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2.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3.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4.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nswgov-my.sharepoint.com/personal/maria_tortura_ipart_nsw_gov_au/Documents/Desktop/"/>
    </mc:Choice>
  </mc:AlternateContent>
  <xr:revisionPtr revIDLastSave="0" documentId="8_{26B0DE35-ACF4-4182-9966-B3D729DDC447}" xr6:coauthVersionLast="47" xr6:coauthVersionMax="47" xr10:uidLastSave="{00000000-0000-0000-0000-000000000000}"/>
  <bookViews>
    <workbookView xWindow="-110" yWindow="-110" windowWidth="19420" windowHeight="10420" firstSheet="7" activeTab="7" xr2:uid="{133AF515-9623-42FF-B5E3-B28B90586E21}"/>
  </bookViews>
  <sheets>
    <sheet name="Examples" sheetId="20" state="hidden" r:id="rId1"/>
    <sheet name="Building block QA scope" sheetId="21" state="hidden" r:id="rId2"/>
    <sheet name="Journal" sheetId="11" state="hidden" r:id="rId3"/>
    <sheet name="Other QA scope" sheetId="22" state="hidden" r:id="rId4"/>
    <sheet name="Other QA scope (Final Report)" sheetId="56" state="hidden" r:id="rId5"/>
    <sheet name="QA log" sheetId="23" state="hidden" r:id="rId6"/>
    <sheet name="QA log (Final Report)" sheetId="57" state="hidden" r:id="rId7"/>
    <sheet name="Cover" sheetId="12" r:id="rId8"/>
    <sheet name="Determination Tables" sheetId="52" r:id="rId9"/>
    <sheet name="Scenario Analysis" sheetId="50" r:id="rId10"/>
    <sheet name="Fare optimisation" sheetId="25" r:id="rId11"/>
    <sheet name="Fare optimisation - matrices" sheetId="27" r:id="rId12"/>
    <sheet name="MC - public transport" sheetId="44" r:id="rId13"/>
    <sheet name="MEC - public transport &amp; cars" sheetId="40" r:id="rId14"/>
    <sheet name="MEC - traffic congestion" sheetId="45" r:id="rId15"/>
    <sheet name="MEC - traffic accidents" sheetId="47" r:id="rId16"/>
    <sheet name="General inputs" sheetId="14" r:id="rId17"/>
    <sheet name="STM inputs" sheetId="55" r:id="rId18"/>
    <sheet name="Congestion inputs" sheetId="46" r:id="rId19"/>
    <sheet name="Trip inputs" sheetId="53" r:id="rId20"/>
    <sheet name="SGCCSA inputs" sheetId="54" r:id="rId21"/>
    <sheet name="Cost inputs" sheetId="43" r:id="rId22"/>
    <sheet name="CPI" sheetId="51" r:id="rId23"/>
  </sheets>
  <definedNames>
    <definedName name="ExampleData1" localSheetId="0">Examples!$A$35:$I$43</definedName>
    <definedName name="ExampleData2" localSheetId="0">Examples!$K$35:$Q$43</definedName>
    <definedName name="ExampleData3" localSheetId="0">Examples!$S$35:$U$40</definedName>
    <definedName name="ExampleData4" localSheetId="0">Examples!$W$35:$AA$43</definedName>
    <definedName name="No" localSheetId="4">'Other QA scope (Final Report)'!$J$80:$J$81</definedName>
    <definedName name="No">'Other QA scope'!$J$84:$J$85</definedName>
    <definedName name="_xlnm.Print_Area" localSheetId="1">'Building block QA scope'!$B$1:$G$99</definedName>
    <definedName name="_xlnm.Print_Area" localSheetId="7">Cover!$A$1:$D$82</definedName>
    <definedName name="_xlnm.Print_Area" localSheetId="22">CPI!$B$1:$N$25</definedName>
    <definedName name="_xlnm.Print_Area" localSheetId="3">'Other QA scope'!$B$1:$G$113</definedName>
    <definedName name="_xlnm.Print_Area" localSheetId="4">'Other QA scope (Final Report)'!$B$1:$G$109</definedName>
    <definedName name="_xlnm.Print_Area" localSheetId="5">'QA log'!$A$2:$J$42</definedName>
    <definedName name="_xlnm.Print_Area" localSheetId="6">'QA log (Final Report)'!$A$2:$J$42</definedName>
    <definedName name="Table1">'SGCCSA inputs'!$C$14:$J$7547</definedName>
    <definedName name="λ">'General inputs'!$F$66</definedName>
    <definedName name="μ">'General inputs'!$F$68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57" l="1"/>
  <c r="B8" i="57" s="1"/>
  <c r="B9" i="57" s="1"/>
  <c r="B10" i="57" s="1"/>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F36" i="52"/>
  <c r="K57" i="50"/>
  <c r="K41" i="50"/>
  <c r="O126" i="44" l="1"/>
  <c r="N126" i="44"/>
  <c r="J144" i="44" s="1"/>
  <c r="M126" i="44"/>
  <c r="L126" i="44"/>
  <c r="K126" i="44"/>
  <c r="J126" i="44"/>
  <c r="I126" i="44"/>
  <c r="H126" i="44"/>
  <c r="G126" i="44"/>
  <c r="G144" i="44" s="1"/>
  <c r="F126" i="44"/>
  <c r="F144" i="44" s="1"/>
  <c r="E126" i="44"/>
  <c r="E144" i="44" s="1"/>
  <c r="I144" i="44" l="1"/>
  <c r="H144" i="44"/>
  <c r="AM222" i="27"/>
  <c r="AL221" i="27"/>
  <c r="AK220" i="27"/>
  <c r="AJ219" i="27"/>
  <c r="AI218" i="27"/>
  <c r="AH217" i="27"/>
  <c r="AG216" i="27"/>
  <c r="AF215" i="27"/>
  <c r="AE214" i="27"/>
  <c r="AD213" i="27"/>
  <c r="AC212" i="27"/>
  <c r="AB211" i="27"/>
  <c r="AA210" i="27"/>
  <c r="Z209" i="27"/>
  <c r="Y208" i="27"/>
  <c r="X207" i="27"/>
  <c r="W206" i="27"/>
  <c r="V205" i="27"/>
  <c r="U204" i="27"/>
  <c r="T203" i="27"/>
  <c r="S202" i="27"/>
  <c r="R201" i="27"/>
  <c r="Q200" i="27"/>
  <c r="P199" i="27"/>
  <c r="O198" i="27"/>
  <c r="N197" i="27"/>
  <c r="M196" i="27"/>
  <c r="L195" i="27"/>
  <c r="K194" i="27"/>
  <c r="J193" i="27"/>
  <c r="I192" i="27"/>
  <c r="H191" i="27"/>
  <c r="AM142" i="27"/>
  <c r="AL141" i="27"/>
  <c r="AK140" i="27"/>
  <c r="AJ139" i="27"/>
  <c r="AI138" i="27"/>
  <c r="AH137" i="27"/>
  <c r="AG136" i="27"/>
  <c r="AF135" i="27"/>
  <c r="AE134" i="27"/>
  <c r="AD133" i="27"/>
  <c r="AC132" i="27"/>
  <c r="AB131" i="27"/>
  <c r="AA130" i="27"/>
  <c r="Z129" i="27"/>
  <c r="Y128" i="27"/>
  <c r="X127" i="27"/>
  <c r="W126" i="27"/>
  <c r="V125" i="27"/>
  <c r="U124" i="27"/>
  <c r="T123" i="27"/>
  <c r="S122" i="27"/>
  <c r="R121" i="27"/>
  <c r="Q120" i="27"/>
  <c r="P119" i="27"/>
  <c r="O118" i="27"/>
  <c r="N117" i="27"/>
  <c r="M116" i="27"/>
  <c r="L115" i="27"/>
  <c r="K114" i="27"/>
  <c r="J113" i="27"/>
  <c r="I112" i="27"/>
  <c r="H111" i="27"/>
  <c r="H71" i="27" a="1"/>
  <c r="H71" i="27" s="1"/>
  <c r="S71" i="27"/>
  <c r="AD71" i="27"/>
  <c r="AJ71" i="27"/>
  <c r="AM71" i="27"/>
  <c r="H72" i="27"/>
  <c r="O72" i="27"/>
  <c r="Q72" i="27"/>
  <c r="S72" i="27"/>
  <c r="Y72" i="27"/>
  <c r="AB72" i="27"/>
  <c r="AD72" i="27"/>
  <c r="AJ72" i="27"/>
  <c r="AM72" i="27"/>
  <c r="H73" i="27"/>
  <c r="O73" i="27"/>
  <c r="Q73" i="27"/>
  <c r="S73" i="27"/>
  <c r="Y73" i="27"/>
  <c r="AB73" i="27"/>
  <c r="AD73" i="27"/>
  <c r="AJ73" i="27"/>
  <c r="AM73" i="27"/>
  <c r="H74" i="27"/>
  <c r="O74" i="27"/>
  <c r="Q74" i="27"/>
  <c r="S74" i="27"/>
  <c r="Y74" i="27"/>
  <c r="AB74" i="27"/>
  <c r="AD74" i="27"/>
  <c r="AJ74" i="27"/>
  <c r="AM74" i="27"/>
  <c r="H75" i="27"/>
  <c r="O75" i="27"/>
  <c r="Q75" i="27"/>
  <c r="S75" i="27"/>
  <c r="Y75" i="27"/>
  <c r="AB75" i="27"/>
  <c r="AD75" i="27"/>
  <c r="AJ75" i="27"/>
  <c r="AM75" i="27"/>
  <c r="H76" i="27"/>
  <c r="O76" i="27"/>
  <c r="Q76" i="27"/>
  <c r="S76" i="27"/>
  <c r="Y76" i="27"/>
  <c r="AB76" i="27"/>
  <c r="AD76" i="27"/>
  <c r="AJ76" i="27"/>
  <c r="AM76" i="27"/>
  <c r="H77" i="27"/>
  <c r="O77" i="27"/>
  <c r="Q77" i="27"/>
  <c r="S77" i="27"/>
  <c r="Y77" i="27"/>
  <c r="AB77" i="27"/>
  <c r="AD77" i="27"/>
  <c r="AJ77" i="27"/>
  <c r="AM77" i="27"/>
  <c r="H78" i="27"/>
  <c r="O78" i="27"/>
  <c r="Q78" i="27"/>
  <c r="S78" i="27"/>
  <c r="Y78" i="27"/>
  <c r="AB78" i="27"/>
  <c r="AD78" i="27"/>
  <c r="AJ78" i="27"/>
  <c r="AM78" i="27"/>
  <c r="H79" i="27"/>
  <c r="O79" i="27"/>
  <c r="Q79" i="27"/>
  <c r="S79" i="27"/>
  <c r="Y79" i="27"/>
  <c r="AB79" i="27"/>
  <c r="AD79" i="27"/>
  <c r="AJ79" i="27"/>
  <c r="AM79" i="27"/>
  <c r="H80" i="27"/>
  <c r="O80" i="27"/>
  <c r="Q80" i="27"/>
  <c r="S80" i="27"/>
  <c r="Y80" i="27"/>
  <c r="AB80" i="27"/>
  <c r="AD80" i="27"/>
  <c r="AJ80" i="27"/>
  <c r="AM80" i="27"/>
  <c r="H81" i="27"/>
  <c r="O81" i="27"/>
  <c r="Q81" i="27"/>
  <c r="S81" i="27"/>
  <c r="Y81" i="27"/>
  <c r="AB81" i="27"/>
  <c r="AD81" i="27"/>
  <c r="AJ81" i="27"/>
  <c r="AM81" i="27"/>
  <c r="H82" i="27"/>
  <c r="O82" i="27"/>
  <c r="Q82" i="27"/>
  <c r="S82" i="27"/>
  <c r="Y82" i="27"/>
  <c r="AB82" i="27"/>
  <c r="AD82" i="27"/>
  <c r="AJ82" i="27"/>
  <c r="AM82" i="27"/>
  <c r="H83" i="27"/>
  <c r="O83" i="27"/>
  <c r="Q83" i="27"/>
  <c r="S83" i="27"/>
  <c r="Y83" i="27"/>
  <c r="AB83" i="27"/>
  <c r="AD83" i="27"/>
  <c r="AJ83" i="27"/>
  <c r="AM83" i="27"/>
  <c r="H84" i="27"/>
  <c r="O84" i="27"/>
  <c r="Q84" i="27"/>
  <c r="S84" i="27"/>
  <c r="Y84" i="27"/>
  <c r="AB84" i="27"/>
  <c r="AD84" i="27"/>
  <c r="AJ84" i="27"/>
  <c r="AM84" i="27"/>
  <c r="H85" i="27"/>
  <c r="O85" i="27"/>
  <c r="Q85" i="27"/>
  <c r="S85" i="27"/>
  <c r="Y85" i="27"/>
  <c r="AB85" i="27"/>
  <c r="AD85" i="27"/>
  <c r="AJ85" i="27"/>
  <c r="AM85" i="27"/>
  <c r="H86" i="27"/>
  <c r="O86" i="27"/>
  <c r="Q86" i="27"/>
  <c r="S86" i="27"/>
  <c r="Y86" i="27"/>
  <c r="AB86" i="27"/>
  <c r="AD86" i="27"/>
  <c r="AJ86" i="27"/>
  <c r="AM86" i="27"/>
  <c r="H87" i="27"/>
  <c r="O87" i="27"/>
  <c r="Q87" i="27"/>
  <c r="S87" i="27"/>
  <c r="Y87" i="27"/>
  <c r="AB87" i="27"/>
  <c r="AD87" i="27"/>
  <c r="AJ87" i="27"/>
  <c r="AM87" i="27"/>
  <c r="H88" i="27"/>
  <c r="O88" i="27"/>
  <c r="Q88" i="27"/>
  <c r="S88" i="27"/>
  <c r="Y88" i="27"/>
  <c r="AB88" i="27"/>
  <c r="AD88" i="27"/>
  <c r="AJ88" i="27"/>
  <c r="AM88" i="27"/>
  <c r="H89" i="27"/>
  <c r="O89" i="27"/>
  <c r="Q89" i="27"/>
  <c r="S89" i="27"/>
  <c r="Y89" i="27"/>
  <c r="AB89" i="27"/>
  <c r="AD89" i="27"/>
  <c r="AJ89" i="27"/>
  <c r="AM89" i="27"/>
  <c r="H90" i="27"/>
  <c r="O90" i="27"/>
  <c r="Q90" i="27"/>
  <c r="S90" i="27"/>
  <c r="Y90" i="27"/>
  <c r="AB90" i="27"/>
  <c r="AD90" i="27"/>
  <c r="AJ90" i="27"/>
  <c r="AM90" i="27"/>
  <c r="H91" i="27"/>
  <c r="O91" i="27"/>
  <c r="Q91" i="27"/>
  <c r="S91" i="27"/>
  <c r="Y91" i="27"/>
  <c r="AB91" i="27"/>
  <c r="AD91" i="27"/>
  <c r="AJ91" i="27"/>
  <c r="AM91" i="27"/>
  <c r="H92" i="27"/>
  <c r="O92" i="27"/>
  <c r="Q92" i="27"/>
  <c r="R92" i="27"/>
  <c r="W92" i="27"/>
  <c r="Y92" i="27"/>
  <c r="Z92" i="27"/>
  <c r="AE92" i="27"/>
  <c r="AG92" i="27"/>
  <c r="AH92" i="27"/>
  <c r="AM92" i="27"/>
  <c r="I93" i="27"/>
  <c r="J93" i="27"/>
  <c r="O93" i="27"/>
  <c r="Q93" i="27"/>
  <c r="R93" i="27"/>
  <c r="W93" i="27"/>
  <c r="Y93" i="27"/>
  <c r="Z93" i="27"/>
  <c r="AE93" i="27"/>
  <c r="AG93" i="27"/>
  <c r="AH93" i="27"/>
  <c r="AM93" i="27"/>
  <c r="I94" i="27"/>
  <c r="J94" i="27"/>
  <c r="O94" i="27"/>
  <c r="Q94" i="27"/>
  <c r="R94" i="27"/>
  <c r="W94" i="27"/>
  <c r="Y94" i="27"/>
  <c r="Z94" i="27"/>
  <c r="AE94" i="27"/>
  <c r="AG94" i="27"/>
  <c r="AH94" i="27"/>
  <c r="AM94" i="27"/>
  <c r="I95" i="27"/>
  <c r="J95" i="27"/>
  <c r="O95" i="27"/>
  <c r="Q95" i="27"/>
  <c r="R95" i="27"/>
  <c r="W95" i="27"/>
  <c r="Y95" i="27"/>
  <c r="Z95" i="27"/>
  <c r="AE95" i="27"/>
  <c r="AG95" i="27"/>
  <c r="AH95" i="27"/>
  <c r="AM95" i="27"/>
  <c r="I96" i="27"/>
  <c r="J96" i="27"/>
  <c r="O96" i="27"/>
  <c r="Q96" i="27"/>
  <c r="R96" i="27"/>
  <c r="W96" i="27"/>
  <c r="Y96" i="27"/>
  <c r="Z96" i="27"/>
  <c r="AE96" i="27"/>
  <c r="AG96" i="27"/>
  <c r="AH96" i="27"/>
  <c r="AM96" i="27"/>
  <c r="I97" i="27"/>
  <c r="J97" i="27"/>
  <c r="O97" i="27"/>
  <c r="Q97" i="27"/>
  <c r="R97" i="27"/>
  <c r="W97" i="27"/>
  <c r="Y97" i="27"/>
  <c r="Z97" i="27"/>
  <c r="AA97" i="27"/>
  <c r="AB97" i="27"/>
  <c r="AD97" i="27"/>
  <c r="AE97" i="27"/>
  <c r="AG97" i="27"/>
  <c r="AH97" i="27"/>
  <c r="AI97" i="27"/>
  <c r="AJ97" i="27"/>
  <c r="AM97" i="27"/>
  <c r="I98" i="27"/>
  <c r="J98" i="27"/>
  <c r="K98" i="27"/>
  <c r="L98" i="27"/>
  <c r="N98" i="27"/>
  <c r="O98" i="27"/>
  <c r="Q98" i="27"/>
  <c r="R98" i="27"/>
  <c r="S98" i="27"/>
  <c r="T98" i="27"/>
  <c r="V98" i="27"/>
  <c r="W98" i="27"/>
  <c r="X98" i="27"/>
  <c r="Y98" i="27"/>
  <c r="Z98" i="27"/>
  <c r="AA98" i="27"/>
  <c r="AB98" i="27"/>
  <c r="AD98" i="27"/>
  <c r="AE98" i="27"/>
  <c r="AF98" i="27"/>
  <c r="AG98" i="27"/>
  <c r="AH98" i="27"/>
  <c r="AI98" i="27"/>
  <c r="AJ98" i="27"/>
  <c r="AL98" i="27"/>
  <c r="AM98" i="27"/>
  <c r="H99" i="27"/>
  <c r="I99" i="27"/>
  <c r="J99" i="27"/>
  <c r="K99" i="27"/>
  <c r="L99" i="27"/>
  <c r="N99" i="27"/>
  <c r="O99" i="27"/>
  <c r="P99" i="27"/>
  <c r="Q99" i="27"/>
  <c r="R99" i="27"/>
  <c r="S99" i="27"/>
  <c r="T99" i="27"/>
  <c r="V99" i="27"/>
  <c r="W99" i="27"/>
  <c r="X99" i="27"/>
  <c r="Y99" i="27"/>
  <c r="Z99" i="27"/>
  <c r="AA99" i="27"/>
  <c r="AB99" i="27"/>
  <c r="AD99" i="27"/>
  <c r="AE99" i="27"/>
  <c r="AF99" i="27"/>
  <c r="AG99" i="27"/>
  <c r="AH99" i="27"/>
  <c r="AI99" i="27"/>
  <c r="AJ99" i="27"/>
  <c r="AL99" i="27"/>
  <c r="AM99" i="27"/>
  <c r="H100" i="27"/>
  <c r="I100" i="27"/>
  <c r="J100" i="27"/>
  <c r="K100" i="27"/>
  <c r="L100" i="27"/>
  <c r="N100" i="27"/>
  <c r="O100" i="27"/>
  <c r="P100" i="27"/>
  <c r="Q100" i="27"/>
  <c r="R100" i="27"/>
  <c r="S100" i="27"/>
  <c r="T100" i="27"/>
  <c r="V100" i="27"/>
  <c r="W100" i="27"/>
  <c r="X100" i="27"/>
  <c r="Y100" i="27"/>
  <c r="Z100" i="27"/>
  <c r="AA100" i="27"/>
  <c r="AB100" i="27"/>
  <c r="AD100" i="27"/>
  <c r="AE100" i="27"/>
  <c r="AF100" i="27"/>
  <c r="AG100" i="27"/>
  <c r="AH100" i="27"/>
  <c r="AI100" i="27"/>
  <c r="AJ100" i="27"/>
  <c r="AL100" i="27"/>
  <c r="AM100" i="27"/>
  <c r="H101" i="27"/>
  <c r="I101" i="27"/>
  <c r="J101" i="27"/>
  <c r="K101" i="27"/>
  <c r="L101" i="27"/>
  <c r="N101" i="27"/>
  <c r="O101" i="27"/>
  <c r="P101" i="27"/>
  <c r="Q101" i="27"/>
  <c r="R101" i="27"/>
  <c r="S101" i="27"/>
  <c r="T101" i="27"/>
  <c r="V101" i="27"/>
  <c r="W101" i="27"/>
  <c r="X101" i="27"/>
  <c r="Y101" i="27"/>
  <c r="Z101" i="27"/>
  <c r="AA101" i="27"/>
  <c r="AB101" i="27"/>
  <c r="AD101" i="27"/>
  <c r="AE101" i="27"/>
  <c r="AF101" i="27"/>
  <c r="AG101" i="27"/>
  <c r="AH101" i="27"/>
  <c r="AI101" i="27"/>
  <c r="AJ101" i="27"/>
  <c r="AL101" i="27"/>
  <c r="AM101" i="27"/>
  <c r="H102" i="27"/>
  <c r="I102" i="27"/>
  <c r="J102" i="27"/>
  <c r="K102" i="27"/>
  <c r="L102" i="27"/>
  <c r="N102" i="27"/>
  <c r="O102" i="27"/>
  <c r="P102" i="27"/>
  <c r="Q102" i="27"/>
  <c r="R102" i="27"/>
  <c r="S102" i="27"/>
  <c r="T102" i="27"/>
  <c r="V102" i="27"/>
  <c r="W102" i="27"/>
  <c r="X102" i="27"/>
  <c r="Y102" i="27"/>
  <c r="Z102" i="27"/>
  <c r="AA102" i="27"/>
  <c r="AB102" i="27"/>
  <c r="AD102" i="27"/>
  <c r="AE102" i="27"/>
  <c r="AF102" i="27"/>
  <c r="AG102" i="27"/>
  <c r="AH102" i="27"/>
  <c r="AI102" i="27"/>
  <c r="AJ102" i="27"/>
  <c r="AL102" i="27"/>
  <c r="AM102" i="27"/>
  <c r="R34" i="43"/>
  <c r="R29" i="43"/>
  <c r="R26" i="43"/>
  <c r="R25" i="43"/>
  <c r="R24" i="43"/>
  <c r="S24" i="43" s="1"/>
  <c r="L24" i="43" s="1"/>
  <c r="R23" i="43"/>
  <c r="S29" i="43" l="1"/>
  <c r="L30" i="43" s="1"/>
  <c r="S34" i="43"/>
  <c r="S23" i="43"/>
  <c r="L23" i="43" s="1"/>
  <c r="S25" i="43"/>
  <c r="L25" i="43" s="1"/>
  <c r="S26" i="43"/>
  <c r="L27" i="43" s="1"/>
  <c r="AB71" i="27"/>
  <c r="Q71" i="27"/>
  <c r="P98" i="27"/>
  <c r="H98" i="27"/>
  <c r="AF97" i="27"/>
  <c r="X97" i="27"/>
  <c r="P97" i="27"/>
  <c r="H97" i="27"/>
  <c r="AF96" i="27"/>
  <c r="X96" i="27"/>
  <c r="P96" i="27"/>
  <c r="H96" i="27"/>
  <c r="AF95" i="27"/>
  <c r="X95" i="27"/>
  <c r="P95" i="27"/>
  <c r="H95" i="27"/>
  <c r="AF94" i="27"/>
  <c r="X94" i="27"/>
  <c r="P94" i="27"/>
  <c r="H94" i="27"/>
  <c r="AF93" i="27"/>
  <c r="X93" i="27"/>
  <c r="P93" i="27"/>
  <c r="H93" i="27"/>
  <c r="AF92" i="27"/>
  <c r="X92" i="27"/>
  <c r="P92" i="27"/>
  <c r="AL91" i="27"/>
  <c r="AA91" i="27"/>
  <c r="P91" i="27"/>
  <c r="AL90" i="27"/>
  <c r="AA90" i="27"/>
  <c r="P90" i="27"/>
  <c r="AL89" i="27"/>
  <c r="AA89" i="27"/>
  <c r="P89" i="27"/>
  <c r="AL88" i="27"/>
  <c r="AA88" i="27"/>
  <c r="P88" i="27"/>
  <c r="AL87" i="27"/>
  <c r="AA87" i="27"/>
  <c r="P87" i="27"/>
  <c r="AL86" i="27"/>
  <c r="AA86" i="27"/>
  <c r="P86" i="27"/>
  <c r="AL85" i="27"/>
  <c r="AA85" i="27"/>
  <c r="P85" i="27"/>
  <c r="AL84" i="27"/>
  <c r="AA84" i="27"/>
  <c r="P84" i="27"/>
  <c r="AL83" i="27"/>
  <c r="AA83" i="27"/>
  <c r="P83" i="27"/>
  <c r="AL82" i="27"/>
  <c r="AA82" i="27"/>
  <c r="P82" i="27"/>
  <c r="AL81" i="27"/>
  <c r="AA81" i="27"/>
  <c r="P81" i="27"/>
  <c r="AL80" i="27"/>
  <c r="AA80" i="27"/>
  <c r="P80" i="27"/>
  <c r="AL79" i="27"/>
  <c r="AA79" i="27"/>
  <c r="P79" i="27"/>
  <c r="AL78" i="27"/>
  <c r="AA78" i="27"/>
  <c r="P78" i="27"/>
  <c r="AL77" i="27"/>
  <c r="AA77" i="27"/>
  <c r="P77" i="27"/>
  <c r="AL76" i="27"/>
  <c r="AA76" i="27"/>
  <c r="P76" i="27"/>
  <c r="AL75" i="27"/>
  <c r="AA75" i="27"/>
  <c r="P75" i="27"/>
  <c r="AL74" i="27"/>
  <c r="AA74" i="27"/>
  <c r="P74" i="27"/>
  <c r="AL73" i="27"/>
  <c r="AA73" i="27"/>
  <c r="P73" i="27"/>
  <c r="AL72" i="27"/>
  <c r="AA72" i="27"/>
  <c r="P72" i="27"/>
  <c r="AL71" i="27"/>
  <c r="AA71" i="27"/>
  <c r="P71" i="27"/>
  <c r="Y71" i="27"/>
  <c r="O71" i="27"/>
  <c r="V97" i="27"/>
  <c r="N97" i="27"/>
  <c r="AL96" i="27"/>
  <c r="AD96" i="27"/>
  <c r="V96" i="27"/>
  <c r="N96" i="27"/>
  <c r="AL95" i="27"/>
  <c r="AD95" i="27"/>
  <c r="V95" i="27"/>
  <c r="N95" i="27"/>
  <c r="AL94" i="27"/>
  <c r="AD94" i="27"/>
  <c r="V94" i="27"/>
  <c r="N94" i="27"/>
  <c r="AL93" i="27"/>
  <c r="AD93" i="27"/>
  <c r="V93" i="27"/>
  <c r="N93" i="27"/>
  <c r="AL92" i="27"/>
  <c r="AD92" i="27"/>
  <c r="V92" i="27"/>
  <c r="N92" i="27"/>
  <c r="AI91" i="27"/>
  <c r="X91" i="27"/>
  <c r="N91" i="27"/>
  <c r="AI90" i="27"/>
  <c r="X90" i="27"/>
  <c r="N90" i="27"/>
  <c r="AI89" i="27"/>
  <c r="X89" i="27"/>
  <c r="N89" i="27"/>
  <c r="AI88" i="27"/>
  <c r="X88" i="27"/>
  <c r="N88" i="27"/>
  <c r="AI87" i="27"/>
  <c r="X87" i="27"/>
  <c r="N87" i="27"/>
  <c r="AI86" i="27"/>
  <c r="X86" i="27"/>
  <c r="N86" i="27"/>
  <c r="AI85" i="27"/>
  <c r="X85" i="27"/>
  <c r="N85" i="27"/>
  <c r="AI84" i="27"/>
  <c r="X84" i="27"/>
  <c r="N84" i="27"/>
  <c r="AI83" i="27"/>
  <c r="X83" i="27"/>
  <c r="N83" i="27"/>
  <c r="AI82" i="27"/>
  <c r="X82" i="27"/>
  <c r="N82" i="27"/>
  <c r="AI81" i="27"/>
  <c r="X81" i="27"/>
  <c r="N81" i="27"/>
  <c r="AI80" i="27"/>
  <c r="X80" i="27"/>
  <c r="N80" i="27"/>
  <c r="AI79" i="27"/>
  <c r="X79" i="27"/>
  <c r="N79" i="27"/>
  <c r="AI78" i="27"/>
  <c r="X78" i="27"/>
  <c r="N78" i="27"/>
  <c r="AI77" i="27"/>
  <c r="X77" i="27"/>
  <c r="N77" i="27"/>
  <c r="AI76" i="27"/>
  <c r="X76" i="27"/>
  <c r="N76" i="27"/>
  <c r="AI75" i="27"/>
  <c r="X75" i="27"/>
  <c r="N75" i="27"/>
  <c r="AI74" i="27"/>
  <c r="X74" i="27"/>
  <c r="N74" i="27"/>
  <c r="AI73" i="27"/>
  <c r="X73" i="27"/>
  <c r="N73" i="27"/>
  <c r="AI72" i="27"/>
  <c r="X72" i="27"/>
  <c r="N72" i="27"/>
  <c r="AI71" i="27"/>
  <c r="X71" i="27"/>
  <c r="L71" i="27"/>
  <c r="AL97" i="27"/>
  <c r="AK102" i="27"/>
  <c r="AC102" i="27"/>
  <c r="U102" i="27"/>
  <c r="M102" i="27"/>
  <c r="AK101" i="27"/>
  <c r="AC101" i="27"/>
  <c r="U101" i="27"/>
  <c r="M101" i="27"/>
  <c r="AK100" i="27"/>
  <c r="AC100" i="27"/>
  <c r="U100" i="27"/>
  <c r="M100" i="27"/>
  <c r="AK99" i="27"/>
  <c r="AC99" i="27"/>
  <c r="U99" i="27"/>
  <c r="M99" i="27"/>
  <c r="AK98" i="27"/>
  <c r="AC98" i="27"/>
  <c r="U98" i="27"/>
  <c r="M98" i="27"/>
  <c r="AK97" i="27"/>
  <c r="AC97" i="27"/>
  <c r="U97" i="27"/>
  <c r="M97" i="27"/>
  <c r="AK96" i="27"/>
  <c r="AC96" i="27"/>
  <c r="U96" i="27"/>
  <c r="M96" i="27"/>
  <c r="AK95" i="27"/>
  <c r="AC95" i="27"/>
  <c r="U95" i="27"/>
  <c r="M95" i="27"/>
  <c r="AK94" i="27"/>
  <c r="AC94" i="27"/>
  <c r="U94" i="27"/>
  <c r="M94" i="27"/>
  <c r="AK93" i="27"/>
  <c r="AC93" i="27"/>
  <c r="U93" i="27"/>
  <c r="M93" i="27"/>
  <c r="AK92" i="27"/>
  <c r="AC92" i="27"/>
  <c r="U92" i="27"/>
  <c r="L92" i="27"/>
  <c r="AG91" i="27"/>
  <c r="W91" i="27"/>
  <c r="L91" i="27"/>
  <c r="AG90" i="27"/>
  <c r="W90" i="27"/>
  <c r="L90" i="27"/>
  <c r="AG89" i="27"/>
  <c r="W89" i="27"/>
  <c r="L89" i="27"/>
  <c r="AG88" i="27"/>
  <c r="W88" i="27"/>
  <c r="L88" i="27"/>
  <c r="AG87" i="27"/>
  <c r="W87" i="27"/>
  <c r="L87" i="27"/>
  <c r="AG86" i="27"/>
  <c r="W86" i="27"/>
  <c r="L86" i="27"/>
  <c r="AG85" i="27"/>
  <c r="W85" i="27"/>
  <c r="L85" i="27"/>
  <c r="AG84" i="27"/>
  <c r="W84" i="27"/>
  <c r="L84" i="27"/>
  <c r="AG83" i="27"/>
  <c r="W83" i="27"/>
  <c r="L83" i="27"/>
  <c r="AG82" i="27"/>
  <c r="W82" i="27"/>
  <c r="L82" i="27"/>
  <c r="AG81" i="27"/>
  <c r="W81" i="27"/>
  <c r="L81" i="27"/>
  <c r="AG80" i="27"/>
  <c r="W80" i="27"/>
  <c r="L80" i="27"/>
  <c r="AG79" i="27"/>
  <c r="W79" i="27"/>
  <c r="L79" i="27"/>
  <c r="AG78" i="27"/>
  <c r="W78" i="27"/>
  <c r="L78" i="27"/>
  <c r="AG77" i="27"/>
  <c r="W77" i="27"/>
  <c r="L77" i="27"/>
  <c r="AG76" i="27"/>
  <c r="W76" i="27"/>
  <c r="L76" i="27"/>
  <c r="AG75" i="27"/>
  <c r="W75" i="27"/>
  <c r="L75" i="27"/>
  <c r="AG74" i="27"/>
  <c r="W74" i="27"/>
  <c r="L74" i="27"/>
  <c r="AG73" i="27"/>
  <c r="W73" i="27"/>
  <c r="L73" i="27"/>
  <c r="AG72" i="27"/>
  <c r="W72" i="27"/>
  <c r="L72" i="27"/>
  <c r="AG71" i="27"/>
  <c r="W71" i="27"/>
  <c r="K71" i="27"/>
  <c r="T97" i="27"/>
  <c r="L97" i="27"/>
  <c r="AJ96" i="27"/>
  <c r="AB96" i="27"/>
  <c r="T96" i="27"/>
  <c r="L96" i="27"/>
  <c r="AJ95" i="27"/>
  <c r="AB95" i="27"/>
  <c r="T95" i="27"/>
  <c r="L95" i="27"/>
  <c r="AJ94" i="27"/>
  <c r="AB94" i="27"/>
  <c r="T94" i="27"/>
  <c r="L94" i="27"/>
  <c r="AJ93" i="27"/>
  <c r="AB93" i="27"/>
  <c r="T93" i="27"/>
  <c r="L93" i="27"/>
  <c r="AJ92" i="27"/>
  <c r="AB92" i="27"/>
  <c r="T92" i="27"/>
  <c r="K92" i="27"/>
  <c r="AF91" i="27"/>
  <c r="V91" i="27"/>
  <c r="K91" i="27"/>
  <c r="AF90" i="27"/>
  <c r="V90" i="27"/>
  <c r="K90" i="27"/>
  <c r="AF89" i="27"/>
  <c r="V89" i="27"/>
  <c r="K89" i="27"/>
  <c r="AF88" i="27"/>
  <c r="V88" i="27"/>
  <c r="K88" i="27"/>
  <c r="AF87" i="27"/>
  <c r="V87" i="27"/>
  <c r="K87" i="27"/>
  <c r="AF86" i="27"/>
  <c r="V86" i="27"/>
  <c r="K86" i="27"/>
  <c r="AF85" i="27"/>
  <c r="V85" i="27"/>
  <c r="K85" i="27"/>
  <c r="AF84" i="27"/>
  <c r="V84" i="27"/>
  <c r="K84" i="27"/>
  <c r="AF83" i="27"/>
  <c r="V83" i="27"/>
  <c r="K83" i="27"/>
  <c r="AF82" i="27"/>
  <c r="V82" i="27"/>
  <c r="K82" i="27"/>
  <c r="AF81" i="27"/>
  <c r="V81" i="27"/>
  <c r="K81" i="27"/>
  <c r="AF80" i="27"/>
  <c r="V80" i="27"/>
  <c r="K80" i="27"/>
  <c r="AF79" i="27"/>
  <c r="V79" i="27"/>
  <c r="K79" i="27"/>
  <c r="AF78" i="27"/>
  <c r="V78" i="27"/>
  <c r="K78" i="27"/>
  <c r="AF77" i="27"/>
  <c r="V77" i="27"/>
  <c r="K77" i="27"/>
  <c r="AF76" i="27"/>
  <c r="V76" i="27"/>
  <c r="K76" i="27"/>
  <c r="AF75" i="27"/>
  <c r="V75" i="27"/>
  <c r="K75" i="27"/>
  <c r="AF74" i="27"/>
  <c r="V74" i="27"/>
  <c r="K74" i="27"/>
  <c r="AF73" i="27"/>
  <c r="V73" i="27"/>
  <c r="K73" i="27"/>
  <c r="AF72" i="27"/>
  <c r="V72" i="27"/>
  <c r="K72" i="27"/>
  <c r="AF71" i="27"/>
  <c r="V71" i="27"/>
  <c r="I71" i="27"/>
  <c r="S97" i="27"/>
  <c r="K97" i="27"/>
  <c r="AI96" i="27"/>
  <c r="AA96" i="27"/>
  <c r="S96" i="27"/>
  <c r="K96" i="27"/>
  <c r="AI95" i="27"/>
  <c r="AA95" i="27"/>
  <c r="S95" i="27"/>
  <c r="K95" i="27"/>
  <c r="AI94" i="27"/>
  <c r="AA94" i="27"/>
  <c r="S94" i="27"/>
  <c r="K94" i="27"/>
  <c r="AI93" i="27"/>
  <c r="AA93" i="27"/>
  <c r="S93" i="27"/>
  <c r="K93" i="27"/>
  <c r="AI92" i="27"/>
  <c r="AA92" i="27"/>
  <c r="S92" i="27"/>
  <c r="I92" i="27"/>
  <c r="AE91" i="27"/>
  <c r="T91" i="27"/>
  <c r="I91" i="27"/>
  <c r="AE90" i="27"/>
  <c r="T90" i="27"/>
  <c r="I90" i="27"/>
  <c r="AE89" i="27"/>
  <c r="T89" i="27"/>
  <c r="I89" i="27"/>
  <c r="AE88" i="27"/>
  <c r="T88" i="27"/>
  <c r="I88" i="27"/>
  <c r="AE87" i="27"/>
  <c r="T87" i="27"/>
  <c r="I87" i="27"/>
  <c r="AE86" i="27"/>
  <c r="T86" i="27"/>
  <c r="I86" i="27"/>
  <c r="AE85" i="27"/>
  <c r="T85" i="27"/>
  <c r="I85" i="27"/>
  <c r="AE84" i="27"/>
  <c r="T84" i="27"/>
  <c r="I84" i="27"/>
  <c r="AE83" i="27"/>
  <c r="T83" i="27"/>
  <c r="I83" i="27"/>
  <c r="AE82" i="27"/>
  <c r="T82" i="27"/>
  <c r="I82" i="27"/>
  <c r="AE81" i="27"/>
  <c r="T81" i="27"/>
  <c r="I81" i="27"/>
  <c r="AE80" i="27"/>
  <c r="T80" i="27"/>
  <c r="I80" i="27"/>
  <c r="AE79" i="27"/>
  <c r="T79" i="27"/>
  <c r="I79" i="27"/>
  <c r="AE78" i="27"/>
  <c r="T78" i="27"/>
  <c r="I78" i="27"/>
  <c r="AE77" i="27"/>
  <c r="T77" i="27"/>
  <c r="I77" i="27"/>
  <c r="AE76" i="27"/>
  <c r="T76" i="27"/>
  <c r="I76" i="27"/>
  <c r="AE75" i="27"/>
  <c r="T75" i="27"/>
  <c r="I75" i="27"/>
  <c r="AE74" i="27"/>
  <c r="T74" i="27"/>
  <c r="I74" i="27"/>
  <c r="AE73" i="27"/>
  <c r="T73" i="27"/>
  <c r="I73" i="27"/>
  <c r="AE72" i="27"/>
  <c r="T72" i="27"/>
  <c r="I72" i="27"/>
  <c r="AE71" i="27"/>
  <c r="T71" i="27"/>
  <c r="J71" i="27"/>
  <c r="R71" i="27"/>
  <c r="Z71" i="27"/>
  <c r="AH71" i="27"/>
  <c r="J72" i="27"/>
  <c r="R72" i="27"/>
  <c r="Z72" i="27"/>
  <c r="AH72" i="27"/>
  <c r="J73" i="27"/>
  <c r="R73" i="27"/>
  <c r="Z73" i="27"/>
  <c r="AH73" i="27"/>
  <c r="J74" i="27"/>
  <c r="R74" i="27"/>
  <c r="Z74" i="27"/>
  <c r="AH74" i="27"/>
  <c r="J75" i="27"/>
  <c r="R75" i="27"/>
  <c r="Z75" i="27"/>
  <c r="AH75" i="27"/>
  <c r="J76" i="27"/>
  <c r="R76" i="27"/>
  <c r="Z76" i="27"/>
  <c r="AH76" i="27"/>
  <c r="J77" i="27"/>
  <c r="R77" i="27"/>
  <c r="Z77" i="27"/>
  <c r="AH77" i="27"/>
  <c r="J78" i="27"/>
  <c r="R78" i="27"/>
  <c r="Z78" i="27"/>
  <c r="AH78" i="27"/>
  <c r="J79" i="27"/>
  <c r="R79" i="27"/>
  <c r="Z79" i="27"/>
  <c r="AH79" i="27"/>
  <c r="J80" i="27"/>
  <c r="R80" i="27"/>
  <c r="Z80" i="27"/>
  <c r="AH80" i="27"/>
  <c r="J81" i="27"/>
  <c r="R81" i="27"/>
  <c r="Z81" i="27"/>
  <c r="AH81" i="27"/>
  <c r="J82" i="27"/>
  <c r="R82" i="27"/>
  <c r="Z82" i="27"/>
  <c r="AH82" i="27"/>
  <c r="J83" i="27"/>
  <c r="R83" i="27"/>
  <c r="Z83" i="27"/>
  <c r="AH83" i="27"/>
  <c r="J84" i="27"/>
  <c r="R84" i="27"/>
  <c r="Z84" i="27"/>
  <c r="AH84" i="27"/>
  <c r="J85" i="27"/>
  <c r="R85" i="27"/>
  <c r="Z85" i="27"/>
  <c r="AH85" i="27"/>
  <c r="J86" i="27"/>
  <c r="R86" i="27"/>
  <c r="Z86" i="27"/>
  <c r="AH86" i="27"/>
  <c r="J87" i="27"/>
  <c r="R87" i="27"/>
  <c r="Z87" i="27"/>
  <c r="AH87" i="27"/>
  <c r="J88" i="27"/>
  <c r="R88" i="27"/>
  <c r="Z88" i="27"/>
  <c r="AH88" i="27"/>
  <c r="J89" i="27"/>
  <c r="R89" i="27"/>
  <c r="Z89" i="27"/>
  <c r="AH89" i="27"/>
  <c r="J90" i="27"/>
  <c r="R90" i="27"/>
  <c r="Z90" i="27"/>
  <c r="AH90" i="27"/>
  <c r="J91" i="27"/>
  <c r="R91" i="27"/>
  <c r="Z91" i="27"/>
  <c r="AH91" i="27"/>
  <c r="J92" i="27"/>
  <c r="M71" i="27"/>
  <c r="U71" i="27"/>
  <c r="AC71" i="27"/>
  <c r="AK71" i="27"/>
  <c r="M72" i="27"/>
  <c r="U72" i="27"/>
  <c r="AC72" i="27"/>
  <c r="AK72" i="27"/>
  <c r="M73" i="27"/>
  <c r="U73" i="27"/>
  <c r="AC73" i="27"/>
  <c r="AK73" i="27"/>
  <c r="M74" i="27"/>
  <c r="U74" i="27"/>
  <c r="AC74" i="27"/>
  <c r="AK74" i="27"/>
  <c r="M75" i="27"/>
  <c r="U75" i="27"/>
  <c r="AC75" i="27"/>
  <c r="AK75" i="27"/>
  <c r="M76" i="27"/>
  <c r="U76" i="27"/>
  <c r="AC76" i="27"/>
  <c r="AK76" i="27"/>
  <c r="M77" i="27"/>
  <c r="U77" i="27"/>
  <c r="AC77" i="27"/>
  <c r="AK77" i="27"/>
  <c r="M78" i="27"/>
  <c r="U78" i="27"/>
  <c r="AC78" i="27"/>
  <c r="AK78" i="27"/>
  <c r="M79" i="27"/>
  <c r="U79" i="27"/>
  <c r="AC79" i="27"/>
  <c r="AK79" i="27"/>
  <c r="M80" i="27"/>
  <c r="U80" i="27"/>
  <c r="AC80" i="27"/>
  <c r="AK80" i="27"/>
  <c r="M81" i="27"/>
  <c r="U81" i="27"/>
  <c r="AC81" i="27"/>
  <c r="AK81" i="27"/>
  <c r="M82" i="27"/>
  <c r="U82" i="27"/>
  <c r="AC82" i="27"/>
  <c r="AK82" i="27"/>
  <c r="M83" i="27"/>
  <c r="U83" i="27"/>
  <c r="AC83" i="27"/>
  <c r="AK83" i="27"/>
  <c r="M84" i="27"/>
  <c r="U84" i="27"/>
  <c r="AC84" i="27"/>
  <c r="AK84" i="27"/>
  <c r="M85" i="27"/>
  <c r="U85" i="27"/>
  <c r="AC85" i="27"/>
  <c r="AK85" i="27"/>
  <c r="M86" i="27"/>
  <c r="U86" i="27"/>
  <c r="AC86" i="27"/>
  <c r="AK86" i="27"/>
  <c r="M87" i="27"/>
  <c r="U87" i="27"/>
  <c r="AC87" i="27"/>
  <c r="AK87" i="27"/>
  <c r="M88" i="27"/>
  <c r="U88" i="27"/>
  <c r="AC88" i="27"/>
  <c r="AK88" i="27"/>
  <c r="M89" i="27"/>
  <c r="U89" i="27"/>
  <c r="AC89" i="27"/>
  <c r="AK89" i="27"/>
  <c r="M90" i="27"/>
  <c r="U90" i="27"/>
  <c r="AC90" i="27"/>
  <c r="AK90" i="27"/>
  <c r="M91" i="27"/>
  <c r="U91" i="27"/>
  <c r="AC91" i="27"/>
  <c r="AK91" i="27"/>
  <c r="M92" i="27"/>
  <c r="N71" i="27"/>
  <c r="S88" i="40"/>
  <c r="R88" i="40"/>
  <c r="P88" i="40"/>
  <c r="N88" i="40"/>
  <c r="L88" i="40"/>
  <c r="J88" i="40"/>
  <c r="H88" i="40"/>
  <c r="S87" i="40"/>
  <c r="R87" i="40"/>
  <c r="P87" i="40"/>
  <c r="N87" i="40"/>
  <c r="L87" i="40"/>
  <c r="J87" i="40"/>
  <c r="H87" i="40"/>
  <c r="S86" i="40"/>
  <c r="R86" i="40"/>
  <c r="P86" i="40"/>
  <c r="N86" i="40"/>
  <c r="L86" i="40"/>
  <c r="J86" i="40"/>
  <c r="H86" i="40"/>
  <c r="S85" i="40"/>
  <c r="R85" i="40"/>
  <c r="P85" i="40"/>
  <c r="N85" i="40"/>
  <c r="L85" i="40"/>
  <c r="J85" i="40"/>
  <c r="H85" i="40"/>
  <c r="S84" i="40"/>
  <c r="R84" i="40"/>
  <c r="Q84" i="40"/>
  <c r="N84" i="40"/>
  <c r="L84" i="40"/>
  <c r="K84" i="40"/>
  <c r="H84" i="40"/>
  <c r="S83" i="40"/>
  <c r="R83" i="40"/>
  <c r="Q83" i="40"/>
  <c r="N83" i="40"/>
  <c r="L83" i="40"/>
  <c r="K83" i="40"/>
  <c r="H83" i="40"/>
  <c r="S82" i="40"/>
  <c r="R82" i="40"/>
  <c r="Q82" i="40"/>
  <c r="N82" i="40"/>
  <c r="L82" i="40"/>
  <c r="K82" i="40"/>
  <c r="H82" i="40"/>
  <c r="S81" i="40"/>
  <c r="R81" i="40"/>
  <c r="Q81" i="40"/>
  <c r="N81" i="40"/>
  <c r="L81" i="40"/>
  <c r="K81" i="40"/>
  <c r="H81" i="40"/>
  <c r="S80" i="40"/>
  <c r="R80" i="40"/>
  <c r="M80" i="40"/>
  <c r="L80" i="40"/>
  <c r="S79" i="40"/>
  <c r="R79" i="40"/>
  <c r="M79" i="40"/>
  <c r="L79" i="40"/>
  <c r="S78" i="40"/>
  <c r="R78" i="40"/>
  <c r="M78" i="40"/>
  <c r="L78" i="40"/>
  <c r="S77" i="40"/>
  <c r="R77" i="40"/>
  <c r="M77" i="40"/>
  <c r="L77" i="40"/>
  <c r="S76" i="40"/>
  <c r="R76" i="40"/>
  <c r="O76" i="40"/>
  <c r="N76" i="40"/>
  <c r="L76" i="40"/>
  <c r="I76" i="40"/>
  <c r="H76" i="40"/>
  <c r="S75" i="40"/>
  <c r="R75" i="40"/>
  <c r="O75" i="40"/>
  <c r="N75" i="40"/>
  <c r="L75" i="40"/>
  <c r="I75" i="40"/>
  <c r="H75" i="40"/>
  <c r="S74" i="40"/>
  <c r="R74" i="40"/>
  <c r="O74" i="40"/>
  <c r="N74" i="40"/>
  <c r="L74" i="40"/>
  <c r="I74" i="40"/>
  <c r="H74" i="40"/>
  <c r="S73" i="40"/>
  <c r="R73" i="40"/>
  <c r="O73" i="40"/>
  <c r="N73" i="40"/>
  <c r="L73" i="40"/>
  <c r="I73" i="40"/>
  <c r="H73" i="40"/>
  <c r="G80" i="40"/>
  <c r="G79" i="40"/>
  <c r="G78" i="40"/>
  <c r="G77" i="40"/>
  <c r="J101" i="45"/>
  <c r="I101" i="45"/>
  <c r="H101" i="45"/>
  <c r="G101" i="45"/>
  <c r="F101" i="45"/>
  <c r="E101" i="45"/>
  <c r="D101" i="45"/>
  <c r="J100" i="45"/>
  <c r="I100" i="45"/>
  <c r="H100" i="45"/>
  <c r="G100" i="45"/>
  <c r="F100" i="45"/>
  <c r="E100" i="45"/>
  <c r="D100" i="45"/>
  <c r="J99" i="45"/>
  <c r="I99" i="45"/>
  <c r="H99" i="45"/>
  <c r="G99" i="45"/>
  <c r="F99" i="45"/>
  <c r="E99" i="45"/>
  <c r="D99" i="45"/>
  <c r="J98" i="45"/>
  <c r="I98" i="45"/>
  <c r="H98" i="45"/>
  <c r="G98" i="45"/>
  <c r="F98" i="45"/>
  <c r="E98" i="45"/>
  <c r="D98" i="45"/>
  <c r="J97" i="45"/>
  <c r="I97" i="45"/>
  <c r="H97" i="45"/>
  <c r="G97" i="45"/>
  <c r="F97" i="45"/>
  <c r="E97" i="45"/>
  <c r="D97" i="45"/>
  <c r="J93" i="45" a="1"/>
  <c r="J93" i="45" s="1"/>
  <c r="I93" i="45" a="1"/>
  <c r="I93" i="45" s="1"/>
  <c r="H93" i="45" a="1"/>
  <c r="H93" i="45" s="1"/>
  <c r="G93" i="45" a="1"/>
  <c r="G93" i="45" s="1"/>
  <c r="F93" i="45" a="1"/>
  <c r="F93" i="45" s="1"/>
  <c r="E93" i="45" a="1"/>
  <c r="E93" i="45" s="1"/>
  <c r="D93" i="45" a="1"/>
  <c r="D93" i="45" s="1"/>
  <c r="J92" i="45" a="1"/>
  <c r="J92" i="45" s="1"/>
  <c r="I92" i="45" a="1"/>
  <c r="I92" i="45" s="1"/>
  <c r="H92" i="45" a="1"/>
  <c r="H92" i="45" s="1"/>
  <c r="G92" i="45" a="1"/>
  <c r="G92" i="45" s="1"/>
  <c r="F92" i="45" a="1"/>
  <c r="F92" i="45" s="1"/>
  <c r="E92" i="45" a="1"/>
  <c r="E92" i="45" s="1"/>
  <c r="D92" i="45" a="1"/>
  <c r="D92" i="45" s="1"/>
  <c r="J91" i="45" a="1"/>
  <c r="J91" i="45" s="1"/>
  <c r="I91" i="45" a="1"/>
  <c r="I91" i="45" s="1"/>
  <c r="H91" i="45" a="1"/>
  <c r="H91" i="45" s="1"/>
  <c r="G91" i="45" a="1"/>
  <c r="G91" i="45" s="1"/>
  <c r="F91" i="45" a="1"/>
  <c r="F91" i="45" s="1"/>
  <c r="E91" i="45" a="1"/>
  <c r="E91" i="45" s="1"/>
  <c r="D91" i="45" a="1"/>
  <c r="D91" i="45" s="1"/>
  <c r="J90" i="45" a="1"/>
  <c r="J90" i="45" s="1"/>
  <c r="I90" i="45" a="1"/>
  <c r="I90" i="45" s="1"/>
  <c r="H90" i="45" a="1"/>
  <c r="H90" i="45" s="1"/>
  <c r="G90" i="45" a="1"/>
  <c r="G90" i="45" s="1"/>
  <c r="F90" i="45" a="1"/>
  <c r="F90" i="45" s="1"/>
  <c r="E90" i="45" a="1"/>
  <c r="E90" i="45" s="1"/>
  <c r="D90" i="45" a="1"/>
  <c r="D90" i="45" s="1"/>
  <c r="J89" i="45" a="1"/>
  <c r="J89" i="45" s="1"/>
  <c r="I89" i="45" a="1"/>
  <c r="I89" i="45" s="1"/>
  <c r="H89" i="45" a="1"/>
  <c r="H89" i="45" s="1"/>
  <c r="G89" i="45" a="1"/>
  <c r="G89" i="45" s="1"/>
  <c r="F89" i="45" a="1"/>
  <c r="F89" i="45" s="1"/>
  <c r="E89" i="45" a="1"/>
  <c r="E89" i="45" s="1"/>
  <c r="D89" i="45" a="1"/>
  <c r="D89" i="45" s="1"/>
  <c r="F142" i="14" l="1"/>
  <c r="K34" i="43"/>
  <c r="D44" i="43" l="1"/>
  <c r="D75" i="43"/>
  <c r="D53" i="43"/>
  <c r="D166" i="43"/>
  <c r="D189" i="43"/>
  <c r="D231" i="43"/>
  <c r="O30" i="43"/>
  <c r="L34" i="43" s="1"/>
  <c r="O29" i="43"/>
  <c r="L32" i="43" s="1"/>
  <c r="D212" i="43" s="1"/>
  <c r="O28" i="43"/>
  <c r="L28" i="43" s="1"/>
  <c r="D241" i="43" s="1"/>
  <c r="N37" i="43"/>
  <c r="O37" i="43" s="1"/>
  <c r="D24" i="45"/>
  <c r="F31" i="45" a="1"/>
  <c r="F31" i="45" s="1"/>
  <c r="F30" i="45" a="1"/>
  <c r="F30" i="45" s="1"/>
  <c r="F24" i="45" a="1"/>
  <c r="F24" i="45" s="1"/>
  <c r="F23" i="45" a="1"/>
  <c r="F23" i="45" s="1"/>
  <c r="D31" i="45"/>
  <c r="D30" i="45"/>
  <c r="D23" i="45"/>
  <c r="L37" i="43" l="1"/>
  <c r="D110" i="43" s="1"/>
  <c r="O31" i="43"/>
  <c r="O35" i="43"/>
  <c r="O36" i="43"/>
  <c r="L36" i="43" s="1"/>
  <c r="D97" i="43" s="1"/>
  <c r="K14" i="40"/>
  <c r="K13" i="40"/>
  <c r="C296" i="40"/>
  <c r="C297" i="40"/>
  <c r="C298" i="40"/>
  <c r="C299" i="40"/>
  <c r="C300" i="40"/>
  <c r="D250" i="40"/>
  <c r="D249" i="40"/>
  <c r="D248" i="40"/>
  <c r="C250" i="40"/>
  <c r="C249" i="40"/>
  <c r="K12" i="40"/>
  <c r="D251" i="40"/>
  <c r="D217" i="40"/>
  <c r="C275" i="40"/>
  <c r="C276" i="40" s="1"/>
  <c r="C277" i="40" s="1"/>
  <c r="C278" i="40" s="1"/>
  <c r="C279" i="40" s="1"/>
  <c r="C280" i="40" s="1"/>
  <c r="C241" i="40"/>
  <c r="D222" i="40" s="1"/>
  <c r="C269" i="40"/>
  <c r="D255" i="40" s="1"/>
  <c r="C235" i="40"/>
  <c r="C236" i="40" s="1"/>
  <c r="C237" i="40" s="1"/>
  <c r="C238" i="40" s="1"/>
  <c r="C239" i="40" s="1"/>
  <c r="C240" i="40" s="1"/>
  <c r="C263" i="40"/>
  <c r="D254" i="40" s="1"/>
  <c r="C257" i="40"/>
  <c r="C251" i="40"/>
  <c r="D252" i="40" s="1"/>
  <c r="C229" i="40"/>
  <c r="C230" i="40" s="1"/>
  <c r="C231" i="40" s="1"/>
  <c r="C232" i="40" s="1"/>
  <c r="C233" i="40" s="1"/>
  <c r="C234" i="40" s="1"/>
  <c r="C223" i="40"/>
  <c r="D219" i="40" s="1"/>
  <c r="C217" i="40"/>
  <c r="C218" i="40" s="1"/>
  <c r="C219" i="40" s="1"/>
  <c r="C220" i="40" s="1"/>
  <c r="T216" i="40"/>
  <c r="T250" i="40" s="1"/>
  <c r="S216" i="40"/>
  <c r="S250" i="40" s="1"/>
  <c r="R216" i="40"/>
  <c r="R250" i="40" s="1"/>
  <c r="Q216" i="40"/>
  <c r="Q250" i="40" s="1"/>
  <c r="P216" i="40"/>
  <c r="P250" i="40" s="1"/>
  <c r="O216" i="40"/>
  <c r="O250" i="40" s="1"/>
  <c r="N216" i="40"/>
  <c r="N250" i="40" s="1"/>
  <c r="M216" i="40"/>
  <c r="M250" i="40" s="1"/>
  <c r="L216" i="40"/>
  <c r="L250" i="40" s="1"/>
  <c r="K216" i="40"/>
  <c r="K250" i="40" s="1"/>
  <c r="J216" i="40"/>
  <c r="J250" i="40" s="1"/>
  <c r="I216" i="40"/>
  <c r="I250" i="40" s="1"/>
  <c r="H216" i="40"/>
  <c r="H250" i="40" s="1"/>
  <c r="G216" i="40"/>
  <c r="G250" i="40" s="1"/>
  <c r="F216" i="40"/>
  <c r="F250" i="40" s="1"/>
  <c r="E216" i="40"/>
  <c r="E250" i="40" s="1"/>
  <c r="T215" i="40"/>
  <c r="T249" i="40" s="1"/>
  <c r="S215" i="40"/>
  <c r="S249" i="40" s="1"/>
  <c r="R215" i="40"/>
  <c r="R249" i="40" s="1"/>
  <c r="Q215" i="40"/>
  <c r="Q249" i="40" s="1"/>
  <c r="P215" i="40"/>
  <c r="P249" i="40" s="1"/>
  <c r="O215" i="40"/>
  <c r="O249" i="40" s="1"/>
  <c r="N215" i="40"/>
  <c r="N249" i="40" s="1"/>
  <c r="M215" i="40"/>
  <c r="M249" i="40" s="1"/>
  <c r="L215" i="40"/>
  <c r="L249" i="40" s="1"/>
  <c r="K215" i="40"/>
  <c r="K249" i="40" s="1"/>
  <c r="J215" i="40"/>
  <c r="J249" i="40" s="1"/>
  <c r="I215" i="40"/>
  <c r="I249" i="40" s="1"/>
  <c r="H215" i="40"/>
  <c r="H249" i="40" s="1"/>
  <c r="G215" i="40"/>
  <c r="G249" i="40" s="1"/>
  <c r="F215" i="40"/>
  <c r="F249" i="40" s="1"/>
  <c r="E215" i="40"/>
  <c r="E249" i="40" s="1"/>
  <c r="T214" i="40"/>
  <c r="T248" i="40" s="1"/>
  <c r="S214" i="40"/>
  <c r="S248" i="40" s="1"/>
  <c r="R214" i="40"/>
  <c r="R248" i="40" s="1"/>
  <c r="Q214" i="40"/>
  <c r="Q248" i="40" s="1"/>
  <c r="P214" i="40"/>
  <c r="P248" i="40" s="1"/>
  <c r="O214" i="40"/>
  <c r="O248" i="40" s="1"/>
  <c r="N214" i="40"/>
  <c r="N248" i="40" s="1"/>
  <c r="M214" i="40"/>
  <c r="M248" i="40" s="1"/>
  <c r="L214" i="40"/>
  <c r="L248" i="40" s="1"/>
  <c r="K214" i="40"/>
  <c r="K248" i="40" s="1"/>
  <c r="J214" i="40"/>
  <c r="J248" i="40" s="1"/>
  <c r="I214" i="40"/>
  <c r="I248" i="40" s="1"/>
  <c r="H214" i="40"/>
  <c r="H248" i="40" s="1"/>
  <c r="G214" i="40"/>
  <c r="G248" i="40" s="1"/>
  <c r="F214" i="40"/>
  <c r="F248" i="40" s="1"/>
  <c r="E214" i="40"/>
  <c r="E248" i="40" s="1"/>
  <c r="L35" i="43" l="1"/>
  <c r="L38" i="43" s="1"/>
  <c r="L39" i="43" s="1"/>
  <c r="O38" i="43"/>
  <c r="D218" i="40"/>
  <c r="D224" i="40" s="1"/>
  <c r="E294" i="40" a="1"/>
  <c r="F294" i="40" s="1"/>
  <c r="D220" i="40"/>
  <c r="D256" i="40"/>
  <c r="D262" i="40" s="1"/>
  <c r="C242" i="40"/>
  <c r="C243" i="40" s="1"/>
  <c r="C244" i="40" s="1"/>
  <c r="C245" i="40" s="1"/>
  <c r="C246" i="40" s="1"/>
  <c r="D221" i="40"/>
  <c r="D227" i="40" s="1"/>
  <c r="C264" i="40"/>
  <c r="C265" i="40" s="1"/>
  <c r="C266" i="40" s="1"/>
  <c r="C267" i="40" s="1"/>
  <c r="C268" i="40" s="1"/>
  <c r="D261" i="40"/>
  <c r="C252" i="40"/>
  <c r="C253" i="40" s="1"/>
  <c r="C254" i="40" s="1"/>
  <c r="D253" i="40"/>
  <c r="C258" i="40"/>
  <c r="C259" i="40" s="1"/>
  <c r="C260" i="40" s="1"/>
  <c r="C261" i="40" s="1"/>
  <c r="C262" i="40" s="1"/>
  <c r="D257" i="40"/>
  <c r="D260" i="40"/>
  <c r="C270" i="40"/>
  <c r="C271" i="40" s="1"/>
  <c r="C272" i="40" s="1"/>
  <c r="C273" i="40" s="1"/>
  <c r="C274" i="40" s="1"/>
  <c r="C221" i="40"/>
  <c r="D228" i="40"/>
  <c r="D225" i="40"/>
  <c r="D223" i="40"/>
  <c r="C224" i="40"/>
  <c r="C225" i="40" s="1"/>
  <c r="C226" i="40" s="1"/>
  <c r="C227" i="40" s="1"/>
  <c r="C228" i="40" s="1"/>
  <c r="D226" i="40"/>
  <c r="D129" i="43" l="1"/>
  <c r="J41" i="43" s="1"/>
  <c r="G294" i="40"/>
  <c r="H294" i="40"/>
  <c r="E294" i="40"/>
  <c r="I294" i="40"/>
  <c r="D258" i="40"/>
  <c r="C255" i="40"/>
  <c r="D263" i="40"/>
  <c r="D259" i="40"/>
  <c r="D267" i="40"/>
  <c r="D268" i="40"/>
  <c r="D266" i="40"/>
  <c r="D231" i="40"/>
  <c r="D232" i="40"/>
  <c r="D233" i="40"/>
  <c r="C222" i="40"/>
  <c r="D230" i="40"/>
  <c r="D234" i="40"/>
  <c r="D229" i="40"/>
  <c r="D273" i="40" l="1"/>
  <c r="D265" i="40"/>
  <c r="D269" i="40"/>
  <c r="D264" i="40"/>
  <c r="D272" i="40"/>
  <c r="D274" i="40"/>
  <c r="C256" i="40"/>
  <c r="D239" i="40"/>
  <c r="D235" i="40"/>
  <c r="D236" i="40"/>
  <c r="D238" i="40"/>
  <c r="D237" i="40"/>
  <c r="D240" i="40"/>
  <c r="D280" i="40" l="1"/>
  <c r="D278" i="40"/>
  <c r="D275" i="40"/>
  <c r="D270" i="40"/>
  <c r="D271" i="40"/>
  <c r="D279" i="40"/>
  <c r="D243" i="40"/>
  <c r="D246" i="40"/>
  <c r="D244" i="40"/>
  <c r="D241" i="40"/>
  <c r="D245" i="40"/>
  <c r="D242" i="40"/>
  <c r="D276" i="40" l="1"/>
  <c r="D277" i="40"/>
  <c r="K46" i="50" l="1"/>
  <c r="F74" i="14"/>
  <c r="Z52" i="14"/>
  <c r="Z42" i="14"/>
  <c r="Z43" i="14" s="1"/>
  <c r="Z44" i="14" s="1"/>
  <c r="K14" i="25"/>
  <c r="K13" i="25"/>
  <c r="K12" i="25"/>
  <c r="K11" i="25"/>
  <c r="K10" i="25"/>
  <c r="K9" i="25"/>
  <c r="K8" i="25"/>
  <c r="J58" i="45"/>
  <c r="I58" i="45"/>
  <c r="H58" i="45"/>
  <c r="G58" i="45"/>
  <c r="F58" i="45"/>
  <c r="E58" i="45"/>
  <c r="D58" i="45"/>
  <c r="J57" i="45"/>
  <c r="I57" i="45"/>
  <c r="H57" i="45"/>
  <c r="G57" i="45"/>
  <c r="F57" i="45"/>
  <c r="E57" i="45"/>
  <c r="D57" i="45"/>
  <c r="J56" i="45"/>
  <c r="I56" i="45"/>
  <c r="H56" i="45"/>
  <c r="G56" i="45"/>
  <c r="F56" i="45"/>
  <c r="E56" i="45"/>
  <c r="D56" i="45"/>
  <c r="J55" i="45"/>
  <c r="I55" i="45"/>
  <c r="H55" i="45"/>
  <c r="G55" i="45"/>
  <c r="F55" i="45"/>
  <c r="E55" i="45"/>
  <c r="D55" i="45"/>
  <c r="J54" i="45"/>
  <c r="I54" i="45"/>
  <c r="H54" i="45"/>
  <c r="G54" i="45"/>
  <c r="F54" i="45"/>
  <c r="E54" i="45"/>
  <c r="D54" i="45"/>
  <c r="K10" i="45"/>
  <c r="K13" i="44"/>
  <c r="K12" i="44"/>
  <c r="K11" i="44"/>
  <c r="K10" i="44"/>
  <c r="K9" i="44"/>
  <c r="K8" i="44"/>
  <c r="K74" i="50"/>
  <c r="K72" i="50"/>
  <c r="K71" i="50"/>
  <c r="K70" i="50"/>
  <c r="K69" i="50"/>
  <c r="K68" i="50"/>
  <c r="K67" i="50"/>
  <c r="K66" i="50"/>
  <c r="K65" i="50"/>
  <c r="K64" i="50"/>
  <c r="K63" i="50"/>
  <c r="K62" i="50"/>
  <c r="K58" i="50"/>
  <c r="K56" i="50"/>
  <c r="K55" i="50"/>
  <c r="K54" i="50"/>
  <c r="K53" i="50"/>
  <c r="K52" i="50"/>
  <c r="K51" i="50"/>
  <c r="K50" i="50"/>
  <c r="K49" i="50"/>
  <c r="K48" i="50"/>
  <c r="K47" i="50"/>
  <c r="H9" i="47" l="1"/>
  <c r="H8" i="47"/>
  <c r="F21" i="47" l="1"/>
  <c r="K11" i="40"/>
  <c r="K10" i="40"/>
  <c r="C22" i="25"/>
  <c r="L25" i="52"/>
  <c r="L19" i="52"/>
  <c r="P45" i="52"/>
  <c r="O65" i="52"/>
  <c r="O66" i="52"/>
  <c r="L29" i="52"/>
  <c r="L21" i="52"/>
  <c r="R78" i="52"/>
  <c r="E108" i="45" l="1"/>
  <c r="E70" i="44" l="1"/>
  <c r="L23" i="50"/>
  <c r="K13" i="52"/>
  <c r="K12" i="52"/>
  <c r="K11" i="52"/>
  <c r="K10" i="52"/>
  <c r="K8" i="52"/>
  <c r="K9" i="52"/>
  <c r="J108" i="50"/>
  <c r="C8" i="45" l="1"/>
  <c r="F34" i="52" l="1"/>
  <c r="F33" i="52"/>
  <c r="K16" i="14" l="1"/>
  <c r="K17" i="14"/>
  <c r="F143" i="14"/>
  <c r="K12" i="14"/>
  <c r="K13" i="14"/>
  <c r="K14" i="14"/>
  <c r="K15" i="14"/>
  <c r="E107" i="14"/>
  <c r="E110" i="14"/>
  <c r="F110" i="14"/>
  <c r="E111" i="14"/>
  <c r="F111" i="14"/>
  <c r="E112" i="14"/>
  <c r="F112" i="14"/>
  <c r="E113" i="14"/>
  <c r="F113" i="14"/>
  <c r="E129" i="14"/>
  <c r="F129" i="14"/>
  <c r="G129" i="14"/>
  <c r="H129" i="14"/>
  <c r="H8" i="55" l="1"/>
  <c r="C8" i="55"/>
  <c r="C12" i="55" s="1"/>
  <c r="C8" i="53"/>
  <c r="C12" i="53" s="1"/>
  <c r="C12" i="54"/>
  <c r="C8" i="54"/>
  <c r="H8" i="54"/>
  <c r="H8" i="53"/>
  <c r="G75" i="44" l="1"/>
  <c r="F75" i="44"/>
  <c r="E75" i="44"/>
  <c r="G74" i="44"/>
  <c r="F74" i="44"/>
  <c r="E74" i="44"/>
  <c r="G73" i="44"/>
  <c r="F73" i="44"/>
  <c r="E73" i="44"/>
  <c r="G72" i="44"/>
  <c r="F72" i="44"/>
  <c r="E72" i="44"/>
  <c r="G71" i="44"/>
  <c r="F71" i="44"/>
  <c r="E71" i="44"/>
  <c r="G70" i="44"/>
  <c r="F70" i="44"/>
  <c r="H82" i="44" l="1"/>
  <c r="O73" i="52" l="1"/>
  <c r="M117" i="52" s="1"/>
  <c r="O72" i="52"/>
  <c r="M116" i="52" s="1"/>
  <c r="M110" i="52"/>
  <c r="M109" i="52"/>
  <c r="O64" i="52"/>
  <c r="M108" i="52" s="1"/>
  <c r="O56" i="52"/>
  <c r="O55" i="52"/>
  <c r="M99" i="52" s="1"/>
  <c r="O54" i="52"/>
  <c r="M98" i="52" s="1"/>
  <c r="O49" i="52"/>
  <c r="M93" i="52" s="1"/>
  <c r="O48" i="52"/>
  <c r="M92" i="52" s="1"/>
  <c r="O47" i="52"/>
  <c r="M91" i="52" s="1"/>
  <c r="O46" i="52"/>
  <c r="M90" i="52" s="1"/>
  <c r="O45" i="52"/>
  <c r="M89" i="52" s="1"/>
  <c r="N73" i="52"/>
  <c r="O117" i="52" s="1"/>
  <c r="N72" i="52"/>
  <c r="O116" i="52" s="1"/>
  <c r="N67" i="52"/>
  <c r="O111" i="52" s="1"/>
  <c r="N66" i="52"/>
  <c r="O110" i="52" s="1"/>
  <c r="N65" i="52"/>
  <c r="O109" i="52" s="1"/>
  <c r="N64" i="52"/>
  <c r="O108" i="52" s="1"/>
  <c r="N59" i="52"/>
  <c r="O103" i="52" s="1"/>
  <c r="N58" i="52"/>
  <c r="O102" i="52" s="1"/>
  <c r="N57" i="52"/>
  <c r="N56" i="52"/>
  <c r="O100" i="52" s="1"/>
  <c r="N55" i="52"/>
  <c r="O99" i="52" s="1"/>
  <c r="N54" i="52"/>
  <c r="O98" i="52" s="1"/>
  <c r="N49" i="52"/>
  <c r="O93" i="52" s="1"/>
  <c r="N48" i="52"/>
  <c r="O92" i="52" s="1"/>
  <c r="N47" i="52"/>
  <c r="O91" i="52" s="1"/>
  <c r="N46" i="52"/>
  <c r="O90" i="52" s="1"/>
  <c r="N45" i="52"/>
  <c r="O89" i="52" s="1"/>
  <c r="O101" i="52" l="1"/>
  <c r="M100" i="52"/>
  <c r="O57" i="52"/>
  <c r="O58" i="52" s="1"/>
  <c r="O59" i="52" s="1"/>
  <c r="O67" i="52"/>
  <c r="M111" i="52" s="1"/>
  <c r="O78" i="52"/>
  <c r="N78" i="52"/>
  <c r="O122" i="52" s="1"/>
  <c r="T78" i="52"/>
  <c r="S78" i="52"/>
  <c r="P78" i="52" s="1"/>
  <c r="P73" i="52"/>
  <c r="P72" i="52"/>
  <c r="P66" i="52"/>
  <c r="P67" i="52" s="1"/>
  <c r="P65" i="52"/>
  <c r="P64" i="52"/>
  <c r="P56" i="52"/>
  <c r="P57" i="52" s="1"/>
  <c r="P58" i="52" s="1"/>
  <c r="P59" i="52" s="1"/>
  <c r="P55" i="52"/>
  <c r="P54" i="52"/>
  <c r="P49" i="52"/>
  <c r="P48" i="52"/>
  <c r="P47" i="52"/>
  <c r="P46" i="52"/>
  <c r="B9" i="52"/>
  <c r="B10" i="52" s="1"/>
  <c r="C8" i="52"/>
  <c r="C17" i="52" s="1"/>
  <c r="M101" i="52" l="1"/>
  <c r="B11" i="52"/>
  <c r="C10" i="52"/>
  <c r="C9" i="52"/>
  <c r="M103" i="52" l="1"/>
  <c r="M102" i="52"/>
  <c r="B12" i="52"/>
  <c r="C11" i="52"/>
  <c r="B13" i="52" l="1"/>
  <c r="C13" i="52" s="1"/>
  <c r="C12" i="52"/>
  <c r="T63" i="14" l="1"/>
  <c r="AB63" i="14"/>
  <c r="T58" i="14"/>
  <c r="AB58" i="14"/>
  <c r="T57" i="14"/>
  <c r="AB57" i="14"/>
  <c r="T52" i="14"/>
  <c r="AB52" i="14"/>
  <c r="T51" i="14"/>
  <c r="AB51" i="14"/>
  <c r="T50" i="14"/>
  <c r="AB50" i="14"/>
  <c r="T49" i="14"/>
  <c r="AB49" i="14"/>
  <c r="T44" i="14"/>
  <c r="AB44" i="14"/>
  <c r="T43" i="14"/>
  <c r="AB43" i="14"/>
  <c r="T42" i="14"/>
  <c r="AB42" i="14"/>
  <c r="T41" i="14"/>
  <c r="AB41" i="14"/>
  <c r="T40" i="14"/>
  <c r="AB40" i="14"/>
  <c r="T39" i="14"/>
  <c r="AB39" i="14"/>
  <c r="T34" i="14"/>
  <c r="AB34" i="14"/>
  <c r="T33" i="14"/>
  <c r="AB33" i="14"/>
  <c r="T32" i="14"/>
  <c r="AB32" i="14"/>
  <c r="T31" i="14"/>
  <c r="AB31" i="14"/>
  <c r="T30" i="14"/>
  <c r="AB30" i="14"/>
  <c r="R27" i="14"/>
  <c r="R26" i="14"/>
  <c r="O127" i="44"/>
  <c r="O125" i="44"/>
  <c r="O124" i="44"/>
  <c r="O123" i="44"/>
  <c r="O122" i="44"/>
  <c r="O121" i="44"/>
  <c r="O120" i="44"/>
  <c r="O119" i="44"/>
  <c r="O118" i="44"/>
  <c r="O117" i="44"/>
  <c r="O116" i="44"/>
  <c r="O115" i="44"/>
  <c r="N127" i="44"/>
  <c r="N125" i="44"/>
  <c r="N124" i="44"/>
  <c r="N123" i="44"/>
  <c r="N122" i="44"/>
  <c r="N121" i="44"/>
  <c r="N120" i="44"/>
  <c r="N119" i="44"/>
  <c r="N118" i="44"/>
  <c r="N117" i="44"/>
  <c r="N116" i="44"/>
  <c r="N115" i="44"/>
  <c r="M127" i="44"/>
  <c r="M125" i="44"/>
  <c r="M124" i="44"/>
  <c r="M123" i="44"/>
  <c r="M122" i="44"/>
  <c r="M121" i="44"/>
  <c r="M120" i="44"/>
  <c r="M119" i="44"/>
  <c r="M118" i="44"/>
  <c r="M117" i="44"/>
  <c r="M116" i="44"/>
  <c r="M115" i="44"/>
  <c r="L127" i="44"/>
  <c r="L125" i="44"/>
  <c r="L124" i="44"/>
  <c r="L123" i="44"/>
  <c r="L122" i="44"/>
  <c r="L121" i="44"/>
  <c r="L120" i="44"/>
  <c r="L119" i="44"/>
  <c r="L118" i="44"/>
  <c r="L117" i="44"/>
  <c r="L116" i="44"/>
  <c r="L115" i="44"/>
  <c r="K127" i="44"/>
  <c r="K125" i="44"/>
  <c r="K124" i="44"/>
  <c r="K123" i="44"/>
  <c r="K122" i="44"/>
  <c r="K121" i="44"/>
  <c r="K120" i="44"/>
  <c r="K119" i="44"/>
  <c r="K118" i="44"/>
  <c r="K117" i="44"/>
  <c r="K116" i="44"/>
  <c r="K115" i="44"/>
  <c r="J127" i="44"/>
  <c r="J125" i="44"/>
  <c r="J124" i="44"/>
  <c r="J123" i="44"/>
  <c r="J122" i="44"/>
  <c r="J121" i="44"/>
  <c r="J120" i="44"/>
  <c r="J119" i="44"/>
  <c r="J118" i="44"/>
  <c r="J117" i="44"/>
  <c r="J116" i="44"/>
  <c r="J115" i="44"/>
  <c r="I127" i="44"/>
  <c r="I125" i="44"/>
  <c r="I124" i="44"/>
  <c r="I123" i="44"/>
  <c r="I122" i="44"/>
  <c r="I121" i="44"/>
  <c r="I120" i="44"/>
  <c r="I119" i="44"/>
  <c r="I118" i="44"/>
  <c r="I117" i="44"/>
  <c r="I116" i="44"/>
  <c r="I115" i="44"/>
  <c r="H127" i="44"/>
  <c r="H125" i="44"/>
  <c r="H124" i="44"/>
  <c r="H123" i="44"/>
  <c r="H122" i="44"/>
  <c r="H121" i="44"/>
  <c r="H120" i="44"/>
  <c r="H119" i="44"/>
  <c r="H118" i="44"/>
  <c r="H117" i="44"/>
  <c r="H116" i="44"/>
  <c r="H115" i="44"/>
  <c r="G127" i="44"/>
  <c r="G125" i="44"/>
  <c r="G124" i="44"/>
  <c r="G123" i="44"/>
  <c r="G122" i="44"/>
  <c r="G121" i="44"/>
  <c r="G120" i="44"/>
  <c r="G119" i="44"/>
  <c r="G118" i="44"/>
  <c r="G117" i="44"/>
  <c r="G116" i="44"/>
  <c r="G115" i="44"/>
  <c r="F127" i="44"/>
  <c r="F125" i="44"/>
  <c r="F124" i="44"/>
  <c r="F123" i="44"/>
  <c r="F122" i="44"/>
  <c r="F121" i="44"/>
  <c r="F120" i="44"/>
  <c r="F119" i="44"/>
  <c r="F118" i="44"/>
  <c r="F117" i="44"/>
  <c r="F116" i="44"/>
  <c r="F115" i="44"/>
  <c r="E127" i="44"/>
  <c r="E125" i="44"/>
  <c r="E124" i="44"/>
  <c r="E123" i="44"/>
  <c r="E122" i="44"/>
  <c r="E121" i="44"/>
  <c r="E120" i="44"/>
  <c r="E119" i="44"/>
  <c r="E118" i="44"/>
  <c r="E117" i="44"/>
  <c r="E116" i="44"/>
  <c r="E115" i="44"/>
  <c r="K40" i="50"/>
  <c r="K39" i="50"/>
  <c r="K38" i="50"/>
  <c r="K37" i="50"/>
  <c r="K36" i="50"/>
  <c r="K35" i="50"/>
  <c r="K34" i="50"/>
  <c r="K33" i="50"/>
  <c r="K32" i="50"/>
  <c r="K31" i="50"/>
  <c r="K30" i="50"/>
  <c r="C8" i="43"/>
  <c r="B9" i="43"/>
  <c r="G106" i="40"/>
  <c r="F106" i="40"/>
  <c r="H106" i="40"/>
  <c r="I106" i="40"/>
  <c r="J106" i="40"/>
  <c r="K106" i="40"/>
  <c r="L106" i="40"/>
  <c r="M106" i="40"/>
  <c r="N106" i="40"/>
  <c r="O106" i="40"/>
  <c r="P106" i="40"/>
  <c r="Q106" i="40"/>
  <c r="R106" i="40"/>
  <c r="S106" i="40"/>
  <c r="T106" i="40"/>
  <c r="U106" i="40"/>
  <c r="F107" i="40"/>
  <c r="G107" i="40"/>
  <c r="H107" i="40"/>
  <c r="I107" i="40"/>
  <c r="J107" i="40"/>
  <c r="K107" i="40"/>
  <c r="L107" i="40"/>
  <c r="M107" i="40"/>
  <c r="N107" i="40"/>
  <c r="O107" i="40"/>
  <c r="P107" i="40"/>
  <c r="Q107" i="40"/>
  <c r="R107" i="40"/>
  <c r="S107" i="40"/>
  <c r="T107" i="40"/>
  <c r="U107" i="40"/>
  <c r="F108" i="40"/>
  <c r="G108" i="40"/>
  <c r="H108" i="40"/>
  <c r="I108" i="40"/>
  <c r="J108" i="40"/>
  <c r="K108" i="40"/>
  <c r="L108" i="40"/>
  <c r="M108" i="40"/>
  <c r="N108" i="40"/>
  <c r="O108" i="40"/>
  <c r="P108" i="40"/>
  <c r="Q108" i="40"/>
  <c r="R108" i="40"/>
  <c r="S108" i="40"/>
  <c r="T108" i="40"/>
  <c r="U108" i="40"/>
  <c r="F109" i="40"/>
  <c r="G109" i="40"/>
  <c r="H109" i="40"/>
  <c r="I109" i="40"/>
  <c r="J109" i="40"/>
  <c r="K109" i="40"/>
  <c r="L109" i="40"/>
  <c r="M109" i="40"/>
  <c r="N109" i="40"/>
  <c r="O109" i="40"/>
  <c r="P109" i="40"/>
  <c r="Q109" i="40"/>
  <c r="R109" i="40"/>
  <c r="S109" i="40"/>
  <c r="T109" i="40"/>
  <c r="U109" i="40"/>
  <c r="F111" i="40"/>
  <c r="G111" i="40"/>
  <c r="H111" i="40"/>
  <c r="I111" i="40"/>
  <c r="J111" i="40"/>
  <c r="K111" i="40"/>
  <c r="L111" i="40"/>
  <c r="M111" i="40"/>
  <c r="N111" i="40"/>
  <c r="O111" i="40"/>
  <c r="P111" i="40"/>
  <c r="Q111" i="40"/>
  <c r="R111" i="40"/>
  <c r="S111" i="40"/>
  <c r="T111" i="40"/>
  <c r="U111" i="40"/>
  <c r="F112" i="40"/>
  <c r="G112" i="40"/>
  <c r="H112" i="40"/>
  <c r="I112" i="40"/>
  <c r="J112" i="40"/>
  <c r="K112" i="40"/>
  <c r="L112" i="40"/>
  <c r="M112" i="40"/>
  <c r="N112" i="40"/>
  <c r="O112" i="40"/>
  <c r="P112" i="40"/>
  <c r="Q112" i="40"/>
  <c r="R112" i="40"/>
  <c r="S112" i="40"/>
  <c r="T112" i="40"/>
  <c r="U112" i="40"/>
  <c r="F113" i="40"/>
  <c r="G113" i="40"/>
  <c r="H113" i="40"/>
  <c r="I113" i="40"/>
  <c r="J113" i="40"/>
  <c r="K113" i="40"/>
  <c r="L113" i="40"/>
  <c r="M113" i="40"/>
  <c r="N113" i="40"/>
  <c r="O113" i="40"/>
  <c r="P113" i="40"/>
  <c r="Q113" i="40"/>
  <c r="R113" i="40"/>
  <c r="S113" i="40"/>
  <c r="T113" i="40"/>
  <c r="U113" i="40"/>
  <c r="F114" i="40"/>
  <c r="G114" i="40"/>
  <c r="H114" i="40"/>
  <c r="I114" i="40"/>
  <c r="J114" i="40"/>
  <c r="K114" i="40"/>
  <c r="L114" i="40"/>
  <c r="M114" i="40"/>
  <c r="N114" i="40"/>
  <c r="O114" i="40"/>
  <c r="P114" i="40"/>
  <c r="Q114" i="40"/>
  <c r="R114" i="40"/>
  <c r="S114" i="40"/>
  <c r="T114" i="40"/>
  <c r="U114" i="40"/>
  <c r="F116" i="40"/>
  <c r="G116" i="40"/>
  <c r="H116" i="40"/>
  <c r="I116" i="40"/>
  <c r="J116" i="40"/>
  <c r="K116" i="40"/>
  <c r="L116" i="40"/>
  <c r="M116" i="40"/>
  <c r="N116" i="40"/>
  <c r="O116" i="40"/>
  <c r="P116" i="40"/>
  <c r="Q116" i="40"/>
  <c r="R116" i="40"/>
  <c r="S116" i="40"/>
  <c r="T116" i="40"/>
  <c r="U116" i="40"/>
  <c r="F117" i="40"/>
  <c r="G117" i="40"/>
  <c r="H117" i="40"/>
  <c r="I117" i="40"/>
  <c r="J117" i="40"/>
  <c r="K117" i="40"/>
  <c r="L117" i="40"/>
  <c r="M117" i="40"/>
  <c r="N117" i="40"/>
  <c r="O117" i="40"/>
  <c r="P117" i="40"/>
  <c r="Q117" i="40"/>
  <c r="R117" i="40"/>
  <c r="S117" i="40"/>
  <c r="T117" i="40"/>
  <c r="U117" i="40"/>
  <c r="F118" i="40"/>
  <c r="G118" i="40"/>
  <c r="H118" i="40"/>
  <c r="I118" i="40"/>
  <c r="J118" i="40"/>
  <c r="K118" i="40"/>
  <c r="L118" i="40"/>
  <c r="M118" i="40"/>
  <c r="N118" i="40"/>
  <c r="O118" i="40"/>
  <c r="P118" i="40"/>
  <c r="Q118" i="40"/>
  <c r="R118" i="40"/>
  <c r="S118" i="40"/>
  <c r="T118" i="40"/>
  <c r="U118" i="40"/>
  <c r="F119" i="40"/>
  <c r="G119" i="40"/>
  <c r="H119" i="40"/>
  <c r="I119" i="40"/>
  <c r="J119" i="40"/>
  <c r="K119" i="40"/>
  <c r="L119" i="40"/>
  <c r="M119" i="40"/>
  <c r="N119" i="40"/>
  <c r="O119" i="40"/>
  <c r="P119" i="40"/>
  <c r="Q119" i="40"/>
  <c r="R119" i="40"/>
  <c r="S119" i="40"/>
  <c r="T119" i="40"/>
  <c r="U119" i="40"/>
  <c r="F121" i="40"/>
  <c r="G121" i="40"/>
  <c r="H121" i="40"/>
  <c r="I121" i="40"/>
  <c r="J121" i="40"/>
  <c r="K121" i="40"/>
  <c r="L121" i="40"/>
  <c r="M121" i="40"/>
  <c r="N121" i="40"/>
  <c r="O121" i="40"/>
  <c r="P121" i="40"/>
  <c r="Q121" i="40"/>
  <c r="R121" i="40"/>
  <c r="S121" i="40"/>
  <c r="T121" i="40"/>
  <c r="U121" i="40"/>
  <c r="F122" i="40"/>
  <c r="G122" i="40"/>
  <c r="H122" i="40"/>
  <c r="I122" i="40"/>
  <c r="J122" i="40"/>
  <c r="K122" i="40"/>
  <c r="L122" i="40"/>
  <c r="M122" i="40"/>
  <c r="N122" i="40"/>
  <c r="O122" i="40"/>
  <c r="P122" i="40"/>
  <c r="Q122" i="40"/>
  <c r="R122" i="40"/>
  <c r="S122" i="40"/>
  <c r="T122" i="40"/>
  <c r="U122" i="40"/>
  <c r="F123" i="40"/>
  <c r="G123" i="40"/>
  <c r="H123" i="40"/>
  <c r="I123" i="40"/>
  <c r="J123" i="40"/>
  <c r="K123" i="40"/>
  <c r="L123" i="40"/>
  <c r="M123" i="40"/>
  <c r="N123" i="40"/>
  <c r="O123" i="40"/>
  <c r="P123" i="40"/>
  <c r="Q123" i="40"/>
  <c r="R123" i="40"/>
  <c r="S123" i="40"/>
  <c r="T123" i="40"/>
  <c r="U123" i="40"/>
  <c r="F124" i="40"/>
  <c r="G124" i="40"/>
  <c r="H124" i="40"/>
  <c r="I124" i="40"/>
  <c r="J124" i="40"/>
  <c r="K124" i="40"/>
  <c r="L124" i="40"/>
  <c r="M124" i="40"/>
  <c r="N124" i="40"/>
  <c r="O124" i="40"/>
  <c r="P124" i="40"/>
  <c r="Q124" i="40"/>
  <c r="R124" i="40"/>
  <c r="S124" i="40"/>
  <c r="T124" i="40"/>
  <c r="U124" i="40"/>
  <c r="F126" i="40"/>
  <c r="G126" i="40"/>
  <c r="H126" i="40"/>
  <c r="I126" i="40"/>
  <c r="J126" i="40"/>
  <c r="K126" i="40"/>
  <c r="L126" i="40"/>
  <c r="M126" i="40"/>
  <c r="N126" i="40"/>
  <c r="O126" i="40"/>
  <c r="P126" i="40"/>
  <c r="Q126" i="40"/>
  <c r="R126" i="40"/>
  <c r="S126" i="40"/>
  <c r="T126" i="40"/>
  <c r="U126" i="40"/>
  <c r="F127" i="40"/>
  <c r="G127" i="40"/>
  <c r="H127" i="40"/>
  <c r="I127" i="40"/>
  <c r="J127" i="40"/>
  <c r="K127" i="40"/>
  <c r="L127" i="40"/>
  <c r="M127" i="40"/>
  <c r="N127" i="40"/>
  <c r="O127" i="40"/>
  <c r="P127" i="40"/>
  <c r="Q127" i="40"/>
  <c r="R127" i="40"/>
  <c r="S127" i="40"/>
  <c r="T127" i="40"/>
  <c r="U127" i="40"/>
  <c r="F128" i="40"/>
  <c r="G128" i="40"/>
  <c r="H128" i="40"/>
  <c r="I128" i="40"/>
  <c r="J128" i="40"/>
  <c r="K128" i="40"/>
  <c r="L128" i="40"/>
  <c r="M128" i="40"/>
  <c r="N128" i="40"/>
  <c r="O128" i="40"/>
  <c r="P128" i="40"/>
  <c r="Q128" i="40"/>
  <c r="R128" i="40"/>
  <c r="S128" i="40"/>
  <c r="T128" i="40"/>
  <c r="U128" i="40"/>
  <c r="F129" i="40"/>
  <c r="G129" i="40"/>
  <c r="H129" i="40"/>
  <c r="I129" i="40"/>
  <c r="J129" i="40"/>
  <c r="K129" i="40"/>
  <c r="L129" i="40"/>
  <c r="M129" i="40"/>
  <c r="N129" i="40"/>
  <c r="O129" i="40"/>
  <c r="P129" i="40"/>
  <c r="Q129" i="40"/>
  <c r="R129" i="40"/>
  <c r="S129" i="40"/>
  <c r="T129" i="40"/>
  <c r="U129" i="40"/>
  <c r="F132" i="40"/>
  <c r="G132" i="40"/>
  <c r="H132" i="40"/>
  <c r="I132" i="40"/>
  <c r="J132" i="40"/>
  <c r="K132" i="40"/>
  <c r="L132" i="40"/>
  <c r="M132" i="40"/>
  <c r="N132" i="40"/>
  <c r="O132" i="40"/>
  <c r="P132" i="40"/>
  <c r="Q132" i="40"/>
  <c r="R132" i="40"/>
  <c r="S132" i="40"/>
  <c r="T132" i="40"/>
  <c r="U132" i="40"/>
  <c r="F133" i="40"/>
  <c r="G133" i="40"/>
  <c r="H133" i="40"/>
  <c r="I133" i="40"/>
  <c r="J133" i="40"/>
  <c r="K133" i="40"/>
  <c r="L133" i="40"/>
  <c r="M133" i="40"/>
  <c r="N133" i="40"/>
  <c r="O133" i="40"/>
  <c r="P133" i="40"/>
  <c r="Q133" i="40"/>
  <c r="R133" i="40"/>
  <c r="S133" i="40"/>
  <c r="T133" i="40"/>
  <c r="U133" i="40"/>
  <c r="F134" i="40"/>
  <c r="G134" i="40"/>
  <c r="H134" i="40"/>
  <c r="I134" i="40"/>
  <c r="J134" i="40"/>
  <c r="K134" i="40"/>
  <c r="L134" i="40"/>
  <c r="M134" i="40"/>
  <c r="N134" i="40"/>
  <c r="O134" i="40"/>
  <c r="P134" i="40"/>
  <c r="Q134" i="40"/>
  <c r="R134" i="40"/>
  <c r="S134" i="40"/>
  <c r="T134" i="40"/>
  <c r="U134" i="40"/>
  <c r="F135" i="40"/>
  <c r="G135" i="40"/>
  <c r="H135" i="40"/>
  <c r="I135" i="40"/>
  <c r="J135" i="40"/>
  <c r="K135" i="40"/>
  <c r="L135" i="40"/>
  <c r="M135" i="40"/>
  <c r="N135" i="40"/>
  <c r="O135" i="40"/>
  <c r="P135" i="40"/>
  <c r="Q135" i="40"/>
  <c r="R135" i="40"/>
  <c r="S135" i="40"/>
  <c r="T135" i="40"/>
  <c r="U135" i="40"/>
  <c r="F137" i="40"/>
  <c r="G137" i="40"/>
  <c r="H137" i="40"/>
  <c r="I137" i="40"/>
  <c r="J137" i="40"/>
  <c r="K137" i="40"/>
  <c r="L137" i="40"/>
  <c r="M137" i="40"/>
  <c r="N137" i="40"/>
  <c r="O137" i="40"/>
  <c r="P137" i="40"/>
  <c r="Q137" i="40"/>
  <c r="R137" i="40"/>
  <c r="S137" i="40"/>
  <c r="T137" i="40"/>
  <c r="U137" i="40"/>
  <c r="F138" i="40"/>
  <c r="G138" i="40"/>
  <c r="H138" i="40"/>
  <c r="I138" i="40"/>
  <c r="J138" i="40"/>
  <c r="K138" i="40"/>
  <c r="L138" i="40"/>
  <c r="M138" i="40"/>
  <c r="N138" i="40"/>
  <c r="O138" i="40"/>
  <c r="P138" i="40"/>
  <c r="Q138" i="40"/>
  <c r="R138" i="40"/>
  <c r="S138" i="40"/>
  <c r="T138" i="40"/>
  <c r="U138" i="40"/>
  <c r="F139" i="40"/>
  <c r="G139" i="40"/>
  <c r="H139" i="40"/>
  <c r="I139" i="40"/>
  <c r="J139" i="40"/>
  <c r="K139" i="40"/>
  <c r="L139" i="40"/>
  <c r="M139" i="40"/>
  <c r="N139" i="40"/>
  <c r="O139" i="40"/>
  <c r="P139" i="40"/>
  <c r="Q139" i="40"/>
  <c r="R139" i="40"/>
  <c r="S139" i="40"/>
  <c r="T139" i="40"/>
  <c r="U139" i="40"/>
  <c r="F140" i="40"/>
  <c r="G140" i="40"/>
  <c r="H140" i="40"/>
  <c r="I140" i="40"/>
  <c r="J140" i="40"/>
  <c r="K140" i="40"/>
  <c r="L140" i="40"/>
  <c r="M140" i="40"/>
  <c r="N140" i="40"/>
  <c r="O140" i="40"/>
  <c r="P140" i="40"/>
  <c r="Q140" i="40"/>
  <c r="R140" i="40"/>
  <c r="S140" i="40"/>
  <c r="T140" i="40"/>
  <c r="U140" i="40"/>
  <c r="F142" i="40"/>
  <c r="G142" i="40"/>
  <c r="H142" i="40"/>
  <c r="I142" i="40"/>
  <c r="J142" i="40"/>
  <c r="K142" i="40"/>
  <c r="L142" i="40"/>
  <c r="M142" i="40"/>
  <c r="N142" i="40"/>
  <c r="O142" i="40"/>
  <c r="P142" i="40"/>
  <c r="Q142" i="40"/>
  <c r="R142" i="40"/>
  <c r="S142" i="40"/>
  <c r="T142" i="40"/>
  <c r="U142" i="40"/>
  <c r="F143" i="40"/>
  <c r="G143" i="40"/>
  <c r="H143" i="40"/>
  <c r="I143" i="40"/>
  <c r="J143" i="40"/>
  <c r="K143" i="40"/>
  <c r="L143" i="40"/>
  <c r="M143" i="40"/>
  <c r="N143" i="40"/>
  <c r="O143" i="40"/>
  <c r="P143" i="40"/>
  <c r="Q143" i="40"/>
  <c r="R143" i="40"/>
  <c r="S143" i="40"/>
  <c r="T143" i="40"/>
  <c r="U143" i="40"/>
  <c r="F144" i="40"/>
  <c r="G144" i="40"/>
  <c r="H144" i="40"/>
  <c r="I144" i="40"/>
  <c r="J144" i="40"/>
  <c r="K144" i="40"/>
  <c r="L144" i="40"/>
  <c r="M144" i="40"/>
  <c r="N144" i="40"/>
  <c r="O144" i="40"/>
  <c r="P144" i="40"/>
  <c r="Q144" i="40"/>
  <c r="R144" i="40"/>
  <c r="S144" i="40"/>
  <c r="T144" i="40"/>
  <c r="U144" i="40"/>
  <c r="F145" i="40"/>
  <c r="G145" i="40"/>
  <c r="H145" i="40"/>
  <c r="I145" i="40"/>
  <c r="J145" i="40"/>
  <c r="K145" i="40"/>
  <c r="L145" i="40"/>
  <c r="M145" i="40"/>
  <c r="N145" i="40"/>
  <c r="O145" i="40"/>
  <c r="P145" i="40"/>
  <c r="Q145" i="40"/>
  <c r="R145" i="40"/>
  <c r="S145" i="40"/>
  <c r="T145" i="40"/>
  <c r="U145" i="40"/>
  <c r="F148" i="40"/>
  <c r="G148" i="40"/>
  <c r="H148" i="40"/>
  <c r="I148" i="40"/>
  <c r="J148" i="40"/>
  <c r="K148" i="40"/>
  <c r="L148" i="40"/>
  <c r="M148" i="40"/>
  <c r="N148" i="40"/>
  <c r="O148" i="40"/>
  <c r="P148" i="40"/>
  <c r="Q148" i="40"/>
  <c r="R148" i="40"/>
  <c r="S148" i="40"/>
  <c r="T148" i="40"/>
  <c r="U148" i="40"/>
  <c r="F149" i="40"/>
  <c r="G149" i="40"/>
  <c r="H149" i="40"/>
  <c r="I149" i="40"/>
  <c r="J149" i="40"/>
  <c r="K149" i="40"/>
  <c r="L149" i="40"/>
  <c r="M149" i="40"/>
  <c r="N149" i="40"/>
  <c r="O149" i="40"/>
  <c r="P149" i="40"/>
  <c r="Q149" i="40"/>
  <c r="R149" i="40"/>
  <c r="S149" i="40"/>
  <c r="T149" i="40"/>
  <c r="U149" i="40"/>
  <c r="F150" i="40"/>
  <c r="G150" i="40"/>
  <c r="H150" i="40"/>
  <c r="I150" i="40"/>
  <c r="J150" i="40"/>
  <c r="K150" i="40"/>
  <c r="L150" i="40"/>
  <c r="M150" i="40"/>
  <c r="N150" i="40"/>
  <c r="O150" i="40"/>
  <c r="P150" i="40"/>
  <c r="Q150" i="40"/>
  <c r="R150" i="40"/>
  <c r="S150" i="40"/>
  <c r="T150" i="40"/>
  <c r="U150" i="40"/>
  <c r="F151" i="40"/>
  <c r="G151" i="40"/>
  <c r="H151" i="40"/>
  <c r="I151" i="40"/>
  <c r="J151" i="40"/>
  <c r="K151" i="40"/>
  <c r="L151" i="40"/>
  <c r="M151" i="40"/>
  <c r="N151" i="40"/>
  <c r="O151" i="40"/>
  <c r="P151" i="40"/>
  <c r="Q151" i="40"/>
  <c r="R151" i="40"/>
  <c r="S151" i="40"/>
  <c r="T151" i="40"/>
  <c r="U151" i="40"/>
  <c r="F153" i="40"/>
  <c r="G153" i="40"/>
  <c r="H153" i="40"/>
  <c r="I153" i="40"/>
  <c r="J153" i="40"/>
  <c r="K153" i="40"/>
  <c r="L153" i="40"/>
  <c r="M153" i="40"/>
  <c r="N153" i="40"/>
  <c r="O153" i="40"/>
  <c r="P153" i="40"/>
  <c r="Q153" i="40"/>
  <c r="R153" i="40"/>
  <c r="S153" i="40"/>
  <c r="T153" i="40"/>
  <c r="U153" i="40"/>
  <c r="F154" i="40"/>
  <c r="G154" i="40"/>
  <c r="H154" i="40"/>
  <c r="I154" i="40"/>
  <c r="J154" i="40"/>
  <c r="K154" i="40"/>
  <c r="L154" i="40"/>
  <c r="M154" i="40"/>
  <c r="N154" i="40"/>
  <c r="O154" i="40"/>
  <c r="P154" i="40"/>
  <c r="Q154" i="40"/>
  <c r="R154" i="40"/>
  <c r="S154" i="40"/>
  <c r="T154" i="40"/>
  <c r="U154" i="40"/>
  <c r="F155" i="40"/>
  <c r="G155" i="40"/>
  <c r="H155" i="40"/>
  <c r="I155" i="40"/>
  <c r="J155" i="40"/>
  <c r="K155" i="40"/>
  <c r="L155" i="40"/>
  <c r="M155" i="40"/>
  <c r="N155" i="40"/>
  <c r="O155" i="40"/>
  <c r="P155" i="40"/>
  <c r="Q155" i="40"/>
  <c r="R155" i="40"/>
  <c r="S155" i="40"/>
  <c r="T155" i="40"/>
  <c r="U155" i="40"/>
  <c r="F156" i="40"/>
  <c r="G156" i="40"/>
  <c r="H156" i="40"/>
  <c r="I156" i="40"/>
  <c r="J156" i="40"/>
  <c r="K156" i="40"/>
  <c r="L156" i="40"/>
  <c r="M156" i="40"/>
  <c r="N156" i="40"/>
  <c r="O156" i="40"/>
  <c r="P156" i="40"/>
  <c r="Q156" i="40"/>
  <c r="R156" i="40"/>
  <c r="S156" i="40"/>
  <c r="T156" i="40"/>
  <c r="U156" i="40"/>
  <c r="F158" i="40"/>
  <c r="G158" i="40"/>
  <c r="H158" i="40"/>
  <c r="I158" i="40"/>
  <c r="J158" i="40"/>
  <c r="K158" i="40"/>
  <c r="L158" i="40"/>
  <c r="M158" i="40"/>
  <c r="N158" i="40"/>
  <c r="O158" i="40"/>
  <c r="P158" i="40"/>
  <c r="Q158" i="40"/>
  <c r="R158" i="40"/>
  <c r="S158" i="40"/>
  <c r="T158" i="40"/>
  <c r="U158" i="40"/>
  <c r="F159" i="40"/>
  <c r="G159" i="40"/>
  <c r="H159" i="40"/>
  <c r="I159" i="40"/>
  <c r="J159" i="40"/>
  <c r="K159" i="40"/>
  <c r="L159" i="40"/>
  <c r="M159" i="40"/>
  <c r="N159" i="40"/>
  <c r="O159" i="40"/>
  <c r="P159" i="40"/>
  <c r="Q159" i="40"/>
  <c r="R159" i="40"/>
  <c r="S159" i="40"/>
  <c r="T159" i="40"/>
  <c r="U159" i="40"/>
  <c r="F160" i="40"/>
  <c r="G160" i="40"/>
  <c r="H160" i="40"/>
  <c r="I160" i="40"/>
  <c r="J160" i="40"/>
  <c r="K160" i="40"/>
  <c r="L160" i="40"/>
  <c r="M160" i="40"/>
  <c r="N160" i="40"/>
  <c r="O160" i="40"/>
  <c r="P160" i="40"/>
  <c r="Q160" i="40"/>
  <c r="R160" i="40"/>
  <c r="S160" i="40"/>
  <c r="T160" i="40"/>
  <c r="U160" i="40"/>
  <c r="F161" i="40"/>
  <c r="G161" i="40"/>
  <c r="H161" i="40"/>
  <c r="I161" i="40"/>
  <c r="J161" i="40"/>
  <c r="K161" i="40"/>
  <c r="L161" i="40"/>
  <c r="M161" i="40"/>
  <c r="N161" i="40"/>
  <c r="O161" i="40"/>
  <c r="P161" i="40"/>
  <c r="Q161" i="40"/>
  <c r="R161" i="40"/>
  <c r="S161" i="40"/>
  <c r="T161" i="40"/>
  <c r="U161" i="40"/>
  <c r="F164" i="40"/>
  <c r="G164" i="40"/>
  <c r="H164" i="40"/>
  <c r="I164" i="40"/>
  <c r="J164" i="40"/>
  <c r="K164" i="40"/>
  <c r="L164" i="40"/>
  <c r="M164" i="40"/>
  <c r="N164" i="40"/>
  <c r="O164" i="40"/>
  <c r="P164" i="40"/>
  <c r="Q164" i="40"/>
  <c r="R164" i="40"/>
  <c r="S164" i="40"/>
  <c r="T164" i="40"/>
  <c r="U164" i="40"/>
  <c r="F165" i="40"/>
  <c r="G165" i="40"/>
  <c r="H165" i="40"/>
  <c r="I165" i="40"/>
  <c r="J165" i="40"/>
  <c r="K165" i="40"/>
  <c r="L165" i="40"/>
  <c r="M165" i="40"/>
  <c r="N165" i="40"/>
  <c r="O165" i="40"/>
  <c r="P165" i="40"/>
  <c r="Q165" i="40"/>
  <c r="R165" i="40"/>
  <c r="S165" i="40"/>
  <c r="T165" i="40"/>
  <c r="U165" i="40"/>
  <c r="F166" i="40"/>
  <c r="G166" i="40"/>
  <c r="H166" i="40"/>
  <c r="I166" i="40"/>
  <c r="J166" i="40"/>
  <c r="K166" i="40"/>
  <c r="L166" i="40"/>
  <c r="M166" i="40"/>
  <c r="N166" i="40"/>
  <c r="O166" i="40"/>
  <c r="P166" i="40"/>
  <c r="Q166" i="40"/>
  <c r="R166" i="40"/>
  <c r="S166" i="40"/>
  <c r="T166" i="40"/>
  <c r="U166" i="40"/>
  <c r="F167" i="40"/>
  <c r="G167" i="40"/>
  <c r="H167" i="40"/>
  <c r="I167" i="40"/>
  <c r="J167" i="40"/>
  <c r="K167" i="40"/>
  <c r="L167" i="40"/>
  <c r="M167" i="40"/>
  <c r="N167" i="40"/>
  <c r="O167" i="40"/>
  <c r="P167" i="40"/>
  <c r="Q167" i="40"/>
  <c r="R167" i="40"/>
  <c r="S167" i="40"/>
  <c r="T167" i="40"/>
  <c r="U167" i="40"/>
  <c r="F169" i="40"/>
  <c r="G169" i="40"/>
  <c r="H169" i="40"/>
  <c r="I169" i="40"/>
  <c r="J169" i="40"/>
  <c r="K169" i="40"/>
  <c r="L169" i="40"/>
  <c r="M169" i="40"/>
  <c r="N169" i="40"/>
  <c r="O169" i="40"/>
  <c r="P169" i="40"/>
  <c r="Q169" i="40"/>
  <c r="R169" i="40"/>
  <c r="S169" i="40"/>
  <c r="T169" i="40"/>
  <c r="U169" i="40"/>
  <c r="F170" i="40"/>
  <c r="G170" i="40"/>
  <c r="H170" i="40"/>
  <c r="I170" i="40"/>
  <c r="J170" i="40"/>
  <c r="K170" i="40"/>
  <c r="L170" i="40"/>
  <c r="M170" i="40"/>
  <c r="N170" i="40"/>
  <c r="O170" i="40"/>
  <c r="P170" i="40"/>
  <c r="Q170" i="40"/>
  <c r="R170" i="40"/>
  <c r="S170" i="40"/>
  <c r="T170" i="40"/>
  <c r="U170" i="40"/>
  <c r="F171" i="40"/>
  <c r="G171" i="40"/>
  <c r="H171" i="40"/>
  <c r="I171" i="40"/>
  <c r="J171" i="40"/>
  <c r="K171" i="40"/>
  <c r="L171" i="40"/>
  <c r="M171" i="40"/>
  <c r="N171" i="40"/>
  <c r="O171" i="40"/>
  <c r="P171" i="40"/>
  <c r="Q171" i="40"/>
  <c r="R171" i="40"/>
  <c r="S171" i="40"/>
  <c r="T171" i="40"/>
  <c r="U171" i="40"/>
  <c r="F172" i="40"/>
  <c r="G172" i="40"/>
  <c r="H172" i="40"/>
  <c r="I172" i="40"/>
  <c r="J172" i="40"/>
  <c r="K172" i="40"/>
  <c r="L172" i="40"/>
  <c r="M172" i="40"/>
  <c r="N172" i="40"/>
  <c r="O172" i="40"/>
  <c r="P172" i="40"/>
  <c r="Q172" i="40"/>
  <c r="R172" i="40"/>
  <c r="S172" i="40"/>
  <c r="T172" i="40"/>
  <c r="U172" i="40"/>
  <c r="F174" i="40"/>
  <c r="G174" i="40"/>
  <c r="H174" i="40"/>
  <c r="I174" i="40"/>
  <c r="J174" i="40"/>
  <c r="K174" i="40"/>
  <c r="L174" i="40"/>
  <c r="M174" i="40"/>
  <c r="N174" i="40"/>
  <c r="O174" i="40"/>
  <c r="P174" i="40"/>
  <c r="Q174" i="40"/>
  <c r="R174" i="40"/>
  <c r="S174" i="40"/>
  <c r="T174" i="40"/>
  <c r="U174" i="40"/>
  <c r="F175" i="40"/>
  <c r="G175" i="40"/>
  <c r="H175" i="40"/>
  <c r="I175" i="40"/>
  <c r="J175" i="40"/>
  <c r="K175" i="40"/>
  <c r="L175" i="40"/>
  <c r="M175" i="40"/>
  <c r="N175" i="40"/>
  <c r="O175" i="40"/>
  <c r="P175" i="40"/>
  <c r="Q175" i="40"/>
  <c r="R175" i="40"/>
  <c r="S175" i="40"/>
  <c r="T175" i="40"/>
  <c r="U175" i="40"/>
  <c r="F176" i="40"/>
  <c r="G176" i="40"/>
  <c r="H176" i="40"/>
  <c r="I176" i="40"/>
  <c r="J176" i="40"/>
  <c r="K176" i="40"/>
  <c r="L176" i="40"/>
  <c r="M176" i="40"/>
  <c r="N176" i="40"/>
  <c r="O176" i="40"/>
  <c r="P176" i="40"/>
  <c r="Q176" i="40"/>
  <c r="R176" i="40"/>
  <c r="S176" i="40"/>
  <c r="T176" i="40"/>
  <c r="U176" i="40"/>
  <c r="F177" i="40"/>
  <c r="G177" i="40"/>
  <c r="H177" i="40"/>
  <c r="I177" i="40"/>
  <c r="J177" i="40"/>
  <c r="K177" i="40"/>
  <c r="L177" i="40"/>
  <c r="M177" i="40"/>
  <c r="N177" i="40"/>
  <c r="O177" i="40"/>
  <c r="P177" i="40"/>
  <c r="Q177" i="40"/>
  <c r="R177" i="40"/>
  <c r="S177" i="40"/>
  <c r="T177" i="40"/>
  <c r="U177" i="40"/>
  <c r="F180" i="40"/>
  <c r="G180" i="40"/>
  <c r="H180" i="40"/>
  <c r="I180" i="40"/>
  <c r="J180" i="40"/>
  <c r="K180" i="40"/>
  <c r="L180" i="40"/>
  <c r="M180" i="40"/>
  <c r="N180" i="40"/>
  <c r="O180" i="40"/>
  <c r="P180" i="40"/>
  <c r="Q180" i="40"/>
  <c r="R180" i="40"/>
  <c r="S180" i="40"/>
  <c r="T180" i="40"/>
  <c r="U180" i="40"/>
  <c r="F181" i="40"/>
  <c r="G181" i="40"/>
  <c r="H181" i="40"/>
  <c r="I181" i="40"/>
  <c r="J181" i="40"/>
  <c r="K181" i="40"/>
  <c r="L181" i="40"/>
  <c r="M181" i="40"/>
  <c r="N181" i="40"/>
  <c r="O181" i="40"/>
  <c r="P181" i="40"/>
  <c r="Q181" i="40"/>
  <c r="R181" i="40"/>
  <c r="S181" i="40"/>
  <c r="T181" i="40"/>
  <c r="U181" i="40"/>
  <c r="F182" i="40"/>
  <c r="G182" i="40"/>
  <c r="H182" i="40"/>
  <c r="I182" i="40"/>
  <c r="J182" i="40"/>
  <c r="K182" i="40"/>
  <c r="L182" i="40"/>
  <c r="M182" i="40"/>
  <c r="N182" i="40"/>
  <c r="O182" i="40"/>
  <c r="P182" i="40"/>
  <c r="Q182" i="40"/>
  <c r="R182" i="40"/>
  <c r="S182" i="40"/>
  <c r="T182" i="40"/>
  <c r="U182" i="40"/>
  <c r="F183" i="40"/>
  <c r="G183" i="40"/>
  <c r="H183" i="40"/>
  <c r="I183" i="40"/>
  <c r="J183" i="40"/>
  <c r="K183" i="40"/>
  <c r="L183" i="40"/>
  <c r="M183" i="40"/>
  <c r="N183" i="40"/>
  <c r="O183" i="40"/>
  <c r="P183" i="40"/>
  <c r="Q183" i="40"/>
  <c r="R183" i="40"/>
  <c r="S183" i="40"/>
  <c r="T183" i="40"/>
  <c r="U183" i="40"/>
  <c r="F185" i="40"/>
  <c r="G185" i="40"/>
  <c r="H185" i="40"/>
  <c r="I185" i="40"/>
  <c r="J185" i="40"/>
  <c r="K185" i="40"/>
  <c r="L185" i="40"/>
  <c r="M185" i="40"/>
  <c r="N185" i="40"/>
  <c r="O185" i="40"/>
  <c r="P185" i="40"/>
  <c r="Q185" i="40"/>
  <c r="R185" i="40"/>
  <c r="S185" i="40"/>
  <c r="T185" i="40"/>
  <c r="U185" i="40"/>
  <c r="F186" i="40"/>
  <c r="G186" i="40"/>
  <c r="H186" i="40"/>
  <c r="I186" i="40"/>
  <c r="J186" i="40"/>
  <c r="K186" i="40"/>
  <c r="L186" i="40"/>
  <c r="M186" i="40"/>
  <c r="N186" i="40"/>
  <c r="O186" i="40"/>
  <c r="P186" i="40"/>
  <c r="Q186" i="40"/>
  <c r="R186" i="40"/>
  <c r="S186" i="40"/>
  <c r="T186" i="40"/>
  <c r="U186" i="40"/>
  <c r="F187" i="40"/>
  <c r="G187" i="40"/>
  <c r="H187" i="40"/>
  <c r="I187" i="40"/>
  <c r="J187" i="40"/>
  <c r="K187" i="40"/>
  <c r="L187" i="40"/>
  <c r="M187" i="40"/>
  <c r="N187" i="40"/>
  <c r="O187" i="40"/>
  <c r="P187" i="40"/>
  <c r="Q187" i="40"/>
  <c r="R187" i="40"/>
  <c r="S187" i="40"/>
  <c r="T187" i="40"/>
  <c r="U187" i="40"/>
  <c r="F188" i="40"/>
  <c r="G188" i="40"/>
  <c r="H188" i="40"/>
  <c r="I188" i="40"/>
  <c r="J188" i="40"/>
  <c r="K188" i="40"/>
  <c r="L188" i="40"/>
  <c r="M188" i="40"/>
  <c r="N188" i="40"/>
  <c r="O188" i="40"/>
  <c r="P188" i="40"/>
  <c r="Q188" i="40"/>
  <c r="R188" i="40"/>
  <c r="S188" i="40"/>
  <c r="T188" i="40"/>
  <c r="U188" i="40"/>
  <c r="F190" i="40"/>
  <c r="G190" i="40"/>
  <c r="H190" i="40"/>
  <c r="I190" i="40"/>
  <c r="J190" i="40"/>
  <c r="K190" i="40"/>
  <c r="L190" i="40"/>
  <c r="M190" i="40"/>
  <c r="N190" i="40"/>
  <c r="O190" i="40"/>
  <c r="P190" i="40"/>
  <c r="Q190" i="40"/>
  <c r="R190" i="40"/>
  <c r="S190" i="40"/>
  <c r="T190" i="40"/>
  <c r="U190" i="40"/>
  <c r="F191" i="40"/>
  <c r="G191" i="40"/>
  <c r="H191" i="40"/>
  <c r="I191" i="40"/>
  <c r="J191" i="40"/>
  <c r="K191" i="40"/>
  <c r="L191" i="40"/>
  <c r="M191" i="40"/>
  <c r="N191" i="40"/>
  <c r="O191" i="40"/>
  <c r="P191" i="40"/>
  <c r="Q191" i="40"/>
  <c r="R191" i="40"/>
  <c r="S191" i="40"/>
  <c r="T191" i="40"/>
  <c r="U191" i="40"/>
  <c r="F192" i="40"/>
  <c r="G192" i="40"/>
  <c r="H192" i="40"/>
  <c r="I192" i="40"/>
  <c r="J192" i="40"/>
  <c r="K192" i="40"/>
  <c r="L192" i="40"/>
  <c r="M192" i="40"/>
  <c r="N192" i="40"/>
  <c r="O192" i="40"/>
  <c r="P192" i="40"/>
  <c r="Q192" i="40"/>
  <c r="R192" i="40"/>
  <c r="S192" i="40"/>
  <c r="T192" i="40"/>
  <c r="U192" i="40"/>
  <c r="F193" i="40"/>
  <c r="G193" i="40"/>
  <c r="H193" i="40"/>
  <c r="I193" i="40"/>
  <c r="J193" i="40"/>
  <c r="K193" i="40"/>
  <c r="L193" i="40"/>
  <c r="M193" i="40"/>
  <c r="N193" i="40"/>
  <c r="O193" i="40"/>
  <c r="P193" i="40"/>
  <c r="Q193" i="40"/>
  <c r="R193" i="40"/>
  <c r="S193" i="40"/>
  <c r="T193" i="40"/>
  <c r="U193" i="40"/>
  <c r="F196" i="40"/>
  <c r="G196" i="40"/>
  <c r="H196" i="40"/>
  <c r="I196" i="40"/>
  <c r="J196" i="40"/>
  <c r="K196" i="40"/>
  <c r="L196" i="40"/>
  <c r="M196" i="40"/>
  <c r="N196" i="40"/>
  <c r="O196" i="40"/>
  <c r="P196" i="40"/>
  <c r="Q196" i="40"/>
  <c r="R196" i="40"/>
  <c r="S196" i="40"/>
  <c r="T196" i="40"/>
  <c r="U196" i="40"/>
  <c r="F197" i="40"/>
  <c r="G197" i="40"/>
  <c r="H197" i="40"/>
  <c r="I197" i="40"/>
  <c r="J197" i="40"/>
  <c r="K197" i="40"/>
  <c r="L197" i="40"/>
  <c r="M197" i="40"/>
  <c r="N197" i="40"/>
  <c r="O197" i="40"/>
  <c r="P197" i="40"/>
  <c r="Q197" i="40"/>
  <c r="R197" i="40"/>
  <c r="S197" i="40"/>
  <c r="T197" i="40"/>
  <c r="U197" i="40"/>
  <c r="F198" i="40"/>
  <c r="G198" i="40"/>
  <c r="H198" i="40"/>
  <c r="I198" i="40"/>
  <c r="J198" i="40"/>
  <c r="K198" i="40"/>
  <c r="L198" i="40"/>
  <c r="M198" i="40"/>
  <c r="N198" i="40"/>
  <c r="O198" i="40"/>
  <c r="P198" i="40"/>
  <c r="Q198" i="40"/>
  <c r="R198" i="40"/>
  <c r="S198" i="40"/>
  <c r="T198" i="40"/>
  <c r="U198" i="40"/>
  <c r="F199" i="40"/>
  <c r="G199" i="40"/>
  <c r="H199" i="40"/>
  <c r="I199" i="40"/>
  <c r="J199" i="40"/>
  <c r="K199" i="40"/>
  <c r="L199" i="40"/>
  <c r="M199" i="40"/>
  <c r="N199" i="40"/>
  <c r="O199" i="40"/>
  <c r="P199" i="40"/>
  <c r="Q199" i="40"/>
  <c r="R199" i="40"/>
  <c r="S199" i="40"/>
  <c r="T199" i="40"/>
  <c r="U199" i="40"/>
  <c r="F201" i="40"/>
  <c r="G201" i="40"/>
  <c r="H201" i="40"/>
  <c r="I201" i="40"/>
  <c r="J201" i="40"/>
  <c r="K201" i="40"/>
  <c r="L201" i="40"/>
  <c r="M201" i="40"/>
  <c r="N201" i="40"/>
  <c r="O201" i="40"/>
  <c r="P201" i="40"/>
  <c r="Q201" i="40"/>
  <c r="R201" i="40"/>
  <c r="S201" i="40"/>
  <c r="T201" i="40"/>
  <c r="U201" i="40"/>
  <c r="F202" i="40"/>
  <c r="G202" i="40"/>
  <c r="H202" i="40"/>
  <c r="I202" i="40"/>
  <c r="J202" i="40"/>
  <c r="K202" i="40"/>
  <c r="L202" i="40"/>
  <c r="M202" i="40"/>
  <c r="N202" i="40"/>
  <c r="O202" i="40"/>
  <c r="P202" i="40"/>
  <c r="Q202" i="40"/>
  <c r="R202" i="40"/>
  <c r="S202" i="40"/>
  <c r="T202" i="40"/>
  <c r="U202" i="40"/>
  <c r="F203" i="40"/>
  <c r="G203" i="40"/>
  <c r="H203" i="40"/>
  <c r="I203" i="40"/>
  <c r="J203" i="40"/>
  <c r="K203" i="40"/>
  <c r="L203" i="40"/>
  <c r="M203" i="40"/>
  <c r="N203" i="40"/>
  <c r="O203" i="40"/>
  <c r="P203" i="40"/>
  <c r="Q203" i="40"/>
  <c r="R203" i="40"/>
  <c r="S203" i="40"/>
  <c r="T203" i="40"/>
  <c r="U203" i="40"/>
  <c r="F204" i="40"/>
  <c r="G204" i="40"/>
  <c r="H204" i="40"/>
  <c r="I204" i="40"/>
  <c r="J204" i="40"/>
  <c r="K204" i="40"/>
  <c r="L204" i="40"/>
  <c r="M204" i="40"/>
  <c r="N204" i="40"/>
  <c r="O204" i="40"/>
  <c r="P204" i="40"/>
  <c r="Q204" i="40"/>
  <c r="R204" i="40"/>
  <c r="S204" i="40"/>
  <c r="T204" i="40"/>
  <c r="U204" i="40"/>
  <c r="F206" i="40"/>
  <c r="G206" i="40"/>
  <c r="H206" i="40"/>
  <c r="I206" i="40"/>
  <c r="J206" i="40"/>
  <c r="K206" i="40"/>
  <c r="L206" i="40"/>
  <c r="M206" i="40"/>
  <c r="N206" i="40"/>
  <c r="O206" i="40"/>
  <c r="P206" i="40"/>
  <c r="Q206" i="40"/>
  <c r="R206" i="40"/>
  <c r="S206" i="40"/>
  <c r="T206" i="40"/>
  <c r="U206" i="40"/>
  <c r="F207" i="40"/>
  <c r="G207" i="40"/>
  <c r="H207" i="40"/>
  <c r="I207" i="40"/>
  <c r="J207" i="40"/>
  <c r="K207" i="40"/>
  <c r="L207" i="40"/>
  <c r="M207" i="40"/>
  <c r="N207" i="40"/>
  <c r="O207" i="40"/>
  <c r="P207" i="40"/>
  <c r="Q207" i="40"/>
  <c r="R207" i="40"/>
  <c r="S207" i="40"/>
  <c r="T207" i="40"/>
  <c r="U207" i="40"/>
  <c r="F208" i="40"/>
  <c r="G208" i="40"/>
  <c r="H208" i="40"/>
  <c r="I208" i="40"/>
  <c r="J208" i="40"/>
  <c r="K208" i="40"/>
  <c r="L208" i="40"/>
  <c r="M208" i="40"/>
  <c r="N208" i="40"/>
  <c r="O208" i="40"/>
  <c r="P208" i="40"/>
  <c r="Q208" i="40"/>
  <c r="R208" i="40"/>
  <c r="S208" i="40"/>
  <c r="T208" i="40"/>
  <c r="U208" i="40"/>
  <c r="F209" i="40"/>
  <c r="G209" i="40"/>
  <c r="H209" i="40"/>
  <c r="I209" i="40"/>
  <c r="J209" i="40"/>
  <c r="K209" i="40"/>
  <c r="L209" i="40"/>
  <c r="M209" i="40"/>
  <c r="N209" i="40"/>
  <c r="O209" i="40"/>
  <c r="P209" i="40"/>
  <c r="Q209" i="40"/>
  <c r="R209" i="40"/>
  <c r="S209" i="40"/>
  <c r="T209" i="40"/>
  <c r="U209" i="40"/>
  <c r="K41" i="43" l="1"/>
  <c r="L41" i="43" s="1"/>
  <c r="J133" i="44"/>
  <c r="I133" i="44"/>
  <c r="J30" i="14" a="1"/>
  <c r="J30" i="14" s="1"/>
  <c r="J34" i="14" s="1"/>
  <c r="R29" i="14"/>
  <c r="K30" i="14" a="1"/>
  <c r="K30" i="14" s="1"/>
  <c r="K29" i="14" a="1"/>
  <c r="K29" i="14" s="1"/>
  <c r="K31" i="14" a="1"/>
  <c r="K31" i="14" s="1"/>
  <c r="K32" i="14" a="1"/>
  <c r="K32" i="14" s="1"/>
  <c r="J32" i="14" a="1"/>
  <c r="J32" i="14" s="1"/>
  <c r="J29" i="14" a="1"/>
  <c r="J29" i="14" s="1"/>
  <c r="J33" i="14" s="1"/>
  <c r="J31" i="14" a="1"/>
  <c r="J31" i="14" s="1"/>
  <c r="H26" i="40"/>
  <c r="G26" i="40"/>
  <c r="F26" i="40"/>
  <c r="E26" i="40"/>
  <c r="G29" i="14" l="1"/>
  <c r="G71" i="25"/>
  <c r="G69" i="25"/>
  <c r="I71" i="25"/>
  <c r="I69" i="25"/>
  <c r="E49" i="40"/>
  <c r="E25" i="40" l="1"/>
  <c r="F25" i="40"/>
  <c r="G25" i="40"/>
  <c r="C273" i="46"/>
  <c r="H9" i="46"/>
  <c r="H8" i="46"/>
  <c r="C8" i="46"/>
  <c r="C13" i="46" s="1"/>
  <c r="G144" i="45"/>
  <c r="H144" i="45" s="1"/>
  <c r="I144" i="45" s="1"/>
  <c r="J144" i="45" s="1"/>
  <c r="K144" i="45" s="1"/>
  <c r="C145" i="45" a="1"/>
  <c r="C146" i="45" s="1"/>
  <c r="E146" i="45" s="1"/>
  <c r="I70" i="25" l="1"/>
  <c r="I68" i="25"/>
  <c r="H70" i="25"/>
  <c r="H68" i="25"/>
  <c r="G70" i="25"/>
  <c r="G68" i="25"/>
  <c r="C169" i="45"/>
  <c r="E169" i="45" s="1"/>
  <c r="C216" i="45"/>
  <c r="C248" i="45"/>
  <c r="K248" i="45" s="1"/>
  <c r="M248" i="45" s="1"/>
  <c r="C244" i="45"/>
  <c r="C245" i="45"/>
  <c r="C241" i="45"/>
  <c r="C228" i="45"/>
  <c r="C225" i="45"/>
  <c r="C221" i="45"/>
  <c r="C189" i="45"/>
  <c r="C173" i="45"/>
  <c r="C157" i="45"/>
  <c r="K157" i="45" s="1"/>
  <c r="M157" i="45" s="1"/>
  <c r="C235" i="45"/>
  <c r="I235" i="45" s="1"/>
  <c r="C247" i="45"/>
  <c r="J247" i="45" s="1"/>
  <c r="C229" i="45"/>
  <c r="C181" i="45"/>
  <c r="H181" i="45" s="1"/>
  <c r="C153" i="45"/>
  <c r="E153" i="45" s="1"/>
  <c r="C240" i="45"/>
  <c r="C236" i="45"/>
  <c r="C233" i="45"/>
  <c r="C215" i="45"/>
  <c r="C209" i="45"/>
  <c r="C165" i="45"/>
  <c r="F165" i="45" s="1"/>
  <c r="C145" i="45"/>
  <c r="K145" i="45" s="1"/>
  <c r="M145" i="45" s="1"/>
  <c r="C185" i="45"/>
  <c r="E185" i="45" s="1"/>
  <c r="C234" i="45"/>
  <c r="C238" i="45"/>
  <c r="C249" i="45"/>
  <c r="C237" i="45"/>
  <c r="C224" i="45"/>
  <c r="I224" i="45" s="1"/>
  <c r="C218" i="45"/>
  <c r="J218" i="45" s="1"/>
  <c r="C193" i="45"/>
  <c r="F193" i="45" s="1"/>
  <c r="J146" i="45"/>
  <c r="K146" i="45"/>
  <c r="M146" i="45" s="1"/>
  <c r="C230" i="45"/>
  <c r="C149" i="45"/>
  <c r="C243" i="45"/>
  <c r="C231" i="45"/>
  <c r="C227" i="45"/>
  <c r="I227" i="45" s="1"/>
  <c r="C220" i="45"/>
  <c r="H220" i="45" s="1"/>
  <c r="C217" i="45"/>
  <c r="C205" i="45"/>
  <c r="C177" i="45"/>
  <c r="I146" i="45"/>
  <c r="C197" i="45"/>
  <c r="G197" i="45" s="1"/>
  <c r="C223" i="45"/>
  <c r="C219" i="45"/>
  <c r="I219" i="45" s="1"/>
  <c r="C246" i="45"/>
  <c r="K246" i="45" s="1"/>
  <c r="M246" i="45" s="1"/>
  <c r="C242" i="45"/>
  <c r="I242" i="45" s="1"/>
  <c r="C239" i="45"/>
  <c r="C232" i="45"/>
  <c r="C226" i="45"/>
  <c r="E226" i="45" s="1"/>
  <c r="C222" i="45"/>
  <c r="C214" i="45"/>
  <c r="E214" i="45" s="1"/>
  <c r="C213" i="45"/>
  <c r="C201" i="45"/>
  <c r="K201" i="45" s="1"/>
  <c r="M201" i="45" s="1"/>
  <c r="C161" i="45"/>
  <c r="J161" i="45" s="1"/>
  <c r="E248" i="45"/>
  <c r="F248" i="45"/>
  <c r="I248" i="45"/>
  <c r="G248" i="45"/>
  <c r="H248" i="45"/>
  <c r="J248" i="45"/>
  <c r="J234" i="45"/>
  <c r="E234" i="45"/>
  <c r="F234" i="45"/>
  <c r="G234" i="45"/>
  <c r="H234" i="45"/>
  <c r="I234" i="45"/>
  <c r="K234" i="45"/>
  <c r="M234" i="45" s="1"/>
  <c r="I181" i="45"/>
  <c r="F169" i="45"/>
  <c r="H169" i="45"/>
  <c r="J169" i="45"/>
  <c r="G169" i="45"/>
  <c r="I153" i="45"/>
  <c r="K153" i="45"/>
  <c r="M153" i="45" s="1"/>
  <c r="F230" i="45"/>
  <c r="F189" i="45"/>
  <c r="H189" i="45"/>
  <c r="J189" i="45"/>
  <c r="E189" i="45"/>
  <c r="K185" i="45"/>
  <c r="M185" i="45" s="1"/>
  <c r="H236" i="45"/>
  <c r="E230" i="45"/>
  <c r="E222" i="45"/>
  <c r="K173" i="45"/>
  <c r="M173" i="45" s="1"/>
  <c r="F197" i="45"/>
  <c r="H197" i="45"/>
  <c r="J197" i="45"/>
  <c r="I197" i="45"/>
  <c r="H165" i="45"/>
  <c r="F157" i="45"/>
  <c r="H157" i="45"/>
  <c r="J157" i="45"/>
  <c r="E157" i="45"/>
  <c r="G157" i="45"/>
  <c r="I157" i="45"/>
  <c r="K240" i="45"/>
  <c r="M240" i="45" s="1"/>
  <c r="L239" i="45"/>
  <c r="I247" i="45"/>
  <c r="F185" i="45"/>
  <c r="H185" i="45"/>
  <c r="J185" i="45"/>
  <c r="G185" i="45"/>
  <c r="L144" i="45"/>
  <c r="L222" i="45" s="1"/>
  <c r="K177" i="45"/>
  <c r="M177" i="45" s="1"/>
  <c r="K209" i="45"/>
  <c r="M209" i="45" s="1"/>
  <c r="J232" i="45"/>
  <c r="I240" i="45"/>
  <c r="J239" i="45"/>
  <c r="K238" i="45"/>
  <c r="M238" i="45" s="1"/>
  <c r="I232" i="45"/>
  <c r="K222" i="45"/>
  <c r="M222" i="45" s="1"/>
  <c r="F205" i="45"/>
  <c r="H205" i="45"/>
  <c r="J205" i="45"/>
  <c r="E205" i="45"/>
  <c r="G181" i="45"/>
  <c r="F173" i="45"/>
  <c r="H173" i="45"/>
  <c r="J173" i="45"/>
  <c r="L173" i="45"/>
  <c r="E173" i="45"/>
  <c r="K169" i="45"/>
  <c r="M169" i="45" s="1"/>
  <c r="F149" i="45"/>
  <c r="H149" i="45"/>
  <c r="J149" i="45"/>
  <c r="I149" i="45"/>
  <c r="K149" i="45"/>
  <c r="M149" i="45" s="1"/>
  <c r="L149" i="45"/>
  <c r="K247" i="45"/>
  <c r="M247" i="45" s="1"/>
  <c r="J240" i="45"/>
  <c r="K239" i="45"/>
  <c r="M239" i="45" s="1"/>
  <c r="L238" i="45"/>
  <c r="H247" i="45"/>
  <c r="K230" i="45"/>
  <c r="M230" i="45" s="1"/>
  <c r="L244" i="45"/>
  <c r="H240" i="45"/>
  <c r="I239" i="45"/>
  <c r="I238" i="45"/>
  <c r="H232" i="45"/>
  <c r="I230" i="45"/>
  <c r="H224" i="45"/>
  <c r="I222" i="45"/>
  <c r="H216" i="45"/>
  <c r="I214" i="45"/>
  <c r="K189" i="45"/>
  <c r="M189" i="45" s="1"/>
  <c r="I169" i="45"/>
  <c r="F209" i="45"/>
  <c r="H209" i="45"/>
  <c r="J209" i="45"/>
  <c r="F177" i="45"/>
  <c r="H177" i="45"/>
  <c r="J177" i="45"/>
  <c r="G146" i="45"/>
  <c r="F145" i="45"/>
  <c r="H145" i="45"/>
  <c r="L146" i="45"/>
  <c r="F146" i="45"/>
  <c r="H146" i="45"/>
  <c r="H161" i="45"/>
  <c r="C212" i="45"/>
  <c r="C208" i="45"/>
  <c r="C204" i="45"/>
  <c r="C200" i="45"/>
  <c r="C196" i="45"/>
  <c r="C192" i="45"/>
  <c r="C188" i="45"/>
  <c r="C184" i="45"/>
  <c r="C180" i="45"/>
  <c r="C176" i="45"/>
  <c r="C172" i="45"/>
  <c r="C168" i="45"/>
  <c r="C164" i="45"/>
  <c r="C160" i="45"/>
  <c r="C156" i="45"/>
  <c r="C152" i="45"/>
  <c r="C148" i="45"/>
  <c r="C211" i="45"/>
  <c r="C207" i="45"/>
  <c r="C203" i="45"/>
  <c r="C199" i="45"/>
  <c r="C195" i="45"/>
  <c r="C191" i="45"/>
  <c r="C187" i="45"/>
  <c r="C183" i="45"/>
  <c r="C179" i="45"/>
  <c r="C175" i="45"/>
  <c r="C171" i="45"/>
  <c r="C167" i="45"/>
  <c r="C163" i="45"/>
  <c r="C159" i="45"/>
  <c r="C155" i="45"/>
  <c r="C151" i="45"/>
  <c r="C147" i="45"/>
  <c r="C210" i="45"/>
  <c r="C206" i="45"/>
  <c r="C202" i="45"/>
  <c r="C198" i="45"/>
  <c r="C194" i="45"/>
  <c r="C190" i="45"/>
  <c r="C186" i="45"/>
  <c r="C182" i="45"/>
  <c r="C178" i="45"/>
  <c r="C174" i="45"/>
  <c r="C170" i="45"/>
  <c r="C166" i="45"/>
  <c r="C162" i="45"/>
  <c r="C158" i="45"/>
  <c r="C154" i="45"/>
  <c r="C150" i="45"/>
  <c r="L236" i="45" l="1"/>
  <c r="L230" i="45"/>
  <c r="F214" i="45"/>
  <c r="H226" i="45"/>
  <c r="L228" i="45"/>
  <c r="L153" i="45"/>
  <c r="H228" i="45"/>
  <c r="L220" i="45"/>
  <c r="G165" i="45"/>
  <c r="I226" i="45"/>
  <c r="G242" i="45"/>
  <c r="I165" i="45"/>
  <c r="F153" i="45"/>
  <c r="F242" i="45"/>
  <c r="K218" i="45"/>
  <c r="M218" i="45" s="1"/>
  <c r="L201" i="45"/>
  <c r="J165" i="45"/>
  <c r="E242" i="45"/>
  <c r="I218" i="45"/>
  <c r="K161" i="45"/>
  <c r="M161" i="45" s="1"/>
  <c r="J193" i="45"/>
  <c r="G201" i="45"/>
  <c r="F181" i="45"/>
  <c r="H193" i="45"/>
  <c r="F201" i="45"/>
  <c r="G153" i="45"/>
  <c r="K226" i="45"/>
  <c r="M226" i="45" s="1"/>
  <c r="H218" i="45"/>
  <c r="F161" i="45"/>
  <c r="E181" i="45"/>
  <c r="G218" i="45"/>
  <c r="F218" i="45"/>
  <c r="G226" i="45"/>
  <c r="E218" i="45"/>
  <c r="J226" i="45"/>
  <c r="K242" i="45"/>
  <c r="M242" i="45" s="1"/>
  <c r="I246" i="45"/>
  <c r="E246" i="45"/>
  <c r="F246" i="45"/>
  <c r="G246" i="45"/>
  <c r="H246" i="45"/>
  <c r="F220" i="45"/>
  <c r="G220" i="45"/>
  <c r="K220" i="45"/>
  <c r="M220" i="45" s="1"/>
  <c r="E220" i="45"/>
  <c r="I220" i="45"/>
  <c r="J220" i="45"/>
  <c r="E193" i="45"/>
  <c r="G193" i="45"/>
  <c r="I193" i="45"/>
  <c r="E145" i="45"/>
  <c r="G145" i="45"/>
  <c r="I145" i="45"/>
  <c r="E225" i="45"/>
  <c r="F225" i="45"/>
  <c r="H225" i="45"/>
  <c r="G225" i="45"/>
  <c r="J225" i="45"/>
  <c r="I225" i="45"/>
  <c r="K225" i="45"/>
  <c r="M225" i="45" s="1"/>
  <c r="K181" i="45"/>
  <c r="M181" i="45" s="1"/>
  <c r="J153" i="45"/>
  <c r="J181" i="45"/>
  <c r="F226" i="45"/>
  <c r="J242" i="45"/>
  <c r="E213" i="45"/>
  <c r="F213" i="45"/>
  <c r="G213" i="45"/>
  <c r="H213" i="45"/>
  <c r="I213" i="45"/>
  <c r="K213" i="45"/>
  <c r="M213" i="45" s="1"/>
  <c r="J213" i="45"/>
  <c r="H219" i="45"/>
  <c r="K219" i="45"/>
  <c r="M219" i="45" s="1"/>
  <c r="E219" i="45"/>
  <c r="F219" i="45"/>
  <c r="G219" i="45"/>
  <c r="J219" i="45"/>
  <c r="H227" i="45"/>
  <c r="F227" i="45"/>
  <c r="J227" i="45"/>
  <c r="K227" i="45"/>
  <c r="M227" i="45" s="1"/>
  <c r="E227" i="45"/>
  <c r="G227" i="45"/>
  <c r="E165" i="45"/>
  <c r="K165" i="45"/>
  <c r="M165" i="45" s="1"/>
  <c r="G229" i="45"/>
  <c r="H229" i="45"/>
  <c r="J229" i="45"/>
  <c r="I229" i="45"/>
  <c r="E229" i="45"/>
  <c r="K229" i="45"/>
  <c r="M229" i="45" s="1"/>
  <c r="F229" i="45"/>
  <c r="F228" i="45"/>
  <c r="E228" i="45"/>
  <c r="G228" i="45"/>
  <c r="I228" i="45"/>
  <c r="K228" i="45"/>
  <c r="M228" i="45" s="1"/>
  <c r="J228" i="45"/>
  <c r="K193" i="45"/>
  <c r="M193" i="45" s="1"/>
  <c r="J246" i="45"/>
  <c r="J201" i="45"/>
  <c r="J145" i="45"/>
  <c r="I201" i="45"/>
  <c r="H201" i="45"/>
  <c r="I185" i="45"/>
  <c r="H153" i="45"/>
  <c r="J214" i="45"/>
  <c r="G214" i="45"/>
  <c r="K214" i="45"/>
  <c r="M214" i="45" s="1"/>
  <c r="H214" i="45"/>
  <c r="H223" i="45"/>
  <c r="J223" i="45"/>
  <c r="G223" i="45"/>
  <c r="K223" i="45"/>
  <c r="M223" i="45" s="1"/>
  <c r="E223" i="45"/>
  <c r="F223" i="45"/>
  <c r="I223" i="45"/>
  <c r="H231" i="45"/>
  <c r="F231" i="45"/>
  <c r="E231" i="45"/>
  <c r="G231" i="45"/>
  <c r="I231" i="45"/>
  <c r="K231" i="45"/>
  <c r="M231" i="45" s="1"/>
  <c r="J231" i="45"/>
  <c r="F224" i="45"/>
  <c r="E224" i="45"/>
  <c r="G224" i="45"/>
  <c r="J224" i="45"/>
  <c r="K224" i="45"/>
  <c r="M224" i="45" s="1"/>
  <c r="G209" i="45"/>
  <c r="E209" i="45"/>
  <c r="I209" i="45"/>
  <c r="G247" i="45"/>
  <c r="F247" i="45"/>
  <c r="E247" i="45"/>
  <c r="E241" i="45"/>
  <c r="K241" i="45"/>
  <c r="M241" i="45" s="1"/>
  <c r="F241" i="45"/>
  <c r="H241" i="45"/>
  <c r="G241" i="45"/>
  <c r="J241" i="45"/>
  <c r="I241" i="45"/>
  <c r="J222" i="45"/>
  <c r="G222" i="45"/>
  <c r="H222" i="45"/>
  <c r="E197" i="45"/>
  <c r="K197" i="45"/>
  <c r="M197" i="45" s="1"/>
  <c r="H243" i="45"/>
  <c r="E243" i="45"/>
  <c r="J243" i="45"/>
  <c r="G243" i="45"/>
  <c r="K243" i="45"/>
  <c r="M243" i="45" s="1"/>
  <c r="F243" i="45"/>
  <c r="I243" i="45"/>
  <c r="J237" i="45"/>
  <c r="E237" i="45"/>
  <c r="K237" i="45"/>
  <c r="M237" i="45" s="1"/>
  <c r="G237" i="45"/>
  <c r="F237" i="45"/>
  <c r="H237" i="45"/>
  <c r="I237" i="45"/>
  <c r="H215" i="45"/>
  <c r="I215" i="45"/>
  <c r="J215" i="45"/>
  <c r="K215" i="45"/>
  <c r="M215" i="45" s="1"/>
  <c r="E215" i="45"/>
  <c r="F215" i="45"/>
  <c r="G215" i="45"/>
  <c r="H235" i="45"/>
  <c r="F235" i="45"/>
  <c r="G235" i="45"/>
  <c r="K235" i="45"/>
  <c r="M235" i="45" s="1"/>
  <c r="J235" i="45"/>
  <c r="E235" i="45"/>
  <c r="E245" i="45"/>
  <c r="J245" i="45"/>
  <c r="F245" i="45"/>
  <c r="G245" i="45"/>
  <c r="H245" i="45"/>
  <c r="I245" i="45"/>
  <c r="K245" i="45"/>
  <c r="M245" i="45" s="1"/>
  <c r="F222" i="45"/>
  <c r="E201" i="45"/>
  <c r="H242" i="45"/>
  <c r="G149" i="45"/>
  <c r="E149" i="45"/>
  <c r="K249" i="45"/>
  <c r="M249" i="45" s="1"/>
  <c r="J249" i="45"/>
  <c r="H249" i="45"/>
  <c r="G249" i="45"/>
  <c r="F249" i="45"/>
  <c r="I249" i="45"/>
  <c r="E249" i="45"/>
  <c r="H233" i="45"/>
  <c r="F233" i="45"/>
  <c r="I233" i="45"/>
  <c r="J233" i="45"/>
  <c r="G233" i="45"/>
  <c r="K233" i="45"/>
  <c r="M233" i="45" s="1"/>
  <c r="E233" i="45"/>
  <c r="F244" i="45"/>
  <c r="H244" i="45"/>
  <c r="E244" i="45"/>
  <c r="K244" i="45"/>
  <c r="M244" i="45" s="1"/>
  <c r="G244" i="45"/>
  <c r="I244" i="45"/>
  <c r="J244" i="45"/>
  <c r="F232" i="45"/>
  <c r="E232" i="45"/>
  <c r="G232" i="45"/>
  <c r="K232" i="45"/>
  <c r="M232" i="45" s="1"/>
  <c r="E177" i="45"/>
  <c r="G177" i="45"/>
  <c r="I177" i="45"/>
  <c r="J230" i="45"/>
  <c r="H230" i="45"/>
  <c r="G230" i="45"/>
  <c r="J238" i="45"/>
  <c r="E238" i="45"/>
  <c r="F238" i="45"/>
  <c r="H238" i="45"/>
  <c r="G238" i="45"/>
  <c r="F236" i="45"/>
  <c r="J236" i="45"/>
  <c r="E236" i="45"/>
  <c r="K236" i="45"/>
  <c r="M236" i="45" s="1"/>
  <c r="G236" i="45"/>
  <c r="I236" i="45"/>
  <c r="I173" i="45"/>
  <c r="G173" i="45"/>
  <c r="H239" i="45"/>
  <c r="E239" i="45"/>
  <c r="F239" i="45"/>
  <c r="G239" i="45"/>
  <c r="K205" i="45"/>
  <c r="M205" i="45" s="1"/>
  <c r="I205" i="45"/>
  <c r="G205" i="45"/>
  <c r="F240" i="45"/>
  <c r="E240" i="45"/>
  <c r="G240" i="45"/>
  <c r="G189" i="45"/>
  <c r="I189" i="45"/>
  <c r="F216" i="45"/>
  <c r="K216" i="45"/>
  <c r="M216" i="45" s="1"/>
  <c r="I216" i="45"/>
  <c r="E216" i="45"/>
  <c r="G216" i="45"/>
  <c r="J216" i="45"/>
  <c r="E161" i="45"/>
  <c r="G161" i="45"/>
  <c r="I161" i="45"/>
  <c r="K217" i="45"/>
  <c r="M217" i="45" s="1"/>
  <c r="E217" i="45"/>
  <c r="F217" i="45"/>
  <c r="G217" i="45"/>
  <c r="H217" i="45"/>
  <c r="J217" i="45"/>
  <c r="I217" i="45"/>
  <c r="E221" i="45"/>
  <c r="F221" i="45"/>
  <c r="G221" i="45"/>
  <c r="K221" i="45"/>
  <c r="M221" i="45" s="1"/>
  <c r="I221" i="45"/>
  <c r="J221" i="45"/>
  <c r="H221" i="45"/>
  <c r="L166" i="45"/>
  <c r="F166" i="45"/>
  <c r="H166" i="45"/>
  <c r="E166" i="45"/>
  <c r="K166" i="45"/>
  <c r="M166" i="45" s="1"/>
  <c r="G166" i="45"/>
  <c r="I166" i="45"/>
  <c r="J166" i="45"/>
  <c r="L198" i="45"/>
  <c r="F198" i="45"/>
  <c r="H198" i="45"/>
  <c r="E198" i="45"/>
  <c r="K198" i="45"/>
  <c r="M198" i="45" s="1"/>
  <c r="G198" i="45"/>
  <c r="I198" i="45"/>
  <c r="J198" i="45"/>
  <c r="J163" i="45"/>
  <c r="L163" i="45"/>
  <c r="F163" i="45"/>
  <c r="I163" i="45"/>
  <c r="E163" i="45"/>
  <c r="G163" i="45"/>
  <c r="H163" i="45"/>
  <c r="K163" i="45"/>
  <c r="M163" i="45" s="1"/>
  <c r="J195" i="45"/>
  <c r="L195" i="45"/>
  <c r="F195" i="45"/>
  <c r="I195" i="45"/>
  <c r="E195" i="45"/>
  <c r="G195" i="45"/>
  <c r="H195" i="45"/>
  <c r="K195" i="45"/>
  <c r="M195" i="45" s="1"/>
  <c r="H160" i="45"/>
  <c r="J160" i="45"/>
  <c r="L160" i="45"/>
  <c r="E160" i="45"/>
  <c r="G160" i="45"/>
  <c r="F160" i="45"/>
  <c r="I160" i="45"/>
  <c r="K160" i="45"/>
  <c r="M160" i="45" s="1"/>
  <c r="H192" i="45"/>
  <c r="J192" i="45"/>
  <c r="L192" i="45"/>
  <c r="G192" i="45"/>
  <c r="E192" i="45"/>
  <c r="F192" i="45"/>
  <c r="I192" i="45"/>
  <c r="K192" i="45"/>
  <c r="M192" i="45" s="1"/>
  <c r="L178" i="45"/>
  <c r="F178" i="45"/>
  <c r="H178" i="45"/>
  <c r="G178" i="45"/>
  <c r="E178" i="45"/>
  <c r="I178" i="45"/>
  <c r="J178" i="45"/>
  <c r="K178" i="45"/>
  <c r="M178" i="45" s="1"/>
  <c r="L210" i="45"/>
  <c r="F210" i="45"/>
  <c r="H210" i="45"/>
  <c r="G210" i="45"/>
  <c r="E210" i="45"/>
  <c r="I210" i="45"/>
  <c r="J210" i="45"/>
  <c r="K210" i="45"/>
  <c r="M210" i="45" s="1"/>
  <c r="J175" i="45"/>
  <c r="L175" i="45"/>
  <c r="F175" i="45"/>
  <c r="E175" i="45"/>
  <c r="K175" i="45"/>
  <c r="M175" i="45" s="1"/>
  <c r="G175" i="45"/>
  <c r="H175" i="45"/>
  <c r="I175" i="45"/>
  <c r="J207" i="45"/>
  <c r="L207" i="45"/>
  <c r="F207" i="45"/>
  <c r="E207" i="45"/>
  <c r="K207" i="45"/>
  <c r="M207" i="45" s="1"/>
  <c r="G207" i="45"/>
  <c r="H207" i="45"/>
  <c r="I207" i="45"/>
  <c r="H172" i="45"/>
  <c r="J172" i="45"/>
  <c r="L172" i="45"/>
  <c r="I172" i="45"/>
  <c r="E172" i="45"/>
  <c r="F172" i="45"/>
  <c r="G172" i="45"/>
  <c r="K172" i="45"/>
  <c r="M172" i="45" s="1"/>
  <c r="H204" i="45"/>
  <c r="J204" i="45"/>
  <c r="L204" i="45"/>
  <c r="I204" i="45"/>
  <c r="E204" i="45"/>
  <c r="F204" i="45"/>
  <c r="K204" i="45"/>
  <c r="M204" i="45" s="1"/>
  <c r="G204" i="45"/>
  <c r="L240" i="45"/>
  <c r="L224" i="45"/>
  <c r="L150" i="45"/>
  <c r="F150" i="45"/>
  <c r="H150" i="45"/>
  <c r="K150" i="45"/>
  <c r="M150" i="45" s="1"/>
  <c r="E150" i="45"/>
  <c r="G150" i="45"/>
  <c r="I150" i="45"/>
  <c r="J150" i="45"/>
  <c r="L182" i="45"/>
  <c r="F182" i="45"/>
  <c r="H182" i="45"/>
  <c r="K182" i="45"/>
  <c r="M182" i="45" s="1"/>
  <c r="E182" i="45"/>
  <c r="I182" i="45"/>
  <c r="G182" i="45"/>
  <c r="J182" i="45"/>
  <c r="J147" i="45"/>
  <c r="L147" i="45"/>
  <c r="F147" i="45"/>
  <c r="E147" i="45"/>
  <c r="G147" i="45"/>
  <c r="I147" i="45"/>
  <c r="H147" i="45"/>
  <c r="K147" i="45"/>
  <c r="M147" i="45" s="1"/>
  <c r="J179" i="45"/>
  <c r="L179" i="45"/>
  <c r="F179" i="45"/>
  <c r="I179" i="45"/>
  <c r="H179" i="45"/>
  <c r="K179" i="45"/>
  <c r="M179" i="45" s="1"/>
  <c r="E179" i="45"/>
  <c r="G179" i="45"/>
  <c r="J211" i="45"/>
  <c r="L211" i="45"/>
  <c r="F211" i="45"/>
  <c r="I211" i="45"/>
  <c r="H211" i="45"/>
  <c r="K211" i="45"/>
  <c r="M211" i="45" s="1"/>
  <c r="G211" i="45"/>
  <c r="E211" i="45"/>
  <c r="H176" i="45"/>
  <c r="J176" i="45"/>
  <c r="L176" i="45"/>
  <c r="G176" i="45"/>
  <c r="F176" i="45"/>
  <c r="I176" i="45"/>
  <c r="K176" i="45"/>
  <c r="M176" i="45" s="1"/>
  <c r="E176" i="45"/>
  <c r="H208" i="45"/>
  <c r="J208" i="45"/>
  <c r="L208" i="45"/>
  <c r="G208" i="45"/>
  <c r="F208" i="45"/>
  <c r="I208" i="45"/>
  <c r="K208" i="45"/>
  <c r="M208" i="45" s="1"/>
  <c r="E208" i="45"/>
  <c r="L157" i="45"/>
  <c r="L189" i="45"/>
  <c r="L218" i="45"/>
  <c r="L174" i="45"/>
  <c r="F174" i="45"/>
  <c r="H174" i="45"/>
  <c r="I174" i="45"/>
  <c r="J174" i="45"/>
  <c r="K174" i="45"/>
  <c r="M174" i="45" s="1"/>
  <c r="E174" i="45"/>
  <c r="G174" i="45"/>
  <c r="L206" i="45"/>
  <c r="F206" i="45"/>
  <c r="H206" i="45"/>
  <c r="I206" i="45"/>
  <c r="J206" i="45"/>
  <c r="K206" i="45"/>
  <c r="M206" i="45" s="1"/>
  <c r="G206" i="45"/>
  <c r="E206" i="45"/>
  <c r="J171" i="45"/>
  <c r="L171" i="45"/>
  <c r="F171" i="45"/>
  <c r="G171" i="45"/>
  <c r="E171" i="45"/>
  <c r="H171" i="45"/>
  <c r="I171" i="45"/>
  <c r="K171" i="45"/>
  <c r="M171" i="45" s="1"/>
  <c r="J203" i="45"/>
  <c r="L203" i="45"/>
  <c r="F203" i="45"/>
  <c r="G203" i="45"/>
  <c r="E203" i="45"/>
  <c r="H203" i="45"/>
  <c r="I203" i="45"/>
  <c r="K203" i="45"/>
  <c r="M203" i="45" s="1"/>
  <c r="H168" i="45"/>
  <c r="J168" i="45"/>
  <c r="L168" i="45"/>
  <c r="K168" i="45"/>
  <c r="M168" i="45" s="1"/>
  <c r="E168" i="45"/>
  <c r="F168" i="45"/>
  <c r="G168" i="45"/>
  <c r="I168" i="45"/>
  <c r="H200" i="45"/>
  <c r="J200" i="45"/>
  <c r="L200" i="45"/>
  <c r="K200" i="45"/>
  <c r="M200" i="45" s="1"/>
  <c r="E200" i="45"/>
  <c r="F200" i="45"/>
  <c r="G200" i="45"/>
  <c r="I200" i="45"/>
  <c r="L154" i="45"/>
  <c r="F154" i="45"/>
  <c r="H154" i="45"/>
  <c r="J154" i="45"/>
  <c r="K154" i="45"/>
  <c r="M154" i="45" s="1"/>
  <c r="E154" i="45"/>
  <c r="G154" i="45"/>
  <c r="I154" i="45"/>
  <c r="L186" i="45"/>
  <c r="F186" i="45"/>
  <c r="H186" i="45"/>
  <c r="J186" i="45"/>
  <c r="G186" i="45"/>
  <c r="I186" i="45"/>
  <c r="K186" i="45"/>
  <c r="M186" i="45" s="1"/>
  <c r="E186" i="45"/>
  <c r="J151" i="45"/>
  <c r="L151" i="45"/>
  <c r="F151" i="45"/>
  <c r="E151" i="45"/>
  <c r="H151" i="45"/>
  <c r="G151" i="45"/>
  <c r="I151" i="45"/>
  <c r="K151" i="45"/>
  <c r="M151" i="45" s="1"/>
  <c r="J183" i="45"/>
  <c r="L183" i="45"/>
  <c r="F183" i="45"/>
  <c r="H183" i="45"/>
  <c r="E183" i="45"/>
  <c r="G183" i="45"/>
  <c r="I183" i="45"/>
  <c r="K183" i="45"/>
  <c r="M183" i="45" s="1"/>
  <c r="H148" i="45"/>
  <c r="J148" i="45"/>
  <c r="L148" i="45"/>
  <c r="F148" i="45"/>
  <c r="G148" i="45"/>
  <c r="I148" i="45"/>
  <c r="K148" i="45"/>
  <c r="M148" i="45" s="1"/>
  <c r="E148" i="45"/>
  <c r="H180" i="45"/>
  <c r="J180" i="45"/>
  <c r="L180" i="45"/>
  <c r="F180" i="45"/>
  <c r="K180" i="45"/>
  <c r="M180" i="45" s="1"/>
  <c r="E180" i="45"/>
  <c r="G180" i="45"/>
  <c r="I180" i="45"/>
  <c r="F212" i="45"/>
  <c r="J212" i="45"/>
  <c r="L212" i="45"/>
  <c r="E212" i="45"/>
  <c r="G212" i="45"/>
  <c r="H212" i="45"/>
  <c r="K212" i="45"/>
  <c r="M212" i="45" s="1"/>
  <c r="I212" i="45"/>
  <c r="L213" i="45"/>
  <c r="L217" i="45"/>
  <c r="L221" i="45"/>
  <c r="L225" i="45"/>
  <c r="L229" i="45"/>
  <c r="L233" i="45"/>
  <c r="L237" i="45"/>
  <c r="L241" i="45"/>
  <c r="L245" i="45"/>
  <c r="L145" i="45"/>
  <c r="L177" i="45"/>
  <c r="L209" i="45"/>
  <c r="L249" i="45"/>
  <c r="L231" i="45"/>
  <c r="L185" i="45"/>
  <c r="L214" i="45"/>
  <c r="L246" i="45"/>
  <c r="L215" i="45"/>
  <c r="L223" i="45"/>
  <c r="L161" i="45"/>
  <c r="L193" i="45"/>
  <c r="L247" i="45"/>
  <c r="L165" i="45"/>
  <c r="L197" i="45"/>
  <c r="L219" i="45"/>
  <c r="L243" i="45"/>
  <c r="L226" i="45"/>
  <c r="L227" i="45"/>
  <c r="L235" i="45"/>
  <c r="L248" i="45"/>
  <c r="L242" i="45"/>
  <c r="L170" i="45"/>
  <c r="F170" i="45"/>
  <c r="H170" i="45"/>
  <c r="J170" i="45"/>
  <c r="E170" i="45"/>
  <c r="G170" i="45"/>
  <c r="I170" i="45"/>
  <c r="K170" i="45"/>
  <c r="M170" i="45" s="1"/>
  <c r="L202" i="45"/>
  <c r="F202" i="45"/>
  <c r="H202" i="45"/>
  <c r="J202" i="45"/>
  <c r="K202" i="45"/>
  <c r="M202" i="45" s="1"/>
  <c r="E202" i="45"/>
  <c r="G202" i="45"/>
  <c r="I202" i="45"/>
  <c r="J167" i="45"/>
  <c r="L167" i="45"/>
  <c r="F167" i="45"/>
  <c r="H167" i="45"/>
  <c r="K167" i="45"/>
  <c r="M167" i="45" s="1"/>
  <c r="E167" i="45"/>
  <c r="G167" i="45"/>
  <c r="I167" i="45"/>
  <c r="J199" i="45"/>
  <c r="L199" i="45"/>
  <c r="F199" i="45"/>
  <c r="H199" i="45"/>
  <c r="K199" i="45"/>
  <c r="M199" i="45" s="1"/>
  <c r="G199" i="45"/>
  <c r="E199" i="45"/>
  <c r="I199" i="45"/>
  <c r="H164" i="45"/>
  <c r="J164" i="45"/>
  <c r="L164" i="45"/>
  <c r="F164" i="45"/>
  <c r="G164" i="45"/>
  <c r="I164" i="45"/>
  <c r="K164" i="45"/>
  <c r="M164" i="45" s="1"/>
  <c r="E164" i="45"/>
  <c r="H196" i="45"/>
  <c r="J196" i="45"/>
  <c r="L196" i="45"/>
  <c r="F196" i="45"/>
  <c r="G196" i="45"/>
  <c r="I196" i="45"/>
  <c r="K196" i="45"/>
  <c r="M196" i="45" s="1"/>
  <c r="E196" i="45"/>
  <c r="L158" i="45"/>
  <c r="F158" i="45"/>
  <c r="H158" i="45"/>
  <c r="I158" i="45"/>
  <c r="J158" i="45"/>
  <c r="K158" i="45"/>
  <c r="M158" i="45" s="1"/>
  <c r="E158" i="45"/>
  <c r="G158" i="45"/>
  <c r="L190" i="45"/>
  <c r="F190" i="45"/>
  <c r="H190" i="45"/>
  <c r="I190" i="45"/>
  <c r="E190" i="45"/>
  <c r="G190" i="45"/>
  <c r="J190" i="45"/>
  <c r="K190" i="45"/>
  <c r="M190" i="45" s="1"/>
  <c r="J155" i="45"/>
  <c r="L155" i="45"/>
  <c r="F155" i="45"/>
  <c r="G155" i="45"/>
  <c r="E155" i="45"/>
  <c r="H155" i="45"/>
  <c r="I155" i="45"/>
  <c r="K155" i="45"/>
  <c r="M155" i="45" s="1"/>
  <c r="J187" i="45"/>
  <c r="L187" i="45"/>
  <c r="F187" i="45"/>
  <c r="G187" i="45"/>
  <c r="I187" i="45"/>
  <c r="E187" i="45"/>
  <c r="H187" i="45"/>
  <c r="K187" i="45"/>
  <c r="M187" i="45" s="1"/>
  <c r="H152" i="45"/>
  <c r="J152" i="45"/>
  <c r="L152" i="45"/>
  <c r="E152" i="45"/>
  <c r="F152" i="45"/>
  <c r="G152" i="45"/>
  <c r="K152" i="45"/>
  <c r="M152" i="45" s="1"/>
  <c r="I152" i="45"/>
  <c r="H184" i="45"/>
  <c r="J184" i="45"/>
  <c r="L184" i="45"/>
  <c r="E184" i="45"/>
  <c r="K184" i="45"/>
  <c r="M184" i="45" s="1"/>
  <c r="I184" i="45"/>
  <c r="F184" i="45"/>
  <c r="G184" i="45"/>
  <c r="L162" i="45"/>
  <c r="F162" i="45"/>
  <c r="H162" i="45"/>
  <c r="G162" i="45"/>
  <c r="J162" i="45"/>
  <c r="K162" i="45"/>
  <c r="M162" i="45" s="1"/>
  <c r="E162" i="45"/>
  <c r="I162" i="45"/>
  <c r="L194" i="45"/>
  <c r="F194" i="45"/>
  <c r="H194" i="45"/>
  <c r="G194" i="45"/>
  <c r="J194" i="45"/>
  <c r="K194" i="45"/>
  <c r="M194" i="45" s="1"/>
  <c r="E194" i="45"/>
  <c r="I194" i="45"/>
  <c r="J159" i="45"/>
  <c r="L159" i="45"/>
  <c r="F159" i="45"/>
  <c r="K159" i="45"/>
  <c r="M159" i="45" s="1"/>
  <c r="E159" i="45"/>
  <c r="G159" i="45"/>
  <c r="H159" i="45"/>
  <c r="I159" i="45"/>
  <c r="J191" i="45"/>
  <c r="L191" i="45"/>
  <c r="F191" i="45"/>
  <c r="K191" i="45"/>
  <c r="M191" i="45" s="1"/>
  <c r="E191" i="45"/>
  <c r="H191" i="45"/>
  <c r="I191" i="45"/>
  <c r="G191" i="45"/>
  <c r="H156" i="45"/>
  <c r="J156" i="45"/>
  <c r="L156" i="45"/>
  <c r="E156" i="45"/>
  <c r="F156" i="45"/>
  <c r="I156" i="45"/>
  <c r="G156" i="45"/>
  <c r="K156" i="45"/>
  <c r="M156" i="45" s="1"/>
  <c r="H188" i="45"/>
  <c r="J188" i="45"/>
  <c r="L188" i="45"/>
  <c r="I188" i="45"/>
  <c r="E188" i="45"/>
  <c r="F188" i="45"/>
  <c r="G188" i="45"/>
  <c r="K188" i="45"/>
  <c r="M188" i="45" s="1"/>
  <c r="L205" i="45"/>
  <c r="L169" i="45"/>
  <c r="L181" i="45"/>
  <c r="L216" i="45"/>
  <c r="L232" i="45"/>
  <c r="L234" i="45"/>
  <c r="B9" i="46"/>
  <c r="C9" i="46" s="1"/>
  <c r="K36" i="14" l="1"/>
  <c r="K35" i="14"/>
  <c r="K34" i="14"/>
  <c r="K33" i="14"/>
  <c r="J36" i="14"/>
  <c r="J35" i="14"/>
  <c r="N16" i="51" l="1"/>
  <c r="M16" i="51"/>
  <c r="L16" i="51"/>
  <c r="K16" i="51"/>
  <c r="J16" i="51"/>
  <c r="I16" i="51"/>
  <c r="H16" i="51"/>
  <c r="G16" i="51"/>
  <c r="N15" i="51"/>
  <c r="M15" i="51"/>
  <c r="L15" i="51"/>
  <c r="K15" i="51"/>
  <c r="J15" i="51"/>
  <c r="I15" i="51"/>
  <c r="H15" i="51"/>
  <c r="G15" i="51"/>
  <c r="N14" i="51"/>
  <c r="M14" i="51"/>
  <c r="L14" i="51"/>
  <c r="K14" i="51"/>
  <c r="J14" i="51"/>
  <c r="I14" i="51"/>
  <c r="H14" i="51"/>
  <c r="G14" i="51"/>
  <c r="N13" i="51"/>
  <c r="M13" i="51"/>
  <c r="L13" i="51"/>
  <c r="K13" i="51"/>
  <c r="J13" i="51"/>
  <c r="I13" i="51"/>
  <c r="H13" i="51"/>
  <c r="G13" i="51"/>
  <c r="N12" i="51"/>
  <c r="M12" i="51"/>
  <c r="L12" i="51"/>
  <c r="K12" i="51"/>
  <c r="J12" i="51"/>
  <c r="I12" i="51"/>
  <c r="H12" i="51"/>
  <c r="G12" i="51"/>
  <c r="N11" i="51"/>
  <c r="M11" i="51"/>
  <c r="L11" i="51"/>
  <c r="K11" i="51"/>
  <c r="J11" i="51"/>
  <c r="I11" i="51"/>
  <c r="H11" i="51"/>
  <c r="G11" i="51"/>
  <c r="N10" i="51"/>
  <c r="M10" i="51"/>
  <c r="L10" i="51"/>
  <c r="K10" i="51"/>
  <c r="J10" i="51"/>
  <c r="I10" i="51"/>
  <c r="H10" i="51"/>
  <c r="G10" i="51"/>
  <c r="N9" i="51"/>
  <c r="M9" i="51"/>
  <c r="L9" i="51"/>
  <c r="K9" i="51"/>
  <c r="J9" i="51"/>
  <c r="I9" i="51"/>
  <c r="H9" i="51"/>
  <c r="G9" i="51"/>
  <c r="N8" i="51"/>
  <c r="J8" i="51"/>
  <c r="I8" i="51"/>
  <c r="H8" i="51"/>
  <c r="G8" i="51"/>
  <c r="C8" i="25" l="1"/>
  <c r="C8" i="50"/>
  <c r="C9" i="47"/>
  <c r="G31" i="14" l="1"/>
  <c r="G32" i="14"/>
  <c r="G30" i="14"/>
  <c r="K10" i="50"/>
  <c r="K9" i="50"/>
  <c r="K8" i="50"/>
  <c r="N23" i="50"/>
  <c r="F97" i="50"/>
  <c r="F98" i="50"/>
  <c r="K98" i="50"/>
  <c r="F100" i="50"/>
  <c r="F101" i="50"/>
  <c r="B9" i="50"/>
  <c r="C9" i="50" s="1"/>
  <c r="C78" i="50" s="1"/>
  <c r="C14" i="50"/>
  <c r="G36" i="14"/>
  <c r="G35" i="14"/>
  <c r="G34" i="14"/>
  <c r="G33" i="14"/>
  <c r="Q46" i="53" l="1"/>
  <c r="Q16" i="53"/>
  <c r="Q1849" i="53"/>
  <c r="Q1841" i="53"/>
  <c r="Q1833" i="53"/>
  <c r="Q1825" i="53"/>
  <c r="Q1817" i="53"/>
  <c r="Q1809" i="53"/>
  <c r="Q1801" i="53"/>
  <c r="Q1793" i="53"/>
  <c r="Q1785" i="53"/>
  <c r="Q1777" i="53"/>
  <c r="Q1769" i="53"/>
  <c r="Q1761" i="53"/>
  <c r="Q1753" i="53"/>
  <c r="Q1745" i="53"/>
  <c r="Q1737" i="53"/>
  <c r="Q1729" i="53"/>
  <c r="Q1721" i="53"/>
  <c r="Q1713" i="53"/>
  <c r="Q1705" i="53"/>
  <c r="Q1697" i="53"/>
  <c r="Q1689" i="53"/>
  <c r="Q1681" i="53"/>
  <c r="Q1673" i="53"/>
  <c r="Q1665" i="53"/>
  <c r="Q1657" i="53"/>
  <c r="Q1649" i="53"/>
  <c r="Q1641" i="53"/>
  <c r="Q1633" i="53"/>
  <c r="Q1625" i="53"/>
  <c r="Q1617" i="53"/>
  <c r="Q1609" i="53"/>
  <c r="Q1601" i="53"/>
  <c r="Q1593" i="53"/>
  <c r="Q1585" i="53"/>
  <c r="Q1577" i="53"/>
  <c r="Q1569" i="53"/>
  <c r="Q1561" i="53"/>
  <c r="Q1553" i="53"/>
  <c r="Q1545" i="53"/>
  <c r="Q1537" i="53"/>
  <c r="Q1529" i="53"/>
  <c r="Q1521" i="53"/>
  <c r="Q1513" i="53"/>
  <c r="Q1505" i="53"/>
  <c r="Q1497" i="53"/>
  <c r="Q1489" i="53"/>
  <c r="Q1481" i="53"/>
  <c r="Q1473" i="53"/>
  <c r="Q1465" i="53"/>
  <c r="Q1457" i="53"/>
  <c r="Q1449" i="53"/>
  <c r="Q1441" i="53"/>
  <c r="Q1433" i="53"/>
  <c r="Q1425" i="53"/>
  <c r="Q1417" i="53"/>
  <c r="Q1409" i="53"/>
  <c r="Q1401" i="53"/>
  <c r="Q1393" i="53"/>
  <c r="Q1385" i="53"/>
  <c r="Q1377" i="53"/>
  <c r="Q1369" i="53"/>
  <c r="Q1361" i="53"/>
  <c r="Q1353" i="53"/>
  <c r="Q1345" i="53"/>
  <c r="Q1337" i="53"/>
  <c r="Q1329" i="53"/>
  <c r="Q1321" i="53"/>
  <c r="Q1313" i="53"/>
  <c r="Q1305" i="53"/>
  <c r="Q1297" i="53"/>
  <c r="Q1289" i="53"/>
  <c r="Q1281" i="53"/>
  <c r="Q1273" i="53"/>
  <c r="Q1265" i="53"/>
  <c r="Q1257" i="53"/>
  <c r="Q1249" i="53"/>
  <c r="Q1241" i="53"/>
  <c r="Q1233" i="53"/>
  <c r="Q1225" i="53"/>
  <c r="Q1217" i="53"/>
  <c r="Q1209" i="53"/>
  <c r="Q1201" i="53"/>
  <c r="Q1193" i="53"/>
  <c r="Q1185" i="53"/>
  <c r="Q1177" i="53"/>
  <c r="Q1848" i="53"/>
  <c r="Q1840" i="53"/>
  <c r="Q1832" i="53"/>
  <c r="Q1824" i="53"/>
  <c r="Q1816" i="53"/>
  <c r="Q1808" i="53"/>
  <c r="Q1800" i="53"/>
  <c r="Q1792" i="53"/>
  <c r="Q1784" i="53"/>
  <c r="Q1776" i="53"/>
  <c r="Q1768" i="53"/>
  <c r="Q1760" i="53"/>
  <c r="Q1752" i="53"/>
  <c r="Q1744" i="53"/>
  <c r="Q1736" i="53"/>
  <c r="Q1728" i="53"/>
  <c r="Q1720" i="53"/>
  <c r="Q1712" i="53"/>
  <c r="Q1704" i="53"/>
  <c r="Q1696" i="53"/>
  <c r="Q1688" i="53"/>
  <c r="Q1680" i="53"/>
  <c r="Q1672" i="53"/>
  <c r="Q1664" i="53"/>
  <c r="Q1656" i="53"/>
  <c r="Q1648" i="53"/>
  <c r="Q1640" i="53"/>
  <c r="Q1632" i="53"/>
  <c r="Q1624" i="53"/>
  <c r="Q1616" i="53"/>
  <c r="Q1608" i="53"/>
  <c r="Q1600" i="53"/>
  <c r="Q1592" i="53"/>
  <c r="Q1584" i="53"/>
  <c r="Q1576" i="53"/>
  <c r="Q1568" i="53"/>
  <c r="Q1560" i="53"/>
  <c r="Q1552" i="53"/>
  <c r="Q1544" i="53"/>
  <c r="Q1536" i="53"/>
  <c r="Q1528" i="53"/>
  <c r="Q1520" i="53"/>
  <c r="Q1512" i="53"/>
  <c r="Q1504" i="53"/>
  <c r="Q1496" i="53"/>
  <c r="Q1488" i="53"/>
  <c r="Q1480" i="53"/>
  <c r="Q1472" i="53"/>
  <c r="Q1464" i="53"/>
  <c r="Q1456" i="53"/>
  <c r="Q1448" i="53"/>
  <c r="Q1440" i="53"/>
  <c r="Q1432" i="53"/>
  <c r="Q1424" i="53"/>
  <c r="Q1416" i="53"/>
  <c r="Q1408" i="53"/>
  <c r="Q1400" i="53"/>
  <c r="Q1392" i="53"/>
  <c r="Q1384" i="53"/>
  <c r="Q1376" i="53"/>
  <c r="Q1368" i="53"/>
  <c r="Q1360" i="53"/>
  <c r="Q1352" i="53"/>
  <c r="Q1344" i="53"/>
  <c r="Q1336" i="53"/>
  <c r="Q1328" i="53"/>
  <c r="Q1320" i="53"/>
  <c r="Q1312" i="53"/>
  <c r="Q1304" i="53"/>
  <c r="Q1296" i="53"/>
  <c r="Q1288" i="53"/>
  <c r="Q1280" i="53"/>
  <c r="Q1272" i="53"/>
  <c r="Q1264" i="53"/>
  <c r="Q1256" i="53"/>
  <c r="Q1248" i="53"/>
  <c r="Q1240" i="53"/>
  <c r="Q1232" i="53"/>
  <c r="Q1224" i="53"/>
  <c r="Q1216" i="53"/>
  <c r="Q1208" i="53"/>
  <c r="Q1200" i="53"/>
  <c r="Q1192" i="53"/>
  <c r="Q1184" i="53"/>
  <c r="Q1176" i="53"/>
  <c r="Q1847" i="53"/>
  <c r="Q1839" i="53"/>
  <c r="Q1831" i="53"/>
  <c r="Q1823" i="53"/>
  <c r="Q1815" i="53"/>
  <c r="Q1807" i="53"/>
  <c r="Q1799" i="53"/>
  <c r="Q1791" i="53"/>
  <c r="Q1783" i="53"/>
  <c r="Q1775" i="53"/>
  <c r="Q1767" i="53"/>
  <c r="Q1759" i="53"/>
  <c r="Q1751" i="53"/>
  <c r="Q1743" i="53"/>
  <c r="Q1735" i="53"/>
  <c r="Q1727" i="53"/>
  <c r="Q1719" i="53"/>
  <c r="Q1711" i="53"/>
  <c r="Q1703" i="53"/>
  <c r="Q1695" i="53"/>
  <c r="Q1687" i="53"/>
  <c r="Q1679" i="53"/>
  <c r="Q1671" i="53"/>
  <c r="Q1663" i="53"/>
  <c r="Q1655" i="53"/>
  <c r="Q1647" i="53"/>
  <c r="Q1639" i="53"/>
  <c r="Q1631" i="53"/>
  <c r="Q1623" i="53"/>
  <c r="Q1615" i="53"/>
  <c r="Q1607" i="53"/>
  <c r="Q1599" i="53"/>
  <c r="Q1591" i="53"/>
  <c r="Q1583" i="53"/>
  <c r="Q1575" i="53"/>
  <c r="Q1567" i="53"/>
  <c r="Q1559" i="53"/>
  <c r="Q1551" i="53"/>
  <c r="Q1543" i="53"/>
  <c r="Q1535" i="53"/>
  <c r="Q1527" i="53"/>
  <c r="Q1519" i="53"/>
  <c r="Q1511" i="53"/>
  <c r="Q1503" i="53"/>
  <c r="Q1495" i="53"/>
  <c r="Q1487" i="53"/>
  <c r="Q1479" i="53"/>
  <c r="Q1471" i="53"/>
  <c r="Q1463" i="53"/>
  <c r="Q1455" i="53"/>
  <c r="Q1447" i="53"/>
  <c r="Q1439" i="53"/>
  <c r="Q1431" i="53"/>
  <c r="Q1423" i="53"/>
  <c r="Q1415" i="53"/>
  <c r="Q1407" i="53"/>
  <c r="Q1399" i="53"/>
  <c r="Q1391" i="53"/>
  <c r="Q1383" i="53"/>
  <c r="Q1375" i="53"/>
  <c r="Q1367" i="53"/>
  <c r="Q1359" i="53"/>
  <c r="Q1351" i="53"/>
  <c r="Q1343" i="53"/>
  <c r="Q1335" i="53"/>
  <c r="Q1327" i="53"/>
  <c r="Q1319" i="53"/>
  <c r="Q1311" i="53"/>
  <c r="Q1303" i="53"/>
  <c r="Q1295" i="53"/>
  <c r="Q1287" i="53"/>
  <c r="Q1279" i="53"/>
  <c r="Q1271" i="53"/>
  <c r="Q1263" i="53"/>
  <c r="Q1255" i="53"/>
  <c r="Q1247" i="53"/>
  <c r="Q1239" i="53"/>
  <c r="Q1231" i="53"/>
  <c r="Q1223" i="53"/>
  <c r="Q1215" i="53"/>
  <c r="Q1207" i="53"/>
  <c r="Q1199" i="53"/>
  <c r="Q1191" i="53"/>
  <c r="Q1183" i="53"/>
  <c r="Q1845" i="53"/>
  <c r="Q1837" i="53"/>
  <c r="Q1829" i="53"/>
  <c r="Q1821" i="53"/>
  <c r="Q1813" i="53"/>
  <c r="Q1805" i="53"/>
  <c r="Q1797" i="53"/>
  <c r="Q1789" i="53"/>
  <c r="Q1781" i="53"/>
  <c r="Q1773" i="53"/>
  <c r="Q1765" i="53"/>
  <c r="Q1757" i="53"/>
  <c r="Q1749" i="53"/>
  <c r="Q1741" i="53"/>
  <c r="Q1733" i="53"/>
  <c r="Q1725" i="53"/>
  <c r="Q1717" i="53"/>
  <c r="Q1709" i="53"/>
  <c r="Q1701" i="53"/>
  <c r="Q1693" i="53"/>
  <c r="Q1685" i="53"/>
  <c r="Q1677" i="53"/>
  <c r="Q1669" i="53"/>
  <c r="Q1661" i="53"/>
  <c r="Q1653" i="53"/>
  <c r="Q1645" i="53"/>
  <c r="Q1637" i="53"/>
  <c r="Q1629" i="53"/>
  <c r="Q1621" i="53"/>
  <c r="Q1613" i="53"/>
  <c r="Q1605" i="53"/>
  <c r="Q1597" i="53"/>
  <c r="Q1589" i="53"/>
  <c r="Q1581" i="53"/>
  <c r="Q1573" i="53"/>
  <c r="Q1565" i="53"/>
  <c r="Q1557" i="53"/>
  <c r="Q1549" i="53"/>
  <c r="Q1541" i="53"/>
  <c r="Q1533" i="53"/>
  <c r="Q1525" i="53"/>
  <c r="Q1517" i="53"/>
  <c r="Q1509" i="53"/>
  <c r="Q1501" i="53"/>
  <c r="Q1493" i="53"/>
  <c r="Q1485" i="53"/>
  <c r="Q1477" i="53"/>
  <c r="Q1469" i="53"/>
  <c r="Q1461" i="53"/>
  <c r="Q1453" i="53"/>
  <c r="Q1445" i="53"/>
  <c r="Q1437" i="53"/>
  <c r="Q1429" i="53"/>
  <c r="Q1421" i="53"/>
  <c r="Q1413" i="53"/>
  <c r="Q1405" i="53"/>
  <c r="Q1397" i="53"/>
  <c r="Q1389" i="53"/>
  <c r="Q1381" i="53"/>
  <c r="Q1373" i="53"/>
  <c r="Q1365" i="53"/>
  <c r="Q1357" i="53"/>
  <c r="Q1349" i="53"/>
  <c r="Q1341" i="53"/>
  <c r="Q1333" i="53"/>
  <c r="Q1325" i="53"/>
  <c r="Q1317" i="53"/>
  <c r="Q1309" i="53"/>
  <c r="Q1301" i="53"/>
  <c r="Q1293" i="53"/>
  <c r="Q1285" i="53"/>
  <c r="Q1277" i="53"/>
  <c r="Q1269" i="53"/>
  <c r="Q1261" i="53"/>
  <c r="Q1253" i="53"/>
  <c r="Q1245" i="53"/>
  <c r="Q1237" i="53"/>
  <c r="Q1229" i="53"/>
  <c r="Q1221" i="53"/>
  <c r="Q1213" i="53"/>
  <c r="Q1205" i="53"/>
  <c r="Q1197" i="53"/>
  <c r="Q1189" i="53"/>
  <c r="Q1181" i="53"/>
  <c r="Q1173" i="53"/>
  <c r="Q1846" i="53"/>
  <c r="Q1830" i="53"/>
  <c r="Q1814" i="53"/>
  <c r="Q1798" i="53"/>
  <c r="Q1782" i="53"/>
  <c r="Q1766" i="53"/>
  <c r="Q1750" i="53"/>
  <c r="Q1734" i="53"/>
  <c r="Q1718" i="53"/>
  <c r="Q1702" i="53"/>
  <c r="Q1686" i="53"/>
  <c r="Q1670" i="53"/>
  <c r="Q1654" i="53"/>
  <c r="Q1638" i="53"/>
  <c r="Q1622" i="53"/>
  <c r="Q1606" i="53"/>
  <c r="Q1590" i="53"/>
  <c r="Q1574" i="53"/>
  <c r="Q1558" i="53"/>
  <c r="Q1542" i="53"/>
  <c r="Q1526" i="53"/>
  <c r="Q1510" i="53"/>
  <c r="Q1494" i="53"/>
  <c r="Q1478" i="53"/>
  <c r="Q1462" i="53"/>
  <c r="Q1446" i="53"/>
  <c r="Q1430" i="53"/>
  <c r="Q1414" i="53"/>
  <c r="Q1398" i="53"/>
  <c r="Q1382" i="53"/>
  <c r="Q1366" i="53"/>
  <c r="Q1350" i="53"/>
  <c r="Q1334" i="53"/>
  <c r="Q1318" i="53"/>
  <c r="Q1302" i="53"/>
  <c r="Q1286" i="53"/>
  <c r="Q1270" i="53"/>
  <c r="Q1254" i="53"/>
  <c r="Q1238" i="53"/>
  <c r="Q1222" i="53"/>
  <c r="Q1206" i="53"/>
  <c r="Q1190" i="53"/>
  <c r="Q1175" i="53"/>
  <c r="Q1166" i="53"/>
  <c r="Q1158" i="53"/>
  <c r="Q1150" i="53"/>
  <c r="Q1142" i="53"/>
  <c r="Q1134" i="53"/>
  <c r="Q1126" i="53"/>
  <c r="Q1118" i="53"/>
  <c r="Q1110" i="53"/>
  <c r="Q1102" i="53"/>
  <c r="Q1094" i="53"/>
  <c r="Q1086" i="53"/>
  <c r="Q1078" i="53"/>
  <c r="Q1070" i="53"/>
  <c r="Q1062" i="53"/>
  <c r="Q1054" i="53"/>
  <c r="Q1046" i="53"/>
  <c r="Q1038" i="53"/>
  <c r="Q1030" i="53"/>
  <c r="Q1022" i="53"/>
  <c r="Q1014" i="53"/>
  <c r="Q1006" i="53"/>
  <c r="Q998" i="53"/>
  <c r="Q990" i="53"/>
  <c r="Q982" i="53"/>
  <c r="Q974" i="53"/>
  <c r="Q966" i="53"/>
  <c r="Q958" i="53"/>
  <c r="Q950" i="53"/>
  <c r="Q942" i="53"/>
  <c r="Q934" i="53"/>
  <c r="Q926" i="53"/>
  <c r="Q918" i="53"/>
  <c r="Q910" i="53"/>
  <c r="Q902" i="53"/>
  <c r="Q894" i="53"/>
  <c r="Q886" i="53"/>
  <c r="Q878" i="53"/>
  <c r="Q870" i="53"/>
  <c r="Q862" i="53"/>
  <c r="Q854" i="53"/>
  <c r="Q846" i="53"/>
  <c r="Q838" i="53"/>
  <c r="Q830" i="53"/>
  <c r="Q1844" i="53"/>
  <c r="Q1828" i="53"/>
  <c r="Q1812" i="53"/>
  <c r="Q1796" i="53"/>
  <c r="Q1780" i="53"/>
  <c r="Q1764" i="53"/>
  <c r="Q1748" i="53"/>
  <c r="Q1732" i="53"/>
  <c r="Q1716" i="53"/>
  <c r="Q1700" i="53"/>
  <c r="Q1684" i="53"/>
  <c r="Q1668" i="53"/>
  <c r="Q1652" i="53"/>
  <c r="Q1636" i="53"/>
  <c r="Q1620" i="53"/>
  <c r="Q1604" i="53"/>
  <c r="Q1588" i="53"/>
  <c r="Q1572" i="53"/>
  <c r="Q1556" i="53"/>
  <c r="Q1540" i="53"/>
  <c r="Q1524" i="53"/>
  <c r="Q1508" i="53"/>
  <c r="Q1492" i="53"/>
  <c r="Q1476" i="53"/>
  <c r="Q1460" i="53"/>
  <c r="Q1444" i="53"/>
  <c r="Q1428" i="53"/>
  <c r="Q1412" i="53"/>
  <c r="Q1396" i="53"/>
  <c r="Q1380" i="53"/>
  <c r="Q1364" i="53"/>
  <c r="Q1348" i="53"/>
  <c r="Q1332" i="53"/>
  <c r="Q1316" i="53"/>
  <c r="Q1300" i="53"/>
  <c r="Q1284" i="53"/>
  <c r="Q1268" i="53"/>
  <c r="Q1252" i="53"/>
  <c r="Q1236" i="53"/>
  <c r="Q1220" i="53"/>
  <c r="Q1204" i="53"/>
  <c r="Q1188" i="53"/>
  <c r="Q1174" i="53"/>
  <c r="Q1165" i="53"/>
  <c r="Q1157" i="53"/>
  <c r="Q1149" i="53"/>
  <c r="Q1141" i="53"/>
  <c r="Q1133" i="53"/>
  <c r="Q1125" i="53"/>
  <c r="Q1117" i="53"/>
  <c r="Q1109" i="53"/>
  <c r="Q1101" i="53"/>
  <c r="Q1093" i="53"/>
  <c r="Q1085" i="53"/>
  <c r="Q1077" i="53"/>
  <c r="Q1069" i="53"/>
  <c r="Q1061" i="53"/>
  <c r="Q1053" i="53"/>
  <c r="Q1045" i="53"/>
  <c r="Q1037" i="53"/>
  <c r="Q1029" i="53"/>
  <c r="Q1021" i="53"/>
  <c r="Q1013" i="53"/>
  <c r="Q1005" i="53"/>
  <c r="Q997" i="53"/>
  <c r="Q989" i="53"/>
  <c r="Q981" i="53"/>
  <c r="Q973" i="53"/>
  <c r="Q965" i="53"/>
  <c r="Q957" i="53"/>
  <c r="Q949" i="53"/>
  <c r="Q941" i="53"/>
  <c r="Q933" i="53"/>
  <c r="Q925" i="53"/>
  <c r="Q917" i="53"/>
  <c r="Q909" i="53"/>
  <c r="Q901" i="53"/>
  <c r="Q893" i="53"/>
  <c r="Q885" i="53"/>
  <c r="Q877" i="53"/>
  <c r="Q869" i="53"/>
  <c r="Q861" i="53"/>
  <c r="Q853" i="53"/>
  <c r="Q845" i="53"/>
  <c r="Q837" i="53"/>
  <c r="Q829" i="53"/>
  <c r="Q1843" i="53"/>
  <c r="Q1827" i="53"/>
  <c r="Q1811" i="53"/>
  <c r="Q1795" i="53"/>
  <c r="Q1779" i="53"/>
  <c r="Q1763" i="53"/>
  <c r="Q1747" i="53"/>
  <c r="Q1731" i="53"/>
  <c r="Q1715" i="53"/>
  <c r="Q1699" i="53"/>
  <c r="Q1683" i="53"/>
  <c r="Q1667" i="53"/>
  <c r="Q1651" i="53"/>
  <c r="Q1635" i="53"/>
  <c r="Q1619" i="53"/>
  <c r="Q1603" i="53"/>
  <c r="Q1587" i="53"/>
  <c r="Q1571" i="53"/>
  <c r="Q1555" i="53"/>
  <c r="Q1539" i="53"/>
  <c r="Q1523" i="53"/>
  <c r="Q1507" i="53"/>
  <c r="Q1491" i="53"/>
  <c r="Q1475" i="53"/>
  <c r="Q1459" i="53"/>
  <c r="Q1443" i="53"/>
  <c r="Q1427" i="53"/>
  <c r="Q1411" i="53"/>
  <c r="Q1395" i="53"/>
  <c r="Q1379" i="53"/>
  <c r="Q1363" i="53"/>
  <c r="Q1347" i="53"/>
  <c r="Q1331" i="53"/>
  <c r="Q1315" i="53"/>
  <c r="Q1299" i="53"/>
  <c r="Q1283" i="53"/>
  <c r="Q1267" i="53"/>
  <c r="Q1251" i="53"/>
  <c r="Q1235" i="53"/>
  <c r="Q1219" i="53"/>
  <c r="Q1203" i="53"/>
  <c r="Q1187" i="53"/>
  <c r="Q1172" i="53"/>
  <c r="Q1164" i="53"/>
  <c r="Q1156" i="53"/>
  <c r="Q1148" i="53"/>
  <c r="Q1140" i="53"/>
  <c r="Q1132" i="53"/>
  <c r="Q1124" i="53"/>
  <c r="Q1116" i="53"/>
  <c r="Q1108" i="53"/>
  <c r="Q1100" i="53"/>
  <c r="Q1092" i="53"/>
  <c r="Q1084" i="53"/>
  <c r="Q1076" i="53"/>
  <c r="Q1068" i="53"/>
  <c r="Q1060" i="53"/>
  <c r="Q1052" i="53"/>
  <c r="Q1044" i="53"/>
  <c r="Q1036" i="53"/>
  <c r="Q1028" i="53"/>
  <c r="Q1020" i="53"/>
  <c r="Q1012" i="53"/>
  <c r="Q1004" i="53"/>
  <c r="Q996" i="53"/>
  <c r="Q988" i="53"/>
  <c r="Q980" i="53"/>
  <c r="Q972" i="53"/>
  <c r="Q964" i="53"/>
  <c r="Q956" i="53"/>
  <c r="Q948" i="53"/>
  <c r="Q940" i="53"/>
  <c r="Q932" i="53"/>
  <c r="Q924" i="53"/>
  <c r="Q916" i="53"/>
  <c r="Q908" i="53"/>
  <c r="Q900" i="53"/>
  <c r="Q892" i="53"/>
  <c r="Q884" i="53"/>
  <c r="Q876" i="53"/>
  <c r="Q868" i="53"/>
  <c r="Q860" i="53"/>
  <c r="Q852" i="53"/>
  <c r="Q844" i="53"/>
  <c r="Q836" i="53"/>
  <c r="Q1838" i="53"/>
  <c r="Q1822" i="53"/>
  <c r="Q1806" i="53"/>
  <c r="Q1790" i="53"/>
  <c r="Q1774" i="53"/>
  <c r="Q1758" i="53"/>
  <c r="Q1742" i="53"/>
  <c r="Q1726" i="53"/>
  <c r="Q1710" i="53"/>
  <c r="Q1694" i="53"/>
  <c r="Q1678" i="53"/>
  <c r="Q1662" i="53"/>
  <c r="Q1646" i="53"/>
  <c r="Q1630" i="53"/>
  <c r="Q1614" i="53"/>
  <c r="Q1598" i="53"/>
  <c r="Q1582" i="53"/>
  <c r="Q1566" i="53"/>
  <c r="Q1550" i="53"/>
  <c r="Q1534" i="53"/>
  <c r="Q1518" i="53"/>
  <c r="Q1502" i="53"/>
  <c r="Q1486" i="53"/>
  <c r="Q1470" i="53"/>
  <c r="Q1454" i="53"/>
  <c r="Q1438" i="53"/>
  <c r="Q1422" i="53"/>
  <c r="Q1406" i="53"/>
  <c r="Q1390" i="53"/>
  <c r="Q1374" i="53"/>
  <c r="Q1358" i="53"/>
  <c r="Q1342" i="53"/>
  <c r="Q1326" i="53"/>
  <c r="Q1310" i="53"/>
  <c r="Q1294" i="53"/>
  <c r="Q1278" i="53"/>
  <c r="Q1262" i="53"/>
  <c r="Q1246" i="53"/>
  <c r="Q1230" i="53"/>
  <c r="Q1214" i="53"/>
  <c r="Q1198" i="53"/>
  <c r="Q1182" i="53"/>
  <c r="Q1170" i="53"/>
  <c r="Q1162" i="53"/>
  <c r="Q1154" i="53"/>
  <c r="Q1146" i="53"/>
  <c r="Q1138" i="53"/>
  <c r="Q1130" i="53"/>
  <c r="Q1122" i="53"/>
  <c r="Q1114" i="53"/>
  <c r="Q1106" i="53"/>
  <c r="Q1098" i="53"/>
  <c r="Q1090" i="53"/>
  <c r="Q1082" i="53"/>
  <c r="Q1074" i="53"/>
  <c r="Q1066" i="53"/>
  <c r="Q1058" i="53"/>
  <c r="Q1050" i="53"/>
  <c r="Q1042" i="53"/>
  <c r="Q1034" i="53"/>
  <c r="Q1026" i="53"/>
  <c r="Q1018" i="53"/>
  <c r="Q1010" i="53"/>
  <c r="Q1002" i="53"/>
  <c r="Q994" i="53"/>
  <c r="Q986" i="53"/>
  <c r="Q978" i="53"/>
  <c r="Q970" i="53"/>
  <c r="Q962" i="53"/>
  <c r="Q954" i="53"/>
  <c r="Q946" i="53"/>
  <c r="Q938" i="53"/>
  <c r="Q930" i="53"/>
  <c r="Q922" i="53"/>
  <c r="Q914" i="53"/>
  <c r="Q906" i="53"/>
  <c r="Q898" i="53"/>
  <c r="Q890" i="53"/>
  <c r="Q882" i="53"/>
  <c r="Q874" i="53"/>
  <c r="Q866" i="53"/>
  <c r="Q858" i="53"/>
  <c r="Q850" i="53"/>
  <c r="Q842" i="53"/>
  <c r="Q834" i="53"/>
  <c r="Q826" i="53"/>
  <c r="Q1836" i="53"/>
  <c r="Q1820" i="53"/>
  <c r="Q1804" i="53"/>
  <c r="Q1788" i="53"/>
  <c r="Q1772" i="53"/>
  <c r="Q1756" i="53"/>
  <c r="Q1740" i="53"/>
  <c r="Q1724" i="53"/>
  <c r="Q1708" i="53"/>
  <c r="Q1692" i="53"/>
  <c r="Q1676" i="53"/>
  <c r="Q1660" i="53"/>
  <c r="Q1644" i="53"/>
  <c r="Q1628" i="53"/>
  <c r="Q1612" i="53"/>
  <c r="Q1596" i="53"/>
  <c r="Q1580" i="53"/>
  <c r="Q1564" i="53"/>
  <c r="Q1548" i="53"/>
  <c r="Q1532" i="53"/>
  <c r="Q1516" i="53"/>
  <c r="Q1500" i="53"/>
  <c r="Q1484" i="53"/>
  <c r="Q1468" i="53"/>
  <c r="Q1452" i="53"/>
  <c r="Q1436" i="53"/>
  <c r="Q1420" i="53"/>
  <c r="Q1404" i="53"/>
  <c r="Q1388" i="53"/>
  <c r="Q1372" i="53"/>
  <c r="Q1356" i="53"/>
  <c r="Q1340" i="53"/>
  <c r="Q1324" i="53"/>
  <c r="Q1308" i="53"/>
  <c r="Q1292" i="53"/>
  <c r="Q1276" i="53"/>
  <c r="Q1260" i="53"/>
  <c r="Q1244" i="53"/>
  <c r="Q1228" i="53"/>
  <c r="Q1212" i="53"/>
  <c r="Q1196" i="53"/>
  <c r="Q1180" i="53"/>
  <c r="Q1169" i="53"/>
  <c r="Q1161" i="53"/>
  <c r="Q1153" i="53"/>
  <c r="Q1145" i="53"/>
  <c r="Q1137" i="53"/>
  <c r="Q1129" i="53"/>
  <c r="Q1121" i="53"/>
  <c r="Q1113" i="53"/>
  <c r="Q1105" i="53"/>
  <c r="Q1097" i="53"/>
  <c r="Q1089" i="53"/>
  <c r="Q1081" i="53"/>
  <c r="Q1073" i="53"/>
  <c r="Q1065" i="53"/>
  <c r="Q1057" i="53"/>
  <c r="Q1049" i="53"/>
  <c r="Q1041" i="53"/>
  <c r="Q1033" i="53"/>
  <c r="Q1025" i="53"/>
  <c r="Q1017" i="53"/>
  <c r="Q1009" i="53"/>
  <c r="Q1001" i="53"/>
  <c r="Q993" i="53"/>
  <c r="Q985" i="53"/>
  <c r="Q977" i="53"/>
  <c r="Q969" i="53"/>
  <c r="Q961" i="53"/>
  <c r="Q953" i="53"/>
  <c r="Q945" i="53"/>
  <c r="Q937" i="53"/>
  <c r="Q929" i="53"/>
  <c r="Q921" i="53"/>
  <c r="Q913" i="53"/>
  <c r="Q905" i="53"/>
  <c r="Q897" i="53"/>
  <c r="Q889" i="53"/>
  <c r="Q881" i="53"/>
  <c r="Q873" i="53"/>
  <c r="Q865" i="53"/>
  <c r="Q857" i="53"/>
  <c r="Q849" i="53"/>
  <c r="Q841" i="53"/>
  <c r="Q833" i="53"/>
  <c r="Q1842" i="53"/>
  <c r="Q1802" i="53"/>
  <c r="Q1755" i="53"/>
  <c r="Q1714" i="53"/>
  <c r="Q1674" i="53"/>
  <c r="Q1627" i="53"/>
  <c r="Q1586" i="53"/>
  <c r="Q1546" i="53"/>
  <c r="Q1499" i="53"/>
  <c r="Q1458" i="53"/>
  <c r="Q1418" i="53"/>
  <c r="Q1371" i="53"/>
  <c r="Q1330" i="53"/>
  <c r="Q1290" i="53"/>
  <c r="Q1243" i="53"/>
  <c r="Q1202" i="53"/>
  <c r="Q1167" i="53"/>
  <c r="Q1144" i="53"/>
  <c r="Q1123" i="53"/>
  <c r="Q1103" i="53"/>
  <c r="Q1080" i="53"/>
  <c r="Q1059" i="53"/>
  <c r="Q1039" i="53"/>
  <c r="Q1016" i="53"/>
  <c r="Q995" i="53"/>
  <c r="Q975" i="53"/>
  <c r="Q952" i="53"/>
  <c r="Q931" i="53"/>
  <c r="Q911" i="53"/>
  <c r="Q888" i="53"/>
  <c r="Q867" i="53"/>
  <c r="Q847" i="53"/>
  <c r="Q827" i="53"/>
  <c r="Q818" i="53"/>
  <c r="Q810" i="53"/>
  <c r="Q802" i="53"/>
  <c r="Q794" i="53"/>
  <c r="Q786" i="53"/>
  <c r="Q778" i="53"/>
  <c r="Q770" i="53"/>
  <c r="Q762" i="53"/>
  <c r="Q754" i="53"/>
  <c r="Q746" i="53"/>
  <c r="Q738" i="53"/>
  <c r="Q730" i="53"/>
  <c r="Q722" i="53"/>
  <c r="Q714" i="53"/>
  <c r="Q706" i="53"/>
  <c r="Q698" i="53"/>
  <c r="Q690" i="53"/>
  <c r="Q682" i="53"/>
  <c r="Q674" i="53"/>
  <c r="Q666" i="53"/>
  <c r="Q658" i="53"/>
  <c r="Q650" i="53"/>
  <c r="Q642" i="53"/>
  <c r="Q634" i="53"/>
  <c r="Q626" i="53"/>
  <c r="Q618" i="53"/>
  <c r="Q610" i="53"/>
  <c r="Q602" i="53"/>
  <c r="Q594" i="53"/>
  <c r="Q586" i="53"/>
  <c r="Q578" i="53"/>
  <c r="Q570" i="53"/>
  <c r="Q562" i="53"/>
  <c r="Q554" i="53"/>
  <c r="Q546" i="53"/>
  <c r="Q538" i="53"/>
  <c r="Q530" i="53"/>
  <c r="Q522" i="53"/>
  <c r="I515" i="53"/>
  <c r="I511" i="53"/>
  <c r="I507" i="53"/>
  <c r="I503" i="53"/>
  <c r="I499" i="53"/>
  <c r="I495" i="53"/>
  <c r="I491" i="53"/>
  <c r="I487" i="53"/>
  <c r="I483" i="53"/>
  <c r="I479" i="53"/>
  <c r="I475" i="53"/>
  <c r="I471" i="53"/>
  <c r="I467" i="53"/>
  <c r="I463" i="53"/>
  <c r="I459" i="53"/>
  <c r="I455" i="53"/>
  <c r="I451" i="53"/>
  <c r="I447" i="53"/>
  <c r="I443" i="53"/>
  <c r="I439" i="53"/>
  <c r="I435" i="53"/>
  <c r="I431" i="53"/>
  <c r="I427" i="53"/>
  <c r="I423" i="53"/>
  <c r="I419" i="53"/>
  <c r="I415" i="53"/>
  <c r="I411" i="53"/>
  <c r="I407" i="53"/>
  <c r="I403" i="53"/>
  <c r="I399" i="53"/>
  <c r="I395" i="53"/>
  <c r="I391" i="53"/>
  <c r="I387" i="53"/>
  <c r="I383" i="53"/>
  <c r="I379" i="53"/>
  <c r="I375" i="53"/>
  <c r="I371" i="53"/>
  <c r="I367" i="53"/>
  <c r="I363" i="53"/>
  <c r="I359" i="53"/>
  <c r="I355" i="53"/>
  <c r="I351" i="53"/>
  <c r="I347" i="53"/>
  <c r="I343" i="53"/>
  <c r="I339" i="53"/>
  <c r="I335" i="53"/>
  <c r="I331" i="53"/>
  <c r="I327" i="53"/>
  <c r="I323" i="53"/>
  <c r="I319" i="53"/>
  <c r="I315" i="53"/>
  <c r="I311" i="53"/>
  <c r="I307" i="53"/>
  <c r="I303" i="53"/>
  <c r="I299" i="53"/>
  <c r="I295" i="53"/>
  <c r="I291" i="53"/>
  <c r="I287" i="53"/>
  <c r="I283" i="53"/>
  <c r="I279" i="53"/>
  <c r="I275" i="53"/>
  <c r="I271" i="53"/>
  <c r="I267" i="53"/>
  <c r="I263" i="53"/>
  <c r="I259" i="53"/>
  <c r="I255" i="53"/>
  <c r="I251" i="53"/>
  <c r="I247" i="53"/>
  <c r="I243" i="53"/>
  <c r="I239" i="53"/>
  <c r="I235" i="53"/>
  <c r="I231" i="53"/>
  <c r="I227" i="53"/>
  <c r="I223" i="53"/>
  <c r="I219" i="53"/>
  <c r="I215" i="53"/>
  <c r="I211" i="53"/>
  <c r="I207" i="53"/>
  <c r="I203" i="53"/>
  <c r="I199" i="53"/>
  <c r="I195" i="53"/>
  <c r="I191" i="53"/>
  <c r="I187" i="53"/>
  <c r="I183" i="53"/>
  <c r="I179" i="53"/>
  <c r="I175" i="53"/>
  <c r="I171" i="53"/>
  <c r="I167" i="53"/>
  <c r="I163" i="53"/>
  <c r="I159" i="53"/>
  <c r="I155" i="53"/>
  <c r="I151" i="53"/>
  <c r="I147" i="53"/>
  <c r="I143" i="53"/>
  <c r="I139" i="53"/>
  <c r="I135" i="53"/>
  <c r="I131" i="53"/>
  <c r="I127" i="53"/>
  <c r="I123" i="53"/>
  <c r="Q1835" i="53"/>
  <c r="Q1794" i="53"/>
  <c r="Q1754" i="53"/>
  <c r="Q1707" i="53"/>
  <c r="Q1666" i="53"/>
  <c r="Q1626" i="53"/>
  <c r="Q1579" i="53"/>
  <c r="Q1538" i="53"/>
  <c r="Q1498" i="53"/>
  <c r="Q1451" i="53"/>
  <c r="Q1410" i="53"/>
  <c r="Q1370" i="53"/>
  <c r="Q1323" i="53"/>
  <c r="Q1282" i="53"/>
  <c r="Q1242" i="53"/>
  <c r="Q1195" i="53"/>
  <c r="Q1163" i="53"/>
  <c r="Q1143" i="53"/>
  <c r="Q1120" i="53"/>
  <c r="Q1099" i="53"/>
  <c r="Q1079" i="53"/>
  <c r="Q1056" i="53"/>
  <c r="Q1035" i="53"/>
  <c r="Q1015" i="53"/>
  <c r="Q992" i="53"/>
  <c r="Q971" i="53"/>
  <c r="Q951" i="53"/>
  <c r="Q928" i="53"/>
  <c r="Q907" i="53"/>
  <c r="Q887" i="53"/>
  <c r="Q864" i="53"/>
  <c r="Q843" i="53"/>
  <c r="Q825" i="53"/>
  <c r="Q817" i="53"/>
  <c r="Q809" i="53"/>
  <c r="Q801" i="53"/>
  <c r="Q793" i="53"/>
  <c r="Q785" i="53"/>
  <c r="Q777" i="53"/>
  <c r="Q769" i="53"/>
  <c r="Q761" i="53"/>
  <c r="Q753" i="53"/>
  <c r="Q745" i="53"/>
  <c r="Q737" i="53"/>
  <c r="Q729" i="53"/>
  <c r="Q721" i="53"/>
  <c r="Q713" i="53"/>
  <c r="Q705" i="53"/>
  <c r="Q697" i="53"/>
  <c r="Q689" i="53"/>
  <c r="Q681" i="53"/>
  <c r="Q673" i="53"/>
  <c r="Q665" i="53"/>
  <c r="Q657" i="53"/>
  <c r="Q649" i="53"/>
  <c r="Q641" i="53"/>
  <c r="Q633" i="53"/>
  <c r="Q625" i="53"/>
  <c r="Q617" i="53"/>
  <c r="Q609" i="53"/>
  <c r="Q601" i="53"/>
  <c r="Q593" i="53"/>
  <c r="Q585" i="53"/>
  <c r="Q577" i="53"/>
  <c r="Q569" i="53"/>
  <c r="Q561" i="53"/>
  <c r="Q553" i="53"/>
  <c r="Q545" i="53"/>
  <c r="Q537" i="53"/>
  <c r="Q529" i="53"/>
  <c r="Q521" i="53"/>
  <c r="Q514" i="53"/>
  <c r="Q510" i="53"/>
  <c r="Q506" i="53"/>
  <c r="Q502" i="53"/>
  <c r="Q498" i="53"/>
  <c r="Q494" i="53"/>
  <c r="Q490" i="53"/>
  <c r="Q486" i="53"/>
  <c r="Q482" i="53"/>
  <c r="Q478" i="53"/>
  <c r="Q474" i="53"/>
  <c r="Q470" i="53"/>
  <c r="Q466" i="53"/>
  <c r="Q462" i="53"/>
  <c r="Q458" i="53"/>
  <c r="Q454" i="53"/>
  <c r="Q450" i="53"/>
  <c r="Q446" i="53"/>
  <c r="Q442" i="53"/>
  <c r="Q438" i="53"/>
  <c r="Q434" i="53"/>
  <c r="Q430" i="53"/>
  <c r="Q426" i="53"/>
  <c r="Q422" i="53"/>
  <c r="Q418" i="53"/>
  <c r="Q414" i="53"/>
  <c r="Q410" i="53"/>
  <c r="Q406" i="53"/>
  <c r="Q402" i="53"/>
  <c r="Q398" i="53"/>
  <c r="Q394" i="53"/>
  <c r="Q390" i="53"/>
  <c r="Q386" i="53"/>
  <c r="Q382" i="53"/>
  <c r="Q378" i="53"/>
  <c r="Q374" i="53"/>
  <c r="Q370" i="53"/>
  <c r="Q366" i="53"/>
  <c r="Q362" i="53"/>
  <c r="Q358" i="53"/>
  <c r="Q354" i="53"/>
  <c r="Q350" i="53"/>
  <c r="Q346" i="53"/>
  <c r="Q342" i="53"/>
  <c r="Q338" i="53"/>
  <c r="Q334" i="53"/>
  <c r="Q330" i="53"/>
  <c r="Q326" i="53"/>
  <c r="Q322" i="53"/>
  <c r="Q318" i="53"/>
  <c r="Q314" i="53"/>
  <c r="Q310" i="53"/>
  <c r="Q306" i="53"/>
  <c r="Q302" i="53"/>
  <c r="Q298" i="53"/>
  <c r="Q294" i="53"/>
  <c r="Q290" i="53"/>
  <c r="Q286" i="53"/>
  <c r="Q282" i="53"/>
  <c r="Q278" i="53"/>
  <c r="Q274" i="53"/>
  <c r="Q270" i="53"/>
  <c r="Q266" i="53"/>
  <c r="Q262" i="53"/>
  <c r="Q258" i="53"/>
  <c r="Q254" i="53"/>
  <c r="Q250" i="53"/>
  <c r="Q246" i="53"/>
  <c r="Q242" i="53"/>
  <c r="Q238" i="53"/>
  <c r="Q234" i="53"/>
  <c r="Q230" i="53"/>
  <c r="Q226" i="53"/>
  <c r="Q222" i="53"/>
  <c r="Q218" i="53"/>
  <c r="Q214" i="53"/>
  <c r="Q210" i="53"/>
  <c r="Q206" i="53"/>
  <c r="Q202" i="53"/>
  <c r="Q198" i="53"/>
  <c r="Q194" i="53"/>
  <c r="Q190" i="53"/>
  <c r="Q186" i="53"/>
  <c r="Q182" i="53"/>
  <c r="Q178" i="53"/>
  <c r="Q174" i="53"/>
  <c r="Q170" i="53"/>
  <c r="Q166" i="53"/>
  <c r="Q162" i="53"/>
  <c r="Q158" i="53"/>
  <c r="Q154" i="53"/>
  <c r="Q150" i="53"/>
  <c r="Q146" i="53"/>
  <c r="Q142" i="53"/>
  <c r="Q138" i="53"/>
  <c r="Q134" i="53"/>
  <c r="Q130" i="53"/>
  <c r="Q126" i="53"/>
  <c r="Q122" i="53"/>
  <c r="Q1834" i="53"/>
  <c r="Q1787" i="53"/>
  <c r="Q1746" i="53"/>
  <c r="Q1706" i="53"/>
  <c r="Q1659" i="53"/>
  <c r="Q1618" i="53"/>
  <c r="Q1578" i="53"/>
  <c r="Q1531" i="53"/>
  <c r="Q1490" i="53"/>
  <c r="Q1450" i="53"/>
  <c r="Q1403" i="53"/>
  <c r="Q1362" i="53"/>
  <c r="Q1322" i="53"/>
  <c r="Q1275" i="53"/>
  <c r="Q1234" i="53"/>
  <c r="Q1194" i="53"/>
  <c r="Q1160" i="53"/>
  <c r="Q1139" i="53"/>
  <c r="Q1119" i="53"/>
  <c r="Q1096" i="53"/>
  <c r="Q1075" i="53"/>
  <c r="Q1055" i="53"/>
  <c r="Q1032" i="53"/>
  <c r="Q1011" i="53"/>
  <c r="Q991" i="53"/>
  <c r="Q968" i="53"/>
  <c r="Q947" i="53"/>
  <c r="Q927" i="53"/>
  <c r="Q904" i="53"/>
  <c r="Q883" i="53"/>
  <c r="Q863" i="53"/>
  <c r="Q840" i="53"/>
  <c r="Q824" i="53"/>
  <c r="Q816" i="53"/>
  <c r="Q808" i="53"/>
  <c r="Q800" i="53"/>
  <c r="Q792" i="53"/>
  <c r="Q784" i="53"/>
  <c r="Q776" i="53"/>
  <c r="Q768" i="53"/>
  <c r="Q760" i="53"/>
  <c r="Q752" i="53"/>
  <c r="Q744" i="53"/>
  <c r="Q736" i="53"/>
  <c r="Q728" i="53"/>
  <c r="Q720" i="53"/>
  <c r="Q712" i="53"/>
  <c r="Q704" i="53"/>
  <c r="Q696" i="53"/>
  <c r="Q688" i="53"/>
  <c r="Q680" i="53"/>
  <c r="Q672" i="53"/>
  <c r="Q664" i="53"/>
  <c r="Q656" i="53"/>
  <c r="Q648" i="53"/>
  <c r="Q640" i="53"/>
  <c r="Q632" i="53"/>
  <c r="Q624" i="53"/>
  <c r="Q616" i="53"/>
  <c r="Q608" i="53"/>
  <c r="Q600" i="53"/>
  <c r="Q592" i="53"/>
  <c r="Q584" i="53"/>
  <c r="Q576" i="53"/>
  <c r="Q568" i="53"/>
  <c r="Q560" i="53"/>
  <c r="Q552" i="53"/>
  <c r="Q544" i="53"/>
  <c r="Q536" i="53"/>
  <c r="Q528" i="53"/>
  <c r="Q520" i="53"/>
  <c r="I514" i="53"/>
  <c r="I510" i="53"/>
  <c r="I506" i="53"/>
  <c r="I502" i="53"/>
  <c r="I498" i="53"/>
  <c r="I494" i="53"/>
  <c r="I490" i="53"/>
  <c r="I486" i="53"/>
  <c r="I482" i="53"/>
  <c r="I478" i="53"/>
  <c r="I474" i="53"/>
  <c r="I470" i="53"/>
  <c r="I466" i="53"/>
  <c r="I462" i="53"/>
  <c r="I458" i="53"/>
  <c r="I454" i="53"/>
  <c r="I450" i="53"/>
  <c r="I446" i="53"/>
  <c r="I442" i="53"/>
  <c r="I438" i="53"/>
  <c r="I434" i="53"/>
  <c r="I430" i="53"/>
  <c r="I426" i="53"/>
  <c r="I422" i="53"/>
  <c r="I418" i="53"/>
  <c r="I414" i="53"/>
  <c r="I410" i="53"/>
  <c r="I406" i="53"/>
  <c r="I402" i="53"/>
  <c r="I398" i="53"/>
  <c r="I394" i="53"/>
  <c r="I390" i="53"/>
  <c r="I386" i="53"/>
  <c r="I382" i="53"/>
  <c r="I378" i="53"/>
  <c r="I374" i="53"/>
  <c r="I370" i="53"/>
  <c r="I366" i="53"/>
  <c r="I362" i="53"/>
  <c r="I358" i="53"/>
  <c r="I354" i="53"/>
  <c r="I350" i="53"/>
  <c r="I346" i="53"/>
  <c r="I342" i="53"/>
  <c r="I338" i="53"/>
  <c r="I334" i="53"/>
  <c r="I330" i="53"/>
  <c r="I326" i="53"/>
  <c r="I322" i="53"/>
  <c r="I318" i="53"/>
  <c r="I314" i="53"/>
  <c r="I310" i="53"/>
  <c r="I306" i="53"/>
  <c r="I302" i="53"/>
  <c r="I298" i="53"/>
  <c r="I294" i="53"/>
  <c r="I290" i="53"/>
  <c r="I286" i="53"/>
  <c r="I282" i="53"/>
  <c r="I278" i="53"/>
  <c r="I274" i="53"/>
  <c r="I270" i="53"/>
  <c r="I266" i="53"/>
  <c r="I262" i="53"/>
  <c r="I258" i="53"/>
  <c r="I254" i="53"/>
  <c r="I250" i="53"/>
  <c r="I246" i="53"/>
  <c r="I242" i="53"/>
  <c r="I238" i="53"/>
  <c r="I234" i="53"/>
  <c r="I230" i="53"/>
  <c r="I226" i="53"/>
  <c r="I222" i="53"/>
  <c r="I218" i="53"/>
  <c r="I214" i="53"/>
  <c r="I210" i="53"/>
  <c r="I206" i="53"/>
  <c r="I202" i="53"/>
  <c r="I198" i="53"/>
  <c r="I194" i="53"/>
  <c r="I190" i="53"/>
  <c r="I186" i="53"/>
  <c r="I182" i="53"/>
  <c r="I178" i="53"/>
  <c r="I174" i="53"/>
  <c r="I170" i="53"/>
  <c r="I166" i="53"/>
  <c r="I162" i="53"/>
  <c r="I158" i="53"/>
  <c r="I154" i="53"/>
  <c r="I150" i="53"/>
  <c r="I146" i="53"/>
  <c r="I142" i="53"/>
  <c r="I138" i="53"/>
  <c r="I134" i="53"/>
  <c r="I130" i="53"/>
  <c r="I126" i="53"/>
  <c r="I122" i="53"/>
  <c r="Q1819" i="53"/>
  <c r="Q1778" i="53"/>
  <c r="Q1738" i="53"/>
  <c r="Q1691" i="53"/>
  <c r="Q1650" i="53"/>
  <c r="Q1610" i="53"/>
  <c r="Q1563" i="53"/>
  <c r="Q1522" i="53"/>
  <c r="Q1482" i="53"/>
  <c r="Q1435" i="53"/>
  <c r="Q1394" i="53"/>
  <c r="Q1354" i="53"/>
  <c r="Q1307" i="53"/>
  <c r="Q1266" i="53"/>
  <c r="Q1226" i="53"/>
  <c r="Q1179" i="53"/>
  <c r="Q1155" i="53"/>
  <c r="Q1135" i="53"/>
  <c r="Q1112" i="53"/>
  <c r="Q1091" i="53"/>
  <c r="Q1071" i="53"/>
  <c r="Q1048" i="53"/>
  <c r="Q1027" i="53"/>
  <c r="Q1007" i="53"/>
  <c r="Q984" i="53"/>
  <c r="Q963" i="53"/>
  <c r="Q943" i="53"/>
  <c r="Q920" i="53"/>
  <c r="Q899" i="53"/>
  <c r="Q879" i="53"/>
  <c r="Q856" i="53"/>
  <c r="Q835" i="53"/>
  <c r="Q822" i="53"/>
  <c r="Q814" i="53"/>
  <c r="Q806" i="53"/>
  <c r="Q798" i="53"/>
  <c r="Q790" i="53"/>
  <c r="Q782" i="53"/>
  <c r="Q774" i="53"/>
  <c r="Q766" i="53"/>
  <c r="Q758" i="53"/>
  <c r="Q750" i="53"/>
  <c r="Q742" i="53"/>
  <c r="Q734" i="53"/>
  <c r="Q726" i="53"/>
  <c r="Q718" i="53"/>
  <c r="Q710" i="53"/>
  <c r="Q702" i="53"/>
  <c r="Q694" i="53"/>
  <c r="Q686" i="53"/>
  <c r="Q678" i="53"/>
  <c r="Q670" i="53"/>
  <c r="Q662" i="53"/>
  <c r="Q654" i="53"/>
  <c r="Q646" i="53"/>
  <c r="Q638" i="53"/>
  <c r="Q630" i="53"/>
  <c r="Q622" i="53"/>
  <c r="Q614" i="53"/>
  <c r="Q606" i="53"/>
  <c r="Q598" i="53"/>
  <c r="Q590" i="53"/>
  <c r="Q582" i="53"/>
  <c r="Q574" i="53"/>
  <c r="Q566" i="53"/>
  <c r="Q558" i="53"/>
  <c r="Q550" i="53"/>
  <c r="Q542" i="53"/>
  <c r="Q534" i="53"/>
  <c r="Q526" i="53"/>
  <c r="Q518" i="53"/>
  <c r="I513" i="53"/>
  <c r="I509" i="53"/>
  <c r="I505" i="53"/>
  <c r="I501" i="53"/>
  <c r="I497" i="53"/>
  <c r="I493" i="53"/>
  <c r="I489" i="53"/>
  <c r="I485" i="53"/>
  <c r="I481" i="53"/>
  <c r="I477" i="53"/>
  <c r="I473" i="53"/>
  <c r="I469" i="53"/>
  <c r="I465" i="53"/>
  <c r="I461" i="53"/>
  <c r="I457" i="53"/>
  <c r="I453" i="53"/>
  <c r="I449" i="53"/>
  <c r="I445" i="53"/>
  <c r="I441" i="53"/>
  <c r="I437" i="53"/>
  <c r="I433" i="53"/>
  <c r="I429" i="53"/>
  <c r="I425" i="53"/>
  <c r="I421" i="53"/>
  <c r="I417" i="53"/>
  <c r="I413" i="53"/>
  <c r="I409" i="53"/>
  <c r="I405" i="53"/>
  <c r="I401" i="53"/>
  <c r="I397" i="53"/>
  <c r="I393" i="53"/>
  <c r="I389" i="53"/>
  <c r="I385" i="53"/>
  <c r="I381" i="53"/>
  <c r="I377" i="53"/>
  <c r="I373" i="53"/>
  <c r="I369" i="53"/>
  <c r="I365" i="53"/>
  <c r="I361" i="53"/>
  <c r="I357" i="53"/>
  <c r="I353" i="53"/>
  <c r="I349" i="53"/>
  <c r="I345" i="53"/>
  <c r="I341" i="53"/>
  <c r="I337" i="53"/>
  <c r="I333" i="53"/>
  <c r="I329" i="53"/>
  <c r="I325" i="53"/>
  <c r="I321" i="53"/>
  <c r="I317" i="53"/>
  <c r="I313" i="53"/>
  <c r="I309" i="53"/>
  <c r="I305" i="53"/>
  <c r="I301" i="53"/>
  <c r="I297" i="53"/>
  <c r="I293" i="53"/>
  <c r="I289" i="53"/>
  <c r="I285" i="53"/>
  <c r="I281" i="53"/>
  <c r="I277" i="53"/>
  <c r="I273" i="53"/>
  <c r="I269" i="53"/>
  <c r="I265" i="53"/>
  <c r="I261" i="53"/>
  <c r="I257" i="53"/>
  <c r="I253" i="53"/>
  <c r="I249" i="53"/>
  <c r="I245" i="53"/>
  <c r="I241" i="53"/>
  <c r="I237" i="53"/>
  <c r="I233" i="53"/>
  <c r="I229" i="53"/>
  <c r="I225" i="53"/>
  <c r="I221" i="53"/>
  <c r="I217" i="53"/>
  <c r="I213" i="53"/>
  <c r="I209" i="53"/>
  <c r="I205" i="53"/>
  <c r="I201" i="53"/>
  <c r="I197" i="53"/>
  <c r="I193" i="53"/>
  <c r="I189" i="53"/>
  <c r="I185" i="53"/>
  <c r="I181" i="53"/>
  <c r="I177" i="53"/>
  <c r="I173" i="53"/>
  <c r="I169" i="53"/>
  <c r="I165" i="53"/>
  <c r="I161" i="53"/>
  <c r="I157" i="53"/>
  <c r="I153" i="53"/>
  <c r="I149" i="53"/>
  <c r="I145" i="53"/>
  <c r="I141" i="53"/>
  <c r="I137" i="53"/>
  <c r="I133" i="53"/>
  <c r="I129" i="53"/>
  <c r="I125" i="53"/>
  <c r="I121" i="53"/>
  <c r="Q1818" i="53"/>
  <c r="Q1771" i="53"/>
  <c r="Q1730" i="53"/>
  <c r="Q1690" i="53"/>
  <c r="Q1643" i="53"/>
  <c r="Q1602" i="53"/>
  <c r="Q1562" i="53"/>
  <c r="Q1515" i="53"/>
  <c r="Q1474" i="53"/>
  <c r="Q1434" i="53"/>
  <c r="Q1387" i="53"/>
  <c r="Q1346" i="53"/>
  <c r="Q1306" i="53"/>
  <c r="Q1259" i="53"/>
  <c r="Q1218" i="53"/>
  <c r="Q1178" i="53"/>
  <c r="Q1152" i="53"/>
  <c r="Q1131" i="53"/>
  <c r="Q1111" i="53"/>
  <c r="Q1088" i="53"/>
  <c r="Q1067" i="53"/>
  <c r="Q1047" i="53"/>
  <c r="Q1024" i="53"/>
  <c r="Q1003" i="53"/>
  <c r="Q983" i="53"/>
  <c r="Q960" i="53"/>
  <c r="Q939" i="53"/>
  <c r="Q919" i="53"/>
  <c r="Q896" i="53"/>
  <c r="Q875" i="53"/>
  <c r="Q855" i="53"/>
  <c r="Q832" i="53"/>
  <c r="Q821" i="53"/>
  <c r="Q813" i="53"/>
  <c r="Q805" i="53"/>
  <c r="Q797" i="53"/>
  <c r="Q789" i="53"/>
  <c r="Q781" i="53"/>
  <c r="Q773" i="53"/>
  <c r="Q765" i="53"/>
  <c r="Q757" i="53"/>
  <c r="Q749" i="53"/>
  <c r="Q741" i="53"/>
  <c r="Q733" i="53"/>
  <c r="Q725" i="53"/>
  <c r="Q717" i="53"/>
  <c r="Q709" i="53"/>
  <c r="Q701" i="53"/>
  <c r="Q693" i="53"/>
  <c r="Q685" i="53"/>
  <c r="Q677" i="53"/>
  <c r="Q669" i="53"/>
  <c r="Q661" i="53"/>
  <c r="Q653" i="53"/>
  <c r="Q645" i="53"/>
  <c r="Q637" i="53"/>
  <c r="Q629" i="53"/>
  <c r="Q621" i="53"/>
  <c r="Q613" i="53"/>
  <c r="Q605" i="53"/>
  <c r="Q597" i="53"/>
  <c r="Q589" i="53"/>
  <c r="Q581" i="53"/>
  <c r="Q573" i="53"/>
  <c r="Q565" i="53"/>
  <c r="Q557" i="53"/>
  <c r="Q549" i="53"/>
  <c r="Q541" i="53"/>
  <c r="Q533" i="53"/>
  <c r="Q525" i="53"/>
  <c r="Q517" i="53"/>
  <c r="Q512" i="53"/>
  <c r="Q508" i="53"/>
  <c r="Q504" i="53"/>
  <c r="Q500" i="53"/>
  <c r="Q496" i="53"/>
  <c r="Q492" i="53"/>
  <c r="Q488" i="53"/>
  <c r="Q484" i="53"/>
  <c r="Q480" i="53"/>
  <c r="Q476" i="53"/>
  <c r="Q472" i="53"/>
  <c r="Q468" i="53"/>
  <c r="Q464" i="53"/>
  <c r="Q460" i="53"/>
  <c r="Q456" i="53"/>
  <c r="Q452" i="53"/>
  <c r="Q448" i="53"/>
  <c r="Q444" i="53"/>
  <c r="Q440" i="53"/>
  <c r="Q436" i="53"/>
  <c r="Q432" i="53"/>
  <c r="Q428" i="53"/>
  <c r="Q424" i="53"/>
  <c r="Q420" i="53"/>
  <c r="Q416" i="53"/>
  <c r="Q412" i="53"/>
  <c r="Q408" i="53"/>
  <c r="Q404" i="53"/>
  <c r="Q400" i="53"/>
  <c r="Q396" i="53"/>
  <c r="Q392" i="53"/>
  <c r="Q388" i="53"/>
  <c r="Q384" i="53"/>
  <c r="Q380" i="53"/>
  <c r="Q376" i="53"/>
  <c r="Q372" i="53"/>
  <c r="Q368" i="53"/>
  <c r="Q364" i="53"/>
  <c r="Q360" i="53"/>
  <c r="Q356" i="53"/>
  <c r="Q352" i="53"/>
  <c r="Q348" i="53"/>
  <c r="Q344" i="53"/>
  <c r="Q340" i="53"/>
  <c r="Q336" i="53"/>
  <c r="Q332" i="53"/>
  <c r="Q328" i="53"/>
  <c r="Q324" i="53"/>
  <c r="Q320" i="53"/>
  <c r="Q316" i="53"/>
  <c r="Q312" i="53"/>
  <c r="Q308" i="53"/>
  <c r="Q304" i="53"/>
  <c r="Q300" i="53"/>
  <c r="Q296" i="53"/>
  <c r="Q292" i="53"/>
  <c r="Q288" i="53"/>
  <c r="Q284" i="53"/>
  <c r="Q280" i="53"/>
  <c r="Q276" i="53"/>
  <c r="Q272" i="53"/>
  <c r="Q268" i="53"/>
  <c r="Q264" i="53"/>
  <c r="Q260" i="53"/>
  <c r="Q256" i="53"/>
  <c r="Q252" i="53"/>
  <c r="Q248" i="53"/>
  <c r="Q244" i="53"/>
  <c r="Q240" i="53"/>
  <c r="Q236" i="53"/>
  <c r="Q232" i="53"/>
  <c r="Q228" i="53"/>
  <c r="Q224" i="53"/>
  <c r="Q220" i="53"/>
  <c r="Q216" i="53"/>
  <c r="Q212" i="53"/>
  <c r="Q208" i="53"/>
  <c r="Q204" i="53"/>
  <c r="Q200" i="53"/>
  <c r="Q196" i="53"/>
  <c r="Q192" i="53"/>
  <c r="Q188" i="53"/>
  <c r="Q184" i="53"/>
  <c r="Q180" i="53"/>
  <c r="Q176" i="53"/>
  <c r="Q172" i="53"/>
  <c r="Q168" i="53"/>
  <c r="Q164" i="53"/>
  <c r="Q160" i="53"/>
  <c r="Q156" i="53"/>
  <c r="Q152" i="53"/>
  <c r="Q148" i="53"/>
  <c r="Q144" i="53"/>
  <c r="Q140" i="53"/>
  <c r="Q136" i="53"/>
  <c r="Q132" i="53"/>
  <c r="Q128" i="53"/>
  <c r="Q124" i="53"/>
  <c r="Q120" i="53"/>
  <c r="Q1826" i="53"/>
  <c r="Q1722" i="53"/>
  <c r="Q1595" i="53"/>
  <c r="Q1483" i="53"/>
  <c r="Q1378" i="53"/>
  <c r="Q1258" i="53"/>
  <c r="Q1159" i="53"/>
  <c r="Q1104" i="53"/>
  <c r="Q1043" i="53"/>
  <c r="Q987" i="53"/>
  <c r="Q935" i="53"/>
  <c r="Q872" i="53"/>
  <c r="Q823" i="53"/>
  <c r="Q803" i="53"/>
  <c r="Q780" i="53"/>
  <c r="Q759" i="53"/>
  <c r="Q739" i="53"/>
  <c r="Q716" i="53"/>
  <c r="Q695" i="53"/>
  <c r="Q675" i="53"/>
  <c r="Q652" i="53"/>
  <c r="Q631" i="53"/>
  <c r="Q611" i="53"/>
  <c r="Q588" i="53"/>
  <c r="Q567" i="53"/>
  <c r="Q547" i="53"/>
  <c r="Q524" i="53"/>
  <c r="Q509" i="53"/>
  <c r="Q499" i="53"/>
  <c r="I488" i="53"/>
  <c r="Q477" i="53"/>
  <c r="Q467" i="53"/>
  <c r="I456" i="53"/>
  <c r="Q445" i="53"/>
  <c r="Q435" i="53"/>
  <c r="I424" i="53"/>
  <c r="Q413" i="53"/>
  <c r="Q403" i="53"/>
  <c r="I392" i="53"/>
  <c r="Q381" i="53"/>
  <c r="Q371" i="53"/>
  <c r="I360" i="53"/>
  <c r="Q349" i="53"/>
  <c r="Q339" i="53"/>
  <c r="I328" i="53"/>
  <c r="Q317" i="53"/>
  <c r="Q307" i="53"/>
  <c r="I296" i="53"/>
  <c r="Q285" i="53"/>
  <c r="Q275" i="53"/>
  <c r="I264" i="53"/>
  <c r="Q253" i="53"/>
  <c r="Q243" i="53"/>
  <c r="I232" i="53"/>
  <c r="Q221" i="53"/>
  <c r="Q211" i="53"/>
  <c r="I200" i="53"/>
  <c r="Q189" i="53"/>
  <c r="Q179" i="53"/>
  <c r="I168" i="53"/>
  <c r="Q157" i="53"/>
  <c r="Q147" i="53"/>
  <c r="I136" i="53"/>
  <c r="Q125" i="53"/>
  <c r="I118" i="53"/>
  <c r="I114" i="53"/>
  <c r="I110" i="53"/>
  <c r="I106" i="53"/>
  <c r="I102" i="53"/>
  <c r="I98" i="53"/>
  <c r="I94" i="53"/>
  <c r="I90" i="53"/>
  <c r="I86" i="53"/>
  <c r="I82" i="53"/>
  <c r="I78" i="53"/>
  <c r="I74" i="53"/>
  <c r="I70" i="53"/>
  <c r="I66" i="53"/>
  <c r="I62" i="53"/>
  <c r="I58" i="53"/>
  <c r="I54" i="53"/>
  <c r="I50" i="53"/>
  <c r="I46" i="53"/>
  <c r="I42" i="53"/>
  <c r="I38" i="53"/>
  <c r="I34" i="53"/>
  <c r="I30" i="53"/>
  <c r="I26" i="53"/>
  <c r="I22" i="53"/>
  <c r="I18" i="53"/>
  <c r="Q239" i="53"/>
  <c r="Q116" i="53"/>
  <c r="Q100" i="53"/>
  <c r="Q80" i="53"/>
  <c r="Q64" i="53"/>
  <c r="Q44" i="53"/>
  <c r="Q24" i="53"/>
  <c r="Q1426" i="53"/>
  <c r="Q1072" i="53"/>
  <c r="Q848" i="53"/>
  <c r="Q727" i="53"/>
  <c r="Q643" i="53"/>
  <c r="Q535" i="53"/>
  <c r="Q493" i="53"/>
  <c r="Q461" i="53"/>
  <c r="I408" i="53"/>
  <c r="I376" i="53"/>
  <c r="Q323" i="53"/>
  <c r="I280" i="53"/>
  <c r="I216" i="53"/>
  <c r="Q163" i="53"/>
  <c r="I120" i="53"/>
  <c r="I104" i="53"/>
  <c r="I88" i="53"/>
  <c r="I72" i="53"/>
  <c r="I56" i="53"/>
  <c r="I32" i="53"/>
  <c r="I16" i="53"/>
  <c r="Q1530" i="53"/>
  <c r="Q1810" i="53"/>
  <c r="Q1698" i="53"/>
  <c r="Q1594" i="53"/>
  <c r="Q1467" i="53"/>
  <c r="Q1355" i="53"/>
  <c r="Q1250" i="53"/>
  <c r="Q1151" i="53"/>
  <c r="Q1095" i="53"/>
  <c r="Q1040" i="53"/>
  <c r="Q979" i="53"/>
  <c r="Q923" i="53"/>
  <c r="Q871" i="53"/>
  <c r="Q820" i="53"/>
  <c r="Q799" i="53"/>
  <c r="Q779" i="53"/>
  <c r="Q756" i="53"/>
  <c r="Q735" i="53"/>
  <c r="Q715" i="53"/>
  <c r="Q692" i="53"/>
  <c r="Q671" i="53"/>
  <c r="Q651" i="53"/>
  <c r="Q628" i="53"/>
  <c r="Q607" i="53"/>
  <c r="Q587" i="53"/>
  <c r="Q564" i="53"/>
  <c r="Q543" i="53"/>
  <c r="Q523" i="53"/>
  <c r="I508" i="53"/>
  <c r="Q497" i="53"/>
  <c r="Q487" i="53"/>
  <c r="I476" i="53"/>
  <c r="Q465" i="53"/>
  <c r="Q455" i="53"/>
  <c r="I444" i="53"/>
  <c r="Q433" i="53"/>
  <c r="Q423" i="53"/>
  <c r="I412" i="53"/>
  <c r="Q401" i="53"/>
  <c r="Q391" i="53"/>
  <c r="I380" i="53"/>
  <c r="Q369" i="53"/>
  <c r="Q359" i="53"/>
  <c r="I348" i="53"/>
  <c r="Q337" i="53"/>
  <c r="Q327" i="53"/>
  <c r="I316" i="53"/>
  <c r="Q305" i="53"/>
  <c r="Q295" i="53"/>
  <c r="I284" i="53"/>
  <c r="Q273" i="53"/>
  <c r="Q263" i="53"/>
  <c r="I252" i="53"/>
  <c r="Q241" i="53"/>
  <c r="Q231" i="53"/>
  <c r="I220" i="53"/>
  <c r="Q209" i="53"/>
  <c r="Q199" i="53"/>
  <c r="I188" i="53"/>
  <c r="Q177" i="53"/>
  <c r="Q167" i="53"/>
  <c r="I156" i="53"/>
  <c r="Q145" i="53"/>
  <c r="Q135" i="53"/>
  <c r="I124" i="53"/>
  <c r="Q117" i="53"/>
  <c r="Q113" i="53"/>
  <c r="Q109" i="53"/>
  <c r="Q105" i="53"/>
  <c r="Q101" i="53"/>
  <c r="Q97" i="53"/>
  <c r="Q93" i="53"/>
  <c r="Q89" i="53"/>
  <c r="Q85" i="53"/>
  <c r="Q81" i="53"/>
  <c r="Q77" i="53"/>
  <c r="Q73" i="53"/>
  <c r="Q69" i="53"/>
  <c r="Q65" i="53"/>
  <c r="Q61" i="53"/>
  <c r="Q57" i="53"/>
  <c r="Q53" i="53"/>
  <c r="Q49" i="53"/>
  <c r="Q45" i="53"/>
  <c r="Q41" i="53"/>
  <c r="Q37" i="53"/>
  <c r="Q33" i="53"/>
  <c r="Q29" i="53"/>
  <c r="Q25" i="53"/>
  <c r="Q21" i="53"/>
  <c r="Q17" i="53"/>
  <c r="Q249" i="53"/>
  <c r="Q112" i="53"/>
  <c r="Q92" i="53"/>
  <c r="Q76" i="53"/>
  <c r="Q56" i="53"/>
  <c r="Q36" i="53"/>
  <c r="Q1547" i="53"/>
  <c r="Q1314" i="53"/>
  <c r="Q1019" i="53"/>
  <c r="Q812" i="53"/>
  <c r="Q748" i="53"/>
  <c r="Q599" i="53"/>
  <c r="I504" i="53"/>
  <c r="I440" i="53"/>
  <c r="Q397" i="53"/>
  <c r="Q365" i="53"/>
  <c r="I344" i="53"/>
  <c r="I312" i="53"/>
  <c r="Q259" i="53"/>
  <c r="Q227" i="53"/>
  <c r="Q205" i="53"/>
  <c r="Q173" i="53"/>
  <c r="Q141" i="53"/>
  <c r="I108" i="53"/>
  <c r="I92" i="53"/>
  <c r="I80" i="53"/>
  <c r="I48" i="53"/>
  <c r="I36" i="53"/>
  <c r="I20" i="53"/>
  <c r="Q1762" i="53"/>
  <c r="Q1803" i="53"/>
  <c r="Q1682" i="53"/>
  <c r="Q1570" i="53"/>
  <c r="Q1466" i="53"/>
  <c r="Q1339" i="53"/>
  <c r="Q1227" i="53"/>
  <c r="Q1147" i="53"/>
  <c r="Q1087" i="53"/>
  <c r="Q1031" i="53"/>
  <c r="Q976" i="53"/>
  <c r="Q915" i="53"/>
  <c r="Q859" i="53"/>
  <c r="Q819" i="53"/>
  <c r="Q796" i="53"/>
  <c r="Q775" i="53"/>
  <c r="Q755" i="53"/>
  <c r="Q732" i="53"/>
  <c r="Q711" i="53"/>
  <c r="Q691" i="53"/>
  <c r="Q668" i="53"/>
  <c r="Q647" i="53"/>
  <c r="Q627" i="53"/>
  <c r="Q604" i="53"/>
  <c r="Q583" i="53"/>
  <c r="Q563" i="53"/>
  <c r="Q540" i="53"/>
  <c r="Q519" i="53"/>
  <c r="Q507" i="53"/>
  <c r="I496" i="53"/>
  <c r="Q485" i="53"/>
  <c r="Q475" i="53"/>
  <c r="I464" i="53"/>
  <c r="Q453" i="53"/>
  <c r="Q443" i="53"/>
  <c r="I432" i="53"/>
  <c r="Q421" i="53"/>
  <c r="Q411" i="53"/>
  <c r="I400" i="53"/>
  <c r="Q389" i="53"/>
  <c r="Q379" i="53"/>
  <c r="I368" i="53"/>
  <c r="Q357" i="53"/>
  <c r="Q347" i="53"/>
  <c r="I336" i="53"/>
  <c r="Q325" i="53"/>
  <c r="Q315" i="53"/>
  <c r="I304" i="53"/>
  <c r="Q293" i="53"/>
  <c r="Q283" i="53"/>
  <c r="I272" i="53"/>
  <c r="Q261" i="53"/>
  <c r="Q251" i="53"/>
  <c r="I240" i="53"/>
  <c r="Q229" i="53"/>
  <c r="Q219" i="53"/>
  <c r="I208" i="53"/>
  <c r="Q197" i="53"/>
  <c r="Q187" i="53"/>
  <c r="I176" i="53"/>
  <c r="Q165" i="53"/>
  <c r="Q155" i="53"/>
  <c r="I144" i="53"/>
  <c r="Q133" i="53"/>
  <c r="Q123" i="53"/>
  <c r="I117" i="53"/>
  <c r="I113" i="53"/>
  <c r="I109" i="53"/>
  <c r="I105" i="53"/>
  <c r="I101" i="53"/>
  <c r="I97" i="53"/>
  <c r="I93" i="53"/>
  <c r="I89" i="53"/>
  <c r="I85" i="53"/>
  <c r="I81" i="53"/>
  <c r="I77" i="53"/>
  <c r="I73" i="53"/>
  <c r="I69" i="53"/>
  <c r="I65" i="53"/>
  <c r="I61" i="53"/>
  <c r="I57" i="53"/>
  <c r="I53" i="53"/>
  <c r="I49" i="53"/>
  <c r="I45" i="53"/>
  <c r="I41" i="53"/>
  <c r="I37" i="53"/>
  <c r="I33" i="53"/>
  <c r="I29" i="53"/>
  <c r="I25" i="53"/>
  <c r="I21" i="53"/>
  <c r="I17" i="53"/>
  <c r="I260" i="53"/>
  <c r="I196" i="53"/>
  <c r="Q175" i="53"/>
  <c r="I164" i="53"/>
  <c r="Q143" i="53"/>
  <c r="Q121" i="53"/>
  <c r="Q108" i="53"/>
  <c r="Q96" i="53"/>
  <c r="Q84" i="53"/>
  <c r="Q72" i="53"/>
  <c r="Q60" i="53"/>
  <c r="Q48" i="53"/>
  <c r="Q32" i="53"/>
  <c r="Q20" i="53"/>
  <c r="Q1770" i="53"/>
  <c r="Q1128" i="53"/>
  <c r="Q959" i="53"/>
  <c r="Q791" i="53"/>
  <c r="Q707" i="53"/>
  <c r="Q620" i="53"/>
  <c r="Q556" i="53"/>
  <c r="I472" i="53"/>
  <c r="Q429" i="53"/>
  <c r="Q387" i="53"/>
  <c r="Q333" i="53"/>
  <c r="Q291" i="53"/>
  <c r="I248" i="53"/>
  <c r="Q195" i="53"/>
  <c r="I152" i="53"/>
  <c r="I112" i="53"/>
  <c r="I100" i="53"/>
  <c r="I84" i="53"/>
  <c r="I68" i="53"/>
  <c r="I64" i="53"/>
  <c r="I52" i="53"/>
  <c r="I44" i="53"/>
  <c r="I28" i="53"/>
  <c r="Q1419" i="53"/>
  <c r="Q1786" i="53"/>
  <c r="Q1675" i="53"/>
  <c r="Q1554" i="53"/>
  <c r="Q1442" i="53"/>
  <c r="Q1338" i="53"/>
  <c r="Q1211" i="53"/>
  <c r="Q1136" i="53"/>
  <c r="Q1083" i="53"/>
  <c r="Q1023" i="53"/>
  <c r="Q967" i="53"/>
  <c r="Q912" i="53"/>
  <c r="Q851" i="53"/>
  <c r="Q815" i="53"/>
  <c r="Q795" i="53"/>
  <c r="Q772" i="53"/>
  <c r="Q751" i="53"/>
  <c r="Q731" i="53"/>
  <c r="Q708" i="53"/>
  <c r="Q687" i="53"/>
  <c r="Q667" i="53"/>
  <c r="Q644" i="53"/>
  <c r="Q623" i="53"/>
  <c r="Q603" i="53"/>
  <c r="Q580" i="53"/>
  <c r="Q559" i="53"/>
  <c r="Q539" i="53"/>
  <c r="Q516" i="53"/>
  <c r="Q505" i="53"/>
  <c r="Q495" i="53"/>
  <c r="I484" i="53"/>
  <c r="Q473" i="53"/>
  <c r="Q463" i="53"/>
  <c r="I452" i="53"/>
  <c r="Q441" i="53"/>
  <c r="Q431" i="53"/>
  <c r="I420" i="53"/>
  <c r="Q409" i="53"/>
  <c r="Q399" i="53"/>
  <c r="I388" i="53"/>
  <c r="Q377" i="53"/>
  <c r="Q367" i="53"/>
  <c r="I356" i="53"/>
  <c r="Q345" i="53"/>
  <c r="Q335" i="53"/>
  <c r="I324" i="53"/>
  <c r="Q313" i="53"/>
  <c r="Q303" i="53"/>
  <c r="I292" i="53"/>
  <c r="Q281" i="53"/>
  <c r="Q271" i="53"/>
  <c r="I228" i="53"/>
  <c r="Q217" i="53"/>
  <c r="Q207" i="53"/>
  <c r="Q185" i="53"/>
  <c r="Q153" i="53"/>
  <c r="I132" i="53"/>
  <c r="Q104" i="53"/>
  <c r="Q88" i="53"/>
  <c r="Q68" i="53"/>
  <c r="Q52" i="53"/>
  <c r="Q40" i="53"/>
  <c r="Q28" i="53"/>
  <c r="Q1658" i="53"/>
  <c r="Q1210" i="53"/>
  <c r="Q903" i="53"/>
  <c r="Q771" i="53"/>
  <c r="Q684" i="53"/>
  <c r="Q663" i="53"/>
  <c r="Q579" i="53"/>
  <c r="Q515" i="53"/>
  <c r="Q483" i="53"/>
  <c r="Q451" i="53"/>
  <c r="Q419" i="53"/>
  <c r="Q355" i="53"/>
  <c r="Q301" i="53"/>
  <c r="Q269" i="53"/>
  <c r="Q237" i="53"/>
  <c r="I184" i="53"/>
  <c r="Q131" i="53"/>
  <c r="I116" i="53"/>
  <c r="I96" i="53"/>
  <c r="I76" i="53"/>
  <c r="I60" i="53"/>
  <c r="I40" i="53"/>
  <c r="I24" i="53"/>
  <c r="Q1739" i="53"/>
  <c r="Q1386" i="53"/>
  <c r="Q1115" i="53"/>
  <c r="Q955" i="53"/>
  <c r="Q828" i="53"/>
  <c r="Q764" i="53"/>
  <c r="Q703" i="53"/>
  <c r="Q655" i="53"/>
  <c r="Q595" i="53"/>
  <c r="Q532" i="53"/>
  <c r="I500" i="53"/>
  <c r="Q469" i="53"/>
  <c r="Q439" i="53"/>
  <c r="Q415" i="53"/>
  <c r="I384" i="53"/>
  <c r="Q353" i="53"/>
  <c r="Q329" i="53"/>
  <c r="Q299" i="53"/>
  <c r="I268" i="53"/>
  <c r="I244" i="53"/>
  <c r="Q213" i="53"/>
  <c r="Q183" i="53"/>
  <c r="Q159" i="53"/>
  <c r="I128" i="53"/>
  <c r="Q111" i="53"/>
  <c r="Q102" i="53"/>
  <c r="I91" i="53"/>
  <c r="Q79" i="53"/>
  <c r="Q70" i="53"/>
  <c r="I59" i="53"/>
  <c r="Q47" i="53"/>
  <c r="Q38" i="53"/>
  <c r="I27" i="53"/>
  <c r="I47" i="53"/>
  <c r="Q26" i="53"/>
  <c r="Q489" i="53"/>
  <c r="Q343" i="53"/>
  <c r="Q257" i="53"/>
  <c r="I148" i="53"/>
  <c r="Q75" i="53"/>
  <c r="Q43" i="53"/>
  <c r="Q724" i="53"/>
  <c r="Q511" i="53"/>
  <c r="I364" i="53"/>
  <c r="I224" i="53"/>
  <c r="Q106" i="53"/>
  <c r="Q83" i="53"/>
  <c r="Q74" i="53"/>
  <c r="I31" i="53"/>
  <c r="Q1506" i="53"/>
  <c r="Q783" i="53"/>
  <c r="Q551" i="53"/>
  <c r="Q417" i="53"/>
  <c r="Q247" i="53"/>
  <c r="Q103" i="53"/>
  <c r="Q62" i="53"/>
  <c r="I19" i="53"/>
  <c r="Q831" i="53"/>
  <c r="Q719" i="53"/>
  <c r="Q501" i="53"/>
  <c r="Q385" i="53"/>
  <c r="Q245" i="53"/>
  <c r="Q114" i="53"/>
  <c r="I71" i="53"/>
  <c r="Q27" i="53"/>
  <c r="Q1723" i="53"/>
  <c r="Q1298" i="53"/>
  <c r="Q1107" i="53"/>
  <c r="Q944" i="53"/>
  <c r="Q811" i="53"/>
  <c r="Q763" i="53"/>
  <c r="Q700" i="53"/>
  <c r="Q639" i="53"/>
  <c r="Q591" i="53"/>
  <c r="Q531" i="53"/>
  <c r="I492" i="53"/>
  <c r="I468" i="53"/>
  <c r="Q437" i="53"/>
  <c r="Q407" i="53"/>
  <c r="Q383" i="53"/>
  <c r="I352" i="53"/>
  <c r="Q321" i="53"/>
  <c r="Q297" i="53"/>
  <c r="Q267" i="53"/>
  <c r="I236" i="53"/>
  <c r="I212" i="53"/>
  <c r="Q181" i="53"/>
  <c r="Q151" i="53"/>
  <c r="Q127" i="53"/>
  <c r="I111" i="53"/>
  <c r="Q99" i="53"/>
  <c r="Q90" i="53"/>
  <c r="I79" i="53"/>
  <c r="Q67" i="53"/>
  <c r="Q58" i="53"/>
  <c r="Q35" i="53"/>
  <c r="I35" i="53"/>
  <c r="I428" i="53"/>
  <c r="I172" i="53"/>
  <c r="Q107" i="53"/>
  <c r="I55" i="53"/>
  <c r="I23" i="53"/>
  <c r="Q676" i="53"/>
  <c r="Q425" i="53"/>
  <c r="Q279" i="53"/>
  <c r="Q139" i="53"/>
  <c r="I63" i="53"/>
  <c r="Q1000" i="53"/>
  <c r="Q503" i="53"/>
  <c r="Q363" i="53"/>
  <c r="Q161" i="53"/>
  <c r="I83" i="53"/>
  <c r="Q30" i="53"/>
  <c r="Q999" i="53"/>
  <c r="Q659" i="53"/>
  <c r="Q447" i="53"/>
  <c r="Q331" i="53"/>
  <c r="Q191" i="53"/>
  <c r="Q82" i="53"/>
  <c r="Q18" i="53"/>
  <c r="Q1642" i="53"/>
  <c r="Q1291" i="53"/>
  <c r="Q1064" i="53"/>
  <c r="Q936" i="53"/>
  <c r="Q807" i="53"/>
  <c r="Q747" i="53"/>
  <c r="Q699" i="53"/>
  <c r="Q636" i="53"/>
  <c r="Q575" i="53"/>
  <c r="Q527" i="53"/>
  <c r="Q491" i="53"/>
  <c r="I460" i="53"/>
  <c r="I436" i="53"/>
  <c r="Q405" i="53"/>
  <c r="Q375" i="53"/>
  <c r="Q351" i="53"/>
  <c r="I320" i="53"/>
  <c r="Q289" i="53"/>
  <c r="Q265" i="53"/>
  <c r="Q235" i="53"/>
  <c r="I204" i="53"/>
  <c r="I180" i="53"/>
  <c r="Q149" i="53"/>
  <c r="Q119" i="53"/>
  <c r="Q110" i="53"/>
  <c r="I99" i="53"/>
  <c r="Q87" i="53"/>
  <c r="Q78" i="53"/>
  <c r="I67" i="53"/>
  <c r="Q55" i="53"/>
  <c r="Q23" i="53"/>
  <c r="I404" i="53"/>
  <c r="I288" i="53"/>
  <c r="Q203" i="53"/>
  <c r="I119" i="53"/>
  <c r="Q98" i="53"/>
  <c r="Q66" i="53"/>
  <c r="Q34" i="53"/>
  <c r="Q787" i="53"/>
  <c r="Q449" i="53"/>
  <c r="Q309" i="53"/>
  <c r="Q193" i="53"/>
  <c r="I95" i="53"/>
  <c r="Q42" i="53"/>
  <c r="Q723" i="53"/>
  <c r="Q479" i="53"/>
  <c r="I332" i="53"/>
  <c r="I192" i="53"/>
  <c r="Q94" i="53"/>
  <c r="I51" i="53"/>
  <c r="Q767" i="53"/>
  <c r="Q596" i="53"/>
  <c r="Q471" i="53"/>
  <c r="I300" i="53"/>
  <c r="Q129" i="53"/>
  <c r="Q59" i="53"/>
  <c r="Q1634" i="53"/>
  <c r="Q1274" i="53"/>
  <c r="Q1063" i="53"/>
  <c r="Q895" i="53"/>
  <c r="Q804" i="53"/>
  <c r="Q743" i="53"/>
  <c r="Q683" i="53"/>
  <c r="Q635" i="53"/>
  <c r="Q572" i="53"/>
  <c r="Q513" i="53"/>
  <c r="Q459" i="53"/>
  <c r="Q373" i="53"/>
  <c r="Q319" i="53"/>
  <c r="Q233" i="53"/>
  <c r="I87" i="53"/>
  <c r="Q615" i="53"/>
  <c r="Q395" i="53"/>
  <c r="Q255" i="53"/>
  <c r="Q115" i="53"/>
  <c r="Q51" i="53"/>
  <c r="Q1168" i="53"/>
  <c r="Q612" i="53"/>
  <c r="I448" i="53"/>
  <c r="I308" i="53"/>
  <c r="Q223" i="53"/>
  <c r="I115" i="53"/>
  <c r="Q71" i="53"/>
  <c r="Q1127" i="53"/>
  <c r="I416" i="53"/>
  <c r="I276" i="53"/>
  <c r="I160" i="53"/>
  <c r="Q91" i="53"/>
  <c r="I39" i="53"/>
  <c r="Q1611" i="53"/>
  <c r="Q1186" i="53"/>
  <c r="Q1051" i="53"/>
  <c r="Q891" i="53"/>
  <c r="Q788" i="53"/>
  <c r="Q740" i="53"/>
  <c r="Q679" i="53"/>
  <c r="Q619" i="53"/>
  <c r="Q571" i="53"/>
  <c r="I512" i="53"/>
  <c r="Q481" i="53"/>
  <c r="Q457" i="53"/>
  <c r="Q427" i="53"/>
  <c r="I396" i="53"/>
  <c r="I372" i="53"/>
  <c r="Q341" i="53"/>
  <c r="Q311" i="53"/>
  <c r="Q287" i="53"/>
  <c r="I256" i="53"/>
  <c r="Q225" i="53"/>
  <c r="Q201" i="53"/>
  <c r="Q171" i="53"/>
  <c r="I140" i="53"/>
  <c r="Q118" i="53"/>
  <c r="I107" i="53"/>
  <c r="Q95" i="53"/>
  <c r="Q86" i="53"/>
  <c r="I75" i="53"/>
  <c r="Q63" i="53"/>
  <c r="Q54" i="53"/>
  <c r="I43" i="53"/>
  <c r="Q31" i="53"/>
  <c r="Q22" i="53"/>
  <c r="Q1514" i="53"/>
  <c r="Q1171" i="53"/>
  <c r="Q1008" i="53"/>
  <c r="Q880" i="53"/>
  <c r="Q555" i="53"/>
  <c r="I480" i="53"/>
  <c r="I340" i="53"/>
  <c r="Q169" i="53"/>
  <c r="Q19" i="53"/>
  <c r="Q839" i="53"/>
  <c r="Q660" i="53"/>
  <c r="Q393" i="53"/>
  <c r="Q277" i="53"/>
  <c r="Q137" i="53"/>
  <c r="Q39" i="53"/>
  <c r="Q1402" i="53"/>
  <c r="Q548" i="53"/>
  <c r="Q361" i="53"/>
  <c r="Q215" i="53"/>
  <c r="I103" i="53"/>
  <c r="Q50" i="53"/>
  <c r="B10" i="50"/>
  <c r="C10" i="50" s="1"/>
  <c r="C106" i="50" s="1"/>
  <c r="I74" i="44" l="1"/>
  <c r="J72" i="44"/>
  <c r="J71" i="44"/>
  <c r="H73" i="44"/>
  <c r="I71" i="44"/>
  <c r="I72" i="44"/>
  <c r="I70" i="44"/>
  <c r="J75" i="44"/>
  <c r="H74" i="44"/>
  <c r="H71" i="44"/>
  <c r="H70" i="44"/>
  <c r="J74" i="44"/>
  <c r="J70" i="44"/>
  <c r="I73" i="44"/>
  <c r="H75" i="44"/>
  <c r="H72" i="44"/>
  <c r="I75" i="44"/>
  <c r="J73" i="44"/>
  <c r="E145" i="44"/>
  <c r="E143" i="44"/>
  <c r="E142" i="44"/>
  <c r="E141" i="44"/>
  <c r="E140" i="44"/>
  <c r="E139" i="44"/>
  <c r="E138" i="44"/>
  <c r="E137" i="44"/>
  <c r="E136" i="44"/>
  <c r="E135" i="44"/>
  <c r="E134" i="44"/>
  <c r="I82" i="44" l="1"/>
  <c r="F82" i="44"/>
  <c r="C1" i="25"/>
  <c r="C1" i="53" l="1"/>
  <c r="C1" i="55"/>
  <c r="C1" i="54"/>
  <c r="C1" i="50"/>
  <c r="C1" i="52" s="1"/>
  <c r="C9" i="27"/>
  <c r="F75" i="14" l="1"/>
  <c r="F76" i="14"/>
  <c r="F77" i="14" l="1"/>
  <c r="C8" i="47"/>
  <c r="C17" i="47" s="1"/>
  <c r="K9" i="45"/>
  <c r="K8" i="45"/>
  <c r="K9" i="40"/>
  <c r="K8" i="40"/>
  <c r="F23" i="47" l="1"/>
  <c r="F26" i="47" s="1"/>
  <c r="F22" i="47"/>
  <c r="F25" i="47" s="1"/>
  <c r="F24" i="47"/>
  <c r="C61" i="47"/>
  <c r="C60" i="47"/>
  <c r="G60" i="47" s="1"/>
  <c r="C59" i="47"/>
  <c r="C58" i="47"/>
  <c r="G58" i="47" s="1"/>
  <c r="C57" i="47"/>
  <c r="C56" i="47"/>
  <c r="G56" i="47" s="1"/>
  <c r="C55" i="47"/>
  <c r="C54" i="47"/>
  <c r="G54" i="47" s="1"/>
  <c r="C53" i="47"/>
  <c r="C52" i="47"/>
  <c r="G52" i="47" s="1"/>
  <c r="C51" i="47"/>
  <c r="G51" i="47" s="1"/>
  <c r="C50" i="47"/>
  <c r="G50" i="47" s="1"/>
  <c r="H46" i="47"/>
  <c r="E46" i="47"/>
  <c r="K45" i="47"/>
  <c r="L45" i="47" s="1"/>
  <c r="H45" i="47"/>
  <c r="I45" i="47" s="1"/>
  <c r="D45" i="47"/>
  <c r="E45" i="47" s="1"/>
  <c r="F45" i="47" s="1"/>
  <c r="D44" i="47"/>
  <c r="E44" i="47" s="1"/>
  <c r="F44" i="47" s="1"/>
  <c r="G44" i="47" s="1"/>
  <c r="H44" i="47" s="1"/>
  <c r="I44" i="47" s="1"/>
  <c r="J44" i="47" s="1"/>
  <c r="K44" i="47" s="1"/>
  <c r="L44" i="47" s="1"/>
  <c r="F43" i="47"/>
  <c r="I43" i="47" s="1"/>
  <c r="L43" i="47" s="1"/>
  <c r="E43" i="47"/>
  <c r="H43" i="47" s="1"/>
  <c r="K43" i="47" s="1"/>
  <c r="D43" i="47"/>
  <c r="G43" i="47" s="1"/>
  <c r="J43" i="47" s="1"/>
  <c r="D40" i="47"/>
  <c r="B9" i="47"/>
  <c r="C36" i="47" s="1"/>
  <c r="E58" i="47" l="1"/>
  <c r="D51" i="47"/>
  <c r="E59" i="47"/>
  <c r="H53" i="47"/>
  <c r="E55" i="47"/>
  <c r="F46" i="47"/>
  <c r="F58" i="47" s="1"/>
  <c r="E51" i="47"/>
  <c r="D55" i="47"/>
  <c r="D59" i="47"/>
  <c r="G55" i="47"/>
  <c r="G59" i="47"/>
  <c r="E57" i="47"/>
  <c r="E61" i="47"/>
  <c r="E50" i="47"/>
  <c r="E53" i="47"/>
  <c r="C1" i="44"/>
  <c r="C1" i="45"/>
  <c r="C1" i="46"/>
  <c r="C1" i="43"/>
  <c r="C1" i="14"/>
  <c r="C1" i="47"/>
  <c r="C1" i="40"/>
  <c r="I46" i="47"/>
  <c r="I55" i="47" s="1"/>
  <c r="E56" i="47"/>
  <c r="D50" i="47"/>
  <c r="H52" i="47"/>
  <c r="D54" i="47"/>
  <c r="H56" i="47"/>
  <c r="D58" i="47"/>
  <c r="H60" i="47"/>
  <c r="I52" i="47"/>
  <c r="G53" i="47"/>
  <c r="E54" i="47"/>
  <c r="G57" i="47"/>
  <c r="G61" i="47"/>
  <c r="H57" i="47"/>
  <c r="H61" i="47"/>
  <c r="H50" i="47"/>
  <c r="D52" i="47"/>
  <c r="H54" i="47"/>
  <c r="D56" i="47"/>
  <c r="H58" i="47"/>
  <c r="D60" i="47"/>
  <c r="E60" i="47"/>
  <c r="E52" i="47"/>
  <c r="H51" i="47"/>
  <c r="D53" i="47"/>
  <c r="H55" i="47"/>
  <c r="D57" i="47"/>
  <c r="H59" i="47"/>
  <c r="D61" i="47"/>
  <c r="F56" i="47" l="1"/>
  <c r="F59" i="47"/>
  <c r="I60" i="47"/>
  <c r="I56" i="47"/>
  <c r="F53" i="47"/>
  <c r="F60" i="47"/>
  <c r="F54" i="47"/>
  <c r="F51" i="47"/>
  <c r="F61" i="47"/>
  <c r="F52" i="47"/>
  <c r="F55" i="47"/>
  <c r="F57" i="47"/>
  <c r="I59" i="47"/>
  <c r="F50" i="47"/>
  <c r="H63" i="47"/>
  <c r="E63" i="47"/>
  <c r="E22" i="47" s="1"/>
  <c r="G22" i="47" s="1"/>
  <c r="G63" i="47"/>
  <c r="D63" i="47"/>
  <c r="E21" i="47" s="1"/>
  <c r="G21" i="47" s="1"/>
  <c r="I58" i="47"/>
  <c r="I54" i="47"/>
  <c r="I50" i="47"/>
  <c r="I57" i="47"/>
  <c r="I53" i="47"/>
  <c r="J46" i="47"/>
  <c r="I61" i="47"/>
  <c r="I51" i="47"/>
  <c r="F63" i="47" l="1"/>
  <c r="E23" i="47" s="1"/>
  <c r="G23" i="47" s="1"/>
  <c r="I63" i="47"/>
  <c r="K46" i="47"/>
  <c r="J52" i="47"/>
  <c r="J60" i="47"/>
  <c r="J56" i="47"/>
  <c r="J59" i="47"/>
  <c r="J58" i="47"/>
  <c r="J57" i="47"/>
  <c r="J53" i="47"/>
  <c r="J55" i="47"/>
  <c r="J54" i="47"/>
  <c r="J51" i="47"/>
  <c r="J61" i="47"/>
  <c r="J50" i="47"/>
  <c r="L46" i="47" l="1"/>
  <c r="K58" i="47"/>
  <c r="K55" i="47"/>
  <c r="K60" i="47"/>
  <c r="K52" i="47"/>
  <c r="K56" i="47"/>
  <c r="K59" i="47"/>
  <c r="K51" i="47"/>
  <c r="K53" i="47"/>
  <c r="K57" i="47"/>
  <c r="K50" i="47"/>
  <c r="K54" i="47"/>
  <c r="K61" i="47"/>
  <c r="J63" i="47"/>
  <c r="E24" i="47" s="1"/>
  <c r="G24" i="47" s="1"/>
  <c r="Q4366" i="46"/>
  <c r="Q4365" i="46"/>
  <c r="Q4364" i="46"/>
  <c r="Q4363" i="46"/>
  <c r="Q4362" i="46"/>
  <c r="Q4361" i="46"/>
  <c r="Q4360" i="46"/>
  <c r="Q4359" i="46"/>
  <c r="Q4358" i="46"/>
  <c r="Q4357" i="46"/>
  <c r="Q4356" i="46"/>
  <c r="Q4355" i="46"/>
  <c r="Q4354" i="46"/>
  <c r="Q4353" i="46"/>
  <c r="Q4352" i="46"/>
  <c r="Q4351" i="46"/>
  <c r="Q4350" i="46"/>
  <c r="Q4349" i="46"/>
  <c r="Q4348" i="46"/>
  <c r="Q4347" i="46"/>
  <c r="Q4346" i="46"/>
  <c r="Q4345" i="46"/>
  <c r="Q4344" i="46"/>
  <c r="Q4343" i="46"/>
  <c r="Q4342" i="46"/>
  <c r="Q4341" i="46"/>
  <c r="Q4340" i="46"/>
  <c r="Q4339" i="46"/>
  <c r="Q4338" i="46"/>
  <c r="Q4337" i="46"/>
  <c r="Q4336" i="46"/>
  <c r="Q4335" i="46"/>
  <c r="Q4334" i="46"/>
  <c r="Q4333" i="46"/>
  <c r="Q4332" i="46"/>
  <c r="Q4331" i="46"/>
  <c r="Q4330" i="46"/>
  <c r="Q4329" i="46"/>
  <c r="Q4328" i="46"/>
  <c r="Q4327" i="46"/>
  <c r="Q4326" i="46"/>
  <c r="Q4325" i="46"/>
  <c r="Q4324" i="46"/>
  <c r="Q4323" i="46"/>
  <c r="Q4322" i="46"/>
  <c r="Q4321" i="46"/>
  <c r="Q4320" i="46"/>
  <c r="Q4319" i="46"/>
  <c r="Q4318" i="46"/>
  <c r="Q4317" i="46"/>
  <c r="Q4316" i="46"/>
  <c r="Q4315" i="46"/>
  <c r="Q4314" i="46"/>
  <c r="Q4313" i="46"/>
  <c r="Q4312" i="46"/>
  <c r="Q4311" i="46"/>
  <c r="Q4310" i="46"/>
  <c r="Q4309" i="46"/>
  <c r="Q4308" i="46"/>
  <c r="Q4307" i="46"/>
  <c r="Q4306" i="46"/>
  <c r="Q4305" i="46"/>
  <c r="Q4304" i="46"/>
  <c r="Q4303" i="46"/>
  <c r="Q4302" i="46"/>
  <c r="Q4301" i="46"/>
  <c r="Q4300" i="46"/>
  <c r="Q4299" i="46"/>
  <c r="Q4298" i="46"/>
  <c r="Q4297" i="46"/>
  <c r="Q4296" i="46"/>
  <c r="Q4295" i="46"/>
  <c r="Q4294" i="46"/>
  <c r="Q4293" i="46"/>
  <c r="Q4292" i="46"/>
  <c r="Q4291" i="46"/>
  <c r="Q4290" i="46"/>
  <c r="Q4289" i="46"/>
  <c r="Q4288" i="46"/>
  <c r="Q4287" i="46"/>
  <c r="Q4286" i="46"/>
  <c r="Q4285" i="46"/>
  <c r="Q4284" i="46"/>
  <c r="Q4283" i="46"/>
  <c r="Q4282" i="46"/>
  <c r="Q4281" i="46"/>
  <c r="Q4280" i="46"/>
  <c r="Q4279" i="46"/>
  <c r="Q4278" i="46"/>
  <c r="Q4277" i="46"/>
  <c r="Q4276" i="46"/>
  <c r="Q4275" i="46"/>
  <c r="Q4274" i="46"/>
  <c r="Q4273" i="46"/>
  <c r="Q4272" i="46"/>
  <c r="Q4271" i="46"/>
  <c r="Q4270" i="46"/>
  <c r="Q4269" i="46"/>
  <c r="Q4268" i="46"/>
  <c r="Q4267" i="46"/>
  <c r="Q4266" i="46"/>
  <c r="Q4265" i="46"/>
  <c r="Q4264" i="46"/>
  <c r="Q4263" i="46"/>
  <c r="Q4262" i="46"/>
  <c r="Q4261" i="46"/>
  <c r="Q4260" i="46"/>
  <c r="Q4259" i="46"/>
  <c r="Q4258" i="46"/>
  <c r="Q4257" i="46"/>
  <c r="Q4256" i="46"/>
  <c r="Q4255" i="46"/>
  <c r="Q4254" i="46"/>
  <c r="Q4253" i="46"/>
  <c r="Q4252" i="46"/>
  <c r="Q4251" i="46"/>
  <c r="Q4250" i="46"/>
  <c r="Q4249" i="46"/>
  <c r="Q4248" i="46"/>
  <c r="Q4247" i="46"/>
  <c r="Q4246" i="46"/>
  <c r="Q4245" i="46"/>
  <c r="Q4244" i="46"/>
  <c r="Q4243" i="46"/>
  <c r="Q4242" i="46"/>
  <c r="Q4241" i="46"/>
  <c r="Q4240" i="46"/>
  <c r="Q4239" i="46"/>
  <c r="Q4238" i="46"/>
  <c r="Q4237" i="46"/>
  <c r="Q4236" i="46"/>
  <c r="Q4235" i="46"/>
  <c r="Q4234" i="46"/>
  <c r="Q4233" i="46"/>
  <c r="Q4232" i="46"/>
  <c r="Q4231" i="46"/>
  <c r="Q4230" i="46"/>
  <c r="Q4229" i="46"/>
  <c r="Q4228" i="46"/>
  <c r="Q4227" i="46"/>
  <c r="Q4226" i="46"/>
  <c r="Q4225" i="46"/>
  <c r="Q4224" i="46"/>
  <c r="Q4223" i="46"/>
  <c r="Q4222" i="46"/>
  <c r="Q4221" i="46"/>
  <c r="Q4220" i="46"/>
  <c r="Q4219" i="46"/>
  <c r="Q4218" i="46"/>
  <c r="Q4217" i="46"/>
  <c r="Q4216" i="46"/>
  <c r="Q4215" i="46"/>
  <c r="Q4214" i="46"/>
  <c r="Q4213" i="46"/>
  <c r="Q4212" i="46"/>
  <c r="Q4211" i="46"/>
  <c r="Q4210" i="46"/>
  <c r="Q4209" i="46"/>
  <c r="Q4208" i="46"/>
  <c r="Q4207" i="46"/>
  <c r="Q4206" i="46"/>
  <c r="Q4205" i="46"/>
  <c r="Q4204" i="46"/>
  <c r="Q4203" i="46"/>
  <c r="Q4202" i="46"/>
  <c r="Q4201" i="46"/>
  <c r="Q4200" i="46"/>
  <c r="Q4199" i="46"/>
  <c r="Q4198" i="46"/>
  <c r="Q4197" i="46"/>
  <c r="Q4196" i="46"/>
  <c r="Q4195" i="46"/>
  <c r="Q4194" i="46"/>
  <c r="Q4193" i="46"/>
  <c r="Q4192" i="46"/>
  <c r="Q4191" i="46"/>
  <c r="Q4190" i="46"/>
  <c r="Q4189" i="46"/>
  <c r="Q4188" i="46"/>
  <c r="Q4187" i="46"/>
  <c r="Q4186" i="46"/>
  <c r="Q4185" i="46"/>
  <c r="Q4184" i="46"/>
  <c r="Q4183" i="46"/>
  <c r="Q4182" i="46"/>
  <c r="Q4181" i="46"/>
  <c r="Q4180" i="46"/>
  <c r="Q4179" i="46"/>
  <c r="Q4178" i="46"/>
  <c r="Q4177" i="46"/>
  <c r="Q4176" i="46"/>
  <c r="Q4175" i="46"/>
  <c r="Q4174" i="46"/>
  <c r="Q4173" i="46"/>
  <c r="Q4172" i="46"/>
  <c r="Q4171" i="46"/>
  <c r="Q4170" i="46"/>
  <c r="Q4169" i="46"/>
  <c r="Q4168" i="46"/>
  <c r="Q4167" i="46"/>
  <c r="Q4166" i="46"/>
  <c r="Q4165" i="46"/>
  <c r="Q4164" i="46"/>
  <c r="Q4163" i="46"/>
  <c r="Q4162" i="46"/>
  <c r="Q4161" i="46"/>
  <c r="Q4160" i="46"/>
  <c r="Q4159" i="46"/>
  <c r="Q4158" i="46"/>
  <c r="Q4157" i="46"/>
  <c r="Q4156" i="46"/>
  <c r="Q4155" i="46"/>
  <c r="Q4154" i="46"/>
  <c r="Q4153" i="46"/>
  <c r="Q4152" i="46"/>
  <c r="Q4151" i="46"/>
  <c r="Q4150" i="46"/>
  <c r="Q4149" i="46"/>
  <c r="Q4148" i="46"/>
  <c r="Q4147" i="46"/>
  <c r="Q4146" i="46"/>
  <c r="Q4145" i="46"/>
  <c r="Q4144" i="46"/>
  <c r="Q4143" i="46"/>
  <c r="Q4142" i="46"/>
  <c r="Q4141" i="46"/>
  <c r="Q4140" i="46"/>
  <c r="Q4139" i="46"/>
  <c r="Q4138" i="46"/>
  <c r="Q4137" i="46"/>
  <c r="Q4136" i="46"/>
  <c r="Q4135" i="46"/>
  <c r="Q4134" i="46"/>
  <c r="Q4133" i="46"/>
  <c r="Q4132" i="46"/>
  <c r="Q4131" i="46"/>
  <c r="Q4130" i="46"/>
  <c r="Q4129" i="46"/>
  <c r="Q4128" i="46"/>
  <c r="Q4127" i="46"/>
  <c r="Q4126" i="46"/>
  <c r="Q4125" i="46"/>
  <c r="Q4124" i="46"/>
  <c r="Q4123" i="46"/>
  <c r="Q4122" i="46"/>
  <c r="Q4121" i="46"/>
  <c r="Q4120" i="46"/>
  <c r="Q4119" i="46"/>
  <c r="Q4118" i="46"/>
  <c r="Q4117" i="46"/>
  <c r="Q4116" i="46"/>
  <c r="Q4115" i="46"/>
  <c r="Q4114" i="46"/>
  <c r="Q4113" i="46"/>
  <c r="Q4112" i="46"/>
  <c r="Q4111" i="46"/>
  <c r="Q4110" i="46"/>
  <c r="Q4109" i="46"/>
  <c r="Q4108" i="46"/>
  <c r="Q4107" i="46"/>
  <c r="Q4106" i="46"/>
  <c r="Q4105" i="46"/>
  <c r="Q4104" i="46"/>
  <c r="Q4103" i="46"/>
  <c r="Q4102" i="46"/>
  <c r="Q4101" i="46"/>
  <c r="Q4100" i="46"/>
  <c r="Q4099" i="46"/>
  <c r="Q4098" i="46"/>
  <c r="Q4097" i="46"/>
  <c r="Q4096" i="46"/>
  <c r="Q4095" i="46"/>
  <c r="Q4094" i="46"/>
  <c r="Q4093" i="46"/>
  <c r="Q4092" i="46"/>
  <c r="Q4091" i="46"/>
  <c r="Q4090" i="46"/>
  <c r="Q4089" i="46"/>
  <c r="Q4088" i="46"/>
  <c r="Q4087" i="46"/>
  <c r="Q4086" i="46"/>
  <c r="Q4085" i="46"/>
  <c r="Q4084" i="46"/>
  <c r="Q4083" i="46"/>
  <c r="Q4082" i="46"/>
  <c r="Q4081" i="46"/>
  <c r="Q4080" i="46"/>
  <c r="Q4079" i="46"/>
  <c r="Q4078" i="46"/>
  <c r="Q4077" i="46"/>
  <c r="Q4076" i="46"/>
  <c r="Q4075" i="46"/>
  <c r="Q4074" i="46"/>
  <c r="Q4073" i="46"/>
  <c r="Q4072" i="46"/>
  <c r="Q4071" i="46"/>
  <c r="Q4070" i="46"/>
  <c r="Q4069" i="46"/>
  <c r="Q4068" i="46"/>
  <c r="Q4067" i="46"/>
  <c r="Q4066" i="46"/>
  <c r="Q4065" i="46"/>
  <c r="Q4064" i="46"/>
  <c r="Q4063" i="46"/>
  <c r="Q4062" i="46"/>
  <c r="Q4061" i="46"/>
  <c r="Q4060" i="46"/>
  <c r="Q4059" i="46"/>
  <c r="Q4058" i="46"/>
  <c r="Q4057" i="46"/>
  <c r="Q4056" i="46"/>
  <c r="Q4055" i="46"/>
  <c r="Q4054" i="46"/>
  <c r="Q4053" i="46"/>
  <c r="Q4052" i="46"/>
  <c r="Q4051" i="46"/>
  <c r="Q4050" i="46"/>
  <c r="Q4049" i="46"/>
  <c r="Q4048" i="46"/>
  <c r="Q4047" i="46"/>
  <c r="Q4046" i="46"/>
  <c r="Q4045" i="46"/>
  <c r="Q4044" i="46"/>
  <c r="Q4043" i="46"/>
  <c r="Q4042" i="46"/>
  <c r="Q4041" i="46"/>
  <c r="Q4040" i="46"/>
  <c r="Q4039" i="46"/>
  <c r="Q4038" i="46"/>
  <c r="Q4037" i="46"/>
  <c r="Q4036" i="46"/>
  <c r="Q4035" i="46"/>
  <c r="Q4034" i="46"/>
  <c r="Q4033" i="46"/>
  <c r="Q4032" i="46"/>
  <c r="Q4031" i="46"/>
  <c r="Q4030" i="46"/>
  <c r="Q4029" i="46"/>
  <c r="Q4028" i="46"/>
  <c r="Q4027" i="46"/>
  <c r="Q4026" i="46"/>
  <c r="Q4025" i="46"/>
  <c r="Q4024" i="46"/>
  <c r="Q4023" i="46"/>
  <c r="Q4022" i="46"/>
  <c r="Q4021" i="46"/>
  <c r="Q4020" i="46"/>
  <c r="Q4019" i="46"/>
  <c r="Q4018" i="46"/>
  <c r="Q4017" i="46"/>
  <c r="Q4016" i="46"/>
  <c r="Q4015" i="46"/>
  <c r="Q4014" i="46"/>
  <c r="Q4013" i="46"/>
  <c r="Q4012" i="46"/>
  <c r="Q4011" i="46"/>
  <c r="Q4010" i="46"/>
  <c r="Q4009" i="46"/>
  <c r="Q4008" i="46"/>
  <c r="Q4007" i="46"/>
  <c r="Q4006" i="46"/>
  <c r="Q4005" i="46"/>
  <c r="Q4004" i="46"/>
  <c r="Q4003" i="46"/>
  <c r="Q4002" i="46"/>
  <c r="Q4001" i="46"/>
  <c r="Q4000" i="46"/>
  <c r="Q3999" i="46"/>
  <c r="Q3998" i="46"/>
  <c r="Q3997" i="46"/>
  <c r="Q3996" i="46"/>
  <c r="Q3995" i="46"/>
  <c r="Q3994" i="46"/>
  <c r="Q3993" i="46"/>
  <c r="Q3992" i="46"/>
  <c r="Q3991" i="46"/>
  <c r="Q3990" i="46"/>
  <c r="Q3989" i="46"/>
  <c r="Q3988" i="46"/>
  <c r="Q3987" i="46"/>
  <c r="Q3986" i="46"/>
  <c r="Q3985" i="46"/>
  <c r="Q3984" i="46"/>
  <c r="Q3983" i="46"/>
  <c r="Q3982" i="46"/>
  <c r="Q3981" i="46"/>
  <c r="Q3980" i="46"/>
  <c r="Q3979" i="46"/>
  <c r="Q3978" i="46"/>
  <c r="Q3977" i="46"/>
  <c r="Q3976" i="46"/>
  <c r="Q3975" i="46"/>
  <c r="Q3974" i="46"/>
  <c r="Q3973" i="46"/>
  <c r="Q3972" i="46"/>
  <c r="Q3971" i="46"/>
  <c r="Q3970" i="46"/>
  <c r="Q3969" i="46"/>
  <c r="Q3968" i="46"/>
  <c r="Q3967" i="46"/>
  <c r="Q3966" i="46"/>
  <c r="Q3965" i="46"/>
  <c r="Q3964" i="46"/>
  <c r="Q3963" i="46"/>
  <c r="Q3962" i="46"/>
  <c r="Q3961" i="46"/>
  <c r="Q3960" i="46"/>
  <c r="Q3959" i="46"/>
  <c r="Q3958" i="46"/>
  <c r="Q3957" i="46"/>
  <c r="Q3956" i="46"/>
  <c r="Q3955" i="46"/>
  <c r="Q3954" i="46"/>
  <c r="Q3953" i="46"/>
  <c r="Q3952" i="46"/>
  <c r="Q3951" i="46"/>
  <c r="Q3950" i="46"/>
  <c r="Q3949" i="46"/>
  <c r="Q3948" i="46"/>
  <c r="Q3947" i="46"/>
  <c r="Q3946" i="46"/>
  <c r="Q3945" i="46"/>
  <c r="Q3944" i="46"/>
  <c r="Q3943" i="46"/>
  <c r="Q3942" i="46"/>
  <c r="Q3941" i="46"/>
  <c r="Q3940" i="46"/>
  <c r="Q3939" i="46"/>
  <c r="Q3938" i="46"/>
  <c r="Q3937" i="46"/>
  <c r="Q3936" i="46"/>
  <c r="Q3935" i="46"/>
  <c r="Q3934" i="46"/>
  <c r="Q3933" i="46"/>
  <c r="Q3932" i="46"/>
  <c r="Q3931" i="46"/>
  <c r="Q3930" i="46"/>
  <c r="Q3929" i="46"/>
  <c r="Q3928" i="46"/>
  <c r="Q3927" i="46"/>
  <c r="Q3926" i="46"/>
  <c r="Q3925" i="46"/>
  <c r="Q3924" i="46"/>
  <c r="Q3923" i="46"/>
  <c r="Q3922" i="46"/>
  <c r="Q3921" i="46"/>
  <c r="Q3920" i="46"/>
  <c r="Q3919" i="46"/>
  <c r="Q3918" i="46"/>
  <c r="Q3917" i="46"/>
  <c r="Q3916" i="46"/>
  <c r="Q3915" i="46"/>
  <c r="Q3914" i="46"/>
  <c r="Q3913" i="46"/>
  <c r="Q3912" i="46"/>
  <c r="Q3911" i="46"/>
  <c r="Q3910" i="46"/>
  <c r="Q3909" i="46"/>
  <c r="Q3908" i="46"/>
  <c r="Q3907" i="46"/>
  <c r="Q3906" i="46"/>
  <c r="Q3905" i="46"/>
  <c r="Q3904" i="46"/>
  <c r="Q3903" i="46"/>
  <c r="Q3902" i="46"/>
  <c r="Q3901" i="46"/>
  <c r="Q3900" i="46"/>
  <c r="Q3899" i="46"/>
  <c r="Q3898" i="46"/>
  <c r="Q3897" i="46"/>
  <c r="Q3896" i="46"/>
  <c r="Q3895" i="46"/>
  <c r="Q3894" i="46"/>
  <c r="Q3893" i="46"/>
  <c r="Q3892" i="46"/>
  <c r="Q3891" i="46"/>
  <c r="Q3890" i="46"/>
  <c r="Q3889" i="46"/>
  <c r="Q3888" i="46"/>
  <c r="Q3887" i="46"/>
  <c r="Q3886" i="46"/>
  <c r="Q3885" i="46"/>
  <c r="Q3884" i="46"/>
  <c r="Q3883" i="46"/>
  <c r="Q3882" i="46"/>
  <c r="Q3881" i="46"/>
  <c r="Q3880" i="46"/>
  <c r="Q3879" i="46"/>
  <c r="Q3878" i="46"/>
  <c r="Q3877" i="46"/>
  <c r="Q3876" i="46"/>
  <c r="Q3875" i="46"/>
  <c r="Q3874" i="46"/>
  <c r="Q3873" i="46"/>
  <c r="Q3872" i="46"/>
  <c r="Q3871" i="46"/>
  <c r="Q3870" i="46"/>
  <c r="Q3869" i="46"/>
  <c r="Q3868" i="46"/>
  <c r="Q3867" i="46"/>
  <c r="Q3866" i="46"/>
  <c r="Q3865" i="46"/>
  <c r="Q3864" i="46"/>
  <c r="Q3863" i="46"/>
  <c r="Q3862" i="46"/>
  <c r="Q3861" i="46"/>
  <c r="Q3860" i="46"/>
  <c r="Q3859" i="46"/>
  <c r="Q3858" i="46"/>
  <c r="Q3857" i="46"/>
  <c r="Q3856" i="46"/>
  <c r="Q3855" i="46"/>
  <c r="Q3854" i="46"/>
  <c r="Q3853" i="46"/>
  <c r="Q3852" i="46"/>
  <c r="Q3851" i="46"/>
  <c r="Q3850" i="46"/>
  <c r="Q3849" i="46"/>
  <c r="Q3848" i="46"/>
  <c r="Q3847" i="46"/>
  <c r="Q3846" i="46"/>
  <c r="Q3845" i="46"/>
  <c r="Q3844" i="46"/>
  <c r="Q3843" i="46"/>
  <c r="Q3842" i="46"/>
  <c r="Q3841" i="46"/>
  <c r="Q3840" i="46"/>
  <c r="Q3839" i="46"/>
  <c r="Q3838" i="46"/>
  <c r="Q3837" i="46"/>
  <c r="Q3836" i="46"/>
  <c r="Q3835" i="46"/>
  <c r="Q3834" i="46"/>
  <c r="Q3833" i="46"/>
  <c r="Q3832" i="46"/>
  <c r="Q3831" i="46"/>
  <c r="Q3830" i="46"/>
  <c r="Q3829" i="46"/>
  <c r="Q3828" i="46"/>
  <c r="Q3827" i="46"/>
  <c r="Q3826" i="46"/>
  <c r="Q3825" i="46"/>
  <c r="Q3824" i="46"/>
  <c r="Q3823" i="46"/>
  <c r="Q3822" i="46"/>
  <c r="Q3821" i="46"/>
  <c r="Q3820" i="46"/>
  <c r="Q3819" i="46"/>
  <c r="Q3818" i="46"/>
  <c r="Q3817" i="46"/>
  <c r="Q3816" i="46"/>
  <c r="Q3815" i="46"/>
  <c r="Q3814" i="46"/>
  <c r="Q3813" i="46"/>
  <c r="Q3812" i="46"/>
  <c r="Q3811" i="46"/>
  <c r="Q3810" i="46"/>
  <c r="Q3809" i="46"/>
  <c r="Q3808" i="46"/>
  <c r="Q3807" i="46"/>
  <c r="Q3806" i="46"/>
  <c r="Q3805" i="46"/>
  <c r="Q3804" i="46"/>
  <c r="Q3803" i="46"/>
  <c r="Q3802" i="46"/>
  <c r="Q3801" i="46"/>
  <c r="Q3800" i="46"/>
  <c r="Q3799" i="46"/>
  <c r="Q3798" i="46"/>
  <c r="Q3797" i="46"/>
  <c r="Q3796" i="46"/>
  <c r="Q3795" i="46"/>
  <c r="Q3794" i="46"/>
  <c r="Q3793" i="46"/>
  <c r="Q3792" i="46"/>
  <c r="Q3791" i="46"/>
  <c r="Q3790" i="46"/>
  <c r="Q3789" i="46"/>
  <c r="Q3788" i="46"/>
  <c r="Q3787" i="46"/>
  <c r="Q3786" i="46"/>
  <c r="Q3785" i="46"/>
  <c r="Q3784" i="46"/>
  <c r="Q3783" i="46"/>
  <c r="Q3782" i="46"/>
  <c r="Q3781" i="46"/>
  <c r="Q3780" i="46"/>
  <c r="Q3779" i="46"/>
  <c r="Q3778" i="46"/>
  <c r="Q3777" i="46"/>
  <c r="Q3776" i="46"/>
  <c r="Q3775" i="46"/>
  <c r="Q3774" i="46"/>
  <c r="Q3773" i="46"/>
  <c r="Q3772" i="46"/>
  <c r="Q3771" i="46"/>
  <c r="Q3770" i="46"/>
  <c r="Q3769" i="46"/>
  <c r="Q3768" i="46"/>
  <c r="Q3767" i="46"/>
  <c r="Q3766" i="46"/>
  <c r="Q3765" i="46"/>
  <c r="Q3764" i="46"/>
  <c r="Q3763" i="46"/>
  <c r="Q3762" i="46"/>
  <c r="Q3761" i="46"/>
  <c r="Q3760" i="46"/>
  <c r="Q3759" i="46"/>
  <c r="Q3758" i="46"/>
  <c r="Q3757" i="46"/>
  <c r="Q3756" i="46"/>
  <c r="Q3755" i="46"/>
  <c r="Q3754" i="46"/>
  <c r="Q3753" i="46"/>
  <c r="Q3752" i="46"/>
  <c r="Q3751" i="46"/>
  <c r="Q3750" i="46"/>
  <c r="Q3749" i="46"/>
  <c r="Q3748" i="46"/>
  <c r="Q3747" i="46"/>
  <c r="Q3746" i="46"/>
  <c r="Q3745" i="46"/>
  <c r="Q3744" i="46"/>
  <c r="Q3743" i="46"/>
  <c r="Q3742" i="46"/>
  <c r="Q3741" i="46"/>
  <c r="Q3740" i="46"/>
  <c r="Q3739" i="46"/>
  <c r="Q3738" i="46"/>
  <c r="Q3737" i="46"/>
  <c r="Q3736" i="46"/>
  <c r="Q3735" i="46"/>
  <c r="Q3734" i="46"/>
  <c r="Q3733" i="46"/>
  <c r="Q3732" i="46"/>
  <c r="Q3731" i="46"/>
  <c r="Q3730" i="46"/>
  <c r="Q3729" i="46"/>
  <c r="Q3728" i="46"/>
  <c r="Q3727" i="46"/>
  <c r="Q3726" i="46"/>
  <c r="Q3725" i="46"/>
  <c r="Q3724" i="46"/>
  <c r="Q3723" i="46"/>
  <c r="Q3722" i="46"/>
  <c r="Q3721" i="46"/>
  <c r="Q3720" i="46"/>
  <c r="Q3719" i="46"/>
  <c r="Q3718" i="46"/>
  <c r="Q3717" i="46"/>
  <c r="Q3716" i="46"/>
  <c r="Q3715" i="46"/>
  <c r="Q3714" i="46"/>
  <c r="Q3713" i="46"/>
  <c r="Q3712" i="46"/>
  <c r="Q3711" i="46"/>
  <c r="Q3710" i="46"/>
  <c r="Q3709" i="46"/>
  <c r="Q3708" i="46"/>
  <c r="Q3707" i="46"/>
  <c r="Q3706" i="46"/>
  <c r="Q3705" i="46"/>
  <c r="Q3704" i="46"/>
  <c r="Q3703" i="46"/>
  <c r="Q3702" i="46"/>
  <c r="Q3701" i="46"/>
  <c r="Q3700" i="46"/>
  <c r="Q3699" i="46"/>
  <c r="Q3698" i="46"/>
  <c r="Q3697" i="46"/>
  <c r="Q3696" i="46"/>
  <c r="Q3695" i="46"/>
  <c r="Q3694" i="46"/>
  <c r="Q3693" i="46"/>
  <c r="Q3692" i="46"/>
  <c r="Q3691" i="46"/>
  <c r="Q3690" i="46"/>
  <c r="Q3689" i="46"/>
  <c r="Q3688" i="46"/>
  <c r="Q3687" i="46"/>
  <c r="Q3686" i="46"/>
  <c r="Q3685" i="46"/>
  <c r="Q3684" i="46"/>
  <c r="Q3683" i="46"/>
  <c r="Q3682" i="46"/>
  <c r="Q3681" i="46"/>
  <c r="Q3680" i="46"/>
  <c r="Q3679" i="46"/>
  <c r="Q3678" i="46"/>
  <c r="Q3677" i="46"/>
  <c r="Q3676" i="46"/>
  <c r="Q3675" i="46"/>
  <c r="Q3674" i="46"/>
  <c r="Q3673" i="46"/>
  <c r="Q3672" i="46"/>
  <c r="Q3671" i="46"/>
  <c r="Q3670" i="46"/>
  <c r="Q3669" i="46"/>
  <c r="Q3668" i="46"/>
  <c r="Q3667" i="46"/>
  <c r="Q3666" i="46"/>
  <c r="Q3665" i="46"/>
  <c r="Q3664" i="46"/>
  <c r="Q3663" i="46"/>
  <c r="Q3662" i="46"/>
  <c r="Q3661" i="46"/>
  <c r="Q3660" i="46"/>
  <c r="Q3659" i="46"/>
  <c r="Q3658" i="46"/>
  <c r="Q3657" i="46"/>
  <c r="Q3656" i="46"/>
  <c r="Q3655" i="46"/>
  <c r="Q3654" i="46"/>
  <c r="Q3653" i="46"/>
  <c r="Q3652" i="46"/>
  <c r="Q3651" i="46"/>
  <c r="Q3650" i="46"/>
  <c r="Q3649" i="46"/>
  <c r="Q3648" i="46"/>
  <c r="Q3647" i="46"/>
  <c r="Q3646" i="46"/>
  <c r="Q3645" i="46"/>
  <c r="Q3644" i="46"/>
  <c r="Q3643" i="46"/>
  <c r="Q3642" i="46"/>
  <c r="Q3641" i="46"/>
  <c r="Q3640" i="46"/>
  <c r="Q3639" i="46"/>
  <c r="Q3638" i="46"/>
  <c r="Q3637" i="46"/>
  <c r="Q3636" i="46"/>
  <c r="Q3635" i="46"/>
  <c r="Q3634" i="46"/>
  <c r="Q3633" i="46"/>
  <c r="Q3632" i="46"/>
  <c r="Q3631" i="46"/>
  <c r="Q3630" i="46"/>
  <c r="Q3629" i="46"/>
  <c r="Q3628" i="46"/>
  <c r="Q3627" i="46"/>
  <c r="Q3626" i="46"/>
  <c r="Q3625" i="46"/>
  <c r="Q3624" i="46"/>
  <c r="Q3623" i="46"/>
  <c r="Q3622" i="46"/>
  <c r="Q3621" i="46"/>
  <c r="Q3620" i="46"/>
  <c r="Q3619" i="46"/>
  <c r="Q3618" i="46"/>
  <c r="Q3617" i="46"/>
  <c r="Q3616" i="46"/>
  <c r="Q3615" i="46"/>
  <c r="Q3614" i="46"/>
  <c r="Q3613" i="46"/>
  <c r="Q3612" i="46"/>
  <c r="Q3611" i="46"/>
  <c r="Q3610" i="46"/>
  <c r="Q3609" i="46"/>
  <c r="Q3608" i="46"/>
  <c r="Q3607" i="46"/>
  <c r="Q3606" i="46"/>
  <c r="Q3605" i="46"/>
  <c r="Q3604" i="46"/>
  <c r="Q3603" i="46"/>
  <c r="Q3602" i="46"/>
  <c r="Q3601" i="46"/>
  <c r="Q3600" i="46"/>
  <c r="Q3599" i="46"/>
  <c r="Q3598" i="46"/>
  <c r="Q3597" i="46"/>
  <c r="Q3596" i="46"/>
  <c r="Q3595" i="46"/>
  <c r="Q3594" i="46"/>
  <c r="Q3593" i="46"/>
  <c r="Q3592" i="46"/>
  <c r="Q3591" i="46"/>
  <c r="Q3590" i="46"/>
  <c r="Q3589" i="46"/>
  <c r="Q3588" i="46"/>
  <c r="Q3587" i="46"/>
  <c r="Q3586" i="46"/>
  <c r="Q3585" i="46"/>
  <c r="Q3584" i="46"/>
  <c r="Q3583" i="46"/>
  <c r="Q3582" i="46"/>
  <c r="Q3581" i="46"/>
  <c r="Q3580" i="46"/>
  <c r="Q3579" i="46"/>
  <c r="Q3578" i="46"/>
  <c r="Q3577" i="46"/>
  <c r="Q3576" i="46"/>
  <c r="Q3575" i="46"/>
  <c r="Q3574" i="46"/>
  <c r="Q3573" i="46"/>
  <c r="Q3572" i="46"/>
  <c r="Q3571" i="46"/>
  <c r="Q3570" i="46"/>
  <c r="Q3569" i="46"/>
  <c r="Q3568" i="46"/>
  <c r="Q3567" i="46"/>
  <c r="Q3566" i="46"/>
  <c r="Q3565" i="46"/>
  <c r="Q3564" i="46"/>
  <c r="Q3563" i="46"/>
  <c r="Q3562" i="46"/>
  <c r="Q3561" i="46"/>
  <c r="Q3560" i="46"/>
  <c r="Q3559" i="46"/>
  <c r="Q3558" i="46"/>
  <c r="Q3557" i="46"/>
  <c r="Q3556" i="46"/>
  <c r="Q3555" i="46"/>
  <c r="Q3554" i="46"/>
  <c r="Q3553" i="46"/>
  <c r="Q3552" i="46"/>
  <c r="Q3551" i="46"/>
  <c r="Q3550" i="46"/>
  <c r="Q3549" i="46"/>
  <c r="Q3548" i="46"/>
  <c r="Q3547" i="46"/>
  <c r="Q3546" i="46"/>
  <c r="Q3545" i="46"/>
  <c r="Q3544" i="46"/>
  <c r="Q3543" i="46"/>
  <c r="Q3542" i="46"/>
  <c r="Q3541" i="46"/>
  <c r="Q3540" i="46"/>
  <c r="Q3539" i="46"/>
  <c r="Q3538" i="46"/>
  <c r="Q3537" i="46"/>
  <c r="Q3536" i="46"/>
  <c r="Q3535" i="46"/>
  <c r="Q3534" i="46"/>
  <c r="Q3533" i="46"/>
  <c r="Q3532" i="46"/>
  <c r="Q3531" i="46"/>
  <c r="Q3530" i="46"/>
  <c r="Q3529" i="46"/>
  <c r="Q3528" i="46"/>
  <c r="Q3527" i="46"/>
  <c r="Q3526" i="46"/>
  <c r="Q3525" i="46"/>
  <c r="Q3524" i="46"/>
  <c r="Q3523" i="46"/>
  <c r="Q3522" i="46"/>
  <c r="Q3521" i="46"/>
  <c r="Q3520" i="46"/>
  <c r="Q3519" i="46"/>
  <c r="Q3518" i="46"/>
  <c r="Q3517" i="46"/>
  <c r="Q3516" i="46"/>
  <c r="Q3515" i="46"/>
  <c r="Q3514" i="46"/>
  <c r="Q3513" i="46"/>
  <c r="Q3512" i="46"/>
  <c r="Q3511" i="46"/>
  <c r="Q3510" i="46"/>
  <c r="Q3509" i="46"/>
  <c r="Q3508" i="46"/>
  <c r="Q3507" i="46"/>
  <c r="Q3506" i="46"/>
  <c r="Q3505" i="46"/>
  <c r="Q3504" i="46"/>
  <c r="Q3503" i="46"/>
  <c r="Q3502" i="46"/>
  <c r="Q3501" i="46"/>
  <c r="Q3500" i="46"/>
  <c r="Q3499" i="46"/>
  <c r="Q3498" i="46"/>
  <c r="Q3497" i="46"/>
  <c r="Q3496" i="46"/>
  <c r="Q3495" i="46"/>
  <c r="Q3494" i="46"/>
  <c r="Q3493" i="46"/>
  <c r="Q3492" i="46"/>
  <c r="Q3491" i="46"/>
  <c r="Q3490" i="46"/>
  <c r="Q3489" i="46"/>
  <c r="Q3488" i="46"/>
  <c r="Q3487" i="46"/>
  <c r="Q3486" i="46"/>
  <c r="Q3485" i="46"/>
  <c r="Q3484" i="46"/>
  <c r="Q3483" i="46"/>
  <c r="Q3482" i="46"/>
  <c r="Q3481" i="46"/>
  <c r="Q3480" i="46"/>
  <c r="Q3479" i="46"/>
  <c r="Q3478" i="46"/>
  <c r="Q3477" i="46"/>
  <c r="Q3476" i="46"/>
  <c r="Q3475" i="46"/>
  <c r="Q3474" i="46"/>
  <c r="Q3473" i="46"/>
  <c r="Q3472" i="46"/>
  <c r="Q3471" i="46"/>
  <c r="Q3470" i="46"/>
  <c r="Q3469" i="46"/>
  <c r="Q3468" i="46"/>
  <c r="Q3467" i="46"/>
  <c r="Q3466" i="46"/>
  <c r="Q3465" i="46"/>
  <c r="Q3464" i="46"/>
  <c r="Q3463" i="46"/>
  <c r="Q3462" i="46"/>
  <c r="Q3461" i="46"/>
  <c r="Q3460" i="46"/>
  <c r="Q3459" i="46"/>
  <c r="Q3458" i="46"/>
  <c r="Q3457" i="46"/>
  <c r="Q3456" i="46"/>
  <c r="Q3455" i="46"/>
  <c r="Q3454" i="46"/>
  <c r="Q3453" i="46"/>
  <c r="Q3452" i="46"/>
  <c r="Q3451" i="46"/>
  <c r="Q3450" i="46"/>
  <c r="Q3449" i="46"/>
  <c r="Q3448" i="46"/>
  <c r="Q3447" i="46"/>
  <c r="Q3446" i="46"/>
  <c r="Q3445" i="46"/>
  <c r="Q3444" i="46"/>
  <c r="Q3443" i="46"/>
  <c r="Q3442" i="46"/>
  <c r="Q3441" i="46"/>
  <c r="Q3440" i="46"/>
  <c r="Q3439" i="46"/>
  <c r="Q3438" i="46"/>
  <c r="Q3437" i="46"/>
  <c r="Q3436" i="46"/>
  <c r="Q3435" i="46"/>
  <c r="Q3434" i="46"/>
  <c r="Q3433" i="46"/>
  <c r="Q3432" i="46"/>
  <c r="Q3431" i="46"/>
  <c r="Q3430" i="46"/>
  <c r="Q3429" i="46"/>
  <c r="Q3428" i="46"/>
  <c r="Q3427" i="46"/>
  <c r="Q3426" i="46"/>
  <c r="Q3425" i="46"/>
  <c r="Q3424" i="46"/>
  <c r="Q3423" i="46"/>
  <c r="Q3422" i="46"/>
  <c r="Q3421" i="46"/>
  <c r="Q3420" i="46"/>
  <c r="Q3419" i="46"/>
  <c r="Q3418" i="46"/>
  <c r="Q3417" i="46"/>
  <c r="Q3416" i="46"/>
  <c r="Q3415" i="46"/>
  <c r="Q3414" i="46"/>
  <c r="Q3413" i="46"/>
  <c r="Q3412" i="46"/>
  <c r="Q3411" i="46"/>
  <c r="Q3410" i="46"/>
  <c r="Q3409" i="46"/>
  <c r="Q3408" i="46"/>
  <c r="Q3407" i="46"/>
  <c r="Q3406" i="46"/>
  <c r="Q3405" i="46"/>
  <c r="Q3404" i="46"/>
  <c r="Q3403" i="46"/>
  <c r="Q3402" i="46"/>
  <c r="Q3401" i="46"/>
  <c r="Q3400" i="46"/>
  <c r="Q3399" i="46"/>
  <c r="Q3398" i="46"/>
  <c r="Q3397" i="46"/>
  <c r="Q3396" i="46"/>
  <c r="Q3395" i="46"/>
  <c r="Q3394" i="46"/>
  <c r="Q3393" i="46"/>
  <c r="Q3392" i="46"/>
  <c r="Q3391" i="46"/>
  <c r="Q3390" i="46"/>
  <c r="Q3389" i="46"/>
  <c r="Q3388" i="46"/>
  <c r="Q3387" i="46"/>
  <c r="Q3386" i="46"/>
  <c r="Q3385" i="46"/>
  <c r="Q3384" i="46"/>
  <c r="Q3383" i="46"/>
  <c r="Q3382" i="46"/>
  <c r="Q3381" i="46"/>
  <c r="Q3380" i="46"/>
  <c r="Q3379" i="46"/>
  <c r="Q3378" i="46"/>
  <c r="Q3377" i="46"/>
  <c r="Q3376" i="46"/>
  <c r="Q3375" i="46"/>
  <c r="Q3374" i="46"/>
  <c r="Q3373" i="46"/>
  <c r="Q3372" i="46"/>
  <c r="Q3371" i="46"/>
  <c r="Q3370" i="46"/>
  <c r="Q3369" i="46"/>
  <c r="Q3368" i="46"/>
  <c r="Q3367" i="46"/>
  <c r="Q3366" i="46"/>
  <c r="Q3365" i="46"/>
  <c r="Q3364" i="46"/>
  <c r="Q3363" i="46"/>
  <c r="Q3362" i="46"/>
  <c r="Q3361" i="46"/>
  <c r="Q3360" i="46"/>
  <c r="Q3359" i="46"/>
  <c r="Q3358" i="46"/>
  <c r="Q3357" i="46"/>
  <c r="Q3356" i="46"/>
  <c r="Q3355" i="46"/>
  <c r="Q3354" i="46"/>
  <c r="Q3353" i="46"/>
  <c r="Q3352" i="46"/>
  <c r="Q3351" i="46"/>
  <c r="Q3350" i="46"/>
  <c r="Q3349" i="46"/>
  <c r="Q3348" i="46"/>
  <c r="Q3347" i="46"/>
  <c r="Q3346" i="46"/>
  <c r="Q3345" i="46"/>
  <c r="Q3344" i="46"/>
  <c r="Q3343" i="46"/>
  <c r="Q3342" i="46"/>
  <c r="Q3341" i="46"/>
  <c r="Q3340" i="46"/>
  <c r="Q3339" i="46"/>
  <c r="Q3338" i="46"/>
  <c r="Q3337" i="46"/>
  <c r="Q3336" i="46"/>
  <c r="Q3335" i="46"/>
  <c r="Q3334" i="46"/>
  <c r="Q3333" i="46"/>
  <c r="Q3332" i="46"/>
  <c r="Q3331" i="46"/>
  <c r="Q3330" i="46"/>
  <c r="Q3329" i="46"/>
  <c r="Q3328" i="46"/>
  <c r="Q3327" i="46"/>
  <c r="Q3326" i="46"/>
  <c r="Q3325" i="46"/>
  <c r="Q3324" i="46"/>
  <c r="Q3323" i="46"/>
  <c r="Q3322" i="46"/>
  <c r="Q3321" i="46"/>
  <c r="Q3320" i="46"/>
  <c r="Q3319" i="46"/>
  <c r="Q3318" i="46"/>
  <c r="Q3317" i="46"/>
  <c r="Q3316" i="46"/>
  <c r="Q3315" i="46"/>
  <c r="Q3314" i="46"/>
  <c r="Q3313" i="46"/>
  <c r="Q3312" i="46"/>
  <c r="Q3311" i="46"/>
  <c r="Q3310" i="46"/>
  <c r="Q3309" i="46"/>
  <c r="Q3308" i="46"/>
  <c r="Q3307" i="46"/>
  <c r="Q3306" i="46"/>
  <c r="Q3305" i="46"/>
  <c r="Q3304" i="46"/>
  <c r="Q3303" i="46"/>
  <c r="Q3302" i="46"/>
  <c r="Q3301" i="46"/>
  <c r="Q3300" i="46"/>
  <c r="Q3299" i="46"/>
  <c r="Q3298" i="46"/>
  <c r="Q3297" i="46"/>
  <c r="Q3296" i="46"/>
  <c r="Q3295" i="46"/>
  <c r="Q3294" i="46"/>
  <c r="Q3293" i="46"/>
  <c r="Q3292" i="46"/>
  <c r="Q3291" i="46"/>
  <c r="Q3290" i="46"/>
  <c r="Q3289" i="46"/>
  <c r="Q3288" i="46"/>
  <c r="Q3287" i="46"/>
  <c r="Q3286" i="46"/>
  <c r="Q3285" i="46"/>
  <c r="Q3284" i="46"/>
  <c r="Q3283" i="46"/>
  <c r="Q3282" i="46"/>
  <c r="Q3281" i="46"/>
  <c r="Q3280" i="46"/>
  <c r="Q3279" i="46"/>
  <c r="Q3278" i="46"/>
  <c r="Q3277" i="46"/>
  <c r="Q3276" i="46"/>
  <c r="Q3275" i="46"/>
  <c r="Q3274" i="46"/>
  <c r="Q3273" i="46"/>
  <c r="Q3272" i="46"/>
  <c r="Q3271" i="46"/>
  <c r="Q3270" i="46"/>
  <c r="Q3269" i="46"/>
  <c r="Q3268" i="46"/>
  <c r="Q3267" i="46"/>
  <c r="Q3266" i="46"/>
  <c r="Q3265" i="46"/>
  <c r="Q3264" i="46"/>
  <c r="Q3263" i="46"/>
  <c r="Q3262" i="46"/>
  <c r="Q3261" i="46"/>
  <c r="Q3260" i="46"/>
  <c r="Q3259" i="46"/>
  <c r="Q3258" i="46"/>
  <c r="Q3257" i="46"/>
  <c r="Q3256" i="46"/>
  <c r="Q3255" i="46"/>
  <c r="Q3254" i="46"/>
  <c r="Q3253" i="46"/>
  <c r="Q3252" i="46"/>
  <c r="Q3251" i="46"/>
  <c r="Q3250" i="46"/>
  <c r="Q3249" i="46"/>
  <c r="Q3248" i="46"/>
  <c r="Q3247" i="46"/>
  <c r="Q3246" i="46"/>
  <c r="Q3245" i="46"/>
  <c r="Q3244" i="46"/>
  <c r="Q3243" i="46"/>
  <c r="Q3242" i="46"/>
  <c r="Q3241" i="46"/>
  <c r="Q3240" i="46"/>
  <c r="Q3239" i="46"/>
  <c r="Q3238" i="46"/>
  <c r="Q3237" i="46"/>
  <c r="Q3236" i="46"/>
  <c r="Q3235" i="46"/>
  <c r="Q3234" i="46"/>
  <c r="Q3233" i="46"/>
  <c r="Q3232" i="46"/>
  <c r="Q3231" i="46"/>
  <c r="Q3230" i="46"/>
  <c r="Q3229" i="46"/>
  <c r="Q3228" i="46"/>
  <c r="Q3227" i="46"/>
  <c r="Q3226" i="46"/>
  <c r="Q3225" i="46"/>
  <c r="Q3224" i="46"/>
  <c r="Q3223" i="46"/>
  <c r="Q3222" i="46"/>
  <c r="Q3221" i="46"/>
  <c r="Q3220" i="46"/>
  <c r="Q3219" i="46"/>
  <c r="Q3218" i="46"/>
  <c r="Q3217" i="46"/>
  <c r="Q3216" i="46"/>
  <c r="Q3215" i="46"/>
  <c r="Q3214" i="46"/>
  <c r="Q3213" i="46"/>
  <c r="Q3212" i="46"/>
  <c r="Q3211" i="46"/>
  <c r="Q3210" i="46"/>
  <c r="Q3209" i="46"/>
  <c r="Q3208" i="46"/>
  <c r="Q3207" i="46"/>
  <c r="Q3206" i="46"/>
  <c r="Q3205" i="46"/>
  <c r="Q3204" i="46"/>
  <c r="Q3203" i="46"/>
  <c r="Q3202" i="46"/>
  <c r="Q3201" i="46"/>
  <c r="Q3200" i="46"/>
  <c r="Q3199" i="46"/>
  <c r="Q3198" i="46"/>
  <c r="Q3197" i="46"/>
  <c r="Q3196" i="46"/>
  <c r="Q3195" i="46"/>
  <c r="Q3194" i="46"/>
  <c r="Q3193" i="46"/>
  <c r="Q3192" i="46"/>
  <c r="Q3191" i="46"/>
  <c r="Q3190" i="46"/>
  <c r="Q3189" i="46"/>
  <c r="Q3188" i="46"/>
  <c r="Q3187" i="46"/>
  <c r="Q3186" i="46"/>
  <c r="Q3185" i="46"/>
  <c r="Q3184" i="46"/>
  <c r="Q3183" i="46"/>
  <c r="Q3182" i="46"/>
  <c r="Q3181" i="46"/>
  <c r="Q3180" i="46"/>
  <c r="Q3179" i="46"/>
  <c r="Q3178" i="46"/>
  <c r="Q3177" i="46"/>
  <c r="Q3176" i="46"/>
  <c r="Q3175" i="46"/>
  <c r="Q3174" i="46"/>
  <c r="Q3173" i="46"/>
  <c r="Q3172" i="46"/>
  <c r="Q3171" i="46"/>
  <c r="Q3170" i="46"/>
  <c r="Q3169" i="46"/>
  <c r="Q3168" i="46"/>
  <c r="Q3167" i="46"/>
  <c r="Q3166" i="46"/>
  <c r="Q3165" i="46"/>
  <c r="Q3164" i="46"/>
  <c r="Q3163" i="46"/>
  <c r="Q3162" i="46"/>
  <c r="Q3161" i="46"/>
  <c r="Q3160" i="46"/>
  <c r="Q3159" i="46"/>
  <c r="Q3158" i="46"/>
  <c r="Q3157" i="46"/>
  <c r="Q3156" i="46"/>
  <c r="Q3155" i="46"/>
  <c r="Q3154" i="46"/>
  <c r="Q3153" i="46"/>
  <c r="Q3152" i="46"/>
  <c r="Q3151" i="46"/>
  <c r="Q3150" i="46"/>
  <c r="Q3149" i="46"/>
  <c r="Q3148" i="46"/>
  <c r="Q3147" i="46"/>
  <c r="Q3146" i="46"/>
  <c r="Q3145" i="46"/>
  <c r="Q3144" i="46"/>
  <c r="Q3143" i="46"/>
  <c r="Q3142" i="46"/>
  <c r="Q3141" i="46"/>
  <c r="Q3140" i="46"/>
  <c r="Q3139" i="46"/>
  <c r="Q3138" i="46"/>
  <c r="Q3137" i="46"/>
  <c r="Q3136" i="46"/>
  <c r="Q3135" i="46"/>
  <c r="Q3134" i="46"/>
  <c r="Q3133" i="46"/>
  <c r="Q3132" i="46"/>
  <c r="Q3131" i="46"/>
  <c r="Q3130" i="46"/>
  <c r="Q3129" i="46"/>
  <c r="Q3128" i="46"/>
  <c r="Q3127" i="46"/>
  <c r="Q3126" i="46"/>
  <c r="Q3125" i="46"/>
  <c r="Q3124" i="46"/>
  <c r="Q3123" i="46"/>
  <c r="Q3122" i="46"/>
  <c r="Q3121" i="46"/>
  <c r="Q3120" i="46"/>
  <c r="Q3119" i="46"/>
  <c r="Q3118" i="46"/>
  <c r="Q3117" i="46"/>
  <c r="Q3116" i="46"/>
  <c r="Q3115" i="46"/>
  <c r="Q3114" i="46"/>
  <c r="Q3113" i="46"/>
  <c r="Q3112" i="46"/>
  <c r="Q3111" i="46"/>
  <c r="Q3110" i="46"/>
  <c r="Q3109" i="46"/>
  <c r="Q3108" i="46"/>
  <c r="Q3107" i="46"/>
  <c r="Q3106" i="46"/>
  <c r="Q3105" i="46"/>
  <c r="Q3104" i="46"/>
  <c r="Q3103" i="46"/>
  <c r="Q3102" i="46"/>
  <c r="Q3101" i="46"/>
  <c r="Q3100" i="46"/>
  <c r="Q3099" i="46"/>
  <c r="Q3098" i="46"/>
  <c r="Q3097" i="46"/>
  <c r="Q3096" i="46"/>
  <c r="Q3095" i="46"/>
  <c r="Q3094" i="46"/>
  <c r="Q3093" i="46"/>
  <c r="Q3092" i="46"/>
  <c r="Q3091" i="46"/>
  <c r="Q3090" i="46"/>
  <c r="Q3089" i="46"/>
  <c r="Q3088" i="46"/>
  <c r="Q3087" i="46"/>
  <c r="Q3086" i="46"/>
  <c r="Q3085" i="46"/>
  <c r="Q3084" i="46"/>
  <c r="Q3083" i="46"/>
  <c r="Q3082" i="46"/>
  <c r="Q3081" i="46"/>
  <c r="Q3080" i="46"/>
  <c r="Q3079" i="46"/>
  <c r="Q3078" i="46"/>
  <c r="Q3077" i="46"/>
  <c r="Q3076" i="46"/>
  <c r="Q3075" i="46"/>
  <c r="Q3074" i="46"/>
  <c r="Q3073" i="46"/>
  <c r="Q3072" i="46"/>
  <c r="Q3071" i="46"/>
  <c r="Q3070" i="46"/>
  <c r="Q3069" i="46"/>
  <c r="Q3068" i="46"/>
  <c r="Q3067" i="46"/>
  <c r="Q3066" i="46"/>
  <c r="Q3065" i="46"/>
  <c r="Q3064" i="46"/>
  <c r="Q3063" i="46"/>
  <c r="Q3062" i="46"/>
  <c r="Q3061" i="46"/>
  <c r="Q3060" i="46"/>
  <c r="Q3059" i="46"/>
  <c r="Q3058" i="46"/>
  <c r="Q3057" i="46"/>
  <c r="Q3056" i="46"/>
  <c r="Q3055" i="46"/>
  <c r="Q3054" i="46"/>
  <c r="Q3053" i="46"/>
  <c r="Q3052" i="46"/>
  <c r="Q3051" i="46"/>
  <c r="Q3050" i="46"/>
  <c r="Q3049" i="46"/>
  <c r="Q3048" i="46"/>
  <c r="Q3047" i="46"/>
  <c r="Q3046" i="46"/>
  <c r="Q3045" i="46"/>
  <c r="Q3044" i="46"/>
  <c r="Q3043" i="46"/>
  <c r="Q3042" i="46"/>
  <c r="Q3041" i="46"/>
  <c r="Q3040" i="46"/>
  <c r="Q3039" i="46"/>
  <c r="Q3038" i="46"/>
  <c r="Q3037" i="46"/>
  <c r="Q3036" i="46"/>
  <c r="Q3035" i="46"/>
  <c r="Q3034" i="46"/>
  <c r="Q3033" i="46"/>
  <c r="Q3032" i="46"/>
  <c r="Q3031" i="46"/>
  <c r="Q3030" i="46"/>
  <c r="Q3029" i="46"/>
  <c r="Q3028" i="46"/>
  <c r="Q3027" i="46"/>
  <c r="Q3026" i="46"/>
  <c r="Q3025" i="46"/>
  <c r="Q3024" i="46"/>
  <c r="Q3023" i="46"/>
  <c r="Q3022" i="46"/>
  <c r="Q3021" i="46"/>
  <c r="Q3020" i="46"/>
  <c r="Q3019" i="46"/>
  <c r="Q3018" i="46"/>
  <c r="Q3017" i="46"/>
  <c r="Q3016" i="46"/>
  <c r="Q3015" i="46"/>
  <c r="Q3014" i="46"/>
  <c r="Q3013" i="46"/>
  <c r="Q3012" i="46"/>
  <c r="Q3011" i="46"/>
  <c r="Q3010" i="46"/>
  <c r="Q3009" i="46"/>
  <c r="Q3008" i="46"/>
  <c r="Q3007" i="46"/>
  <c r="Q3006" i="46"/>
  <c r="Q3005" i="46"/>
  <c r="Q3004" i="46"/>
  <c r="Q3003" i="46"/>
  <c r="Q3002" i="46"/>
  <c r="Q3001" i="46"/>
  <c r="Q3000" i="46"/>
  <c r="Q2999" i="46"/>
  <c r="Q2998" i="46"/>
  <c r="Q2997" i="46"/>
  <c r="Q2996" i="46"/>
  <c r="Q2995" i="46"/>
  <c r="Q2994" i="46"/>
  <c r="Q2993" i="46"/>
  <c r="Q2992" i="46"/>
  <c r="Q2991" i="46"/>
  <c r="Q2990" i="46"/>
  <c r="Q2989" i="46"/>
  <c r="Q2988" i="46"/>
  <c r="Q2987" i="46"/>
  <c r="Q2986" i="46"/>
  <c r="Q2985" i="46"/>
  <c r="Q2984" i="46"/>
  <c r="Q2983" i="46"/>
  <c r="Q2982" i="46"/>
  <c r="Q2981" i="46"/>
  <c r="Q2980" i="46"/>
  <c r="Q2979" i="46"/>
  <c r="Q2978" i="46"/>
  <c r="Q2977" i="46"/>
  <c r="Q2976" i="46"/>
  <c r="Q2975" i="46"/>
  <c r="Q2974" i="46"/>
  <c r="Q2973" i="46"/>
  <c r="Q2972" i="46"/>
  <c r="Q2971" i="46"/>
  <c r="Q2970" i="46"/>
  <c r="Q2969" i="46"/>
  <c r="Q2968" i="46"/>
  <c r="Q2967" i="46"/>
  <c r="Q2966" i="46"/>
  <c r="Q2965" i="46"/>
  <c r="Q2964" i="46"/>
  <c r="Q2963" i="46"/>
  <c r="Q2962" i="46"/>
  <c r="Q2961" i="46"/>
  <c r="Q2960" i="46"/>
  <c r="Q2959" i="46"/>
  <c r="Q2958" i="46"/>
  <c r="Q2957" i="46"/>
  <c r="Q2956" i="46"/>
  <c r="Q2955" i="46"/>
  <c r="Q2954" i="46"/>
  <c r="Q2953" i="46"/>
  <c r="Q2952" i="46"/>
  <c r="Q2951" i="46"/>
  <c r="Q2950" i="46"/>
  <c r="Q2949" i="46"/>
  <c r="Q2948" i="46"/>
  <c r="Q2947" i="46"/>
  <c r="Q2946" i="46"/>
  <c r="Q2945" i="46"/>
  <c r="Q2944" i="46"/>
  <c r="Q2943" i="46"/>
  <c r="Q2942" i="46"/>
  <c r="Q2941" i="46"/>
  <c r="Q2940" i="46"/>
  <c r="Q2939" i="46"/>
  <c r="Q2938" i="46"/>
  <c r="Q2937" i="46"/>
  <c r="Q2936" i="46"/>
  <c r="Q2935" i="46"/>
  <c r="Q2934" i="46"/>
  <c r="Q2933" i="46"/>
  <c r="Q2932" i="46"/>
  <c r="Q2931" i="46"/>
  <c r="Q2930" i="46"/>
  <c r="Q2929" i="46"/>
  <c r="Q2928" i="46"/>
  <c r="Q2927" i="46"/>
  <c r="Q2926" i="46"/>
  <c r="Q2925" i="46"/>
  <c r="Q2924" i="46"/>
  <c r="Q2923" i="46"/>
  <c r="Q2922" i="46"/>
  <c r="Q2921" i="46"/>
  <c r="Q2920" i="46"/>
  <c r="Q2919" i="46"/>
  <c r="Q2918" i="46"/>
  <c r="Q2917" i="46"/>
  <c r="Q2916" i="46"/>
  <c r="Q2915" i="46"/>
  <c r="Q2914" i="46"/>
  <c r="Q2913" i="46"/>
  <c r="Q2912" i="46"/>
  <c r="Q2911" i="46"/>
  <c r="Q2910" i="46"/>
  <c r="Q2909" i="46"/>
  <c r="Q2908" i="46"/>
  <c r="Q2907" i="46"/>
  <c r="Q2906" i="46"/>
  <c r="Q2905" i="46"/>
  <c r="Q2904" i="46"/>
  <c r="Q2903" i="46"/>
  <c r="Q2902" i="46"/>
  <c r="Q2901" i="46"/>
  <c r="Q2900" i="46"/>
  <c r="Q2899" i="46"/>
  <c r="Q2898" i="46"/>
  <c r="Q2897" i="46"/>
  <c r="Q2896" i="46"/>
  <c r="Q2895" i="46"/>
  <c r="Q2894" i="46"/>
  <c r="Q2893" i="46"/>
  <c r="Q2892" i="46"/>
  <c r="Q2891" i="46"/>
  <c r="Q2890" i="46"/>
  <c r="Q2889" i="46"/>
  <c r="Q2888" i="46"/>
  <c r="Q2887" i="46"/>
  <c r="Q2886" i="46"/>
  <c r="Q2885" i="46"/>
  <c r="Q2884" i="46"/>
  <c r="Q2883" i="46"/>
  <c r="Q2882" i="46"/>
  <c r="Q2881" i="46"/>
  <c r="Q2880" i="46"/>
  <c r="Q2879" i="46"/>
  <c r="Q2878" i="46"/>
  <c r="Q2877" i="46"/>
  <c r="Q2876" i="46"/>
  <c r="Q2875" i="46"/>
  <c r="Q2874" i="46"/>
  <c r="Q2873" i="46"/>
  <c r="Q2872" i="46"/>
  <c r="Q2871" i="46"/>
  <c r="Q2870" i="46"/>
  <c r="Q2869" i="46"/>
  <c r="Q2868" i="46"/>
  <c r="Q2867" i="46"/>
  <c r="Q2866" i="46"/>
  <c r="Q2865" i="46"/>
  <c r="Q2864" i="46"/>
  <c r="Q2863" i="46"/>
  <c r="Q2862" i="46"/>
  <c r="Q2861" i="46"/>
  <c r="Q2860" i="46"/>
  <c r="Q2859" i="46"/>
  <c r="Q2858" i="46"/>
  <c r="Q2857" i="46"/>
  <c r="Q2856" i="46"/>
  <c r="Q2855" i="46"/>
  <c r="Q2854" i="46"/>
  <c r="Q2853" i="46"/>
  <c r="Q2852" i="46"/>
  <c r="Q2851" i="46"/>
  <c r="Q2850" i="46"/>
  <c r="Q2849" i="46"/>
  <c r="Q2848" i="46"/>
  <c r="Q2847" i="46"/>
  <c r="Q2846" i="46"/>
  <c r="Q2845" i="46"/>
  <c r="Q2844" i="46"/>
  <c r="Q2843" i="46"/>
  <c r="Q2842" i="46"/>
  <c r="Q2841" i="46"/>
  <c r="Q2840" i="46"/>
  <c r="Q2839" i="46"/>
  <c r="Q2838" i="46"/>
  <c r="Q2837" i="46"/>
  <c r="Q2836" i="46"/>
  <c r="Q2835" i="46"/>
  <c r="Q2834" i="46"/>
  <c r="Q2833" i="46"/>
  <c r="Q2832" i="46"/>
  <c r="Q2831" i="46"/>
  <c r="Q2830" i="46"/>
  <c r="Q2829" i="46"/>
  <c r="Q2828" i="46"/>
  <c r="Q2827" i="46"/>
  <c r="Q2826" i="46"/>
  <c r="Q2825" i="46"/>
  <c r="Q2824" i="46"/>
  <c r="Q2823" i="46"/>
  <c r="Q2822" i="46"/>
  <c r="Q2821" i="46"/>
  <c r="Q2820" i="46"/>
  <c r="Q2819" i="46"/>
  <c r="Q2818" i="46"/>
  <c r="Q2817" i="46"/>
  <c r="Q2816" i="46"/>
  <c r="Q2815" i="46"/>
  <c r="Q2814" i="46"/>
  <c r="Q2813" i="46"/>
  <c r="Q2812" i="46"/>
  <c r="Q2811" i="46"/>
  <c r="Q2810" i="46"/>
  <c r="Q2809" i="46"/>
  <c r="Q2808" i="46"/>
  <c r="Q2807" i="46"/>
  <c r="Q2806" i="46"/>
  <c r="Q2805" i="46"/>
  <c r="Q2804" i="46"/>
  <c r="Q2803" i="46"/>
  <c r="Q2802" i="46"/>
  <c r="Q2801" i="46"/>
  <c r="Q2800" i="46"/>
  <c r="Q2799" i="46"/>
  <c r="Q2798" i="46"/>
  <c r="Q2797" i="46"/>
  <c r="Q2796" i="46"/>
  <c r="Q2795" i="46"/>
  <c r="Q2794" i="46"/>
  <c r="Q2793" i="46"/>
  <c r="Q2792" i="46"/>
  <c r="Q2791" i="46"/>
  <c r="Q2790" i="46"/>
  <c r="Q2789" i="46"/>
  <c r="Q2788" i="46"/>
  <c r="Q2787" i="46"/>
  <c r="Q2786" i="46"/>
  <c r="Q2785" i="46"/>
  <c r="Q2784" i="46"/>
  <c r="Q2783" i="46"/>
  <c r="Q2782" i="46"/>
  <c r="Q2781" i="46"/>
  <c r="Q2780" i="46"/>
  <c r="Q2779" i="46"/>
  <c r="Q2778" i="46"/>
  <c r="Q2777" i="46"/>
  <c r="Q2776" i="46"/>
  <c r="Q2775" i="46"/>
  <c r="Q2774" i="46"/>
  <c r="Q2773" i="46"/>
  <c r="Q2772" i="46"/>
  <c r="Q2771" i="46"/>
  <c r="Q2770" i="46"/>
  <c r="Q2769" i="46"/>
  <c r="Q2768" i="46"/>
  <c r="Q2767" i="46"/>
  <c r="Q2766" i="46"/>
  <c r="Q2765" i="46"/>
  <c r="Q2764" i="46"/>
  <c r="Q2763" i="46"/>
  <c r="Q2762" i="46"/>
  <c r="Q2761" i="46"/>
  <c r="Q2760" i="46"/>
  <c r="Q2759" i="46"/>
  <c r="Q2758" i="46"/>
  <c r="Q2757" i="46"/>
  <c r="Q2756" i="46"/>
  <c r="Q2755" i="46"/>
  <c r="Q2754" i="46"/>
  <c r="Q2753" i="46"/>
  <c r="Q2752" i="46"/>
  <c r="Q2751" i="46"/>
  <c r="Q2750" i="46"/>
  <c r="Q2749" i="46"/>
  <c r="Q2748" i="46"/>
  <c r="Q2747" i="46"/>
  <c r="Q2746" i="46"/>
  <c r="Q2745" i="46"/>
  <c r="Q2744" i="46"/>
  <c r="Q2743" i="46"/>
  <c r="Q2742" i="46"/>
  <c r="Q2741" i="46"/>
  <c r="Q2740" i="46"/>
  <c r="Q2739" i="46"/>
  <c r="Q2738" i="46"/>
  <c r="Q2737" i="46"/>
  <c r="Q2736" i="46"/>
  <c r="Q2735" i="46"/>
  <c r="Q2734" i="46"/>
  <c r="Q2733" i="46"/>
  <c r="Q2732" i="46"/>
  <c r="Q2731" i="46"/>
  <c r="Q2730" i="46"/>
  <c r="Q2729" i="46"/>
  <c r="Q2728" i="46"/>
  <c r="Q2727" i="46"/>
  <c r="Q2726" i="46"/>
  <c r="Q2725" i="46"/>
  <c r="Q2724" i="46"/>
  <c r="Q2723" i="46"/>
  <c r="Q2722" i="46"/>
  <c r="Q2721" i="46"/>
  <c r="Q2720" i="46"/>
  <c r="Q2719" i="46"/>
  <c r="Q2718" i="46"/>
  <c r="Q2717" i="46"/>
  <c r="Q2716" i="46"/>
  <c r="Q2715" i="46"/>
  <c r="Q2714" i="46"/>
  <c r="Q2713" i="46"/>
  <c r="Q2712" i="46"/>
  <c r="Q2711" i="46"/>
  <c r="Q2710" i="46"/>
  <c r="Q2709" i="46"/>
  <c r="Q2708" i="46"/>
  <c r="Q2707" i="46"/>
  <c r="Q2706" i="46"/>
  <c r="Q2705" i="46"/>
  <c r="Q2704" i="46"/>
  <c r="Q2703" i="46"/>
  <c r="Q2702" i="46"/>
  <c r="Q2701" i="46"/>
  <c r="Q2700" i="46"/>
  <c r="Q2699" i="46"/>
  <c r="Q2698" i="46"/>
  <c r="Q2697" i="46"/>
  <c r="Q2696" i="46"/>
  <c r="Q2695" i="46"/>
  <c r="Q2694" i="46"/>
  <c r="Q2693" i="46"/>
  <c r="Q2692" i="46"/>
  <c r="Q2691" i="46"/>
  <c r="Q2690" i="46"/>
  <c r="Q2689" i="46"/>
  <c r="Q2688" i="46"/>
  <c r="Q2687" i="46"/>
  <c r="Q2686" i="46"/>
  <c r="Q2685" i="46"/>
  <c r="Q2684" i="46"/>
  <c r="Q2683" i="46"/>
  <c r="Q2682" i="46"/>
  <c r="Q2681" i="46"/>
  <c r="Q2680" i="46"/>
  <c r="Q2679" i="46"/>
  <c r="Q2678" i="46"/>
  <c r="Q2677" i="46"/>
  <c r="Q2676" i="46"/>
  <c r="Q2675" i="46"/>
  <c r="Q2674" i="46"/>
  <c r="Q2673" i="46"/>
  <c r="Q2672" i="46"/>
  <c r="Q2671" i="46"/>
  <c r="Q2670" i="46"/>
  <c r="Q2669" i="46"/>
  <c r="Q2668" i="46"/>
  <c r="Q2667" i="46"/>
  <c r="Q2666" i="46"/>
  <c r="Q2665" i="46"/>
  <c r="Q2664" i="46"/>
  <c r="Q2663" i="46"/>
  <c r="Q2662" i="46"/>
  <c r="Q2661" i="46"/>
  <c r="Q2660" i="46"/>
  <c r="Q2659" i="46"/>
  <c r="Q2658" i="46"/>
  <c r="Q2657" i="46"/>
  <c r="Q2656" i="46"/>
  <c r="Q2655" i="46"/>
  <c r="Q2654" i="46"/>
  <c r="Q2653" i="46"/>
  <c r="Q2652" i="46"/>
  <c r="Q2651" i="46"/>
  <c r="Q2650" i="46"/>
  <c r="Q2649" i="46"/>
  <c r="Q2648" i="46"/>
  <c r="Q2647" i="46"/>
  <c r="Q2646" i="46"/>
  <c r="Q2645" i="46"/>
  <c r="Q2644" i="46"/>
  <c r="Q2643" i="46"/>
  <c r="Q2642" i="46"/>
  <c r="Q2641" i="46"/>
  <c r="Q2640" i="46"/>
  <c r="Q2639" i="46"/>
  <c r="Q2638" i="46"/>
  <c r="Q2637" i="46"/>
  <c r="Q2636" i="46"/>
  <c r="Q2635" i="46"/>
  <c r="Q2634" i="46"/>
  <c r="Q2633" i="46"/>
  <c r="Q2632" i="46"/>
  <c r="Q2631" i="46"/>
  <c r="Q2630" i="46"/>
  <c r="Q2629" i="46"/>
  <c r="Q2628" i="46"/>
  <c r="Q2627" i="46"/>
  <c r="Q2626" i="46"/>
  <c r="Q2625" i="46"/>
  <c r="Q2624" i="46"/>
  <c r="Q2623" i="46"/>
  <c r="Q2622" i="46"/>
  <c r="Q2621" i="46"/>
  <c r="Q2620" i="46"/>
  <c r="Q2619" i="46"/>
  <c r="Q2618" i="46"/>
  <c r="Q2617" i="46"/>
  <c r="Q2616" i="46"/>
  <c r="Q2615" i="46"/>
  <c r="Q2614" i="46"/>
  <c r="Q2613" i="46"/>
  <c r="Q2612" i="46"/>
  <c r="Q2611" i="46"/>
  <c r="Q2610" i="46"/>
  <c r="Q2609" i="46"/>
  <c r="Q2608" i="46"/>
  <c r="Q2607" i="46"/>
  <c r="Q2606" i="46"/>
  <c r="Q2605" i="46"/>
  <c r="Q2604" i="46"/>
  <c r="Q2603" i="46"/>
  <c r="Q2602" i="46"/>
  <c r="Q2601" i="46"/>
  <c r="Q2600" i="46"/>
  <c r="Q2599" i="46"/>
  <c r="Q2598" i="46"/>
  <c r="Q2597" i="46"/>
  <c r="Q2596" i="46"/>
  <c r="Q2595" i="46"/>
  <c r="Q2594" i="46"/>
  <c r="Q2593" i="46"/>
  <c r="Q2592" i="46"/>
  <c r="Q2591" i="46"/>
  <c r="Q2590" i="46"/>
  <c r="Q2589" i="46"/>
  <c r="Q2588" i="46"/>
  <c r="Q2587" i="46"/>
  <c r="Q2586" i="46"/>
  <c r="Q2585" i="46"/>
  <c r="Q2584" i="46"/>
  <c r="Q2583" i="46"/>
  <c r="Q2582" i="46"/>
  <c r="Q2581" i="46"/>
  <c r="Q2580" i="46"/>
  <c r="Q2579" i="46"/>
  <c r="Q2578" i="46"/>
  <c r="Q2577" i="46"/>
  <c r="Q2576" i="46"/>
  <c r="Q2575" i="46"/>
  <c r="Q2574" i="46"/>
  <c r="Q2573" i="46"/>
  <c r="Q2572" i="46"/>
  <c r="Q2571" i="46"/>
  <c r="Q2570" i="46"/>
  <c r="Q2569" i="46"/>
  <c r="Q2568" i="46"/>
  <c r="Q2567" i="46"/>
  <c r="Q2566" i="46"/>
  <c r="Q2565" i="46"/>
  <c r="Q2564" i="46"/>
  <c r="Q2563" i="46"/>
  <c r="Q2562" i="46"/>
  <c r="Q2561" i="46"/>
  <c r="Q2560" i="46"/>
  <c r="Q2559" i="46"/>
  <c r="Q2558" i="46"/>
  <c r="Q2557" i="46"/>
  <c r="Q2556" i="46"/>
  <c r="Q2555" i="46"/>
  <c r="Q2554" i="46"/>
  <c r="Q2553" i="46"/>
  <c r="Q2552" i="46"/>
  <c r="Q2551" i="46"/>
  <c r="Q2550" i="46"/>
  <c r="Q2549" i="46"/>
  <c r="Q2548" i="46"/>
  <c r="Q2547" i="46"/>
  <c r="Q2546" i="46"/>
  <c r="Q2545" i="46"/>
  <c r="Q2544" i="46"/>
  <c r="Q2543" i="46"/>
  <c r="Q2542" i="46"/>
  <c r="Q2541" i="46"/>
  <c r="Q2540" i="46"/>
  <c r="Q2539" i="46"/>
  <c r="Q2538" i="46"/>
  <c r="Q2537" i="46"/>
  <c r="Q2536" i="46"/>
  <c r="Q2535" i="46"/>
  <c r="Q2534" i="46"/>
  <c r="Q2533" i="46"/>
  <c r="Q2532" i="46"/>
  <c r="Q2531" i="46"/>
  <c r="Q2530" i="46"/>
  <c r="Q2529" i="46"/>
  <c r="Q2528" i="46"/>
  <c r="Q2527" i="46"/>
  <c r="Q2526" i="46"/>
  <c r="Q2525" i="46"/>
  <c r="Q2524" i="46"/>
  <c r="Q2523" i="46"/>
  <c r="Q2522" i="46"/>
  <c r="Q2521" i="46"/>
  <c r="Q2520" i="46"/>
  <c r="Q2519" i="46"/>
  <c r="Q2518" i="46"/>
  <c r="Q2517" i="46"/>
  <c r="Q2516" i="46"/>
  <c r="Q2515" i="46"/>
  <c r="Q2514" i="46"/>
  <c r="Q2513" i="46"/>
  <c r="Q2512" i="46"/>
  <c r="Q2511" i="46"/>
  <c r="Q2510" i="46"/>
  <c r="Q2509" i="46"/>
  <c r="Q2508" i="46"/>
  <c r="Q2507" i="46"/>
  <c r="Q2506" i="46"/>
  <c r="Q2505" i="46"/>
  <c r="Q2504" i="46"/>
  <c r="Q2503" i="46"/>
  <c r="Q2502" i="46"/>
  <c r="Q2501" i="46"/>
  <c r="Q2500" i="46"/>
  <c r="Q2499" i="46"/>
  <c r="Q2498" i="46"/>
  <c r="Q2497" i="46"/>
  <c r="Q2496" i="46"/>
  <c r="Q2495" i="46"/>
  <c r="Q2494" i="46"/>
  <c r="Q2493" i="46"/>
  <c r="Q2492" i="46"/>
  <c r="Q2491" i="46"/>
  <c r="Q2490" i="46"/>
  <c r="Q2489" i="46"/>
  <c r="Q2488" i="46"/>
  <c r="Q2487" i="46"/>
  <c r="Q2486" i="46"/>
  <c r="Q2485" i="46"/>
  <c r="Q2484" i="46"/>
  <c r="Q2483" i="46"/>
  <c r="Q2482" i="46"/>
  <c r="Q2481" i="46"/>
  <c r="Q2480" i="46"/>
  <c r="Q2479" i="46"/>
  <c r="Q2478" i="46"/>
  <c r="Q2477" i="46"/>
  <c r="Q2476" i="46"/>
  <c r="Q2475" i="46"/>
  <c r="Q2474" i="46"/>
  <c r="Q2473" i="46"/>
  <c r="Q2472" i="46"/>
  <c r="Q2471" i="46"/>
  <c r="Q2470" i="46"/>
  <c r="Q2469" i="46"/>
  <c r="Q2468" i="46"/>
  <c r="Q2467" i="46"/>
  <c r="Q2466" i="46"/>
  <c r="Q2465" i="46"/>
  <c r="Q2464" i="46"/>
  <c r="Q2463" i="46"/>
  <c r="Q2462" i="46"/>
  <c r="Q2461" i="46"/>
  <c r="Q2460" i="46"/>
  <c r="Q2459" i="46"/>
  <c r="Q2458" i="46"/>
  <c r="Q2457" i="46"/>
  <c r="Q2456" i="46"/>
  <c r="Q2455" i="46"/>
  <c r="Q2454" i="46"/>
  <c r="Q2453" i="46"/>
  <c r="Q2452" i="46"/>
  <c r="Q2451" i="46"/>
  <c r="Q2450" i="46"/>
  <c r="Q2449" i="46"/>
  <c r="Q2448" i="46"/>
  <c r="Q2447" i="46"/>
  <c r="Q2446" i="46"/>
  <c r="Q2445" i="46"/>
  <c r="Q2444" i="46"/>
  <c r="Q2443" i="46"/>
  <c r="Q2442" i="46"/>
  <c r="Q2441" i="46"/>
  <c r="Q2440" i="46"/>
  <c r="Q2439" i="46"/>
  <c r="Q2438" i="46"/>
  <c r="Q2437" i="46"/>
  <c r="Q2436" i="46"/>
  <c r="Q2435" i="46"/>
  <c r="Q2434" i="46"/>
  <c r="Q2433" i="46"/>
  <c r="Q2432" i="46"/>
  <c r="Q2431" i="46"/>
  <c r="Q2430" i="46"/>
  <c r="Q2429" i="46"/>
  <c r="Q2428" i="46"/>
  <c r="Q2427" i="46"/>
  <c r="Q2426" i="46"/>
  <c r="Q2425" i="46"/>
  <c r="Q2424" i="46"/>
  <c r="Q2423" i="46"/>
  <c r="Q2422" i="46"/>
  <c r="Q2421" i="46"/>
  <c r="Q2420" i="46"/>
  <c r="Q2419" i="46"/>
  <c r="Q2418" i="46"/>
  <c r="Q2417" i="46"/>
  <c r="Q2416" i="46"/>
  <c r="Q2415" i="46"/>
  <c r="Q2414" i="46"/>
  <c r="Q2413" i="46"/>
  <c r="Q2412" i="46"/>
  <c r="Q2411" i="46"/>
  <c r="Q2410" i="46"/>
  <c r="Q2409" i="46"/>
  <c r="Q2408" i="46"/>
  <c r="Q2407" i="46"/>
  <c r="Q2406" i="46"/>
  <c r="Q2405" i="46"/>
  <c r="Q2404" i="46"/>
  <c r="Q2403" i="46"/>
  <c r="Q2402" i="46"/>
  <c r="Q2401" i="46"/>
  <c r="Q2400" i="46"/>
  <c r="Q2399" i="46"/>
  <c r="Q2398" i="46"/>
  <c r="Q2397" i="46"/>
  <c r="Q2396" i="46"/>
  <c r="Q2395" i="46"/>
  <c r="Q2394" i="46"/>
  <c r="Q2393" i="46"/>
  <c r="Q2392" i="46"/>
  <c r="Q2391" i="46"/>
  <c r="Q2390" i="46"/>
  <c r="Q2389" i="46"/>
  <c r="Q2388" i="46"/>
  <c r="Q2387" i="46"/>
  <c r="Q2386" i="46"/>
  <c r="Q2385" i="46"/>
  <c r="Q2384" i="46"/>
  <c r="Q2383" i="46"/>
  <c r="Q2382" i="46"/>
  <c r="Q2381" i="46"/>
  <c r="Q2380" i="46"/>
  <c r="Q2379" i="46"/>
  <c r="Q2378" i="46"/>
  <c r="Q2377" i="46"/>
  <c r="Q2376" i="46"/>
  <c r="Q2375" i="46"/>
  <c r="Q2374" i="46"/>
  <c r="Q2373" i="46"/>
  <c r="Q2372" i="46"/>
  <c r="Q2371" i="46"/>
  <c r="Q2370" i="46"/>
  <c r="Q2369" i="46"/>
  <c r="Q2368" i="46"/>
  <c r="Q2367" i="46"/>
  <c r="Q2366" i="46"/>
  <c r="Q2365" i="46"/>
  <c r="Q2364" i="46"/>
  <c r="Q2363" i="46"/>
  <c r="Q2362" i="46"/>
  <c r="Q2361" i="46"/>
  <c r="Q2360" i="46"/>
  <c r="Q2359" i="46"/>
  <c r="Q2358" i="46"/>
  <c r="Q2357" i="46"/>
  <c r="Q2356" i="46"/>
  <c r="Q2355" i="46"/>
  <c r="Q2354" i="46"/>
  <c r="Q2353" i="46"/>
  <c r="Q2352" i="46"/>
  <c r="Q2351" i="46"/>
  <c r="Q2350" i="46"/>
  <c r="Q2349" i="46"/>
  <c r="Q2348" i="46"/>
  <c r="Q2347" i="46"/>
  <c r="Q2346" i="46"/>
  <c r="Q2345" i="46"/>
  <c r="Q2344" i="46"/>
  <c r="Q2343" i="46"/>
  <c r="Q2342" i="46"/>
  <c r="Q2341" i="46"/>
  <c r="Q2340" i="46"/>
  <c r="Q2339" i="46"/>
  <c r="Q2338" i="46"/>
  <c r="Q2337" i="46"/>
  <c r="Q2336" i="46"/>
  <c r="Q2335" i="46"/>
  <c r="Q2334" i="46"/>
  <c r="Q2333" i="46"/>
  <c r="Q2332" i="46"/>
  <c r="Q2331" i="46"/>
  <c r="Q2330" i="46"/>
  <c r="Q2329" i="46"/>
  <c r="Q2328" i="46"/>
  <c r="Q2327" i="46"/>
  <c r="Q2326" i="46"/>
  <c r="Q2325" i="46"/>
  <c r="Q2324" i="46"/>
  <c r="Q2323" i="46"/>
  <c r="Q2322" i="46"/>
  <c r="Q2321" i="46"/>
  <c r="Q2320" i="46"/>
  <c r="Q2319" i="46"/>
  <c r="Q2318" i="46"/>
  <c r="Q2317" i="46"/>
  <c r="Q2316" i="46"/>
  <c r="Q2315" i="46"/>
  <c r="Q2314" i="46"/>
  <c r="Q2313" i="46"/>
  <c r="Q2312" i="46"/>
  <c r="Q2311" i="46"/>
  <c r="Q2310" i="46"/>
  <c r="Q2309" i="46"/>
  <c r="Q2308" i="46"/>
  <c r="Q2307" i="46"/>
  <c r="Q2306" i="46"/>
  <c r="Q2305" i="46"/>
  <c r="Q2304" i="46"/>
  <c r="Q2303" i="46"/>
  <c r="Q2302" i="46"/>
  <c r="Q2301" i="46"/>
  <c r="Q2300" i="46"/>
  <c r="Q2299" i="46"/>
  <c r="Q2298" i="46"/>
  <c r="Q2297" i="46"/>
  <c r="Q2296" i="46"/>
  <c r="Q2295" i="46"/>
  <c r="Q2294" i="46"/>
  <c r="Q2293" i="46"/>
  <c r="Q2292" i="46"/>
  <c r="Q2291" i="46"/>
  <c r="Q2290" i="46"/>
  <c r="Q2289" i="46"/>
  <c r="Q2288" i="46"/>
  <c r="Q2287" i="46"/>
  <c r="Q2286" i="46"/>
  <c r="Q2285" i="46"/>
  <c r="Q2284" i="46"/>
  <c r="Q2283" i="46"/>
  <c r="Q2282" i="46"/>
  <c r="Q2281" i="46"/>
  <c r="Q2280" i="46"/>
  <c r="Q2279" i="46"/>
  <c r="Q2278" i="46"/>
  <c r="Q2277" i="46"/>
  <c r="Q2276" i="46"/>
  <c r="Q2275" i="46"/>
  <c r="Q2274" i="46"/>
  <c r="Q2273" i="46"/>
  <c r="Q2272" i="46"/>
  <c r="Q2271" i="46"/>
  <c r="Q2270" i="46"/>
  <c r="Q2269" i="46"/>
  <c r="Q2268" i="46"/>
  <c r="Q2267" i="46"/>
  <c r="Q2266" i="46"/>
  <c r="Q2265" i="46"/>
  <c r="Q2264" i="46"/>
  <c r="Q2263" i="46"/>
  <c r="Q2262" i="46"/>
  <c r="Q2261" i="46"/>
  <c r="Q2260" i="46"/>
  <c r="Q2259" i="46"/>
  <c r="Q2258" i="46"/>
  <c r="Q2257" i="46"/>
  <c r="Q2256" i="46"/>
  <c r="Q2255" i="46"/>
  <c r="Q2254" i="46"/>
  <c r="Q2253" i="46"/>
  <c r="Q2252" i="46"/>
  <c r="Q2251" i="46"/>
  <c r="Q2250" i="46"/>
  <c r="Q2249" i="46"/>
  <c r="Q2248" i="46"/>
  <c r="Q2247" i="46"/>
  <c r="Q2246" i="46"/>
  <c r="Q2245" i="46"/>
  <c r="Q2244" i="46"/>
  <c r="Q2243" i="46"/>
  <c r="Q2242" i="46"/>
  <c r="Q2241" i="46"/>
  <c r="Q2240" i="46"/>
  <c r="Q2239" i="46"/>
  <c r="Q2238" i="46"/>
  <c r="Q2237" i="46"/>
  <c r="Q2236" i="46"/>
  <c r="Q2235" i="46"/>
  <c r="Q2234" i="46"/>
  <c r="Q2233" i="46"/>
  <c r="Q2232" i="46"/>
  <c r="Q2231" i="46"/>
  <c r="Q2230" i="46"/>
  <c r="Q2229" i="46"/>
  <c r="Q2228" i="46"/>
  <c r="Q2227" i="46"/>
  <c r="Q2226" i="46"/>
  <c r="Q2225" i="46"/>
  <c r="Q2224" i="46"/>
  <c r="Q2223" i="46"/>
  <c r="Q2222" i="46"/>
  <c r="Q2221" i="46"/>
  <c r="Q2220" i="46"/>
  <c r="Q2219" i="46"/>
  <c r="Q2218" i="46"/>
  <c r="Q2217" i="46"/>
  <c r="Q2216" i="46"/>
  <c r="Q2215" i="46"/>
  <c r="Q2214" i="46"/>
  <c r="Q2213" i="46"/>
  <c r="Q2212" i="46"/>
  <c r="Q2211" i="46"/>
  <c r="Q2210" i="46"/>
  <c r="Q2209" i="46"/>
  <c r="Q2208" i="46"/>
  <c r="Q2207" i="46"/>
  <c r="Q2206" i="46"/>
  <c r="Q2205" i="46"/>
  <c r="Q2204" i="46"/>
  <c r="Q2203" i="46"/>
  <c r="Q2202" i="46"/>
  <c r="Q2201" i="46"/>
  <c r="Q2200" i="46"/>
  <c r="Q2199" i="46"/>
  <c r="Q2198" i="46"/>
  <c r="Q2197" i="46"/>
  <c r="Q2196" i="46"/>
  <c r="Q2195" i="46"/>
  <c r="Q2194" i="46"/>
  <c r="Q2193" i="46"/>
  <c r="Q2192" i="46"/>
  <c r="Q2191" i="46"/>
  <c r="Q2190" i="46"/>
  <c r="Q2189" i="46"/>
  <c r="Q2188" i="46"/>
  <c r="Q2187" i="46"/>
  <c r="Q2186" i="46"/>
  <c r="Q2185" i="46"/>
  <c r="Q2184" i="46"/>
  <c r="Q2183" i="46"/>
  <c r="Q2182" i="46"/>
  <c r="Q2181" i="46"/>
  <c r="Q2180" i="46"/>
  <c r="Q2179" i="46"/>
  <c r="Q2178" i="46"/>
  <c r="Q2177" i="46"/>
  <c r="Q2176" i="46"/>
  <c r="Q2175" i="46"/>
  <c r="Q2174" i="46"/>
  <c r="Q2173" i="46"/>
  <c r="Q2172" i="46"/>
  <c r="Q2171" i="46"/>
  <c r="Q2170" i="46"/>
  <c r="Q2169" i="46"/>
  <c r="Q2168" i="46"/>
  <c r="Q2167" i="46"/>
  <c r="Q2166" i="46"/>
  <c r="Q2165" i="46"/>
  <c r="Q2164" i="46"/>
  <c r="Q2163" i="46"/>
  <c r="Q2162" i="46"/>
  <c r="Q2161" i="46"/>
  <c r="Q2160" i="46"/>
  <c r="Q2159" i="46"/>
  <c r="Q2158" i="46"/>
  <c r="Q2157" i="46"/>
  <c r="Q2156" i="46"/>
  <c r="Q2155" i="46"/>
  <c r="Q2154" i="46"/>
  <c r="Q2153" i="46"/>
  <c r="Q2152" i="46"/>
  <c r="Q2151" i="46"/>
  <c r="Q2150" i="46"/>
  <c r="Q2149" i="46"/>
  <c r="Q2148" i="46"/>
  <c r="Q2147" i="46"/>
  <c r="Q2146" i="46"/>
  <c r="Q2145" i="46"/>
  <c r="Q2144" i="46"/>
  <c r="Q2143" i="46"/>
  <c r="Q2142" i="46"/>
  <c r="Q2141" i="46"/>
  <c r="Q2140" i="46"/>
  <c r="Q2139" i="46"/>
  <c r="Q2138" i="46"/>
  <c r="Q2137" i="46"/>
  <c r="Q2136" i="46"/>
  <c r="Q2135" i="46"/>
  <c r="Q2134" i="46"/>
  <c r="Q2133" i="46"/>
  <c r="Q2132" i="46"/>
  <c r="Q2131" i="46"/>
  <c r="Q2130" i="46"/>
  <c r="Q2129" i="46"/>
  <c r="Q2128" i="46"/>
  <c r="Q2127" i="46"/>
  <c r="Q2126" i="46"/>
  <c r="Q2125" i="46"/>
  <c r="Q2124" i="46"/>
  <c r="Q2123" i="46"/>
  <c r="Q2122" i="46"/>
  <c r="Q2121" i="46"/>
  <c r="Q2120" i="46"/>
  <c r="Q2119" i="46"/>
  <c r="Q2118" i="46"/>
  <c r="Q2117" i="46"/>
  <c r="Q2116" i="46"/>
  <c r="Q2115" i="46"/>
  <c r="Q2114" i="46"/>
  <c r="Q2113" i="46"/>
  <c r="Q2112" i="46"/>
  <c r="Q2111" i="46"/>
  <c r="Q2110" i="46"/>
  <c r="Q2109" i="46"/>
  <c r="Q2108" i="46"/>
  <c r="Q2107" i="46"/>
  <c r="Q2106" i="46"/>
  <c r="Q2105" i="46"/>
  <c r="Q2104" i="46"/>
  <c r="Q2103" i="46"/>
  <c r="Q2102" i="46"/>
  <c r="Q2101" i="46"/>
  <c r="Q2100" i="46"/>
  <c r="Q2099" i="46"/>
  <c r="Q2098" i="46"/>
  <c r="Q2097" i="46"/>
  <c r="Q2096" i="46"/>
  <c r="Q2095" i="46"/>
  <c r="Q2094" i="46"/>
  <c r="Q2093" i="46"/>
  <c r="Q2092" i="46"/>
  <c r="Q2091" i="46"/>
  <c r="Q2090" i="46"/>
  <c r="Q2089" i="46"/>
  <c r="Q2088" i="46"/>
  <c r="Q2087" i="46"/>
  <c r="Q2086" i="46"/>
  <c r="Q2085" i="46"/>
  <c r="Q2084" i="46"/>
  <c r="Q2083" i="46"/>
  <c r="Q2082" i="46"/>
  <c r="Q2081" i="46"/>
  <c r="Q2080" i="46"/>
  <c r="Q2079" i="46"/>
  <c r="Q2078" i="46"/>
  <c r="Q2077" i="46"/>
  <c r="Q2076" i="46"/>
  <c r="Q2075" i="46"/>
  <c r="Q2074" i="46"/>
  <c r="Q2073" i="46"/>
  <c r="Q2072" i="46"/>
  <c r="Q2071" i="46"/>
  <c r="Q2070" i="46"/>
  <c r="Q2069" i="46"/>
  <c r="Q2068" i="46"/>
  <c r="Q2067" i="46"/>
  <c r="Q2066" i="46"/>
  <c r="Q2065" i="46"/>
  <c r="Q2064" i="46"/>
  <c r="Q2063" i="46"/>
  <c r="Q2062" i="46"/>
  <c r="Q2061" i="46"/>
  <c r="Q2060" i="46"/>
  <c r="Q2059" i="46"/>
  <c r="Q2058" i="46"/>
  <c r="Q2057" i="46"/>
  <c r="Q2056" i="46"/>
  <c r="Q2055" i="46"/>
  <c r="Q2054" i="46"/>
  <c r="Q2053" i="46"/>
  <c r="Q2052" i="46"/>
  <c r="Q2051" i="46"/>
  <c r="Q2050" i="46"/>
  <c r="Q2049" i="46"/>
  <c r="Q2048" i="46"/>
  <c r="Q2047" i="46"/>
  <c r="Q2046" i="46"/>
  <c r="Q2045" i="46"/>
  <c r="Q2044" i="46"/>
  <c r="Q2043" i="46"/>
  <c r="Q2042" i="46"/>
  <c r="Q2041" i="46"/>
  <c r="Q2040" i="46"/>
  <c r="Q2039" i="46"/>
  <c r="Q2038" i="46"/>
  <c r="Q2037" i="46"/>
  <c r="Q2036" i="46"/>
  <c r="Q2035" i="46"/>
  <c r="Q2034" i="46"/>
  <c r="Q2033" i="46"/>
  <c r="Q2032" i="46"/>
  <c r="Q2031" i="46"/>
  <c r="Q2030" i="46"/>
  <c r="Q2029" i="46"/>
  <c r="Q2028" i="46"/>
  <c r="Q2027" i="46"/>
  <c r="Q2026" i="46"/>
  <c r="Q2025" i="46"/>
  <c r="Q2024" i="46"/>
  <c r="Q2023" i="46"/>
  <c r="Q2022" i="46"/>
  <c r="Q2021" i="46"/>
  <c r="Q2020" i="46"/>
  <c r="Q2019" i="46"/>
  <c r="Q2018" i="46"/>
  <c r="Q2017" i="46"/>
  <c r="Q2016" i="46"/>
  <c r="Q2015" i="46"/>
  <c r="Q2014" i="46"/>
  <c r="Q2013" i="46"/>
  <c r="Q2012" i="46"/>
  <c r="Q2011" i="46"/>
  <c r="Q2010" i="46"/>
  <c r="Q2009" i="46"/>
  <c r="Q2008" i="46"/>
  <c r="Q2007" i="46"/>
  <c r="Q2006" i="46"/>
  <c r="Q2005" i="46"/>
  <c r="Q2004" i="46"/>
  <c r="Q2003" i="46"/>
  <c r="Q2002" i="46"/>
  <c r="Q2001" i="46"/>
  <c r="Q2000" i="46"/>
  <c r="Q1999" i="46"/>
  <c r="Q1998" i="46"/>
  <c r="Q1997" i="46"/>
  <c r="Q1996" i="46"/>
  <c r="Q1995" i="46"/>
  <c r="Q1994" i="46"/>
  <c r="Q1993" i="46"/>
  <c r="Q1992" i="46"/>
  <c r="Q1991" i="46"/>
  <c r="Q1990" i="46"/>
  <c r="Q1989" i="46"/>
  <c r="Q1988" i="46"/>
  <c r="Q1987" i="46"/>
  <c r="Q1986" i="46"/>
  <c r="Q1985" i="46"/>
  <c r="Q1984" i="46"/>
  <c r="Q1983" i="46"/>
  <c r="Q1982" i="46"/>
  <c r="Q1981" i="46"/>
  <c r="Q1980" i="46"/>
  <c r="Q1979" i="46"/>
  <c r="Q1978" i="46"/>
  <c r="Q1977" i="46"/>
  <c r="Q1976" i="46"/>
  <c r="Q1975" i="46"/>
  <c r="Q1974" i="46"/>
  <c r="Q1973" i="46"/>
  <c r="Q1972" i="46"/>
  <c r="Q1971" i="46"/>
  <c r="Q1970" i="46"/>
  <c r="Q1969" i="46"/>
  <c r="Q1968" i="46"/>
  <c r="Q1967" i="46"/>
  <c r="Q1966" i="46"/>
  <c r="Q1965" i="46"/>
  <c r="Q1964" i="46"/>
  <c r="Q1963" i="46"/>
  <c r="Q1962" i="46"/>
  <c r="Q1961" i="46"/>
  <c r="Q1960" i="46"/>
  <c r="Q1959" i="46"/>
  <c r="Q1958" i="46"/>
  <c r="Q1957" i="46"/>
  <c r="Q1956" i="46"/>
  <c r="Q1955" i="46"/>
  <c r="Q1954" i="46"/>
  <c r="Q1953" i="46"/>
  <c r="Q1952" i="46"/>
  <c r="Q1951" i="46"/>
  <c r="Q1950" i="46"/>
  <c r="Q1949" i="46"/>
  <c r="Q1948" i="46"/>
  <c r="Q1947" i="46"/>
  <c r="Q1946" i="46"/>
  <c r="Q1945" i="46"/>
  <c r="Q1944" i="46"/>
  <c r="Q1943" i="46"/>
  <c r="Q1942" i="46"/>
  <c r="Q1941" i="46"/>
  <c r="Q1940" i="46"/>
  <c r="Q1939" i="46"/>
  <c r="Q1938" i="46"/>
  <c r="Q1937" i="46"/>
  <c r="Q1936" i="46"/>
  <c r="Q1935" i="46"/>
  <c r="Q1934" i="46"/>
  <c r="Q1933" i="46"/>
  <c r="Q1932" i="46"/>
  <c r="Q1931" i="46"/>
  <c r="Q1930" i="46"/>
  <c r="Q1929" i="46"/>
  <c r="Q1928" i="46"/>
  <c r="Q1927" i="46"/>
  <c r="Q1926" i="46"/>
  <c r="Q1925" i="46"/>
  <c r="Q1924" i="46"/>
  <c r="Q1923" i="46"/>
  <c r="Q1922" i="46"/>
  <c r="Q1921" i="46"/>
  <c r="Q1920" i="46"/>
  <c r="Q1919" i="46"/>
  <c r="Q1918" i="46"/>
  <c r="Q1917" i="46"/>
  <c r="Q1916" i="46"/>
  <c r="Q1915" i="46"/>
  <c r="Q1914" i="46"/>
  <c r="Q1913" i="46"/>
  <c r="Q1912" i="46"/>
  <c r="Q1911" i="46"/>
  <c r="Q1910" i="46"/>
  <c r="Q1909" i="46"/>
  <c r="Q1908" i="46"/>
  <c r="Q1907" i="46"/>
  <c r="Q1906" i="46"/>
  <c r="Q1905" i="46"/>
  <c r="Q1904" i="46"/>
  <c r="Q1903" i="46"/>
  <c r="Q1902" i="46"/>
  <c r="Q1901" i="46"/>
  <c r="Q1900" i="46"/>
  <c r="Q1899" i="46"/>
  <c r="Q1898" i="46"/>
  <c r="Q1897" i="46"/>
  <c r="Q1896" i="46"/>
  <c r="Q1895" i="46"/>
  <c r="Q1894" i="46"/>
  <c r="Q1893" i="46"/>
  <c r="Q1892" i="46"/>
  <c r="Q1891" i="46"/>
  <c r="Q1890" i="46"/>
  <c r="Q1889" i="46"/>
  <c r="Q1888" i="46"/>
  <c r="Q1887" i="46"/>
  <c r="Q1886" i="46"/>
  <c r="Q1885" i="46"/>
  <c r="Q1884" i="46"/>
  <c r="Q1883" i="46"/>
  <c r="Q1882" i="46"/>
  <c r="Q1881" i="46"/>
  <c r="Q1880" i="46"/>
  <c r="Q1879" i="46"/>
  <c r="Q1878" i="46"/>
  <c r="Q1877" i="46"/>
  <c r="Q1876" i="46"/>
  <c r="Q1875" i="46"/>
  <c r="Q1874" i="46"/>
  <c r="Q1873" i="46"/>
  <c r="Q1872" i="46"/>
  <c r="Q1871" i="46"/>
  <c r="Q1870" i="46"/>
  <c r="Q1869" i="46"/>
  <c r="Q1868" i="46"/>
  <c r="Q1867" i="46"/>
  <c r="Q1866" i="46"/>
  <c r="Q1865" i="46"/>
  <c r="Q1864" i="46"/>
  <c r="Q1863" i="46"/>
  <c r="Q1862" i="46"/>
  <c r="Q1861" i="46"/>
  <c r="Q1860" i="46"/>
  <c r="Q1859" i="46"/>
  <c r="Q1858" i="46"/>
  <c r="Q1857" i="46"/>
  <c r="Q1856" i="46"/>
  <c r="Q1855" i="46"/>
  <c r="Q1854" i="46"/>
  <c r="Q1853" i="46"/>
  <c r="Q1852" i="46"/>
  <c r="Q1851" i="46"/>
  <c r="Q1850" i="46"/>
  <c r="Q1849" i="46"/>
  <c r="Q1848" i="46"/>
  <c r="Q1847" i="46"/>
  <c r="Q1846" i="46"/>
  <c r="Q1845" i="46"/>
  <c r="Q1844" i="46"/>
  <c r="Q1843" i="46"/>
  <c r="Q1842" i="46"/>
  <c r="Q1841" i="46"/>
  <c r="Q1840" i="46"/>
  <c r="Q1839" i="46"/>
  <c r="Q1838" i="46"/>
  <c r="Q1837" i="46"/>
  <c r="Q1836" i="46"/>
  <c r="Q1835" i="46"/>
  <c r="Q1834" i="46"/>
  <c r="Q1833" i="46"/>
  <c r="Q1832" i="46"/>
  <c r="Q1831" i="46"/>
  <c r="Q1830" i="46"/>
  <c r="Q1829" i="46"/>
  <c r="Q1828" i="46"/>
  <c r="Q1827" i="46"/>
  <c r="Q1826" i="46"/>
  <c r="Q1825" i="46"/>
  <c r="Q1824" i="46"/>
  <c r="Q1823" i="46"/>
  <c r="Q1822" i="46"/>
  <c r="Q1821" i="46"/>
  <c r="Q1820" i="46"/>
  <c r="Q1819" i="46"/>
  <c r="Q1818" i="46"/>
  <c r="Q1817" i="46"/>
  <c r="Q1816" i="46"/>
  <c r="Q1815" i="46"/>
  <c r="Q1814" i="46"/>
  <c r="Q1813" i="46"/>
  <c r="Q1812" i="46"/>
  <c r="Q1811" i="46"/>
  <c r="Q1810" i="46"/>
  <c r="Q1809" i="46"/>
  <c r="Q1808" i="46"/>
  <c r="Q1807" i="46"/>
  <c r="Q1806" i="46"/>
  <c r="Q1805" i="46"/>
  <c r="Q1804" i="46"/>
  <c r="Q1803" i="46"/>
  <c r="Q1802" i="46"/>
  <c r="Q1801" i="46"/>
  <c r="Q1800" i="46"/>
  <c r="Q1799" i="46"/>
  <c r="Q1798" i="46"/>
  <c r="Q1797" i="46"/>
  <c r="Q1796" i="46"/>
  <c r="Q1795" i="46"/>
  <c r="Q1794" i="46"/>
  <c r="Q1793" i="46"/>
  <c r="Q1792" i="46"/>
  <c r="Q1791" i="46"/>
  <c r="Q1790" i="46"/>
  <c r="Q1789" i="46"/>
  <c r="Q1788" i="46"/>
  <c r="Q1787" i="46"/>
  <c r="Q1786" i="46"/>
  <c r="Q1785" i="46"/>
  <c r="Q1784" i="46"/>
  <c r="Q1783" i="46"/>
  <c r="Q1782" i="46"/>
  <c r="Q1781" i="46"/>
  <c r="Q1780" i="46"/>
  <c r="Q1779" i="46"/>
  <c r="Q1778" i="46"/>
  <c r="Q1777" i="46"/>
  <c r="Q1776" i="46"/>
  <c r="Q1775" i="46"/>
  <c r="Q1774" i="46"/>
  <c r="Q1773" i="46"/>
  <c r="Q1772" i="46"/>
  <c r="Q1771" i="46"/>
  <c r="Q1770" i="46"/>
  <c r="Q1769" i="46"/>
  <c r="Q1768" i="46"/>
  <c r="Q1767" i="46"/>
  <c r="Q1766" i="46"/>
  <c r="Q1765" i="46"/>
  <c r="Q1764" i="46"/>
  <c r="Q1763" i="46"/>
  <c r="Q1762" i="46"/>
  <c r="Q1761" i="46"/>
  <c r="Q1760" i="46"/>
  <c r="Q1759" i="46"/>
  <c r="Q1758" i="46"/>
  <c r="Q1757" i="46"/>
  <c r="Q1756" i="46"/>
  <c r="Q1755" i="46"/>
  <c r="Q1754" i="46"/>
  <c r="Q1753" i="46"/>
  <c r="Q1752" i="46"/>
  <c r="Q1751" i="46"/>
  <c r="Q1750" i="46"/>
  <c r="Q1749" i="46"/>
  <c r="Q1748" i="46"/>
  <c r="Q1747" i="46"/>
  <c r="Q1746" i="46"/>
  <c r="Q1745" i="46"/>
  <c r="Q1744" i="46"/>
  <c r="Q1743" i="46"/>
  <c r="Q1742" i="46"/>
  <c r="Q1741" i="46"/>
  <c r="Q1740" i="46"/>
  <c r="Q1739" i="46"/>
  <c r="Q1738" i="46"/>
  <c r="Q1737" i="46"/>
  <c r="Q1736" i="46"/>
  <c r="Q1735" i="46"/>
  <c r="Q1734" i="46"/>
  <c r="Q1733" i="46"/>
  <c r="Q1732" i="46"/>
  <c r="Q1731" i="46"/>
  <c r="Q1730" i="46"/>
  <c r="Q1729" i="46"/>
  <c r="Q1728" i="46"/>
  <c r="Q1727" i="46"/>
  <c r="Q1726" i="46"/>
  <c r="Q1725" i="46"/>
  <c r="Q1724" i="46"/>
  <c r="Q1723" i="46"/>
  <c r="Q1722" i="46"/>
  <c r="Q1721" i="46"/>
  <c r="Q1720" i="46"/>
  <c r="Q1719" i="46"/>
  <c r="Q1718" i="46"/>
  <c r="Q1717" i="46"/>
  <c r="Q1716" i="46"/>
  <c r="Q1715" i="46"/>
  <c r="Q1714" i="46"/>
  <c r="Q1713" i="46"/>
  <c r="Q1712" i="46"/>
  <c r="Q1711" i="46"/>
  <c r="Q1710" i="46"/>
  <c r="Q1709" i="46"/>
  <c r="Q1708" i="46"/>
  <c r="Q1707" i="46"/>
  <c r="Q1706" i="46"/>
  <c r="Q1705" i="46"/>
  <c r="Q1704" i="46"/>
  <c r="Q1703" i="46"/>
  <c r="Q1702" i="46"/>
  <c r="Q1701" i="46"/>
  <c r="Q1700" i="46"/>
  <c r="Q1699" i="46"/>
  <c r="Q1698" i="46"/>
  <c r="Q1697" i="46"/>
  <c r="Q1696" i="46"/>
  <c r="Q1695" i="46"/>
  <c r="Q1694" i="46"/>
  <c r="Q1693" i="46"/>
  <c r="Q1692" i="46"/>
  <c r="Q1691" i="46"/>
  <c r="Q1690" i="46"/>
  <c r="Q1689" i="46"/>
  <c r="Q1688" i="46"/>
  <c r="Q1687" i="46"/>
  <c r="Q1686" i="46"/>
  <c r="Q1685" i="46"/>
  <c r="Q1684" i="46"/>
  <c r="Q1683" i="46"/>
  <c r="Q1682" i="46"/>
  <c r="Q1681" i="46"/>
  <c r="Q1680" i="46"/>
  <c r="Q1679" i="46"/>
  <c r="Q1678" i="46"/>
  <c r="Q1677" i="46"/>
  <c r="Q1676" i="46"/>
  <c r="Q1675" i="46"/>
  <c r="Q1674" i="46"/>
  <c r="Q1673" i="46"/>
  <c r="Q1672" i="46"/>
  <c r="Q1671" i="46"/>
  <c r="Q1670" i="46"/>
  <c r="Q1669" i="46"/>
  <c r="Q1668" i="46"/>
  <c r="Q1667" i="46"/>
  <c r="Q1666" i="46"/>
  <c r="Q1665" i="46"/>
  <c r="Q1664" i="46"/>
  <c r="Q1663" i="46"/>
  <c r="Q1662" i="46"/>
  <c r="Q1661" i="46"/>
  <c r="Q1660" i="46"/>
  <c r="Q1659" i="46"/>
  <c r="Q1658" i="46"/>
  <c r="Q1657" i="46"/>
  <c r="Q1656" i="46"/>
  <c r="Q1655" i="46"/>
  <c r="Q1654" i="46"/>
  <c r="Q1653" i="46"/>
  <c r="Q1652" i="46"/>
  <c r="Q1651" i="46"/>
  <c r="Q1650" i="46"/>
  <c r="Q1649" i="46"/>
  <c r="Q1648" i="46"/>
  <c r="Q1647" i="46"/>
  <c r="Q1646" i="46"/>
  <c r="Q1645" i="46"/>
  <c r="Q1644" i="46"/>
  <c r="Q1643" i="46"/>
  <c r="Q1642" i="46"/>
  <c r="Q1641" i="46"/>
  <c r="Q1640" i="46"/>
  <c r="Q1639" i="46"/>
  <c r="Q1638" i="46"/>
  <c r="Q1637" i="46"/>
  <c r="Q1636" i="46"/>
  <c r="Q1635" i="46"/>
  <c r="Q1634" i="46"/>
  <c r="Q1633" i="46"/>
  <c r="Q1632" i="46"/>
  <c r="Q1631" i="46"/>
  <c r="Q1630" i="46"/>
  <c r="Q1629" i="46"/>
  <c r="Q1628" i="46"/>
  <c r="Q1627" i="46"/>
  <c r="Q1626" i="46"/>
  <c r="Q1625" i="46"/>
  <c r="Q1624" i="46"/>
  <c r="Q1623" i="46"/>
  <c r="Q1622" i="46"/>
  <c r="Q1621" i="46"/>
  <c r="Q1620" i="46"/>
  <c r="Q1619" i="46"/>
  <c r="Q1618" i="46"/>
  <c r="Q1617" i="46"/>
  <c r="Q1616" i="46"/>
  <c r="Q1615" i="46"/>
  <c r="Q1614" i="46"/>
  <c r="Q1613" i="46"/>
  <c r="Q1612" i="46"/>
  <c r="Q1611" i="46"/>
  <c r="Q1610" i="46"/>
  <c r="Q1609" i="46"/>
  <c r="Q1608" i="46"/>
  <c r="Q1607" i="46"/>
  <c r="Q1606" i="46"/>
  <c r="Q1605" i="46"/>
  <c r="Q1604" i="46"/>
  <c r="Q1603" i="46"/>
  <c r="Q1602" i="46"/>
  <c r="Q1601" i="46"/>
  <c r="Q1600" i="46"/>
  <c r="Q1599" i="46"/>
  <c r="Q1598" i="46"/>
  <c r="Q1597" i="46"/>
  <c r="Q1596" i="46"/>
  <c r="Q1595" i="46"/>
  <c r="Q1594" i="46"/>
  <c r="Q1593" i="46"/>
  <c r="Q1592" i="46"/>
  <c r="Q1591" i="46"/>
  <c r="Q1590" i="46"/>
  <c r="Q1589" i="46"/>
  <c r="Q1588" i="46"/>
  <c r="Q1587" i="46"/>
  <c r="Q1586" i="46"/>
  <c r="Q1585" i="46"/>
  <c r="Q1584" i="46"/>
  <c r="Q1583" i="46"/>
  <c r="Q1582" i="46"/>
  <c r="Q1581" i="46"/>
  <c r="Q1580" i="46"/>
  <c r="Q1579" i="46"/>
  <c r="Q1578" i="46"/>
  <c r="Q1577" i="46"/>
  <c r="Q1576" i="46"/>
  <c r="Q1575" i="46"/>
  <c r="Q1574" i="46"/>
  <c r="Q1573" i="46"/>
  <c r="Q1572" i="46"/>
  <c r="Q1571" i="46"/>
  <c r="Q1570" i="46"/>
  <c r="Q1569" i="46"/>
  <c r="Q1568" i="46"/>
  <c r="Q1567" i="46"/>
  <c r="Q1566" i="46"/>
  <c r="Q1565" i="46"/>
  <c r="Q1564" i="46"/>
  <c r="Q1563" i="46"/>
  <c r="Q1562" i="46"/>
  <c r="Q1561" i="46"/>
  <c r="Q1560" i="46"/>
  <c r="Q1559" i="46"/>
  <c r="Q1558" i="46"/>
  <c r="Q1557" i="46"/>
  <c r="Q1556" i="46"/>
  <c r="Q1555" i="46"/>
  <c r="Q1554" i="46"/>
  <c r="Q1553" i="46"/>
  <c r="Q1552" i="46"/>
  <c r="Q1551" i="46"/>
  <c r="Q1550" i="46"/>
  <c r="Q1549" i="46"/>
  <c r="Q1548" i="46"/>
  <c r="Q1547" i="46"/>
  <c r="Q1546" i="46"/>
  <c r="Q1545" i="46"/>
  <c r="Q1544" i="46"/>
  <c r="Q1543" i="46"/>
  <c r="Q1542" i="46"/>
  <c r="Q1541" i="46"/>
  <c r="Q1540" i="46"/>
  <c r="Q1539" i="46"/>
  <c r="Q1538" i="46"/>
  <c r="Q1537" i="46"/>
  <c r="Q1536" i="46"/>
  <c r="Q1535" i="46"/>
  <c r="Q1534" i="46"/>
  <c r="Q1533" i="46"/>
  <c r="Q1532" i="46"/>
  <c r="Q1531" i="46"/>
  <c r="Q1530" i="46"/>
  <c r="Q1529" i="46"/>
  <c r="Q1528" i="46"/>
  <c r="Q1527" i="46"/>
  <c r="Q1526" i="46"/>
  <c r="Q1525" i="46"/>
  <c r="Q1524" i="46"/>
  <c r="Q1523" i="46"/>
  <c r="Q1522" i="46"/>
  <c r="Q1521" i="46"/>
  <c r="Q1520" i="46"/>
  <c r="Q1519" i="46"/>
  <c r="Q1518" i="46"/>
  <c r="Q1517" i="46"/>
  <c r="Q1516" i="46"/>
  <c r="Q1515" i="46"/>
  <c r="Q1514" i="46"/>
  <c r="Q1513" i="46"/>
  <c r="Q1512" i="46"/>
  <c r="Q1511" i="46"/>
  <c r="Q1510" i="46"/>
  <c r="Q1509" i="46"/>
  <c r="Q1508" i="46"/>
  <c r="Q1507" i="46"/>
  <c r="Q1506" i="46"/>
  <c r="Q1505" i="46"/>
  <c r="Q1504" i="46"/>
  <c r="Q1503" i="46"/>
  <c r="Q1502" i="46"/>
  <c r="Q1501" i="46"/>
  <c r="Q1500" i="46"/>
  <c r="Q1499" i="46"/>
  <c r="Q1498" i="46"/>
  <c r="Q1497" i="46"/>
  <c r="Q1496" i="46"/>
  <c r="Q1495" i="46"/>
  <c r="Q1494" i="46"/>
  <c r="Q1493" i="46"/>
  <c r="Q1492" i="46"/>
  <c r="Q1491" i="46"/>
  <c r="Q1490" i="46"/>
  <c r="Q1489" i="46"/>
  <c r="Q1488" i="46"/>
  <c r="Q1487" i="46"/>
  <c r="Q1486" i="46"/>
  <c r="Q1485" i="46"/>
  <c r="Q1484" i="46"/>
  <c r="Q1483" i="46"/>
  <c r="Q1482" i="46"/>
  <c r="Q1481" i="46"/>
  <c r="Q1480" i="46"/>
  <c r="Q1479" i="46"/>
  <c r="Q1478" i="46"/>
  <c r="Q1477" i="46"/>
  <c r="Q1476" i="46"/>
  <c r="Q1475" i="46"/>
  <c r="Q1474" i="46"/>
  <c r="Q1473" i="46"/>
  <c r="Q1472" i="46"/>
  <c r="Q1471" i="46"/>
  <c r="Q1470" i="46"/>
  <c r="Q1469" i="46"/>
  <c r="Q1468" i="46"/>
  <c r="Q1467" i="46"/>
  <c r="Q1466" i="46"/>
  <c r="Q1465" i="46"/>
  <c r="Q1464" i="46"/>
  <c r="Q1463" i="46"/>
  <c r="Q1462" i="46"/>
  <c r="Q1461" i="46"/>
  <c r="Q1460" i="46"/>
  <c r="Q1459" i="46"/>
  <c r="Q1458" i="46"/>
  <c r="Q1457" i="46"/>
  <c r="Q1456" i="46"/>
  <c r="Q1455" i="46"/>
  <c r="Q1454" i="46"/>
  <c r="Q1453" i="46"/>
  <c r="Q1452" i="46"/>
  <c r="Q1451" i="46"/>
  <c r="Q1450" i="46"/>
  <c r="Q1449" i="46"/>
  <c r="Q1448" i="46"/>
  <c r="Q1447" i="46"/>
  <c r="Q1446" i="46"/>
  <c r="Q1445" i="46"/>
  <c r="Q1444" i="46"/>
  <c r="Q1443" i="46"/>
  <c r="Q1442" i="46"/>
  <c r="Q1441" i="46"/>
  <c r="Q1440" i="46"/>
  <c r="Q1439" i="46"/>
  <c r="Q1438" i="46"/>
  <c r="Q1437" i="46"/>
  <c r="Q1436" i="46"/>
  <c r="Q1435" i="46"/>
  <c r="Q1434" i="46"/>
  <c r="Q1433" i="46"/>
  <c r="Q1432" i="46"/>
  <c r="Q1431" i="46"/>
  <c r="Q1430" i="46"/>
  <c r="Q1429" i="46"/>
  <c r="Q1428" i="46"/>
  <c r="Q1427" i="46"/>
  <c r="Q1426" i="46"/>
  <c r="Q1425" i="46"/>
  <c r="Q1424" i="46"/>
  <c r="Q1423" i="46"/>
  <c r="Q1422" i="46"/>
  <c r="Q1421" i="46"/>
  <c r="Q1420" i="46"/>
  <c r="Q1419" i="46"/>
  <c r="Q1418" i="46"/>
  <c r="Q1417" i="46"/>
  <c r="Q1416" i="46"/>
  <c r="Q1415" i="46"/>
  <c r="Q1414" i="46"/>
  <c r="Q1413" i="46"/>
  <c r="Q1412" i="46"/>
  <c r="Q1411" i="46"/>
  <c r="Q1410" i="46"/>
  <c r="Q1409" i="46"/>
  <c r="Q1408" i="46"/>
  <c r="Q1407" i="46"/>
  <c r="Q1406" i="46"/>
  <c r="Q1405" i="46"/>
  <c r="Q1404" i="46"/>
  <c r="Q1403" i="46"/>
  <c r="Q1402" i="46"/>
  <c r="Q1401" i="46"/>
  <c r="Q1400" i="46"/>
  <c r="Q1399" i="46"/>
  <c r="Q1398" i="46"/>
  <c r="Q1397" i="46"/>
  <c r="Q1396" i="46"/>
  <c r="Q1395" i="46"/>
  <c r="Q1394" i="46"/>
  <c r="Q1393" i="46"/>
  <c r="Q1392" i="46"/>
  <c r="Q1391" i="46"/>
  <c r="Q1390" i="46"/>
  <c r="Q1389" i="46"/>
  <c r="Q1388" i="46"/>
  <c r="Q1387" i="46"/>
  <c r="Q1386" i="46"/>
  <c r="Q1385" i="46"/>
  <c r="Q1384" i="46"/>
  <c r="Q1383" i="46"/>
  <c r="Q1382" i="46"/>
  <c r="Q1381" i="46"/>
  <c r="Q1380" i="46"/>
  <c r="Q1379" i="46"/>
  <c r="Q1378" i="46"/>
  <c r="Q1377" i="46"/>
  <c r="Q1376" i="46"/>
  <c r="Q1375" i="46"/>
  <c r="Q1374" i="46"/>
  <c r="Q1373" i="46"/>
  <c r="Q1372" i="46"/>
  <c r="Q1371" i="46"/>
  <c r="Q1370" i="46"/>
  <c r="Q1369" i="46"/>
  <c r="Q1368" i="46"/>
  <c r="Q1367" i="46"/>
  <c r="Q1366" i="46"/>
  <c r="Q1365" i="46"/>
  <c r="Q1364" i="46"/>
  <c r="Q1363" i="46"/>
  <c r="Q1362" i="46"/>
  <c r="Q1361" i="46"/>
  <c r="Q1360" i="46"/>
  <c r="Q1359" i="46"/>
  <c r="Q1358" i="46"/>
  <c r="Q1357" i="46"/>
  <c r="Q1356" i="46"/>
  <c r="Q1355" i="46"/>
  <c r="Q1354" i="46"/>
  <c r="Q1353" i="46"/>
  <c r="Q1352" i="46"/>
  <c r="Q1351" i="46"/>
  <c r="Q1350" i="46"/>
  <c r="Q1349" i="46"/>
  <c r="Q1348" i="46"/>
  <c r="Q1347" i="46"/>
  <c r="Q1346" i="46"/>
  <c r="Q1345" i="46"/>
  <c r="Q1344" i="46"/>
  <c r="Q1343" i="46"/>
  <c r="Q1342" i="46"/>
  <c r="Q1341" i="46"/>
  <c r="Q1340" i="46"/>
  <c r="Q1339" i="46"/>
  <c r="Q1338" i="46"/>
  <c r="Q1337" i="46"/>
  <c r="Q1336" i="46"/>
  <c r="Q1335" i="46"/>
  <c r="Q1334" i="46"/>
  <c r="Q1333" i="46"/>
  <c r="Q1332" i="46"/>
  <c r="Q1331" i="46"/>
  <c r="Q1330" i="46"/>
  <c r="Q1329" i="46"/>
  <c r="Q1328" i="46"/>
  <c r="Q1327" i="46"/>
  <c r="Q1326" i="46"/>
  <c r="Q1325" i="46"/>
  <c r="Q1324" i="46"/>
  <c r="Q1323" i="46"/>
  <c r="Q1322" i="46"/>
  <c r="Q1321" i="46"/>
  <c r="Q1320" i="46"/>
  <c r="Q1319" i="46"/>
  <c r="Q1318" i="46"/>
  <c r="Q1317" i="46"/>
  <c r="Q1316" i="46"/>
  <c r="Q1315" i="46"/>
  <c r="Q1314" i="46"/>
  <c r="Q1313" i="46"/>
  <c r="Q1312" i="46"/>
  <c r="Q1311" i="46"/>
  <c r="Q1310" i="46"/>
  <c r="Q1309" i="46"/>
  <c r="Q1308" i="46"/>
  <c r="Q1307" i="46"/>
  <c r="Q1306" i="46"/>
  <c r="Q1305" i="46"/>
  <c r="Q1304" i="46"/>
  <c r="Q1303" i="46"/>
  <c r="Q1302" i="46"/>
  <c r="Q1301" i="46"/>
  <c r="Q1300" i="46"/>
  <c r="Q1299" i="46"/>
  <c r="Q1298" i="46"/>
  <c r="Q1297" i="46"/>
  <c r="Q1296" i="46"/>
  <c r="Q1295" i="46"/>
  <c r="Q1294" i="46"/>
  <c r="Q1293" i="46"/>
  <c r="Q1292" i="46"/>
  <c r="Q1291" i="46"/>
  <c r="Q1290" i="46"/>
  <c r="Q1289" i="46"/>
  <c r="Q1288" i="46"/>
  <c r="Q1287" i="46"/>
  <c r="Q1286" i="46"/>
  <c r="Q1285" i="46"/>
  <c r="Q1284" i="46"/>
  <c r="Q1283" i="46"/>
  <c r="Q1282" i="46"/>
  <c r="Q1281" i="46"/>
  <c r="Q1280" i="46"/>
  <c r="Q1279" i="46"/>
  <c r="Q1278" i="46"/>
  <c r="Q1277" i="46"/>
  <c r="Q1276" i="46"/>
  <c r="Q1275" i="46"/>
  <c r="Q1274" i="46"/>
  <c r="Q1273" i="46"/>
  <c r="Q1272" i="46"/>
  <c r="Q1271" i="46"/>
  <c r="Q1270" i="46"/>
  <c r="Q1269" i="46"/>
  <c r="Q1268" i="46"/>
  <c r="Q1267" i="46"/>
  <c r="Q1266" i="46"/>
  <c r="Q1265" i="46"/>
  <c r="Q1264" i="46"/>
  <c r="Q1263" i="46"/>
  <c r="Q1262" i="46"/>
  <c r="Q1261" i="46"/>
  <c r="Q1260" i="46"/>
  <c r="Q1259" i="46"/>
  <c r="Q1258" i="46"/>
  <c r="Q1257" i="46"/>
  <c r="Q1256" i="46"/>
  <c r="Q1255" i="46"/>
  <c r="Q1254" i="46"/>
  <c r="Q1253" i="46"/>
  <c r="Q1252" i="46"/>
  <c r="Q1251" i="46"/>
  <c r="Q1250" i="46"/>
  <c r="Q1249" i="46"/>
  <c r="Q1248" i="46"/>
  <c r="Q1247" i="46"/>
  <c r="Q1246" i="46"/>
  <c r="Q1245" i="46"/>
  <c r="Q1244" i="46"/>
  <c r="Q1243" i="46"/>
  <c r="Q1242" i="46"/>
  <c r="Q1241" i="46"/>
  <c r="Q1240" i="46"/>
  <c r="Q1239" i="46"/>
  <c r="Q1238" i="46"/>
  <c r="Q1237" i="46"/>
  <c r="Q1236" i="46"/>
  <c r="Q1235" i="46"/>
  <c r="Q1234" i="46"/>
  <c r="Q1233" i="46"/>
  <c r="Q1232" i="46"/>
  <c r="Q1231" i="46"/>
  <c r="Q1230" i="46"/>
  <c r="Q1229" i="46"/>
  <c r="Q1228" i="46"/>
  <c r="Q1227" i="46"/>
  <c r="Q1226" i="46"/>
  <c r="Q1225" i="46"/>
  <c r="Q1224" i="46"/>
  <c r="Q1223" i="46"/>
  <c r="Q1222" i="46"/>
  <c r="Q1221" i="46"/>
  <c r="Q1220" i="46"/>
  <c r="Q1219" i="46"/>
  <c r="Q1218" i="46"/>
  <c r="Q1217" i="46"/>
  <c r="Q1216" i="46"/>
  <c r="Q1215" i="46"/>
  <c r="Q1214" i="46"/>
  <c r="Q1213" i="46"/>
  <c r="Q1212" i="46"/>
  <c r="Q1211" i="46"/>
  <c r="Q1210" i="46"/>
  <c r="Q1209" i="46"/>
  <c r="Q1208" i="46"/>
  <c r="Q1207" i="46"/>
  <c r="Q1206" i="46"/>
  <c r="Q1205" i="46"/>
  <c r="Q1204" i="46"/>
  <c r="Q1203" i="46"/>
  <c r="Q1202" i="46"/>
  <c r="Q1201" i="46"/>
  <c r="Q1200" i="46"/>
  <c r="Q1199" i="46"/>
  <c r="Q1198" i="46"/>
  <c r="Q1197" i="46"/>
  <c r="Q1196" i="46"/>
  <c r="Q1195" i="46"/>
  <c r="Q1194" i="46"/>
  <c r="Q1193" i="46"/>
  <c r="Q1192" i="46"/>
  <c r="Q1191" i="46"/>
  <c r="Q1190" i="46"/>
  <c r="Q1189" i="46"/>
  <c r="Q1188" i="46"/>
  <c r="Q1187" i="46"/>
  <c r="Q1186" i="46"/>
  <c r="Q1185" i="46"/>
  <c r="Q1184" i="46"/>
  <c r="Q1183" i="46"/>
  <c r="Q1182" i="46"/>
  <c r="Q1181" i="46"/>
  <c r="Q1180" i="46"/>
  <c r="Q1179" i="46"/>
  <c r="Q1178" i="46"/>
  <c r="Q1177" i="46"/>
  <c r="Q1176" i="46"/>
  <c r="Q1175" i="46"/>
  <c r="Q1174" i="46"/>
  <c r="Q1173" i="46"/>
  <c r="Q1172" i="46"/>
  <c r="Q1171" i="46"/>
  <c r="Q1170" i="46"/>
  <c r="Q1169" i="46"/>
  <c r="Q1168" i="46"/>
  <c r="Q1167" i="46"/>
  <c r="Q1166" i="46"/>
  <c r="Q1165" i="46"/>
  <c r="Q1164" i="46"/>
  <c r="Q1163" i="46"/>
  <c r="Q1162" i="46"/>
  <c r="Q1161" i="46"/>
  <c r="Q1160" i="46"/>
  <c r="Q1159" i="46"/>
  <c r="Q1158" i="46"/>
  <c r="Q1157" i="46"/>
  <c r="Q1156" i="46"/>
  <c r="Q1155" i="46"/>
  <c r="Q1154" i="46"/>
  <c r="Q1153" i="46"/>
  <c r="Q1152" i="46"/>
  <c r="Q1151" i="46"/>
  <c r="Q1150" i="46"/>
  <c r="Q1149" i="46"/>
  <c r="Q1148" i="46"/>
  <c r="Q1147" i="46"/>
  <c r="Q1146" i="46"/>
  <c r="Q1145" i="46"/>
  <c r="Q1144" i="46"/>
  <c r="Q1143" i="46"/>
  <c r="Q1142" i="46"/>
  <c r="Q1141" i="46"/>
  <c r="Q1140" i="46"/>
  <c r="Q1139" i="46"/>
  <c r="Q1138" i="46"/>
  <c r="Q1137" i="46"/>
  <c r="Q1136" i="46"/>
  <c r="Q1135" i="46"/>
  <c r="Q1134" i="46"/>
  <c r="Q1133" i="46"/>
  <c r="Q1132" i="46"/>
  <c r="Q1131" i="46"/>
  <c r="Q1130" i="46"/>
  <c r="Q1129" i="46"/>
  <c r="Q1128" i="46"/>
  <c r="Q1127" i="46"/>
  <c r="Q1126" i="46"/>
  <c r="Q1125" i="46"/>
  <c r="Q1124" i="46"/>
  <c r="Q1123" i="46"/>
  <c r="Q1122" i="46"/>
  <c r="Q1121" i="46"/>
  <c r="Q1120" i="46"/>
  <c r="Q1119" i="46"/>
  <c r="Q1118" i="46"/>
  <c r="Q1117" i="46"/>
  <c r="Q1116" i="46"/>
  <c r="Q1115" i="46"/>
  <c r="Q1114" i="46"/>
  <c r="Q1113" i="46"/>
  <c r="Q1112" i="46"/>
  <c r="Q1111" i="46"/>
  <c r="Q1110" i="46"/>
  <c r="Q1109" i="46"/>
  <c r="Q1108" i="46"/>
  <c r="Q1107" i="46"/>
  <c r="Q1106" i="46"/>
  <c r="Q1105" i="46"/>
  <c r="Q1104" i="46"/>
  <c r="Q1103" i="46"/>
  <c r="Q1102" i="46"/>
  <c r="Q1101" i="46"/>
  <c r="Q1100" i="46"/>
  <c r="Q1099" i="46"/>
  <c r="Q1098" i="46"/>
  <c r="Q1097" i="46"/>
  <c r="Q1096" i="46"/>
  <c r="Q1095" i="46"/>
  <c r="Q1094" i="46"/>
  <c r="Q1093" i="46"/>
  <c r="Q1092" i="46"/>
  <c r="Q1091" i="46"/>
  <c r="Q1090" i="46"/>
  <c r="Q1089" i="46"/>
  <c r="Q1088" i="46"/>
  <c r="Q1087" i="46"/>
  <c r="Q1086" i="46"/>
  <c r="Q1085" i="46"/>
  <c r="Q1084" i="46"/>
  <c r="Q1083" i="46"/>
  <c r="Q1082" i="46"/>
  <c r="Q1081" i="46"/>
  <c r="Q1080" i="46"/>
  <c r="Q1079" i="46"/>
  <c r="Q1078" i="46"/>
  <c r="Q1077" i="46"/>
  <c r="Q1076" i="46"/>
  <c r="Q1075" i="46"/>
  <c r="Q1074" i="46"/>
  <c r="Q1073" i="46"/>
  <c r="Q1072" i="46"/>
  <c r="Q1071" i="46"/>
  <c r="Q1070" i="46"/>
  <c r="Q1069" i="46"/>
  <c r="Q1068" i="46"/>
  <c r="Q1067" i="46"/>
  <c r="Q1066" i="46"/>
  <c r="Q1065" i="46"/>
  <c r="Q1064" i="46"/>
  <c r="Q1063" i="46"/>
  <c r="Q1062" i="46"/>
  <c r="Q1061" i="46"/>
  <c r="Q1060" i="46"/>
  <c r="Q1059" i="46"/>
  <c r="Q1058" i="46"/>
  <c r="Q1057" i="46"/>
  <c r="Q1056" i="46"/>
  <c r="Q1055" i="46"/>
  <c r="Q1054" i="46"/>
  <c r="Q1053" i="46"/>
  <c r="Q1052" i="46"/>
  <c r="Q1051" i="46"/>
  <c r="Q1050" i="46"/>
  <c r="Q1049" i="46"/>
  <c r="Q1048" i="46"/>
  <c r="Q1047" i="46"/>
  <c r="Q1046" i="46"/>
  <c r="Q1045" i="46"/>
  <c r="Q1044" i="46"/>
  <c r="Q1043" i="46"/>
  <c r="Q1042" i="46"/>
  <c r="Q1041" i="46"/>
  <c r="Q1040" i="46"/>
  <c r="Q1039" i="46"/>
  <c r="Q1038" i="46"/>
  <c r="Q1037" i="46"/>
  <c r="Q1036" i="46"/>
  <c r="Q1035" i="46"/>
  <c r="Q1034" i="46"/>
  <c r="Q1033" i="46"/>
  <c r="Q1032" i="46"/>
  <c r="Q1031" i="46"/>
  <c r="Q1030" i="46"/>
  <c r="Q1029" i="46"/>
  <c r="Q1028" i="46"/>
  <c r="Q1027" i="46"/>
  <c r="Q1026" i="46"/>
  <c r="Q1025" i="46"/>
  <c r="Q1024" i="46"/>
  <c r="Q1023" i="46"/>
  <c r="Q1022" i="46"/>
  <c r="Q1021" i="46"/>
  <c r="Q1020" i="46"/>
  <c r="Q1019" i="46"/>
  <c r="Q1018" i="46"/>
  <c r="Q1017" i="46"/>
  <c r="Q1016" i="46"/>
  <c r="Q1015" i="46"/>
  <c r="Q1014" i="46"/>
  <c r="Q1013" i="46"/>
  <c r="Q1012" i="46"/>
  <c r="Q1011" i="46"/>
  <c r="Q1010" i="46"/>
  <c r="Q1009" i="46"/>
  <c r="Q1008" i="46"/>
  <c r="Q1007" i="46"/>
  <c r="Q1006" i="46"/>
  <c r="Q1005" i="46"/>
  <c r="Q1004" i="46"/>
  <c r="Q1003" i="46"/>
  <c r="Q1002" i="46"/>
  <c r="Q1001" i="46"/>
  <c r="Q1000" i="46"/>
  <c r="Q999" i="46"/>
  <c r="Q998" i="46"/>
  <c r="Q997" i="46"/>
  <c r="Q996" i="46"/>
  <c r="Q995" i="46"/>
  <c r="Q994" i="46"/>
  <c r="Q993" i="46"/>
  <c r="Q992" i="46"/>
  <c r="Q991" i="46"/>
  <c r="Q990" i="46"/>
  <c r="Q989" i="46"/>
  <c r="Q988" i="46"/>
  <c r="Q987" i="46"/>
  <c r="Q986" i="46"/>
  <c r="Q985" i="46"/>
  <c r="Q984" i="46"/>
  <c r="Q983" i="46"/>
  <c r="Q982" i="46"/>
  <c r="Q981" i="46"/>
  <c r="Q980" i="46"/>
  <c r="Q979" i="46"/>
  <c r="Q978" i="46"/>
  <c r="Q977" i="46"/>
  <c r="Q976" i="46"/>
  <c r="Q975" i="46"/>
  <c r="Q974" i="46"/>
  <c r="Q973" i="46"/>
  <c r="Q972" i="46"/>
  <c r="Q971" i="46"/>
  <c r="Q970" i="46"/>
  <c r="Q969" i="46"/>
  <c r="Q968" i="46"/>
  <c r="Q967" i="46"/>
  <c r="Q966" i="46"/>
  <c r="Q965" i="46"/>
  <c r="Q964" i="46"/>
  <c r="Q963" i="46"/>
  <c r="Q962" i="46"/>
  <c r="Q961" i="46"/>
  <c r="Q960" i="46"/>
  <c r="Q959" i="46"/>
  <c r="Q958" i="46"/>
  <c r="Q957" i="46"/>
  <c r="Q956" i="46"/>
  <c r="Q955" i="46"/>
  <c r="Q954" i="46"/>
  <c r="Q953" i="46"/>
  <c r="Q952" i="46"/>
  <c r="Q951" i="46"/>
  <c r="Q950" i="46"/>
  <c r="Q949" i="46"/>
  <c r="Q948" i="46"/>
  <c r="Q947" i="46"/>
  <c r="Q946" i="46"/>
  <c r="Q945" i="46"/>
  <c r="Q944" i="46"/>
  <c r="Q943" i="46"/>
  <c r="Q942" i="46"/>
  <c r="Q941" i="46"/>
  <c r="Q940" i="46"/>
  <c r="Q939" i="46"/>
  <c r="Q938" i="46"/>
  <c r="Q937" i="46"/>
  <c r="Q936" i="46"/>
  <c r="Q935" i="46"/>
  <c r="Q934" i="46"/>
  <c r="Q933" i="46"/>
  <c r="Q932" i="46"/>
  <c r="Q931" i="46"/>
  <c r="Q930" i="46"/>
  <c r="Q929" i="46"/>
  <c r="Q928" i="46"/>
  <c r="Q927" i="46"/>
  <c r="Q926" i="46"/>
  <c r="Q925" i="46"/>
  <c r="Q924" i="46"/>
  <c r="Q923" i="46"/>
  <c r="Q922" i="46"/>
  <c r="Q921" i="46"/>
  <c r="Q920" i="46"/>
  <c r="Q919" i="46"/>
  <c r="Q918" i="46"/>
  <c r="Q917" i="46"/>
  <c r="Q916" i="46"/>
  <c r="Q915" i="46"/>
  <c r="Q914" i="46"/>
  <c r="Q913" i="46"/>
  <c r="Q912" i="46"/>
  <c r="Q911" i="46"/>
  <c r="Q910" i="46"/>
  <c r="Q909" i="46"/>
  <c r="Q908" i="46"/>
  <c r="Q907" i="46"/>
  <c r="Q906" i="46"/>
  <c r="Q905" i="46"/>
  <c r="Q904" i="46"/>
  <c r="Q903" i="46"/>
  <c r="Q902" i="46"/>
  <c r="Q901" i="46"/>
  <c r="Q900" i="46"/>
  <c r="Q899" i="46"/>
  <c r="Q898" i="46"/>
  <c r="Q897" i="46"/>
  <c r="Q896" i="46"/>
  <c r="Q895" i="46"/>
  <c r="Q894" i="46"/>
  <c r="Q893" i="46"/>
  <c r="Q892" i="46"/>
  <c r="Q891" i="46"/>
  <c r="Q890" i="46"/>
  <c r="Q889" i="46"/>
  <c r="Q888" i="46"/>
  <c r="Q887" i="46"/>
  <c r="Q886" i="46"/>
  <c r="Q885" i="46"/>
  <c r="Q884" i="46"/>
  <c r="Q883" i="46"/>
  <c r="Q882" i="46"/>
  <c r="Q881" i="46"/>
  <c r="Q880" i="46"/>
  <c r="Q879" i="46"/>
  <c r="Q878" i="46"/>
  <c r="Q877" i="46"/>
  <c r="Q876" i="46"/>
  <c r="Q875" i="46"/>
  <c r="Q874" i="46"/>
  <c r="Q873" i="46"/>
  <c r="Q872" i="46"/>
  <c r="Q871" i="46"/>
  <c r="Q870" i="46"/>
  <c r="Q869" i="46"/>
  <c r="Q868" i="46"/>
  <c r="Q867" i="46"/>
  <c r="Q866" i="46"/>
  <c r="Q865" i="46"/>
  <c r="Q864" i="46"/>
  <c r="Q863" i="46"/>
  <c r="Q862" i="46"/>
  <c r="Q861" i="46"/>
  <c r="Q860" i="46"/>
  <c r="Q859" i="46"/>
  <c r="Q858" i="46"/>
  <c r="Q857" i="46"/>
  <c r="Q856" i="46"/>
  <c r="Q855" i="46"/>
  <c r="Q854" i="46"/>
  <c r="Q853" i="46"/>
  <c r="Q852" i="46"/>
  <c r="Q851" i="46"/>
  <c r="Q850" i="46"/>
  <c r="Q849" i="46"/>
  <c r="Q848" i="46"/>
  <c r="Q847" i="46"/>
  <c r="Q846" i="46"/>
  <c r="Q845" i="46"/>
  <c r="Q844" i="46"/>
  <c r="Q843" i="46"/>
  <c r="Q842" i="46"/>
  <c r="Q841" i="46"/>
  <c r="Q840" i="46"/>
  <c r="Q839" i="46"/>
  <c r="Q838" i="46"/>
  <c r="Q837" i="46"/>
  <c r="Q836" i="46"/>
  <c r="Q835" i="46"/>
  <c r="Q834" i="46"/>
  <c r="Q833" i="46"/>
  <c r="Q832" i="46"/>
  <c r="Q831" i="46"/>
  <c r="Q830" i="46"/>
  <c r="Q829" i="46"/>
  <c r="Q828" i="46"/>
  <c r="Q827" i="46"/>
  <c r="Q826" i="46"/>
  <c r="Q825" i="46"/>
  <c r="Q824" i="46"/>
  <c r="Q823" i="46"/>
  <c r="Q822" i="46"/>
  <c r="Q821" i="46"/>
  <c r="Q820" i="46"/>
  <c r="Q819" i="46"/>
  <c r="Q818" i="46"/>
  <c r="Q817" i="46"/>
  <c r="Q816" i="46"/>
  <c r="Q815" i="46"/>
  <c r="Q814" i="46"/>
  <c r="Q813" i="46"/>
  <c r="Q812" i="46"/>
  <c r="Q811" i="46"/>
  <c r="Q810" i="46"/>
  <c r="Q809" i="46"/>
  <c r="Q808" i="46"/>
  <c r="Q807" i="46"/>
  <c r="Q806" i="46"/>
  <c r="Q805" i="46"/>
  <c r="Q804" i="46"/>
  <c r="Q803" i="46"/>
  <c r="Q802" i="46"/>
  <c r="Q801" i="46"/>
  <c r="Q800" i="46"/>
  <c r="Q799" i="46"/>
  <c r="Q798" i="46"/>
  <c r="Q797" i="46"/>
  <c r="Q796" i="46"/>
  <c r="Q795" i="46"/>
  <c r="Q794" i="46"/>
  <c r="Q793" i="46"/>
  <c r="Q792" i="46"/>
  <c r="Q791" i="46"/>
  <c r="Q790" i="46"/>
  <c r="Q789" i="46"/>
  <c r="Q788" i="46"/>
  <c r="Q787" i="46"/>
  <c r="Q786" i="46"/>
  <c r="Q785" i="46"/>
  <c r="Q784" i="46"/>
  <c r="Q783" i="46"/>
  <c r="Q782" i="46"/>
  <c r="Q781" i="46"/>
  <c r="Q780" i="46"/>
  <c r="Q779" i="46"/>
  <c r="Q778" i="46"/>
  <c r="Q777" i="46"/>
  <c r="Q776" i="46"/>
  <c r="Q775" i="46"/>
  <c r="Q774" i="46"/>
  <c r="Q773" i="46"/>
  <c r="Q772" i="46"/>
  <c r="Q771" i="46"/>
  <c r="Q770" i="46"/>
  <c r="Q769" i="46"/>
  <c r="Q768" i="46"/>
  <c r="Q767" i="46"/>
  <c r="Q766" i="46"/>
  <c r="Q765" i="46"/>
  <c r="Q764" i="46"/>
  <c r="Q763" i="46"/>
  <c r="Q762" i="46"/>
  <c r="Q761" i="46"/>
  <c r="Q760" i="46"/>
  <c r="Q759" i="46"/>
  <c r="Q758" i="46"/>
  <c r="Q757" i="46"/>
  <c r="Q756" i="46"/>
  <c r="Q755" i="46"/>
  <c r="Q754" i="46"/>
  <c r="Q753" i="46"/>
  <c r="Q752" i="46"/>
  <c r="Q751" i="46"/>
  <c r="Q750" i="46"/>
  <c r="Q749" i="46"/>
  <c r="Q748" i="46"/>
  <c r="Q747" i="46"/>
  <c r="Q746" i="46"/>
  <c r="Q745" i="46"/>
  <c r="Q744" i="46"/>
  <c r="Q743" i="46"/>
  <c r="Q742" i="46"/>
  <c r="Q741" i="46"/>
  <c r="Q740" i="46"/>
  <c r="Q739" i="46"/>
  <c r="Q738" i="46"/>
  <c r="Q737" i="46"/>
  <c r="Q736" i="46"/>
  <c r="Q735" i="46"/>
  <c r="Q734" i="46"/>
  <c r="Q733" i="46"/>
  <c r="Q732" i="46"/>
  <c r="Q731" i="46"/>
  <c r="Q730" i="46"/>
  <c r="Q729" i="46"/>
  <c r="Q728" i="46"/>
  <c r="Q727" i="46"/>
  <c r="Q726" i="46"/>
  <c r="Q725" i="46"/>
  <c r="Q724" i="46"/>
  <c r="Q723" i="46"/>
  <c r="Q722" i="46"/>
  <c r="Q721" i="46"/>
  <c r="Q720" i="46"/>
  <c r="Q719" i="46"/>
  <c r="Q718" i="46"/>
  <c r="Q717" i="46"/>
  <c r="Q716" i="46"/>
  <c r="Q715" i="46"/>
  <c r="Q714" i="46"/>
  <c r="Q713" i="46"/>
  <c r="Q712" i="46"/>
  <c r="Q711" i="46"/>
  <c r="Q710" i="46"/>
  <c r="Q709" i="46"/>
  <c r="Q708" i="46"/>
  <c r="Q707" i="46"/>
  <c r="Q706" i="46"/>
  <c r="Q705" i="46"/>
  <c r="Q704" i="46"/>
  <c r="Q703" i="46"/>
  <c r="Q702" i="46"/>
  <c r="Q701" i="46"/>
  <c r="Q700" i="46"/>
  <c r="Q699" i="46"/>
  <c r="Q698" i="46"/>
  <c r="Q697" i="46"/>
  <c r="Q696" i="46"/>
  <c r="Q695" i="46"/>
  <c r="Q694" i="46"/>
  <c r="Q693" i="46"/>
  <c r="Q692" i="46"/>
  <c r="Q691" i="46"/>
  <c r="Q690" i="46"/>
  <c r="Q689" i="46"/>
  <c r="Q688" i="46"/>
  <c r="Q687" i="46"/>
  <c r="Q686" i="46"/>
  <c r="Q685" i="46"/>
  <c r="Q684" i="46"/>
  <c r="Q683" i="46"/>
  <c r="Q682" i="46"/>
  <c r="Q681" i="46"/>
  <c r="Q680" i="46"/>
  <c r="Q679" i="46"/>
  <c r="Q678" i="46"/>
  <c r="Q677" i="46"/>
  <c r="Q676" i="46"/>
  <c r="Q675" i="46"/>
  <c r="Q674" i="46"/>
  <c r="Q673" i="46"/>
  <c r="Q672" i="46"/>
  <c r="Q671" i="46"/>
  <c r="Q670" i="46"/>
  <c r="Q669" i="46"/>
  <c r="Q668" i="46"/>
  <c r="Q667" i="46"/>
  <c r="Q666" i="46"/>
  <c r="Q665" i="46"/>
  <c r="Q664" i="46"/>
  <c r="Q663" i="46"/>
  <c r="Q662" i="46"/>
  <c r="Q661" i="46"/>
  <c r="Q660" i="46"/>
  <c r="Q659" i="46"/>
  <c r="Q658" i="46"/>
  <c r="Q657" i="46"/>
  <c r="Q656" i="46"/>
  <c r="Q655" i="46"/>
  <c r="Q654" i="46"/>
  <c r="Q653" i="46"/>
  <c r="Q652" i="46"/>
  <c r="Q651" i="46"/>
  <c r="Q650" i="46"/>
  <c r="Q649" i="46"/>
  <c r="Q648" i="46"/>
  <c r="Q647" i="46"/>
  <c r="Q646" i="46"/>
  <c r="Q645" i="46"/>
  <c r="Q644" i="46"/>
  <c r="Q643" i="46"/>
  <c r="Q642" i="46"/>
  <c r="Q641" i="46"/>
  <c r="Q640" i="46"/>
  <c r="Q639" i="46"/>
  <c r="Q638" i="46"/>
  <c r="Q637" i="46"/>
  <c r="Q636" i="46"/>
  <c r="Q635" i="46"/>
  <c r="Q634" i="46"/>
  <c r="Q633" i="46"/>
  <c r="Q632" i="46"/>
  <c r="Q631" i="46"/>
  <c r="Q630" i="46"/>
  <c r="Q629" i="46"/>
  <c r="Q628" i="46"/>
  <c r="Q627" i="46"/>
  <c r="Q626" i="46"/>
  <c r="Q625" i="46"/>
  <c r="Q624" i="46"/>
  <c r="Q623" i="46"/>
  <c r="Q622" i="46"/>
  <c r="Q621" i="46"/>
  <c r="Q620" i="46"/>
  <c r="Q619" i="46"/>
  <c r="Q618" i="46"/>
  <c r="Q617" i="46"/>
  <c r="Q616" i="46"/>
  <c r="Q615" i="46"/>
  <c r="Q614" i="46"/>
  <c r="Q613" i="46"/>
  <c r="Q612" i="46"/>
  <c r="Q611" i="46"/>
  <c r="Q610" i="46"/>
  <c r="Q609" i="46"/>
  <c r="Q608" i="46"/>
  <c r="Q607" i="46"/>
  <c r="Q606" i="46"/>
  <c r="Q605" i="46"/>
  <c r="Q604" i="46"/>
  <c r="Q603" i="46"/>
  <c r="Q602" i="46"/>
  <c r="Q601" i="46"/>
  <c r="Q600" i="46"/>
  <c r="Q599" i="46"/>
  <c r="Q598" i="46"/>
  <c r="Q597" i="46"/>
  <c r="Q596" i="46"/>
  <c r="Q595" i="46"/>
  <c r="Q594" i="46"/>
  <c r="Q593" i="46"/>
  <c r="Q592" i="46"/>
  <c r="Q591" i="46"/>
  <c r="Q590" i="46"/>
  <c r="Q589" i="46"/>
  <c r="Q588" i="46"/>
  <c r="Q587" i="46"/>
  <c r="Q586" i="46"/>
  <c r="Q585" i="46"/>
  <c r="Q584" i="46"/>
  <c r="Q583" i="46"/>
  <c r="Q582" i="46"/>
  <c r="Q581" i="46"/>
  <c r="Q580" i="46"/>
  <c r="Q579" i="46"/>
  <c r="Q578" i="46"/>
  <c r="Q577" i="46"/>
  <c r="Q576" i="46"/>
  <c r="Q575" i="46"/>
  <c r="Q574" i="46"/>
  <c r="Q573" i="46"/>
  <c r="Q572" i="46"/>
  <c r="Q571" i="46"/>
  <c r="Q570" i="46"/>
  <c r="Q569" i="46"/>
  <c r="Q568" i="46"/>
  <c r="Q567" i="46"/>
  <c r="Q566" i="46"/>
  <c r="Q565" i="46"/>
  <c r="Q564" i="46"/>
  <c r="Q563" i="46"/>
  <c r="Q562" i="46"/>
  <c r="Q561" i="46"/>
  <c r="Q560" i="46"/>
  <c r="Q559" i="46"/>
  <c r="Q558" i="46"/>
  <c r="Q557" i="46"/>
  <c r="Q556" i="46"/>
  <c r="Q555" i="46"/>
  <c r="Q554" i="46"/>
  <c r="Q553" i="46"/>
  <c r="Q552" i="46"/>
  <c r="Q551" i="46"/>
  <c r="Q550" i="46"/>
  <c r="Q549" i="46"/>
  <c r="Q548" i="46"/>
  <c r="Q547" i="46"/>
  <c r="Q546" i="46"/>
  <c r="Q545" i="46"/>
  <c r="Q544" i="46"/>
  <c r="Q543" i="46"/>
  <c r="Q542" i="46"/>
  <c r="Q541" i="46"/>
  <c r="Q540" i="46"/>
  <c r="Q539" i="46"/>
  <c r="Q538" i="46"/>
  <c r="Q537" i="46"/>
  <c r="Q536" i="46"/>
  <c r="Q535" i="46"/>
  <c r="Q534" i="46"/>
  <c r="Q533" i="46"/>
  <c r="Q532" i="46"/>
  <c r="Q531" i="46"/>
  <c r="Q530" i="46"/>
  <c r="Q529" i="46"/>
  <c r="Q528" i="46"/>
  <c r="Q527" i="46"/>
  <c r="Q526" i="46"/>
  <c r="Q525" i="46"/>
  <c r="Q524" i="46"/>
  <c r="Q523" i="46"/>
  <c r="Q522" i="46"/>
  <c r="Q521" i="46"/>
  <c r="Q520" i="46"/>
  <c r="Q519" i="46"/>
  <c r="Q518" i="46"/>
  <c r="Q517" i="46"/>
  <c r="Q516" i="46"/>
  <c r="Q515" i="46"/>
  <c r="Q514" i="46"/>
  <c r="Q513" i="46"/>
  <c r="Q512" i="46"/>
  <c r="Q511" i="46"/>
  <c r="Q510" i="46"/>
  <c r="Q509" i="46"/>
  <c r="Q508" i="46"/>
  <c r="Q507" i="46"/>
  <c r="Q506" i="46"/>
  <c r="Q505" i="46"/>
  <c r="Q504" i="46"/>
  <c r="Q503" i="46"/>
  <c r="Q502" i="46"/>
  <c r="Q501" i="46"/>
  <c r="Q500" i="46"/>
  <c r="Q499" i="46"/>
  <c r="Q498" i="46"/>
  <c r="Q497" i="46"/>
  <c r="Q496" i="46"/>
  <c r="Q495" i="46"/>
  <c r="Q494" i="46"/>
  <c r="Q493" i="46"/>
  <c r="Q492" i="46"/>
  <c r="Q491" i="46"/>
  <c r="Q490" i="46"/>
  <c r="Q489" i="46"/>
  <c r="Q488" i="46"/>
  <c r="Q487" i="46"/>
  <c r="Q486" i="46"/>
  <c r="Q485" i="46"/>
  <c r="Q484" i="46"/>
  <c r="Q483" i="46"/>
  <c r="Q482" i="46"/>
  <c r="Q481" i="46"/>
  <c r="Q480" i="46"/>
  <c r="Q479" i="46"/>
  <c r="Q478" i="46"/>
  <c r="Q477" i="46"/>
  <c r="Q476" i="46"/>
  <c r="Q475" i="46"/>
  <c r="Q474" i="46"/>
  <c r="Q473" i="46"/>
  <c r="Q472" i="46"/>
  <c r="Q471" i="46"/>
  <c r="Q470" i="46"/>
  <c r="Q469" i="46"/>
  <c r="Q468" i="46"/>
  <c r="Q467" i="46"/>
  <c r="Q466" i="46"/>
  <c r="Q465" i="46"/>
  <c r="Q464" i="46"/>
  <c r="Q463" i="46"/>
  <c r="Q462" i="46"/>
  <c r="Q461" i="46"/>
  <c r="Q460" i="46"/>
  <c r="Q459" i="46"/>
  <c r="Q458" i="46"/>
  <c r="Q457" i="46"/>
  <c r="Q456" i="46"/>
  <c r="Q455" i="46"/>
  <c r="Q454" i="46"/>
  <c r="Q453" i="46"/>
  <c r="Q452" i="46"/>
  <c r="Q451" i="46"/>
  <c r="Q450" i="46"/>
  <c r="Q449" i="46"/>
  <c r="Q448" i="46"/>
  <c r="Q447" i="46"/>
  <c r="Q446" i="46"/>
  <c r="Q445" i="46"/>
  <c r="Q444" i="46"/>
  <c r="Q443" i="46"/>
  <c r="Q442" i="46"/>
  <c r="Q441" i="46"/>
  <c r="Q440" i="46"/>
  <c r="Q439" i="46"/>
  <c r="Q438" i="46"/>
  <c r="Q437" i="46"/>
  <c r="Q436" i="46"/>
  <c r="Q435" i="46"/>
  <c r="Q434" i="46"/>
  <c r="Q433" i="46"/>
  <c r="Q432" i="46"/>
  <c r="Q431" i="46"/>
  <c r="Q430" i="46"/>
  <c r="Q429" i="46"/>
  <c r="Q428" i="46"/>
  <c r="Q427" i="46"/>
  <c r="Q426" i="46"/>
  <c r="Q425" i="46"/>
  <c r="Q424" i="46"/>
  <c r="Q423" i="46"/>
  <c r="Q422" i="46"/>
  <c r="Q421" i="46"/>
  <c r="Q420" i="46"/>
  <c r="Q419" i="46"/>
  <c r="Q418" i="46"/>
  <c r="Q417" i="46"/>
  <c r="Q416" i="46"/>
  <c r="Q415" i="46"/>
  <c r="Q414" i="46"/>
  <c r="Q413" i="46"/>
  <c r="Q412" i="46"/>
  <c r="Q411" i="46"/>
  <c r="Q410" i="46"/>
  <c r="Q409" i="46"/>
  <c r="Q408" i="46"/>
  <c r="Q407" i="46"/>
  <c r="Q406" i="46"/>
  <c r="Q405" i="46"/>
  <c r="Q404" i="46"/>
  <c r="Q403" i="46"/>
  <c r="Q402" i="46"/>
  <c r="Q401" i="46"/>
  <c r="Q400" i="46"/>
  <c r="Q399" i="46"/>
  <c r="Q398" i="46"/>
  <c r="Q397" i="46"/>
  <c r="Q396" i="46"/>
  <c r="Q395" i="46"/>
  <c r="Q394" i="46"/>
  <c r="Q393" i="46"/>
  <c r="Q392" i="46"/>
  <c r="Q391" i="46"/>
  <c r="Q390" i="46"/>
  <c r="Q389" i="46"/>
  <c r="Q388" i="46"/>
  <c r="Q387" i="46"/>
  <c r="Q386" i="46"/>
  <c r="Q385" i="46"/>
  <c r="Q384" i="46"/>
  <c r="Q383" i="46"/>
  <c r="Q382" i="46"/>
  <c r="Q381" i="46"/>
  <c r="Q380" i="46"/>
  <c r="Q379" i="46"/>
  <c r="Q378" i="46"/>
  <c r="Q377" i="46"/>
  <c r="Q376" i="46"/>
  <c r="Q375" i="46"/>
  <c r="Q374" i="46"/>
  <c r="Q373" i="46"/>
  <c r="Q372" i="46"/>
  <c r="Q371" i="46"/>
  <c r="Q370" i="46"/>
  <c r="Q369" i="46"/>
  <c r="Q368" i="46"/>
  <c r="Q367" i="46"/>
  <c r="Q366" i="46"/>
  <c r="Q365" i="46"/>
  <c r="Q364" i="46"/>
  <c r="Q363" i="46"/>
  <c r="Q362" i="46"/>
  <c r="Q361" i="46"/>
  <c r="Q360" i="46"/>
  <c r="Q359" i="46"/>
  <c r="Q358" i="46"/>
  <c r="Q357" i="46"/>
  <c r="Q356" i="46"/>
  <c r="Q355" i="46"/>
  <c r="Q354" i="46"/>
  <c r="Q353" i="46"/>
  <c r="Q352" i="46"/>
  <c r="Q351" i="46"/>
  <c r="Q350" i="46"/>
  <c r="Q349" i="46"/>
  <c r="Q348" i="46"/>
  <c r="Q347" i="46"/>
  <c r="Q346" i="46"/>
  <c r="Q345" i="46"/>
  <c r="Q344" i="46"/>
  <c r="Q343" i="46"/>
  <c r="Q342" i="46"/>
  <c r="Q341" i="46"/>
  <c r="Q340" i="46"/>
  <c r="Q339" i="46"/>
  <c r="Q338" i="46"/>
  <c r="Q337" i="46"/>
  <c r="Q336" i="46"/>
  <c r="Q335" i="46"/>
  <c r="Q334" i="46"/>
  <c r="Q333" i="46"/>
  <c r="Q332" i="46"/>
  <c r="Q331" i="46"/>
  <c r="Q330" i="46"/>
  <c r="Q329" i="46"/>
  <c r="Q328" i="46"/>
  <c r="Q327" i="46"/>
  <c r="Q326" i="46"/>
  <c r="Q325" i="46"/>
  <c r="Q324" i="46"/>
  <c r="Q323" i="46"/>
  <c r="Q322" i="46"/>
  <c r="Q321" i="46"/>
  <c r="Q320" i="46"/>
  <c r="Q319" i="46"/>
  <c r="Q318" i="46"/>
  <c r="Q317" i="46"/>
  <c r="Q316" i="46"/>
  <c r="Q315" i="46"/>
  <c r="Q314" i="46"/>
  <c r="Q313" i="46"/>
  <c r="Q312" i="46"/>
  <c r="Q311" i="46"/>
  <c r="Q310" i="46"/>
  <c r="Q309" i="46"/>
  <c r="Q308" i="46"/>
  <c r="Q307" i="46"/>
  <c r="Q306" i="46"/>
  <c r="Q305" i="46"/>
  <c r="Q304" i="46"/>
  <c r="Q303" i="46"/>
  <c r="Q302" i="46"/>
  <c r="Q301" i="46"/>
  <c r="Q300" i="46"/>
  <c r="Q299" i="46"/>
  <c r="Q298" i="46"/>
  <c r="Q297" i="46"/>
  <c r="Q296" i="46"/>
  <c r="Q295" i="46"/>
  <c r="Q294" i="46"/>
  <c r="Q293" i="46"/>
  <c r="Q292" i="46"/>
  <c r="Q291" i="46"/>
  <c r="Q290" i="46"/>
  <c r="Q289" i="46"/>
  <c r="Q288" i="46"/>
  <c r="Q287" i="46"/>
  <c r="Q286" i="46"/>
  <c r="Q285" i="46"/>
  <c r="Q284" i="46"/>
  <c r="Q283" i="46"/>
  <c r="Q282" i="46"/>
  <c r="Q281" i="46"/>
  <c r="Q280" i="46"/>
  <c r="Q279" i="46"/>
  <c r="Q278" i="46"/>
  <c r="Q277" i="46"/>
  <c r="Q276" i="46"/>
  <c r="L270" i="46"/>
  <c r="M270" i="46" s="1"/>
  <c r="L269" i="46"/>
  <c r="M269" i="46" s="1"/>
  <c r="L268" i="46"/>
  <c r="M268" i="46" s="1"/>
  <c r="L267" i="46"/>
  <c r="M267" i="46" s="1"/>
  <c r="L266" i="46"/>
  <c r="M266" i="46" s="1"/>
  <c r="L265" i="46"/>
  <c r="M265" i="46" s="1"/>
  <c r="L264" i="46"/>
  <c r="M264" i="46" s="1"/>
  <c r="L263" i="46"/>
  <c r="M263" i="46" s="1"/>
  <c r="L262" i="46"/>
  <c r="M262" i="46" s="1"/>
  <c r="L261" i="46"/>
  <c r="M261" i="46" s="1"/>
  <c r="L260" i="46"/>
  <c r="M260" i="46" s="1"/>
  <c r="L259" i="46"/>
  <c r="M259" i="46" s="1"/>
  <c r="L258" i="46"/>
  <c r="M258" i="46" s="1"/>
  <c r="L257" i="46"/>
  <c r="M257" i="46" s="1"/>
  <c r="L256" i="46"/>
  <c r="M256" i="46" s="1"/>
  <c r="L255" i="46"/>
  <c r="M255" i="46" s="1"/>
  <c r="L254" i="46"/>
  <c r="M254" i="46" s="1"/>
  <c r="L253" i="46"/>
  <c r="M253" i="46" s="1"/>
  <c r="L252" i="46"/>
  <c r="M252" i="46" s="1"/>
  <c r="L251" i="46"/>
  <c r="M251" i="46" s="1"/>
  <c r="L250" i="46"/>
  <c r="M250" i="46" s="1"/>
  <c r="L249" i="46"/>
  <c r="M249" i="46" s="1"/>
  <c r="L248" i="46"/>
  <c r="M248" i="46" s="1"/>
  <c r="L247" i="46"/>
  <c r="M247" i="46" s="1"/>
  <c r="L246" i="46"/>
  <c r="M246" i="46" s="1"/>
  <c r="L245" i="46"/>
  <c r="M245" i="46" s="1"/>
  <c r="L244" i="46"/>
  <c r="M244" i="46" s="1"/>
  <c r="L243" i="46"/>
  <c r="M243" i="46" s="1"/>
  <c r="L242" i="46"/>
  <c r="M242" i="46" s="1"/>
  <c r="L241" i="46"/>
  <c r="M241" i="46" s="1"/>
  <c r="L240" i="46"/>
  <c r="M240" i="46" s="1"/>
  <c r="L239" i="46"/>
  <c r="M239" i="46" s="1"/>
  <c r="L238" i="46"/>
  <c r="M238" i="46" s="1"/>
  <c r="L237" i="46"/>
  <c r="M237" i="46" s="1"/>
  <c r="L236" i="46"/>
  <c r="M236" i="46" s="1"/>
  <c r="L235" i="46"/>
  <c r="M235" i="46" s="1"/>
  <c r="L234" i="46"/>
  <c r="M234" i="46" s="1"/>
  <c r="L233" i="46"/>
  <c r="M233" i="46" s="1"/>
  <c r="L232" i="46"/>
  <c r="M232" i="46" s="1"/>
  <c r="L231" i="46"/>
  <c r="M231" i="46" s="1"/>
  <c r="L230" i="46"/>
  <c r="M230" i="46" s="1"/>
  <c r="L229" i="46"/>
  <c r="M229" i="46" s="1"/>
  <c r="L228" i="46"/>
  <c r="M228" i="46" s="1"/>
  <c r="L227" i="46"/>
  <c r="M227" i="46" s="1"/>
  <c r="L226" i="46"/>
  <c r="M226" i="46" s="1"/>
  <c r="L225" i="46"/>
  <c r="M225" i="46" s="1"/>
  <c r="L224" i="46"/>
  <c r="M224" i="46" s="1"/>
  <c r="L223" i="46"/>
  <c r="M223" i="46" s="1"/>
  <c r="L222" i="46"/>
  <c r="M222" i="46" s="1"/>
  <c r="L221" i="46"/>
  <c r="M221" i="46" s="1"/>
  <c r="L220" i="46"/>
  <c r="M220" i="46" s="1"/>
  <c r="L219" i="46"/>
  <c r="M219" i="46" s="1"/>
  <c r="L218" i="46"/>
  <c r="M218" i="46" s="1"/>
  <c r="L217" i="46"/>
  <c r="M217" i="46" s="1"/>
  <c r="L216" i="46"/>
  <c r="M216" i="46" s="1"/>
  <c r="L215" i="46"/>
  <c r="M215" i="46" s="1"/>
  <c r="L214" i="46"/>
  <c r="M214" i="46" s="1"/>
  <c r="L213" i="46"/>
  <c r="M213" i="46" s="1"/>
  <c r="L212" i="46"/>
  <c r="M212" i="46" s="1"/>
  <c r="L211" i="46"/>
  <c r="M211" i="46" s="1"/>
  <c r="L210" i="46"/>
  <c r="M210" i="46" s="1"/>
  <c r="L209" i="46"/>
  <c r="M209" i="46" s="1"/>
  <c r="L208" i="46"/>
  <c r="M208" i="46" s="1"/>
  <c r="L207" i="46"/>
  <c r="M207" i="46" s="1"/>
  <c r="L206" i="46"/>
  <c r="M206" i="46" s="1"/>
  <c r="L205" i="46"/>
  <c r="M205" i="46" s="1"/>
  <c r="L204" i="46"/>
  <c r="M204" i="46" s="1"/>
  <c r="L203" i="46"/>
  <c r="M203" i="46" s="1"/>
  <c r="L202" i="46"/>
  <c r="M202" i="46" s="1"/>
  <c r="L201" i="46"/>
  <c r="M201" i="46" s="1"/>
  <c r="L200" i="46"/>
  <c r="M200" i="46" s="1"/>
  <c r="L199" i="46"/>
  <c r="M199" i="46" s="1"/>
  <c r="L198" i="46"/>
  <c r="M198" i="46" s="1"/>
  <c r="L197" i="46"/>
  <c r="M197" i="46" s="1"/>
  <c r="L196" i="46"/>
  <c r="M196" i="46" s="1"/>
  <c r="L195" i="46"/>
  <c r="M195" i="46" s="1"/>
  <c r="L194" i="46"/>
  <c r="M194" i="46" s="1"/>
  <c r="L193" i="46"/>
  <c r="M193" i="46" s="1"/>
  <c r="L192" i="46"/>
  <c r="M192" i="46" s="1"/>
  <c r="L191" i="46"/>
  <c r="M191" i="46" s="1"/>
  <c r="L190" i="46"/>
  <c r="M190" i="46" s="1"/>
  <c r="L189" i="46"/>
  <c r="M189" i="46" s="1"/>
  <c r="L188" i="46"/>
  <c r="M188" i="46" s="1"/>
  <c r="L187" i="46"/>
  <c r="M187" i="46" s="1"/>
  <c r="L186" i="46"/>
  <c r="M186" i="46" s="1"/>
  <c r="L185" i="46"/>
  <c r="M185" i="46" s="1"/>
  <c r="L184" i="46"/>
  <c r="M184" i="46" s="1"/>
  <c r="L183" i="46"/>
  <c r="M183" i="46" s="1"/>
  <c r="L182" i="46"/>
  <c r="M182" i="46" s="1"/>
  <c r="L181" i="46"/>
  <c r="M181" i="46" s="1"/>
  <c r="L180" i="46"/>
  <c r="M180" i="46" s="1"/>
  <c r="L179" i="46"/>
  <c r="M179" i="46" s="1"/>
  <c r="L178" i="46"/>
  <c r="M178" i="46" s="1"/>
  <c r="L177" i="46"/>
  <c r="M177" i="46" s="1"/>
  <c r="L176" i="46"/>
  <c r="M176" i="46" s="1"/>
  <c r="L175" i="46"/>
  <c r="M175" i="46" s="1"/>
  <c r="L174" i="46"/>
  <c r="M174" i="46" s="1"/>
  <c r="L173" i="46"/>
  <c r="M173" i="46" s="1"/>
  <c r="L172" i="46"/>
  <c r="M172" i="46" s="1"/>
  <c r="L171" i="46"/>
  <c r="M171" i="46" s="1"/>
  <c r="L170" i="46"/>
  <c r="M170" i="46" s="1"/>
  <c r="L169" i="46"/>
  <c r="M169" i="46" s="1"/>
  <c r="L168" i="46"/>
  <c r="M168" i="46" s="1"/>
  <c r="L167" i="46"/>
  <c r="M167" i="46" s="1"/>
  <c r="L166" i="46"/>
  <c r="M166" i="46" s="1"/>
  <c r="L165" i="46"/>
  <c r="M165" i="46" s="1"/>
  <c r="L164" i="46"/>
  <c r="M164" i="46" s="1"/>
  <c r="L163" i="46"/>
  <c r="M163" i="46" s="1"/>
  <c r="L162" i="46"/>
  <c r="M162" i="46" s="1"/>
  <c r="L161" i="46"/>
  <c r="M161" i="46" s="1"/>
  <c r="L160" i="46"/>
  <c r="M160" i="46" s="1"/>
  <c r="L159" i="46"/>
  <c r="M159" i="46" s="1"/>
  <c r="L158" i="46"/>
  <c r="M158" i="46" s="1"/>
  <c r="L157" i="46"/>
  <c r="M157" i="46" s="1"/>
  <c r="L156" i="46"/>
  <c r="M156" i="46" s="1"/>
  <c r="L155" i="46"/>
  <c r="M155" i="46" s="1"/>
  <c r="L154" i="46"/>
  <c r="M154" i="46" s="1"/>
  <c r="L153" i="46"/>
  <c r="M153" i="46" s="1"/>
  <c r="L152" i="46"/>
  <c r="M152" i="46" s="1"/>
  <c r="L151" i="46"/>
  <c r="M151" i="46" s="1"/>
  <c r="L150" i="46"/>
  <c r="M150" i="46" s="1"/>
  <c r="L149" i="46"/>
  <c r="M149" i="46" s="1"/>
  <c r="L148" i="46"/>
  <c r="M148" i="46" s="1"/>
  <c r="L147" i="46"/>
  <c r="M147" i="46" s="1"/>
  <c r="L146" i="46"/>
  <c r="M146" i="46" s="1"/>
  <c r="L145" i="46"/>
  <c r="M145" i="46" s="1"/>
  <c r="L144" i="46"/>
  <c r="M144" i="46" s="1"/>
  <c r="L143" i="46"/>
  <c r="M143" i="46" s="1"/>
  <c r="L142" i="46"/>
  <c r="M142" i="46" s="1"/>
  <c r="L141" i="46"/>
  <c r="M141" i="46" s="1"/>
  <c r="L140" i="46"/>
  <c r="M140" i="46" s="1"/>
  <c r="L139" i="46"/>
  <c r="M139" i="46" s="1"/>
  <c r="L138" i="46"/>
  <c r="M138" i="46" s="1"/>
  <c r="L137" i="46"/>
  <c r="M137" i="46" s="1"/>
  <c r="L136" i="46"/>
  <c r="M136" i="46" s="1"/>
  <c r="L135" i="46"/>
  <c r="M135" i="46" s="1"/>
  <c r="L134" i="46"/>
  <c r="M134" i="46" s="1"/>
  <c r="L133" i="46"/>
  <c r="M133" i="46" s="1"/>
  <c r="L132" i="46"/>
  <c r="M132" i="46" s="1"/>
  <c r="L131" i="46"/>
  <c r="M131" i="46" s="1"/>
  <c r="L130" i="46"/>
  <c r="M130" i="46" s="1"/>
  <c r="L129" i="46"/>
  <c r="M129" i="46" s="1"/>
  <c r="L128" i="46"/>
  <c r="M128" i="46" s="1"/>
  <c r="L127" i="46"/>
  <c r="M127" i="46" s="1"/>
  <c r="L126" i="46"/>
  <c r="M126" i="46" s="1"/>
  <c r="L125" i="46"/>
  <c r="M125" i="46" s="1"/>
  <c r="L124" i="46"/>
  <c r="M124" i="46" s="1"/>
  <c r="L123" i="46"/>
  <c r="M123" i="46" s="1"/>
  <c r="L122" i="46"/>
  <c r="M122" i="46" s="1"/>
  <c r="L121" i="46"/>
  <c r="M121" i="46" s="1"/>
  <c r="L120" i="46"/>
  <c r="M120" i="46" s="1"/>
  <c r="L119" i="46"/>
  <c r="M119" i="46" s="1"/>
  <c r="L118" i="46"/>
  <c r="M118" i="46" s="1"/>
  <c r="L117" i="46"/>
  <c r="M117" i="46" s="1"/>
  <c r="L116" i="46"/>
  <c r="M116" i="46" s="1"/>
  <c r="L115" i="46"/>
  <c r="M115" i="46" s="1"/>
  <c r="L114" i="46"/>
  <c r="M114" i="46" s="1"/>
  <c r="L113" i="46"/>
  <c r="M113" i="46" s="1"/>
  <c r="L112" i="46"/>
  <c r="M112" i="46" s="1"/>
  <c r="L111" i="46"/>
  <c r="M111" i="46" s="1"/>
  <c r="L110" i="46"/>
  <c r="M110" i="46" s="1"/>
  <c r="L109" i="46"/>
  <c r="M109" i="46" s="1"/>
  <c r="L108" i="46"/>
  <c r="M108" i="46" s="1"/>
  <c r="L107" i="46"/>
  <c r="M107" i="46" s="1"/>
  <c r="L106" i="46"/>
  <c r="M106" i="46" s="1"/>
  <c r="L105" i="46"/>
  <c r="M105" i="46" s="1"/>
  <c r="L104" i="46"/>
  <c r="M104" i="46" s="1"/>
  <c r="L103" i="46"/>
  <c r="M103" i="46" s="1"/>
  <c r="L102" i="46"/>
  <c r="M102" i="46" s="1"/>
  <c r="L101" i="46"/>
  <c r="M101" i="46" s="1"/>
  <c r="L100" i="46"/>
  <c r="M100" i="46" s="1"/>
  <c r="L99" i="46"/>
  <c r="M99" i="46" s="1"/>
  <c r="L98" i="46"/>
  <c r="M98" i="46" s="1"/>
  <c r="L97" i="46"/>
  <c r="M97" i="46" s="1"/>
  <c r="L96" i="46"/>
  <c r="M96" i="46" s="1"/>
  <c r="L95" i="46"/>
  <c r="M95" i="46" s="1"/>
  <c r="L94" i="46"/>
  <c r="M94" i="46" s="1"/>
  <c r="L93" i="46"/>
  <c r="M93" i="46" s="1"/>
  <c r="L92" i="46"/>
  <c r="M92" i="46" s="1"/>
  <c r="L91" i="46"/>
  <c r="M91" i="46" s="1"/>
  <c r="L90" i="46"/>
  <c r="M90" i="46" s="1"/>
  <c r="L89" i="46"/>
  <c r="M89" i="46" s="1"/>
  <c r="L88" i="46"/>
  <c r="M88" i="46" s="1"/>
  <c r="L87" i="46"/>
  <c r="M87" i="46" s="1"/>
  <c r="L86" i="46"/>
  <c r="M86" i="46" s="1"/>
  <c r="L85" i="46"/>
  <c r="M85" i="46" s="1"/>
  <c r="L84" i="46"/>
  <c r="M84" i="46" s="1"/>
  <c r="L83" i="46"/>
  <c r="M83" i="46" s="1"/>
  <c r="L82" i="46"/>
  <c r="M82" i="46" s="1"/>
  <c r="L81" i="46"/>
  <c r="M81" i="46" s="1"/>
  <c r="L80" i="46"/>
  <c r="M80" i="46" s="1"/>
  <c r="L79" i="46"/>
  <c r="M79" i="46" s="1"/>
  <c r="L78" i="46"/>
  <c r="M78" i="46" s="1"/>
  <c r="L77" i="46"/>
  <c r="M77" i="46" s="1"/>
  <c r="L76" i="46"/>
  <c r="M76" i="46" s="1"/>
  <c r="L75" i="46"/>
  <c r="M75" i="46" s="1"/>
  <c r="L74" i="46"/>
  <c r="M74" i="46" s="1"/>
  <c r="L73" i="46"/>
  <c r="M73" i="46" s="1"/>
  <c r="L72" i="46"/>
  <c r="M72" i="46" s="1"/>
  <c r="L71" i="46"/>
  <c r="M71" i="46" s="1"/>
  <c r="L70" i="46"/>
  <c r="M70" i="46" s="1"/>
  <c r="L69" i="46"/>
  <c r="M69" i="46" s="1"/>
  <c r="L68" i="46"/>
  <c r="M68" i="46" s="1"/>
  <c r="L67" i="46"/>
  <c r="M67" i="46" s="1"/>
  <c r="L66" i="46"/>
  <c r="M66" i="46" s="1"/>
  <c r="L65" i="46"/>
  <c r="M65" i="46" s="1"/>
  <c r="L64" i="46"/>
  <c r="M64" i="46" s="1"/>
  <c r="L63" i="46"/>
  <c r="M63" i="46" s="1"/>
  <c r="L62" i="46"/>
  <c r="M62" i="46" s="1"/>
  <c r="L61" i="46"/>
  <c r="M61" i="46" s="1"/>
  <c r="L60" i="46"/>
  <c r="M60" i="46" s="1"/>
  <c r="L59" i="46"/>
  <c r="M59" i="46" s="1"/>
  <c r="L58" i="46"/>
  <c r="M58" i="46" s="1"/>
  <c r="L57" i="46"/>
  <c r="M57" i="46" s="1"/>
  <c r="L56" i="46"/>
  <c r="M56" i="46" s="1"/>
  <c r="L55" i="46"/>
  <c r="M55" i="46" s="1"/>
  <c r="L54" i="46"/>
  <c r="M54" i="46" s="1"/>
  <c r="L53" i="46"/>
  <c r="M53" i="46" s="1"/>
  <c r="L52" i="46"/>
  <c r="M52" i="46" s="1"/>
  <c r="L51" i="46"/>
  <c r="M51" i="46" s="1"/>
  <c r="L50" i="46"/>
  <c r="M50" i="46" s="1"/>
  <c r="L49" i="46"/>
  <c r="M49" i="46" s="1"/>
  <c r="L48" i="46"/>
  <c r="M48" i="46" s="1"/>
  <c r="L47" i="46"/>
  <c r="M47" i="46" s="1"/>
  <c r="L46" i="46"/>
  <c r="M46" i="46" s="1"/>
  <c r="L45" i="46"/>
  <c r="M45" i="46" s="1"/>
  <c r="L44" i="46"/>
  <c r="M44" i="46" s="1"/>
  <c r="L43" i="46"/>
  <c r="M43" i="46" s="1"/>
  <c r="L42" i="46"/>
  <c r="M42" i="46" s="1"/>
  <c r="L41" i="46"/>
  <c r="M41" i="46" s="1"/>
  <c r="L40" i="46"/>
  <c r="M40" i="46" s="1"/>
  <c r="L39" i="46"/>
  <c r="M39" i="46" s="1"/>
  <c r="L38" i="46"/>
  <c r="M38" i="46" s="1"/>
  <c r="L37" i="46"/>
  <c r="M37" i="46" s="1"/>
  <c r="L36" i="46"/>
  <c r="M36" i="46" s="1"/>
  <c r="L35" i="46"/>
  <c r="M35" i="46" s="1"/>
  <c r="L34" i="46"/>
  <c r="M34" i="46" s="1"/>
  <c r="L33" i="46"/>
  <c r="M33" i="46" s="1"/>
  <c r="L32" i="46"/>
  <c r="M32" i="46" s="1"/>
  <c r="L31" i="46"/>
  <c r="M31" i="46" s="1"/>
  <c r="L30" i="46"/>
  <c r="M30" i="46" s="1"/>
  <c r="L29" i="46"/>
  <c r="M29" i="46" s="1"/>
  <c r="L28" i="46"/>
  <c r="M28" i="46" s="1"/>
  <c r="L27" i="46"/>
  <c r="M27" i="46" s="1"/>
  <c r="L26" i="46"/>
  <c r="M26" i="46" s="1"/>
  <c r="L25" i="46"/>
  <c r="M25" i="46" s="1"/>
  <c r="L24" i="46"/>
  <c r="M24" i="46" s="1"/>
  <c r="L23" i="46"/>
  <c r="M23" i="46" s="1"/>
  <c r="L22" i="46"/>
  <c r="M22" i="46" s="1"/>
  <c r="L21" i="46"/>
  <c r="M21" i="46" s="1"/>
  <c r="L20" i="46"/>
  <c r="M20" i="46" s="1"/>
  <c r="L19" i="46"/>
  <c r="M19" i="46" s="1"/>
  <c r="L18" i="46"/>
  <c r="M18" i="46" s="1"/>
  <c r="L17" i="46"/>
  <c r="M17" i="46" s="1"/>
  <c r="L16" i="46"/>
  <c r="M16" i="46" s="1"/>
  <c r="C85" i="45"/>
  <c r="C93" i="45" s="1"/>
  <c r="C101" i="45" s="1"/>
  <c r="D112" i="45" s="1"/>
  <c r="C84" i="45"/>
  <c r="C92" i="45" s="1"/>
  <c r="C100" i="45" s="1"/>
  <c r="D111" i="45" s="1"/>
  <c r="C83" i="45"/>
  <c r="C91" i="45" s="1"/>
  <c r="C99" i="45" s="1"/>
  <c r="D110" i="45" s="1"/>
  <c r="C82" i="45"/>
  <c r="C90" i="45" s="1"/>
  <c r="C98" i="45" s="1"/>
  <c r="D109" i="45" s="1"/>
  <c r="C81" i="45"/>
  <c r="C89" i="45" s="1"/>
  <c r="C97" i="45" s="1"/>
  <c r="D108" i="45" s="1"/>
  <c r="D77" i="45"/>
  <c r="C108" i="45" s="1"/>
  <c r="C109" i="45" s="1"/>
  <c r="C110" i="45" s="1"/>
  <c r="C58" i="45"/>
  <c r="C66" i="45" s="1"/>
  <c r="C57" i="45"/>
  <c r="C65" i="45" s="1"/>
  <c r="C56" i="45"/>
  <c r="C64" i="45" s="1"/>
  <c r="C55" i="45"/>
  <c r="C63" i="45" s="1"/>
  <c r="C54" i="45"/>
  <c r="C62" i="45" s="1"/>
  <c r="E50" i="45"/>
  <c r="E77" i="45" s="1"/>
  <c r="C113" i="45" s="1"/>
  <c r="C114" i="45" s="1"/>
  <c r="C115" i="45" s="1"/>
  <c r="B9" i="45"/>
  <c r="C18" i="45"/>
  <c r="C9" i="45" l="1"/>
  <c r="C40" i="45" s="1"/>
  <c r="B10" i="45"/>
  <c r="C10" i="45" s="1"/>
  <c r="C142" i="45" s="1"/>
  <c r="F50" i="45"/>
  <c r="G50" i="45" s="1"/>
  <c r="K63" i="47"/>
  <c r="E25" i="47" s="1"/>
  <c r="G25" i="47" s="1"/>
  <c r="L51" i="47"/>
  <c r="L59" i="47"/>
  <c r="L55" i="47"/>
  <c r="L54" i="47"/>
  <c r="L53" i="47"/>
  <c r="L61" i="47"/>
  <c r="L50" i="47"/>
  <c r="L52" i="47"/>
  <c r="L58" i="47"/>
  <c r="L57" i="47"/>
  <c r="L56" i="47"/>
  <c r="L60" i="47"/>
  <c r="D116" i="45"/>
  <c r="C73" i="45"/>
  <c r="D117" i="45"/>
  <c r="C72" i="45"/>
  <c r="C74" i="45"/>
  <c r="C71" i="45"/>
  <c r="C112" i="45"/>
  <c r="C111" i="45"/>
  <c r="D115" i="45"/>
  <c r="D113" i="45"/>
  <c r="C116" i="45"/>
  <c r="C117" i="45"/>
  <c r="C70" i="45"/>
  <c r="D114" i="45"/>
  <c r="D85" i="45"/>
  <c r="F77" i="45"/>
  <c r="E84" i="45" l="1"/>
  <c r="E85" i="45"/>
  <c r="F112" i="45"/>
  <c r="G112" i="45" s="1"/>
  <c r="G77" i="45"/>
  <c r="H50" i="45"/>
  <c r="L63" i="47"/>
  <c r="E26" i="47" s="1"/>
  <c r="G26" i="47" s="1"/>
  <c r="G27" i="47" s="1"/>
  <c r="C118" i="45"/>
  <c r="C119" i="45" s="1"/>
  <c r="C120" i="45" s="1"/>
  <c r="E83" i="45"/>
  <c r="F115" i="45" s="1"/>
  <c r="G115" i="45" s="1"/>
  <c r="D119" i="45"/>
  <c r="D118" i="45"/>
  <c r="D84" i="45"/>
  <c r="F111" i="45" s="1"/>
  <c r="G111" i="45" s="1"/>
  <c r="E82" i="45"/>
  <c r="F114" i="45" s="1"/>
  <c r="G114" i="45" s="1"/>
  <c r="D83" i="45"/>
  <c r="E81" i="45"/>
  <c r="F113" i="45" s="1"/>
  <c r="G113" i="45" s="1"/>
  <c r="D82" i="45"/>
  <c r="D81" i="45"/>
  <c r="F108" i="45" s="1"/>
  <c r="G108" i="45" s="1"/>
  <c r="D122" i="45"/>
  <c r="F117" i="45"/>
  <c r="G117" i="45" s="1"/>
  <c r="D120" i="45"/>
  <c r="F116" i="45"/>
  <c r="G116" i="45" s="1"/>
  <c r="D121" i="45"/>
  <c r="F109" i="45" l="1"/>
  <c r="G109" i="45" s="1"/>
  <c r="E24" i="45"/>
  <c r="F110" i="45"/>
  <c r="G110" i="45" s="1"/>
  <c r="E23" i="45"/>
  <c r="F82" i="45"/>
  <c r="F119" i="45" s="1"/>
  <c r="G119" i="45" s="1"/>
  <c r="F85" i="45"/>
  <c r="F84" i="45"/>
  <c r="I50" i="45"/>
  <c r="H77" i="45"/>
  <c r="C123" i="45"/>
  <c r="C124" i="45" s="1"/>
  <c r="C125" i="45" s="1"/>
  <c r="C126" i="45" s="1"/>
  <c r="D126" i="45"/>
  <c r="D123" i="45"/>
  <c r="D125" i="45"/>
  <c r="C121" i="45"/>
  <c r="C122" i="45"/>
  <c r="F122" i="45" s="1"/>
  <c r="G122" i="45" s="1"/>
  <c r="D124" i="45"/>
  <c r="F81" i="45"/>
  <c r="F118" i="45" s="1"/>
  <c r="G118" i="45" s="1"/>
  <c r="F83" i="45"/>
  <c r="F120" i="45" s="1"/>
  <c r="G120" i="45" s="1"/>
  <c r="G85" i="45" l="1"/>
  <c r="F126" i="45" s="1"/>
  <c r="G126" i="45" s="1"/>
  <c r="G83" i="45"/>
  <c r="F125" i="45" s="1"/>
  <c r="G125" i="45" s="1"/>
  <c r="G81" i="45"/>
  <c r="F123" i="45" s="1"/>
  <c r="G123" i="45" s="1"/>
  <c r="G84" i="45"/>
  <c r="F121" i="45"/>
  <c r="G121" i="45" s="1"/>
  <c r="G82" i="45"/>
  <c r="F124" i="45" s="1"/>
  <c r="G124" i="45" s="1"/>
  <c r="I77" i="45"/>
  <c r="J50" i="45"/>
  <c r="J77" i="45" s="1"/>
  <c r="C127" i="45"/>
  <c r="C128" i="45" s="1"/>
  <c r="C129" i="45" s="1"/>
  <c r="C130" i="45" s="1"/>
  <c r="D128" i="45"/>
  <c r="D127" i="45"/>
  <c r="D129" i="45"/>
  <c r="D130" i="45"/>
  <c r="H83" i="45" l="1"/>
  <c r="H82" i="45"/>
  <c r="H84" i="45"/>
  <c r="H81" i="45"/>
  <c r="F127" i="45" s="1"/>
  <c r="G127" i="45" s="1"/>
  <c r="H85" i="45"/>
  <c r="F130" i="45" s="1"/>
  <c r="G130" i="45" s="1"/>
  <c r="C135" i="45"/>
  <c r="C136" i="45" s="1"/>
  <c r="C137" i="45" s="1"/>
  <c r="C138" i="45" s="1"/>
  <c r="I84" i="45"/>
  <c r="C131" i="45"/>
  <c r="C132" i="45" s="1"/>
  <c r="C133" i="45" s="1"/>
  <c r="C134" i="45" s="1"/>
  <c r="D132" i="45"/>
  <c r="D131" i="45"/>
  <c r="D133" i="45"/>
  <c r="D134" i="45"/>
  <c r="O276" i="46"/>
  <c r="F128" i="45" l="1"/>
  <c r="G128" i="45" s="1"/>
  <c r="E31" i="45"/>
  <c r="F129" i="45"/>
  <c r="G129" i="45" s="1"/>
  <c r="E30" i="45"/>
  <c r="I83" i="45"/>
  <c r="J81" i="45"/>
  <c r="J83" i="45"/>
  <c r="I82" i="45"/>
  <c r="F132" i="45" s="1"/>
  <c r="G132" i="45" s="1"/>
  <c r="I81" i="45"/>
  <c r="F131" i="45" s="1"/>
  <c r="G131" i="45" s="1"/>
  <c r="J84" i="45"/>
  <c r="I85" i="45"/>
  <c r="F134" i="45" s="1"/>
  <c r="G134" i="45" s="1"/>
  <c r="J85" i="45"/>
  <c r="J82" i="45"/>
  <c r="O1044" i="46"/>
  <c r="O1040" i="46"/>
  <c r="O1036" i="46"/>
  <c r="O1032" i="46"/>
  <c r="O1028" i="46"/>
  <c r="O1024" i="46"/>
  <c r="O1020" i="46"/>
  <c r="O1016" i="46"/>
  <c r="O1012" i="46"/>
  <c r="O1008" i="46"/>
  <c r="O1004" i="46"/>
  <c r="O1000" i="46"/>
  <c r="O996" i="46"/>
  <c r="O992" i="46"/>
  <c r="O988" i="46"/>
  <c r="O984" i="46"/>
  <c r="O1043" i="46"/>
  <c r="O1039" i="46"/>
  <c r="O1035" i="46"/>
  <c r="O1031" i="46"/>
  <c r="O1027" i="46"/>
  <c r="O1023" i="46"/>
  <c r="O1019" i="46"/>
  <c r="O1015" i="46"/>
  <c r="O1011" i="46"/>
  <c r="O1007" i="46"/>
  <c r="O1003" i="46"/>
  <c r="O999" i="46"/>
  <c r="O995" i="46"/>
  <c r="O991" i="46"/>
  <c r="O987" i="46"/>
  <c r="O1042" i="46"/>
  <c r="O1038" i="46"/>
  <c r="O1034" i="46"/>
  <c r="O1030" i="46"/>
  <c r="O1026" i="46"/>
  <c r="O1022" i="46"/>
  <c r="O1018" i="46"/>
  <c r="O1014" i="46"/>
  <c r="O1010" i="46"/>
  <c r="O1006" i="46"/>
  <c r="O1002" i="46"/>
  <c r="O998" i="46"/>
  <c r="O994" i="46"/>
  <c r="O990" i="46"/>
  <c r="O986" i="46"/>
  <c r="O1045" i="46"/>
  <c r="O1041" i="46"/>
  <c r="O1037" i="46"/>
  <c r="O1033" i="46"/>
  <c r="O1029" i="46"/>
  <c r="O1025" i="46"/>
  <c r="O1021" i="46"/>
  <c r="O1017" i="46"/>
  <c r="O1013" i="46"/>
  <c r="O1009" i="46"/>
  <c r="O1005" i="46"/>
  <c r="O1001" i="46"/>
  <c r="O997" i="46"/>
  <c r="O993" i="46"/>
  <c r="O989" i="46"/>
  <c r="O985" i="46"/>
  <c r="O2106" i="46"/>
  <c r="O2103" i="46"/>
  <c r="O2090" i="46"/>
  <c r="O2087" i="46"/>
  <c r="O2096" i="46"/>
  <c r="O2093" i="46"/>
  <c r="O2080" i="46"/>
  <c r="O2077" i="46"/>
  <c r="O2102" i="46"/>
  <c r="O2099" i="46"/>
  <c r="O2086" i="46"/>
  <c r="O2083" i="46"/>
  <c r="O2105" i="46"/>
  <c r="O2092" i="46"/>
  <c r="O2089" i="46"/>
  <c r="O2076" i="46"/>
  <c r="O2098" i="46"/>
  <c r="O2095" i="46"/>
  <c r="O2082" i="46"/>
  <c r="O2079" i="46"/>
  <c r="O2094" i="46"/>
  <c r="O2091" i="46"/>
  <c r="O2078" i="46"/>
  <c r="O2100" i="46"/>
  <c r="O2097" i="46"/>
  <c r="O2084" i="46"/>
  <c r="O2081" i="46"/>
  <c r="O2101" i="46"/>
  <c r="O2085" i="46"/>
  <c r="O2104" i="46"/>
  <c r="O2088" i="46"/>
  <c r="O717" i="46"/>
  <c r="O715" i="46"/>
  <c r="O713" i="46"/>
  <c r="O711" i="46"/>
  <c r="O709" i="46"/>
  <c r="O707" i="46"/>
  <c r="O705" i="46"/>
  <c r="O703" i="46"/>
  <c r="O701" i="46"/>
  <c r="O699" i="46"/>
  <c r="O697" i="46"/>
  <c r="O695" i="46"/>
  <c r="O693" i="46"/>
  <c r="O691" i="46"/>
  <c r="O689" i="46"/>
  <c r="O687" i="46"/>
  <c r="O685" i="46"/>
  <c r="O683" i="46"/>
  <c r="O681" i="46"/>
  <c r="O679" i="46"/>
  <c r="O677" i="46"/>
  <c r="O675" i="46"/>
  <c r="O673" i="46"/>
  <c r="O671" i="46"/>
  <c r="O669" i="46"/>
  <c r="O667" i="46"/>
  <c r="O665" i="46"/>
  <c r="O708" i="46"/>
  <c r="O692" i="46"/>
  <c r="O676" i="46"/>
  <c r="O718" i="46"/>
  <c r="O702" i="46"/>
  <c r="O686" i="46"/>
  <c r="O670" i="46"/>
  <c r="O712" i="46"/>
  <c r="O696" i="46"/>
  <c r="O680" i="46"/>
  <c r="O706" i="46"/>
  <c r="O690" i="46"/>
  <c r="O674" i="46"/>
  <c r="O710" i="46"/>
  <c r="O678" i="46"/>
  <c r="O716" i="46"/>
  <c r="O700" i="46"/>
  <c r="O684" i="46"/>
  <c r="O668" i="46"/>
  <c r="O694" i="46"/>
  <c r="O704" i="46"/>
  <c r="O688" i="46"/>
  <c r="O672" i="46"/>
  <c r="O714" i="46"/>
  <c r="O698" i="46"/>
  <c r="O682" i="46"/>
  <c r="O666" i="46"/>
  <c r="O337" i="46"/>
  <c r="O335" i="46"/>
  <c r="O333" i="46"/>
  <c r="O331" i="46"/>
  <c r="O329" i="46"/>
  <c r="O327" i="46"/>
  <c r="O325" i="46"/>
  <c r="O323" i="46"/>
  <c r="O321" i="46"/>
  <c r="O319" i="46"/>
  <c r="O317" i="46"/>
  <c r="O315" i="46"/>
  <c r="O313" i="46"/>
  <c r="O311" i="46"/>
  <c r="O309" i="46"/>
  <c r="O307" i="46"/>
  <c r="O305" i="46"/>
  <c r="O303" i="46"/>
  <c r="O301" i="46"/>
  <c r="O299" i="46"/>
  <c r="O297" i="46"/>
  <c r="O295" i="46"/>
  <c r="O293" i="46"/>
  <c r="O291" i="46"/>
  <c r="O289" i="46"/>
  <c r="O287" i="46"/>
  <c r="O285" i="46"/>
  <c r="O283" i="46"/>
  <c r="O281" i="46"/>
  <c r="O279" i="46"/>
  <c r="O277" i="46"/>
  <c r="O336" i="46"/>
  <c r="O334" i="46"/>
  <c r="O332" i="46"/>
  <c r="O330" i="46"/>
  <c r="O328" i="46"/>
  <c r="O326" i="46"/>
  <c r="O324" i="46"/>
  <c r="O322" i="46"/>
  <c r="O320" i="46"/>
  <c r="O318" i="46"/>
  <c r="O316" i="46"/>
  <c r="O314" i="46"/>
  <c r="O312" i="46"/>
  <c r="O310" i="46"/>
  <c r="O308" i="46"/>
  <c r="O306" i="46"/>
  <c r="O304" i="46"/>
  <c r="O302" i="46"/>
  <c r="O300" i="46"/>
  <c r="O298" i="46"/>
  <c r="O296" i="46"/>
  <c r="O294" i="46"/>
  <c r="O292" i="46"/>
  <c r="O290" i="46"/>
  <c r="O288" i="46"/>
  <c r="O286" i="46"/>
  <c r="O284" i="46"/>
  <c r="O282" i="46"/>
  <c r="O280" i="46"/>
  <c r="O278" i="46"/>
  <c r="O1525" i="46"/>
  <c r="O1521" i="46"/>
  <c r="O1517" i="46"/>
  <c r="O1513" i="46"/>
  <c r="O1509" i="46"/>
  <c r="O1505" i="46"/>
  <c r="O1501" i="46"/>
  <c r="O1497" i="46"/>
  <c r="O1493" i="46"/>
  <c r="O1489" i="46"/>
  <c r="O1485" i="46"/>
  <c r="O1481" i="46"/>
  <c r="O1477" i="46"/>
  <c r="O1473" i="46"/>
  <c r="O1469" i="46"/>
  <c r="O1524" i="46"/>
  <c r="O1520" i="46"/>
  <c r="O1516" i="46"/>
  <c r="O1512" i="46"/>
  <c r="O1508" i="46"/>
  <c r="O1504" i="46"/>
  <c r="O1500" i="46"/>
  <c r="O1496" i="46"/>
  <c r="O1492" i="46"/>
  <c r="O1488" i="46"/>
  <c r="O1484" i="46"/>
  <c r="O1480" i="46"/>
  <c r="O1476" i="46"/>
  <c r="O1472" i="46"/>
  <c r="O1468" i="46"/>
  <c r="O1526" i="46"/>
  <c r="O1522" i="46"/>
  <c r="O1518" i="46"/>
  <c r="O1514" i="46"/>
  <c r="O1510" i="46"/>
  <c r="O1506" i="46"/>
  <c r="O1502" i="46"/>
  <c r="O1498" i="46"/>
  <c r="O1494" i="46"/>
  <c r="O1490" i="46"/>
  <c r="O1486" i="46"/>
  <c r="O1482" i="46"/>
  <c r="O1478" i="46"/>
  <c r="O1474" i="46"/>
  <c r="O1470" i="46"/>
  <c r="O1466" i="46"/>
  <c r="O1527" i="46"/>
  <c r="O1495" i="46"/>
  <c r="O1507" i="46"/>
  <c r="O1475" i="46"/>
  <c r="O1519" i="46"/>
  <c r="O1487" i="46"/>
  <c r="O1499" i="46"/>
  <c r="O1467" i="46"/>
  <c r="O1511" i="46"/>
  <c r="O1479" i="46"/>
  <c r="O1503" i="46"/>
  <c r="O1471" i="46"/>
  <c r="O1515" i="46"/>
  <c r="O1483" i="46"/>
  <c r="O1491" i="46"/>
  <c r="O1523" i="46"/>
  <c r="O1959" i="46"/>
  <c r="O1952" i="46"/>
  <c r="O1949" i="46"/>
  <c r="O1958" i="46"/>
  <c r="O1955" i="46"/>
  <c r="O1948" i="46"/>
  <c r="O1946" i="46"/>
  <c r="O1944" i="46"/>
  <c r="O1942" i="46"/>
  <c r="O1940" i="46"/>
  <c r="O1938" i="46"/>
  <c r="O1936" i="46"/>
  <c r="O1934" i="46"/>
  <c r="O1932" i="46"/>
  <c r="O1930" i="46"/>
  <c r="O1954" i="46"/>
  <c r="O1951" i="46"/>
  <c r="O1950" i="46"/>
  <c r="O1956" i="46"/>
  <c r="O1953" i="46"/>
  <c r="O1947" i="46"/>
  <c r="O1945" i="46"/>
  <c r="O1943" i="46"/>
  <c r="O1941" i="46"/>
  <c r="O1939" i="46"/>
  <c r="O1937" i="46"/>
  <c r="O1935" i="46"/>
  <c r="O1933" i="46"/>
  <c r="O1931" i="46"/>
  <c r="O1929" i="46"/>
  <c r="O1957" i="46"/>
  <c r="O368" i="46"/>
  <c r="O370" i="46"/>
  <c r="O372" i="46"/>
  <c r="O365" i="46"/>
  <c r="O363" i="46"/>
  <c r="O361" i="46"/>
  <c r="O359" i="46"/>
  <c r="O357" i="46"/>
  <c r="O355" i="46"/>
  <c r="O353" i="46"/>
  <c r="O351" i="46"/>
  <c r="O349" i="46"/>
  <c r="O347" i="46"/>
  <c r="O345" i="46"/>
  <c r="O343" i="46"/>
  <c r="O341" i="46"/>
  <c r="O339" i="46"/>
  <c r="O367" i="46"/>
  <c r="O369" i="46"/>
  <c r="O373" i="46"/>
  <c r="O364" i="46"/>
  <c r="O362" i="46"/>
  <c r="O360" i="46"/>
  <c r="O358" i="46"/>
  <c r="O356" i="46"/>
  <c r="O354" i="46"/>
  <c r="O352" i="46"/>
  <c r="O350" i="46"/>
  <c r="O348" i="46"/>
  <c r="O346" i="46"/>
  <c r="O344" i="46"/>
  <c r="O342" i="46"/>
  <c r="O340" i="46"/>
  <c r="O338" i="46"/>
  <c r="O371" i="46"/>
  <c r="O366" i="46"/>
  <c r="O3011" i="46"/>
  <c r="O3007" i="46"/>
  <c r="O3003" i="46"/>
  <c r="O2999" i="46"/>
  <c r="O2995" i="46"/>
  <c r="O2991" i="46"/>
  <c r="O2987" i="46"/>
  <c r="O2983" i="46"/>
  <c r="O3010" i="46"/>
  <c r="O3006" i="46"/>
  <c r="O3002" i="46"/>
  <c r="O2998" i="46"/>
  <c r="O2994" i="46"/>
  <c r="O2990" i="46"/>
  <c r="O2986" i="46"/>
  <c r="O2982" i="46"/>
  <c r="O3009" i="46"/>
  <c r="O3005" i="46"/>
  <c r="O3001" i="46"/>
  <c r="O2997" i="46"/>
  <c r="O2993" i="46"/>
  <c r="O2989" i="46"/>
  <c r="O2985" i="46"/>
  <c r="O3012" i="46"/>
  <c r="O3008" i="46"/>
  <c r="O3004" i="46"/>
  <c r="O3000" i="46"/>
  <c r="O2996" i="46"/>
  <c r="O2992" i="46"/>
  <c r="O2988" i="46"/>
  <c r="O2984" i="46"/>
  <c r="O3819" i="46"/>
  <c r="O3815" i="46"/>
  <c r="O3811" i="46"/>
  <c r="O3807" i="46"/>
  <c r="O3803" i="46"/>
  <c r="O3799" i="46"/>
  <c r="O3795" i="46"/>
  <c r="O3791" i="46"/>
  <c r="O3818" i="46"/>
  <c r="O3814" i="46"/>
  <c r="O3810" i="46"/>
  <c r="O3806" i="46"/>
  <c r="O3802" i="46"/>
  <c r="O3798" i="46"/>
  <c r="O3794" i="46"/>
  <c r="O3821" i="46"/>
  <c r="O3817" i="46"/>
  <c r="O3813" i="46"/>
  <c r="O3809" i="46"/>
  <c r="O3805" i="46"/>
  <c r="O3801" i="46"/>
  <c r="O3797" i="46"/>
  <c r="O3793" i="46"/>
  <c r="O3812" i="46"/>
  <c r="O3792" i="46"/>
  <c r="O3804" i="46"/>
  <c r="O3816" i="46"/>
  <c r="O3796" i="46"/>
  <c r="O3808" i="46"/>
  <c r="O3820" i="46"/>
  <c r="O3800" i="46"/>
  <c r="O892" i="46"/>
  <c r="O888" i="46"/>
  <c r="O884" i="46"/>
  <c r="O880" i="46"/>
  <c r="O876" i="46"/>
  <c r="O872" i="46"/>
  <c r="O868" i="46"/>
  <c r="O864" i="46"/>
  <c r="O860" i="46"/>
  <c r="O856" i="46"/>
  <c r="O852" i="46"/>
  <c r="O848" i="46"/>
  <c r="O844" i="46"/>
  <c r="O840" i="46"/>
  <c r="O836" i="46"/>
  <c r="O891" i="46"/>
  <c r="O887" i="46"/>
  <c r="O883" i="46"/>
  <c r="O879" i="46"/>
  <c r="O875" i="46"/>
  <c r="O871" i="46"/>
  <c r="O867" i="46"/>
  <c r="O863" i="46"/>
  <c r="O859" i="46"/>
  <c r="O855" i="46"/>
  <c r="O851" i="46"/>
  <c r="O847" i="46"/>
  <c r="O843" i="46"/>
  <c r="O839" i="46"/>
  <c r="O835" i="46"/>
  <c r="O890" i="46"/>
  <c r="O886" i="46"/>
  <c r="O882" i="46"/>
  <c r="O878" i="46"/>
  <c r="O874" i="46"/>
  <c r="O870" i="46"/>
  <c r="O866" i="46"/>
  <c r="O862" i="46"/>
  <c r="O858" i="46"/>
  <c r="O854" i="46"/>
  <c r="O850" i="46"/>
  <c r="O846" i="46"/>
  <c r="O842" i="46"/>
  <c r="O838" i="46"/>
  <c r="O834" i="46"/>
  <c r="O893" i="46"/>
  <c r="O889" i="46"/>
  <c r="O885" i="46"/>
  <c r="O881" i="46"/>
  <c r="O877" i="46"/>
  <c r="O873" i="46"/>
  <c r="O869" i="46"/>
  <c r="O865" i="46"/>
  <c r="O861" i="46"/>
  <c r="O857" i="46"/>
  <c r="O853" i="46"/>
  <c r="O849" i="46"/>
  <c r="O845" i="46"/>
  <c r="O841" i="46"/>
  <c r="O837" i="46"/>
  <c r="O2759" i="46"/>
  <c r="O2756" i="46"/>
  <c r="O2743" i="46"/>
  <c r="O2740" i="46"/>
  <c r="O2765" i="46"/>
  <c r="O2762" i="46"/>
  <c r="O2749" i="46"/>
  <c r="O2746" i="46"/>
  <c r="O2768" i="46"/>
  <c r="O2755" i="46"/>
  <c r="O2752" i="46"/>
  <c r="O2739" i="46"/>
  <c r="O2761" i="46"/>
  <c r="O2758" i="46"/>
  <c r="O2745" i="46"/>
  <c r="O2742" i="46"/>
  <c r="O2767" i="46"/>
  <c r="O2764" i="46"/>
  <c r="O2751" i="46"/>
  <c r="O2748" i="46"/>
  <c r="O2763" i="46"/>
  <c r="O2760" i="46"/>
  <c r="O2747" i="46"/>
  <c r="O2744" i="46"/>
  <c r="O2769" i="46"/>
  <c r="O2766" i="46"/>
  <c r="O2753" i="46"/>
  <c r="O2750" i="46"/>
  <c r="O2741" i="46"/>
  <c r="O2754" i="46"/>
  <c r="O2757" i="46"/>
  <c r="O423" i="46"/>
  <c r="O420" i="46"/>
  <c r="O409" i="46"/>
  <c r="O400" i="46"/>
  <c r="O393" i="46"/>
  <c r="O384" i="46"/>
  <c r="O377" i="46"/>
  <c r="O429" i="46"/>
  <c r="O426" i="46"/>
  <c r="O411" i="46"/>
  <c r="O402" i="46"/>
  <c r="O395" i="46"/>
  <c r="O386" i="46"/>
  <c r="O379" i="46"/>
  <c r="O418" i="46"/>
  <c r="O378" i="46"/>
  <c r="O435" i="46"/>
  <c r="O432" i="46"/>
  <c r="O419" i="46"/>
  <c r="O416" i="46"/>
  <c r="O413" i="46"/>
  <c r="O404" i="46"/>
  <c r="O397" i="46"/>
  <c r="O388" i="46"/>
  <c r="O381" i="46"/>
  <c r="O434" i="46"/>
  <c r="O394" i="46"/>
  <c r="O425" i="46"/>
  <c r="O422" i="46"/>
  <c r="O406" i="46"/>
  <c r="O399" i="46"/>
  <c r="O390" i="46"/>
  <c r="O383" i="46"/>
  <c r="O374" i="46"/>
  <c r="O410" i="46"/>
  <c r="O431" i="46"/>
  <c r="O428" i="46"/>
  <c r="O415" i="46"/>
  <c r="O408" i="46"/>
  <c r="O401" i="46"/>
  <c r="O392" i="46"/>
  <c r="O385" i="46"/>
  <c r="O376" i="46"/>
  <c r="O403" i="46"/>
  <c r="O427" i="46"/>
  <c r="O424" i="46"/>
  <c r="O412" i="46"/>
  <c r="O405" i="46"/>
  <c r="O396" i="46"/>
  <c r="O389" i="46"/>
  <c r="O380" i="46"/>
  <c r="O421" i="46"/>
  <c r="O433" i="46"/>
  <c r="O430" i="46"/>
  <c r="O417" i="46"/>
  <c r="O414" i="46"/>
  <c r="O407" i="46"/>
  <c r="O398" i="46"/>
  <c r="O391" i="46"/>
  <c r="O382" i="46"/>
  <c r="O375" i="46"/>
  <c r="O387" i="46"/>
  <c r="O3913" i="46"/>
  <c r="O3910" i="46"/>
  <c r="O3908" i="46"/>
  <c r="O3906" i="46"/>
  <c r="O3904" i="46"/>
  <c r="O3914" i="46"/>
  <c r="O3911" i="46"/>
  <c r="O3909" i="46"/>
  <c r="O3903" i="46"/>
  <c r="O3899" i="46"/>
  <c r="O3895" i="46"/>
  <c r="O3891" i="46"/>
  <c r="O3887" i="46"/>
  <c r="O3883" i="46"/>
  <c r="O3879" i="46"/>
  <c r="O3875" i="46"/>
  <c r="O3871" i="46"/>
  <c r="O3867" i="46"/>
  <c r="O3863" i="46"/>
  <c r="O3859" i="46"/>
  <c r="O3855" i="46"/>
  <c r="O3907" i="46"/>
  <c r="O3902" i="46"/>
  <c r="O3898" i="46"/>
  <c r="O3894" i="46"/>
  <c r="O3890" i="46"/>
  <c r="O3886" i="46"/>
  <c r="O3882" i="46"/>
  <c r="O3878" i="46"/>
  <c r="O3874" i="46"/>
  <c r="O3870" i="46"/>
  <c r="O3866" i="46"/>
  <c r="O3862" i="46"/>
  <c r="O3858" i="46"/>
  <c r="O3854" i="46"/>
  <c r="O3912" i="46"/>
  <c r="O3901" i="46"/>
  <c r="O3897" i="46"/>
  <c r="O3893" i="46"/>
  <c r="O3889" i="46"/>
  <c r="O3885" i="46"/>
  <c r="O3881" i="46"/>
  <c r="O3877" i="46"/>
  <c r="O3873" i="46"/>
  <c r="O3869" i="46"/>
  <c r="O3865" i="46"/>
  <c r="O3861" i="46"/>
  <c r="O3857" i="46"/>
  <c r="O3853" i="46"/>
  <c r="O3905" i="46"/>
  <c r="O3876" i="46"/>
  <c r="O3888" i="46"/>
  <c r="O3856" i="46"/>
  <c r="O3900" i="46"/>
  <c r="O3868" i="46"/>
  <c r="O3880" i="46"/>
  <c r="O3892" i="46"/>
  <c r="O3860" i="46"/>
  <c r="O3872" i="46"/>
  <c r="O3884" i="46"/>
  <c r="O3896" i="46"/>
  <c r="O3864" i="46"/>
  <c r="O2354" i="46"/>
  <c r="O2350" i="46"/>
  <c r="O2346" i="46"/>
  <c r="O2342" i="46"/>
  <c r="O2338" i="46"/>
  <c r="O2334" i="46"/>
  <c r="O2330" i="46"/>
  <c r="O2326" i="46"/>
  <c r="O2353" i="46"/>
  <c r="O2349" i="46"/>
  <c r="O2345" i="46"/>
  <c r="O2341" i="46"/>
  <c r="O2337" i="46"/>
  <c r="O2333" i="46"/>
  <c r="O2329" i="46"/>
  <c r="O2325" i="46"/>
  <c r="O2352" i="46"/>
  <c r="O2348" i="46"/>
  <c r="O2344" i="46"/>
  <c r="O2340" i="46"/>
  <c r="O2336" i="46"/>
  <c r="O2332" i="46"/>
  <c r="O2328" i="46"/>
  <c r="O2324" i="46"/>
  <c r="O2351" i="46"/>
  <c r="O2347" i="46"/>
  <c r="O2343" i="46"/>
  <c r="O2339" i="46"/>
  <c r="O2335" i="46"/>
  <c r="O2331" i="46"/>
  <c r="O2327" i="46"/>
  <c r="O3381" i="46"/>
  <c r="O3379" i="46"/>
  <c r="O3377" i="46"/>
  <c r="O3375" i="46"/>
  <c r="O3373" i="46"/>
  <c r="O3371" i="46"/>
  <c r="O3369" i="46"/>
  <c r="O3367" i="46"/>
  <c r="O3365" i="46"/>
  <c r="O3363" i="46"/>
  <c r="O3361" i="46"/>
  <c r="O3359" i="46"/>
  <c r="O3357" i="46"/>
  <c r="O3355" i="46"/>
  <c r="O3353" i="46"/>
  <c r="O3351" i="46"/>
  <c r="O3382" i="46"/>
  <c r="O3380" i="46"/>
  <c r="O3378" i="46"/>
  <c r="O3376" i="46"/>
  <c r="O3374" i="46"/>
  <c r="O3372" i="46"/>
  <c r="O3370" i="46"/>
  <c r="O3368" i="46"/>
  <c r="O3366" i="46"/>
  <c r="O3364" i="46"/>
  <c r="O3362" i="46"/>
  <c r="O3360" i="46"/>
  <c r="O3358" i="46"/>
  <c r="O3356" i="46"/>
  <c r="O3354" i="46"/>
  <c r="O3352" i="46"/>
  <c r="O3350" i="46"/>
  <c r="O3349" i="46"/>
  <c r="O3345" i="46"/>
  <c r="O3341" i="46"/>
  <c r="O3337" i="46"/>
  <c r="O3348" i="46"/>
  <c r="O3344" i="46"/>
  <c r="O3340" i="46"/>
  <c r="O3346" i="46"/>
  <c r="O3342" i="46"/>
  <c r="O3338" i="46"/>
  <c r="O3343" i="46"/>
  <c r="O3347" i="46"/>
  <c r="O3339" i="46"/>
  <c r="O2644" i="46"/>
  <c r="O2631" i="46"/>
  <c r="O2628" i="46"/>
  <c r="O2615" i="46"/>
  <c r="O2637" i="46"/>
  <c r="O2634" i="46"/>
  <c r="O2621" i="46"/>
  <c r="O2618" i="46"/>
  <c r="O2643" i="46"/>
  <c r="O2640" i="46"/>
  <c r="O2627" i="46"/>
  <c r="O2624" i="46"/>
  <c r="O2633" i="46"/>
  <c r="O2630" i="46"/>
  <c r="O2617" i="46"/>
  <c r="O2639" i="46"/>
  <c r="O2636" i="46"/>
  <c r="O2623" i="46"/>
  <c r="O2620" i="46"/>
  <c r="O2635" i="46"/>
  <c r="O2632" i="46"/>
  <c r="O2619" i="46"/>
  <c r="O2616" i="46"/>
  <c r="O2641" i="46"/>
  <c r="O2638" i="46"/>
  <c r="O2625" i="46"/>
  <c r="O2622" i="46"/>
  <c r="O2626" i="46"/>
  <c r="O2645" i="46"/>
  <c r="O2642" i="46"/>
  <c r="O2629" i="46"/>
  <c r="O3662" i="46"/>
  <c r="O3653" i="46"/>
  <c r="O3651" i="46"/>
  <c r="O3649" i="46"/>
  <c r="O3647" i="46"/>
  <c r="O3645" i="46"/>
  <c r="O3643" i="46"/>
  <c r="O3641" i="46"/>
  <c r="O3639" i="46"/>
  <c r="O3637" i="46"/>
  <c r="O3664" i="46"/>
  <c r="O3655" i="46"/>
  <c r="O3657" i="46"/>
  <c r="O3666" i="46"/>
  <c r="O3659" i="46"/>
  <c r="O3661" i="46"/>
  <c r="O3654" i="46"/>
  <c r="O3652" i="46"/>
  <c r="O3650" i="46"/>
  <c r="O3648" i="46"/>
  <c r="O3646" i="46"/>
  <c r="O3644" i="46"/>
  <c r="O3642" i="46"/>
  <c r="O3640" i="46"/>
  <c r="O3638" i="46"/>
  <c r="O3636" i="46"/>
  <c r="O3665" i="46"/>
  <c r="O3658" i="46"/>
  <c r="O3656" i="46"/>
  <c r="O3660" i="46"/>
  <c r="O3663" i="46"/>
  <c r="O1589" i="46"/>
  <c r="O1585" i="46"/>
  <c r="O1581" i="46"/>
  <c r="O1577" i="46"/>
  <c r="O1573" i="46"/>
  <c r="O1569" i="46"/>
  <c r="O1565" i="46"/>
  <c r="O1561" i="46"/>
  <c r="O1557" i="46"/>
  <c r="O1553" i="46"/>
  <c r="O1549" i="46"/>
  <c r="O1545" i="46"/>
  <c r="O1541" i="46"/>
  <c r="O1537" i="46"/>
  <c r="O1533" i="46"/>
  <c r="O1529" i="46"/>
  <c r="O1588" i="46"/>
  <c r="O1584" i="46"/>
  <c r="O1580" i="46"/>
  <c r="O1576" i="46"/>
  <c r="O1572" i="46"/>
  <c r="O1568" i="46"/>
  <c r="O1564" i="46"/>
  <c r="O1560" i="46"/>
  <c r="O1556" i="46"/>
  <c r="O1552" i="46"/>
  <c r="O1548" i="46"/>
  <c r="O1544" i="46"/>
  <c r="O1540" i="46"/>
  <c r="O1536" i="46"/>
  <c r="O1532" i="46"/>
  <c r="O1528" i="46"/>
  <c r="O1586" i="46"/>
  <c r="O1582" i="46"/>
  <c r="O1578" i="46"/>
  <c r="O1574" i="46"/>
  <c r="O1570" i="46"/>
  <c r="O1566" i="46"/>
  <c r="O1562" i="46"/>
  <c r="O1558" i="46"/>
  <c r="O1554" i="46"/>
  <c r="O1550" i="46"/>
  <c r="O1546" i="46"/>
  <c r="O1542" i="46"/>
  <c r="O1538" i="46"/>
  <c r="O1534" i="46"/>
  <c r="O1530" i="46"/>
  <c r="O1559" i="46"/>
  <c r="O1571" i="46"/>
  <c r="O1539" i="46"/>
  <c r="O1583" i="46"/>
  <c r="O1551" i="46"/>
  <c r="O1563" i="46"/>
  <c r="O1531" i="46"/>
  <c r="O1575" i="46"/>
  <c r="O1543" i="46"/>
  <c r="O1567" i="46"/>
  <c r="O1535" i="46"/>
  <c r="O1579" i="46"/>
  <c r="O1547" i="46"/>
  <c r="O1587" i="46"/>
  <c r="O1555" i="46"/>
  <c r="O2519" i="46"/>
  <c r="O2514" i="46"/>
  <c r="O2511" i="46"/>
  <c r="O2506" i="46"/>
  <c r="O2503" i="46"/>
  <c r="O2516" i="46"/>
  <c r="O2513" i="46"/>
  <c r="O2508" i="46"/>
  <c r="O2505" i="46"/>
  <c r="O2500" i="46"/>
  <c r="O2498" i="46"/>
  <c r="O2496" i="46"/>
  <c r="O2494" i="46"/>
  <c r="O2492" i="46"/>
  <c r="O2490" i="46"/>
  <c r="O2518" i="46"/>
  <c r="O2515" i="46"/>
  <c r="O2510" i="46"/>
  <c r="O2507" i="46"/>
  <c r="O2502" i="46"/>
  <c r="O2517" i="46"/>
  <c r="O2512" i="46"/>
  <c r="O2509" i="46"/>
  <c r="O2504" i="46"/>
  <c r="O2501" i="46"/>
  <c r="O2499" i="46"/>
  <c r="O2497" i="46"/>
  <c r="O2495" i="46"/>
  <c r="O2493" i="46"/>
  <c r="O2491" i="46"/>
  <c r="O2489" i="46"/>
  <c r="O591" i="46"/>
  <c r="O589" i="46"/>
  <c r="O587" i="46"/>
  <c r="O585" i="46"/>
  <c r="O583" i="46"/>
  <c r="O581" i="46"/>
  <c r="O579" i="46"/>
  <c r="O577" i="46"/>
  <c r="O575" i="46"/>
  <c r="O573" i="46"/>
  <c r="O571" i="46"/>
  <c r="O569" i="46"/>
  <c r="O567" i="46"/>
  <c r="O565" i="46"/>
  <c r="O563" i="46"/>
  <c r="O561" i="46"/>
  <c r="O559" i="46"/>
  <c r="O557" i="46"/>
  <c r="O555" i="46"/>
  <c r="O553" i="46"/>
  <c r="O551" i="46"/>
  <c r="O549" i="46"/>
  <c r="O547" i="46"/>
  <c r="O545" i="46"/>
  <c r="O543" i="46"/>
  <c r="O541" i="46"/>
  <c r="O539" i="46"/>
  <c r="O537" i="46"/>
  <c r="O535" i="46"/>
  <c r="O580" i="46"/>
  <c r="O564" i="46"/>
  <c r="O548" i="46"/>
  <c r="O590" i="46"/>
  <c r="O574" i="46"/>
  <c r="O558" i="46"/>
  <c r="O542" i="46"/>
  <c r="O584" i="46"/>
  <c r="O568" i="46"/>
  <c r="O552" i="46"/>
  <c r="O536" i="46"/>
  <c r="O582" i="46"/>
  <c r="O578" i="46"/>
  <c r="O562" i="46"/>
  <c r="O546" i="46"/>
  <c r="O588" i="46"/>
  <c r="O572" i="46"/>
  <c r="O556" i="46"/>
  <c r="O540" i="46"/>
  <c r="O566" i="46"/>
  <c r="O592" i="46"/>
  <c r="O576" i="46"/>
  <c r="O560" i="46"/>
  <c r="O544" i="46"/>
  <c r="O550" i="46"/>
  <c r="O586" i="46"/>
  <c r="O570" i="46"/>
  <c r="O554" i="46"/>
  <c r="O538" i="46"/>
  <c r="O2167" i="46"/>
  <c r="O2154" i="46"/>
  <c r="O2151" i="46"/>
  <c r="O2138" i="46"/>
  <c r="O2160" i="46"/>
  <c r="O2157" i="46"/>
  <c r="O2144" i="46"/>
  <c r="O2141" i="46"/>
  <c r="O2166" i="46"/>
  <c r="O2163" i="46"/>
  <c r="O2150" i="46"/>
  <c r="O2147" i="46"/>
  <c r="O2156" i="46"/>
  <c r="O2153" i="46"/>
  <c r="O2140" i="46"/>
  <c r="O2162" i="46"/>
  <c r="O2159" i="46"/>
  <c r="O2146" i="46"/>
  <c r="O2143" i="46"/>
  <c r="O2158" i="46"/>
  <c r="O2155" i="46"/>
  <c r="O2142" i="46"/>
  <c r="O2139" i="46"/>
  <c r="O2164" i="46"/>
  <c r="O2161" i="46"/>
  <c r="O2148" i="46"/>
  <c r="O2145" i="46"/>
  <c r="O2168" i="46"/>
  <c r="O2152" i="46"/>
  <c r="O2165" i="46"/>
  <c r="O2149" i="46"/>
  <c r="O2525" i="46"/>
  <c r="O2522" i="46"/>
  <c r="O2528" i="46"/>
  <c r="O2521" i="46"/>
  <c r="O2527" i="46"/>
  <c r="O2524" i="46"/>
  <c r="O2523" i="46"/>
  <c r="O2520" i="46"/>
  <c r="O2529" i="46"/>
  <c r="O2526" i="46"/>
  <c r="O3499" i="46"/>
  <c r="O3492" i="46"/>
  <c r="O3483" i="46"/>
  <c r="O3476" i="46"/>
  <c r="O3467" i="46"/>
  <c r="O3460" i="46"/>
  <c r="O3451" i="46"/>
  <c r="O3503" i="46"/>
  <c r="O3496" i="46"/>
  <c r="O3487" i="46"/>
  <c r="O3480" i="46"/>
  <c r="O3471" i="46"/>
  <c r="O3464" i="46"/>
  <c r="O3455" i="46"/>
  <c r="O3448" i="46"/>
  <c r="O3498" i="46"/>
  <c r="O3489" i="46"/>
  <c r="O3482" i="46"/>
  <c r="O3473" i="46"/>
  <c r="O3466" i="46"/>
  <c r="O3457" i="46"/>
  <c r="O3450" i="46"/>
  <c r="O3500" i="46"/>
  <c r="O3491" i="46"/>
  <c r="O3484" i="46"/>
  <c r="O3475" i="46"/>
  <c r="O3468" i="46"/>
  <c r="O3459" i="46"/>
  <c r="O3452" i="46"/>
  <c r="O3502" i="46"/>
  <c r="O3493" i="46"/>
  <c r="O3486" i="46"/>
  <c r="O3477" i="46"/>
  <c r="O3470" i="46"/>
  <c r="O3461" i="46"/>
  <c r="O3454" i="46"/>
  <c r="O3478" i="46"/>
  <c r="O3474" i="46"/>
  <c r="O3449" i="46"/>
  <c r="O3494" i="46"/>
  <c r="O3490" i="46"/>
  <c r="O3465" i="46"/>
  <c r="O3453" i="46"/>
  <c r="O3481" i="46"/>
  <c r="O3469" i="46"/>
  <c r="O3456" i="46"/>
  <c r="O3497" i="46"/>
  <c r="O3485" i="46"/>
  <c r="O3472" i="46"/>
  <c r="O3501" i="46"/>
  <c r="O3488" i="46"/>
  <c r="O3447" i="46"/>
  <c r="O3479" i="46"/>
  <c r="O3495" i="46"/>
  <c r="O3462" i="46"/>
  <c r="O3458" i="46"/>
  <c r="O3463" i="46"/>
  <c r="O3504" i="46"/>
  <c r="O832" i="46"/>
  <c r="O828" i="46"/>
  <c r="O824" i="46"/>
  <c r="O820" i="46"/>
  <c r="O816" i="46"/>
  <c r="O812" i="46"/>
  <c r="O808" i="46"/>
  <c r="O804" i="46"/>
  <c r="O800" i="46"/>
  <c r="O831" i="46"/>
  <c r="O827" i="46"/>
  <c r="O823" i="46"/>
  <c r="O819" i="46"/>
  <c r="O815" i="46"/>
  <c r="O811" i="46"/>
  <c r="O807" i="46"/>
  <c r="O803" i="46"/>
  <c r="O799" i="46"/>
  <c r="O830" i="46"/>
  <c r="O826" i="46"/>
  <c r="O822" i="46"/>
  <c r="O818" i="46"/>
  <c r="O814" i="46"/>
  <c r="O810" i="46"/>
  <c r="O806" i="46"/>
  <c r="O802" i="46"/>
  <c r="O798" i="46"/>
  <c r="O833" i="46"/>
  <c r="O829" i="46"/>
  <c r="O825" i="46"/>
  <c r="O821" i="46"/>
  <c r="O817" i="46"/>
  <c r="O813" i="46"/>
  <c r="O809" i="46"/>
  <c r="O805" i="46"/>
  <c r="O801" i="46"/>
  <c r="O471" i="46"/>
  <c r="O477" i="46"/>
  <c r="O474" i="46"/>
  <c r="O480" i="46"/>
  <c r="O473" i="46"/>
  <c r="O479" i="46"/>
  <c r="O476" i="46"/>
  <c r="O475" i="46"/>
  <c r="O472" i="46"/>
  <c r="O478" i="46"/>
  <c r="O2454" i="46"/>
  <c r="O2450" i="46"/>
  <c r="O2446" i="46"/>
  <c r="O2442" i="46"/>
  <c r="O2438" i="46"/>
  <c r="O2434" i="46"/>
  <c r="O2430" i="46"/>
  <c r="O2426" i="46"/>
  <c r="O2422" i="46"/>
  <c r="O2418" i="46"/>
  <c r="O2414" i="46"/>
  <c r="O2410" i="46"/>
  <c r="O2406" i="46"/>
  <c r="O2402" i="46"/>
  <c r="O2398" i="46"/>
  <c r="O2457" i="46"/>
  <c r="O2453" i="46"/>
  <c r="O2449" i="46"/>
  <c r="O2445" i="46"/>
  <c r="O2441" i="46"/>
  <c r="O2437" i="46"/>
  <c r="O2433" i="46"/>
  <c r="O2429" i="46"/>
  <c r="O2425" i="46"/>
  <c r="O2421" i="46"/>
  <c r="O2417" i="46"/>
  <c r="O2413" i="46"/>
  <c r="O2409" i="46"/>
  <c r="O2405" i="46"/>
  <c r="O2401" i="46"/>
  <c r="O2397" i="46"/>
  <c r="O2456" i="46"/>
  <c r="O2452" i="46"/>
  <c r="O2448" i="46"/>
  <c r="O2444" i="46"/>
  <c r="O2440" i="46"/>
  <c r="O2436" i="46"/>
  <c r="O2432" i="46"/>
  <c r="O2428" i="46"/>
  <c r="O2424" i="46"/>
  <c r="O2420" i="46"/>
  <c r="O2416" i="46"/>
  <c r="O2412" i="46"/>
  <c r="O2408" i="46"/>
  <c r="O2404" i="46"/>
  <c r="O2400" i="46"/>
  <c r="O2396" i="46"/>
  <c r="O2455" i="46"/>
  <c r="O2451" i="46"/>
  <c r="O2447" i="46"/>
  <c r="O2443" i="46"/>
  <c r="O2439" i="46"/>
  <c r="O2435" i="46"/>
  <c r="O2431" i="46"/>
  <c r="O2427" i="46"/>
  <c r="O2423" i="46"/>
  <c r="O2419" i="46"/>
  <c r="O2415" i="46"/>
  <c r="O2411" i="46"/>
  <c r="O2407" i="46"/>
  <c r="O2403" i="46"/>
  <c r="O2399" i="46"/>
  <c r="O2010" i="46"/>
  <c r="O2007" i="46"/>
  <c r="O1994" i="46"/>
  <c r="O1991" i="46"/>
  <c r="O2016" i="46"/>
  <c r="O2013" i="46"/>
  <c r="O2000" i="46"/>
  <c r="O1997" i="46"/>
  <c r="O2019" i="46"/>
  <c r="O2006" i="46"/>
  <c r="O2003" i="46"/>
  <c r="O2012" i="46"/>
  <c r="O2009" i="46"/>
  <c r="O1996" i="46"/>
  <c r="O1993" i="46"/>
  <c r="O2018" i="46"/>
  <c r="O2015" i="46"/>
  <c r="O2002" i="46"/>
  <c r="O1999" i="46"/>
  <c r="O2014" i="46"/>
  <c r="O2011" i="46"/>
  <c r="O1998" i="46"/>
  <c r="O1995" i="46"/>
  <c r="O2020" i="46"/>
  <c r="O2017" i="46"/>
  <c r="O2004" i="46"/>
  <c r="O2001" i="46"/>
  <c r="O1992" i="46"/>
  <c r="O2005" i="46"/>
  <c r="O2008" i="46"/>
  <c r="O2021" i="46"/>
  <c r="O896" i="46"/>
  <c r="O895" i="46"/>
  <c r="O898" i="46"/>
  <c r="O894" i="46"/>
  <c r="O897" i="46"/>
  <c r="O1866" i="46"/>
  <c r="O1864" i="46"/>
  <c r="O1862" i="46"/>
  <c r="O1860" i="46"/>
  <c r="O1858" i="46"/>
  <c r="O1856" i="46"/>
  <c r="O1854" i="46"/>
  <c r="O1852" i="46"/>
  <c r="O1850" i="46"/>
  <c r="O1848" i="46"/>
  <c r="O1846" i="46"/>
  <c r="O1844" i="46"/>
  <c r="O1842" i="46"/>
  <c r="O1840" i="46"/>
  <c r="O1838" i="46"/>
  <c r="O1836" i="46"/>
  <c r="O1865" i="46"/>
  <c r="O1863" i="46"/>
  <c r="O1861" i="46"/>
  <c r="O1859" i="46"/>
  <c r="O1857" i="46"/>
  <c r="O1855" i="46"/>
  <c r="O1853" i="46"/>
  <c r="O1851" i="46"/>
  <c r="O1849" i="46"/>
  <c r="O1847" i="46"/>
  <c r="O1845" i="46"/>
  <c r="O1843" i="46"/>
  <c r="O1841" i="46"/>
  <c r="O1839" i="46"/>
  <c r="O1837" i="46"/>
  <c r="O455" i="46"/>
  <c r="O452" i="46"/>
  <c r="O439" i="46"/>
  <c r="O436" i="46"/>
  <c r="O445" i="46"/>
  <c r="O442" i="46"/>
  <c r="O451" i="46"/>
  <c r="O448" i="46"/>
  <c r="O454" i="46"/>
  <c r="O441" i="46"/>
  <c r="O438" i="46"/>
  <c r="O453" i="46"/>
  <c r="O447" i="46"/>
  <c r="O444" i="46"/>
  <c r="O437" i="46"/>
  <c r="O443" i="46"/>
  <c r="O440" i="46"/>
  <c r="O450" i="46"/>
  <c r="O449" i="46"/>
  <c r="O446" i="46"/>
  <c r="O3933" i="46"/>
  <c r="O3930" i="46"/>
  <c r="O3939" i="46"/>
  <c r="O3936" i="46"/>
  <c r="O3924" i="46"/>
  <c r="O3921" i="46"/>
  <c r="O3916" i="46"/>
  <c r="O3945" i="46"/>
  <c r="O3942" i="46"/>
  <c r="O3929" i="46"/>
  <c r="O3935" i="46"/>
  <c r="O3932" i="46"/>
  <c r="O3926" i="46"/>
  <c r="O3923" i="46"/>
  <c r="O3918" i="46"/>
  <c r="O3915" i="46"/>
  <c r="O3941" i="46"/>
  <c r="O3938" i="46"/>
  <c r="O3937" i="46"/>
  <c r="O3934" i="46"/>
  <c r="O3943" i="46"/>
  <c r="O3940" i="46"/>
  <c r="O3927" i="46"/>
  <c r="O3922" i="46"/>
  <c r="O3919" i="46"/>
  <c r="O3928" i="46"/>
  <c r="O3920" i="46"/>
  <c r="O3931" i="46"/>
  <c r="O3925" i="46"/>
  <c r="O3944" i="46"/>
  <c r="O3917" i="46"/>
  <c r="O2551" i="46"/>
  <c r="O2548" i="46"/>
  <c r="O2535" i="46"/>
  <c r="O2532" i="46"/>
  <c r="O2541" i="46"/>
  <c r="O2538" i="46"/>
  <c r="O2547" i="46"/>
  <c r="O2544" i="46"/>
  <c r="O2531" i="46"/>
  <c r="O2550" i="46"/>
  <c r="O2537" i="46"/>
  <c r="O2534" i="46"/>
  <c r="O2543" i="46"/>
  <c r="O2540" i="46"/>
  <c r="O2552" i="46"/>
  <c r="O2539" i="46"/>
  <c r="O2536" i="46"/>
  <c r="O2545" i="46"/>
  <c r="O2542" i="46"/>
  <c r="O2546" i="46"/>
  <c r="O2530" i="46"/>
  <c r="O2549" i="46"/>
  <c r="O2533" i="46"/>
  <c r="O980" i="46"/>
  <c r="O976" i="46"/>
  <c r="O972" i="46"/>
  <c r="O968" i="46"/>
  <c r="O964" i="46"/>
  <c r="O960" i="46"/>
  <c r="O956" i="46"/>
  <c r="O952" i="46"/>
  <c r="O948" i="46"/>
  <c r="O944" i="46"/>
  <c r="O940" i="46"/>
  <c r="O936" i="46"/>
  <c r="O932" i="46"/>
  <c r="O928" i="46"/>
  <c r="O983" i="46"/>
  <c r="O979" i="46"/>
  <c r="O975" i="46"/>
  <c r="O971" i="46"/>
  <c r="O967" i="46"/>
  <c r="O963" i="46"/>
  <c r="O959" i="46"/>
  <c r="O955" i="46"/>
  <c r="O951" i="46"/>
  <c r="O947" i="46"/>
  <c r="O943" i="46"/>
  <c r="O939" i="46"/>
  <c r="O935" i="46"/>
  <c r="O931" i="46"/>
  <c r="O927" i="46"/>
  <c r="O982" i="46"/>
  <c r="O978" i="46"/>
  <c r="O974" i="46"/>
  <c r="O970" i="46"/>
  <c r="O966" i="46"/>
  <c r="O962" i="46"/>
  <c r="O958" i="46"/>
  <c r="O954" i="46"/>
  <c r="O950" i="46"/>
  <c r="O946" i="46"/>
  <c r="O942" i="46"/>
  <c r="O938" i="46"/>
  <c r="O934" i="46"/>
  <c r="O930" i="46"/>
  <c r="O981" i="46"/>
  <c r="O977" i="46"/>
  <c r="O973" i="46"/>
  <c r="O969" i="46"/>
  <c r="O965" i="46"/>
  <c r="O961" i="46"/>
  <c r="O957" i="46"/>
  <c r="O953" i="46"/>
  <c r="O949" i="46"/>
  <c r="O945" i="46"/>
  <c r="O941" i="46"/>
  <c r="O937" i="46"/>
  <c r="O933" i="46"/>
  <c r="O929" i="46"/>
  <c r="O1220" i="46"/>
  <c r="O1216" i="46"/>
  <c r="O1212" i="46"/>
  <c r="O1208" i="46"/>
  <c r="O1204" i="46"/>
  <c r="O1200" i="46"/>
  <c r="O1196" i="46"/>
  <c r="O1192" i="46"/>
  <c r="O1188" i="46"/>
  <c r="O1184" i="46"/>
  <c r="O1180" i="46"/>
  <c r="O1176" i="46"/>
  <c r="O1172" i="46"/>
  <c r="O1168" i="46"/>
  <c r="O1219" i="46"/>
  <c r="O1215" i="46"/>
  <c r="O1211" i="46"/>
  <c r="O1207" i="46"/>
  <c r="O1203" i="46"/>
  <c r="O1199" i="46"/>
  <c r="O1195" i="46"/>
  <c r="O1191" i="46"/>
  <c r="O1187" i="46"/>
  <c r="O1183" i="46"/>
  <c r="O1179" i="46"/>
  <c r="O1175" i="46"/>
  <c r="O1171" i="46"/>
  <c r="O1218" i="46"/>
  <c r="O1214" i="46"/>
  <c r="O1210" i="46"/>
  <c r="O1206" i="46"/>
  <c r="O1202" i="46"/>
  <c r="O1198" i="46"/>
  <c r="O1194" i="46"/>
  <c r="O1190" i="46"/>
  <c r="O1186" i="46"/>
  <c r="O1182" i="46"/>
  <c r="O1178" i="46"/>
  <c r="O1174" i="46"/>
  <c r="O1170" i="46"/>
  <c r="O1221" i="46"/>
  <c r="O1217" i="46"/>
  <c r="O1213" i="46"/>
  <c r="O1209" i="46"/>
  <c r="O1205" i="46"/>
  <c r="O1201" i="46"/>
  <c r="O1197" i="46"/>
  <c r="O1193" i="46"/>
  <c r="O1189" i="46"/>
  <c r="O1185" i="46"/>
  <c r="O1181" i="46"/>
  <c r="O1177" i="46"/>
  <c r="O1173" i="46"/>
  <c r="O1169" i="46"/>
  <c r="O1741" i="46"/>
  <c r="O1737" i="46"/>
  <c r="O1733" i="46"/>
  <c r="O1729" i="46"/>
  <c r="O1725" i="46"/>
  <c r="O1721" i="46"/>
  <c r="O1717" i="46"/>
  <c r="O1713" i="46"/>
  <c r="O1709" i="46"/>
  <c r="O1705" i="46"/>
  <c r="O1740" i="46"/>
  <c r="O1736" i="46"/>
  <c r="O1732" i="46"/>
  <c r="O1728" i="46"/>
  <c r="O1724" i="46"/>
  <c r="O1720" i="46"/>
  <c r="O1716" i="46"/>
  <c r="O1712" i="46"/>
  <c r="O1708" i="46"/>
  <c r="O1742" i="46"/>
  <c r="O1738" i="46"/>
  <c r="O1734" i="46"/>
  <c r="O1730" i="46"/>
  <c r="O1726" i="46"/>
  <c r="O1722" i="46"/>
  <c r="O1718" i="46"/>
  <c r="O1714" i="46"/>
  <c r="O1710" i="46"/>
  <c r="O1706" i="46"/>
  <c r="O1719" i="46"/>
  <c r="O1731" i="46"/>
  <c r="O1711" i="46"/>
  <c r="O1723" i="46"/>
  <c r="O1735" i="46"/>
  <c r="O1727" i="46"/>
  <c r="O1739" i="46"/>
  <c r="O1707" i="46"/>
  <c r="O1715" i="46"/>
  <c r="O2488" i="46"/>
  <c r="O2486" i="46"/>
  <c r="O2484" i="46"/>
  <c r="O2482" i="46"/>
  <c r="O2480" i="46"/>
  <c r="O2478" i="46"/>
  <c r="O2476" i="46"/>
  <c r="O2487" i="46"/>
  <c r="O2479" i="46"/>
  <c r="O2474" i="46"/>
  <c r="O2470" i="46"/>
  <c r="O2466" i="46"/>
  <c r="O2462" i="46"/>
  <c r="O2458" i="46"/>
  <c r="O2483" i="46"/>
  <c r="O2473" i="46"/>
  <c r="O2469" i="46"/>
  <c r="O2465" i="46"/>
  <c r="O2461" i="46"/>
  <c r="O2477" i="46"/>
  <c r="O2472" i="46"/>
  <c r="O2468" i="46"/>
  <c r="O2464" i="46"/>
  <c r="O2460" i="46"/>
  <c r="O2475" i="46"/>
  <c r="O2471" i="46"/>
  <c r="O2467" i="46"/>
  <c r="O2463" i="46"/>
  <c r="O2459" i="46"/>
  <c r="O2485" i="46"/>
  <c r="O2481" i="46"/>
  <c r="O3419" i="46"/>
  <c r="O3411" i="46"/>
  <c r="O3401" i="46"/>
  <c r="O3394" i="46"/>
  <c r="O3416" i="46"/>
  <c r="O3408" i="46"/>
  <c r="O3403" i="46"/>
  <c r="O3396" i="46"/>
  <c r="O3413" i="46"/>
  <c r="O3405" i="46"/>
  <c r="O3398" i="46"/>
  <c r="O3418" i="46"/>
  <c r="O3410" i="46"/>
  <c r="O3400" i="46"/>
  <c r="O3415" i="46"/>
  <c r="O3407" i="46"/>
  <c r="O3402" i="46"/>
  <c r="O3393" i="46"/>
  <c r="O3417" i="46"/>
  <c r="O3409" i="46"/>
  <c r="O3397" i="46"/>
  <c r="O3414" i="46"/>
  <c r="O3406" i="46"/>
  <c r="O3399" i="46"/>
  <c r="O3395" i="46"/>
  <c r="O3412" i="46"/>
  <c r="O3404" i="46"/>
  <c r="O2979" i="46"/>
  <c r="O2975" i="46"/>
  <c r="O2971" i="46"/>
  <c r="O2967" i="46"/>
  <c r="O2963" i="46"/>
  <c r="O2959" i="46"/>
  <c r="O2955" i="46"/>
  <c r="O2978" i="46"/>
  <c r="O2974" i="46"/>
  <c r="O2970" i="46"/>
  <c r="O2966" i="46"/>
  <c r="O2962" i="46"/>
  <c r="O2958" i="46"/>
  <c r="O2981" i="46"/>
  <c r="O2977" i="46"/>
  <c r="O2973" i="46"/>
  <c r="O2969" i="46"/>
  <c r="O2965" i="46"/>
  <c r="O2961" i="46"/>
  <c r="O2957" i="46"/>
  <c r="O2980" i="46"/>
  <c r="O2976" i="46"/>
  <c r="O2972" i="46"/>
  <c r="O2968" i="46"/>
  <c r="O2964" i="46"/>
  <c r="O2960" i="46"/>
  <c r="O2956" i="46"/>
  <c r="O3768" i="46"/>
  <c r="O3787" i="46"/>
  <c r="O3783" i="46"/>
  <c r="O3779" i="46"/>
  <c r="O3775" i="46"/>
  <c r="O3771" i="46"/>
  <c r="O3761" i="46"/>
  <c r="O3767" i="46"/>
  <c r="O3764" i="46"/>
  <c r="O3790" i="46"/>
  <c r="O3786" i="46"/>
  <c r="O3782" i="46"/>
  <c r="O3778" i="46"/>
  <c r="O3774" i="46"/>
  <c r="O3770" i="46"/>
  <c r="O3763" i="46"/>
  <c r="O3760" i="46"/>
  <c r="O3789" i="46"/>
  <c r="O3785" i="46"/>
  <c r="O3781" i="46"/>
  <c r="O3777" i="46"/>
  <c r="O3773" i="46"/>
  <c r="O3769" i="46"/>
  <c r="O3766" i="46"/>
  <c r="O3780" i="46"/>
  <c r="O3772" i="46"/>
  <c r="O3765" i="46"/>
  <c r="O3784" i="46"/>
  <c r="O3776" i="46"/>
  <c r="O3788" i="46"/>
  <c r="O3762" i="46"/>
  <c r="O1164" i="46"/>
  <c r="O1160" i="46"/>
  <c r="O1156" i="46"/>
  <c r="O1152" i="46"/>
  <c r="O1148" i="46"/>
  <c r="O1144" i="46"/>
  <c r="O1140" i="46"/>
  <c r="O1136" i="46"/>
  <c r="O1132" i="46"/>
  <c r="O1128" i="46"/>
  <c r="O1124" i="46"/>
  <c r="O1120" i="46"/>
  <c r="O1116" i="46"/>
  <c r="O1112" i="46"/>
  <c r="O1167" i="46"/>
  <c r="O1163" i="46"/>
  <c r="O1159" i="46"/>
  <c r="O1155" i="46"/>
  <c r="O1151" i="46"/>
  <c r="O1147" i="46"/>
  <c r="O1143" i="46"/>
  <c r="O1139" i="46"/>
  <c r="O1135" i="46"/>
  <c r="O1131" i="46"/>
  <c r="O1127" i="46"/>
  <c r="O1123" i="46"/>
  <c r="O1119" i="46"/>
  <c r="O1115" i="46"/>
  <c r="O1111" i="46"/>
  <c r="O1166" i="46"/>
  <c r="O1162" i="46"/>
  <c r="O1158" i="46"/>
  <c r="O1154" i="46"/>
  <c r="O1150" i="46"/>
  <c r="O1146" i="46"/>
  <c r="O1142" i="46"/>
  <c r="O1138" i="46"/>
  <c r="O1134" i="46"/>
  <c r="O1130" i="46"/>
  <c r="O1126" i="46"/>
  <c r="O1122" i="46"/>
  <c r="O1118" i="46"/>
  <c r="O1114" i="46"/>
  <c r="O1110" i="46"/>
  <c r="O1165" i="46"/>
  <c r="O1161" i="46"/>
  <c r="O1157" i="46"/>
  <c r="O1153" i="46"/>
  <c r="O1149" i="46"/>
  <c r="O1145" i="46"/>
  <c r="O1141" i="46"/>
  <c r="O1137" i="46"/>
  <c r="O1133" i="46"/>
  <c r="O1129" i="46"/>
  <c r="O1125" i="46"/>
  <c r="O1121" i="46"/>
  <c r="O1117" i="46"/>
  <c r="O1113" i="46"/>
  <c r="O3444" i="46"/>
  <c r="O3439" i="46"/>
  <c r="O3441" i="46"/>
  <c r="O3443" i="46"/>
  <c r="O3445" i="46"/>
  <c r="O3438" i="46"/>
  <c r="O3437" i="46"/>
  <c r="O3440" i="46"/>
  <c r="O3430" i="46"/>
  <c r="O3427" i="46"/>
  <c r="O3424" i="46"/>
  <c r="O3436" i="46"/>
  <c r="O3433" i="46"/>
  <c r="O3421" i="46"/>
  <c r="O3426" i="46"/>
  <c r="O3432" i="46"/>
  <c r="O3429" i="46"/>
  <c r="O3423" i="46"/>
  <c r="O3446" i="46"/>
  <c r="O3442" i="46"/>
  <c r="O3428" i="46"/>
  <c r="O3425" i="46"/>
  <c r="O3434" i="46"/>
  <c r="O3431" i="46"/>
  <c r="O3422" i="46"/>
  <c r="O3420" i="46"/>
  <c r="O3435" i="46"/>
  <c r="O1673" i="46"/>
  <c r="O1669" i="46"/>
  <c r="O1665" i="46"/>
  <c r="O1661" i="46"/>
  <c r="O1657" i="46"/>
  <c r="O1653" i="46"/>
  <c r="O1649" i="46"/>
  <c r="O1645" i="46"/>
  <c r="O1641" i="46"/>
  <c r="O1637" i="46"/>
  <c r="O1633" i="46"/>
  <c r="O1629" i="46"/>
  <c r="O1625" i="46"/>
  <c r="O1621" i="46"/>
  <c r="O1672" i="46"/>
  <c r="O1668" i="46"/>
  <c r="O1664" i="46"/>
  <c r="O1660" i="46"/>
  <c r="O1656" i="46"/>
  <c r="O1652" i="46"/>
  <c r="O1648" i="46"/>
  <c r="O1644" i="46"/>
  <c r="O1640" i="46"/>
  <c r="O1636" i="46"/>
  <c r="O1632" i="46"/>
  <c r="O1628" i="46"/>
  <c r="O1624" i="46"/>
  <c r="O1620" i="46"/>
  <c r="O1670" i="46"/>
  <c r="O1666" i="46"/>
  <c r="O1662" i="46"/>
  <c r="O1658" i="46"/>
  <c r="O1654" i="46"/>
  <c r="O1650" i="46"/>
  <c r="O1646" i="46"/>
  <c r="O1642" i="46"/>
  <c r="O1638" i="46"/>
  <c r="O1634" i="46"/>
  <c r="O1630" i="46"/>
  <c r="O1626" i="46"/>
  <c r="O1622" i="46"/>
  <c r="O1655" i="46"/>
  <c r="O1623" i="46"/>
  <c r="O1667" i="46"/>
  <c r="O1635" i="46"/>
  <c r="O1647" i="46"/>
  <c r="O1659" i="46"/>
  <c r="O1627" i="46"/>
  <c r="O1671" i="46"/>
  <c r="O1639" i="46"/>
  <c r="O1663" i="46"/>
  <c r="O1631" i="46"/>
  <c r="O1643" i="46"/>
  <c r="O1651" i="46"/>
  <c r="O2288" i="46"/>
  <c r="O2285" i="46"/>
  <c r="O2272" i="46"/>
  <c r="O2269" i="46"/>
  <c r="O2291" i="46"/>
  <c r="O2278" i="46"/>
  <c r="O2275" i="46"/>
  <c r="O2266" i="46"/>
  <c r="O2284" i="46"/>
  <c r="O2281" i="46"/>
  <c r="O2263" i="46"/>
  <c r="O2290" i="46"/>
  <c r="O2287" i="46"/>
  <c r="O2274" i="46"/>
  <c r="O2271" i="46"/>
  <c r="O2268" i="46"/>
  <c r="O2280" i="46"/>
  <c r="O2277" i="46"/>
  <c r="O2265" i="46"/>
  <c r="O2292" i="46"/>
  <c r="O2289" i="46"/>
  <c r="O2276" i="46"/>
  <c r="O2273" i="46"/>
  <c r="O2267" i="46"/>
  <c r="O2282" i="46"/>
  <c r="O2279" i="46"/>
  <c r="O2264" i="46"/>
  <c r="O2283" i="46"/>
  <c r="O2262" i="46"/>
  <c r="O2286" i="46"/>
  <c r="O2270" i="46"/>
  <c r="O1272" i="46"/>
  <c r="O1268" i="46"/>
  <c r="O1264" i="46"/>
  <c r="O1260" i="46"/>
  <c r="O1256" i="46"/>
  <c r="O1252" i="46"/>
  <c r="O1248" i="46"/>
  <c r="O1244" i="46"/>
  <c r="O1240" i="46"/>
  <c r="O1236" i="46"/>
  <c r="O1232" i="46"/>
  <c r="O1228" i="46"/>
  <c r="O1224" i="46"/>
  <c r="O1275" i="46"/>
  <c r="O1271" i="46"/>
  <c r="O1267" i="46"/>
  <c r="O1263" i="46"/>
  <c r="O1259" i="46"/>
  <c r="O1255" i="46"/>
  <c r="O1251" i="46"/>
  <c r="O1247" i="46"/>
  <c r="O1243" i="46"/>
  <c r="O1239" i="46"/>
  <c r="O1235" i="46"/>
  <c r="O1231" i="46"/>
  <c r="O1227" i="46"/>
  <c r="O1223" i="46"/>
  <c r="O1274" i="46"/>
  <c r="O1270" i="46"/>
  <c r="O1266" i="46"/>
  <c r="O1262" i="46"/>
  <c r="O1258" i="46"/>
  <c r="O1254" i="46"/>
  <c r="O1250" i="46"/>
  <c r="O1246" i="46"/>
  <c r="O1242" i="46"/>
  <c r="O1238" i="46"/>
  <c r="O1234" i="46"/>
  <c r="O1230" i="46"/>
  <c r="O1226" i="46"/>
  <c r="O1222" i="46"/>
  <c r="O1273" i="46"/>
  <c r="O1269" i="46"/>
  <c r="O1265" i="46"/>
  <c r="O1261" i="46"/>
  <c r="O1257" i="46"/>
  <c r="O1253" i="46"/>
  <c r="O1249" i="46"/>
  <c r="O1245" i="46"/>
  <c r="O1241" i="46"/>
  <c r="O1237" i="46"/>
  <c r="O1233" i="46"/>
  <c r="O1229" i="46"/>
  <c r="O1225" i="46"/>
  <c r="O776" i="46"/>
  <c r="O772" i="46"/>
  <c r="O768" i="46"/>
  <c r="O764" i="46"/>
  <c r="O760" i="46"/>
  <c r="O754" i="46"/>
  <c r="O751" i="46"/>
  <c r="O749" i="46"/>
  <c r="O747" i="46"/>
  <c r="O745" i="46"/>
  <c r="O743" i="46"/>
  <c r="O741" i="46"/>
  <c r="O739" i="46"/>
  <c r="O737" i="46"/>
  <c r="O735" i="46"/>
  <c r="O733" i="46"/>
  <c r="O731" i="46"/>
  <c r="O729" i="46"/>
  <c r="O727" i="46"/>
  <c r="O725" i="46"/>
  <c r="O775" i="46"/>
  <c r="O771" i="46"/>
  <c r="O767" i="46"/>
  <c r="O763" i="46"/>
  <c r="O759" i="46"/>
  <c r="O756" i="46"/>
  <c r="O753" i="46"/>
  <c r="O774" i="46"/>
  <c r="O770" i="46"/>
  <c r="O766" i="46"/>
  <c r="O762" i="46"/>
  <c r="O777" i="46"/>
  <c r="O773" i="46"/>
  <c r="O769" i="46"/>
  <c r="O765" i="46"/>
  <c r="O761" i="46"/>
  <c r="O752" i="46"/>
  <c r="O757" i="46"/>
  <c r="O740" i="46"/>
  <c r="O724" i="46"/>
  <c r="O750" i="46"/>
  <c r="O734" i="46"/>
  <c r="O755" i="46"/>
  <c r="O744" i="46"/>
  <c r="O728" i="46"/>
  <c r="O738" i="46"/>
  <c r="O742" i="46"/>
  <c r="O748" i="46"/>
  <c r="O732" i="46"/>
  <c r="O758" i="46"/>
  <c r="O736" i="46"/>
  <c r="O726" i="46"/>
  <c r="O746" i="46"/>
  <c r="O730" i="46"/>
  <c r="O663" i="46"/>
  <c r="O661" i="46"/>
  <c r="O659" i="46"/>
  <c r="O657" i="46"/>
  <c r="O655" i="46"/>
  <c r="O660" i="46"/>
  <c r="O664" i="46"/>
  <c r="O658" i="46"/>
  <c r="O662" i="46"/>
  <c r="O656" i="46"/>
  <c r="D135" i="45"/>
  <c r="O461" i="46"/>
  <c r="O458" i="46"/>
  <c r="O464" i="46"/>
  <c r="O457" i="46"/>
  <c r="O463" i="46"/>
  <c r="O460" i="46"/>
  <c r="O459" i="46"/>
  <c r="O456" i="46"/>
  <c r="O465" i="46"/>
  <c r="O462" i="46"/>
  <c r="O1617" i="46"/>
  <c r="O1613" i="46"/>
  <c r="O1609" i="46"/>
  <c r="O1605" i="46"/>
  <c r="O1601" i="46"/>
  <c r="O1597" i="46"/>
  <c r="O1593" i="46"/>
  <c r="O1616" i="46"/>
  <c r="O1612" i="46"/>
  <c r="O1608" i="46"/>
  <c r="O1604" i="46"/>
  <c r="O1600" i="46"/>
  <c r="O1596" i="46"/>
  <c r="O1592" i="46"/>
  <c r="O1618" i="46"/>
  <c r="O1614" i="46"/>
  <c r="O1610" i="46"/>
  <c r="O1606" i="46"/>
  <c r="O1602" i="46"/>
  <c r="O1598" i="46"/>
  <c r="O1594" i="46"/>
  <c r="O1590" i="46"/>
  <c r="O1591" i="46"/>
  <c r="O1603" i="46"/>
  <c r="O1615" i="46"/>
  <c r="O1595" i="46"/>
  <c r="O1607" i="46"/>
  <c r="O1599" i="46"/>
  <c r="O1611" i="46"/>
  <c r="O1619" i="46"/>
  <c r="O3540" i="46"/>
  <c r="O3531" i="46"/>
  <c r="O3524" i="46"/>
  <c r="O3515" i="46"/>
  <c r="O3508" i="46"/>
  <c r="O3535" i="46"/>
  <c r="O3528" i="46"/>
  <c r="O3519" i="46"/>
  <c r="O3512" i="46"/>
  <c r="O3537" i="46"/>
  <c r="O3530" i="46"/>
  <c r="O3521" i="46"/>
  <c r="O3514" i="46"/>
  <c r="O3505" i="46"/>
  <c r="O3539" i="46"/>
  <c r="O3532" i="46"/>
  <c r="O3523" i="46"/>
  <c r="O3516" i="46"/>
  <c r="O3507" i="46"/>
  <c r="O3541" i="46"/>
  <c r="O3534" i="46"/>
  <c r="O3525" i="46"/>
  <c r="O3518" i="46"/>
  <c r="O3509" i="46"/>
  <c r="O3511" i="46"/>
  <c r="O3527" i="46"/>
  <c r="O3510" i="46"/>
  <c r="O3506" i="46"/>
  <c r="O3526" i="46"/>
  <c r="O3522" i="46"/>
  <c r="O3542" i="46"/>
  <c r="O3538" i="46"/>
  <c r="O3513" i="46"/>
  <c r="O3533" i="46"/>
  <c r="O3520" i="46"/>
  <c r="O3536" i="46"/>
  <c r="O3517" i="46"/>
  <c r="O3529" i="46"/>
  <c r="O4317" i="46"/>
  <c r="O4313" i="46"/>
  <c r="O4309" i="46"/>
  <c r="O4316" i="46"/>
  <c r="O4312" i="46"/>
  <c r="O4315" i="46"/>
  <c r="O4311" i="46"/>
  <c r="O4307" i="46"/>
  <c r="O4314" i="46"/>
  <c r="O4310" i="46"/>
  <c r="O4306" i="46"/>
  <c r="O4305" i="46"/>
  <c r="O4301" i="46"/>
  <c r="O4297" i="46"/>
  <c r="O4293" i="46"/>
  <c r="O4289" i="46"/>
  <c r="O4285" i="46"/>
  <c r="O4281" i="46"/>
  <c r="O4277" i="46"/>
  <c r="O4273" i="46"/>
  <c r="O4269" i="46"/>
  <c r="O4265" i="46"/>
  <c r="O4261" i="46"/>
  <c r="O4257" i="46"/>
  <c r="O4304" i="46"/>
  <c r="O4300" i="46"/>
  <c r="O4296" i="46"/>
  <c r="O4292" i="46"/>
  <c r="O4288" i="46"/>
  <c r="O4284" i="46"/>
  <c r="O4280" i="46"/>
  <c r="O4276" i="46"/>
  <c r="O4272" i="46"/>
  <c r="O4268" i="46"/>
  <c r="O4264" i="46"/>
  <c r="O4260" i="46"/>
  <c r="O4256" i="46"/>
  <c r="O4308" i="46"/>
  <c r="O4303" i="46"/>
  <c r="O4299" i="46"/>
  <c r="O4295" i="46"/>
  <c r="O4291" i="46"/>
  <c r="O4287" i="46"/>
  <c r="O4283" i="46"/>
  <c r="O4279" i="46"/>
  <c r="O4275" i="46"/>
  <c r="O4271" i="46"/>
  <c r="O4267" i="46"/>
  <c r="O4263" i="46"/>
  <c r="O4259" i="46"/>
  <c r="O4302" i="46"/>
  <c r="O4298" i="46"/>
  <c r="O4294" i="46"/>
  <c r="O4290" i="46"/>
  <c r="O4286" i="46"/>
  <c r="O4282" i="46"/>
  <c r="O4278" i="46"/>
  <c r="O4274" i="46"/>
  <c r="O4270" i="46"/>
  <c r="O4266" i="46"/>
  <c r="O4262" i="46"/>
  <c r="O4258" i="46"/>
  <c r="O1928" i="46"/>
  <c r="O1926" i="46"/>
  <c r="O1924" i="46"/>
  <c r="O1922" i="46"/>
  <c r="O1920" i="46"/>
  <c r="O1918" i="46"/>
  <c r="O1916" i="46"/>
  <c r="O1914" i="46"/>
  <c r="O1912" i="46"/>
  <c r="O1910" i="46"/>
  <c r="O1908" i="46"/>
  <c r="O1906" i="46"/>
  <c r="O1904" i="46"/>
  <c r="O1902" i="46"/>
  <c r="O1900" i="46"/>
  <c r="O1898" i="46"/>
  <c r="O1896" i="46"/>
  <c r="O1894" i="46"/>
  <c r="O1892" i="46"/>
  <c r="O1890" i="46"/>
  <c r="O1888" i="46"/>
  <c r="O1886" i="46"/>
  <c r="O1884" i="46"/>
  <c r="O1882" i="46"/>
  <c r="O1880" i="46"/>
  <c r="O1878" i="46"/>
  <c r="O1876" i="46"/>
  <c r="O1874" i="46"/>
  <c r="O1872" i="46"/>
  <c r="O1870" i="46"/>
  <c r="O1868" i="46"/>
  <c r="O1927" i="46"/>
  <c r="O1925" i="46"/>
  <c r="O1923" i="46"/>
  <c r="O1921" i="46"/>
  <c r="O1919" i="46"/>
  <c r="O1917" i="46"/>
  <c r="O1915" i="46"/>
  <c r="O1913" i="46"/>
  <c r="O1911" i="46"/>
  <c r="O1909" i="46"/>
  <c r="O1907" i="46"/>
  <c r="O1905" i="46"/>
  <c r="O1903" i="46"/>
  <c r="O1901" i="46"/>
  <c r="O1899" i="46"/>
  <c r="O1897" i="46"/>
  <c r="O1895" i="46"/>
  <c r="O1893" i="46"/>
  <c r="O1891" i="46"/>
  <c r="O1889" i="46"/>
  <c r="O1887" i="46"/>
  <c r="O1885" i="46"/>
  <c r="O1883" i="46"/>
  <c r="O1881" i="46"/>
  <c r="O1879" i="46"/>
  <c r="O1877" i="46"/>
  <c r="O1875" i="46"/>
  <c r="O1873" i="46"/>
  <c r="O1871" i="46"/>
  <c r="O1869" i="46"/>
  <c r="O1867" i="46"/>
  <c r="O1834" i="46"/>
  <c r="O1832" i="46"/>
  <c r="O1830" i="46"/>
  <c r="O1828" i="46"/>
  <c r="O1826" i="46"/>
  <c r="O1824" i="46"/>
  <c r="O1822" i="46"/>
  <c r="O1820" i="46"/>
  <c r="O1818" i="46"/>
  <c r="O1816" i="46"/>
  <c r="O1814" i="46"/>
  <c r="O1835" i="46"/>
  <c r="O1819" i="46"/>
  <c r="O1829" i="46"/>
  <c r="O1813" i="46"/>
  <c r="O1809" i="46"/>
  <c r="O1805" i="46"/>
  <c r="O1823" i="46"/>
  <c r="O1833" i="46"/>
  <c r="O1817" i="46"/>
  <c r="O1812" i="46"/>
  <c r="O1808" i="46"/>
  <c r="O1827" i="46"/>
  <c r="O1831" i="46"/>
  <c r="O1815" i="46"/>
  <c r="O1825" i="46"/>
  <c r="O1810" i="46"/>
  <c r="O1806" i="46"/>
  <c r="O1821" i="46"/>
  <c r="O1807" i="46"/>
  <c r="O1811" i="46"/>
  <c r="O3305" i="46"/>
  <c r="O3301" i="46"/>
  <c r="O3297" i="46"/>
  <c r="O3293" i="46"/>
  <c r="O3289" i="46"/>
  <c r="O3285" i="46"/>
  <c r="O3281" i="46"/>
  <c r="O3277" i="46"/>
  <c r="O3273" i="46"/>
  <c r="O3269" i="46"/>
  <c r="O3265" i="46"/>
  <c r="O3261" i="46"/>
  <c r="O3257" i="46"/>
  <c r="O3253" i="46"/>
  <c r="O3249" i="46"/>
  <c r="O3245" i="46"/>
  <c r="O3304" i="46"/>
  <c r="O3300" i="46"/>
  <c r="O3296" i="46"/>
  <c r="O3292" i="46"/>
  <c r="O3288" i="46"/>
  <c r="O3284" i="46"/>
  <c r="O3280" i="46"/>
  <c r="O3276" i="46"/>
  <c r="O3272" i="46"/>
  <c r="O3268" i="46"/>
  <c r="O3264" i="46"/>
  <c r="O3260" i="46"/>
  <c r="O3256" i="46"/>
  <c r="O3252" i="46"/>
  <c r="O3248" i="46"/>
  <c r="O3306" i="46"/>
  <c r="O3302" i="46"/>
  <c r="O3298" i="46"/>
  <c r="O3294" i="46"/>
  <c r="O3290" i="46"/>
  <c r="O3286" i="46"/>
  <c r="O3282" i="46"/>
  <c r="O3278" i="46"/>
  <c r="O3274" i="46"/>
  <c r="O3270" i="46"/>
  <c r="O3266" i="46"/>
  <c r="O3262" i="46"/>
  <c r="O3258" i="46"/>
  <c r="O3254" i="46"/>
  <c r="O3250" i="46"/>
  <c r="O3246" i="46"/>
  <c r="O3299" i="46"/>
  <c r="O3267" i="46"/>
  <c r="O3279" i="46"/>
  <c r="O3247" i="46"/>
  <c r="O3291" i="46"/>
  <c r="O3259" i="46"/>
  <c r="O3303" i="46"/>
  <c r="O3271" i="46"/>
  <c r="O3283" i="46"/>
  <c r="O3251" i="46"/>
  <c r="O3275" i="46"/>
  <c r="O3287" i="46"/>
  <c r="O3255" i="46"/>
  <c r="O3295" i="46"/>
  <c r="O3263" i="46"/>
  <c r="O653" i="46"/>
  <c r="O651" i="46"/>
  <c r="O649" i="46"/>
  <c r="O647" i="46"/>
  <c r="O645" i="46"/>
  <c r="O643" i="46"/>
  <c r="O641" i="46"/>
  <c r="O639" i="46"/>
  <c r="O637" i="46"/>
  <c r="O635" i="46"/>
  <c r="O633" i="46"/>
  <c r="O631" i="46"/>
  <c r="O629" i="46"/>
  <c r="O627" i="46"/>
  <c r="O625" i="46"/>
  <c r="O623" i="46"/>
  <c r="O621" i="46"/>
  <c r="O619" i="46"/>
  <c r="O617" i="46"/>
  <c r="O615" i="46"/>
  <c r="O613" i="46"/>
  <c r="O611" i="46"/>
  <c r="O609" i="46"/>
  <c r="O607" i="46"/>
  <c r="O605" i="46"/>
  <c r="O603" i="46"/>
  <c r="O644" i="46"/>
  <c r="O628" i="46"/>
  <c r="O612" i="46"/>
  <c r="O654" i="46"/>
  <c r="O638" i="46"/>
  <c r="O622" i="46"/>
  <c r="O606" i="46"/>
  <c r="O648" i="46"/>
  <c r="O632" i="46"/>
  <c r="O616" i="46"/>
  <c r="O646" i="46"/>
  <c r="O642" i="46"/>
  <c r="O626" i="46"/>
  <c r="O610" i="46"/>
  <c r="O614" i="46"/>
  <c r="O652" i="46"/>
  <c r="O636" i="46"/>
  <c r="O620" i="46"/>
  <c r="O604" i="46"/>
  <c r="O640" i="46"/>
  <c r="O624" i="46"/>
  <c r="O608" i="46"/>
  <c r="O630" i="46"/>
  <c r="O650" i="46"/>
  <c r="O634" i="46"/>
  <c r="O618" i="46"/>
  <c r="O3755" i="46"/>
  <c r="O3752" i="46"/>
  <c r="O3739" i="46"/>
  <c r="O3736" i="46"/>
  <c r="O3758" i="46"/>
  <c r="O3745" i="46"/>
  <c r="O3742" i="46"/>
  <c r="O3729" i="46"/>
  <c r="O3751" i="46"/>
  <c r="O3748" i="46"/>
  <c r="O3735" i="46"/>
  <c r="O3732" i="46"/>
  <c r="O3757" i="46"/>
  <c r="O3754" i="46"/>
  <c r="O3741" i="46"/>
  <c r="O3738" i="46"/>
  <c r="O3747" i="46"/>
  <c r="O3744" i="46"/>
  <c r="O3731" i="46"/>
  <c r="O3753" i="46"/>
  <c r="O3750" i="46"/>
  <c r="O3737" i="46"/>
  <c r="O3734" i="46"/>
  <c r="O3759" i="46"/>
  <c r="O3756" i="46"/>
  <c r="O3743" i="46"/>
  <c r="O3740" i="46"/>
  <c r="O3733" i="46"/>
  <c r="O3746" i="46"/>
  <c r="O3730" i="46"/>
  <c r="O3749" i="46"/>
  <c r="O2923" i="46"/>
  <c r="O2919" i="46"/>
  <c r="O2915" i="46"/>
  <c r="O2911" i="46"/>
  <c r="O2907" i="46"/>
  <c r="O2922" i="46"/>
  <c r="O2918" i="46"/>
  <c r="O2914" i="46"/>
  <c r="O2910" i="46"/>
  <c r="O2906" i="46"/>
  <c r="O2902" i="46"/>
  <c r="O2898" i="46"/>
  <c r="O2921" i="46"/>
  <c r="O2917" i="46"/>
  <c r="O2913" i="46"/>
  <c r="O2920" i="46"/>
  <c r="O2916" i="46"/>
  <c r="O2900" i="46"/>
  <c r="O2909" i="46"/>
  <c r="O2904" i="46"/>
  <c r="O2895" i="46"/>
  <c r="O2899" i="46"/>
  <c r="O2908" i="46"/>
  <c r="O2903" i="46"/>
  <c r="O2894" i="46"/>
  <c r="O2901" i="46"/>
  <c r="O2905" i="46"/>
  <c r="O2896" i="46"/>
  <c r="O2912" i="46"/>
  <c r="O2897" i="46"/>
  <c r="O2135" i="46"/>
  <c r="O2122" i="46"/>
  <c r="O2119" i="46"/>
  <c r="O2128" i="46"/>
  <c r="O2125" i="46"/>
  <c r="O2112" i="46"/>
  <c r="O2109" i="46"/>
  <c r="O2134" i="46"/>
  <c r="O2131" i="46"/>
  <c r="O2118" i="46"/>
  <c r="O2115" i="46"/>
  <c r="O2137" i="46"/>
  <c r="O2124" i="46"/>
  <c r="O2121" i="46"/>
  <c r="O2108" i="46"/>
  <c r="O2130" i="46"/>
  <c r="O2127" i="46"/>
  <c r="O2114" i="46"/>
  <c r="O2111" i="46"/>
  <c r="O2126" i="46"/>
  <c r="O2123" i="46"/>
  <c r="O2110" i="46"/>
  <c r="O2107" i="46"/>
  <c r="O2132" i="46"/>
  <c r="O2129" i="46"/>
  <c r="O2116" i="46"/>
  <c r="O2113" i="46"/>
  <c r="O2120" i="46"/>
  <c r="O2133" i="46"/>
  <c r="O2136" i="46"/>
  <c r="O2117" i="46"/>
  <c r="O3067" i="46"/>
  <c r="O3063" i="46"/>
  <c r="O3059" i="46"/>
  <c r="O3055" i="46"/>
  <c r="O3051" i="46"/>
  <c r="O3047" i="46"/>
  <c r="O3043" i="46"/>
  <c r="O3039" i="46"/>
  <c r="O3035" i="46"/>
  <c r="O3031" i="46"/>
  <c r="O3027" i="46"/>
  <c r="O3023" i="46"/>
  <c r="O3019" i="46"/>
  <c r="O3015" i="46"/>
  <c r="O3070" i="46"/>
  <c r="O3066" i="46"/>
  <c r="O3062" i="46"/>
  <c r="O3058" i="46"/>
  <c r="O3054" i="46"/>
  <c r="O3050" i="46"/>
  <c r="O3046" i="46"/>
  <c r="O3042" i="46"/>
  <c r="O3038" i="46"/>
  <c r="O3034" i="46"/>
  <c r="O3030" i="46"/>
  <c r="O3026" i="46"/>
  <c r="O3022" i="46"/>
  <c r="O3018" i="46"/>
  <c r="O3014" i="46"/>
  <c r="O3069" i="46"/>
  <c r="O3065" i="46"/>
  <c r="O3061" i="46"/>
  <c r="O3057" i="46"/>
  <c r="O3053" i="46"/>
  <c r="O3049" i="46"/>
  <c r="O3045" i="46"/>
  <c r="O3041" i="46"/>
  <c r="O3037" i="46"/>
  <c r="O3033" i="46"/>
  <c r="O3029" i="46"/>
  <c r="O3025" i="46"/>
  <c r="O3021" i="46"/>
  <c r="O3017" i="46"/>
  <c r="O3013" i="46"/>
  <c r="O3068" i="46"/>
  <c r="O3064" i="46"/>
  <c r="O3060" i="46"/>
  <c r="O3056" i="46"/>
  <c r="O3052" i="46"/>
  <c r="O3048" i="46"/>
  <c r="O3044" i="46"/>
  <c r="O3040" i="46"/>
  <c r="O3036" i="46"/>
  <c r="O3032" i="46"/>
  <c r="O3028" i="46"/>
  <c r="O3024" i="46"/>
  <c r="O3020" i="46"/>
  <c r="O3016" i="46"/>
  <c r="O2727" i="46"/>
  <c r="O2724" i="46"/>
  <c r="O2711" i="46"/>
  <c r="O2708" i="46"/>
  <c r="O2695" i="46"/>
  <c r="O2692" i="46"/>
  <c r="O2679" i="46"/>
  <c r="O2733" i="46"/>
  <c r="O2730" i="46"/>
  <c r="O2717" i="46"/>
  <c r="O2714" i="46"/>
  <c r="O2701" i="46"/>
  <c r="O2698" i="46"/>
  <c r="O2685" i="46"/>
  <c r="O2682" i="46"/>
  <c r="O2736" i="46"/>
  <c r="O2723" i="46"/>
  <c r="O2720" i="46"/>
  <c r="O2707" i="46"/>
  <c r="O2704" i="46"/>
  <c r="O2691" i="46"/>
  <c r="O2688" i="46"/>
  <c r="O2729" i="46"/>
  <c r="O2726" i="46"/>
  <c r="O2713" i="46"/>
  <c r="O2710" i="46"/>
  <c r="O2697" i="46"/>
  <c r="O2694" i="46"/>
  <c r="O2681" i="46"/>
  <c r="O2678" i="46"/>
  <c r="O2735" i="46"/>
  <c r="O2732" i="46"/>
  <c r="O2719" i="46"/>
  <c r="O2716" i="46"/>
  <c r="O2703" i="46"/>
  <c r="O2700" i="46"/>
  <c r="O2687" i="46"/>
  <c r="O2684" i="46"/>
  <c r="O2731" i="46"/>
  <c r="O2728" i="46"/>
  <c r="O2715" i="46"/>
  <c r="O2712" i="46"/>
  <c r="O2699" i="46"/>
  <c r="O2696" i="46"/>
  <c r="O2683" i="46"/>
  <c r="O2680" i="46"/>
  <c r="O2737" i="46"/>
  <c r="O2734" i="46"/>
  <c r="O2721" i="46"/>
  <c r="O2718" i="46"/>
  <c r="O2705" i="46"/>
  <c r="O2702" i="46"/>
  <c r="O2689" i="46"/>
  <c r="O2686" i="46"/>
  <c r="O2693" i="46"/>
  <c r="O2706" i="46"/>
  <c r="O2725" i="46"/>
  <c r="O2738" i="46"/>
  <c r="O2677" i="46"/>
  <c r="O2709" i="46"/>
  <c r="O2722" i="46"/>
  <c r="O2690" i="46"/>
  <c r="O3723" i="46"/>
  <c r="O3720" i="46"/>
  <c r="O3707" i="46"/>
  <c r="O3704" i="46"/>
  <c r="O3726" i="46"/>
  <c r="O3713" i="46"/>
  <c r="O3710" i="46"/>
  <c r="O3719" i="46"/>
  <c r="O3716" i="46"/>
  <c r="O3703" i="46"/>
  <c r="O3700" i="46"/>
  <c r="O3725" i="46"/>
  <c r="O3722" i="46"/>
  <c r="O3709" i="46"/>
  <c r="O3706" i="46"/>
  <c r="O3728" i="46"/>
  <c r="O3715" i="46"/>
  <c r="O3712" i="46"/>
  <c r="O3699" i="46"/>
  <c r="O3721" i="46"/>
  <c r="O3718" i="46"/>
  <c r="O3705" i="46"/>
  <c r="O3702" i="46"/>
  <c r="O3727" i="46"/>
  <c r="O3724" i="46"/>
  <c r="O3711" i="46"/>
  <c r="O3708" i="46"/>
  <c r="O3698" i="46"/>
  <c r="O3717" i="46"/>
  <c r="O3701" i="46"/>
  <c r="O3714" i="46"/>
  <c r="O533" i="46"/>
  <c r="O531" i="46"/>
  <c r="O529" i="46"/>
  <c r="O527" i="46"/>
  <c r="O525" i="46"/>
  <c r="O523" i="46"/>
  <c r="O521" i="46"/>
  <c r="O519" i="46"/>
  <c r="O517" i="46"/>
  <c r="O515" i="46"/>
  <c r="O513" i="46"/>
  <c r="O511" i="46"/>
  <c r="O509" i="46"/>
  <c r="O507" i="46"/>
  <c r="O505" i="46"/>
  <c r="O503" i="46"/>
  <c r="O501" i="46"/>
  <c r="O499" i="46"/>
  <c r="O497" i="46"/>
  <c r="O532" i="46"/>
  <c r="O516" i="46"/>
  <c r="O500" i="46"/>
  <c r="O495" i="46"/>
  <c r="O491" i="46"/>
  <c r="O487" i="46"/>
  <c r="O484" i="46"/>
  <c r="O526" i="46"/>
  <c r="O510" i="46"/>
  <c r="O518" i="46"/>
  <c r="O520" i="46"/>
  <c r="O504" i="46"/>
  <c r="O494" i="46"/>
  <c r="O490" i="46"/>
  <c r="O483" i="46"/>
  <c r="O530" i="46"/>
  <c r="O514" i="46"/>
  <c r="O498" i="46"/>
  <c r="O486" i="46"/>
  <c r="O534" i="46"/>
  <c r="O485" i="46"/>
  <c r="O524" i="46"/>
  <c r="O508" i="46"/>
  <c r="O493" i="46"/>
  <c r="O489" i="46"/>
  <c r="O482" i="46"/>
  <c r="O528" i="46"/>
  <c r="O512" i="46"/>
  <c r="O496" i="46"/>
  <c r="O492" i="46"/>
  <c r="O488" i="46"/>
  <c r="O522" i="46"/>
  <c r="O506" i="46"/>
  <c r="O481" i="46"/>
  <c r="O502" i="46"/>
  <c r="O4184" i="46"/>
  <c r="O4181" i="46"/>
  <c r="O4190" i="46"/>
  <c r="O4187" i="46"/>
  <c r="O4174" i="46"/>
  <c r="O4171" i="46"/>
  <c r="O4158" i="46"/>
  <c r="O4155" i="46"/>
  <c r="O4142" i="46"/>
  <c r="O4139" i="46"/>
  <c r="O4193" i="46"/>
  <c r="O4186" i="46"/>
  <c r="O4183" i="46"/>
  <c r="O4170" i="46"/>
  <c r="O4167" i="46"/>
  <c r="O4154" i="46"/>
  <c r="O4151" i="46"/>
  <c r="O4138" i="46"/>
  <c r="O4135" i="46"/>
  <c r="O4188" i="46"/>
  <c r="O4191" i="46"/>
  <c r="O4178" i="46"/>
  <c r="O4175" i="46"/>
  <c r="O4162" i="46"/>
  <c r="O4159" i="46"/>
  <c r="O4146" i="46"/>
  <c r="O4143" i="46"/>
  <c r="O4192" i="46"/>
  <c r="O4169" i="46"/>
  <c r="O4165" i="46"/>
  <c r="O4161" i="46"/>
  <c r="O4157" i="46"/>
  <c r="O4136" i="46"/>
  <c r="O4132" i="46"/>
  <c r="O4177" i="46"/>
  <c r="O4173" i="46"/>
  <c r="O4152" i="46"/>
  <c r="O4148" i="46"/>
  <c r="O4144" i="46"/>
  <c r="O4140" i="46"/>
  <c r="O4168" i="46"/>
  <c r="O4164" i="46"/>
  <c r="O4160" i="46"/>
  <c r="O4156" i="46"/>
  <c r="O4185" i="46"/>
  <c r="O4180" i="46"/>
  <c r="O4176" i="46"/>
  <c r="O4172" i="46"/>
  <c r="O4147" i="46"/>
  <c r="O4134" i="46"/>
  <c r="O4163" i="46"/>
  <c r="O4150" i="46"/>
  <c r="O4137" i="46"/>
  <c r="O4133" i="46"/>
  <c r="O4182" i="46"/>
  <c r="O4153" i="46"/>
  <c r="O4149" i="46"/>
  <c r="O4145" i="46"/>
  <c r="O4141" i="46"/>
  <c r="O4189" i="46"/>
  <c r="O4166" i="46"/>
  <c r="O4179" i="46"/>
  <c r="O2394" i="46"/>
  <c r="O2390" i="46"/>
  <c r="O2386" i="46"/>
  <c r="O2393" i="46"/>
  <c r="O2389" i="46"/>
  <c r="O2392" i="46"/>
  <c r="O2388" i="46"/>
  <c r="O2395" i="46"/>
  <c r="O2391" i="46"/>
  <c r="O2387" i="46"/>
  <c r="O2261" i="46"/>
  <c r="O2253" i="46"/>
  <c r="O2258" i="46"/>
  <c r="O2255" i="46"/>
  <c r="O2250" i="46"/>
  <c r="O2248" i="46"/>
  <c r="O2246" i="46"/>
  <c r="O2260" i="46"/>
  <c r="O2252" i="46"/>
  <c r="O2257" i="46"/>
  <c r="O2259" i="46"/>
  <c r="O2251" i="46"/>
  <c r="O2249" i="46"/>
  <c r="O2247" i="46"/>
  <c r="O2245" i="46"/>
  <c r="O2243" i="46"/>
  <c r="O2241" i="46"/>
  <c r="O2239" i="46"/>
  <c r="O2256" i="46"/>
  <c r="O2234" i="46"/>
  <c r="O2231" i="46"/>
  <c r="O2237" i="46"/>
  <c r="O2244" i="46"/>
  <c r="O2240" i="46"/>
  <c r="O2254" i="46"/>
  <c r="O2236" i="46"/>
  <c r="O2233" i="46"/>
  <c r="O2242" i="46"/>
  <c r="O2238" i="46"/>
  <c r="O2235" i="46"/>
  <c r="O2232" i="46"/>
  <c r="O3325" i="46"/>
  <c r="O3321" i="46"/>
  <c r="O3317" i="46"/>
  <c r="O3324" i="46"/>
  <c r="O3320" i="46"/>
  <c r="O3326" i="46"/>
  <c r="O3322" i="46"/>
  <c r="O3318" i="46"/>
  <c r="O3323" i="46"/>
  <c r="O3319" i="46"/>
  <c r="O1435" i="46"/>
  <c r="O1382" i="46"/>
  <c r="O1383" i="46"/>
  <c r="O1380" i="46"/>
  <c r="O1376" i="46"/>
  <c r="O1431" i="46"/>
  <c r="O1427" i="46"/>
  <c r="O1423" i="46"/>
  <c r="O1419" i="46"/>
  <c r="O1415" i="46"/>
  <c r="O1411" i="46"/>
  <c r="O1407" i="46"/>
  <c r="O1403" i="46"/>
  <c r="O1399" i="46"/>
  <c r="O1395" i="46"/>
  <c r="O1391" i="46"/>
  <c r="O1387" i="46"/>
  <c r="O1379" i="46"/>
  <c r="O1375" i="46"/>
  <c r="O1434" i="46"/>
  <c r="O1430" i="46"/>
  <c r="O1426" i="46"/>
  <c r="O1422" i="46"/>
  <c r="O1418" i="46"/>
  <c r="O1414" i="46"/>
  <c r="O1410" i="46"/>
  <c r="O1406" i="46"/>
  <c r="O1402" i="46"/>
  <c r="O1398" i="46"/>
  <c r="O1394" i="46"/>
  <c r="O1390" i="46"/>
  <c r="O1386" i="46"/>
  <c r="O1378" i="46"/>
  <c r="O1374" i="46"/>
  <c r="O1381" i="46"/>
  <c r="O1377" i="46"/>
  <c r="O1432" i="46"/>
  <c r="O1428" i="46"/>
  <c r="O1424" i="46"/>
  <c r="O1420" i="46"/>
  <c r="O1416" i="46"/>
  <c r="O1412" i="46"/>
  <c r="O1408" i="46"/>
  <c r="O1404" i="46"/>
  <c r="O1400" i="46"/>
  <c r="O1396" i="46"/>
  <c r="O1392" i="46"/>
  <c r="O1388" i="46"/>
  <c r="O1384" i="46"/>
  <c r="O1425" i="46"/>
  <c r="O1393" i="46"/>
  <c r="O1405" i="46"/>
  <c r="O1389" i="46"/>
  <c r="O1417" i="46"/>
  <c r="O1385" i="46"/>
  <c r="O1429" i="46"/>
  <c r="O1397" i="46"/>
  <c r="O1421" i="46"/>
  <c r="O1409" i="46"/>
  <c r="O1433" i="46"/>
  <c r="O1401" i="46"/>
  <c r="O1413" i="46"/>
  <c r="O2825" i="46"/>
  <c r="O2817" i="46"/>
  <c r="O2809" i="46"/>
  <c r="O2801" i="46"/>
  <c r="O2793" i="46"/>
  <c r="O2785" i="46"/>
  <c r="O2827" i="46"/>
  <c r="O2819" i="46"/>
  <c r="O2811" i="46"/>
  <c r="O2803" i="46"/>
  <c r="O2795" i="46"/>
  <c r="O2787" i="46"/>
  <c r="O2777" i="46"/>
  <c r="O2831" i="46"/>
  <c r="O2823" i="46"/>
  <c r="O2815" i="46"/>
  <c r="O2807" i="46"/>
  <c r="O2799" i="46"/>
  <c r="O2791" i="46"/>
  <c r="O2783" i="46"/>
  <c r="O2778" i="46"/>
  <c r="O2828" i="46"/>
  <c r="O2821" i="46"/>
  <c r="O2796" i="46"/>
  <c r="O2789" i="46"/>
  <c r="O2775" i="46"/>
  <c r="O2772" i="46"/>
  <c r="O2824" i="46"/>
  <c r="O2810" i="46"/>
  <c r="O2806" i="46"/>
  <c r="O2792" i="46"/>
  <c r="O2820" i="46"/>
  <c r="O2813" i="46"/>
  <c r="O2788" i="46"/>
  <c r="O2781" i="46"/>
  <c r="O2771" i="46"/>
  <c r="O2830" i="46"/>
  <c r="O2816" i="46"/>
  <c r="O2802" i="46"/>
  <c r="O2798" i="46"/>
  <c r="O2784" i="46"/>
  <c r="O2774" i="46"/>
  <c r="O2812" i="46"/>
  <c r="O2805" i="46"/>
  <c r="O2780" i="46"/>
  <c r="O2829" i="46"/>
  <c r="O2804" i="46"/>
  <c r="O2797" i="46"/>
  <c r="O2779" i="46"/>
  <c r="O2776" i="46"/>
  <c r="O2818" i="46"/>
  <c r="O2814" i="46"/>
  <c r="O2800" i="46"/>
  <c r="O2786" i="46"/>
  <c r="O2782" i="46"/>
  <c r="O2822" i="46"/>
  <c r="O2808" i="46"/>
  <c r="O2794" i="46"/>
  <c r="O2773" i="46"/>
  <c r="O2826" i="46"/>
  <c r="O2790" i="46"/>
  <c r="O2770" i="46"/>
  <c r="O1978" i="46"/>
  <c r="O1975" i="46"/>
  <c r="O1962" i="46"/>
  <c r="O1984" i="46"/>
  <c r="O1981" i="46"/>
  <c r="O1968" i="46"/>
  <c r="O1965" i="46"/>
  <c r="O1990" i="46"/>
  <c r="O1987" i="46"/>
  <c r="O1974" i="46"/>
  <c r="O1971" i="46"/>
  <c r="O1980" i="46"/>
  <c r="O1977" i="46"/>
  <c r="O1964" i="46"/>
  <c r="O1961" i="46"/>
  <c r="O1986" i="46"/>
  <c r="O1983" i="46"/>
  <c r="O1970" i="46"/>
  <c r="O1967" i="46"/>
  <c r="O1982" i="46"/>
  <c r="O1979" i="46"/>
  <c r="O1966" i="46"/>
  <c r="O1963" i="46"/>
  <c r="O1988" i="46"/>
  <c r="O1985" i="46"/>
  <c r="O1972" i="46"/>
  <c r="O1969" i="46"/>
  <c r="O1973" i="46"/>
  <c r="O1976" i="46"/>
  <c r="O1960" i="46"/>
  <c r="O1989" i="46"/>
  <c r="O924" i="46"/>
  <c r="O920" i="46"/>
  <c r="O916" i="46"/>
  <c r="O912" i="46"/>
  <c r="O908" i="46"/>
  <c r="O904" i="46"/>
  <c r="O900" i="46"/>
  <c r="O923" i="46"/>
  <c r="O919" i="46"/>
  <c r="O915" i="46"/>
  <c r="O911" i="46"/>
  <c r="O907" i="46"/>
  <c r="O903" i="46"/>
  <c r="O899" i="46"/>
  <c r="O926" i="46"/>
  <c r="O922" i="46"/>
  <c r="O918" i="46"/>
  <c r="O914" i="46"/>
  <c r="O910" i="46"/>
  <c r="O906" i="46"/>
  <c r="O902" i="46"/>
  <c r="O925" i="46"/>
  <c r="O921" i="46"/>
  <c r="O917" i="46"/>
  <c r="O913" i="46"/>
  <c r="O909" i="46"/>
  <c r="O905" i="46"/>
  <c r="O901" i="46"/>
  <c r="O601" i="46"/>
  <c r="O599" i="46"/>
  <c r="O597" i="46"/>
  <c r="O595" i="46"/>
  <c r="O593" i="46"/>
  <c r="O596" i="46"/>
  <c r="O600" i="46"/>
  <c r="O594" i="46"/>
  <c r="O598" i="46"/>
  <c r="O602" i="46"/>
  <c r="O3635" i="46"/>
  <c r="O3633" i="46"/>
  <c r="O3631" i="46"/>
  <c r="O3629" i="46"/>
  <c r="O3627" i="46"/>
  <c r="O3625" i="46"/>
  <c r="O3623" i="46"/>
  <c r="O3621" i="46"/>
  <c r="O3619" i="46"/>
  <c r="O3617" i="46"/>
  <c r="O3615" i="46"/>
  <c r="O3613" i="46"/>
  <c r="O3611" i="46"/>
  <c r="O3609" i="46"/>
  <c r="O3607" i="46"/>
  <c r="O3605" i="46"/>
  <c r="O3634" i="46"/>
  <c r="O3632" i="46"/>
  <c r="O3630" i="46"/>
  <c r="O3628" i="46"/>
  <c r="O3626" i="46"/>
  <c r="O3624" i="46"/>
  <c r="O3622" i="46"/>
  <c r="O3620" i="46"/>
  <c r="O3618" i="46"/>
  <c r="O3616" i="46"/>
  <c r="O3614" i="46"/>
  <c r="O3612" i="46"/>
  <c r="O3610" i="46"/>
  <c r="O3608" i="46"/>
  <c r="O3606" i="46"/>
  <c r="O2218" i="46"/>
  <c r="O2215" i="46"/>
  <c r="O2202" i="46"/>
  <c r="O2224" i="46"/>
  <c r="O2221" i="46"/>
  <c r="O2208" i="46"/>
  <c r="O2205" i="46"/>
  <c r="O2230" i="46"/>
  <c r="O2227" i="46"/>
  <c r="O2214" i="46"/>
  <c r="O2211" i="46"/>
  <c r="O2220" i="46"/>
  <c r="O2217" i="46"/>
  <c r="O2204" i="46"/>
  <c r="O2201" i="46"/>
  <c r="O2226" i="46"/>
  <c r="O2223" i="46"/>
  <c r="O2210" i="46"/>
  <c r="O2207" i="46"/>
  <c r="O2222" i="46"/>
  <c r="O2219" i="46"/>
  <c r="O2206" i="46"/>
  <c r="O2203" i="46"/>
  <c r="O2228" i="46"/>
  <c r="O2225" i="46"/>
  <c r="O2212" i="46"/>
  <c r="O2209" i="46"/>
  <c r="O2229" i="46"/>
  <c r="O2200" i="46"/>
  <c r="O2213" i="46"/>
  <c r="O2216" i="46"/>
  <c r="O1465" i="46"/>
  <c r="O1461" i="46"/>
  <c r="O1457" i="46"/>
  <c r="O1453" i="46"/>
  <c r="O1449" i="46"/>
  <c r="O1446" i="46"/>
  <c r="O1443" i="46"/>
  <c r="O1438" i="46"/>
  <c r="O1464" i="46"/>
  <c r="O1460" i="46"/>
  <c r="O1456" i="46"/>
  <c r="O1452" i="46"/>
  <c r="O1462" i="46"/>
  <c r="O1458" i="46"/>
  <c r="O1454" i="46"/>
  <c r="O1450" i="46"/>
  <c r="O1463" i="46"/>
  <c r="O1445" i="46"/>
  <c r="O1436" i="46"/>
  <c r="O1440" i="46"/>
  <c r="O1455" i="46"/>
  <c r="O1444" i="46"/>
  <c r="O1448" i="46"/>
  <c r="O1439" i="46"/>
  <c r="O1437" i="46"/>
  <c r="O1451" i="46"/>
  <c r="O1441" i="46"/>
  <c r="O1459" i="46"/>
  <c r="O1442" i="46"/>
  <c r="O1447" i="46"/>
  <c r="O2382" i="46"/>
  <c r="O2378" i="46"/>
  <c r="O2374" i="46"/>
  <c r="O2370" i="46"/>
  <c r="O2366" i="46"/>
  <c r="O2362" i="46"/>
  <c r="O2358" i="46"/>
  <c r="O2385" i="46"/>
  <c r="O2381" i="46"/>
  <c r="O2377" i="46"/>
  <c r="O2373" i="46"/>
  <c r="O2369" i="46"/>
  <c r="O2365" i="46"/>
  <c r="O2361" i="46"/>
  <c r="O2357" i="46"/>
  <c r="O2384" i="46"/>
  <c r="O2380" i="46"/>
  <c r="O2376" i="46"/>
  <c r="O2372" i="46"/>
  <c r="O2368" i="46"/>
  <c r="O2364" i="46"/>
  <c r="O2360" i="46"/>
  <c r="O2356" i="46"/>
  <c r="O2383" i="46"/>
  <c r="O2379" i="46"/>
  <c r="O2375" i="46"/>
  <c r="O2371" i="46"/>
  <c r="O2367" i="46"/>
  <c r="O2363" i="46"/>
  <c r="O2359" i="46"/>
  <c r="O2355" i="46"/>
  <c r="O3391" i="46"/>
  <c r="O3389" i="46"/>
  <c r="O3387" i="46"/>
  <c r="O3385" i="46"/>
  <c r="O3383" i="46"/>
  <c r="O3392" i="46"/>
  <c r="O3390" i="46"/>
  <c r="O3388" i="46"/>
  <c r="O3386" i="46"/>
  <c r="O3384" i="46"/>
  <c r="O468" i="46"/>
  <c r="O467" i="46"/>
  <c r="O466" i="46"/>
  <c r="O470" i="46"/>
  <c r="O469" i="46"/>
  <c r="O4054" i="46"/>
  <c r="O4047" i="46"/>
  <c r="O4026" i="46"/>
  <c r="O4013" i="46"/>
  <c r="O4010" i="46"/>
  <c r="O4068" i="46"/>
  <c r="O4064" i="46"/>
  <c r="O4061" i="46"/>
  <c r="O4057" i="46"/>
  <c r="O4050" i="46"/>
  <c r="O4043" i="46"/>
  <c r="O4036" i="46"/>
  <c r="O4032" i="46"/>
  <c r="O4029" i="46"/>
  <c r="O4019" i="46"/>
  <c r="O4016" i="46"/>
  <c r="O4046" i="46"/>
  <c r="O4039" i="46"/>
  <c r="O4025" i="46"/>
  <c r="O4022" i="46"/>
  <c r="O4009" i="46"/>
  <c r="O4067" i="46"/>
  <c r="O4060" i="46"/>
  <c r="O4056" i="46"/>
  <c r="O4053" i="46"/>
  <c r="O4049" i="46"/>
  <c r="O4042" i="46"/>
  <c r="O4035" i="46"/>
  <c r="O4028" i="46"/>
  <c r="O4015" i="46"/>
  <c r="O4012" i="46"/>
  <c r="O4063" i="46"/>
  <c r="O4038" i="46"/>
  <c r="O4031" i="46"/>
  <c r="O4021" i="46"/>
  <c r="O4018" i="46"/>
  <c r="O4062" i="46"/>
  <c r="O4055" i="46"/>
  <c r="O4030" i="46"/>
  <c r="O4017" i="46"/>
  <c r="O4014" i="46"/>
  <c r="O4069" i="46"/>
  <c r="O4065" i="46"/>
  <c r="O4058" i="46"/>
  <c r="O4051" i="46"/>
  <c r="O4044" i="46"/>
  <c r="O4040" i="46"/>
  <c r="O4037" i="46"/>
  <c r="O4033" i="46"/>
  <c r="O4023" i="46"/>
  <c r="O4020" i="46"/>
  <c r="O4048" i="46"/>
  <c r="O4008" i="46"/>
  <c r="O4041" i="46"/>
  <c r="O4034" i="46"/>
  <c r="O4027" i="46"/>
  <c r="O4066" i="46"/>
  <c r="O4059" i="46"/>
  <c r="O4052" i="46"/>
  <c r="O4045" i="46"/>
  <c r="O4011" i="46"/>
  <c r="O4024" i="46"/>
  <c r="O796" i="46"/>
  <c r="O792" i="46"/>
  <c r="O788" i="46"/>
  <c r="O784" i="46"/>
  <c r="O780" i="46"/>
  <c r="O795" i="46"/>
  <c r="O791" i="46"/>
  <c r="O787" i="46"/>
  <c r="O783" i="46"/>
  <c r="O779" i="46"/>
  <c r="O794" i="46"/>
  <c r="O790" i="46"/>
  <c r="O786" i="46"/>
  <c r="O782" i="46"/>
  <c r="O778" i="46"/>
  <c r="O797" i="46"/>
  <c r="O793" i="46"/>
  <c r="O789" i="46"/>
  <c r="O785" i="46"/>
  <c r="O781" i="46"/>
  <c r="O1052" i="46"/>
  <c r="O1048" i="46"/>
  <c r="O1055" i="46"/>
  <c r="O1051" i="46"/>
  <c r="O1047" i="46"/>
  <c r="O1054" i="46"/>
  <c r="O1050" i="46"/>
  <c r="O1046" i="46"/>
  <c r="O1053" i="46"/>
  <c r="O1049" i="46"/>
  <c r="O1372" i="46"/>
  <c r="O1368" i="46"/>
  <c r="O1364" i="46"/>
  <c r="O1360" i="46"/>
  <c r="O1356" i="46"/>
  <c r="O1352" i="46"/>
  <c r="O1348" i="46"/>
  <c r="O1344" i="46"/>
  <c r="O1340" i="46"/>
  <c r="O1371" i="46"/>
  <c r="O1367" i="46"/>
  <c r="O1363" i="46"/>
  <c r="O1359" i="46"/>
  <c r="O1355" i="46"/>
  <c r="O1351" i="46"/>
  <c r="O1347" i="46"/>
  <c r="O1343" i="46"/>
  <c r="O1339" i="46"/>
  <c r="O1370" i="46"/>
  <c r="O1366" i="46"/>
  <c r="O1362" i="46"/>
  <c r="O1358" i="46"/>
  <c r="O1354" i="46"/>
  <c r="O1350" i="46"/>
  <c r="O1346" i="46"/>
  <c r="O1342" i="46"/>
  <c r="O1338" i="46"/>
  <c r="O1373" i="46"/>
  <c r="O1369" i="46"/>
  <c r="O1365" i="46"/>
  <c r="O1361" i="46"/>
  <c r="O1357" i="46"/>
  <c r="O1353" i="46"/>
  <c r="O1349" i="46"/>
  <c r="O1345" i="46"/>
  <c r="O1341" i="46"/>
  <c r="O2583" i="46"/>
  <c r="O2580" i="46"/>
  <c r="O2567" i="46"/>
  <c r="O2564" i="46"/>
  <c r="O2573" i="46"/>
  <c r="O2570" i="46"/>
  <c r="O2557" i="46"/>
  <c r="O2554" i="46"/>
  <c r="O2579" i="46"/>
  <c r="O2576" i="46"/>
  <c r="O2563" i="46"/>
  <c r="O2560" i="46"/>
  <c r="O2582" i="46"/>
  <c r="O2569" i="46"/>
  <c r="O2566" i="46"/>
  <c r="O2553" i="46"/>
  <c r="O2575" i="46"/>
  <c r="O2572" i="46"/>
  <c r="O2559" i="46"/>
  <c r="O2556" i="46"/>
  <c r="O2571" i="46"/>
  <c r="O2568" i="46"/>
  <c r="O2555" i="46"/>
  <c r="O2577" i="46"/>
  <c r="O2574" i="46"/>
  <c r="O2561" i="46"/>
  <c r="O2558" i="46"/>
  <c r="O2565" i="46"/>
  <c r="O2578" i="46"/>
  <c r="O2581" i="46"/>
  <c r="O2562" i="46"/>
  <c r="O3603" i="46"/>
  <c r="O3601" i="46"/>
  <c r="O3599" i="46"/>
  <c r="O3597" i="46"/>
  <c r="O3595" i="46"/>
  <c r="O3593" i="46"/>
  <c r="O3591" i="46"/>
  <c r="O3589" i="46"/>
  <c r="O3587" i="46"/>
  <c r="O3585" i="46"/>
  <c r="O3604" i="46"/>
  <c r="O3602" i="46"/>
  <c r="O3600" i="46"/>
  <c r="O3598" i="46"/>
  <c r="O3596" i="46"/>
  <c r="O3594" i="46"/>
  <c r="O3592" i="46"/>
  <c r="O3590" i="46"/>
  <c r="O3577" i="46"/>
  <c r="O3570" i="46"/>
  <c r="O3586" i="46"/>
  <c r="O3579" i="46"/>
  <c r="O3572" i="46"/>
  <c r="O3563" i="46"/>
  <c r="O3556" i="46"/>
  <c r="O3547" i="46"/>
  <c r="O3588" i="46"/>
  <c r="O3583" i="46"/>
  <c r="O3576" i="46"/>
  <c r="O3567" i="46"/>
  <c r="O3560" i="46"/>
  <c r="O3551" i="46"/>
  <c r="O3544" i="46"/>
  <c r="O3578" i="46"/>
  <c r="O3569" i="46"/>
  <c r="O3562" i="46"/>
  <c r="O3553" i="46"/>
  <c r="O3546" i="46"/>
  <c r="O3580" i="46"/>
  <c r="O3571" i="46"/>
  <c r="O3564" i="46"/>
  <c r="O3555" i="46"/>
  <c r="O3548" i="46"/>
  <c r="O3582" i="46"/>
  <c r="O3573" i="46"/>
  <c r="O3566" i="46"/>
  <c r="O3557" i="46"/>
  <c r="O3550" i="46"/>
  <c r="O3574" i="46"/>
  <c r="O3565" i="46"/>
  <c r="O3552" i="46"/>
  <c r="O3568" i="46"/>
  <c r="O3543" i="46"/>
  <c r="O3559" i="46"/>
  <c r="O3575" i="46"/>
  <c r="O3545" i="46"/>
  <c r="O3584" i="46"/>
  <c r="O3561" i="46"/>
  <c r="O3549" i="46"/>
  <c r="O3554" i="46"/>
  <c r="O3581" i="46"/>
  <c r="O3558" i="46"/>
  <c r="O2074" i="46"/>
  <c r="O2071" i="46"/>
  <c r="O2058" i="46"/>
  <c r="O2055" i="46"/>
  <c r="O2042" i="46"/>
  <c r="O2039" i="46"/>
  <c r="O2026" i="46"/>
  <c r="O2023" i="46"/>
  <c r="O2064" i="46"/>
  <c r="O2061" i="46"/>
  <c r="O2048" i="46"/>
  <c r="O2045" i="46"/>
  <c r="O2032" i="46"/>
  <c r="O2029" i="46"/>
  <c r="O2070" i="46"/>
  <c r="O2067" i="46"/>
  <c r="O2054" i="46"/>
  <c r="O2051" i="46"/>
  <c r="O2038" i="46"/>
  <c r="O2035" i="46"/>
  <c r="O2022" i="46"/>
  <c r="O2073" i="46"/>
  <c r="O2060" i="46"/>
  <c r="O2057" i="46"/>
  <c r="O2044" i="46"/>
  <c r="O2041" i="46"/>
  <c r="O2028" i="46"/>
  <c r="O2025" i="46"/>
  <c r="O2066" i="46"/>
  <c r="O2063" i="46"/>
  <c r="O2050" i="46"/>
  <c r="O2047" i="46"/>
  <c r="O2034" i="46"/>
  <c r="O2031" i="46"/>
  <c r="O2075" i="46"/>
  <c r="O2062" i="46"/>
  <c r="O2059" i="46"/>
  <c r="O2046" i="46"/>
  <c r="O2043" i="46"/>
  <c r="O2030" i="46"/>
  <c r="O2027" i="46"/>
  <c r="O2068" i="46"/>
  <c r="O2065" i="46"/>
  <c r="O2052" i="46"/>
  <c r="O2049" i="46"/>
  <c r="O2036" i="46"/>
  <c r="O2033" i="46"/>
  <c r="O2040" i="46"/>
  <c r="O2053" i="46"/>
  <c r="O2072" i="46"/>
  <c r="O2024" i="46"/>
  <c r="O2037" i="46"/>
  <c r="O2069" i="46"/>
  <c r="O2056" i="46"/>
  <c r="O1801" i="46"/>
  <c r="O1797" i="46"/>
  <c r="O1793" i="46"/>
  <c r="O1789" i="46"/>
  <c r="O1785" i="46"/>
  <c r="O1781" i="46"/>
  <c r="O1777" i="46"/>
  <c r="O1773" i="46"/>
  <c r="O1769" i="46"/>
  <c r="O1765" i="46"/>
  <c r="O1761" i="46"/>
  <c r="O1757" i="46"/>
  <c r="O1753" i="46"/>
  <c r="O1749" i="46"/>
  <c r="O1745" i="46"/>
  <c r="O1804" i="46"/>
  <c r="O1800" i="46"/>
  <c r="O1796" i="46"/>
  <c r="O1792" i="46"/>
  <c r="O1788" i="46"/>
  <c r="O1784" i="46"/>
  <c r="O1780" i="46"/>
  <c r="O1776" i="46"/>
  <c r="O1772" i="46"/>
  <c r="O1768" i="46"/>
  <c r="O1764" i="46"/>
  <c r="O1760" i="46"/>
  <c r="O1756" i="46"/>
  <c r="O1752" i="46"/>
  <c r="O1748" i="46"/>
  <c r="O1744" i="46"/>
  <c r="O1802" i="46"/>
  <c r="O1798" i="46"/>
  <c r="O1794" i="46"/>
  <c r="O1790" i="46"/>
  <c r="O1786" i="46"/>
  <c r="O1782" i="46"/>
  <c r="O1778" i="46"/>
  <c r="O1774" i="46"/>
  <c r="O1770" i="46"/>
  <c r="O1766" i="46"/>
  <c r="O1762" i="46"/>
  <c r="O1758" i="46"/>
  <c r="O1754" i="46"/>
  <c r="O1750" i="46"/>
  <c r="O1746" i="46"/>
  <c r="O1783" i="46"/>
  <c r="O1751" i="46"/>
  <c r="O1795" i="46"/>
  <c r="O1763" i="46"/>
  <c r="O1775" i="46"/>
  <c r="O1743" i="46"/>
  <c r="O1787" i="46"/>
  <c r="O1755" i="46"/>
  <c r="O1799" i="46"/>
  <c r="O1767" i="46"/>
  <c r="O1791" i="46"/>
  <c r="O1759" i="46"/>
  <c r="O1803" i="46"/>
  <c r="O1771" i="46"/>
  <c r="O1747" i="46"/>
  <c r="O1779" i="46"/>
  <c r="O1336" i="46"/>
  <c r="O1332" i="46"/>
  <c r="O1328" i="46"/>
  <c r="O1324" i="46"/>
  <c r="O1320" i="46"/>
  <c r="O1316" i="46"/>
  <c r="O1312" i="46"/>
  <c r="O1308" i="46"/>
  <c r="O1304" i="46"/>
  <c r="O1300" i="46"/>
  <c r="O1296" i="46"/>
  <c r="O1292" i="46"/>
  <c r="O1288" i="46"/>
  <c r="O1284" i="46"/>
  <c r="O1280" i="46"/>
  <c r="O1276" i="46"/>
  <c r="O1335" i="46"/>
  <c r="O1331" i="46"/>
  <c r="O1327" i="46"/>
  <c r="O1323" i="46"/>
  <c r="O1319" i="46"/>
  <c r="O1315" i="46"/>
  <c r="O1311" i="46"/>
  <c r="O1307" i="46"/>
  <c r="O1303" i="46"/>
  <c r="O1299" i="46"/>
  <c r="O1295" i="46"/>
  <c r="O1291" i="46"/>
  <c r="O1287" i="46"/>
  <c r="O1283" i="46"/>
  <c r="O1279" i="46"/>
  <c r="O1334" i="46"/>
  <c r="O1330" i="46"/>
  <c r="O1326" i="46"/>
  <c r="O1322" i="46"/>
  <c r="O1318" i="46"/>
  <c r="O1314" i="46"/>
  <c r="O1310" i="46"/>
  <c r="O1306" i="46"/>
  <c r="O1302" i="46"/>
  <c r="O1298" i="46"/>
  <c r="O1294" i="46"/>
  <c r="O1290" i="46"/>
  <c r="O1286" i="46"/>
  <c r="O1282" i="46"/>
  <c r="O1278" i="46"/>
  <c r="O1337" i="46"/>
  <c r="O1333" i="46"/>
  <c r="O1329" i="46"/>
  <c r="O1325" i="46"/>
  <c r="O1321" i="46"/>
  <c r="O1317" i="46"/>
  <c r="O1313" i="46"/>
  <c r="O1309" i="46"/>
  <c r="O1305" i="46"/>
  <c r="O1301" i="46"/>
  <c r="O1297" i="46"/>
  <c r="O1293" i="46"/>
  <c r="O1289" i="46"/>
  <c r="O1285" i="46"/>
  <c r="O1281" i="46"/>
  <c r="O1277" i="46"/>
  <c r="D138" i="45"/>
  <c r="O3997" i="46"/>
  <c r="O3994" i="46"/>
  <c r="O3981" i="46"/>
  <c r="O3978" i="46"/>
  <c r="O3965" i="46"/>
  <c r="O3962" i="46"/>
  <c r="O3949" i="46"/>
  <c r="O3946" i="46"/>
  <c r="O4003" i="46"/>
  <c r="O4000" i="46"/>
  <c r="O3987" i="46"/>
  <c r="O3984" i="46"/>
  <c r="O3971" i="46"/>
  <c r="O3968" i="46"/>
  <c r="O3955" i="46"/>
  <c r="O3952" i="46"/>
  <c r="O4006" i="46"/>
  <c r="O3993" i="46"/>
  <c r="O3990" i="46"/>
  <c r="O3977" i="46"/>
  <c r="O3974" i="46"/>
  <c r="O3961" i="46"/>
  <c r="O3958" i="46"/>
  <c r="O3999" i="46"/>
  <c r="O3996" i="46"/>
  <c r="O3983" i="46"/>
  <c r="O3980" i="46"/>
  <c r="O3967" i="46"/>
  <c r="O3964" i="46"/>
  <c r="O3951" i="46"/>
  <c r="O3948" i="46"/>
  <c r="O4005" i="46"/>
  <c r="O4002" i="46"/>
  <c r="O3989" i="46"/>
  <c r="O3986" i="46"/>
  <c r="O3973" i="46"/>
  <c r="O3970" i="46"/>
  <c r="O3957" i="46"/>
  <c r="O3954" i="46"/>
  <c r="O4001" i="46"/>
  <c r="O3998" i="46"/>
  <c r="O3985" i="46"/>
  <c r="O3982" i="46"/>
  <c r="O3969" i="46"/>
  <c r="O3966" i="46"/>
  <c r="O3953" i="46"/>
  <c r="O3950" i="46"/>
  <c r="O4007" i="46"/>
  <c r="O4004" i="46"/>
  <c r="O3991" i="46"/>
  <c r="O3988" i="46"/>
  <c r="O3975" i="46"/>
  <c r="O3972" i="46"/>
  <c r="O3959" i="46"/>
  <c r="O3956" i="46"/>
  <c r="O3976" i="46"/>
  <c r="O3995" i="46"/>
  <c r="O3947" i="46"/>
  <c r="O3960" i="46"/>
  <c r="O3979" i="46"/>
  <c r="O3992" i="46"/>
  <c r="O3963" i="46"/>
  <c r="O2612" i="46"/>
  <c r="O2599" i="46"/>
  <c r="O2596" i="46"/>
  <c r="O2605" i="46"/>
  <c r="O2602" i="46"/>
  <c r="O2589" i="46"/>
  <c r="O2586" i="46"/>
  <c r="O2611" i="46"/>
  <c r="O2608" i="46"/>
  <c r="O2595" i="46"/>
  <c r="O2592" i="46"/>
  <c r="O2614" i="46"/>
  <c r="O2601" i="46"/>
  <c r="O2598" i="46"/>
  <c r="O2585" i="46"/>
  <c r="O2607" i="46"/>
  <c r="O2604" i="46"/>
  <c r="O2591" i="46"/>
  <c r="O2588" i="46"/>
  <c r="O2603" i="46"/>
  <c r="O2600" i="46"/>
  <c r="O2587" i="46"/>
  <c r="O2584" i="46"/>
  <c r="O2609" i="46"/>
  <c r="O2606" i="46"/>
  <c r="O2593" i="46"/>
  <c r="O2590" i="46"/>
  <c r="O2613" i="46"/>
  <c r="O2597" i="46"/>
  <c r="O2610" i="46"/>
  <c r="O2594" i="46"/>
  <c r="O2951" i="46"/>
  <c r="O2947" i="46"/>
  <c r="O2943" i="46"/>
  <c r="O2939" i="46"/>
  <c r="O2935" i="46"/>
  <c r="O2931" i="46"/>
  <c r="O2927" i="46"/>
  <c r="O2954" i="46"/>
  <c r="O2950" i="46"/>
  <c r="O2946" i="46"/>
  <c r="O2942" i="46"/>
  <c r="O2938" i="46"/>
  <c r="O2934" i="46"/>
  <c r="O2930" i="46"/>
  <c r="O2926" i="46"/>
  <c r="O2953" i="46"/>
  <c r="O2949" i="46"/>
  <c r="O2945" i="46"/>
  <c r="O2941" i="46"/>
  <c r="O2937" i="46"/>
  <c r="O2933" i="46"/>
  <c r="O2929" i="46"/>
  <c r="O2925" i="46"/>
  <c r="O2952" i="46"/>
  <c r="O2948" i="46"/>
  <c r="O2944" i="46"/>
  <c r="O2940" i="46"/>
  <c r="O2936" i="46"/>
  <c r="O2932" i="46"/>
  <c r="O2928" i="46"/>
  <c r="O2924" i="46"/>
  <c r="O4253" i="46"/>
  <c r="O4249" i="46"/>
  <c r="O4245" i="46"/>
  <c r="O4241" i="46"/>
  <c r="O4237" i="46"/>
  <c r="O4233" i="46"/>
  <c r="O4229" i="46"/>
  <c r="O4225" i="46"/>
  <c r="O4221" i="46"/>
  <c r="O4217" i="46"/>
  <c r="O4213" i="46"/>
  <c r="O4209" i="46"/>
  <c r="O4205" i="46"/>
  <c r="O4201" i="46"/>
  <c r="O4197" i="46"/>
  <c r="O4252" i="46"/>
  <c r="O4248" i="46"/>
  <c r="O4244" i="46"/>
  <c r="O4240" i="46"/>
  <c r="O4236" i="46"/>
  <c r="O4232" i="46"/>
  <c r="O4228" i="46"/>
  <c r="O4224" i="46"/>
  <c r="O4220" i="46"/>
  <c r="O4216" i="46"/>
  <c r="O4212" i="46"/>
  <c r="O4208" i="46"/>
  <c r="O4204" i="46"/>
  <c r="O4200" i="46"/>
  <c r="O4196" i="46"/>
  <c r="O4255" i="46"/>
  <c r="O4251" i="46"/>
  <c r="O4247" i="46"/>
  <c r="O4243" i="46"/>
  <c r="O4239" i="46"/>
  <c r="O4235" i="46"/>
  <c r="O4231" i="46"/>
  <c r="O4227" i="46"/>
  <c r="O4223" i="46"/>
  <c r="O4219" i="46"/>
  <c r="O4215" i="46"/>
  <c r="O4211" i="46"/>
  <c r="O4207" i="46"/>
  <c r="O4203" i="46"/>
  <c r="O4199" i="46"/>
  <c r="O4254" i="46"/>
  <c r="O4250" i="46"/>
  <c r="O4246" i="46"/>
  <c r="O4242" i="46"/>
  <c r="O4238" i="46"/>
  <c r="O4234" i="46"/>
  <c r="O4230" i="46"/>
  <c r="O4226" i="46"/>
  <c r="O4222" i="46"/>
  <c r="O4218" i="46"/>
  <c r="O4214" i="46"/>
  <c r="O4210" i="46"/>
  <c r="O4206" i="46"/>
  <c r="O4202" i="46"/>
  <c r="O4198" i="46"/>
  <c r="O4194" i="46"/>
  <c r="O4195" i="46"/>
  <c r="O3241" i="46"/>
  <c r="O3237" i="46"/>
  <c r="O3233" i="46"/>
  <c r="O3229" i="46"/>
  <c r="O3225" i="46"/>
  <c r="O3221" i="46"/>
  <c r="O3217" i="46"/>
  <c r="O3213" i="46"/>
  <c r="O3209" i="46"/>
  <c r="O3205" i="46"/>
  <c r="O3201" i="46"/>
  <c r="O3197" i="46"/>
  <c r="O3193" i="46"/>
  <c r="O3244" i="46"/>
  <c r="O3240" i="46"/>
  <c r="O3236" i="46"/>
  <c r="O3232" i="46"/>
  <c r="O3228" i="46"/>
  <c r="O3224" i="46"/>
  <c r="O3220" i="46"/>
  <c r="O3216" i="46"/>
  <c r="O3212" i="46"/>
  <c r="O3208" i="46"/>
  <c r="O3242" i="46"/>
  <c r="O3238" i="46"/>
  <c r="O3234" i="46"/>
  <c r="O3230" i="46"/>
  <c r="O3226" i="46"/>
  <c r="O3222" i="46"/>
  <c r="O3218" i="46"/>
  <c r="O3214" i="46"/>
  <c r="O3235" i="46"/>
  <c r="O3210" i="46"/>
  <c r="O3200" i="46"/>
  <c r="O3191" i="46"/>
  <c r="O3215" i="46"/>
  <c r="O3204" i="46"/>
  <c r="O3195" i="46"/>
  <c r="O3227" i="46"/>
  <c r="O3199" i="46"/>
  <c r="O3239" i="46"/>
  <c r="O3203" i="46"/>
  <c r="O3194" i="46"/>
  <c r="O3219" i="46"/>
  <c r="O3207" i="46"/>
  <c r="O3198" i="46"/>
  <c r="O3243" i="46"/>
  <c r="O3211" i="46"/>
  <c r="O3206" i="46"/>
  <c r="O3192" i="46"/>
  <c r="O3223" i="46"/>
  <c r="O3196" i="46"/>
  <c r="O3202" i="46"/>
  <c r="O3231" i="46"/>
  <c r="O4366" i="46"/>
  <c r="O4364" i="46"/>
  <c r="O4362" i="46"/>
  <c r="O4361" i="46"/>
  <c r="O4357" i="46"/>
  <c r="O4353" i="46"/>
  <c r="O4349" i="46"/>
  <c r="O4345" i="46"/>
  <c r="O4341" i="46"/>
  <c r="O4337" i="46"/>
  <c r="O4333" i="46"/>
  <c r="O4329" i="46"/>
  <c r="O4325" i="46"/>
  <c r="O4321" i="46"/>
  <c r="O4365" i="46"/>
  <c r="O4360" i="46"/>
  <c r="O4356" i="46"/>
  <c r="O4352" i="46"/>
  <c r="O4348" i="46"/>
  <c r="O4344" i="46"/>
  <c r="O4340" i="46"/>
  <c r="O4336" i="46"/>
  <c r="O4332" i="46"/>
  <c r="O4328" i="46"/>
  <c r="O4324" i="46"/>
  <c r="O4320" i="46"/>
  <c r="O4359" i="46"/>
  <c r="O4355" i="46"/>
  <c r="O4351" i="46"/>
  <c r="O4347" i="46"/>
  <c r="O4343" i="46"/>
  <c r="O4339" i="46"/>
  <c r="O4335" i="46"/>
  <c r="O4331" i="46"/>
  <c r="O4327" i="46"/>
  <c r="O4323" i="46"/>
  <c r="O4319" i="46"/>
  <c r="O4358" i="46"/>
  <c r="O4354" i="46"/>
  <c r="O4350" i="46"/>
  <c r="O4346" i="46"/>
  <c r="O4342" i="46"/>
  <c r="O4338" i="46"/>
  <c r="O4334" i="46"/>
  <c r="O4330" i="46"/>
  <c r="O4326" i="46"/>
  <c r="O4322" i="46"/>
  <c r="O4318" i="46"/>
  <c r="O4363" i="46"/>
  <c r="O3114" i="46"/>
  <c r="O3127" i="46"/>
  <c r="O3123" i="46"/>
  <c r="O3119" i="46"/>
  <c r="O3115" i="46"/>
  <c r="O3111" i="46"/>
  <c r="O3107" i="46"/>
  <c r="O3103" i="46"/>
  <c r="O3099" i="46"/>
  <c r="O3095" i="46"/>
  <c r="O3091" i="46"/>
  <c r="O3087" i="46"/>
  <c r="O3083" i="46"/>
  <c r="O3079" i="46"/>
  <c r="O3075" i="46"/>
  <c r="O3071" i="46"/>
  <c r="O3126" i="46"/>
  <c r="O3122" i="46"/>
  <c r="O3118" i="46"/>
  <c r="O3110" i="46"/>
  <c r="O3106" i="46"/>
  <c r="O3102" i="46"/>
  <c r="O3098" i="46"/>
  <c r="O3094" i="46"/>
  <c r="O3090" i="46"/>
  <c r="O3086" i="46"/>
  <c r="O3082" i="46"/>
  <c r="O3078" i="46"/>
  <c r="O3074" i="46"/>
  <c r="O3125" i="46"/>
  <c r="O3121" i="46"/>
  <c r="O3117" i="46"/>
  <c r="O3113" i="46"/>
  <c r="O3109" i="46"/>
  <c r="O3105" i="46"/>
  <c r="O3101" i="46"/>
  <c r="O3097" i="46"/>
  <c r="O3093" i="46"/>
  <c r="O3089" i="46"/>
  <c r="O3085" i="46"/>
  <c r="O3081" i="46"/>
  <c r="O3077" i="46"/>
  <c r="O3073" i="46"/>
  <c r="O3128" i="46"/>
  <c r="O3124" i="46"/>
  <c r="O3120" i="46"/>
  <c r="O3116" i="46"/>
  <c r="O3112" i="46"/>
  <c r="O3108" i="46"/>
  <c r="O3104" i="46"/>
  <c r="O3100" i="46"/>
  <c r="O3096" i="46"/>
  <c r="O3092" i="46"/>
  <c r="O3088" i="46"/>
  <c r="O3084" i="46"/>
  <c r="O3080" i="46"/>
  <c r="O3076" i="46"/>
  <c r="O3072" i="46"/>
  <c r="O2676" i="46"/>
  <c r="O2663" i="46"/>
  <c r="O2660" i="46"/>
  <c r="O2647" i="46"/>
  <c r="O2669" i="46"/>
  <c r="O2666" i="46"/>
  <c r="O2653" i="46"/>
  <c r="O2650" i="46"/>
  <c r="O2675" i="46"/>
  <c r="O2672" i="46"/>
  <c r="O2659" i="46"/>
  <c r="O2656" i="46"/>
  <c r="O2665" i="46"/>
  <c r="O2662" i="46"/>
  <c r="O2649" i="46"/>
  <c r="O2646" i="46"/>
  <c r="O2671" i="46"/>
  <c r="O2668" i="46"/>
  <c r="O2655" i="46"/>
  <c r="O2652" i="46"/>
  <c r="O2667" i="46"/>
  <c r="O2664" i="46"/>
  <c r="O2651" i="46"/>
  <c r="O2648" i="46"/>
  <c r="O2673" i="46"/>
  <c r="O2670" i="46"/>
  <c r="O2657" i="46"/>
  <c r="O2654" i="46"/>
  <c r="O2674" i="46"/>
  <c r="O2658" i="46"/>
  <c r="O2661" i="46"/>
  <c r="O3691" i="46"/>
  <c r="O3683" i="46"/>
  <c r="O3675" i="46"/>
  <c r="O3667" i="46"/>
  <c r="O3697" i="46"/>
  <c r="O3694" i="46"/>
  <c r="O3688" i="46"/>
  <c r="O3680" i="46"/>
  <c r="O3672" i="46"/>
  <c r="O3685" i="46"/>
  <c r="O3677" i="46"/>
  <c r="O3669" i="46"/>
  <c r="O3693" i="46"/>
  <c r="O3690" i="46"/>
  <c r="O3682" i="46"/>
  <c r="O3674" i="46"/>
  <c r="O3696" i="46"/>
  <c r="O3687" i="46"/>
  <c r="O3679" i="46"/>
  <c r="O3671" i="46"/>
  <c r="O3684" i="46"/>
  <c r="O3676" i="46"/>
  <c r="O3668" i="46"/>
  <c r="O3695" i="46"/>
  <c r="O3692" i="46"/>
  <c r="O3689" i="46"/>
  <c r="O3681" i="46"/>
  <c r="O3673" i="46"/>
  <c r="O3686" i="46"/>
  <c r="O3678" i="46"/>
  <c r="O3670" i="46"/>
  <c r="O723" i="46"/>
  <c r="O721" i="46"/>
  <c r="O719" i="46"/>
  <c r="O722" i="46"/>
  <c r="O720" i="46"/>
  <c r="O2199" i="46"/>
  <c r="O2186" i="46"/>
  <c r="O2183" i="46"/>
  <c r="O2170" i="46"/>
  <c r="O2192" i="46"/>
  <c r="O2189" i="46"/>
  <c r="O2176" i="46"/>
  <c r="O2173" i="46"/>
  <c r="O2198" i="46"/>
  <c r="O2195" i="46"/>
  <c r="O2182" i="46"/>
  <c r="O2179" i="46"/>
  <c r="O2188" i="46"/>
  <c r="O2185" i="46"/>
  <c r="O2172" i="46"/>
  <c r="O2169" i="46"/>
  <c r="O2194" i="46"/>
  <c r="O2191" i="46"/>
  <c r="O2178" i="46"/>
  <c r="O2175" i="46"/>
  <c r="O2190" i="46"/>
  <c r="O2187" i="46"/>
  <c r="O2174" i="46"/>
  <c r="O2171" i="46"/>
  <c r="O2196" i="46"/>
  <c r="O2193" i="46"/>
  <c r="O2180" i="46"/>
  <c r="O2177" i="46"/>
  <c r="O2181" i="46"/>
  <c r="O2197" i="46"/>
  <c r="O2184" i="46"/>
  <c r="O1108" i="46"/>
  <c r="O1104" i="46"/>
  <c r="O1100" i="46"/>
  <c r="O1096" i="46"/>
  <c r="O1092" i="46"/>
  <c r="O1088" i="46"/>
  <c r="O1084" i="46"/>
  <c r="O1080" i="46"/>
  <c r="O1076" i="46"/>
  <c r="O1072" i="46"/>
  <c r="O1068" i="46"/>
  <c r="O1064" i="46"/>
  <c r="O1060" i="46"/>
  <c r="O1056" i="46"/>
  <c r="O1107" i="46"/>
  <c r="O1103" i="46"/>
  <c r="O1099" i="46"/>
  <c r="O1095" i="46"/>
  <c r="O1091" i="46"/>
  <c r="O1087" i="46"/>
  <c r="O1083" i="46"/>
  <c r="O1079" i="46"/>
  <c r="O1075" i="46"/>
  <c r="O1071" i="46"/>
  <c r="O1067" i="46"/>
  <c r="O1063" i="46"/>
  <c r="O1059" i="46"/>
  <c r="O1106" i="46"/>
  <c r="O1102" i="46"/>
  <c r="O1098" i="46"/>
  <c r="O1094" i="46"/>
  <c r="O1090" i="46"/>
  <c r="O1086" i="46"/>
  <c r="O1082" i="46"/>
  <c r="O1078" i="46"/>
  <c r="O1074" i="46"/>
  <c r="O1070" i="46"/>
  <c r="O1066" i="46"/>
  <c r="O1062" i="46"/>
  <c r="O1058" i="46"/>
  <c r="O1109" i="46"/>
  <c r="O1105" i="46"/>
  <c r="O1101" i="46"/>
  <c r="O1097" i="46"/>
  <c r="O1093" i="46"/>
  <c r="O1089" i="46"/>
  <c r="O1085" i="46"/>
  <c r="O1081" i="46"/>
  <c r="O1077" i="46"/>
  <c r="O1073" i="46"/>
  <c r="O1069" i="46"/>
  <c r="O1065" i="46"/>
  <c r="O1061" i="46"/>
  <c r="O1057" i="46"/>
  <c r="O4126" i="46"/>
  <c r="O4123" i="46"/>
  <c r="O4110" i="46"/>
  <c r="O4107" i="46"/>
  <c r="O4094" i="46"/>
  <c r="O4091" i="46"/>
  <c r="O4122" i="46"/>
  <c r="O4119" i="46"/>
  <c r="O4106" i="46"/>
  <c r="O4103" i="46"/>
  <c r="O4090" i="46"/>
  <c r="O4087" i="46"/>
  <c r="O4130" i="46"/>
  <c r="O4127" i="46"/>
  <c r="O4114" i="46"/>
  <c r="O4111" i="46"/>
  <c r="O4098" i="46"/>
  <c r="O4095" i="46"/>
  <c r="O4082" i="46"/>
  <c r="O4128" i="46"/>
  <c r="O4124" i="46"/>
  <c r="O4099" i="46"/>
  <c r="O4086" i="46"/>
  <c r="O4079" i="46"/>
  <c r="O4115" i="46"/>
  <c r="O4102" i="46"/>
  <c r="O4075" i="46"/>
  <c r="O4131" i="46"/>
  <c r="O4118" i="46"/>
  <c r="O4078" i="46"/>
  <c r="O4071" i="46"/>
  <c r="O4089" i="46"/>
  <c r="O4085" i="46"/>
  <c r="O4081" i="46"/>
  <c r="O4074" i="46"/>
  <c r="O4105" i="46"/>
  <c r="O4101" i="46"/>
  <c r="O4097" i="46"/>
  <c r="O4093" i="46"/>
  <c r="O4070" i="46"/>
  <c r="O4129" i="46"/>
  <c r="O4125" i="46"/>
  <c r="O4104" i="46"/>
  <c r="O4100" i="46"/>
  <c r="O4096" i="46"/>
  <c r="O4092" i="46"/>
  <c r="O4120" i="46"/>
  <c r="O4116" i="46"/>
  <c r="O4112" i="46"/>
  <c r="O4108" i="46"/>
  <c r="O4083" i="46"/>
  <c r="O4076" i="46"/>
  <c r="O4072" i="46"/>
  <c r="O4077" i="46"/>
  <c r="O4117" i="46"/>
  <c r="O4088" i="46"/>
  <c r="O4109" i="46"/>
  <c r="O4080" i="46"/>
  <c r="O4121" i="46"/>
  <c r="O4073" i="46"/>
  <c r="O4084" i="46"/>
  <c r="O4113" i="46"/>
  <c r="O3313" i="46"/>
  <c r="O3309" i="46"/>
  <c r="O3316" i="46"/>
  <c r="O3312" i="46"/>
  <c r="O3308" i="46"/>
  <c r="O3314" i="46"/>
  <c r="O3310" i="46"/>
  <c r="O3311" i="46"/>
  <c r="O3315" i="46"/>
  <c r="O3307" i="46"/>
  <c r="O3187" i="46"/>
  <c r="O3183" i="46"/>
  <c r="O3179" i="46"/>
  <c r="O3175" i="46"/>
  <c r="O3171" i="46"/>
  <c r="O3167" i="46"/>
  <c r="O3163" i="46"/>
  <c r="O3159" i="46"/>
  <c r="O3155" i="46"/>
  <c r="O3151" i="46"/>
  <c r="O3147" i="46"/>
  <c r="O3143" i="46"/>
  <c r="O3139" i="46"/>
  <c r="O3135" i="46"/>
  <c r="O3131" i="46"/>
  <c r="O3190" i="46"/>
  <c r="O3186" i="46"/>
  <c r="O3182" i="46"/>
  <c r="O3178" i="46"/>
  <c r="O3174" i="46"/>
  <c r="O3170" i="46"/>
  <c r="O3166" i="46"/>
  <c r="O3162" i="46"/>
  <c r="O3158" i="46"/>
  <c r="O3154" i="46"/>
  <c r="O3150" i="46"/>
  <c r="O3146" i="46"/>
  <c r="O3142" i="46"/>
  <c r="O3138" i="46"/>
  <c r="O3134" i="46"/>
  <c r="O3130" i="46"/>
  <c r="O3189" i="46"/>
  <c r="O3185" i="46"/>
  <c r="O3181" i="46"/>
  <c r="O3177" i="46"/>
  <c r="O3173" i="46"/>
  <c r="O3169" i="46"/>
  <c r="O3165" i="46"/>
  <c r="O3161" i="46"/>
  <c r="O3157" i="46"/>
  <c r="O3153" i="46"/>
  <c r="O3149" i="46"/>
  <c r="O3145" i="46"/>
  <c r="O3141" i="46"/>
  <c r="O3137" i="46"/>
  <c r="O3133" i="46"/>
  <c r="O3129" i="46"/>
  <c r="O3188" i="46"/>
  <c r="O3184" i="46"/>
  <c r="O3180" i="46"/>
  <c r="O3176" i="46"/>
  <c r="O3172" i="46"/>
  <c r="O3168" i="46"/>
  <c r="O3164" i="46"/>
  <c r="O3160" i="46"/>
  <c r="O3156" i="46"/>
  <c r="O3152" i="46"/>
  <c r="O3148" i="46"/>
  <c r="O3144" i="46"/>
  <c r="O3140" i="46"/>
  <c r="O3136" i="46"/>
  <c r="O3132" i="46"/>
  <c r="O3851" i="46"/>
  <c r="O3847" i="46"/>
  <c r="O3843" i="46"/>
  <c r="O3839" i="46"/>
  <c r="O3835" i="46"/>
  <c r="O3831" i="46"/>
  <c r="O3827" i="46"/>
  <c r="O3823" i="46"/>
  <c r="O3850" i="46"/>
  <c r="O3846" i="46"/>
  <c r="O3842" i="46"/>
  <c r="O3838" i="46"/>
  <c r="O3834" i="46"/>
  <c r="O3830" i="46"/>
  <c r="O3826" i="46"/>
  <c r="O3822" i="46"/>
  <c r="O3849" i="46"/>
  <c r="O3845" i="46"/>
  <c r="O3841" i="46"/>
  <c r="O3837" i="46"/>
  <c r="O3833" i="46"/>
  <c r="O3829" i="46"/>
  <c r="O3825" i="46"/>
  <c r="O3844" i="46"/>
  <c r="O3824" i="46"/>
  <c r="O3836" i="46"/>
  <c r="O3848" i="46"/>
  <c r="O3828" i="46"/>
  <c r="O3840" i="46"/>
  <c r="O3852" i="46"/>
  <c r="O3832" i="46"/>
  <c r="O2322" i="46"/>
  <c r="O2318" i="46"/>
  <c r="O2314" i="46"/>
  <c r="O2310" i="46"/>
  <c r="O2306" i="46"/>
  <c r="O2302" i="46"/>
  <c r="O2298" i="46"/>
  <c r="O2294" i="46"/>
  <c r="O2321" i="46"/>
  <c r="O2317" i="46"/>
  <c r="O2313" i="46"/>
  <c r="O2309" i="46"/>
  <c r="O2305" i="46"/>
  <c r="O2301" i="46"/>
  <c r="O2297" i="46"/>
  <c r="O2320" i="46"/>
  <c r="O2316" i="46"/>
  <c r="O2312" i="46"/>
  <c r="O2308" i="46"/>
  <c r="O2304" i="46"/>
  <c r="O2300" i="46"/>
  <c r="O2296" i="46"/>
  <c r="O2293" i="46"/>
  <c r="O2323" i="46"/>
  <c r="O2319" i="46"/>
  <c r="O2315" i="46"/>
  <c r="O2311" i="46"/>
  <c r="O2307" i="46"/>
  <c r="O2303" i="46"/>
  <c r="O2299" i="46"/>
  <c r="O2295" i="46"/>
  <c r="O3333" i="46"/>
  <c r="O3329" i="46"/>
  <c r="O3336" i="46"/>
  <c r="O3332" i="46"/>
  <c r="O3328" i="46"/>
  <c r="O3334" i="46"/>
  <c r="O3330" i="46"/>
  <c r="O3331" i="46"/>
  <c r="O3335" i="46"/>
  <c r="O3327" i="46"/>
  <c r="O1701" i="46"/>
  <c r="O1697" i="46"/>
  <c r="O1693" i="46"/>
  <c r="O1689" i="46"/>
  <c r="O1685" i="46"/>
  <c r="O1681" i="46"/>
  <c r="O1677" i="46"/>
  <c r="O1704" i="46"/>
  <c r="O1700" i="46"/>
  <c r="O1696" i="46"/>
  <c r="O1692" i="46"/>
  <c r="O1688" i="46"/>
  <c r="O1684" i="46"/>
  <c r="O1680" i="46"/>
  <c r="O1676" i="46"/>
  <c r="O1702" i="46"/>
  <c r="O1698" i="46"/>
  <c r="O1694" i="46"/>
  <c r="O1690" i="46"/>
  <c r="O1686" i="46"/>
  <c r="O1682" i="46"/>
  <c r="O1678" i="46"/>
  <c r="O1674" i="46"/>
  <c r="O1687" i="46"/>
  <c r="O1699" i="46"/>
  <c r="O1679" i="46"/>
  <c r="O1691" i="46"/>
  <c r="O1703" i="46"/>
  <c r="O1695" i="46"/>
  <c r="O1675" i="46"/>
  <c r="O1683" i="46"/>
  <c r="O2877" i="46"/>
  <c r="O2874" i="46"/>
  <c r="O2865" i="46"/>
  <c r="O2857" i="46"/>
  <c r="O2849" i="46"/>
  <c r="O2841" i="46"/>
  <c r="O2833" i="46"/>
  <c r="O2886" i="46"/>
  <c r="O2873" i="46"/>
  <c r="O2870" i="46"/>
  <c r="O2867" i="46"/>
  <c r="O2859" i="46"/>
  <c r="O2851" i="46"/>
  <c r="O2843" i="46"/>
  <c r="O2835" i="46"/>
  <c r="O2881" i="46"/>
  <c r="O2878" i="46"/>
  <c r="O2863" i="46"/>
  <c r="O2855" i="46"/>
  <c r="O2847" i="46"/>
  <c r="O2839" i="46"/>
  <c r="O2875" i="46"/>
  <c r="O2871" i="46"/>
  <c r="O2860" i="46"/>
  <c r="O2853" i="46"/>
  <c r="O2891" i="46"/>
  <c r="O2887" i="46"/>
  <c r="O2883" i="46"/>
  <c r="O2879" i="46"/>
  <c r="O2856" i="46"/>
  <c r="O2842" i="46"/>
  <c r="O2838" i="46"/>
  <c r="O2852" i="46"/>
  <c r="O2845" i="46"/>
  <c r="O2890" i="46"/>
  <c r="O2866" i="46"/>
  <c r="O2862" i="46"/>
  <c r="O2848" i="46"/>
  <c r="O2834" i="46"/>
  <c r="O2882" i="46"/>
  <c r="O2869" i="46"/>
  <c r="O2844" i="46"/>
  <c r="O2837" i="46"/>
  <c r="O2876" i="46"/>
  <c r="O2872" i="46"/>
  <c r="O2868" i="46"/>
  <c r="O2861" i="46"/>
  <c r="O2836" i="46"/>
  <c r="O2892" i="46"/>
  <c r="O2888" i="46"/>
  <c r="O2884" i="46"/>
  <c r="O2880" i="46"/>
  <c r="O2864" i="46"/>
  <c r="O2850" i="46"/>
  <c r="O2846" i="46"/>
  <c r="O2832" i="46"/>
  <c r="O2889" i="46"/>
  <c r="O2854" i="46"/>
  <c r="O2840" i="46"/>
  <c r="O2893" i="46"/>
  <c r="O2885" i="46"/>
  <c r="O2858" i="46"/>
  <c r="D137" i="45"/>
  <c r="F133" i="45"/>
  <c r="G133" i="45" s="1"/>
  <c r="D136" i="45"/>
  <c r="R2880" i="46" l="1"/>
  <c r="P2880" i="46"/>
  <c r="R2859" i="46"/>
  <c r="P2859" i="46"/>
  <c r="R1693" i="46"/>
  <c r="P1693" i="46"/>
  <c r="R2309" i="46"/>
  <c r="P2309" i="46"/>
  <c r="R3843" i="46"/>
  <c r="P3843" i="46"/>
  <c r="R3185" i="46"/>
  <c r="P3185" i="46"/>
  <c r="R3316" i="46"/>
  <c r="P3316" i="46"/>
  <c r="P4115" i="46"/>
  <c r="R4115" i="46"/>
  <c r="R1085" i="46"/>
  <c r="P1085" i="46"/>
  <c r="R1107" i="46"/>
  <c r="P1107" i="46"/>
  <c r="R2189" i="46"/>
  <c r="P2189" i="46"/>
  <c r="P3685" i="46"/>
  <c r="R3685" i="46"/>
  <c r="P2675" i="46"/>
  <c r="R2675" i="46"/>
  <c r="R3105" i="46"/>
  <c r="P3105" i="46"/>
  <c r="R3123" i="46"/>
  <c r="P3123" i="46"/>
  <c r="R4344" i="46"/>
  <c r="P4344" i="46"/>
  <c r="R3203" i="46"/>
  <c r="P3203" i="46"/>
  <c r="R3205" i="46"/>
  <c r="P3205" i="46"/>
  <c r="R4219" i="46"/>
  <c r="P4219" i="46"/>
  <c r="R4252" i="46"/>
  <c r="P4252" i="46"/>
  <c r="R2924" i="46"/>
  <c r="P2924" i="46"/>
  <c r="R2927" i="46"/>
  <c r="P2927" i="46"/>
  <c r="R2598" i="46"/>
  <c r="P2598" i="46"/>
  <c r="R3975" i="46"/>
  <c r="P3975" i="46"/>
  <c r="R3973" i="46"/>
  <c r="P3973" i="46"/>
  <c r="R3977" i="46"/>
  <c r="P3977" i="46"/>
  <c r="P3978" i="46"/>
  <c r="R3978" i="46"/>
  <c r="P1282" i="46"/>
  <c r="R1282" i="46"/>
  <c r="R1287" i="46"/>
  <c r="P1287" i="46"/>
  <c r="R1786" i="46"/>
  <c r="P1786" i="46"/>
  <c r="P2072" i="46"/>
  <c r="R2072" i="46"/>
  <c r="R2061" i="46"/>
  <c r="P2061" i="46"/>
  <c r="R3594" i="46"/>
  <c r="P3594" i="46"/>
  <c r="P1338" i="46"/>
  <c r="R1338" i="46"/>
  <c r="R793" i="46"/>
  <c r="P793" i="46"/>
  <c r="P4012" i="46"/>
  <c r="R4012" i="46"/>
  <c r="R2363" i="46"/>
  <c r="P2363" i="46"/>
  <c r="R2366" i="46"/>
  <c r="P2366" i="46"/>
  <c r="P2210" i="46"/>
  <c r="R2210" i="46"/>
  <c r="R2215" i="46"/>
  <c r="P2215" i="46"/>
  <c r="P926" i="46"/>
  <c r="R926" i="46"/>
  <c r="P1964" i="46"/>
  <c r="R1964" i="46"/>
  <c r="R2783" i="46"/>
  <c r="P2783" i="46"/>
  <c r="R1412" i="46"/>
  <c r="P1412" i="46"/>
  <c r="R1382" i="46"/>
  <c r="P1382" i="46"/>
  <c r="R2259" i="46"/>
  <c r="P2259" i="46"/>
  <c r="P4177" i="46"/>
  <c r="R4177" i="46"/>
  <c r="R524" i="46"/>
  <c r="P524" i="46"/>
  <c r="P517" i="46"/>
  <c r="R517" i="46"/>
  <c r="R2690" i="46"/>
  <c r="P2690" i="46"/>
  <c r="P2685" i="46"/>
  <c r="R2685" i="46"/>
  <c r="R3034" i="46"/>
  <c r="P3034" i="46"/>
  <c r="P2108" i="46"/>
  <c r="R2108" i="46"/>
  <c r="R3753" i="46"/>
  <c r="P3753" i="46"/>
  <c r="R622" i="46"/>
  <c r="P622" i="46"/>
  <c r="R3282" i="46"/>
  <c r="P3282" i="46"/>
  <c r="R1812" i="46"/>
  <c r="P1812" i="46"/>
  <c r="R1826" i="46"/>
  <c r="P1826" i="46"/>
  <c r="R1892" i="46"/>
  <c r="P1892" i="46"/>
  <c r="R4304" i="46"/>
  <c r="P4304" i="46"/>
  <c r="R3528" i="46"/>
  <c r="P3528" i="46"/>
  <c r="P459" i="46"/>
  <c r="R459" i="46"/>
  <c r="R769" i="46"/>
  <c r="P769" i="46"/>
  <c r="P1258" i="46"/>
  <c r="R1258" i="46"/>
  <c r="R1635" i="46"/>
  <c r="P1635" i="46"/>
  <c r="R3440" i="46"/>
  <c r="P3440" i="46"/>
  <c r="R1155" i="46"/>
  <c r="P1155" i="46"/>
  <c r="P1160" i="46"/>
  <c r="R1160" i="46"/>
  <c r="R2957" i="46"/>
  <c r="P2957" i="46"/>
  <c r="R2468" i="46"/>
  <c r="P2468" i="46"/>
  <c r="R1185" i="46"/>
  <c r="P1185" i="46"/>
  <c r="P1216" i="46"/>
  <c r="R1216" i="46"/>
  <c r="P940" i="46"/>
  <c r="R940" i="46"/>
  <c r="R2548" i="46"/>
  <c r="P2548" i="46"/>
  <c r="P447" i="46"/>
  <c r="R447" i="46"/>
  <c r="R2399" i="46"/>
  <c r="P2399" i="46"/>
  <c r="R2433" i="46"/>
  <c r="P2433" i="46"/>
  <c r="R833" i="46"/>
  <c r="P833" i="46"/>
  <c r="R3474" i="46"/>
  <c r="P3474" i="46"/>
  <c r="R2149" i="46"/>
  <c r="P2149" i="46"/>
  <c r="R582" i="46"/>
  <c r="P582" i="46"/>
  <c r="R2504" i="46"/>
  <c r="P2504" i="46"/>
  <c r="R1566" i="46"/>
  <c r="P1566" i="46"/>
  <c r="P3657" i="46"/>
  <c r="R3657" i="46"/>
  <c r="R3342" i="46"/>
  <c r="P3342" i="46"/>
  <c r="R3868" i="46"/>
  <c r="P3868" i="46"/>
  <c r="R3911" i="46"/>
  <c r="P3911" i="46"/>
  <c r="P422" i="46"/>
  <c r="R422" i="46"/>
  <c r="R853" i="46"/>
  <c r="P853" i="46"/>
  <c r="R3800" i="46"/>
  <c r="P3800" i="46"/>
  <c r="R2988" i="46"/>
  <c r="P2988" i="46"/>
  <c r="R354" i="46"/>
  <c r="P354" i="46"/>
  <c r="R1511" i="46"/>
  <c r="P1511" i="46"/>
  <c r="R1469" i="46"/>
  <c r="P1469" i="46"/>
  <c r="R1501" i="46"/>
  <c r="P1501" i="46"/>
  <c r="P294" i="46"/>
  <c r="R294" i="46"/>
  <c r="R310" i="46"/>
  <c r="P310" i="46"/>
  <c r="P326" i="46"/>
  <c r="R326" i="46"/>
  <c r="P281" i="46"/>
  <c r="R281" i="46"/>
  <c r="P297" i="46"/>
  <c r="R297" i="46"/>
  <c r="P313" i="46"/>
  <c r="R313" i="46"/>
  <c r="P329" i="46"/>
  <c r="R329" i="46"/>
  <c r="R714" i="46"/>
  <c r="P714" i="46"/>
  <c r="R716" i="46"/>
  <c r="P716" i="46"/>
  <c r="R712" i="46"/>
  <c r="P712" i="46"/>
  <c r="P665" i="46"/>
  <c r="R665" i="46"/>
  <c r="P681" i="46"/>
  <c r="R681" i="46"/>
  <c r="P697" i="46"/>
  <c r="R697" i="46"/>
  <c r="P713" i="46"/>
  <c r="R713" i="46"/>
  <c r="R2099" i="46"/>
  <c r="P2099" i="46"/>
  <c r="R1041" i="46"/>
  <c r="P1041" i="46"/>
  <c r="P1042" i="46"/>
  <c r="R1042" i="46"/>
  <c r="R1015" i="46"/>
  <c r="P1015" i="46"/>
  <c r="P984" i="46"/>
  <c r="R984" i="46"/>
  <c r="P1016" i="46"/>
  <c r="R1016" i="46"/>
  <c r="R2840" i="46"/>
  <c r="P2840" i="46"/>
  <c r="R2884" i="46"/>
  <c r="P2884" i="46"/>
  <c r="R2837" i="46"/>
  <c r="P2837" i="46"/>
  <c r="R2890" i="46"/>
  <c r="P2890" i="46"/>
  <c r="R2887" i="46"/>
  <c r="P2887" i="46"/>
  <c r="R2855" i="46"/>
  <c r="P2855" i="46"/>
  <c r="R2867" i="46"/>
  <c r="P2867" i="46"/>
  <c r="R2865" i="46"/>
  <c r="P2865" i="46"/>
  <c r="R1679" i="46"/>
  <c r="P1679" i="46"/>
  <c r="R1694" i="46"/>
  <c r="P1694" i="46"/>
  <c r="R1696" i="46"/>
  <c r="P1696" i="46"/>
  <c r="R1697" i="46"/>
  <c r="P1697" i="46"/>
  <c r="R3332" i="46"/>
  <c r="P3332" i="46"/>
  <c r="R2311" i="46"/>
  <c r="P2311" i="46"/>
  <c r="R2308" i="46"/>
  <c r="P2308" i="46"/>
  <c r="R2313" i="46"/>
  <c r="P2313" i="46"/>
  <c r="R2314" i="46"/>
  <c r="P2314" i="46"/>
  <c r="R3836" i="46"/>
  <c r="P3836" i="46"/>
  <c r="R3845" i="46"/>
  <c r="P3845" i="46"/>
  <c r="R3846" i="46"/>
  <c r="P3846" i="46"/>
  <c r="R3847" i="46"/>
  <c r="P3847" i="46"/>
  <c r="R3156" i="46"/>
  <c r="P3156" i="46"/>
  <c r="R3188" i="46"/>
  <c r="P3188" i="46"/>
  <c r="R3157" i="46"/>
  <c r="P3157" i="46"/>
  <c r="R3189" i="46"/>
  <c r="P3189" i="46"/>
  <c r="R3158" i="46"/>
  <c r="P3158" i="46"/>
  <c r="R3190" i="46"/>
  <c r="P3190" i="46"/>
  <c r="R3159" i="46"/>
  <c r="P3159" i="46"/>
  <c r="R3307" i="46"/>
  <c r="P3307" i="46"/>
  <c r="R3309" i="46"/>
  <c r="P3309" i="46"/>
  <c r="R4088" i="46"/>
  <c r="P4088" i="46"/>
  <c r="R4116" i="46"/>
  <c r="P4116" i="46"/>
  <c r="R4070" i="46"/>
  <c r="P4070" i="46"/>
  <c r="P4089" i="46"/>
  <c r="R4089" i="46"/>
  <c r="P4079" i="46"/>
  <c r="R4079" i="46"/>
  <c r="P4111" i="46"/>
  <c r="R4111" i="46"/>
  <c r="P4119" i="46"/>
  <c r="R4119" i="46"/>
  <c r="R1057" i="46"/>
  <c r="P1057" i="46"/>
  <c r="R1089" i="46"/>
  <c r="P1089" i="46"/>
  <c r="P1066" i="46"/>
  <c r="R1066" i="46"/>
  <c r="P1098" i="46"/>
  <c r="R1098" i="46"/>
  <c r="R1079" i="46"/>
  <c r="P1079" i="46"/>
  <c r="P1056" i="46"/>
  <c r="R1056" i="46"/>
  <c r="P1088" i="46"/>
  <c r="R1088" i="46"/>
  <c r="R2181" i="46"/>
  <c r="P2181" i="46"/>
  <c r="P2190" i="46"/>
  <c r="R2190" i="46"/>
  <c r="P2188" i="46"/>
  <c r="R2188" i="46"/>
  <c r="P2192" i="46"/>
  <c r="R2192" i="46"/>
  <c r="P721" i="46"/>
  <c r="R721" i="46"/>
  <c r="P3692" i="46"/>
  <c r="R3692" i="46"/>
  <c r="P3696" i="46"/>
  <c r="R3696" i="46"/>
  <c r="P3672" i="46"/>
  <c r="R3672" i="46"/>
  <c r="R3691" i="46"/>
  <c r="P3691" i="46"/>
  <c r="R2648" i="46"/>
  <c r="P2648" i="46"/>
  <c r="R2646" i="46"/>
  <c r="P2646" i="46"/>
  <c r="R2650" i="46"/>
  <c r="P2650" i="46"/>
  <c r="R3072" i="46"/>
  <c r="P3072" i="46"/>
  <c r="R3104" i="46"/>
  <c r="P3104" i="46"/>
  <c r="R3077" i="46"/>
  <c r="P3077" i="46"/>
  <c r="R3109" i="46"/>
  <c r="P3109" i="46"/>
  <c r="R3086" i="46"/>
  <c r="P3086" i="46"/>
  <c r="R3122" i="46"/>
  <c r="P3122" i="46"/>
  <c r="R3095" i="46"/>
  <c r="P3095" i="46"/>
  <c r="R3127" i="46"/>
  <c r="P3127" i="46"/>
  <c r="R4338" i="46"/>
  <c r="P4338" i="46"/>
  <c r="R4327" i="46"/>
  <c r="P4327" i="46"/>
  <c r="R4359" i="46"/>
  <c r="P4359" i="46"/>
  <c r="R4348" i="46"/>
  <c r="P4348" i="46"/>
  <c r="R4333" i="46"/>
  <c r="P4333" i="46"/>
  <c r="R4362" i="46"/>
  <c r="P4362" i="46"/>
  <c r="R3206" i="46"/>
  <c r="P3206" i="46"/>
  <c r="R3239" i="46"/>
  <c r="P3239" i="46"/>
  <c r="R3210" i="46"/>
  <c r="P3210" i="46"/>
  <c r="R3238" i="46"/>
  <c r="P3238" i="46"/>
  <c r="R3232" i="46"/>
  <c r="P3232" i="46"/>
  <c r="R3209" i="46"/>
  <c r="P3209" i="46"/>
  <c r="R3241" i="46"/>
  <c r="P3241" i="46"/>
  <c r="R4218" i="46"/>
  <c r="P4218" i="46"/>
  <c r="R4250" i="46"/>
  <c r="P4250" i="46"/>
  <c r="R4223" i="46"/>
  <c r="P4223" i="46"/>
  <c r="R4255" i="46"/>
  <c r="P4255" i="46"/>
  <c r="R4224" i="46"/>
  <c r="P4224" i="46"/>
  <c r="R4197" i="46"/>
  <c r="P4197" i="46"/>
  <c r="R4229" i="46"/>
  <c r="P4229" i="46"/>
  <c r="R2928" i="46"/>
  <c r="P2928" i="46"/>
  <c r="R2929" i="46"/>
  <c r="P2929" i="46"/>
  <c r="R2930" i="46"/>
  <c r="P2930" i="46"/>
  <c r="R2931" i="46"/>
  <c r="P2931" i="46"/>
  <c r="P2597" i="46"/>
  <c r="R2597" i="46"/>
  <c r="R2600" i="46"/>
  <c r="P2600" i="46"/>
  <c r="P2601" i="46"/>
  <c r="R2601" i="46"/>
  <c r="R2602" i="46"/>
  <c r="P2602" i="46"/>
  <c r="P3960" i="46"/>
  <c r="R3960" i="46"/>
  <c r="P3988" i="46"/>
  <c r="R3988" i="46"/>
  <c r="P3982" i="46"/>
  <c r="R3982" i="46"/>
  <c r="P3986" i="46"/>
  <c r="R3986" i="46"/>
  <c r="P3980" i="46"/>
  <c r="R3980" i="46"/>
  <c r="P3990" i="46"/>
  <c r="R3990" i="46"/>
  <c r="R3987" i="46"/>
  <c r="P3987" i="46"/>
  <c r="R3981" i="46"/>
  <c r="P3981" i="46"/>
  <c r="R1285" i="46"/>
  <c r="P1285" i="46"/>
  <c r="R1317" i="46"/>
  <c r="P1317" i="46"/>
  <c r="P1286" i="46"/>
  <c r="R1286" i="46"/>
  <c r="P1318" i="46"/>
  <c r="R1318" i="46"/>
  <c r="R1291" i="46"/>
  <c r="P1291" i="46"/>
  <c r="R1323" i="46"/>
  <c r="P1323" i="46"/>
  <c r="P1292" i="46"/>
  <c r="R1292" i="46"/>
  <c r="P1324" i="46"/>
  <c r="R1324" i="46"/>
  <c r="R1803" i="46"/>
  <c r="P1803" i="46"/>
  <c r="R1775" i="46"/>
  <c r="P1775" i="46"/>
  <c r="R1758" i="46"/>
  <c r="P1758" i="46"/>
  <c r="R1790" i="46"/>
  <c r="P1790" i="46"/>
  <c r="R1760" i="46"/>
  <c r="P1760" i="46"/>
  <c r="R1792" i="46"/>
  <c r="P1792" i="46"/>
  <c r="R1761" i="46"/>
  <c r="P1761" i="46"/>
  <c r="R1793" i="46"/>
  <c r="P1793" i="46"/>
  <c r="R2053" i="46"/>
  <c r="P2053" i="46"/>
  <c r="R2027" i="46"/>
  <c r="P2027" i="46"/>
  <c r="P2034" i="46"/>
  <c r="R2034" i="46"/>
  <c r="P2044" i="46"/>
  <c r="R2044" i="46"/>
  <c r="P2054" i="46"/>
  <c r="R2054" i="46"/>
  <c r="P2064" i="46"/>
  <c r="R2064" i="46"/>
  <c r="P2074" i="46"/>
  <c r="R2074" i="46"/>
  <c r="R3575" i="46"/>
  <c r="P3575" i="46"/>
  <c r="R3557" i="46"/>
  <c r="P3557" i="46"/>
  <c r="R3580" i="46"/>
  <c r="P3580" i="46"/>
  <c r="R3560" i="46"/>
  <c r="P3560" i="46"/>
  <c r="R3572" i="46"/>
  <c r="P3572" i="46"/>
  <c r="R3596" i="46"/>
  <c r="P3596" i="46"/>
  <c r="R3591" i="46"/>
  <c r="P3591" i="46"/>
  <c r="P2581" i="46"/>
  <c r="R2581" i="46"/>
  <c r="R2568" i="46"/>
  <c r="P2568" i="46"/>
  <c r="P2569" i="46"/>
  <c r="R2569" i="46"/>
  <c r="R2570" i="46"/>
  <c r="P2570" i="46"/>
  <c r="R1349" i="46"/>
  <c r="P1349" i="46"/>
  <c r="P1342" i="46"/>
  <c r="R1342" i="46"/>
  <c r="R1339" i="46"/>
  <c r="P1339" i="46"/>
  <c r="R1371" i="46"/>
  <c r="P1371" i="46"/>
  <c r="P1368" i="46"/>
  <c r="R1368" i="46"/>
  <c r="R1051" i="46"/>
  <c r="P1051" i="46"/>
  <c r="R797" i="46"/>
  <c r="P797" i="46"/>
  <c r="R787" i="46"/>
  <c r="P787" i="46"/>
  <c r="P4024" i="46"/>
  <c r="R4024" i="46"/>
  <c r="P4041" i="46"/>
  <c r="R4041" i="46"/>
  <c r="R4044" i="46"/>
  <c r="P4044" i="46"/>
  <c r="P4055" i="46"/>
  <c r="R4055" i="46"/>
  <c r="R4015" i="46"/>
  <c r="P4015" i="46"/>
  <c r="R4067" i="46"/>
  <c r="P4067" i="46"/>
  <c r="R4029" i="46"/>
  <c r="P4029" i="46"/>
  <c r="R4068" i="46"/>
  <c r="P4068" i="46"/>
  <c r="P466" i="46"/>
  <c r="R466" i="46"/>
  <c r="R3383" i="46"/>
  <c r="P3383" i="46"/>
  <c r="R2367" i="46"/>
  <c r="P2367" i="46"/>
  <c r="R2368" i="46"/>
  <c r="P2368" i="46"/>
  <c r="R2369" i="46"/>
  <c r="P2369" i="46"/>
  <c r="R2370" i="46"/>
  <c r="P2370" i="46"/>
  <c r="R1451" i="46"/>
  <c r="P1451" i="46"/>
  <c r="R1445" i="46"/>
  <c r="P1445" i="46"/>
  <c r="R1460" i="46"/>
  <c r="P1460" i="46"/>
  <c r="R1461" i="46"/>
  <c r="P1461" i="46"/>
  <c r="R2225" i="46"/>
  <c r="P2225" i="46"/>
  <c r="R2223" i="46"/>
  <c r="P2223" i="46"/>
  <c r="R2227" i="46"/>
  <c r="P2227" i="46"/>
  <c r="P2218" i="46"/>
  <c r="R2218" i="46"/>
  <c r="R3620" i="46"/>
  <c r="P3620" i="46"/>
  <c r="P3605" i="46"/>
  <c r="R3605" i="46"/>
  <c r="P3621" i="46"/>
  <c r="R3621" i="46"/>
  <c r="R602" i="46"/>
  <c r="P602" i="46"/>
  <c r="P599" i="46"/>
  <c r="R599" i="46"/>
  <c r="R925" i="46"/>
  <c r="P925" i="46"/>
  <c r="R899" i="46"/>
  <c r="P899" i="46"/>
  <c r="P904" i="46"/>
  <c r="R904" i="46"/>
  <c r="P1976" i="46"/>
  <c r="R1976" i="46"/>
  <c r="R1979" i="46"/>
  <c r="P1979" i="46"/>
  <c r="R1977" i="46"/>
  <c r="P1977" i="46"/>
  <c r="R1981" i="46"/>
  <c r="P1981" i="46"/>
  <c r="P2773" i="46"/>
  <c r="R2773" i="46"/>
  <c r="R2818" i="46"/>
  <c r="P2818" i="46"/>
  <c r="R2812" i="46"/>
  <c r="P2812" i="46"/>
  <c r="R2781" i="46"/>
  <c r="P2781" i="46"/>
  <c r="R2772" i="46"/>
  <c r="P2772" i="46"/>
  <c r="R2791" i="46"/>
  <c r="P2791" i="46"/>
  <c r="R2795" i="46"/>
  <c r="P2795" i="46"/>
  <c r="R2809" i="46"/>
  <c r="P2809" i="46"/>
  <c r="R1397" i="46"/>
  <c r="P1397" i="46"/>
  <c r="R1384" i="46"/>
  <c r="P1384" i="46"/>
  <c r="R1416" i="46"/>
  <c r="P1416" i="46"/>
  <c r="P1378" i="46"/>
  <c r="R1378" i="46"/>
  <c r="P1414" i="46"/>
  <c r="R1414" i="46"/>
  <c r="R1387" i="46"/>
  <c r="P1387" i="46"/>
  <c r="R1419" i="46"/>
  <c r="P1419" i="46"/>
  <c r="R1435" i="46"/>
  <c r="P1435" i="46"/>
  <c r="R3317" i="46"/>
  <c r="P3317" i="46"/>
  <c r="P2236" i="46"/>
  <c r="R2236" i="46"/>
  <c r="R2239" i="46"/>
  <c r="P2239" i="46"/>
  <c r="R2257" i="46"/>
  <c r="P2257" i="46"/>
  <c r="R2253" i="46"/>
  <c r="P2253" i="46"/>
  <c r="R2393" i="46"/>
  <c r="P2393" i="46"/>
  <c r="P4145" i="46"/>
  <c r="R4145" i="46"/>
  <c r="R4134" i="46"/>
  <c r="P4134" i="46"/>
  <c r="R4164" i="46"/>
  <c r="P4164" i="46"/>
  <c r="R4132" i="46"/>
  <c r="P4132" i="46"/>
  <c r="R4146" i="46"/>
  <c r="P4146" i="46"/>
  <c r="R4138" i="46"/>
  <c r="P4138" i="46"/>
  <c r="P4139" i="46"/>
  <c r="R4139" i="46"/>
  <c r="P4181" i="46"/>
  <c r="R4181" i="46"/>
  <c r="R496" i="46"/>
  <c r="P496" i="46"/>
  <c r="P485" i="46"/>
  <c r="R485" i="46"/>
  <c r="R494" i="46"/>
  <c r="P494" i="46"/>
  <c r="P491" i="46"/>
  <c r="R491" i="46"/>
  <c r="P503" i="46"/>
  <c r="R503" i="46"/>
  <c r="P519" i="46"/>
  <c r="R519" i="46"/>
  <c r="P3714" i="46"/>
  <c r="R3714" i="46"/>
  <c r="P3702" i="46"/>
  <c r="R3702" i="46"/>
  <c r="P3706" i="46"/>
  <c r="R3706" i="46"/>
  <c r="P3710" i="46"/>
  <c r="R3710" i="46"/>
  <c r="R2722" i="46"/>
  <c r="P2722" i="46"/>
  <c r="P2689" i="46"/>
  <c r="R2689" i="46"/>
  <c r="P2683" i="46"/>
  <c r="R2683" i="46"/>
  <c r="P2687" i="46"/>
  <c r="R2687" i="46"/>
  <c r="P2681" i="46"/>
  <c r="R2681" i="46"/>
  <c r="P2691" i="46"/>
  <c r="R2691" i="46"/>
  <c r="R2698" i="46"/>
  <c r="P2698" i="46"/>
  <c r="P2695" i="46"/>
  <c r="R2695" i="46"/>
  <c r="R3028" i="46"/>
  <c r="P3028" i="46"/>
  <c r="R3060" i="46"/>
  <c r="P3060" i="46"/>
  <c r="R3033" i="46"/>
  <c r="P3033" i="46"/>
  <c r="R3065" i="46"/>
  <c r="P3065" i="46"/>
  <c r="R3038" i="46"/>
  <c r="P3038" i="46"/>
  <c r="R3070" i="46"/>
  <c r="P3070" i="46"/>
  <c r="R3043" i="46"/>
  <c r="P3043" i="46"/>
  <c r="P2136" i="46"/>
  <c r="R2136" i="46"/>
  <c r="P2110" i="46"/>
  <c r="R2110" i="46"/>
  <c r="R2121" i="46"/>
  <c r="P2121" i="46"/>
  <c r="P2112" i="46"/>
  <c r="R2112" i="46"/>
  <c r="R2896" i="46"/>
  <c r="P2896" i="46"/>
  <c r="R2904" i="46"/>
  <c r="P2904" i="46"/>
  <c r="R2898" i="46"/>
  <c r="P2898" i="46"/>
  <c r="R2911" i="46"/>
  <c r="P2911" i="46"/>
  <c r="P3740" i="46"/>
  <c r="R3740" i="46"/>
  <c r="R3731" i="46"/>
  <c r="P3731" i="46"/>
  <c r="R3735" i="46"/>
  <c r="P3735" i="46"/>
  <c r="R3739" i="46"/>
  <c r="P3739" i="46"/>
  <c r="R624" i="46"/>
  <c r="P624" i="46"/>
  <c r="R626" i="46"/>
  <c r="P626" i="46"/>
  <c r="R638" i="46"/>
  <c r="P638" i="46"/>
  <c r="P609" i="46"/>
  <c r="R609" i="46"/>
  <c r="P625" i="46"/>
  <c r="R625" i="46"/>
  <c r="P641" i="46"/>
  <c r="R641" i="46"/>
  <c r="R3295" i="46"/>
  <c r="P3295" i="46"/>
  <c r="R3259" i="46"/>
  <c r="P3259" i="46"/>
  <c r="R3254" i="46"/>
  <c r="P3254" i="46"/>
  <c r="R3286" i="46"/>
  <c r="P3286" i="46"/>
  <c r="R3256" i="46"/>
  <c r="P3256" i="46"/>
  <c r="R3288" i="46"/>
  <c r="P3288" i="46"/>
  <c r="R3257" i="46"/>
  <c r="P3257" i="46"/>
  <c r="R3289" i="46"/>
  <c r="P3289" i="46"/>
  <c r="R1806" i="46"/>
  <c r="P1806" i="46"/>
  <c r="R1817" i="46"/>
  <c r="P1817" i="46"/>
  <c r="R1835" i="46"/>
  <c r="P1835" i="46"/>
  <c r="R1828" i="46"/>
  <c r="P1828" i="46"/>
  <c r="R1875" i="46"/>
  <c r="P1875" i="46"/>
  <c r="R1891" i="46"/>
  <c r="P1891" i="46"/>
  <c r="R1907" i="46"/>
  <c r="P1907" i="46"/>
  <c r="R1923" i="46"/>
  <c r="P1923" i="46"/>
  <c r="R1878" i="46"/>
  <c r="P1878" i="46"/>
  <c r="R1894" i="46"/>
  <c r="P1894" i="46"/>
  <c r="R1910" i="46"/>
  <c r="P1910" i="46"/>
  <c r="R1926" i="46"/>
  <c r="P1926" i="46"/>
  <c r="R4282" i="46"/>
  <c r="P4282" i="46"/>
  <c r="R4267" i="46"/>
  <c r="P4267" i="46"/>
  <c r="R4299" i="46"/>
  <c r="P4299" i="46"/>
  <c r="R4276" i="46"/>
  <c r="P4276" i="46"/>
  <c r="R4257" i="46"/>
  <c r="P4257" i="46"/>
  <c r="R4289" i="46"/>
  <c r="P4289" i="46"/>
  <c r="R4307" i="46"/>
  <c r="P4307" i="46"/>
  <c r="R3529" i="46"/>
  <c r="P3529" i="46"/>
  <c r="R3522" i="46"/>
  <c r="P3522" i="46"/>
  <c r="R3525" i="46"/>
  <c r="P3525" i="46"/>
  <c r="R3505" i="46"/>
  <c r="P3505" i="46"/>
  <c r="R3535" i="46"/>
  <c r="P3535" i="46"/>
  <c r="R1599" i="46"/>
  <c r="P1599" i="46"/>
  <c r="R1598" i="46"/>
  <c r="P1598" i="46"/>
  <c r="R1600" i="46"/>
  <c r="P1600" i="46"/>
  <c r="R1605" i="46"/>
  <c r="P1605" i="46"/>
  <c r="P460" i="46"/>
  <c r="R460" i="46"/>
  <c r="F135" i="45"/>
  <c r="G135" i="45" s="1"/>
  <c r="P659" i="46"/>
  <c r="R659" i="46"/>
  <c r="R732" i="46"/>
  <c r="P732" i="46"/>
  <c r="R750" i="46"/>
  <c r="P750" i="46"/>
  <c r="R773" i="46"/>
  <c r="P773" i="46"/>
  <c r="R759" i="46"/>
  <c r="P759" i="46"/>
  <c r="P731" i="46"/>
  <c r="R731" i="46"/>
  <c r="P747" i="46"/>
  <c r="R747" i="46"/>
  <c r="P776" i="46"/>
  <c r="R776" i="46"/>
  <c r="R1253" i="46"/>
  <c r="P1253" i="46"/>
  <c r="P1230" i="46"/>
  <c r="R1230" i="46"/>
  <c r="P1262" i="46"/>
  <c r="R1262" i="46"/>
  <c r="R1239" i="46"/>
  <c r="P1239" i="46"/>
  <c r="R1271" i="46"/>
  <c r="P1271" i="46"/>
  <c r="P1248" i="46"/>
  <c r="R1248" i="46"/>
  <c r="R2286" i="46"/>
  <c r="P2286" i="46"/>
  <c r="R2276" i="46"/>
  <c r="P2276" i="46"/>
  <c r="R2274" i="46"/>
  <c r="P2274" i="46"/>
  <c r="R2278" i="46"/>
  <c r="P2278" i="46"/>
  <c r="R1631" i="46"/>
  <c r="P1631" i="46"/>
  <c r="R1667" i="46"/>
  <c r="P1667" i="46"/>
  <c r="R1642" i="46"/>
  <c r="P1642" i="46"/>
  <c r="R1620" i="46"/>
  <c r="P1620" i="46"/>
  <c r="R1652" i="46"/>
  <c r="P1652" i="46"/>
  <c r="R1629" i="46"/>
  <c r="P1629" i="46"/>
  <c r="R1661" i="46"/>
  <c r="P1661" i="46"/>
  <c r="R3434" i="46"/>
  <c r="P3434" i="46"/>
  <c r="R3426" i="46"/>
  <c r="P3426" i="46"/>
  <c r="P3437" i="46"/>
  <c r="R3437" i="46"/>
  <c r="R1117" i="46"/>
  <c r="P1117" i="46"/>
  <c r="R1149" i="46"/>
  <c r="P1149" i="46"/>
  <c r="P1122" i="46"/>
  <c r="R1122" i="46"/>
  <c r="P1154" i="46"/>
  <c r="R1154" i="46"/>
  <c r="R1127" i="46"/>
  <c r="P1127" i="46"/>
  <c r="R1159" i="46"/>
  <c r="P1159" i="46"/>
  <c r="P1132" i="46"/>
  <c r="R1132" i="46"/>
  <c r="P1164" i="46"/>
  <c r="R1164" i="46"/>
  <c r="P3766" i="46"/>
  <c r="R3766" i="46"/>
  <c r="R3763" i="46"/>
  <c r="P3763" i="46"/>
  <c r="R3767" i="46"/>
  <c r="P3767" i="46"/>
  <c r="R2956" i="46"/>
  <c r="P2956" i="46"/>
  <c r="R2961" i="46"/>
  <c r="P2961" i="46"/>
  <c r="R2966" i="46"/>
  <c r="P2966" i="46"/>
  <c r="R2971" i="46"/>
  <c r="P2971" i="46"/>
  <c r="P3414" i="46"/>
  <c r="R3414" i="46"/>
  <c r="P3400" i="46"/>
  <c r="R3400" i="46"/>
  <c r="P3408" i="46"/>
  <c r="R3408" i="46"/>
  <c r="R2459" i="46"/>
  <c r="P2459" i="46"/>
  <c r="R2472" i="46"/>
  <c r="P2472" i="46"/>
  <c r="R2462" i="46"/>
  <c r="P2462" i="46"/>
  <c r="R2480" i="46"/>
  <c r="P2480" i="46"/>
  <c r="R1727" i="46"/>
  <c r="P1727" i="46"/>
  <c r="R1714" i="46"/>
  <c r="P1714" i="46"/>
  <c r="R1708" i="46"/>
  <c r="P1708" i="46"/>
  <c r="R1740" i="46"/>
  <c r="P1740" i="46"/>
  <c r="R1733" i="46"/>
  <c r="P1733" i="46"/>
  <c r="R1189" i="46"/>
  <c r="P1189" i="46"/>
  <c r="R1221" i="46"/>
  <c r="P1221" i="46"/>
  <c r="P1198" i="46"/>
  <c r="R1198" i="46"/>
  <c r="R1179" i="46"/>
  <c r="P1179" i="46"/>
  <c r="R1211" i="46"/>
  <c r="P1211" i="46"/>
  <c r="P1188" i="46"/>
  <c r="R1188" i="46"/>
  <c r="P1220" i="46"/>
  <c r="R1220" i="46"/>
  <c r="R957" i="46"/>
  <c r="P957" i="46"/>
  <c r="P934" i="46"/>
  <c r="R934" i="46"/>
  <c r="P966" i="46"/>
  <c r="R966" i="46"/>
  <c r="R939" i="46"/>
  <c r="P939" i="46"/>
  <c r="R971" i="46"/>
  <c r="P971" i="46"/>
  <c r="P944" i="46"/>
  <c r="R944" i="46"/>
  <c r="P976" i="46"/>
  <c r="R976" i="46"/>
  <c r="R2536" i="46"/>
  <c r="P2536" i="46"/>
  <c r="P2531" i="46"/>
  <c r="R2531" i="46"/>
  <c r="P2551" i="46"/>
  <c r="R2551" i="46"/>
  <c r="R3922" i="46"/>
  <c r="P3922" i="46"/>
  <c r="R3915" i="46"/>
  <c r="P3915" i="46"/>
  <c r="R3945" i="46"/>
  <c r="P3945" i="46"/>
  <c r="P446" i="46"/>
  <c r="R446" i="46"/>
  <c r="P453" i="46"/>
  <c r="R453" i="46"/>
  <c r="P436" i="46"/>
  <c r="R436" i="46"/>
  <c r="R1845" i="46"/>
  <c r="P1845" i="46"/>
  <c r="R1861" i="46"/>
  <c r="P1861" i="46"/>
  <c r="R1846" i="46"/>
  <c r="P1846" i="46"/>
  <c r="R1862" i="46"/>
  <c r="P1862" i="46"/>
  <c r="R2021" i="46"/>
  <c r="P2021" i="46"/>
  <c r="R1995" i="46"/>
  <c r="P1995" i="46"/>
  <c r="R1993" i="46"/>
  <c r="P1993" i="46"/>
  <c r="P2000" i="46"/>
  <c r="R2000" i="46"/>
  <c r="R2403" i="46"/>
  <c r="P2403" i="46"/>
  <c r="R2435" i="46"/>
  <c r="P2435" i="46"/>
  <c r="R2404" i="46"/>
  <c r="P2404" i="46"/>
  <c r="R2436" i="46"/>
  <c r="P2436" i="46"/>
  <c r="R2405" i="46"/>
  <c r="P2405" i="46"/>
  <c r="R2437" i="46"/>
  <c r="P2437" i="46"/>
  <c r="R2406" i="46"/>
  <c r="P2406" i="46"/>
  <c r="R2438" i="46"/>
  <c r="P2438" i="46"/>
  <c r="P476" i="46"/>
  <c r="R476" i="46"/>
  <c r="R805" i="46"/>
  <c r="P805" i="46"/>
  <c r="P798" i="46"/>
  <c r="R798" i="46"/>
  <c r="P830" i="46"/>
  <c r="R830" i="46"/>
  <c r="R827" i="46"/>
  <c r="P827" i="46"/>
  <c r="P824" i="46"/>
  <c r="R824" i="46"/>
  <c r="R3479" i="46"/>
  <c r="P3479" i="46"/>
  <c r="P3469" i="46"/>
  <c r="R3469" i="46"/>
  <c r="R3478" i="46"/>
  <c r="P3478" i="46"/>
  <c r="R3452" i="46"/>
  <c r="P3452" i="46"/>
  <c r="R3457" i="46"/>
  <c r="P3457" i="46"/>
  <c r="R3464" i="46"/>
  <c r="P3464" i="46"/>
  <c r="R3467" i="46"/>
  <c r="P3467" i="46"/>
  <c r="P2523" i="46"/>
  <c r="R2523" i="46"/>
  <c r="R2165" i="46"/>
  <c r="P2165" i="46"/>
  <c r="P2142" i="46"/>
  <c r="R2142" i="46"/>
  <c r="R2153" i="46"/>
  <c r="P2153" i="46"/>
  <c r="R2157" i="46"/>
  <c r="P2157" i="46"/>
  <c r="R570" i="46"/>
  <c r="P570" i="46"/>
  <c r="R540" i="46"/>
  <c r="P540" i="46"/>
  <c r="R536" i="46"/>
  <c r="P536" i="46"/>
  <c r="R548" i="46"/>
  <c r="P548" i="46"/>
  <c r="P545" i="46"/>
  <c r="R545" i="46"/>
  <c r="P561" i="46"/>
  <c r="R561" i="46"/>
  <c r="P577" i="46"/>
  <c r="R577" i="46"/>
  <c r="R2489" i="46"/>
  <c r="P2489" i="46"/>
  <c r="P2509" i="46"/>
  <c r="R2509" i="46"/>
  <c r="R2490" i="46"/>
  <c r="P2490" i="46"/>
  <c r="P2513" i="46"/>
  <c r="R2513" i="46"/>
  <c r="R1587" i="46"/>
  <c r="P1587" i="46"/>
  <c r="R1563" i="46"/>
  <c r="P1563" i="46"/>
  <c r="R1538" i="46"/>
  <c r="P1538" i="46"/>
  <c r="R1570" i="46"/>
  <c r="P1570" i="46"/>
  <c r="R1540" i="46"/>
  <c r="P1540" i="46"/>
  <c r="R1572" i="46"/>
  <c r="P1572" i="46"/>
  <c r="R1541" i="46"/>
  <c r="P1541" i="46"/>
  <c r="R1573" i="46"/>
  <c r="P1573" i="46"/>
  <c r="P3658" i="46"/>
  <c r="R3658" i="46"/>
  <c r="R3648" i="46"/>
  <c r="P3648" i="46"/>
  <c r="P3655" i="46"/>
  <c r="R3655" i="46"/>
  <c r="R3649" i="46"/>
  <c r="P3649" i="46"/>
  <c r="R2622" i="46"/>
  <c r="P2622" i="46"/>
  <c r="R2620" i="46"/>
  <c r="P2620" i="46"/>
  <c r="P2627" i="46"/>
  <c r="R2627" i="46"/>
  <c r="R2628" i="46"/>
  <c r="P2628" i="46"/>
  <c r="R3346" i="46"/>
  <c r="P3346" i="46"/>
  <c r="R3350" i="46"/>
  <c r="P3350" i="46"/>
  <c r="R3366" i="46"/>
  <c r="P3366" i="46"/>
  <c r="R3382" i="46"/>
  <c r="P3382" i="46"/>
  <c r="R3365" i="46"/>
  <c r="P3365" i="46"/>
  <c r="R3381" i="46"/>
  <c r="P3381" i="46"/>
  <c r="R2324" i="46"/>
  <c r="P2324" i="46"/>
  <c r="R2325" i="46"/>
  <c r="P2325" i="46"/>
  <c r="R2326" i="46"/>
  <c r="P2326" i="46"/>
  <c r="R3864" i="46"/>
  <c r="P3864" i="46"/>
  <c r="R3900" i="46"/>
  <c r="P3900" i="46"/>
  <c r="R3865" i="46"/>
  <c r="P3865" i="46"/>
  <c r="R3897" i="46"/>
  <c r="P3897" i="46"/>
  <c r="R3874" i="46"/>
  <c r="P3874" i="46"/>
  <c r="R3907" i="46"/>
  <c r="P3907" i="46"/>
  <c r="R3883" i="46"/>
  <c r="P3883" i="46"/>
  <c r="R3914" i="46"/>
  <c r="P3914" i="46"/>
  <c r="R382" i="46"/>
  <c r="P382" i="46"/>
  <c r="P421" i="46"/>
  <c r="R421" i="46"/>
  <c r="R403" i="46"/>
  <c r="P403" i="46"/>
  <c r="P431" i="46"/>
  <c r="R431" i="46"/>
  <c r="P425" i="46"/>
  <c r="R425" i="46"/>
  <c r="P416" i="46"/>
  <c r="R416" i="46"/>
  <c r="R395" i="46"/>
  <c r="P395" i="46"/>
  <c r="R400" i="46"/>
  <c r="P400" i="46"/>
  <c r="P2753" i="46"/>
  <c r="R2753" i="46"/>
  <c r="P2751" i="46"/>
  <c r="R2751" i="46"/>
  <c r="R2752" i="46"/>
  <c r="P2752" i="46"/>
  <c r="P2743" i="46"/>
  <c r="R2743" i="46"/>
  <c r="R857" i="46"/>
  <c r="P857" i="46"/>
  <c r="R889" i="46"/>
  <c r="P889" i="46"/>
  <c r="P858" i="46"/>
  <c r="R858" i="46"/>
  <c r="P890" i="46"/>
  <c r="R890" i="46"/>
  <c r="R863" i="46"/>
  <c r="P863" i="46"/>
  <c r="P836" i="46"/>
  <c r="R836" i="46"/>
  <c r="P868" i="46"/>
  <c r="R868" i="46"/>
  <c r="R3820" i="46"/>
  <c r="P3820" i="46"/>
  <c r="R3797" i="46"/>
  <c r="P3797" i="46"/>
  <c r="R3798" i="46"/>
  <c r="P3798" i="46"/>
  <c r="R3799" i="46"/>
  <c r="P3799" i="46"/>
  <c r="R2992" i="46"/>
  <c r="P2992" i="46"/>
  <c r="R2993" i="46"/>
  <c r="P2993" i="46"/>
  <c r="R2994" i="46"/>
  <c r="P2994" i="46"/>
  <c r="R2995" i="46"/>
  <c r="P2995" i="46"/>
  <c r="R340" i="46"/>
  <c r="P340" i="46"/>
  <c r="P356" i="46"/>
  <c r="R356" i="46"/>
  <c r="P339" i="46"/>
  <c r="R339" i="46"/>
  <c r="P355" i="46"/>
  <c r="R355" i="46"/>
  <c r="R368" i="46"/>
  <c r="P368" i="46"/>
  <c r="R1941" i="46"/>
  <c r="P1941" i="46"/>
  <c r="P1954" i="46"/>
  <c r="R1954" i="46"/>
  <c r="R1944" i="46"/>
  <c r="P1944" i="46"/>
  <c r="R1523" i="46"/>
  <c r="P1523" i="46"/>
  <c r="R1467" i="46"/>
  <c r="P1467" i="46"/>
  <c r="R1466" i="46"/>
  <c r="P1466" i="46"/>
  <c r="R1498" i="46"/>
  <c r="P1498" i="46"/>
  <c r="R1468" i="46"/>
  <c r="P1468" i="46"/>
  <c r="R1500" i="46"/>
  <c r="P1500" i="46"/>
  <c r="R1473" i="46"/>
  <c r="P1473" i="46"/>
  <c r="R1505" i="46"/>
  <c r="P1505" i="46"/>
  <c r="R280" i="46"/>
  <c r="P280" i="46"/>
  <c r="R296" i="46"/>
  <c r="P296" i="46"/>
  <c r="R312" i="46"/>
  <c r="P312" i="46"/>
  <c r="R328" i="46"/>
  <c r="P328" i="46"/>
  <c r="P283" i="46"/>
  <c r="R283" i="46"/>
  <c r="P299" i="46"/>
  <c r="R299" i="46"/>
  <c r="P315" i="46"/>
  <c r="R315" i="46"/>
  <c r="P331" i="46"/>
  <c r="R331" i="46"/>
  <c r="R672" i="46"/>
  <c r="P672" i="46"/>
  <c r="R678" i="46"/>
  <c r="P678" i="46"/>
  <c r="R670" i="46"/>
  <c r="P670" i="46"/>
  <c r="P667" i="46"/>
  <c r="R667" i="46"/>
  <c r="P683" i="46"/>
  <c r="R683" i="46"/>
  <c r="P699" i="46"/>
  <c r="R699" i="46"/>
  <c r="P715" i="46"/>
  <c r="R715" i="46"/>
  <c r="R2097" i="46"/>
  <c r="P2097" i="46"/>
  <c r="P2098" i="46"/>
  <c r="R2098" i="46"/>
  <c r="P2102" i="46"/>
  <c r="R2102" i="46"/>
  <c r="P2106" i="46"/>
  <c r="R2106" i="46"/>
  <c r="R1013" i="46"/>
  <c r="P1013" i="46"/>
  <c r="R1045" i="46"/>
  <c r="P1045" i="46"/>
  <c r="P1014" i="46"/>
  <c r="R1014" i="46"/>
  <c r="R987" i="46"/>
  <c r="P987" i="46"/>
  <c r="R1019" i="46"/>
  <c r="P1019" i="46"/>
  <c r="P988" i="46"/>
  <c r="R988" i="46"/>
  <c r="P1020" i="46"/>
  <c r="R1020" i="46"/>
  <c r="R2893" i="46"/>
  <c r="P2893" i="46"/>
  <c r="R2883" i="46"/>
  <c r="P2883" i="46"/>
  <c r="R3328" i="46"/>
  <c r="P3328" i="46"/>
  <c r="R3848" i="46"/>
  <c r="P3848" i="46"/>
  <c r="R3184" i="46"/>
  <c r="P3184" i="46"/>
  <c r="R3155" i="46"/>
  <c r="P3155" i="46"/>
  <c r="R4112" i="46"/>
  <c r="P4112" i="46"/>
  <c r="R4098" i="46"/>
  <c r="P4098" i="46"/>
  <c r="P1094" i="46"/>
  <c r="R1094" i="46"/>
  <c r="R2197" i="46"/>
  <c r="P2197" i="46"/>
  <c r="P3689" i="46"/>
  <c r="R3689" i="46"/>
  <c r="P2673" i="46"/>
  <c r="R2673" i="46"/>
  <c r="R3073" i="46"/>
  <c r="P3073" i="46"/>
  <c r="R3091" i="46"/>
  <c r="P3091" i="46"/>
  <c r="R4329" i="46"/>
  <c r="P4329" i="46"/>
  <c r="R3200" i="46"/>
  <c r="P3200" i="46"/>
  <c r="R3228" i="46"/>
  <c r="P3228" i="46"/>
  <c r="R4246" i="46"/>
  <c r="P4246" i="46"/>
  <c r="R4220" i="46"/>
  <c r="P4220" i="46"/>
  <c r="R2925" i="46"/>
  <c r="P2925" i="46"/>
  <c r="P2587" i="46"/>
  <c r="R2587" i="46"/>
  <c r="R1754" i="46"/>
  <c r="P1754" i="46"/>
  <c r="R3545" i="46"/>
  <c r="P3545" i="46"/>
  <c r="P3589" i="46"/>
  <c r="R3589" i="46"/>
  <c r="P2557" i="46"/>
  <c r="R2557" i="46"/>
  <c r="R1047" i="46"/>
  <c r="P1047" i="46"/>
  <c r="R4030" i="46"/>
  <c r="P4030" i="46"/>
  <c r="P470" i="46"/>
  <c r="R470" i="46"/>
  <c r="R1441" i="46"/>
  <c r="P1441" i="46"/>
  <c r="P2212" i="46"/>
  <c r="R2212" i="46"/>
  <c r="P2214" i="46"/>
  <c r="R2214" i="46"/>
  <c r="R921" i="46"/>
  <c r="P921" i="46"/>
  <c r="P1966" i="46"/>
  <c r="R1966" i="46"/>
  <c r="R2824" i="46"/>
  <c r="P2824" i="46"/>
  <c r="R1379" i="46"/>
  <c r="P1379" i="46"/>
  <c r="P4163" i="46"/>
  <c r="R4163" i="46"/>
  <c r="P4193" i="46"/>
  <c r="R4193" i="46"/>
  <c r="P3728" i="46"/>
  <c r="R3728" i="46"/>
  <c r="R2678" i="46"/>
  <c r="P2678" i="46"/>
  <c r="R3061" i="46"/>
  <c r="P3061" i="46"/>
  <c r="R2107" i="46"/>
  <c r="P2107" i="46"/>
  <c r="R3733" i="46"/>
  <c r="P3733" i="46"/>
  <c r="R3263" i="46"/>
  <c r="P3263" i="46"/>
  <c r="R3285" i="46"/>
  <c r="P3285" i="46"/>
  <c r="R1921" i="46"/>
  <c r="P1921" i="46"/>
  <c r="R1924" i="46"/>
  <c r="P1924" i="46"/>
  <c r="R4314" i="46"/>
  <c r="P4314" i="46"/>
  <c r="R756" i="46"/>
  <c r="P756" i="46"/>
  <c r="P1226" i="46"/>
  <c r="R1226" i="46"/>
  <c r="R1643" i="46"/>
  <c r="P1643" i="46"/>
  <c r="R3432" i="46"/>
  <c r="P3432" i="46"/>
  <c r="P1150" i="46"/>
  <c r="R1150" i="46"/>
  <c r="P1128" i="46"/>
  <c r="R1128" i="46"/>
  <c r="P3415" i="46"/>
  <c r="R3415" i="46"/>
  <c r="R1739" i="46"/>
  <c r="P1739" i="46"/>
  <c r="R1175" i="46"/>
  <c r="P1175" i="46"/>
  <c r="P962" i="46"/>
  <c r="R962" i="46"/>
  <c r="R3941" i="46"/>
  <c r="P3941" i="46"/>
  <c r="P896" i="46"/>
  <c r="R896" i="46"/>
  <c r="R2432" i="46"/>
  <c r="P2432" i="46"/>
  <c r="R3495" i="46"/>
  <c r="P3495" i="46"/>
  <c r="R3460" i="46"/>
  <c r="P3460" i="46"/>
  <c r="P2144" i="46"/>
  <c r="R2144" i="46"/>
  <c r="P559" i="46"/>
  <c r="R559" i="46"/>
  <c r="R1555" i="46"/>
  <c r="P1555" i="46"/>
  <c r="P3656" i="46"/>
  <c r="R3656" i="46"/>
  <c r="P2635" i="46"/>
  <c r="R2635" i="46"/>
  <c r="R3363" i="46"/>
  <c r="P3363" i="46"/>
  <c r="R2352" i="46"/>
  <c r="P2352" i="46"/>
  <c r="R3893" i="46"/>
  <c r="P3893" i="46"/>
  <c r="R375" i="46"/>
  <c r="P375" i="46"/>
  <c r="R413" i="46"/>
  <c r="P413" i="46"/>
  <c r="R2740" i="46"/>
  <c r="P2740" i="46"/>
  <c r="R859" i="46"/>
  <c r="P859" i="46"/>
  <c r="P864" i="46"/>
  <c r="R864" i="46"/>
  <c r="R2989" i="46"/>
  <c r="P2989" i="46"/>
  <c r="R367" i="46"/>
  <c r="P367" i="46"/>
  <c r="R1942" i="46"/>
  <c r="P1942" i="46"/>
  <c r="R1526" i="46"/>
  <c r="P1526" i="46"/>
  <c r="P2084" i="46"/>
  <c r="R2084" i="46"/>
  <c r="R2845" i="46"/>
  <c r="P2845" i="46"/>
  <c r="R3336" i="46"/>
  <c r="P3336" i="46"/>
  <c r="R3850" i="46"/>
  <c r="P3850" i="46"/>
  <c r="R3130" i="46"/>
  <c r="P3130" i="46"/>
  <c r="R3315" i="46"/>
  <c r="P3315" i="46"/>
  <c r="R4114" i="46"/>
  <c r="P4114" i="46"/>
  <c r="R3695" i="46"/>
  <c r="P3695" i="46"/>
  <c r="R1763" i="46"/>
  <c r="P1763" i="46"/>
  <c r="R1765" i="46"/>
  <c r="P1765" i="46"/>
  <c r="R3558" i="46"/>
  <c r="P3558" i="46"/>
  <c r="P3579" i="46"/>
  <c r="R3579" i="46"/>
  <c r="R1353" i="46"/>
  <c r="P1353" i="46"/>
  <c r="R4011" i="46"/>
  <c r="P4011" i="46"/>
  <c r="R4009" i="46"/>
  <c r="P4009" i="46"/>
  <c r="R2373" i="46"/>
  <c r="P2373" i="46"/>
  <c r="R1465" i="46"/>
  <c r="P1465" i="46"/>
  <c r="R3623" i="46"/>
  <c r="P3623" i="46"/>
  <c r="R598" i="46"/>
  <c r="P598" i="46"/>
  <c r="R1973" i="46"/>
  <c r="P1973" i="46"/>
  <c r="P1984" i="46"/>
  <c r="R1984" i="46"/>
  <c r="R2799" i="46"/>
  <c r="P2799" i="46"/>
  <c r="R1388" i="46"/>
  <c r="P1388" i="46"/>
  <c r="R1418" i="46"/>
  <c r="P1418" i="46"/>
  <c r="R2254" i="46"/>
  <c r="P2254" i="46"/>
  <c r="R2386" i="46"/>
  <c r="P2386" i="46"/>
  <c r="P4159" i="46"/>
  <c r="R4159" i="46"/>
  <c r="P495" i="46"/>
  <c r="R495" i="46"/>
  <c r="R3713" i="46"/>
  <c r="P3713" i="46"/>
  <c r="R2700" i="46"/>
  <c r="P2700" i="46"/>
  <c r="R2708" i="46"/>
  <c r="P2708" i="46"/>
  <c r="R3042" i="46"/>
  <c r="P3042" i="46"/>
  <c r="R2123" i="46"/>
  <c r="P2123" i="46"/>
  <c r="R2915" i="46"/>
  <c r="P2915" i="46"/>
  <c r="P3752" i="46"/>
  <c r="R3752" i="46"/>
  <c r="R654" i="46"/>
  <c r="P654" i="46"/>
  <c r="R3291" i="46"/>
  <c r="P3291" i="46"/>
  <c r="R3290" i="46"/>
  <c r="P3290" i="46"/>
  <c r="R3292" i="46"/>
  <c r="P3292" i="46"/>
  <c r="R3293" i="46"/>
  <c r="P3293" i="46"/>
  <c r="R1833" i="46"/>
  <c r="P1833" i="46"/>
  <c r="R1830" i="46"/>
  <c r="P1830" i="46"/>
  <c r="R1893" i="46"/>
  <c r="P1893" i="46"/>
  <c r="R1925" i="46"/>
  <c r="P1925" i="46"/>
  <c r="R1896" i="46"/>
  <c r="P1896" i="46"/>
  <c r="R4286" i="46"/>
  <c r="P4286" i="46"/>
  <c r="R4293" i="46"/>
  <c r="P4293" i="46"/>
  <c r="P3517" i="46"/>
  <c r="R3517" i="46"/>
  <c r="R3534" i="46"/>
  <c r="P3534" i="46"/>
  <c r="R3508" i="46"/>
  <c r="P3508" i="46"/>
  <c r="R1604" i="46"/>
  <c r="P1604" i="46"/>
  <c r="P463" i="46"/>
  <c r="R463" i="46"/>
  <c r="P661" i="46"/>
  <c r="R661" i="46"/>
  <c r="R724" i="46"/>
  <c r="P724" i="46"/>
  <c r="P733" i="46"/>
  <c r="R733" i="46"/>
  <c r="R1225" i="46"/>
  <c r="P1225" i="46"/>
  <c r="P1234" i="46"/>
  <c r="R1234" i="46"/>
  <c r="R1275" i="46"/>
  <c r="P1275" i="46"/>
  <c r="R2262" i="46"/>
  <c r="P2262" i="46"/>
  <c r="R2287" i="46"/>
  <c r="P2287" i="46"/>
  <c r="R2291" i="46"/>
  <c r="P2291" i="46"/>
  <c r="R1646" i="46"/>
  <c r="P1646" i="46"/>
  <c r="R1656" i="46"/>
  <c r="P1656" i="46"/>
  <c r="P3425" i="46"/>
  <c r="R3425" i="46"/>
  <c r="R3438" i="46"/>
  <c r="P3438" i="46"/>
  <c r="P1126" i="46"/>
  <c r="R1126" i="46"/>
  <c r="R1131" i="46"/>
  <c r="P1131" i="46"/>
  <c r="P3762" i="46"/>
  <c r="R3762" i="46"/>
  <c r="R3770" i="46"/>
  <c r="P3770" i="46"/>
  <c r="R2965" i="46"/>
  <c r="P2965" i="46"/>
  <c r="R2975" i="46"/>
  <c r="P2975" i="46"/>
  <c r="P3410" i="46"/>
  <c r="R3410" i="46"/>
  <c r="R2463" i="46"/>
  <c r="P2463" i="46"/>
  <c r="R2466" i="46"/>
  <c r="P2466" i="46"/>
  <c r="R1718" i="46"/>
  <c r="P1718" i="46"/>
  <c r="R1193" i="46"/>
  <c r="P1193" i="46"/>
  <c r="P1202" i="46"/>
  <c r="R1202" i="46"/>
  <c r="R1215" i="46"/>
  <c r="P1215" i="46"/>
  <c r="R961" i="46"/>
  <c r="P961" i="46"/>
  <c r="P970" i="46"/>
  <c r="R970" i="46"/>
  <c r="P948" i="46"/>
  <c r="R948" i="46"/>
  <c r="P2539" i="46"/>
  <c r="R2539" i="46"/>
  <c r="R3917" i="46"/>
  <c r="P3917" i="46"/>
  <c r="P3916" i="46"/>
  <c r="R3916" i="46"/>
  <c r="P438" i="46"/>
  <c r="R438" i="46"/>
  <c r="R1863" i="46"/>
  <c r="P1863" i="46"/>
  <c r="R1864" i="46"/>
  <c r="P1864" i="46"/>
  <c r="P1998" i="46"/>
  <c r="R1998" i="46"/>
  <c r="R2013" i="46"/>
  <c r="P2013" i="46"/>
  <c r="R2439" i="46"/>
  <c r="P2439" i="46"/>
  <c r="R2409" i="46"/>
  <c r="P2409" i="46"/>
  <c r="R2410" i="46"/>
  <c r="P2410" i="46"/>
  <c r="P479" i="46"/>
  <c r="R479" i="46"/>
  <c r="R799" i="46"/>
  <c r="P799" i="46"/>
  <c r="P828" i="46"/>
  <c r="R828" i="46"/>
  <c r="R3481" i="46"/>
  <c r="P3481" i="46"/>
  <c r="R3466" i="46"/>
  <c r="P3466" i="46"/>
  <c r="R3476" i="46"/>
  <c r="P3476" i="46"/>
  <c r="R2155" i="46"/>
  <c r="P2155" i="46"/>
  <c r="P2160" i="46"/>
  <c r="R2160" i="46"/>
  <c r="R556" i="46"/>
  <c r="P556" i="46"/>
  <c r="P547" i="46"/>
  <c r="R547" i="46"/>
  <c r="P579" i="46"/>
  <c r="R579" i="46"/>
  <c r="R2512" i="46"/>
  <c r="P2512" i="46"/>
  <c r="R1547" i="46"/>
  <c r="P1547" i="46"/>
  <c r="R1574" i="46"/>
  <c r="P1574" i="46"/>
  <c r="R1576" i="46"/>
  <c r="P1576" i="46"/>
  <c r="P3665" i="46"/>
  <c r="R3665" i="46"/>
  <c r="P3664" i="46"/>
  <c r="R3664" i="46"/>
  <c r="P2625" i="46"/>
  <c r="R2625" i="46"/>
  <c r="P2631" i="46"/>
  <c r="R2631" i="46"/>
  <c r="R3352" i="46"/>
  <c r="P3352" i="46"/>
  <c r="R3351" i="46"/>
  <c r="P3351" i="46"/>
  <c r="R2327" i="46"/>
  <c r="P2327" i="46"/>
  <c r="R2329" i="46"/>
  <c r="P2329" i="46"/>
  <c r="R2330" i="46"/>
  <c r="P2330" i="46"/>
  <c r="R3856" i="46"/>
  <c r="P3856" i="46"/>
  <c r="R3878" i="46"/>
  <c r="P3878" i="46"/>
  <c r="R3887" i="46"/>
  <c r="P3887" i="46"/>
  <c r="R380" i="46"/>
  <c r="P380" i="46"/>
  <c r="R410" i="46"/>
  <c r="P410" i="46"/>
  <c r="P419" i="46"/>
  <c r="R419" i="46"/>
  <c r="R409" i="46"/>
  <c r="P409" i="46"/>
  <c r="P2755" i="46"/>
  <c r="R2755" i="46"/>
  <c r="R861" i="46"/>
  <c r="P861" i="46"/>
  <c r="R835" i="46"/>
  <c r="P835" i="46"/>
  <c r="P840" i="46"/>
  <c r="R840" i="46"/>
  <c r="R3808" i="46"/>
  <c r="P3808" i="46"/>
  <c r="R3803" i="46"/>
  <c r="P3803" i="46"/>
  <c r="R2997" i="46"/>
  <c r="P2997" i="46"/>
  <c r="R342" i="46"/>
  <c r="P342" i="46"/>
  <c r="P341" i="46"/>
  <c r="R341" i="46"/>
  <c r="R1957" i="46"/>
  <c r="P1957" i="46"/>
  <c r="R1930" i="46"/>
  <c r="P1930" i="46"/>
  <c r="R1499" i="46"/>
  <c r="P1499" i="46"/>
  <c r="R1502" i="46"/>
  <c r="P1502" i="46"/>
  <c r="R1504" i="46"/>
  <c r="P1504" i="46"/>
  <c r="P282" i="46"/>
  <c r="R282" i="46"/>
  <c r="R314" i="46"/>
  <c r="P314" i="46"/>
  <c r="P301" i="46"/>
  <c r="R301" i="46"/>
  <c r="P333" i="46"/>
  <c r="R333" i="46"/>
  <c r="R710" i="46"/>
  <c r="P710" i="46"/>
  <c r="P685" i="46"/>
  <c r="R685" i="46"/>
  <c r="P717" i="46"/>
  <c r="R717" i="46"/>
  <c r="P2076" i="46"/>
  <c r="R2076" i="46"/>
  <c r="R1017" i="46"/>
  <c r="P1017" i="46"/>
  <c r="P1018" i="46"/>
  <c r="R1018" i="46"/>
  <c r="P992" i="46"/>
  <c r="R992" i="46"/>
  <c r="R2892" i="46"/>
  <c r="P2892" i="46"/>
  <c r="R2853" i="46"/>
  <c r="P2853" i="46"/>
  <c r="R2877" i="46"/>
  <c r="P2877" i="46"/>
  <c r="R1702" i="46"/>
  <c r="P1702" i="46"/>
  <c r="R1704" i="46"/>
  <c r="P1704" i="46"/>
  <c r="R2321" i="46"/>
  <c r="P2321" i="46"/>
  <c r="P4113" i="46"/>
  <c r="R4113" i="46"/>
  <c r="R1791" i="46"/>
  <c r="P1791" i="46"/>
  <c r="R1795" i="46"/>
  <c r="P1795" i="46"/>
  <c r="R1766" i="46"/>
  <c r="P1766" i="46"/>
  <c r="R1798" i="46"/>
  <c r="P1798" i="46"/>
  <c r="R1768" i="46"/>
  <c r="P1768" i="46"/>
  <c r="R1800" i="46"/>
  <c r="P1800" i="46"/>
  <c r="R1769" i="46"/>
  <c r="P1769" i="46"/>
  <c r="R1801" i="46"/>
  <c r="P1801" i="46"/>
  <c r="R2033" i="46"/>
  <c r="P2033" i="46"/>
  <c r="R2043" i="46"/>
  <c r="P2043" i="46"/>
  <c r="P2050" i="46"/>
  <c r="R2050" i="46"/>
  <c r="P2060" i="46"/>
  <c r="R2060" i="46"/>
  <c r="P2070" i="46"/>
  <c r="R2070" i="46"/>
  <c r="P2026" i="46"/>
  <c r="R2026" i="46"/>
  <c r="P3581" i="46"/>
  <c r="R3581" i="46"/>
  <c r="R3543" i="46"/>
  <c r="P3543" i="46"/>
  <c r="R3573" i="46"/>
  <c r="P3573" i="46"/>
  <c r="R3553" i="46"/>
  <c r="P3553" i="46"/>
  <c r="R3576" i="46"/>
  <c r="P3576" i="46"/>
  <c r="R3586" i="46"/>
  <c r="P3586" i="46"/>
  <c r="R3600" i="46"/>
  <c r="P3600" i="46"/>
  <c r="P3595" i="46"/>
  <c r="R3595" i="46"/>
  <c r="P2565" i="46"/>
  <c r="R2565" i="46"/>
  <c r="R2556" i="46"/>
  <c r="P2556" i="46"/>
  <c r="R2560" i="46"/>
  <c r="P2560" i="46"/>
  <c r="R2564" i="46"/>
  <c r="P2564" i="46"/>
  <c r="R1357" i="46"/>
  <c r="P1357" i="46"/>
  <c r="P1350" i="46"/>
  <c r="R1350" i="46"/>
  <c r="R1347" i="46"/>
  <c r="P1347" i="46"/>
  <c r="P1344" i="46"/>
  <c r="R1344" i="46"/>
  <c r="R1049" i="46"/>
  <c r="P1049" i="46"/>
  <c r="P1048" i="46"/>
  <c r="R1048" i="46"/>
  <c r="P782" i="46"/>
  <c r="R782" i="46"/>
  <c r="R795" i="46"/>
  <c r="P795" i="46"/>
  <c r="R4045" i="46"/>
  <c r="P4045" i="46"/>
  <c r="R4048" i="46"/>
  <c r="P4048" i="46"/>
  <c r="R4058" i="46"/>
  <c r="P4058" i="46"/>
  <c r="P4018" i="46"/>
  <c r="R4018" i="46"/>
  <c r="R4035" i="46"/>
  <c r="P4035" i="46"/>
  <c r="P4022" i="46"/>
  <c r="R4022" i="46"/>
  <c r="R4036" i="46"/>
  <c r="P4036" i="46"/>
  <c r="R4013" i="46"/>
  <c r="P4013" i="46"/>
  <c r="P468" i="46"/>
  <c r="R468" i="46"/>
  <c r="R3387" i="46"/>
  <c r="P3387" i="46"/>
  <c r="R2375" i="46"/>
  <c r="P2375" i="46"/>
  <c r="R2376" i="46"/>
  <c r="P2376" i="46"/>
  <c r="R2377" i="46"/>
  <c r="P2377" i="46"/>
  <c r="R2378" i="46"/>
  <c r="P2378" i="46"/>
  <c r="R1439" i="46"/>
  <c r="P1439" i="46"/>
  <c r="R1450" i="46"/>
  <c r="P1450" i="46"/>
  <c r="P1438" i="46"/>
  <c r="R1438" i="46"/>
  <c r="P2216" i="46"/>
  <c r="R2216" i="46"/>
  <c r="R2203" i="46"/>
  <c r="P2203" i="46"/>
  <c r="R2201" i="46"/>
  <c r="P2201" i="46"/>
  <c r="R2205" i="46"/>
  <c r="P2205" i="46"/>
  <c r="R3608" i="46"/>
  <c r="P3608" i="46"/>
  <c r="R3624" i="46"/>
  <c r="P3624" i="46"/>
  <c r="R3609" i="46"/>
  <c r="P3609" i="46"/>
  <c r="R3625" i="46"/>
  <c r="P3625" i="46"/>
  <c r="R594" i="46"/>
  <c r="P594" i="46"/>
  <c r="R901" i="46"/>
  <c r="P901" i="46"/>
  <c r="P906" i="46"/>
  <c r="R906" i="46"/>
  <c r="R907" i="46"/>
  <c r="P907" i="46"/>
  <c r="P912" i="46"/>
  <c r="R912" i="46"/>
  <c r="R1969" i="46"/>
  <c r="P1969" i="46"/>
  <c r="R1967" i="46"/>
  <c r="P1967" i="46"/>
  <c r="R1971" i="46"/>
  <c r="P1971" i="46"/>
  <c r="P1962" i="46"/>
  <c r="R1962" i="46"/>
  <c r="R2808" i="46"/>
  <c r="P2808" i="46"/>
  <c r="R2779" i="46"/>
  <c r="P2779" i="46"/>
  <c r="R2784" i="46"/>
  <c r="P2784" i="46"/>
  <c r="R2813" i="46"/>
  <c r="P2813" i="46"/>
  <c r="R2789" i="46"/>
  <c r="P2789" i="46"/>
  <c r="R2807" i="46"/>
  <c r="P2807" i="46"/>
  <c r="R2811" i="46"/>
  <c r="P2811" i="46"/>
  <c r="R2825" i="46"/>
  <c r="P2825" i="46"/>
  <c r="R1385" i="46"/>
  <c r="P1385" i="46"/>
  <c r="R1392" i="46"/>
  <c r="P1392" i="46"/>
  <c r="R1424" i="46"/>
  <c r="P1424" i="46"/>
  <c r="P1390" i="46"/>
  <c r="R1390" i="46"/>
  <c r="P1422" i="46"/>
  <c r="R1422" i="46"/>
  <c r="R1395" i="46"/>
  <c r="P1395" i="46"/>
  <c r="R1427" i="46"/>
  <c r="P1427" i="46"/>
  <c r="R3323" i="46"/>
  <c r="P3323" i="46"/>
  <c r="R3325" i="46"/>
  <c r="P3325" i="46"/>
  <c r="P2240" i="46"/>
  <c r="R2240" i="46"/>
  <c r="R2243" i="46"/>
  <c r="P2243" i="46"/>
  <c r="R2260" i="46"/>
  <c r="P2260" i="46"/>
  <c r="R2387" i="46"/>
  <c r="P2387" i="46"/>
  <c r="R2390" i="46"/>
  <c r="P2390" i="46"/>
  <c r="P4153" i="46"/>
  <c r="R4153" i="46"/>
  <c r="R4172" i="46"/>
  <c r="P4172" i="46"/>
  <c r="R4140" i="46"/>
  <c r="P4140" i="46"/>
  <c r="P4157" i="46"/>
  <c r="R4157" i="46"/>
  <c r="R4162" i="46"/>
  <c r="P4162" i="46"/>
  <c r="R4154" i="46"/>
  <c r="P4154" i="46"/>
  <c r="P4155" i="46"/>
  <c r="R4155" i="46"/>
  <c r="R502" i="46"/>
  <c r="P502" i="46"/>
  <c r="R528" i="46"/>
  <c r="P528" i="46"/>
  <c r="P486" i="46"/>
  <c r="R486" i="46"/>
  <c r="R520" i="46"/>
  <c r="P520" i="46"/>
  <c r="R500" i="46"/>
  <c r="P500" i="46"/>
  <c r="P507" i="46"/>
  <c r="R507" i="46"/>
  <c r="P523" i="46"/>
  <c r="R523" i="46"/>
  <c r="R3717" i="46"/>
  <c r="P3717" i="46"/>
  <c r="P3718" i="46"/>
  <c r="R3718" i="46"/>
  <c r="P3722" i="46"/>
  <c r="R3722" i="46"/>
  <c r="P3726" i="46"/>
  <c r="R3726" i="46"/>
  <c r="P2677" i="46"/>
  <c r="R2677" i="46"/>
  <c r="P2705" i="46"/>
  <c r="R2705" i="46"/>
  <c r="P2699" i="46"/>
  <c r="R2699" i="46"/>
  <c r="P2703" i="46"/>
  <c r="R2703" i="46"/>
  <c r="P2697" i="46"/>
  <c r="R2697" i="46"/>
  <c r="P2707" i="46"/>
  <c r="R2707" i="46"/>
  <c r="R2714" i="46"/>
  <c r="P2714" i="46"/>
  <c r="P2711" i="46"/>
  <c r="R2711" i="46"/>
  <c r="R3036" i="46"/>
  <c r="P3036" i="46"/>
  <c r="R3068" i="46"/>
  <c r="P3068" i="46"/>
  <c r="R3041" i="46"/>
  <c r="P3041" i="46"/>
  <c r="R3014" i="46"/>
  <c r="P3014" i="46"/>
  <c r="R3046" i="46"/>
  <c r="P3046" i="46"/>
  <c r="R3019" i="46"/>
  <c r="P3019" i="46"/>
  <c r="R3051" i="46"/>
  <c r="P3051" i="46"/>
  <c r="P2120" i="46"/>
  <c r="R2120" i="46"/>
  <c r="P2126" i="46"/>
  <c r="R2126" i="46"/>
  <c r="R2137" i="46"/>
  <c r="P2137" i="46"/>
  <c r="P2128" i="46"/>
  <c r="R2128" i="46"/>
  <c r="R2901" i="46"/>
  <c r="P2901" i="46"/>
  <c r="R2900" i="46"/>
  <c r="P2900" i="46"/>
  <c r="R2906" i="46"/>
  <c r="P2906" i="46"/>
  <c r="R2919" i="46"/>
  <c r="P2919" i="46"/>
  <c r="P3756" i="46"/>
  <c r="R3756" i="46"/>
  <c r="R3747" i="46"/>
  <c r="P3747" i="46"/>
  <c r="R3751" i="46"/>
  <c r="P3751" i="46"/>
  <c r="R3755" i="46"/>
  <c r="P3755" i="46"/>
  <c r="R604" i="46"/>
  <c r="P604" i="46"/>
  <c r="R646" i="46"/>
  <c r="P646" i="46"/>
  <c r="R612" i="46"/>
  <c r="P612" i="46"/>
  <c r="P613" i="46"/>
  <c r="R613" i="46"/>
  <c r="P629" i="46"/>
  <c r="R629" i="46"/>
  <c r="P645" i="46"/>
  <c r="R645" i="46"/>
  <c r="R3287" i="46"/>
  <c r="P3287" i="46"/>
  <c r="R3247" i="46"/>
  <c r="P3247" i="46"/>
  <c r="R3262" i="46"/>
  <c r="P3262" i="46"/>
  <c r="R3294" i="46"/>
  <c r="P3294" i="46"/>
  <c r="R3264" i="46"/>
  <c r="P3264" i="46"/>
  <c r="R3296" i="46"/>
  <c r="P3296" i="46"/>
  <c r="R3265" i="46"/>
  <c r="P3265" i="46"/>
  <c r="R3297" i="46"/>
  <c r="P3297" i="46"/>
  <c r="R1825" i="46"/>
  <c r="P1825" i="46"/>
  <c r="R1823" i="46"/>
  <c r="P1823" i="46"/>
  <c r="R1816" i="46"/>
  <c r="P1816" i="46"/>
  <c r="R1832" i="46"/>
  <c r="P1832" i="46"/>
  <c r="R1879" i="46"/>
  <c r="P1879" i="46"/>
  <c r="R1895" i="46"/>
  <c r="P1895" i="46"/>
  <c r="R1911" i="46"/>
  <c r="P1911" i="46"/>
  <c r="R1927" i="46"/>
  <c r="P1927" i="46"/>
  <c r="R1882" i="46"/>
  <c r="P1882" i="46"/>
  <c r="R1898" i="46"/>
  <c r="P1898" i="46"/>
  <c r="R1914" i="46"/>
  <c r="P1914" i="46"/>
  <c r="R4258" i="46"/>
  <c r="P4258" i="46"/>
  <c r="R4290" i="46"/>
  <c r="P4290" i="46"/>
  <c r="R4275" i="46"/>
  <c r="P4275" i="46"/>
  <c r="R4308" i="46"/>
  <c r="P4308" i="46"/>
  <c r="R4284" i="46"/>
  <c r="P4284" i="46"/>
  <c r="R4265" i="46"/>
  <c r="P4265" i="46"/>
  <c r="R4297" i="46"/>
  <c r="P4297" i="46"/>
  <c r="R4315" i="46"/>
  <c r="P4315" i="46"/>
  <c r="R3536" i="46"/>
  <c r="P3536" i="46"/>
  <c r="R3506" i="46"/>
  <c r="P3506" i="46"/>
  <c r="R3541" i="46"/>
  <c r="P3541" i="46"/>
  <c r="R3521" i="46"/>
  <c r="P3521" i="46"/>
  <c r="R3515" i="46"/>
  <c r="P3515" i="46"/>
  <c r="R1595" i="46"/>
  <c r="P1595" i="46"/>
  <c r="R1606" i="46"/>
  <c r="P1606" i="46"/>
  <c r="R1608" i="46"/>
  <c r="P1608" i="46"/>
  <c r="R1613" i="46"/>
  <c r="P1613" i="46"/>
  <c r="P457" i="46"/>
  <c r="R457" i="46"/>
  <c r="R662" i="46"/>
  <c r="P662" i="46"/>
  <c r="P663" i="46"/>
  <c r="R663" i="46"/>
  <c r="R742" i="46"/>
  <c r="P742" i="46"/>
  <c r="R740" i="46"/>
  <c r="P740" i="46"/>
  <c r="P762" i="46"/>
  <c r="R762" i="46"/>
  <c r="R767" i="46"/>
  <c r="P767" i="46"/>
  <c r="P735" i="46"/>
  <c r="R735" i="46"/>
  <c r="R751" i="46"/>
  <c r="P751" i="46"/>
  <c r="R1229" i="46"/>
  <c r="P1229" i="46"/>
  <c r="R1261" i="46"/>
  <c r="P1261" i="46"/>
  <c r="P1238" i="46"/>
  <c r="R1238" i="46"/>
  <c r="P1270" i="46"/>
  <c r="R1270" i="46"/>
  <c r="R1247" i="46"/>
  <c r="P1247" i="46"/>
  <c r="P1224" i="46"/>
  <c r="R1224" i="46"/>
  <c r="P1256" i="46"/>
  <c r="R1256" i="46"/>
  <c r="R2283" i="46"/>
  <c r="P2283" i="46"/>
  <c r="R2292" i="46"/>
  <c r="P2292" i="46"/>
  <c r="R2290" i="46"/>
  <c r="P2290" i="46"/>
  <c r="R2269" i="46"/>
  <c r="P2269" i="46"/>
  <c r="R1639" i="46"/>
  <c r="P1639" i="46"/>
  <c r="R1655" i="46"/>
  <c r="P1655" i="46"/>
  <c r="R1650" i="46"/>
  <c r="P1650" i="46"/>
  <c r="R1628" i="46"/>
  <c r="P1628" i="46"/>
  <c r="R1660" i="46"/>
  <c r="P1660" i="46"/>
  <c r="R1637" i="46"/>
  <c r="P1637" i="46"/>
  <c r="R1669" i="46"/>
  <c r="P1669" i="46"/>
  <c r="R3428" i="46"/>
  <c r="P3428" i="46"/>
  <c r="P3433" i="46"/>
  <c r="R3433" i="46"/>
  <c r="R3445" i="46"/>
  <c r="P3445" i="46"/>
  <c r="R1125" i="46"/>
  <c r="P1125" i="46"/>
  <c r="R1157" i="46"/>
  <c r="P1157" i="46"/>
  <c r="P1130" i="46"/>
  <c r="R1130" i="46"/>
  <c r="P1162" i="46"/>
  <c r="R1162" i="46"/>
  <c r="R1135" i="46"/>
  <c r="P1135" i="46"/>
  <c r="R1167" i="46"/>
  <c r="P1167" i="46"/>
  <c r="P1140" i="46"/>
  <c r="R1140" i="46"/>
  <c r="R3788" i="46"/>
  <c r="P3788" i="46"/>
  <c r="R3773" i="46"/>
  <c r="P3773" i="46"/>
  <c r="R3774" i="46"/>
  <c r="P3774" i="46"/>
  <c r="R3771" i="46"/>
  <c r="P3771" i="46"/>
  <c r="R2964" i="46"/>
  <c r="P2964" i="46"/>
  <c r="R2969" i="46"/>
  <c r="P2969" i="46"/>
  <c r="R2974" i="46"/>
  <c r="P2974" i="46"/>
  <c r="R2979" i="46"/>
  <c r="P2979" i="46"/>
  <c r="P3409" i="46"/>
  <c r="R3409" i="46"/>
  <c r="P3418" i="46"/>
  <c r="R3418" i="46"/>
  <c r="P3394" i="46"/>
  <c r="R3394" i="46"/>
  <c r="R2467" i="46"/>
  <c r="P2467" i="46"/>
  <c r="R2461" i="46"/>
  <c r="P2461" i="46"/>
  <c r="R2470" i="46"/>
  <c r="P2470" i="46"/>
  <c r="R2484" i="46"/>
  <c r="P2484" i="46"/>
  <c r="R1723" i="46"/>
  <c r="P1723" i="46"/>
  <c r="R1722" i="46"/>
  <c r="P1722" i="46"/>
  <c r="R1716" i="46"/>
  <c r="P1716" i="46"/>
  <c r="R1709" i="46"/>
  <c r="P1709" i="46"/>
  <c r="R1741" i="46"/>
  <c r="P1741" i="46"/>
  <c r="R1197" i="46"/>
  <c r="P1197" i="46"/>
  <c r="P1174" i="46"/>
  <c r="R1174" i="46"/>
  <c r="P1206" i="46"/>
  <c r="R1206" i="46"/>
  <c r="R1187" i="46"/>
  <c r="P1187" i="46"/>
  <c r="R1219" i="46"/>
  <c r="P1219" i="46"/>
  <c r="P1196" i="46"/>
  <c r="R1196" i="46"/>
  <c r="R933" i="46"/>
  <c r="P933" i="46"/>
  <c r="R965" i="46"/>
  <c r="P965" i="46"/>
  <c r="P942" i="46"/>
  <c r="R942" i="46"/>
  <c r="P974" i="46"/>
  <c r="R974" i="46"/>
  <c r="R947" i="46"/>
  <c r="P947" i="46"/>
  <c r="R979" i="46"/>
  <c r="P979" i="46"/>
  <c r="P952" i="46"/>
  <c r="R952" i="46"/>
  <c r="P2533" i="46"/>
  <c r="R2533" i="46"/>
  <c r="R2552" i="46"/>
  <c r="P2552" i="46"/>
  <c r="P2547" i="46"/>
  <c r="R2547" i="46"/>
  <c r="P3944" i="46"/>
  <c r="R3944" i="46"/>
  <c r="P3940" i="46"/>
  <c r="R3940" i="46"/>
  <c r="R3923" i="46"/>
  <c r="P3923" i="46"/>
  <c r="R3921" i="46"/>
  <c r="P3921" i="46"/>
  <c r="P450" i="46"/>
  <c r="R450" i="46"/>
  <c r="P441" i="46"/>
  <c r="R441" i="46"/>
  <c r="P452" i="46"/>
  <c r="R452" i="46"/>
  <c r="R1849" i="46"/>
  <c r="P1849" i="46"/>
  <c r="R1865" i="46"/>
  <c r="P1865" i="46"/>
  <c r="R1850" i="46"/>
  <c r="P1850" i="46"/>
  <c r="R1866" i="46"/>
  <c r="P1866" i="46"/>
  <c r="R2005" i="46"/>
  <c r="P2005" i="46"/>
  <c r="R2011" i="46"/>
  <c r="P2011" i="46"/>
  <c r="R2009" i="46"/>
  <c r="P2009" i="46"/>
  <c r="P2016" i="46"/>
  <c r="R2016" i="46"/>
  <c r="R2411" i="46"/>
  <c r="P2411" i="46"/>
  <c r="R2443" i="46"/>
  <c r="P2443" i="46"/>
  <c r="R2412" i="46"/>
  <c r="P2412" i="46"/>
  <c r="R2444" i="46"/>
  <c r="P2444" i="46"/>
  <c r="R2413" i="46"/>
  <c r="P2413" i="46"/>
  <c r="R2445" i="46"/>
  <c r="P2445" i="46"/>
  <c r="R2414" i="46"/>
  <c r="P2414" i="46"/>
  <c r="R2446" i="46"/>
  <c r="P2446" i="46"/>
  <c r="P473" i="46"/>
  <c r="R473" i="46"/>
  <c r="R813" i="46"/>
  <c r="P813" i="46"/>
  <c r="P806" i="46"/>
  <c r="R806" i="46"/>
  <c r="R803" i="46"/>
  <c r="P803" i="46"/>
  <c r="P800" i="46"/>
  <c r="R800" i="46"/>
  <c r="P832" i="46"/>
  <c r="R832" i="46"/>
  <c r="R3488" i="46"/>
  <c r="P3488" i="46"/>
  <c r="P3453" i="46"/>
  <c r="R3453" i="46"/>
  <c r="R3461" i="46"/>
  <c r="P3461" i="46"/>
  <c r="R3468" i="46"/>
  <c r="P3468" i="46"/>
  <c r="R3473" i="46"/>
  <c r="P3473" i="46"/>
  <c r="R3480" i="46"/>
  <c r="P3480" i="46"/>
  <c r="R3483" i="46"/>
  <c r="P3483" i="46"/>
  <c r="P2527" i="46"/>
  <c r="R2527" i="46"/>
  <c r="P2168" i="46"/>
  <c r="R2168" i="46"/>
  <c r="P2158" i="46"/>
  <c r="R2158" i="46"/>
  <c r="R2147" i="46"/>
  <c r="P2147" i="46"/>
  <c r="P2138" i="46"/>
  <c r="R2138" i="46"/>
  <c r="R550" i="46"/>
  <c r="P550" i="46"/>
  <c r="R572" i="46"/>
  <c r="P572" i="46"/>
  <c r="R568" i="46"/>
  <c r="P568" i="46"/>
  <c r="R580" i="46"/>
  <c r="P580" i="46"/>
  <c r="P549" i="46"/>
  <c r="R549" i="46"/>
  <c r="P565" i="46"/>
  <c r="R565" i="46"/>
  <c r="P581" i="46"/>
  <c r="R581" i="46"/>
  <c r="R2493" i="46"/>
  <c r="P2493" i="46"/>
  <c r="P2517" i="46"/>
  <c r="R2517" i="46"/>
  <c r="R2494" i="46"/>
  <c r="P2494" i="46"/>
  <c r="P2503" i="46"/>
  <c r="R2503" i="46"/>
  <c r="R1579" i="46"/>
  <c r="P1579" i="46"/>
  <c r="R1583" i="46"/>
  <c r="P1583" i="46"/>
  <c r="R1546" i="46"/>
  <c r="P1546" i="46"/>
  <c r="R1578" i="46"/>
  <c r="P1578" i="46"/>
  <c r="R1548" i="46"/>
  <c r="P1548" i="46"/>
  <c r="R1580" i="46"/>
  <c r="P1580" i="46"/>
  <c r="R1549" i="46"/>
  <c r="P1549" i="46"/>
  <c r="R1581" i="46"/>
  <c r="P1581" i="46"/>
  <c r="R3636" i="46"/>
  <c r="P3636" i="46"/>
  <c r="R3652" i="46"/>
  <c r="P3652" i="46"/>
  <c r="R3637" i="46"/>
  <c r="P3637" i="46"/>
  <c r="R3653" i="46"/>
  <c r="P3653" i="46"/>
  <c r="R2638" i="46"/>
  <c r="P2638" i="46"/>
  <c r="R2636" i="46"/>
  <c r="P2636" i="46"/>
  <c r="P2643" i="46"/>
  <c r="R2643" i="46"/>
  <c r="R2644" i="46"/>
  <c r="P2644" i="46"/>
  <c r="R3344" i="46"/>
  <c r="P3344" i="46"/>
  <c r="R3354" i="46"/>
  <c r="P3354" i="46"/>
  <c r="R3370" i="46"/>
  <c r="P3370" i="46"/>
  <c r="R3353" i="46"/>
  <c r="P3353" i="46"/>
  <c r="R3369" i="46"/>
  <c r="P3369" i="46"/>
  <c r="R2331" i="46"/>
  <c r="P2331" i="46"/>
  <c r="R2332" i="46"/>
  <c r="P2332" i="46"/>
  <c r="R2333" i="46"/>
  <c r="P2333" i="46"/>
  <c r="R2334" i="46"/>
  <c r="P2334" i="46"/>
  <c r="R3884" i="46"/>
  <c r="P3884" i="46"/>
  <c r="R3888" i="46"/>
  <c r="P3888" i="46"/>
  <c r="R3873" i="46"/>
  <c r="P3873" i="46"/>
  <c r="R3912" i="46"/>
  <c r="P3912" i="46"/>
  <c r="R3882" i="46"/>
  <c r="P3882" i="46"/>
  <c r="R3859" i="46"/>
  <c r="P3859" i="46"/>
  <c r="R3891" i="46"/>
  <c r="P3891" i="46"/>
  <c r="R3906" i="46"/>
  <c r="P3906" i="46"/>
  <c r="R398" i="46"/>
  <c r="P398" i="46"/>
  <c r="R389" i="46"/>
  <c r="P389" i="46"/>
  <c r="R385" i="46"/>
  <c r="P385" i="46"/>
  <c r="R374" i="46"/>
  <c r="P374" i="46"/>
  <c r="P434" i="46"/>
  <c r="R434" i="46"/>
  <c r="P432" i="46"/>
  <c r="R432" i="46"/>
  <c r="R411" i="46"/>
  <c r="P411" i="46"/>
  <c r="P420" i="46"/>
  <c r="R420" i="46"/>
  <c r="P2769" i="46"/>
  <c r="R2769" i="46"/>
  <c r="P2767" i="46"/>
  <c r="R2767" i="46"/>
  <c r="R2768" i="46"/>
  <c r="P2768" i="46"/>
  <c r="P2759" i="46"/>
  <c r="R2759" i="46"/>
  <c r="R865" i="46"/>
  <c r="P865" i="46"/>
  <c r="P834" i="46"/>
  <c r="R834" i="46"/>
  <c r="P866" i="46"/>
  <c r="R866" i="46"/>
  <c r="R839" i="46"/>
  <c r="P839" i="46"/>
  <c r="R871" i="46"/>
  <c r="P871" i="46"/>
  <c r="P844" i="46"/>
  <c r="R844" i="46"/>
  <c r="P876" i="46"/>
  <c r="R876" i="46"/>
  <c r="R3796" i="46"/>
  <c r="P3796" i="46"/>
  <c r="R3805" i="46"/>
  <c r="P3805" i="46"/>
  <c r="R3806" i="46"/>
  <c r="P3806" i="46"/>
  <c r="R3807" i="46"/>
  <c r="P3807" i="46"/>
  <c r="R3000" i="46"/>
  <c r="P3000" i="46"/>
  <c r="R3001" i="46"/>
  <c r="P3001" i="46"/>
  <c r="R3002" i="46"/>
  <c r="P3002" i="46"/>
  <c r="R3003" i="46"/>
  <c r="P3003" i="46"/>
  <c r="P344" i="46"/>
  <c r="R344" i="46"/>
  <c r="R360" i="46"/>
  <c r="P360" i="46"/>
  <c r="P343" i="46"/>
  <c r="R343" i="46"/>
  <c r="P359" i="46"/>
  <c r="R359" i="46"/>
  <c r="R1929" i="46"/>
  <c r="P1929" i="46"/>
  <c r="R1945" i="46"/>
  <c r="P1945" i="46"/>
  <c r="R1932" i="46"/>
  <c r="P1932" i="46"/>
  <c r="P1948" i="46"/>
  <c r="R1948" i="46"/>
  <c r="R1483" i="46"/>
  <c r="P1483" i="46"/>
  <c r="R1487" i="46"/>
  <c r="P1487" i="46"/>
  <c r="R1474" i="46"/>
  <c r="P1474" i="46"/>
  <c r="R1506" i="46"/>
  <c r="P1506" i="46"/>
  <c r="R1476" i="46"/>
  <c r="P1476" i="46"/>
  <c r="R1508" i="46"/>
  <c r="P1508" i="46"/>
  <c r="R1481" i="46"/>
  <c r="P1481" i="46"/>
  <c r="R1513" i="46"/>
  <c r="P1513" i="46"/>
  <c r="P284" i="46"/>
  <c r="R284" i="46"/>
  <c r="R300" i="46"/>
  <c r="P300" i="46"/>
  <c r="P316" i="46"/>
  <c r="R316" i="46"/>
  <c r="R332" i="46"/>
  <c r="P332" i="46"/>
  <c r="P287" i="46"/>
  <c r="R287" i="46"/>
  <c r="P303" i="46"/>
  <c r="R303" i="46"/>
  <c r="P319" i="46"/>
  <c r="R319" i="46"/>
  <c r="P335" i="46"/>
  <c r="R335" i="46"/>
  <c r="R704" i="46"/>
  <c r="P704" i="46"/>
  <c r="R674" i="46"/>
  <c r="P674" i="46"/>
  <c r="R702" i="46"/>
  <c r="P702" i="46"/>
  <c r="P671" i="46"/>
  <c r="R671" i="46"/>
  <c r="P687" i="46"/>
  <c r="R687" i="46"/>
  <c r="P703" i="46"/>
  <c r="R703" i="46"/>
  <c r="P2088" i="46"/>
  <c r="R2088" i="46"/>
  <c r="P2078" i="46"/>
  <c r="R2078" i="46"/>
  <c r="R2089" i="46"/>
  <c r="P2089" i="46"/>
  <c r="P2080" i="46"/>
  <c r="R2080" i="46"/>
  <c r="R989" i="46"/>
  <c r="P989" i="46"/>
  <c r="R1021" i="46"/>
  <c r="P1021" i="46"/>
  <c r="P990" i="46"/>
  <c r="R990" i="46"/>
  <c r="P1022" i="46"/>
  <c r="R1022" i="46"/>
  <c r="R995" i="46"/>
  <c r="P995" i="46"/>
  <c r="R1027" i="46"/>
  <c r="P1027" i="46"/>
  <c r="P996" i="46"/>
  <c r="R996" i="46"/>
  <c r="P1028" i="46"/>
  <c r="R1028" i="46"/>
  <c r="F136" i="45"/>
  <c r="G136" i="45" s="1"/>
  <c r="R2866" i="46"/>
  <c r="P2866" i="46"/>
  <c r="R2847" i="46"/>
  <c r="P2847" i="46"/>
  <c r="R1691" i="46"/>
  <c r="P1691" i="46"/>
  <c r="R1690" i="46"/>
  <c r="P1690" i="46"/>
  <c r="R2307" i="46"/>
  <c r="P2307" i="46"/>
  <c r="R2310" i="46"/>
  <c r="P2310" i="46"/>
  <c r="R3841" i="46"/>
  <c r="P3841" i="46"/>
  <c r="R3152" i="46"/>
  <c r="P3152" i="46"/>
  <c r="R3154" i="46"/>
  <c r="P3154" i="46"/>
  <c r="P4109" i="46"/>
  <c r="R4109" i="46"/>
  <c r="P4085" i="46"/>
  <c r="R4085" i="46"/>
  <c r="R4106" i="46"/>
  <c r="P4106" i="46"/>
  <c r="P1062" i="46"/>
  <c r="R1062" i="46"/>
  <c r="P1084" i="46"/>
  <c r="R1084" i="46"/>
  <c r="R2185" i="46"/>
  <c r="P2185" i="46"/>
  <c r="P719" i="46"/>
  <c r="R719" i="46"/>
  <c r="P3683" i="46"/>
  <c r="R3683" i="46"/>
  <c r="P2671" i="46"/>
  <c r="R2671" i="46"/>
  <c r="R2676" i="46"/>
  <c r="P2676" i="46"/>
  <c r="R3082" i="46"/>
  <c r="P3082" i="46"/>
  <c r="R4334" i="46"/>
  <c r="P4334" i="46"/>
  <c r="R4355" i="46"/>
  <c r="P4355" i="46"/>
  <c r="R3192" i="46"/>
  <c r="P3192" i="46"/>
  <c r="R3237" i="46"/>
  <c r="P3237" i="46"/>
  <c r="R1743" i="46"/>
  <c r="P1743" i="46"/>
  <c r="R1757" i="46"/>
  <c r="P1757" i="46"/>
  <c r="R2031" i="46"/>
  <c r="P2031" i="46"/>
  <c r="R2071" i="46"/>
  <c r="P2071" i="46"/>
  <c r="R3551" i="46"/>
  <c r="P3551" i="46"/>
  <c r="P2555" i="46"/>
  <c r="R2555" i="46"/>
  <c r="R1367" i="46"/>
  <c r="P1367" i="46"/>
  <c r="R4034" i="46"/>
  <c r="P4034" i="46"/>
  <c r="R4019" i="46"/>
  <c r="P4019" i="46"/>
  <c r="R2364" i="46"/>
  <c r="P2364" i="46"/>
  <c r="R1457" i="46"/>
  <c r="P1457" i="46"/>
  <c r="R3634" i="46"/>
  <c r="P3634" i="46"/>
  <c r="P900" i="46"/>
  <c r="R900" i="46"/>
  <c r="P1968" i="46"/>
  <c r="R1968" i="46"/>
  <c r="R2805" i="46"/>
  <c r="P2805" i="46"/>
  <c r="R1421" i="46"/>
  <c r="P1421" i="46"/>
  <c r="R3324" i="46"/>
  <c r="P3324" i="46"/>
  <c r="R2389" i="46"/>
  <c r="P2389" i="46"/>
  <c r="P4143" i="46"/>
  <c r="R4143" i="46"/>
  <c r="R490" i="46"/>
  <c r="P490" i="46"/>
  <c r="R3727" i="46"/>
  <c r="P3727" i="46"/>
  <c r="R2684" i="46"/>
  <c r="P2684" i="46"/>
  <c r="R3024" i="46"/>
  <c r="P3024" i="46"/>
  <c r="R3039" i="46"/>
  <c r="P3039" i="46"/>
  <c r="R2895" i="46"/>
  <c r="P2895" i="46"/>
  <c r="R2907" i="46"/>
  <c r="P2907" i="46"/>
  <c r="R610" i="46"/>
  <c r="P610" i="46"/>
  <c r="R3303" i="46"/>
  <c r="P3303" i="46"/>
  <c r="R3253" i="46"/>
  <c r="P3253" i="46"/>
  <c r="R1905" i="46"/>
  <c r="P1905" i="46"/>
  <c r="R4278" i="46"/>
  <c r="P4278" i="46"/>
  <c r="R4285" i="46"/>
  <c r="P4285" i="46"/>
  <c r="P3539" i="46"/>
  <c r="R3539" i="46"/>
  <c r="R1596" i="46"/>
  <c r="P1596" i="46"/>
  <c r="R758" i="46"/>
  <c r="P758" i="46"/>
  <c r="P772" i="46"/>
  <c r="R772" i="46"/>
  <c r="R1235" i="46"/>
  <c r="P1235" i="46"/>
  <c r="R2273" i="46"/>
  <c r="P2273" i="46"/>
  <c r="R1670" i="46"/>
  <c r="P1670" i="46"/>
  <c r="R1657" i="46"/>
  <c r="P1657" i="46"/>
  <c r="R1145" i="46"/>
  <c r="P1145" i="46"/>
  <c r="P3760" i="46"/>
  <c r="R3760" i="46"/>
  <c r="P3406" i="46"/>
  <c r="R3406" i="46"/>
  <c r="R2458" i="46"/>
  <c r="P2458" i="46"/>
  <c r="R1742" i="46"/>
  <c r="P1742" i="46"/>
  <c r="R1729" i="46"/>
  <c r="P1729" i="46"/>
  <c r="P1184" i="46"/>
  <c r="R1184" i="46"/>
  <c r="P930" i="46"/>
  <c r="R930" i="46"/>
  <c r="P2545" i="46"/>
  <c r="R2545" i="46"/>
  <c r="R3933" i="46"/>
  <c r="P3933" i="46"/>
  <c r="R1843" i="46"/>
  <c r="P1843" i="46"/>
  <c r="R1860" i="46"/>
  <c r="P1860" i="46"/>
  <c r="R1997" i="46"/>
  <c r="P1997" i="46"/>
  <c r="R2401" i="46"/>
  <c r="P2401" i="46"/>
  <c r="P475" i="46"/>
  <c r="R475" i="46"/>
  <c r="R823" i="46"/>
  <c r="P823" i="46"/>
  <c r="R3456" i="46"/>
  <c r="P3456" i="46"/>
  <c r="R2520" i="46"/>
  <c r="P2520" i="46"/>
  <c r="P2140" i="46"/>
  <c r="R2140" i="46"/>
  <c r="R590" i="46"/>
  <c r="P590" i="46"/>
  <c r="R2518" i="46"/>
  <c r="P2518" i="46"/>
  <c r="R1531" i="46"/>
  <c r="P1531" i="46"/>
  <c r="R1537" i="46"/>
  <c r="P1537" i="46"/>
  <c r="R3647" i="46"/>
  <c r="P3647" i="46"/>
  <c r="P2615" i="46"/>
  <c r="R2615" i="46"/>
  <c r="R3379" i="46"/>
  <c r="P3379" i="46"/>
  <c r="R3861" i="46"/>
  <c r="P3861" i="46"/>
  <c r="R3902" i="46"/>
  <c r="P3902" i="46"/>
  <c r="P427" i="46"/>
  <c r="R427" i="46"/>
  <c r="R393" i="46"/>
  <c r="P393" i="46"/>
  <c r="R2748" i="46"/>
  <c r="P2748" i="46"/>
  <c r="R885" i="46"/>
  <c r="P885" i="46"/>
  <c r="R891" i="46"/>
  <c r="P891" i="46"/>
  <c r="R3794" i="46"/>
  <c r="P3794" i="46"/>
  <c r="R2991" i="46"/>
  <c r="P2991" i="46"/>
  <c r="P353" i="46"/>
  <c r="R353" i="46"/>
  <c r="R1951" i="46"/>
  <c r="P1951" i="46"/>
  <c r="R1527" i="46"/>
  <c r="P1527" i="46"/>
  <c r="P1010" i="46"/>
  <c r="R1010" i="46"/>
  <c r="R2844" i="46"/>
  <c r="P2844" i="46"/>
  <c r="R2863" i="46"/>
  <c r="P2863" i="46"/>
  <c r="R1698" i="46"/>
  <c r="P1698" i="46"/>
  <c r="R2312" i="46"/>
  <c r="P2312" i="46"/>
  <c r="R3849" i="46"/>
  <c r="P3849" i="46"/>
  <c r="R3161" i="46"/>
  <c r="P3161" i="46"/>
  <c r="R3163" i="46"/>
  <c r="P3163" i="46"/>
  <c r="R3313" i="46"/>
  <c r="P3313" i="46"/>
  <c r="R4086" i="46"/>
  <c r="P4086" i="46"/>
  <c r="P1070" i="46"/>
  <c r="R1070" i="46"/>
  <c r="P1060" i="46"/>
  <c r="R1060" i="46"/>
  <c r="R2175" i="46"/>
  <c r="P2175" i="46"/>
  <c r="P2170" i="46"/>
  <c r="R2170" i="46"/>
  <c r="P2661" i="46"/>
  <c r="R2661" i="46"/>
  <c r="R3076" i="46"/>
  <c r="P3076" i="46"/>
  <c r="P3113" i="46"/>
  <c r="R3113" i="46"/>
  <c r="R4320" i="46"/>
  <c r="P4320" i="46"/>
  <c r="R1762" i="46"/>
  <c r="P1762" i="46"/>
  <c r="R1764" i="46"/>
  <c r="P1764" i="46"/>
  <c r="R2047" i="46"/>
  <c r="P2047" i="46"/>
  <c r="R3566" i="46"/>
  <c r="P3566" i="46"/>
  <c r="R3598" i="46"/>
  <c r="P3598" i="46"/>
  <c r="R2582" i="46"/>
  <c r="P2582" i="46"/>
  <c r="P1346" i="46"/>
  <c r="R1346" i="46"/>
  <c r="R1055" i="46"/>
  <c r="P1055" i="46"/>
  <c r="P4008" i="46"/>
  <c r="R4008" i="46"/>
  <c r="R4032" i="46"/>
  <c r="P4032" i="46"/>
  <c r="R2371" i="46"/>
  <c r="P2371" i="46"/>
  <c r="R1437" i="46"/>
  <c r="P1437" i="46"/>
  <c r="P2226" i="46"/>
  <c r="R2226" i="46"/>
  <c r="R3606" i="46"/>
  <c r="P3606" i="46"/>
  <c r="P601" i="46"/>
  <c r="R601" i="46"/>
  <c r="P1982" i="46"/>
  <c r="R1982" i="46"/>
  <c r="R2774" i="46"/>
  <c r="P2774" i="46"/>
  <c r="R2788" i="46"/>
  <c r="P2788" i="46"/>
  <c r="R1429" i="46"/>
  <c r="P1429" i="46"/>
  <c r="R1386" i="46"/>
  <c r="P1386" i="46"/>
  <c r="R1423" i="46"/>
  <c r="P1423" i="46"/>
  <c r="R2241" i="46"/>
  <c r="P2241" i="46"/>
  <c r="R4168" i="46"/>
  <c r="P4168" i="46"/>
  <c r="R4142" i="46"/>
  <c r="P4142" i="46"/>
  <c r="R534" i="46"/>
  <c r="P534" i="46"/>
  <c r="R3701" i="46"/>
  <c r="P3701" i="46"/>
  <c r="P2709" i="46"/>
  <c r="R2709" i="46"/>
  <c r="R2704" i="46"/>
  <c r="P2704" i="46"/>
  <c r="R3037" i="46"/>
  <c r="P3037" i="46"/>
  <c r="R3015" i="46"/>
  <c r="P3015" i="46"/>
  <c r="P2124" i="46"/>
  <c r="R2124" i="46"/>
  <c r="R2902" i="46"/>
  <c r="P2902" i="46"/>
  <c r="P3744" i="46"/>
  <c r="R3744" i="46"/>
  <c r="R642" i="46"/>
  <c r="P642" i="46"/>
  <c r="P611" i="46"/>
  <c r="R611" i="46"/>
  <c r="R3255" i="46"/>
  <c r="P3255" i="46"/>
  <c r="R3258" i="46"/>
  <c r="P3258" i="46"/>
  <c r="R3260" i="46"/>
  <c r="P3260" i="46"/>
  <c r="R3261" i="46"/>
  <c r="P3261" i="46"/>
  <c r="R1810" i="46"/>
  <c r="P1810" i="46"/>
  <c r="R1814" i="46"/>
  <c r="P1814" i="46"/>
  <c r="R1877" i="46"/>
  <c r="P1877" i="46"/>
  <c r="R1909" i="46"/>
  <c r="P1909" i="46"/>
  <c r="R1880" i="46"/>
  <c r="P1880" i="46"/>
  <c r="R1912" i="46"/>
  <c r="P1912" i="46"/>
  <c r="R4271" i="46"/>
  <c r="P4271" i="46"/>
  <c r="R4261" i="46"/>
  <c r="P4261" i="46"/>
  <c r="R4311" i="46"/>
  <c r="P4311" i="46"/>
  <c r="R3526" i="46"/>
  <c r="P3526" i="46"/>
  <c r="R3514" i="46"/>
  <c r="P3514" i="46"/>
  <c r="R1607" i="46"/>
  <c r="P1607" i="46"/>
  <c r="R1602" i="46"/>
  <c r="P1602" i="46"/>
  <c r="R1609" i="46"/>
  <c r="P1609" i="46"/>
  <c r="R656" i="46"/>
  <c r="P656" i="46"/>
  <c r="R748" i="46"/>
  <c r="P748" i="46"/>
  <c r="R777" i="46"/>
  <c r="P777" i="46"/>
  <c r="R763" i="46"/>
  <c r="P763" i="46"/>
  <c r="P749" i="46"/>
  <c r="R749" i="46"/>
  <c r="R1257" i="46"/>
  <c r="P1257" i="46"/>
  <c r="P1266" i="46"/>
  <c r="R1266" i="46"/>
  <c r="R1243" i="46"/>
  <c r="P1243" i="46"/>
  <c r="P1252" i="46"/>
  <c r="R1252" i="46"/>
  <c r="R2289" i="46"/>
  <c r="P2289" i="46"/>
  <c r="R1663" i="46"/>
  <c r="P1663" i="46"/>
  <c r="R1623" i="46"/>
  <c r="P1623" i="46"/>
  <c r="R1624" i="46"/>
  <c r="P1624" i="46"/>
  <c r="R1633" i="46"/>
  <c r="P1633" i="46"/>
  <c r="R1665" i="46"/>
  <c r="P1665" i="46"/>
  <c r="P3421" i="46"/>
  <c r="R3421" i="46"/>
  <c r="R1121" i="46"/>
  <c r="P1121" i="46"/>
  <c r="R1153" i="46"/>
  <c r="P1153" i="46"/>
  <c r="P1158" i="46"/>
  <c r="R1158" i="46"/>
  <c r="R1163" i="46"/>
  <c r="P1163" i="46"/>
  <c r="P1136" i="46"/>
  <c r="R1136" i="46"/>
  <c r="R3769" i="46"/>
  <c r="P3769" i="46"/>
  <c r="R3761" i="46"/>
  <c r="P3761" i="46"/>
  <c r="R2960" i="46"/>
  <c r="P2960" i="46"/>
  <c r="R2970" i="46"/>
  <c r="P2970" i="46"/>
  <c r="R3397" i="46"/>
  <c r="P3397" i="46"/>
  <c r="P3416" i="46"/>
  <c r="R3416" i="46"/>
  <c r="R2477" i="46"/>
  <c r="P2477" i="46"/>
  <c r="R2482" i="46"/>
  <c r="P2482" i="46"/>
  <c r="R1735" i="46"/>
  <c r="P1735" i="46"/>
  <c r="R1712" i="46"/>
  <c r="P1712" i="46"/>
  <c r="R1705" i="46"/>
  <c r="P1705" i="46"/>
  <c r="R1737" i="46"/>
  <c r="P1737" i="46"/>
  <c r="P1170" i="46"/>
  <c r="R1170" i="46"/>
  <c r="R1183" i="46"/>
  <c r="P1183" i="46"/>
  <c r="P1192" i="46"/>
  <c r="R1192" i="46"/>
  <c r="R929" i="46"/>
  <c r="P929" i="46"/>
  <c r="P938" i="46"/>
  <c r="R938" i="46"/>
  <c r="R943" i="46"/>
  <c r="P943" i="46"/>
  <c r="R975" i="46"/>
  <c r="P975" i="46"/>
  <c r="P980" i="46"/>
  <c r="R980" i="46"/>
  <c r="R2544" i="46"/>
  <c r="P2544" i="46"/>
  <c r="R3927" i="46"/>
  <c r="P3927" i="46"/>
  <c r="R3918" i="46"/>
  <c r="P3918" i="46"/>
  <c r="P449" i="46"/>
  <c r="R449" i="46"/>
  <c r="P439" i="46"/>
  <c r="R439" i="46"/>
  <c r="R1847" i="46"/>
  <c r="P1847" i="46"/>
  <c r="R1848" i="46"/>
  <c r="P1848" i="46"/>
  <c r="P2008" i="46"/>
  <c r="R2008" i="46"/>
  <c r="P1996" i="46"/>
  <c r="R1996" i="46"/>
  <c r="R2407" i="46"/>
  <c r="P2407" i="46"/>
  <c r="R2408" i="46"/>
  <c r="P2408" i="46"/>
  <c r="R2440" i="46"/>
  <c r="P2440" i="46"/>
  <c r="R2441" i="46"/>
  <c r="P2441" i="46"/>
  <c r="R2442" i="46"/>
  <c r="P2442" i="46"/>
  <c r="R809" i="46"/>
  <c r="P809" i="46"/>
  <c r="P802" i="46"/>
  <c r="R802" i="46"/>
  <c r="R831" i="46"/>
  <c r="P831" i="46"/>
  <c r="R3447" i="46"/>
  <c r="P3447" i="46"/>
  <c r="R3454" i="46"/>
  <c r="P3454" i="46"/>
  <c r="P3459" i="46"/>
  <c r="R3459" i="46"/>
  <c r="R3471" i="46"/>
  <c r="P3471" i="46"/>
  <c r="R2524" i="46"/>
  <c r="P2524" i="46"/>
  <c r="P2152" i="46"/>
  <c r="R2152" i="46"/>
  <c r="P2156" i="46"/>
  <c r="R2156" i="46"/>
  <c r="R586" i="46"/>
  <c r="P586" i="46"/>
  <c r="R552" i="46"/>
  <c r="P552" i="46"/>
  <c r="R564" i="46"/>
  <c r="P564" i="46"/>
  <c r="P563" i="46"/>
  <c r="R563" i="46"/>
  <c r="R2491" i="46"/>
  <c r="P2491" i="46"/>
  <c r="R2492" i="46"/>
  <c r="P2492" i="46"/>
  <c r="P2516" i="46"/>
  <c r="R2516" i="46"/>
  <c r="R1551" i="46"/>
  <c r="P1551" i="46"/>
  <c r="R1542" i="46"/>
  <c r="P1542" i="46"/>
  <c r="R1544" i="46"/>
  <c r="P1544" i="46"/>
  <c r="R1545" i="46"/>
  <c r="P1545" i="46"/>
  <c r="R1577" i="46"/>
  <c r="P1577" i="46"/>
  <c r="R3650" i="46"/>
  <c r="P3650" i="46"/>
  <c r="R3651" i="46"/>
  <c r="P3651" i="46"/>
  <c r="P2623" i="46"/>
  <c r="R2623" i="46"/>
  <c r="R2640" i="46"/>
  <c r="P2640" i="46"/>
  <c r="R3340" i="46"/>
  <c r="P3340" i="46"/>
  <c r="R3368" i="46"/>
  <c r="P3368" i="46"/>
  <c r="R3367" i="46"/>
  <c r="P3367" i="46"/>
  <c r="R2328" i="46"/>
  <c r="P2328" i="46"/>
  <c r="R3896" i="46"/>
  <c r="P3896" i="46"/>
  <c r="R3869" i="46"/>
  <c r="P3869" i="46"/>
  <c r="R3901" i="46"/>
  <c r="P3901" i="46"/>
  <c r="R3855" i="46"/>
  <c r="P3855" i="46"/>
  <c r="R3904" i="46"/>
  <c r="P3904" i="46"/>
  <c r="R391" i="46"/>
  <c r="P391" i="46"/>
  <c r="R376" i="46"/>
  <c r="P376" i="46"/>
  <c r="R394" i="46"/>
  <c r="P394" i="46"/>
  <c r="P402" i="46"/>
  <c r="R402" i="46"/>
  <c r="R2766" i="46"/>
  <c r="P2766" i="46"/>
  <c r="R2764" i="46"/>
  <c r="P2764" i="46"/>
  <c r="R2756" i="46"/>
  <c r="P2756" i="46"/>
  <c r="R893" i="46"/>
  <c r="P893" i="46"/>
  <c r="P862" i="46"/>
  <c r="R862" i="46"/>
  <c r="R867" i="46"/>
  <c r="P867" i="46"/>
  <c r="P872" i="46"/>
  <c r="R872" i="46"/>
  <c r="R3801" i="46"/>
  <c r="P3801" i="46"/>
  <c r="R3802" i="46"/>
  <c r="P3802" i="46"/>
  <c r="R2996" i="46"/>
  <c r="P2996" i="46"/>
  <c r="R2998" i="46"/>
  <c r="P2998" i="46"/>
  <c r="R2999" i="46"/>
  <c r="P2999" i="46"/>
  <c r="R358" i="46"/>
  <c r="P358" i="46"/>
  <c r="P357" i="46"/>
  <c r="R357" i="46"/>
  <c r="R1943" i="46"/>
  <c r="P1943" i="46"/>
  <c r="R1946" i="46"/>
  <c r="P1946" i="46"/>
  <c r="R1491" i="46"/>
  <c r="P1491" i="46"/>
  <c r="R1470" i="46"/>
  <c r="P1470" i="46"/>
  <c r="R1472" i="46"/>
  <c r="P1472" i="46"/>
  <c r="R1477" i="46"/>
  <c r="P1477" i="46"/>
  <c r="R1509" i="46"/>
  <c r="P1509" i="46"/>
  <c r="R298" i="46"/>
  <c r="P298" i="46"/>
  <c r="R330" i="46"/>
  <c r="P330" i="46"/>
  <c r="P285" i="46"/>
  <c r="R285" i="46"/>
  <c r="P317" i="46"/>
  <c r="R317" i="46"/>
  <c r="R688" i="46"/>
  <c r="P688" i="46"/>
  <c r="R686" i="46"/>
  <c r="P686" i="46"/>
  <c r="P669" i="46"/>
  <c r="R669" i="46"/>
  <c r="P701" i="46"/>
  <c r="R701" i="46"/>
  <c r="P2100" i="46"/>
  <c r="R2100" i="46"/>
  <c r="R2077" i="46"/>
  <c r="P2077" i="46"/>
  <c r="R985" i="46"/>
  <c r="P985" i="46"/>
  <c r="P986" i="46"/>
  <c r="R986" i="46"/>
  <c r="R991" i="46"/>
  <c r="P991" i="46"/>
  <c r="R1023" i="46"/>
  <c r="P1023" i="46"/>
  <c r="P1024" i="46"/>
  <c r="R1024" i="46"/>
  <c r="R2889" i="46"/>
  <c r="P2889" i="46"/>
  <c r="R2869" i="46"/>
  <c r="P2869" i="46"/>
  <c r="R2852" i="46"/>
  <c r="P2852" i="46"/>
  <c r="R2878" i="46"/>
  <c r="P2878" i="46"/>
  <c r="R2873" i="46"/>
  <c r="P2873" i="46"/>
  <c r="R1687" i="46"/>
  <c r="P1687" i="46"/>
  <c r="R3327" i="46"/>
  <c r="P3327" i="46"/>
  <c r="R3329" i="46"/>
  <c r="P3329" i="46"/>
  <c r="R2319" i="46"/>
  <c r="P2319" i="46"/>
  <c r="R2316" i="46"/>
  <c r="P2316" i="46"/>
  <c r="R2322" i="46"/>
  <c r="P2322" i="46"/>
  <c r="R3844" i="46"/>
  <c r="P3844" i="46"/>
  <c r="R3822" i="46"/>
  <c r="P3822" i="46"/>
  <c r="R3823" i="46"/>
  <c r="P3823" i="46"/>
  <c r="R3132" i="46"/>
  <c r="P3132" i="46"/>
  <c r="R3164" i="46"/>
  <c r="P3164" i="46"/>
  <c r="R3133" i="46"/>
  <c r="P3133" i="46"/>
  <c r="R3165" i="46"/>
  <c r="P3165" i="46"/>
  <c r="R3134" i="46"/>
  <c r="P3134" i="46"/>
  <c r="R3166" i="46"/>
  <c r="P3166" i="46"/>
  <c r="R3135" i="46"/>
  <c r="P3135" i="46"/>
  <c r="R3167" i="46"/>
  <c r="P3167" i="46"/>
  <c r="R3311" i="46"/>
  <c r="P3311" i="46"/>
  <c r="R4077" i="46"/>
  <c r="P4077" i="46"/>
  <c r="R4092" i="46"/>
  <c r="P4092" i="46"/>
  <c r="P4097" i="46"/>
  <c r="R4097" i="46"/>
  <c r="R4078" i="46"/>
  <c r="P4078" i="46"/>
  <c r="P4099" i="46"/>
  <c r="R4099" i="46"/>
  <c r="P4127" i="46"/>
  <c r="R4127" i="46"/>
  <c r="P4091" i="46"/>
  <c r="R4091" i="46"/>
  <c r="R1065" i="46"/>
  <c r="P1065" i="46"/>
  <c r="R1097" i="46"/>
  <c r="P1097" i="46"/>
  <c r="P1074" i="46"/>
  <c r="R1074" i="46"/>
  <c r="P1106" i="46"/>
  <c r="R1106" i="46"/>
  <c r="R1087" i="46"/>
  <c r="P1087" i="46"/>
  <c r="P1064" i="46"/>
  <c r="R1064" i="46"/>
  <c r="P1096" i="46"/>
  <c r="R1096" i="46"/>
  <c r="P2180" i="46"/>
  <c r="R2180" i="46"/>
  <c r="P2178" i="46"/>
  <c r="R2178" i="46"/>
  <c r="P2182" i="46"/>
  <c r="R2182" i="46"/>
  <c r="R2183" i="46"/>
  <c r="P2183" i="46"/>
  <c r="P3670" i="46"/>
  <c r="R3670" i="46"/>
  <c r="P3668" i="46"/>
  <c r="R3668" i="46"/>
  <c r="P3682" i="46"/>
  <c r="R3682" i="46"/>
  <c r="P3688" i="46"/>
  <c r="R3688" i="46"/>
  <c r="R2658" i="46"/>
  <c r="P2658" i="46"/>
  <c r="R2664" i="46"/>
  <c r="P2664" i="46"/>
  <c r="R2662" i="46"/>
  <c r="P2662" i="46"/>
  <c r="R2666" i="46"/>
  <c r="P2666" i="46"/>
  <c r="R3080" i="46"/>
  <c r="P3080" i="46"/>
  <c r="R3112" i="46"/>
  <c r="P3112" i="46"/>
  <c r="R3085" i="46"/>
  <c r="P3085" i="46"/>
  <c r="R3117" i="46"/>
  <c r="P3117" i="46"/>
  <c r="R3094" i="46"/>
  <c r="P3094" i="46"/>
  <c r="R3071" i="46"/>
  <c r="P3071" i="46"/>
  <c r="R3103" i="46"/>
  <c r="P3103" i="46"/>
  <c r="R4363" i="46"/>
  <c r="P4363" i="46"/>
  <c r="R4346" i="46"/>
  <c r="P4346" i="46"/>
  <c r="R4335" i="46"/>
  <c r="P4335" i="46"/>
  <c r="R4324" i="46"/>
  <c r="P4324" i="46"/>
  <c r="R4356" i="46"/>
  <c r="P4356" i="46"/>
  <c r="R4341" i="46"/>
  <c r="P4341" i="46"/>
  <c r="R4366" i="46"/>
  <c r="P4366" i="46"/>
  <c r="R3243" i="46"/>
  <c r="P3243" i="46"/>
  <c r="R3227" i="46"/>
  <c r="P3227" i="46"/>
  <c r="R3214" i="46"/>
  <c r="P3214" i="46"/>
  <c r="R3208" i="46"/>
  <c r="P3208" i="46"/>
  <c r="R3240" i="46"/>
  <c r="P3240" i="46"/>
  <c r="R3217" i="46"/>
  <c r="P3217" i="46"/>
  <c r="R4194" i="46"/>
  <c r="P4194" i="46"/>
  <c r="R4226" i="46"/>
  <c r="P4226" i="46"/>
  <c r="R4199" i="46"/>
  <c r="P4199" i="46"/>
  <c r="R4231" i="46"/>
  <c r="P4231" i="46"/>
  <c r="R4200" i="46"/>
  <c r="P4200" i="46"/>
  <c r="R4232" i="46"/>
  <c r="P4232" i="46"/>
  <c r="R4205" i="46"/>
  <c r="P4205" i="46"/>
  <c r="R4237" i="46"/>
  <c r="P4237" i="46"/>
  <c r="R2936" i="46"/>
  <c r="P2936" i="46"/>
  <c r="R2937" i="46"/>
  <c r="P2937" i="46"/>
  <c r="R2938" i="46"/>
  <c r="P2938" i="46"/>
  <c r="R2939" i="46"/>
  <c r="P2939" i="46"/>
  <c r="R2590" i="46"/>
  <c r="P2590" i="46"/>
  <c r="R2588" i="46"/>
  <c r="P2588" i="46"/>
  <c r="R2592" i="46"/>
  <c r="P2592" i="46"/>
  <c r="R2596" i="46"/>
  <c r="P2596" i="46"/>
  <c r="R3995" i="46"/>
  <c r="P3995" i="46"/>
  <c r="P4004" i="46"/>
  <c r="R4004" i="46"/>
  <c r="P3998" i="46"/>
  <c r="R3998" i="46"/>
  <c r="P4002" i="46"/>
  <c r="R4002" i="46"/>
  <c r="P3996" i="46"/>
  <c r="R3996" i="46"/>
  <c r="P4006" i="46"/>
  <c r="R4006" i="46"/>
  <c r="R4003" i="46"/>
  <c r="P4003" i="46"/>
  <c r="R3997" i="46"/>
  <c r="P3997" i="46"/>
  <c r="R1293" i="46"/>
  <c r="P1293" i="46"/>
  <c r="R1325" i="46"/>
  <c r="P1325" i="46"/>
  <c r="P1294" i="46"/>
  <c r="R1294" i="46"/>
  <c r="P1326" i="46"/>
  <c r="R1326" i="46"/>
  <c r="R1299" i="46"/>
  <c r="P1299" i="46"/>
  <c r="R1331" i="46"/>
  <c r="P1331" i="46"/>
  <c r="P1300" i="46"/>
  <c r="R1300" i="46"/>
  <c r="P1332" i="46"/>
  <c r="R1332" i="46"/>
  <c r="R2832" i="46"/>
  <c r="P2832" i="46"/>
  <c r="R2836" i="46"/>
  <c r="P2836" i="46"/>
  <c r="R2882" i="46"/>
  <c r="P2882" i="46"/>
  <c r="R2838" i="46"/>
  <c r="P2838" i="46"/>
  <c r="R2860" i="46"/>
  <c r="P2860" i="46"/>
  <c r="R2881" i="46"/>
  <c r="P2881" i="46"/>
  <c r="R2886" i="46"/>
  <c r="P2886" i="46"/>
  <c r="R1683" i="46"/>
  <c r="P1683" i="46"/>
  <c r="R1674" i="46"/>
  <c r="P1674" i="46"/>
  <c r="R1676" i="46"/>
  <c r="P1676" i="46"/>
  <c r="R1677" i="46"/>
  <c r="P1677" i="46"/>
  <c r="R3335" i="46"/>
  <c r="P3335" i="46"/>
  <c r="R3333" i="46"/>
  <c r="P3333" i="46"/>
  <c r="R2323" i="46"/>
  <c r="P2323" i="46"/>
  <c r="R2320" i="46"/>
  <c r="P2320" i="46"/>
  <c r="R2294" i="46"/>
  <c r="P2294" i="46"/>
  <c r="R3832" i="46"/>
  <c r="P3832" i="46"/>
  <c r="R3825" i="46"/>
  <c r="P3825" i="46"/>
  <c r="R3826" i="46"/>
  <c r="P3826" i="46"/>
  <c r="R3827" i="46"/>
  <c r="P3827" i="46"/>
  <c r="R3136" i="46"/>
  <c r="P3136" i="46"/>
  <c r="R3168" i="46"/>
  <c r="P3168" i="46"/>
  <c r="R3137" i="46"/>
  <c r="P3137" i="46"/>
  <c r="R3169" i="46"/>
  <c r="P3169" i="46"/>
  <c r="R3138" i="46"/>
  <c r="P3138" i="46"/>
  <c r="R3170" i="46"/>
  <c r="P3170" i="46"/>
  <c r="R3139" i="46"/>
  <c r="P3139" i="46"/>
  <c r="R3171" i="46"/>
  <c r="P3171" i="46"/>
  <c r="R3310" i="46"/>
  <c r="P3310" i="46"/>
  <c r="R4084" i="46"/>
  <c r="P4084" i="46"/>
  <c r="R4072" i="46"/>
  <c r="P4072" i="46"/>
  <c r="R4096" i="46"/>
  <c r="P4096" i="46"/>
  <c r="P4101" i="46"/>
  <c r="R4101" i="46"/>
  <c r="R4118" i="46"/>
  <c r="P4118" i="46"/>
  <c r="R4124" i="46"/>
  <c r="P4124" i="46"/>
  <c r="R4130" i="46"/>
  <c r="P4130" i="46"/>
  <c r="R4094" i="46"/>
  <c r="P4094" i="46"/>
  <c r="R1069" i="46"/>
  <c r="P1069" i="46"/>
  <c r="R1101" i="46"/>
  <c r="P1101" i="46"/>
  <c r="P1078" i="46"/>
  <c r="R1078" i="46"/>
  <c r="R1059" i="46"/>
  <c r="P1059" i="46"/>
  <c r="R1091" i="46"/>
  <c r="P1091" i="46"/>
  <c r="P1068" i="46"/>
  <c r="R1068" i="46"/>
  <c r="P1100" i="46"/>
  <c r="R1100" i="46"/>
  <c r="R2193" i="46"/>
  <c r="P2193" i="46"/>
  <c r="R2191" i="46"/>
  <c r="P2191" i="46"/>
  <c r="R2195" i="46"/>
  <c r="P2195" i="46"/>
  <c r="P2186" i="46"/>
  <c r="R2186" i="46"/>
  <c r="P3678" i="46"/>
  <c r="R3678" i="46"/>
  <c r="P3676" i="46"/>
  <c r="R3676" i="46"/>
  <c r="P3690" i="46"/>
  <c r="R3690" i="46"/>
  <c r="P3694" i="46"/>
  <c r="R3694" i="46"/>
  <c r="R2674" i="46"/>
  <c r="P2674" i="46"/>
  <c r="P2667" i="46"/>
  <c r="R2667" i="46"/>
  <c r="P2665" i="46"/>
  <c r="R2665" i="46"/>
  <c r="P2669" i="46"/>
  <c r="R2669" i="46"/>
  <c r="R3084" i="46"/>
  <c r="P3084" i="46"/>
  <c r="R3116" i="46"/>
  <c r="P3116" i="46"/>
  <c r="R3089" i="46"/>
  <c r="P3089" i="46"/>
  <c r="R3121" i="46"/>
  <c r="P3121" i="46"/>
  <c r="R3098" i="46"/>
  <c r="P3098" i="46"/>
  <c r="R3075" i="46"/>
  <c r="P3075" i="46"/>
  <c r="R3107" i="46"/>
  <c r="P3107" i="46"/>
  <c r="R4318" i="46"/>
  <c r="P4318" i="46"/>
  <c r="R4350" i="46"/>
  <c r="P4350" i="46"/>
  <c r="R4339" i="46"/>
  <c r="P4339" i="46"/>
  <c r="R4328" i="46"/>
  <c r="P4328" i="46"/>
  <c r="R4360" i="46"/>
  <c r="P4360" i="46"/>
  <c r="R4345" i="46"/>
  <c r="P4345" i="46"/>
  <c r="R3231" i="46"/>
  <c r="P3231" i="46"/>
  <c r="R3198" i="46"/>
  <c r="P3198" i="46"/>
  <c r="R3195" i="46"/>
  <c r="P3195" i="46"/>
  <c r="R3218" i="46"/>
  <c r="P3218" i="46"/>
  <c r="R3212" i="46"/>
  <c r="P3212" i="46"/>
  <c r="R3244" i="46"/>
  <c r="P3244" i="46"/>
  <c r="R3221" i="46"/>
  <c r="P3221" i="46"/>
  <c r="R4198" i="46"/>
  <c r="P4198" i="46"/>
  <c r="R4230" i="46"/>
  <c r="P4230" i="46"/>
  <c r="R4203" i="46"/>
  <c r="P4203" i="46"/>
  <c r="R4235" i="46"/>
  <c r="P4235" i="46"/>
  <c r="R4204" i="46"/>
  <c r="P4204" i="46"/>
  <c r="R4236" i="46"/>
  <c r="P4236" i="46"/>
  <c r="R4209" i="46"/>
  <c r="P4209" i="46"/>
  <c r="R4241" i="46"/>
  <c r="P4241" i="46"/>
  <c r="R2940" i="46"/>
  <c r="P2940" i="46"/>
  <c r="R2941" i="46"/>
  <c r="P2941" i="46"/>
  <c r="R2942" i="46"/>
  <c r="P2942" i="46"/>
  <c r="R2943" i="46"/>
  <c r="P2943" i="46"/>
  <c r="P2593" i="46"/>
  <c r="R2593" i="46"/>
  <c r="P2591" i="46"/>
  <c r="R2591" i="46"/>
  <c r="P2595" i="46"/>
  <c r="R2595" i="46"/>
  <c r="P2599" i="46"/>
  <c r="R2599" i="46"/>
  <c r="P3976" i="46"/>
  <c r="R3976" i="46"/>
  <c r="R4007" i="46"/>
  <c r="P4007" i="46"/>
  <c r="R4001" i="46"/>
  <c r="P4001" i="46"/>
  <c r="R4005" i="46"/>
  <c r="P4005" i="46"/>
  <c r="R3999" i="46"/>
  <c r="P3999" i="46"/>
  <c r="P3952" i="46"/>
  <c r="R3952" i="46"/>
  <c r="P3946" i="46"/>
  <c r="R3946" i="46"/>
  <c r="R1297" i="46"/>
  <c r="P1297" i="46"/>
  <c r="R1329" i="46"/>
  <c r="P1329" i="46"/>
  <c r="P1298" i="46"/>
  <c r="R1298" i="46"/>
  <c r="P1330" i="46"/>
  <c r="R1330" i="46"/>
  <c r="R1303" i="46"/>
  <c r="P1303" i="46"/>
  <c r="R1335" i="46"/>
  <c r="P1335" i="46"/>
  <c r="P1304" i="46"/>
  <c r="R1304" i="46"/>
  <c r="P1336" i="46"/>
  <c r="R1336" i="46"/>
  <c r="R1767" i="46"/>
  <c r="P1767" i="46"/>
  <c r="R1751" i="46"/>
  <c r="P1751" i="46"/>
  <c r="R1770" i="46"/>
  <c r="P1770" i="46"/>
  <c r="R1802" i="46"/>
  <c r="P1802" i="46"/>
  <c r="R1772" i="46"/>
  <c r="P1772" i="46"/>
  <c r="R1804" i="46"/>
  <c r="P1804" i="46"/>
  <c r="R1773" i="46"/>
  <c r="P1773" i="46"/>
  <c r="P2056" i="46"/>
  <c r="R2056" i="46"/>
  <c r="P2036" i="46"/>
  <c r="R2036" i="46"/>
  <c r="P2046" i="46"/>
  <c r="R2046" i="46"/>
  <c r="R2063" i="46"/>
  <c r="P2063" i="46"/>
  <c r="R2073" i="46"/>
  <c r="P2073" i="46"/>
  <c r="R2029" i="46"/>
  <c r="P2029" i="46"/>
  <c r="R2039" i="46"/>
  <c r="P2039" i="46"/>
  <c r="R3554" i="46"/>
  <c r="P3554" i="46"/>
  <c r="R3568" i="46"/>
  <c r="P3568" i="46"/>
  <c r="R3582" i="46"/>
  <c r="P3582" i="46"/>
  <c r="R3562" i="46"/>
  <c r="P3562" i="46"/>
  <c r="R3583" i="46"/>
  <c r="P3583" i="46"/>
  <c r="R3570" i="46"/>
  <c r="P3570" i="46"/>
  <c r="R3602" i="46"/>
  <c r="P3602" i="46"/>
  <c r="R3597" i="46"/>
  <c r="P3597" i="46"/>
  <c r="R2558" i="46"/>
  <c r="P2558" i="46"/>
  <c r="P2559" i="46"/>
  <c r="R2559" i="46"/>
  <c r="P2563" i="46"/>
  <c r="R2563" i="46"/>
  <c r="P2567" i="46"/>
  <c r="R2567" i="46"/>
  <c r="R1361" i="46"/>
  <c r="P1361" i="46"/>
  <c r="P1354" i="46"/>
  <c r="R1354" i="46"/>
  <c r="R1351" i="46"/>
  <c r="P1351" i="46"/>
  <c r="P1348" i="46"/>
  <c r="R1348" i="46"/>
  <c r="R1053" i="46"/>
  <c r="P1053" i="46"/>
  <c r="P1052" i="46"/>
  <c r="R1052" i="46"/>
  <c r="P786" i="46"/>
  <c r="R786" i="46"/>
  <c r="P780" i="46"/>
  <c r="R780" i="46"/>
  <c r="R4052" i="46"/>
  <c r="P4052" i="46"/>
  <c r="P4020" i="46"/>
  <c r="R4020" i="46"/>
  <c r="P4065" i="46"/>
  <c r="R4065" i="46"/>
  <c r="R4021" i="46"/>
  <c r="P4021" i="46"/>
  <c r="R4042" i="46"/>
  <c r="P4042" i="46"/>
  <c r="R4025" i="46"/>
  <c r="P4025" i="46"/>
  <c r="R4043" i="46"/>
  <c r="P4043" i="46"/>
  <c r="P4026" i="46"/>
  <c r="R4026" i="46"/>
  <c r="R3384" i="46"/>
  <c r="P3384" i="46"/>
  <c r="R3389" i="46"/>
  <c r="P3389" i="46"/>
  <c r="R2379" i="46"/>
  <c r="P2379" i="46"/>
  <c r="R2380" i="46"/>
  <c r="P2380" i="46"/>
  <c r="R2381" i="46"/>
  <c r="P2381" i="46"/>
  <c r="R2382" i="46"/>
  <c r="P2382" i="46"/>
  <c r="R1448" i="46"/>
  <c r="P1448" i="46"/>
  <c r="R1454" i="46"/>
  <c r="P1454" i="46"/>
  <c r="R1443" i="46"/>
  <c r="P1443" i="46"/>
  <c r="R2213" i="46"/>
  <c r="P2213" i="46"/>
  <c r="P2206" i="46"/>
  <c r="R2206" i="46"/>
  <c r="P2204" i="46"/>
  <c r="R2204" i="46"/>
  <c r="P2208" i="46"/>
  <c r="R2208" i="46"/>
  <c r="R3610" i="46"/>
  <c r="P3610" i="46"/>
  <c r="R3626" i="46"/>
  <c r="P3626" i="46"/>
  <c r="P3611" i="46"/>
  <c r="R3611" i="46"/>
  <c r="R3627" i="46"/>
  <c r="P3627" i="46"/>
  <c r="R600" i="46"/>
  <c r="P600" i="46"/>
  <c r="R905" i="46"/>
  <c r="P905" i="46"/>
  <c r="P910" i="46"/>
  <c r="R910" i="46"/>
  <c r="R911" i="46"/>
  <c r="P911" i="46"/>
  <c r="P916" i="46"/>
  <c r="R916" i="46"/>
  <c r="P1972" i="46"/>
  <c r="R1972" i="46"/>
  <c r="P1970" i="46"/>
  <c r="R1970" i="46"/>
  <c r="P1974" i="46"/>
  <c r="R1974" i="46"/>
  <c r="R1975" i="46"/>
  <c r="P1975" i="46"/>
  <c r="R2822" i="46"/>
  <c r="P2822" i="46"/>
  <c r="R2797" i="46"/>
  <c r="P2797" i="46"/>
  <c r="R2798" i="46"/>
  <c r="P2798" i="46"/>
  <c r="R2820" i="46"/>
  <c r="P2820" i="46"/>
  <c r="R2796" i="46"/>
  <c r="P2796" i="46"/>
  <c r="R2815" i="46"/>
  <c r="P2815" i="46"/>
  <c r="R2819" i="46"/>
  <c r="P2819" i="46"/>
  <c r="R1413" i="46"/>
  <c r="P1413" i="46"/>
  <c r="R1417" i="46"/>
  <c r="P1417" i="46"/>
  <c r="R1396" i="46"/>
  <c r="P1396" i="46"/>
  <c r="R1428" i="46"/>
  <c r="P1428" i="46"/>
  <c r="R1394" i="46"/>
  <c r="P1394" i="46"/>
  <c r="R1426" i="46"/>
  <c r="P1426" i="46"/>
  <c r="R1399" i="46"/>
  <c r="P1399" i="46"/>
  <c r="R1431" i="46"/>
  <c r="P1431" i="46"/>
  <c r="R3318" i="46"/>
  <c r="P3318" i="46"/>
  <c r="P2232" i="46"/>
  <c r="R2232" i="46"/>
  <c r="P2244" i="46"/>
  <c r="R2244" i="46"/>
  <c r="R2245" i="46"/>
  <c r="P2245" i="46"/>
  <c r="P2246" i="46"/>
  <c r="R2246" i="46"/>
  <c r="R2391" i="46"/>
  <c r="P2391" i="46"/>
  <c r="R2394" i="46"/>
  <c r="P2394" i="46"/>
  <c r="R4182" i="46"/>
  <c r="P4182" i="46"/>
  <c r="R4176" i="46"/>
  <c r="P4176" i="46"/>
  <c r="R4144" i="46"/>
  <c r="P4144" i="46"/>
  <c r="P4161" i="46"/>
  <c r="R4161" i="46"/>
  <c r="P4175" i="46"/>
  <c r="R4175" i="46"/>
  <c r="P4167" i="46"/>
  <c r="R4167" i="46"/>
  <c r="R4158" i="46"/>
  <c r="P4158" i="46"/>
  <c r="P481" i="46"/>
  <c r="R481" i="46"/>
  <c r="P482" i="46"/>
  <c r="R482" i="46"/>
  <c r="R498" i="46"/>
  <c r="P498" i="46"/>
  <c r="R518" i="46"/>
  <c r="P518" i="46"/>
  <c r="R516" i="46"/>
  <c r="P516" i="46"/>
  <c r="P509" i="46"/>
  <c r="R509" i="46"/>
  <c r="P525" i="46"/>
  <c r="R525" i="46"/>
  <c r="P3698" i="46"/>
  <c r="R3698" i="46"/>
  <c r="R3721" i="46"/>
  <c r="P3721" i="46"/>
  <c r="R3725" i="46"/>
  <c r="P3725" i="46"/>
  <c r="P3704" i="46"/>
  <c r="R3704" i="46"/>
  <c r="R2738" i="46"/>
  <c r="P2738" i="46"/>
  <c r="R2718" i="46"/>
  <c r="P2718" i="46"/>
  <c r="R2712" i="46"/>
  <c r="P2712" i="46"/>
  <c r="R2716" i="46"/>
  <c r="P2716" i="46"/>
  <c r="R2710" i="46"/>
  <c r="P2710" i="46"/>
  <c r="R2720" i="46"/>
  <c r="P2720" i="46"/>
  <c r="P2717" i="46"/>
  <c r="R2717" i="46"/>
  <c r="R2724" i="46"/>
  <c r="P2724" i="46"/>
  <c r="R3040" i="46"/>
  <c r="P3040" i="46"/>
  <c r="R3013" i="46"/>
  <c r="P3013" i="46"/>
  <c r="R3045" i="46"/>
  <c r="P3045" i="46"/>
  <c r="R3018" i="46"/>
  <c r="P3018" i="46"/>
  <c r="R3050" i="46"/>
  <c r="P3050" i="46"/>
  <c r="R3023" i="46"/>
  <c r="P3023" i="46"/>
  <c r="R3055" i="46"/>
  <c r="P3055" i="46"/>
  <c r="R2113" i="46"/>
  <c r="P2113" i="46"/>
  <c r="R2111" i="46"/>
  <c r="P2111" i="46"/>
  <c r="R2115" i="46"/>
  <c r="P2115" i="46"/>
  <c r="R2119" i="46"/>
  <c r="P2119" i="46"/>
  <c r="R2894" i="46"/>
  <c r="P2894" i="46"/>
  <c r="R2916" i="46"/>
  <c r="P2916" i="46"/>
  <c r="R2910" i="46"/>
  <c r="P2910" i="46"/>
  <c r="R2923" i="46"/>
  <c r="P2923" i="46"/>
  <c r="R3759" i="46"/>
  <c r="P3759" i="46"/>
  <c r="P3738" i="46"/>
  <c r="R3738" i="46"/>
  <c r="R3729" i="46"/>
  <c r="P3729" i="46"/>
  <c r="R618" i="46"/>
  <c r="P618" i="46"/>
  <c r="R620" i="46"/>
  <c r="P620" i="46"/>
  <c r="R616" i="46"/>
  <c r="P616" i="46"/>
  <c r="R628" i="46"/>
  <c r="P628" i="46"/>
  <c r="P615" i="46"/>
  <c r="R615" i="46"/>
  <c r="P631" i="46"/>
  <c r="R631" i="46"/>
  <c r="P647" i="46"/>
  <c r="R647" i="46"/>
  <c r="R3275" i="46"/>
  <c r="P3275" i="46"/>
  <c r="R3279" i="46"/>
  <c r="P3279" i="46"/>
  <c r="R3266" i="46"/>
  <c r="P3266" i="46"/>
  <c r="R3298" i="46"/>
  <c r="P3298" i="46"/>
  <c r="R3268" i="46"/>
  <c r="P3268" i="46"/>
  <c r="R3300" i="46"/>
  <c r="P3300" i="46"/>
  <c r="R3269" i="46"/>
  <c r="P3269" i="46"/>
  <c r="R3301" i="46"/>
  <c r="P3301" i="46"/>
  <c r="R1815" i="46"/>
  <c r="P1815" i="46"/>
  <c r="R1805" i="46"/>
  <c r="P1805" i="46"/>
  <c r="R1818" i="46"/>
  <c r="P1818" i="46"/>
  <c r="R1834" i="46"/>
  <c r="P1834" i="46"/>
  <c r="R1881" i="46"/>
  <c r="P1881" i="46"/>
  <c r="R1897" i="46"/>
  <c r="P1897" i="46"/>
  <c r="R1913" i="46"/>
  <c r="P1913" i="46"/>
  <c r="R1868" i="46"/>
  <c r="P1868" i="46"/>
  <c r="R1884" i="46"/>
  <c r="P1884" i="46"/>
  <c r="R1900" i="46"/>
  <c r="P1900" i="46"/>
  <c r="R1916" i="46"/>
  <c r="P1916" i="46"/>
  <c r="R4262" i="46"/>
  <c r="P4262" i="46"/>
  <c r="R4294" i="46"/>
  <c r="P4294" i="46"/>
  <c r="R4279" i="46"/>
  <c r="P4279" i="46"/>
  <c r="R4256" i="46"/>
  <c r="P4256" i="46"/>
  <c r="R4288" i="46"/>
  <c r="P4288" i="46"/>
  <c r="R4269" i="46"/>
  <c r="P4269" i="46"/>
  <c r="R4301" i="46"/>
  <c r="P4301" i="46"/>
  <c r="R4312" i="46"/>
  <c r="P4312" i="46"/>
  <c r="R3520" i="46"/>
  <c r="P3520" i="46"/>
  <c r="R3510" i="46"/>
  <c r="P3510" i="46"/>
  <c r="P3507" i="46"/>
  <c r="R3507" i="46"/>
  <c r="R3530" i="46"/>
  <c r="P3530" i="46"/>
  <c r="R3524" i="46"/>
  <c r="P3524" i="46"/>
  <c r="R1615" i="46"/>
  <c r="P1615" i="46"/>
  <c r="R1610" i="46"/>
  <c r="P1610" i="46"/>
  <c r="R1612" i="46"/>
  <c r="P1612" i="46"/>
  <c r="R1617" i="46"/>
  <c r="P1617" i="46"/>
  <c r="P464" i="46"/>
  <c r="R464" i="46"/>
  <c r="R658" i="46"/>
  <c r="P658" i="46"/>
  <c r="R730" i="46"/>
  <c r="P730" i="46"/>
  <c r="R738" i="46"/>
  <c r="P738" i="46"/>
  <c r="R757" i="46"/>
  <c r="P757" i="46"/>
  <c r="P766" i="46"/>
  <c r="R766" i="46"/>
  <c r="R771" i="46"/>
  <c r="P771" i="46"/>
  <c r="P737" i="46"/>
  <c r="R737" i="46"/>
  <c r="R754" i="46"/>
  <c r="P754" i="46"/>
  <c r="R1233" i="46"/>
  <c r="P1233" i="46"/>
  <c r="R1265" i="46"/>
  <c r="P1265" i="46"/>
  <c r="P1242" i="46"/>
  <c r="R1242" i="46"/>
  <c r="P1274" i="46"/>
  <c r="R1274" i="46"/>
  <c r="R1251" i="46"/>
  <c r="P1251" i="46"/>
  <c r="P1228" i="46"/>
  <c r="R1228" i="46"/>
  <c r="P1260" i="46"/>
  <c r="R1260" i="46"/>
  <c r="R2264" i="46"/>
  <c r="P2264" i="46"/>
  <c r="R2265" i="46"/>
  <c r="P2265" i="46"/>
  <c r="R2263" i="46"/>
  <c r="P2263" i="46"/>
  <c r="R2272" i="46"/>
  <c r="P2272" i="46"/>
  <c r="R1671" i="46"/>
  <c r="P1671" i="46"/>
  <c r="R1622" i="46"/>
  <c r="P1622" i="46"/>
  <c r="R1654" i="46"/>
  <c r="P1654" i="46"/>
  <c r="R1632" i="46"/>
  <c r="P1632" i="46"/>
  <c r="R1664" i="46"/>
  <c r="P1664" i="46"/>
  <c r="R1641" i="46"/>
  <c r="P1641" i="46"/>
  <c r="R1673" i="46"/>
  <c r="P1673" i="46"/>
  <c r="R3442" i="46"/>
  <c r="P3442" i="46"/>
  <c r="R3436" i="46"/>
  <c r="P3436" i="46"/>
  <c r="P3443" i="46"/>
  <c r="R3443" i="46"/>
  <c r="R1129" i="46"/>
  <c r="P1129" i="46"/>
  <c r="R1161" i="46"/>
  <c r="P1161" i="46"/>
  <c r="P1134" i="46"/>
  <c r="R1134" i="46"/>
  <c r="P1166" i="46"/>
  <c r="R1166" i="46"/>
  <c r="R1139" i="46"/>
  <c r="P1139" i="46"/>
  <c r="P1112" i="46"/>
  <c r="R1112" i="46"/>
  <c r="P1144" i="46"/>
  <c r="R1144" i="46"/>
  <c r="R3776" i="46"/>
  <c r="P3776" i="46"/>
  <c r="R3777" i="46"/>
  <c r="P3777" i="46"/>
  <c r="R3778" i="46"/>
  <c r="P3778" i="46"/>
  <c r="R3775" i="46"/>
  <c r="P3775" i="46"/>
  <c r="R2968" i="46"/>
  <c r="P2968" i="46"/>
  <c r="R2973" i="46"/>
  <c r="P2973" i="46"/>
  <c r="R2978" i="46"/>
  <c r="P2978" i="46"/>
  <c r="P3404" i="46"/>
  <c r="R3404" i="46"/>
  <c r="P3417" i="46"/>
  <c r="R3417" i="46"/>
  <c r="P3398" i="46"/>
  <c r="R3398" i="46"/>
  <c r="P3401" i="46"/>
  <c r="R3401" i="46"/>
  <c r="R2471" i="46"/>
  <c r="P2471" i="46"/>
  <c r="R2465" i="46"/>
  <c r="P2465" i="46"/>
  <c r="R2474" i="46"/>
  <c r="P2474" i="46"/>
  <c r="R2486" i="46"/>
  <c r="P2486" i="46"/>
  <c r="R1711" i="46"/>
  <c r="P1711" i="46"/>
  <c r="R1726" i="46"/>
  <c r="P1726" i="46"/>
  <c r="R1720" i="46"/>
  <c r="P1720" i="46"/>
  <c r="R1713" i="46"/>
  <c r="P1713" i="46"/>
  <c r="R1169" i="46"/>
  <c r="P1169" i="46"/>
  <c r="R1201" i="46"/>
  <c r="P1201" i="46"/>
  <c r="P1178" i="46"/>
  <c r="R1178" i="46"/>
  <c r="P1210" i="46"/>
  <c r="R1210" i="46"/>
  <c r="R1191" i="46"/>
  <c r="P1191" i="46"/>
  <c r="P1168" i="46"/>
  <c r="R1168" i="46"/>
  <c r="P1200" i="46"/>
  <c r="R1200" i="46"/>
  <c r="R937" i="46"/>
  <c r="P937" i="46"/>
  <c r="R969" i="46"/>
  <c r="P969" i="46"/>
  <c r="P946" i="46"/>
  <c r="R946" i="46"/>
  <c r="P978" i="46"/>
  <c r="R978" i="46"/>
  <c r="R951" i="46"/>
  <c r="P951" i="46"/>
  <c r="R983" i="46"/>
  <c r="P983" i="46"/>
  <c r="P956" i="46"/>
  <c r="R956" i="46"/>
  <c r="P2549" i="46"/>
  <c r="R2549" i="46"/>
  <c r="R2540" i="46"/>
  <c r="P2540" i="46"/>
  <c r="R2538" i="46"/>
  <c r="P2538" i="46"/>
  <c r="R3925" i="46"/>
  <c r="P3925" i="46"/>
  <c r="R3943" i="46"/>
  <c r="P3943" i="46"/>
  <c r="R3926" i="46"/>
  <c r="P3926" i="46"/>
  <c r="P3924" i="46"/>
  <c r="R3924" i="46"/>
  <c r="P440" i="46"/>
  <c r="R440" i="46"/>
  <c r="P454" i="46"/>
  <c r="R454" i="46"/>
  <c r="P455" i="46"/>
  <c r="R455" i="46"/>
  <c r="R1851" i="46"/>
  <c r="P1851" i="46"/>
  <c r="R1836" i="46"/>
  <c r="P1836" i="46"/>
  <c r="R1852" i="46"/>
  <c r="P1852" i="46"/>
  <c r="R897" i="46"/>
  <c r="P897" i="46"/>
  <c r="P1992" i="46"/>
  <c r="R1992" i="46"/>
  <c r="P2014" i="46"/>
  <c r="R2014" i="46"/>
  <c r="P2012" i="46"/>
  <c r="R2012" i="46"/>
  <c r="R1991" i="46"/>
  <c r="P1991" i="46"/>
  <c r="R2415" i="46"/>
  <c r="P2415" i="46"/>
  <c r="R2447" i="46"/>
  <c r="P2447" i="46"/>
  <c r="R2416" i="46"/>
  <c r="P2416" i="46"/>
  <c r="R2448" i="46"/>
  <c r="P2448" i="46"/>
  <c r="R2417" i="46"/>
  <c r="P2417" i="46"/>
  <c r="R2449" i="46"/>
  <c r="P2449" i="46"/>
  <c r="R2418" i="46"/>
  <c r="P2418" i="46"/>
  <c r="R2450" i="46"/>
  <c r="P2450" i="46"/>
  <c r="P480" i="46"/>
  <c r="R480" i="46"/>
  <c r="R817" i="46"/>
  <c r="P817" i="46"/>
  <c r="P810" i="46"/>
  <c r="R810" i="46"/>
  <c r="R807" i="46"/>
  <c r="P807" i="46"/>
  <c r="P804" i="46"/>
  <c r="R804" i="46"/>
  <c r="R3504" i="46"/>
  <c r="P3504" i="46"/>
  <c r="P3501" i="46"/>
  <c r="R3501" i="46"/>
  <c r="R3465" i="46"/>
  <c r="P3465" i="46"/>
  <c r="R3470" i="46"/>
  <c r="P3470" i="46"/>
  <c r="P3475" i="46"/>
  <c r="R3475" i="46"/>
  <c r="R3482" i="46"/>
  <c r="P3482" i="46"/>
  <c r="P3487" i="46"/>
  <c r="R3487" i="46"/>
  <c r="R3492" i="46"/>
  <c r="P3492" i="46"/>
  <c r="P2521" i="46"/>
  <c r="R2521" i="46"/>
  <c r="R2145" i="46"/>
  <c r="P2145" i="46"/>
  <c r="R2143" i="46"/>
  <c r="P2143" i="46"/>
  <c r="P2150" i="46"/>
  <c r="R2150" i="46"/>
  <c r="R2151" i="46"/>
  <c r="P2151" i="46"/>
  <c r="R544" i="46"/>
  <c r="P544" i="46"/>
  <c r="R588" i="46"/>
  <c r="P588" i="46"/>
  <c r="R584" i="46"/>
  <c r="P584" i="46"/>
  <c r="P535" i="46"/>
  <c r="R535" i="46"/>
  <c r="P551" i="46"/>
  <c r="R551" i="46"/>
  <c r="P567" i="46"/>
  <c r="R567" i="46"/>
  <c r="P583" i="46"/>
  <c r="R583" i="46"/>
  <c r="R2495" i="46"/>
  <c r="P2495" i="46"/>
  <c r="R2502" i="46"/>
  <c r="P2502" i="46"/>
  <c r="R2496" i="46"/>
  <c r="P2496" i="46"/>
  <c r="P2506" i="46"/>
  <c r="R2506" i="46"/>
  <c r="R1535" i="46"/>
  <c r="P1535" i="46"/>
  <c r="R1539" i="46"/>
  <c r="P1539" i="46"/>
  <c r="R1550" i="46"/>
  <c r="P1550" i="46"/>
  <c r="R1582" i="46"/>
  <c r="P1582" i="46"/>
  <c r="R1552" i="46"/>
  <c r="P1552" i="46"/>
  <c r="R1584" i="46"/>
  <c r="P1584" i="46"/>
  <c r="R1553" i="46"/>
  <c r="P1553" i="46"/>
  <c r="R1585" i="46"/>
  <c r="P1585" i="46"/>
  <c r="R3638" i="46"/>
  <c r="P3638" i="46"/>
  <c r="P3654" i="46"/>
  <c r="R3654" i="46"/>
  <c r="R3639" i="46"/>
  <c r="P3639" i="46"/>
  <c r="P3662" i="46"/>
  <c r="R3662" i="46"/>
  <c r="P2641" i="46"/>
  <c r="R2641" i="46"/>
  <c r="P2639" i="46"/>
  <c r="R2639" i="46"/>
  <c r="R2618" i="46"/>
  <c r="P2618" i="46"/>
  <c r="R3339" i="46"/>
  <c r="P3339" i="46"/>
  <c r="R3348" i="46"/>
  <c r="P3348" i="46"/>
  <c r="R3356" i="46"/>
  <c r="P3356" i="46"/>
  <c r="R3372" i="46"/>
  <c r="P3372" i="46"/>
  <c r="R3355" i="46"/>
  <c r="P3355" i="46"/>
  <c r="R3371" i="46"/>
  <c r="P3371" i="46"/>
  <c r="R2335" i="46"/>
  <c r="P2335" i="46"/>
  <c r="R2336" i="46"/>
  <c r="P2336" i="46"/>
  <c r="R2337" i="46"/>
  <c r="P2337" i="46"/>
  <c r="R2338" i="46"/>
  <c r="P2338" i="46"/>
  <c r="R3872" i="46"/>
  <c r="P3872" i="46"/>
  <c r="R3876" i="46"/>
  <c r="P3876" i="46"/>
  <c r="R3877" i="46"/>
  <c r="P3877" i="46"/>
  <c r="R3854" i="46"/>
  <c r="P3854" i="46"/>
  <c r="R3886" i="46"/>
  <c r="P3886" i="46"/>
  <c r="R3863" i="46"/>
  <c r="P3863" i="46"/>
  <c r="R3895" i="46"/>
  <c r="P3895" i="46"/>
  <c r="R3908" i="46"/>
  <c r="P3908" i="46"/>
  <c r="R407" i="46"/>
  <c r="P407" i="46"/>
  <c r="R396" i="46"/>
  <c r="P396" i="46"/>
  <c r="R392" i="46"/>
  <c r="P392" i="46"/>
  <c r="R383" i="46"/>
  <c r="P383" i="46"/>
  <c r="R381" i="46"/>
  <c r="P381" i="46"/>
  <c r="P435" i="46"/>
  <c r="R435" i="46"/>
  <c r="P426" i="46"/>
  <c r="R426" i="46"/>
  <c r="P423" i="46"/>
  <c r="R423" i="46"/>
  <c r="R2744" i="46"/>
  <c r="P2744" i="46"/>
  <c r="R2742" i="46"/>
  <c r="P2742" i="46"/>
  <c r="R2746" i="46"/>
  <c r="P2746" i="46"/>
  <c r="R837" i="46"/>
  <c r="P837" i="46"/>
  <c r="R869" i="46"/>
  <c r="P869" i="46"/>
  <c r="P838" i="46"/>
  <c r="R838" i="46"/>
  <c r="P870" i="46"/>
  <c r="R870" i="46"/>
  <c r="R843" i="46"/>
  <c r="P843" i="46"/>
  <c r="R875" i="46"/>
  <c r="P875" i="46"/>
  <c r="P848" i="46"/>
  <c r="R848" i="46"/>
  <c r="P880" i="46"/>
  <c r="R880" i="46"/>
  <c r="R3816" i="46"/>
  <c r="P3816" i="46"/>
  <c r="R3809" i="46"/>
  <c r="P3809" i="46"/>
  <c r="R3810" i="46"/>
  <c r="P3810" i="46"/>
  <c r="R3811" i="46"/>
  <c r="P3811" i="46"/>
  <c r="R3004" i="46"/>
  <c r="P3004" i="46"/>
  <c r="R3005" i="46"/>
  <c r="P3005" i="46"/>
  <c r="R3006" i="46"/>
  <c r="P3006" i="46"/>
  <c r="R3007" i="46"/>
  <c r="P3007" i="46"/>
  <c r="R346" i="46"/>
  <c r="P346" i="46"/>
  <c r="P362" i="46"/>
  <c r="R362" i="46"/>
  <c r="P345" i="46"/>
  <c r="R345" i="46"/>
  <c r="P361" i="46"/>
  <c r="R361" i="46"/>
  <c r="R1931" i="46"/>
  <c r="P1931" i="46"/>
  <c r="R1947" i="46"/>
  <c r="P1947" i="46"/>
  <c r="R1934" i="46"/>
  <c r="P1934" i="46"/>
  <c r="R1955" i="46"/>
  <c r="P1955" i="46"/>
  <c r="R1515" i="46"/>
  <c r="P1515" i="46"/>
  <c r="R1519" i="46"/>
  <c r="P1519" i="46"/>
  <c r="R1478" i="46"/>
  <c r="P1478" i="46"/>
  <c r="R1510" i="46"/>
  <c r="P1510" i="46"/>
  <c r="R1480" i="46"/>
  <c r="P1480" i="46"/>
  <c r="R1512" i="46"/>
  <c r="P1512" i="46"/>
  <c r="R1485" i="46"/>
  <c r="P1485" i="46"/>
  <c r="R1517" i="46"/>
  <c r="P1517" i="46"/>
  <c r="R286" i="46"/>
  <c r="P286" i="46"/>
  <c r="P302" i="46"/>
  <c r="R302" i="46"/>
  <c r="P318" i="46"/>
  <c r="R318" i="46"/>
  <c r="R334" i="46"/>
  <c r="P334" i="46"/>
  <c r="P289" i="46"/>
  <c r="R289" i="46"/>
  <c r="P305" i="46"/>
  <c r="R305" i="46"/>
  <c r="P321" i="46"/>
  <c r="R321" i="46"/>
  <c r="P337" i="46"/>
  <c r="R337" i="46"/>
  <c r="R694" i="46"/>
  <c r="P694" i="46"/>
  <c r="R690" i="46"/>
  <c r="P690" i="46"/>
  <c r="R718" i="46"/>
  <c r="P718" i="46"/>
  <c r="P673" i="46"/>
  <c r="R673" i="46"/>
  <c r="P689" i="46"/>
  <c r="R689" i="46"/>
  <c r="P705" i="46"/>
  <c r="R705" i="46"/>
  <c r="P2104" i="46"/>
  <c r="R2104" i="46"/>
  <c r="R2091" i="46"/>
  <c r="P2091" i="46"/>
  <c r="P2092" i="46"/>
  <c r="R2092" i="46"/>
  <c r="R2093" i="46"/>
  <c r="P2093" i="46"/>
  <c r="R993" i="46"/>
  <c r="P993" i="46"/>
  <c r="R1025" i="46"/>
  <c r="P1025" i="46"/>
  <c r="P994" i="46"/>
  <c r="R994" i="46"/>
  <c r="P1026" i="46"/>
  <c r="R1026" i="46"/>
  <c r="R999" i="46"/>
  <c r="P999" i="46"/>
  <c r="R1031" i="46"/>
  <c r="P1031" i="46"/>
  <c r="P1000" i="46"/>
  <c r="R1000" i="46"/>
  <c r="P1032" i="46"/>
  <c r="R1032" i="46"/>
  <c r="R1771" i="46"/>
  <c r="P1771" i="46"/>
  <c r="R1789" i="46"/>
  <c r="P1789" i="46"/>
  <c r="R2041" i="46"/>
  <c r="P2041" i="46"/>
  <c r="P3571" i="46"/>
  <c r="R3571" i="46"/>
  <c r="R2566" i="46"/>
  <c r="P2566" i="46"/>
  <c r="P1364" i="46"/>
  <c r="R1364" i="46"/>
  <c r="P796" i="46"/>
  <c r="R796" i="46"/>
  <c r="R4064" i="46"/>
  <c r="P4064" i="46"/>
  <c r="R1436" i="46"/>
  <c r="P1436" i="46"/>
  <c r="R3619" i="46"/>
  <c r="P3619" i="46"/>
  <c r="R2826" i="46"/>
  <c r="P2826" i="46"/>
  <c r="R2787" i="46"/>
  <c r="P2787" i="46"/>
  <c r="P1374" i="46"/>
  <c r="R1374" i="46"/>
  <c r="P4141" i="46"/>
  <c r="R4141" i="46"/>
  <c r="R4190" i="46"/>
  <c r="P4190" i="46"/>
  <c r="R3719" i="46"/>
  <c r="P3719" i="46"/>
  <c r="R2688" i="46"/>
  <c r="P2688" i="46"/>
  <c r="R3029" i="46"/>
  <c r="P3029" i="46"/>
  <c r="R2117" i="46"/>
  <c r="P2117" i="46"/>
  <c r="R2921" i="46"/>
  <c r="P2921" i="46"/>
  <c r="R608" i="46"/>
  <c r="P608" i="46"/>
  <c r="P623" i="46"/>
  <c r="R623" i="46"/>
  <c r="R3250" i="46"/>
  <c r="P3250" i="46"/>
  <c r="R1821" i="46"/>
  <c r="P1821" i="46"/>
  <c r="R1819" i="46"/>
  <c r="P1819" i="46"/>
  <c r="R1876" i="46"/>
  <c r="P1876" i="46"/>
  <c r="R4272" i="46"/>
  <c r="P4272" i="46"/>
  <c r="R3518" i="46"/>
  <c r="P3518" i="46"/>
  <c r="R1601" i="46"/>
  <c r="P1601" i="46"/>
  <c r="P729" i="46"/>
  <c r="R729" i="46"/>
  <c r="R1267" i="46"/>
  <c r="P1267" i="46"/>
  <c r="R2271" i="46"/>
  <c r="P2271" i="46"/>
  <c r="R1648" i="46"/>
  <c r="P1648" i="46"/>
  <c r="R1113" i="46"/>
  <c r="P1113" i="46"/>
  <c r="R3780" i="46"/>
  <c r="P3780" i="46"/>
  <c r="P3403" i="46"/>
  <c r="R3403" i="46"/>
  <c r="R1710" i="46"/>
  <c r="P1710" i="46"/>
  <c r="P1194" i="46"/>
  <c r="R1194" i="46"/>
  <c r="R935" i="46"/>
  <c r="P935" i="46"/>
  <c r="P3942" i="46"/>
  <c r="R3942" i="46"/>
  <c r="R1844" i="46"/>
  <c r="P1844" i="46"/>
  <c r="P2018" i="46"/>
  <c r="R2018" i="46"/>
  <c r="R2402" i="46"/>
  <c r="P2402" i="46"/>
  <c r="P826" i="46"/>
  <c r="R826" i="46"/>
  <c r="R3502" i="46"/>
  <c r="P3502" i="46"/>
  <c r="R2139" i="46"/>
  <c r="P2139" i="46"/>
  <c r="P543" i="46"/>
  <c r="R543" i="46"/>
  <c r="P2508" i="46"/>
  <c r="R2508" i="46"/>
  <c r="R1568" i="46"/>
  <c r="P1568" i="46"/>
  <c r="R1569" i="46"/>
  <c r="P1569" i="46"/>
  <c r="R2626" i="46"/>
  <c r="P2626" i="46"/>
  <c r="R3364" i="46"/>
  <c r="P3364" i="46"/>
  <c r="R2351" i="46"/>
  <c r="P2351" i="46"/>
  <c r="R2354" i="46"/>
  <c r="P2354" i="46"/>
  <c r="R3879" i="46"/>
  <c r="P3879" i="46"/>
  <c r="P428" i="46"/>
  <c r="R428" i="46"/>
  <c r="R2750" i="46"/>
  <c r="P2750" i="46"/>
  <c r="P854" i="46"/>
  <c r="R854" i="46"/>
  <c r="R3793" i="46"/>
  <c r="P3793" i="46"/>
  <c r="R2990" i="46"/>
  <c r="P2990" i="46"/>
  <c r="P370" i="46"/>
  <c r="R370" i="46"/>
  <c r="R1959" i="46"/>
  <c r="P1959" i="46"/>
  <c r="R1496" i="46"/>
  <c r="P1496" i="46"/>
  <c r="R278" i="46"/>
  <c r="P278" i="46"/>
  <c r="R1009" i="46"/>
  <c r="P1009" i="46"/>
  <c r="R2888" i="46"/>
  <c r="P2888" i="46"/>
  <c r="R2870" i="46"/>
  <c r="P2870" i="46"/>
  <c r="R1700" i="46"/>
  <c r="P1700" i="46"/>
  <c r="R3824" i="46"/>
  <c r="P3824" i="46"/>
  <c r="R3160" i="46"/>
  <c r="P3160" i="46"/>
  <c r="R3162" i="46"/>
  <c r="P3162" i="46"/>
  <c r="R4120" i="46"/>
  <c r="P4120" i="46"/>
  <c r="P4071" i="46"/>
  <c r="R4071" i="46"/>
  <c r="R1093" i="46"/>
  <c r="P1093" i="46"/>
  <c r="P1102" i="46"/>
  <c r="R1102" i="46"/>
  <c r="R2177" i="46"/>
  <c r="P2177" i="46"/>
  <c r="R2179" i="46"/>
  <c r="P2179" i="46"/>
  <c r="P723" i="46"/>
  <c r="R723" i="46"/>
  <c r="P2651" i="46"/>
  <c r="R2651" i="46"/>
  <c r="P2653" i="46"/>
  <c r="R2653" i="46"/>
  <c r="R3081" i="46"/>
  <c r="P3081" i="46"/>
  <c r="R3099" i="46"/>
  <c r="P3099" i="46"/>
  <c r="R4331" i="46"/>
  <c r="P4331" i="46"/>
  <c r="R4364" i="46"/>
  <c r="P4364" i="46"/>
  <c r="R3211" i="46"/>
  <c r="P3211" i="46"/>
  <c r="R3242" i="46"/>
  <c r="P3242" i="46"/>
  <c r="R3213" i="46"/>
  <c r="P3213" i="46"/>
  <c r="R4222" i="46"/>
  <c r="P4222" i="46"/>
  <c r="R4227" i="46"/>
  <c r="P4227" i="46"/>
  <c r="R4228" i="46"/>
  <c r="P4228" i="46"/>
  <c r="R4201" i="46"/>
  <c r="P4201" i="46"/>
  <c r="R2932" i="46"/>
  <c r="P2932" i="46"/>
  <c r="R2933" i="46"/>
  <c r="P2933" i="46"/>
  <c r="R2934" i="46"/>
  <c r="P2934" i="46"/>
  <c r="R2935" i="46"/>
  <c r="P2935" i="46"/>
  <c r="P2613" i="46"/>
  <c r="R2613" i="46"/>
  <c r="P2603" i="46"/>
  <c r="R2603" i="46"/>
  <c r="R2614" i="46"/>
  <c r="P2614" i="46"/>
  <c r="P2605" i="46"/>
  <c r="R2605" i="46"/>
  <c r="R3947" i="46"/>
  <c r="P3947" i="46"/>
  <c r="R3991" i="46"/>
  <c r="P3991" i="46"/>
  <c r="R3985" i="46"/>
  <c r="P3985" i="46"/>
  <c r="R3989" i="46"/>
  <c r="P3989" i="46"/>
  <c r="R3983" i="46"/>
  <c r="P3983" i="46"/>
  <c r="R3993" i="46"/>
  <c r="P3993" i="46"/>
  <c r="P4000" i="46"/>
  <c r="R4000" i="46"/>
  <c r="P3994" i="46"/>
  <c r="R3994" i="46"/>
  <c r="R1289" i="46"/>
  <c r="P1289" i="46"/>
  <c r="R1321" i="46"/>
  <c r="P1321" i="46"/>
  <c r="P1290" i="46"/>
  <c r="R1290" i="46"/>
  <c r="P1322" i="46"/>
  <c r="R1322" i="46"/>
  <c r="R1295" i="46"/>
  <c r="P1295" i="46"/>
  <c r="R1327" i="46"/>
  <c r="P1327" i="46"/>
  <c r="P1296" i="46"/>
  <c r="R1296" i="46"/>
  <c r="P1328" i="46"/>
  <c r="R1328" i="46"/>
  <c r="R1759" i="46"/>
  <c r="P1759" i="46"/>
  <c r="R1797" i="46"/>
  <c r="P1797" i="46"/>
  <c r="R3559" i="46"/>
  <c r="P3559" i="46"/>
  <c r="R3593" i="46"/>
  <c r="P3593" i="46"/>
  <c r="R1343" i="46"/>
  <c r="P1343" i="46"/>
  <c r="P778" i="46"/>
  <c r="R778" i="46"/>
  <c r="R4028" i="46"/>
  <c r="P4028" i="46"/>
  <c r="P467" i="46"/>
  <c r="R467" i="46"/>
  <c r="R1463" i="46"/>
  <c r="P1463" i="46"/>
  <c r="R3607" i="46"/>
  <c r="P3607" i="46"/>
  <c r="P908" i="46"/>
  <c r="R908" i="46"/>
  <c r="P1980" i="46"/>
  <c r="R1980" i="46"/>
  <c r="P2775" i="46"/>
  <c r="R2775" i="46"/>
  <c r="R3319" i="46"/>
  <c r="P3319" i="46"/>
  <c r="R2252" i="46"/>
  <c r="P2252" i="46"/>
  <c r="R2261" i="46"/>
  <c r="P2261" i="46"/>
  <c r="R4136" i="46"/>
  <c r="P4136" i="46"/>
  <c r="R512" i="46"/>
  <c r="P512" i="46"/>
  <c r="R3709" i="46"/>
  <c r="P3709" i="46"/>
  <c r="R2694" i="46"/>
  <c r="P2694" i="46"/>
  <c r="R3064" i="46"/>
  <c r="P3064" i="46"/>
  <c r="R3047" i="46"/>
  <c r="P3047" i="46"/>
  <c r="R2125" i="46"/>
  <c r="P2125" i="46"/>
  <c r="R3743" i="46"/>
  <c r="P3743" i="46"/>
  <c r="R640" i="46"/>
  <c r="P640" i="46"/>
  <c r="P643" i="46"/>
  <c r="R643" i="46"/>
  <c r="R4303" i="46"/>
  <c r="P4303" i="46"/>
  <c r="F137" i="45"/>
  <c r="G137" i="45" s="1"/>
  <c r="R2861" i="46"/>
  <c r="P2861" i="46"/>
  <c r="R2871" i="46"/>
  <c r="P2871" i="46"/>
  <c r="R2833" i="46"/>
  <c r="P2833" i="46"/>
  <c r="R1678" i="46"/>
  <c r="P1678" i="46"/>
  <c r="R1680" i="46"/>
  <c r="P1680" i="46"/>
  <c r="R1681" i="46"/>
  <c r="P1681" i="46"/>
  <c r="R2295" i="46"/>
  <c r="P2295" i="46"/>
  <c r="R2297" i="46"/>
  <c r="P2297" i="46"/>
  <c r="R3852" i="46"/>
  <c r="P3852" i="46"/>
  <c r="R3830" i="46"/>
  <c r="P3830" i="46"/>
  <c r="R3140" i="46"/>
  <c r="P3140" i="46"/>
  <c r="R3141" i="46"/>
  <c r="P3141" i="46"/>
  <c r="R3142" i="46"/>
  <c r="P3142" i="46"/>
  <c r="R3143" i="46"/>
  <c r="P3143" i="46"/>
  <c r="R3175" i="46"/>
  <c r="P3175" i="46"/>
  <c r="R4076" i="46"/>
  <c r="P4076" i="46"/>
  <c r="P4105" i="46"/>
  <c r="R4105" i="46"/>
  <c r="R4128" i="46"/>
  <c r="P4128" i="46"/>
  <c r="P4107" i="46"/>
  <c r="R4107" i="46"/>
  <c r="R1105" i="46"/>
  <c r="P1105" i="46"/>
  <c r="R1063" i="46"/>
  <c r="P1063" i="46"/>
  <c r="P1104" i="46"/>
  <c r="R1104" i="46"/>
  <c r="P2194" i="46"/>
  <c r="R2194" i="46"/>
  <c r="R2199" i="46"/>
  <c r="P2199" i="46"/>
  <c r="P3684" i="46"/>
  <c r="R3684" i="46"/>
  <c r="R3697" i="46"/>
  <c r="P3697" i="46"/>
  <c r="R2652" i="46"/>
  <c r="P2652" i="46"/>
  <c r="P2647" i="46"/>
  <c r="R2647" i="46"/>
  <c r="R3120" i="46"/>
  <c r="P3120" i="46"/>
  <c r="R3125" i="46"/>
  <c r="P3125" i="46"/>
  <c r="R3079" i="46"/>
  <c r="P3079" i="46"/>
  <c r="R4322" i="46"/>
  <c r="P4322" i="46"/>
  <c r="R4343" i="46"/>
  <c r="P4343" i="46"/>
  <c r="R4349" i="46"/>
  <c r="P4349" i="46"/>
  <c r="R3207" i="46"/>
  <c r="P3207" i="46"/>
  <c r="R3222" i="46"/>
  <c r="P3222" i="46"/>
  <c r="R3225" i="46"/>
  <c r="P3225" i="46"/>
  <c r="R4207" i="46"/>
  <c r="P4207" i="46"/>
  <c r="R1799" i="46"/>
  <c r="P1799" i="46"/>
  <c r="R1783" i="46"/>
  <c r="P1783" i="46"/>
  <c r="R1774" i="46"/>
  <c r="P1774" i="46"/>
  <c r="R1744" i="46"/>
  <c r="P1744" i="46"/>
  <c r="R1776" i="46"/>
  <c r="P1776" i="46"/>
  <c r="R1745" i="46"/>
  <c r="P1745" i="46"/>
  <c r="R1777" i="46"/>
  <c r="P1777" i="46"/>
  <c r="R2069" i="46"/>
  <c r="P2069" i="46"/>
  <c r="R2049" i="46"/>
  <c r="P2049" i="46"/>
  <c r="R2059" i="46"/>
  <c r="P2059" i="46"/>
  <c r="P2066" i="46"/>
  <c r="R2066" i="46"/>
  <c r="P2022" i="46"/>
  <c r="R2022" i="46"/>
  <c r="P2032" i="46"/>
  <c r="R2032" i="46"/>
  <c r="P2042" i="46"/>
  <c r="R2042" i="46"/>
  <c r="P3549" i="46"/>
  <c r="R3549" i="46"/>
  <c r="R3552" i="46"/>
  <c r="P3552" i="46"/>
  <c r="R3548" i="46"/>
  <c r="P3548" i="46"/>
  <c r="R3569" i="46"/>
  <c r="P3569" i="46"/>
  <c r="R3588" i="46"/>
  <c r="P3588" i="46"/>
  <c r="R3577" i="46"/>
  <c r="P3577" i="46"/>
  <c r="R3604" i="46"/>
  <c r="P3604" i="46"/>
  <c r="R3599" i="46"/>
  <c r="P3599" i="46"/>
  <c r="P2561" i="46"/>
  <c r="R2561" i="46"/>
  <c r="R2572" i="46"/>
  <c r="P2572" i="46"/>
  <c r="R2576" i="46"/>
  <c r="P2576" i="46"/>
  <c r="R2580" i="46"/>
  <c r="P2580" i="46"/>
  <c r="R1365" i="46"/>
  <c r="P1365" i="46"/>
  <c r="P1358" i="46"/>
  <c r="R1358" i="46"/>
  <c r="R1355" i="46"/>
  <c r="P1355" i="46"/>
  <c r="P1352" i="46"/>
  <c r="R1352" i="46"/>
  <c r="P1046" i="46"/>
  <c r="R1046" i="46"/>
  <c r="R781" i="46"/>
  <c r="P781" i="46"/>
  <c r="P790" i="46"/>
  <c r="R790" i="46"/>
  <c r="P784" i="46"/>
  <c r="R784" i="46"/>
  <c r="R4059" i="46"/>
  <c r="P4059" i="46"/>
  <c r="R4023" i="46"/>
  <c r="P4023" i="46"/>
  <c r="R4069" i="46"/>
  <c r="P4069" i="46"/>
  <c r="P4031" i="46"/>
  <c r="R4031" i="46"/>
  <c r="P4049" i="46"/>
  <c r="R4049" i="46"/>
  <c r="P4039" i="46"/>
  <c r="R4039" i="46"/>
  <c r="R4050" i="46"/>
  <c r="P4050" i="46"/>
  <c r="P4047" i="46"/>
  <c r="R4047" i="46"/>
  <c r="R3386" i="46"/>
  <c r="P3386" i="46"/>
  <c r="R3391" i="46"/>
  <c r="P3391" i="46"/>
  <c r="R2383" i="46"/>
  <c r="P2383" i="46"/>
  <c r="R2384" i="46"/>
  <c r="P2384" i="46"/>
  <c r="R2385" i="46"/>
  <c r="P2385" i="46"/>
  <c r="R1447" i="46"/>
  <c r="P1447" i="46"/>
  <c r="R1444" i="46"/>
  <c r="P1444" i="46"/>
  <c r="R1458" i="46"/>
  <c r="P1458" i="46"/>
  <c r="P1446" i="46"/>
  <c r="R1446" i="46"/>
  <c r="P2200" i="46"/>
  <c r="R2200" i="46"/>
  <c r="R2219" i="46"/>
  <c r="P2219" i="46"/>
  <c r="R2217" i="46"/>
  <c r="P2217" i="46"/>
  <c r="R2221" i="46"/>
  <c r="P2221" i="46"/>
  <c r="R3612" i="46"/>
  <c r="P3612" i="46"/>
  <c r="R3628" i="46"/>
  <c r="P3628" i="46"/>
  <c r="R3613" i="46"/>
  <c r="P3613" i="46"/>
  <c r="R3629" i="46"/>
  <c r="P3629" i="46"/>
  <c r="R596" i="46"/>
  <c r="P596" i="46"/>
  <c r="R909" i="46"/>
  <c r="P909" i="46"/>
  <c r="P914" i="46"/>
  <c r="R914" i="46"/>
  <c r="R915" i="46"/>
  <c r="P915" i="46"/>
  <c r="P920" i="46"/>
  <c r="R920" i="46"/>
  <c r="R1985" i="46"/>
  <c r="P1985" i="46"/>
  <c r="R1983" i="46"/>
  <c r="P1983" i="46"/>
  <c r="R1987" i="46"/>
  <c r="P1987" i="46"/>
  <c r="P1978" i="46"/>
  <c r="R1978" i="46"/>
  <c r="R2782" i="46"/>
  <c r="P2782" i="46"/>
  <c r="R2804" i="46"/>
  <c r="P2804" i="46"/>
  <c r="R2802" i="46"/>
  <c r="P2802" i="46"/>
  <c r="R2792" i="46"/>
  <c r="P2792" i="46"/>
  <c r="R2821" i="46"/>
  <c r="P2821" i="46"/>
  <c r="R2823" i="46"/>
  <c r="P2823" i="46"/>
  <c r="R2827" i="46"/>
  <c r="P2827" i="46"/>
  <c r="R1401" i="46"/>
  <c r="P1401" i="46"/>
  <c r="R1389" i="46"/>
  <c r="P1389" i="46"/>
  <c r="R1400" i="46"/>
  <c r="P1400" i="46"/>
  <c r="R1432" i="46"/>
  <c r="P1432" i="46"/>
  <c r="P1398" i="46"/>
  <c r="R1398" i="46"/>
  <c r="P1430" i="46"/>
  <c r="R1430" i="46"/>
  <c r="R1403" i="46"/>
  <c r="P1403" i="46"/>
  <c r="P1376" i="46"/>
  <c r="R1376" i="46"/>
  <c r="R3322" i="46"/>
  <c r="P3322" i="46"/>
  <c r="R2235" i="46"/>
  <c r="P2235" i="46"/>
  <c r="R2237" i="46"/>
  <c r="P2237" i="46"/>
  <c r="R2247" i="46"/>
  <c r="P2247" i="46"/>
  <c r="P2248" i="46"/>
  <c r="R2248" i="46"/>
  <c r="R2395" i="46"/>
  <c r="P2395" i="46"/>
  <c r="P4179" i="46"/>
  <c r="R4179" i="46"/>
  <c r="P4133" i="46"/>
  <c r="R4133" i="46"/>
  <c r="R4180" i="46"/>
  <c r="P4180" i="46"/>
  <c r="R4148" i="46"/>
  <c r="P4148" i="46"/>
  <c r="P4165" i="46"/>
  <c r="R4165" i="46"/>
  <c r="R4178" i="46"/>
  <c r="P4178" i="46"/>
  <c r="R4170" i="46"/>
  <c r="P4170" i="46"/>
  <c r="P4171" i="46"/>
  <c r="R4171" i="46"/>
  <c r="R506" i="46"/>
  <c r="P506" i="46"/>
  <c r="P489" i="46"/>
  <c r="R489" i="46"/>
  <c r="R514" i="46"/>
  <c r="P514" i="46"/>
  <c r="R510" i="46"/>
  <c r="P510" i="46"/>
  <c r="R532" i="46"/>
  <c r="P532" i="46"/>
  <c r="P511" i="46"/>
  <c r="R511" i="46"/>
  <c r="P527" i="46"/>
  <c r="R527" i="46"/>
  <c r="P3708" i="46"/>
  <c r="R3708" i="46"/>
  <c r="R3699" i="46"/>
  <c r="P3699" i="46"/>
  <c r="P3700" i="46"/>
  <c r="R3700" i="46"/>
  <c r="R3707" i="46"/>
  <c r="P3707" i="46"/>
  <c r="P2725" i="46"/>
  <c r="R2725" i="46"/>
  <c r="P2721" i="46"/>
  <c r="R2721" i="46"/>
  <c r="P2715" i="46"/>
  <c r="R2715" i="46"/>
  <c r="P2719" i="46"/>
  <c r="R2719" i="46"/>
  <c r="P2713" i="46"/>
  <c r="R2713" i="46"/>
  <c r="P2723" i="46"/>
  <c r="R2723" i="46"/>
  <c r="R2730" i="46"/>
  <c r="P2730" i="46"/>
  <c r="P2727" i="46"/>
  <c r="R2727" i="46"/>
  <c r="R3044" i="46"/>
  <c r="P3044" i="46"/>
  <c r="R3017" i="46"/>
  <c r="P3017" i="46"/>
  <c r="R3049" i="46"/>
  <c r="P3049" i="46"/>
  <c r="R3022" i="46"/>
  <c r="P3022" i="46"/>
  <c r="R3054" i="46"/>
  <c r="P3054" i="46"/>
  <c r="R3027" i="46"/>
  <c r="P3027" i="46"/>
  <c r="R3059" i="46"/>
  <c r="P3059" i="46"/>
  <c r="P2116" i="46"/>
  <c r="R2116" i="46"/>
  <c r="P2114" i="46"/>
  <c r="R2114" i="46"/>
  <c r="P2118" i="46"/>
  <c r="R2118" i="46"/>
  <c r="P2122" i="46"/>
  <c r="R2122" i="46"/>
  <c r="R2903" i="46"/>
  <c r="P2903" i="46"/>
  <c r="R2920" i="46"/>
  <c r="P2920" i="46"/>
  <c r="R2914" i="46"/>
  <c r="P2914" i="46"/>
  <c r="R3749" i="46"/>
  <c r="P3749" i="46"/>
  <c r="P3734" i="46"/>
  <c r="R3734" i="46"/>
  <c r="R3741" i="46"/>
  <c r="P3741" i="46"/>
  <c r="P3742" i="46"/>
  <c r="R3742" i="46"/>
  <c r="R634" i="46"/>
  <c r="P634" i="46"/>
  <c r="R636" i="46"/>
  <c r="P636" i="46"/>
  <c r="R632" i="46"/>
  <c r="P632" i="46"/>
  <c r="R644" i="46"/>
  <c r="P644" i="46"/>
  <c r="P617" i="46"/>
  <c r="R617" i="46"/>
  <c r="P633" i="46"/>
  <c r="R633" i="46"/>
  <c r="P649" i="46"/>
  <c r="R649" i="46"/>
  <c r="R3251" i="46"/>
  <c r="P3251" i="46"/>
  <c r="R3267" i="46"/>
  <c r="P3267" i="46"/>
  <c r="R3270" i="46"/>
  <c r="P3270" i="46"/>
  <c r="R3302" i="46"/>
  <c r="P3302" i="46"/>
  <c r="R3272" i="46"/>
  <c r="P3272" i="46"/>
  <c r="R3304" i="46"/>
  <c r="P3304" i="46"/>
  <c r="R3273" i="46"/>
  <c r="P3273" i="46"/>
  <c r="R3305" i="46"/>
  <c r="P3305" i="46"/>
  <c r="R1831" i="46"/>
  <c r="P1831" i="46"/>
  <c r="R1809" i="46"/>
  <c r="P1809" i="46"/>
  <c r="R1820" i="46"/>
  <c r="P1820" i="46"/>
  <c r="R1867" i="46"/>
  <c r="P1867" i="46"/>
  <c r="R1883" i="46"/>
  <c r="P1883" i="46"/>
  <c r="R1899" i="46"/>
  <c r="P1899" i="46"/>
  <c r="R1915" i="46"/>
  <c r="P1915" i="46"/>
  <c r="R1870" i="46"/>
  <c r="P1870" i="46"/>
  <c r="R1886" i="46"/>
  <c r="P1886" i="46"/>
  <c r="R1902" i="46"/>
  <c r="P1902" i="46"/>
  <c r="R1918" i="46"/>
  <c r="P1918" i="46"/>
  <c r="R4266" i="46"/>
  <c r="P4266" i="46"/>
  <c r="R4298" i="46"/>
  <c r="P4298" i="46"/>
  <c r="R4283" i="46"/>
  <c r="P4283" i="46"/>
  <c r="R4260" i="46"/>
  <c r="P4260" i="46"/>
  <c r="R4292" i="46"/>
  <c r="P4292" i="46"/>
  <c r="R4273" i="46"/>
  <c r="P4273" i="46"/>
  <c r="R4305" i="46"/>
  <c r="P4305" i="46"/>
  <c r="R4316" i="46"/>
  <c r="P4316" i="46"/>
  <c r="P3533" i="46"/>
  <c r="R3533" i="46"/>
  <c r="R3527" i="46"/>
  <c r="P3527" i="46"/>
  <c r="R3516" i="46"/>
  <c r="P3516" i="46"/>
  <c r="R3537" i="46"/>
  <c r="P3537" i="46"/>
  <c r="R3531" i="46"/>
  <c r="P3531" i="46"/>
  <c r="R1603" i="46"/>
  <c r="P1603" i="46"/>
  <c r="R1614" i="46"/>
  <c r="P1614" i="46"/>
  <c r="R1616" i="46"/>
  <c r="P1616" i="46"/>
  <c r="P462" i="46"/>
  <c r="R462" i="46"/>
  <c r="P458" i="46"/>
  <c r="R458" i="46"/>
  <c r="R664" i="46"/>
  <c r="P664" i="46"/>
  <c r="R746" i="46"/>
  <c r="P746" i="46"/>
  <c r="R728" i="46"/>
  <c r="P728" i="46"/>
  <c r="R752" i="46"/>
  <c r="P752" i="46"/>
  <c r="P770" i="46"/>
  <c r="R770" i="46"/>
  <c r="R775" i="46"/>
  <c r="P775" i="46"/>
  <c r="P739" i="46"/>
  <c r="R739" i="46"/>
  <c r="P760" i="46"/>
  <c r="R760" i="46"/>
  <c r="R1237" i="46"/>
  <c r="P1237" i="46"/>
  <c r="R1269" i="46"/>
  <c r="P1269" i="46"/>
  <c r="P1246" i="46"/>
  <c r="R1246" i="46"/>
  <c r="R1223" i="46"/>
  <c r="P1223" i="46"/>
  <c r="R1255" i="46"/>
  <c r="P1255" i="46"/>
  <c r="P1232" i="46"/>
  <c r="R1232" i="46"/>
  <c r="P1264" i="46"/>
  <c r="R1264" i="46"/>
  <c r="R2279" i="46"/>
  <c r="P2279" i="46"/>
  <c r="R2277" i="46"/>
  <c r="P2277" i="46"/>
  <c r="R2281" i="46"/>
  <c r="P2281" i="46"/>
  <c r="R2285" i="46"/>
  <c r="P2285" i="46"/>
  <c r="R1627" i="46"/>
  <c r="P1627" i="46"/>
  <c r="R1626" i="46"/>
  <c r="P1626" i="46"/>
  <c r="R1658" i="46"/>
  <c r="P1658" i="46"/>
  <c r="R1636" i="46"/>
  <c r="P1636" i="46"/>
  <c r="R1668" i="46"/>
  <c r="P1668" i="46"/>
  <c r="R1645" i="46"/>
  <c r="P1645" i="46"/>
  <c r="P3435" i="46"/>
  <c r="R3435" i="46"/>
  <c r="R3446" i="46"/>
  <c r="P3446" i="46"/>
  <c r="P3424" i="46"/>
  <c r="R3424" i="46"/>
  <c r="R3441" i="46"/>
  <c r="P3441" i="46"/>
  <c r="R1133" i="46"/>
  <c r="P1133" i="46"/>
  <c r="R1165" i="46"/>
  <c r="P1165" i="46"/>
  <c r="P1138" i="46"/>
  <c r="R1138" i="46"/>
  <c r="R1111" i="46"/>
  <c r="P1111" i="46"/>
  <c r="R1143" i="46"/>
  <c r="P1143" i="46"/>
  <c r="P1116" i="46"/>
  <c r="R1116" i="46"/>
  <c r="P1148" i="46"/>
  <c r="R1148" i="46"/>
  <c r="R3784" i="46"/>
  <c r="P3784" i="46"/>
  <c r="R3781" i="46"/>
  <c r="P3781" i="46"/>
  <c r="R3782" i="46"/>
  <c r="P3782" i="46"/>
  <c r="R3779" i="46"/>
  <c r="P3779" i="46"/>
  <c r="R2972" i="46"/>
  <c r="P2972" i="46"/>
  <c r="R2977" i="46"/>
  <c r="P2977" i="46"/>
  <c r="R2955" i="46"/>
  <c r="P2955" i="46"/>
  <c r="P3412" i="46"/>
  <c r="R3412" i="46"/>
  <c r="R3393" i="46"/>
  <c r="P3393" i="46"/>
  <c r="P3405" i="46"/>
  <c r="R3405" i="46"/>
  <c r="P3411" i="46"/>
  <c r="R3411" i="46"/>
  <c r="R2475" i="46"/>
  <c r="P2475" i="46"/>
  <c r="R2469" i="46"/>
  <c r="P2469" i="46"/>
  <c r="R2479" i="46"/>
  <c r="P2479" i="46"/>
  <c r="R2488" i="46"/>
  <c r="P2488" i="46"/>
  <c r="R1731" i="46"/>
  <c r="P1731" i="46"/>
  <c r="R1730" i="46"/>
  <c r="P1730" i="46"/>
  <c r="R1724" i="46"/>
  <c r="P1724" i="46"/>
  <c r="R1717" i="46"/>
  <c r="P1717" i="46"/>
  <c r="R1173" i="46"/>
  <c r="P1173" i="46"/>
  <c r="R1205" i="46"/>
  <c r="P1205" i="46"/>
  <c r="P1182" i="46"/>
  <c r="R1182" i="46"/>
  <c r="P1214" i="46"/>
  <c r="R1214" i="46"/>
  <c r="R1195" i="46"/>
  <c r="P1195" i="46"/>
  <c r="P1172" i="46"/>
  <c r="R1172" i="46"/>
  <c r="P1204" i="46"/>
  <c r="R1204" i="46"/>
  <c r="R941" i="46"/>
  <c r="P941" i="46"/>
  <c r="R973" i="46"/>
  <c r="P973" i="46"/>
  <c r="P950" i="46"/>
  <c r="R950" i="46"/>
  <c r="P982" i="46"/>
  <c r="R982" i="46"/>
  <c r="R955" i="46"/>
  <c r="P955" i="46"/>
  <c r="P928" i="46"/>
  <c r="R928" i="46"/>
  <c r="P960" i="46"/>
  <c r="R960" i="46"/>
  <c r="R2530" i="46"/>
  <c r="P2530" i="46"/>
  <c r="P2543" i="46"/>
  <c r="R2543" i="46"/>
  <c r="P2541" i="46"/>
  <c r="R2541" i="46"/>
  <c r="R3931" i="46"/>
  <c r="P3931" i="46"/>
  <c r="P3934" i="46"/>
  <c r="R3934" i="46"/>
  <c r="P3932" i="46"/>
  <c r="R3932" i="46"/>
  <c r="P3936" i="46"/>
  <c r="R3936" i="46"/>
  <c r="P443" i="46"/>
  <c r="R443" i="46"/>
  <c r="P448" i="46"/>
  <c r="R448" i="46"/>
  <c r="R1837" i="46"/>
  <c r="P1837" i="46"/>
  <c r="R1853" i="46"/>
  <c r="P1853" i="46"/>
  <c r="R1838" i="46"/>
  <c r="P1838" i="46"/>
  <c r="R1854" i="46"/>
  <c r="P1854" i="46"/>
  <c r="P894" i="46"/>
  <c r="R894" i="46"/>
  <c r="R2001" i="46"/>
  <c r="P2001" i="46"/>
  <c r="R1999" i="46"/>
  <c r="P1999" i="46"/>
  <c r="R2003" i="46"/>
  <c r="P2003" i="46"/>
  <c r="P1994" i="46"/>
  <c r="R1994" i="46"/>
  <c r="R2419" i="46"/>
  <c r="P2419" i="46"/>
  <c r="R2451" i="46"/>
  <c r="P2451" i="46"/>
  <c r="R2420" i="46"/>
  <c r="P2420" i="46"/>
  <c r="R2452" i="46"/>
  <c r="P2452" i="46"/>
  <c r="R2421" i="46"/>
  <c r="P2421" i="46"/>
  <c r="R2453" i="46"/>
  <c r="P2453" i="46"/>
  <c r="R2422" i="46"/>
  <c r="P2422" i="46"/>
  <c r="R2454" i="46"/>
  <c r="P2454" i="46"/>
  <c r="P474" i="46"/>
  <c r="R474" i="46"/>
  <c r="R821" i="46"/>
  <c r="P821" i="46"/>
  <c r="P814" i="46"/>
  <c r="R814" i="46"/>
  <c r="R811" i="46"/>
  <c r="P811" i="46"/>
  <c r="P808" i="46"/>
  <c r="R808" i="46"/>
  <c r="R3463" i="46"/>
  <c r="P3463" i="46"/>
  <c r="R3472" i="46"/>
  <c r="P3472" i="46"/>
  <c r="R3490" i="46"/>
  <c r="P3490" i="46"/>
  <c r="R3477" i="46"/>
  <c r="P3477" i="46"/>
  <c r="R3484" i="46"/>
  <c r="P3484" i="46"/>
  <c r="R3489" i="46"/>
  <c r="P3489" i="46"/>
  <c r="R3496" i="46"/>
  <c r="P3496" i="46"/>
  <c r="R3499" i="46"/>
  <c r="P3499" i="46"/>
  <c r="R2528" i="46"/>
  <c r="P2528" i="46"/>
  <c r="P2148" i="46"/>
  <c r="R2148" i="46"/>
  <c r="P2146" i="46"/>
  <c r="R2146" i="46"/>
  <c r="R2163" i="46"/>
  <c r="P2163" i="46"/>
  <c r="P2154" i="46"/>
  <c r="R2154" i="46"/>
  <c r="R560" i="46"/>
  <c r="P560" i="46"/>
  <c r="R546" i="46"/>
  <c r="P546" i="46"/>
  <c r="R542" i="46"/>
  <c r="P542" i="46"/>
  <c r="P537" i="46"/>
  <c r="R537" i="46"/>
  <c r="P553" i="46"/>
  <c r="R553" i="46"/>
  <c r="P569" i="46"/>
  <c r="R569" i="46"/>
  <c r="P585" i="46"/>
  <c r="R585" i="46"/>
  <c r="R2497" i="46"/>
  <c r="P2497" i="46"/>
  <c r="P2507" i="46"/>
  <c r="R2507" i="46"/>
  <c r="R2498" i="46"/>
  <c r="P2498" i="46"/>
  <c r="P2511" i="46"/>
  <c r="R2511" i="46"/>
  <c r="R1567" i="46"/>
  <c r="P1567" i="46"/>
  <c r="R1571" i="46"/>
  <c r="P1571" i="46"/>
  <c r="R1554" i="46"/>
  <c r="P1554" i="46"/>
  <c r="R1586" i="46"/>
  <c r="P1586" i="46"/>
  <c r="R1556" i="46"/>
  <c r="P1556" i="46"/>
  <c r="R1588" i="46"/>
  <c r="P1588" i="46"/>
  <c r="R1557" i="46"/>
  <c r="P1557" i="46"/>
  <c r="R1589" i="46"/>
  <c r="P1589" i="46"/>
  <c r="R3640" i="46"/>
  <c r="P3640" i="46"/>
  <c r="R3661" i="46"/>
  <c r="P3661" i="46"/>
  <c r="R3641" i="46"/>
  <c r="P3641" i="46"/>
  <c r="P2629" i="46"/>
  <c r="R2629" i="46"/>
  <c r="R2616" i="46"/>
  <c r="P2616" i="46"/>
  <c r="P2617" i="46"/>
  <c r="R2617" i="46"/>
  <c r="P2621" i="46"/>
  <c r="R2621" i="46"/>
  <c r="R3347" i="46"/>
  <c r="P3347" i="46"/>
  <c r="R3337" i="46"/>
  <c r="P3337" i="46"/>
  <c r="R3358" i="46"/>
  <c r="P3358" i="46"/>
  <c r="R3374" i="46"/>
  <c r="P3374" i="46"/>
  <c r="R3357" i="46"/>
  <c r="P3357" i="46"/>
  <c r="R3373" i="46"/>
  <c r="P3373" i="46"/>
  <c r="R2339" i="46"/>
  <c r="P2339" i="46"/>
  <c r="R2340" i="46"/>
  <c r="P2340" i="46"/>
  <c r="R2341" i="46"/>
  <c r="P2341" i="46"/>
  <c r="R2342" i="46"/>
  <c r="P2342" i="46"/>
  <c r="R3860" i="46"/>
  <c r="P3860" i="46"/>
  <c r="R3905" i="46"/>
  <c r="P3905" i="46"/>
  <c r="R3881" i="46"/>
  <c r="P3881" i="46"/>
  <c r="R3858" i="46"/>
  <c r="P3858" i="46"/>
  <c r="R3890" i="46"/>
  <c r="P3890" i="46"/>
  <c r="R3867" i="46"/>
  <c r="P3867" i="46"/>
  <c r="R3899" i="46"/>
  <c r="P3899" i="46"/>
  <c r="R3910" i="46"/>
  <c r="P3910" i="46"/>
  <c r="P414" i="46"/>
  <c r="R414" i="46"/>
  <c r="R405" i="46"/>
  <c r="P405" i="46"/>
  <c r="R401" i="46"/>
  <c r="P401" i="46"/>
  <c r="R390" i="46"/>
  <c r="P390" i="46"/>
  <c r="P388" i="46"/>
  <c r="R388" i="46"/>
  <c r="R378" i="46"/>
  <c r="P378" i="46"/>
  <c r="P429" i="46"/>
  <c r="R429" i="46"/>
  <c r="P2757" i="46"/>
  <c r="R2757" i="46"/>
  <c r="P2747" i="46"/>
  <c r="R2747" i="46"/>
  <c r="P2745" i="46"/>
  <c r="R2745" i="46"/>
  <c r="P2749" i="46"/>
  <c r="R2749" i="46"/>
  <c r="R841" i="46"/>
  <c r="P841" i="46"/>
  <c r="R873" i="46"/>
  <c r="P873" i="46"/>
  <c r="P842" i="46"/>
  <c r="R842" i="46"/>
  <c r="P874" i="46"/>
  <c r="R874" i="46"/>
  <c r="R847" i="46"/>
  <c r="P847" i="46"/>
  <c r="R879" i="46"/>
  <c r="P879" i="46"/>
  <c r="P852" i="46"/>
  <c r="R852" i="46"/>
  <c r="P884" i="46"/>
  <c r="R884" i="46"/>
  <c r="R3804" i="46"/>
  <c r="P3804" i="46"/>
  <c r="R3813" i="46"/>
  <c r="P3813" i="46"/>
  <c r="R3814" i="46"/>
  <c r="P3814" i="46"/>
  <c r="R3815" i="46"/>
  <c r="P3815" i="46"/>
  <c r="R3008" i="46"/>
  <c r="P3008" i="46"/>
  <c r="R3009" i="46"/>
  <c r="P3009" i="46"/>
  <c r="R3010" i="46"/>
  <c r="P3010" i="46"/>
  <c r="R3011" i="46"/>
  <c r="P3011" i="46"/>
  <c r="P348" i="46"/>
  <c r="R348" i="46"/>
  <c r="R364" i="46"/>
  <c r="P364" i="46"/>
  <c r="P347" i="46"/>
  <c r="R347" i="46"/>
  <c r="P363" i="46"/>
  <c r="R363" i="46"/>
  <c r="R1933" i="46"/>
  <c r="P1933" i="46"/>
  <c r="R1953" i="46"/>
  <c r="P1953" i="46"/>
  <c r="R1936" i="46"/>
  <c r="P1936" i="46"/>
  <c r="P1958" i="46"/>
  <c r="R1958" i="46"/>
  <c r="R1471" i="46"/>
  <c r="P1471" i="46"/>
  <c r="R1475" i="46"/>
  <c r="P1475" i="46"/>
  <c r="R1482" i="46"/>
  <c r="P1482" i="46"/>
  <c r="R1514" i="46"/>
  <c r="P1514" i="46"/>
  <c r="R1484" i="46"/>
  <c r="P1484" i="46"/>
  <c r="R1516" i="46"/>
  <c r="P1516" i="46"/>
  <c r="R1489" i="46"/>
  <c r="P1489" i="46"/>
  <c r="R1521" i="46"/>
  <c r="P1521" i="46"/>
  <c r="R288" i="46"/>
  <c r="P288" i="46"/>
  <c r="P304" i="46"/>
  <c r="R304" i="46"/>
  <c r="R320" i="46"/>
  <c r="P320" i="46"/>
  <c r="P336" i="46"/>
  <c r="R336" i="46"/>
  <c r="P291" i="46"/>
  <c r="R291" i="46"/>
  <c r="P307" i="46"/>
  <c r="R307" i="46"/>
  <c r="P323" i="46"/>
  <c r="R323" i="46"/>
  <c r="R666" i="46"/>
  <c r="P666" i="46"/>
  <c r="R668" i="46"/>
  <c r="P668" i="46"/>
  <c r="R706" i="46"/>
  <c r="P706" i="46"/>
  <c r="R676" i="46"/>
  <c r="P676" i="46"/>
  <c r="P675" i="46"/>
  <c r="R675" i="46"/>
  <c r="P691" i="46"/>
  <c r="R691" i="46"/>
  <c r="P707" i="46"/>
  <c r="R707" i="46"/>
  <c r="R2085" i="46"/>
  <c r="P2085" i="46"/>
  <c r="P2094" i="46"/>
  <c r="R2094" i="46"/>
  <c r="R2105" i="46"/>
  <c r="P2105" i="46"/>
  <c r="P2096" i="46"/>
  <c r="R2096" i="46"/>
  <c r="R997" i="46"/>
  <c r="P997" i="46"/>
  <c r="R1029" i="46"/>
  <c r="P1029" i="46"/>
  <c r="P998" i="46"/>
  <c r="R998" i="46"/>
  <c r="P1030" i="46"/>
  <c r="R1030" i="46"/>
  <c r="R1003" i="46"/>
  <c r="P1003" i="46"/>
  <c r="R1035" i="46"/>
  <c r="P1035" i="46"/>
  <c r="P1004" i="46"/>
  <c r="R1004" i="46"/>
  <c r="P1036" i="46"/>
  <c r="R1036" i="46"/>
  <c r="R2876" i="46"/>
  <c r="P2876" i="46"/>
  <c r="R2857" i="46"/>
  <c r="P2857" i="46"/>
  <c r="R1692" i="46"/>
  <c r="P1692" i="46"/>
  <c r="R2304" i="46"/>
  <c r="P2304" i="46"/>
  <c r="R3842" i="46"/>
  <c r="P3842" i="46"/>
  <c r="R3153" i="46"/>
  <c r="P3153" i="46"/>
  <c r="R3186" i="46"/>
  <c r="P3186" i="46"/>
  <c r="R3187" i="46"/>
  <c r="P3187" i="46"/>
  <c r="P4129" i="46"/>
  <c r="R4129" i="46"/>
  <c r="R4126" i="46"/>
  <c r="P4126" i="46"/>
  <c r="R1075" i="46"/>
  <c r="P1075" i="46"/>
  <c r="R2187" i="46"/>
  <c r="P2187" i="46"/>
  <c r="P3687" i="46"/>
  <c r="R3687" i="46"/>
  <c r="R3100" i="46"/>
  <c r="P3100" i="46"/>
  <c r="R3118" i="46"/>
  <c r="P3118" i="46"/>
  <c r="R4323" i="46"/>
  <c r="P4323" i="46"/>
  <c r="R4361" i="46"/>
  <c r="P4361" i="46"/>
  <c r="R3234" i="46"/>
  <c r="P3234" i="46"/>
  <c r="R4214" i="46"/>
  <c r="P4214" i="46"/>
  <c r="R4251" i="46"/>
  <c r="P4251" i="46"/>
  <c r="R4225" i="46"/>
  <c r="P4225" i="46"/>
  <c r="R2926" i="46"/>
  <c r="P2926" i="46"/>
  <c r="R2610" i="46"/>
  <c r="P2610" i="46"/>
  <c r="P2589" i="46"/>
  <c r="R2589" i="46"/>
  <c r="R3979" i="46"/>
  <c r="P3979" i="46"/>
  <c r="R3969" i="46"/>
  <c r="P3969" i="46"/>
  <c r="R3967" i="46"/>
  <c r="P3967" i="46"/>
  <c r="P3984" i="46"/>
  <c r="R3984" i="46"/>
  <c r="R1281" i="46"/>
  <c r="P1281" i="46"/>
  <c r="R1313" i="46"/>
  <c r="P1313" i="46"/>
  <c r="P1314" i="46"/>
  <c r="R1314" i="46"/>
  <c r="R1319" i="46"/>
  <c r="P1319" i="46"/>
  <c r="P1288" i="46"/>
  <c r="R1288" i="46"/>
  <c r="P1320" i="46"/>
  <c r="R1320" i="46"/>
  <c r="R1788" i="46"/>
  <c r="P1788" i="46"/>
  <c r="R2051" i="46"/>
  <c r="P2051" i="46"/>
  <c r="R3563" i="46"/>
  <c r="P3563" i="46"/>
  <c r="R1345" i="46"/>
  <c r="P1345" i="46"/>
  <c r="R4040" i="46"/>
  <c r="P4040" i="46"/>
  <c r="P3392" i="46"/>
  <c r="R3392" i="46"/>
  <c r="R1456" i="46"/>
  <c r="P1456" i="46"/>
  <c r="R3635" i="46"/>
  <c r="P3635" i="46"/>
  <c r="R2814" i="46"/>
  <c r="P2814" i="46"/>
  <c r="R2801" i="46"/>
  <c r="P2801" i="46"/>
  <c r="R1410" i="46"/>
  <c r="P1410" i="46"/>
  <c r="R2233" i="46"/>
  <c r="P2233" i="46"/>
  <c r="R2258" i="46"/>
  <c r="P2258" i="46"/>
  <c r="P4135" i="46"/>
  <c r="R4135" i="46"/>
  <c r="P487" i="46"/>
  <c r="R487" i="46"/>
  <c r="P533" i="46"/>
  <c r="R533" i="46"/>
  <c r="R2680" i="46"/>
  <c r="P2680" i="46"/>
  <c r="R3056" i="46"/>
  <c r="P3056" i="46"/>
  <c r="R2912" i="46"/>
  <c r="P2912" i="46"/>
  <c r="P3736" i="46"/>
  <c r="R3736" i="46"/>
  <c r="P639" i="46"/>
  <c r="R639" i="46"/>
  <c r="R3284" i="46"/>
  <c r="P3284" i="46"/>
  <c r="R1873" i="46"/>
  <c r="P1873" i="46"/>
  <c r="R1908" i="46"/>
  <c r="P1908" i="46"/>
  <c r="R4295" i="46"/>
  <c r="P4295" i="46"/>
  <c r="R3542" i="46"/>
  <c r="P3542" i="46"/>
  <c r="R1594" i="46"/>
  <c r="P1594" i="46"/>
  <c r="R734" i="46"/>
  <c r="P734" i="46"/>
  <c r="R1249" i="46"/>
  <c r="P1249" i="46"/>
  <c r="R2270" i="46"/>
  <c r="P2270" i="46"/>
  <c r="R1638" i="46"/>
  <c r="P1638" i="46"/>
  <c r="R1625" i="46"/>
  <c r="P1625" i="46"/>
  <c r="P1118" i="46"/>
  <c r="R1118" i="46"/>
  <c r="P3764" i="46"/>
  <c r="R3764" i="46"/>
  <c r="R2962" i="46"/>
  <c r="P2962" i="46"/>
  <c r="R2485" i="46"/>
  <c r="P2485" i="46"/>
  <c r="R1736" i="46"/>
  <c r="P1736" i="46"/>
  <c r="R1207" i="46"/>
  <c r="P1207" i="46"/>
  <c r="R967" i="46"/>
  <c r="P967" i="46"/>
  <c r="R3919" i="46"/>
  <c r="P3919" i="46"/>
  <c r="R1859" i="46"/>
  <c r="P1859" i="46"/>
  <c r="P2020" i="46"/>
  <c r="R2020" i="46"/>
  <c r="R2400" i="46"/>
  <c r="P2400" i="46"/>
  <c r="R801" i="46"/>
  <c r="P801" i="46"/>
  <c r="R3450" i="46"/>
  <c r="P3450" i="46"/>
  <c r="R554" i="46"/>
  <c r="P554" i="46"/>
  <c r="P575" i="46"/>
  <c r="R575" i="46"/>
  <c r="R1536" i="46"/>
  <c r="P1536" i="46"/>
  <c r="R3349" i="46"/>
  <c r="P3349" i="46"/>
  <c r="R2103" i="46"/>
  <c r="P2103" i="46"/>
  <c r="R2854" i="46"/>
  <c r="P2854" i="46"/>
  <c r="R2874" i="46"/>
  <c r="P2874" i="46"/>
  <c r="R2315" i="46"/>
  <c r="P2315" i="46"/>
  <c r="R3851" i="46"/>
  <c r="P3851" i="46"/>
  <c r="R3131" i="46"/>
  <c r="P3131" i="46"/>
  <c r="P4093" i="46"/>
  <c r="R4093" i="46"/>
  <c r="R1061" i="46"/>
  <c r="P1061" i="46"/>
  <c r="P1092" i="46"/>
  <c r="R1092" i="46"/>
  <c r="P3674" i="46"/>
  <c r="R3674" i="46"/>
  <c r="P2649" i="46"/>
  <c r="R2649" i="46"/>
  <c r="R3090" i="46"/>
  <c r="P3090" i="46"/>
  <c r="R4342" i="46"/>
  <c r="P4342" i="46"/>
  <c r="R4337" i="46"/>
  <c r="P4337" i="46"/>
  <c r="R3235" i="46"/>
  <c r="P3235" i="46"/>
  <c r="R4254" i="46"/>
  <c r="P4254" i="46"/>
  <c r="R1794" i="46"/>
  <c r="P1794" i="46"/>
  <c r="P2040" i="46"/>
  <c r="R2040" i="46"/>
  <c r="R2057" i="46"/>
  <c r="P2057" i="46"/>
  <c r="R2023" i="46"/>
  <c r="P2023" i="46"/>
  <c r="R3567" i="46"/>
  <c r="P3567" i="46"/>
  <c r="R2578" i="46"/>
  <c r="P2578" i="46"/>
  <c r="P2573" i="46"/>
  <c r="R2573" i="46"/>
  <c r="P1372" i="46"/>
  <c r="R1372" i="46"/>
  <c r="R4051" i="46"/>
  <c r="P4051" i="46"/>
  <c r="P4010" i="46"/>
  <c r="R4010" i="46"/>
  <c r="R2372" i="46"/>
  <c r="P2372" i="46"/>
  <c r="R2374" i="46"/>
  <c r="P2374" i="46"/>
  <c r="P2228" i="46"/>
  <c r="R2228" i="46"/>
  <c r="P2230" i="46"/>
  <c r="R2230" i="46"/>
  <c r="R903" i="46"/>
  <c r="P903" i="46"/>
  <c r="R2776" i="46"/>
  <c r="P2776" i="46"/>
  <c r="R2817" i="46"/>
  <c r="P2817" i="46"/>
  <c r="R3321" i="46"/>
  <c r="P3321" i="46"/>
  <c r="P4149" i="46"/>
  <c r="R4149" i="46"/>
  <c r="P4151" i="46"/>
  <c r="R4151" i="46"/>
  <c r="R504" i="46"/>
  <c r="P504" i="46"/>
  <c r="R3705" i="46"/>
  <c r="P3705" i="46"/>
  <c r="R2696" i="46"/>
  <c r="P2696" i="46"/>
  <c r="R3032" i="46"/>
  <c r="P3032" i="46"/>
  <c r="R2905" i="46"/>
  <c r="P2905" i="46"/>
  <c r="R4280" i="46"/>
  <c r="P4280" i="46"/>
  <c r="R2846" i="46"/>
  <c r="P2846" i="46"/>
  <c r="R2834" i="46"/>
  <c r="P2834" i="46"/>
  <c r="R2842" i="46"/>
  <c r="P2842" i="46"/>
  <c r="R2835" i="46"/>
  <c r="P2835" i="46"/>
  <c r="R1675" i="46"/>
  <c r="P1675" i="46"/>
  <c r="R3331" i="46"/>
  <c r="P3331" i="46"/>
  <c r="R2293" i="46"/>
  <c r="P2293" i="46"/>
  <c r="R2298" i="46"/>
  <c r="P2298" i="46"/>
  <c r="R3829" i="46"/>
  <c r="P3829" i="46"/>
  <c r="R3831" i="46"/>
  <c r="P3831" i="46"/>
  <c r="R3172" i="46"/>
  <c r="P3172" i="46"/>
  <c r="R3173" i="46"/>
  <c r="P3173" i="46"/>
  <c r="R3174" i="46"/>
  <c r="P3174" i="46"/>
  <c r="R3314" i="46"/>
  <c r="P3314" i="46"/>
  <c r="P4073" i="46"/>
  <c r="R4073" i="46"/>
  <c r="R4100" i="46"/>
  <c r="P4100" i="46"/>
  <c r="P4131" i="46"/>
  <c r="R4131" i="46"/>
  <c r="P4087" i="46"/>
  <c r="R4087" i="46"/>
  <c r="R1073" i="46"/>
  <c r="P1073" i="46"/>
  <c r="P1082" i="46"/>
  <c r="R1082" i="46"/>
  <c r="R1095" i="46"/>
  <c r="P1095" i="46"/>
  <c r="P1072" i="46"/>
  <c r="R1072" i="46"/>
  <c r="P2196" i="46"/>
  <c r="R2196" i="46"/>
  <c r="P2198" i="46"/>
  <c r="R2198" i="46"/>
  <c r="P3686" i="46"/>
  <c r="R3686" i="46"/>
  <c r="R3693" i="46"/>
  <c r="P3693" i="46"/>
  <c r="R2654" i="46"/>
  <c r="P2654" i="46"/>
  <c r="R2656" i="46"/>
  <c r="P2656" i="46"/>
  <c r="R3088" i="46"/>
  <c r="P3088" i="46"/>
  <c r="R3093" i="46"/>
  <c r="P3093" i="46"/>
  <c r="R3102" i="46"/>
  <c r="P3102" i="46"/>
  <c r="R3111" i="46"/>
  <c r="P3111" i="46"/>
  <c r="R4354" i="46"/>
  <c r="P4354" i="46"/>
  <c r="R4332" i="46"/>
  <c r="P4332" i="46"/>
  <c r="R4365" i="46"/>
  <c r="P4365" i="46"/>
  <c r="R3202" i="46"/>
  <c r="P3202" i="46"/>
  <c r="R3204" i="46"/>
  <c r="P3204" i="46"/>
  <c r="R3216" i="46"/>
  <c r="P3216" i="46"/>
  <c r="R3193" i="46"/>
  <c r="P3193" i="46"/>
  <c r="R4202" i="46"/>
  <c r="P4202" i="46"/>
  <c r="R4234" i="46"/>
  <c r="P4234" i="46"/>
  <c r="R4239" i="46"/>
  <c r="P4239" i="46"/>
  <c r="R4208" i="46"/>
  <c r="P4208" i="46"/>
  <c r="R4240" i="46"/>
  <c r="P4240" i="46"/>
  <c r="R4213" i="46"/>
  <c r="P4213" i="46"/>
  <c r="R4245" i="46"/>
  <c r="P4245" i="46"/>
  <c r="R2944" i="46"/>
  <c r="P2944" i="46"/>
  <c r="R2945" i="46"/>
  <c r="P2945" i="46"/>
  <c r="R2946" i="46"/>
  <c r="P2946" i="46"/>
  <c r="R2947" i="46"/>
  <c r="P2947" i="46"/>
  <c r="R2606" i="46"/>
  <c r="P2606" i="46"/>
  <c r="R2604" i="46"/>
  <c r="P2604" i="46"/>
  <c r="R2608" i="46"/>
  <c r="P2608" i="46"/>
  <c r="R2612" i="46"/>
  <c r="P2612" i="46"/>
  <c r="P3956" i="46"/>
  <c r="R3956" i="46"/>
  <c r="P3950" i="46"/>
  <c r="R3950" i="46"/>
  <c r="P3954" i="46"/>
  <c r="R3954" i="46"/>
  <c r="P3948" i="46"/>
  <c r="R3948" i="46"/>
  <c r="P3958" i="46"/>
  <c r="R3958" i="46"/>
  <c r="R3955" i="46"/>
  <c r="P3955" i="46"/>
  <c r="R3949" i="46"/>
  <c r="P3949" i="46"/>
  <c r="F138" i="45"/>
  <c r="G138" i="45" s="1"/>
  <c r="R1301" i="46"/>
  <c r="P1301" i="46"/>
  <c r="R1333" i="46"/>
  <c r="P1333" i="46"/>
  <c r="P1302" i="46"/>
  <c r="R1302" i="46"/>
  <c r="P1334" i="46"/>
  <c r="R1334" i="46"/>
  <c r="R1307" i="46"/>
  <c r="P1307" i="46"/>
  <c r="P1276" i="46"/>
  <c r="R1276" i="46"/>
  <c r="P1308" i="46"/>
  <c r="R1308" i="46"/>
  <c r="R2858" i="46"/>
  <c r="P2858" i="46"/>
  <c r="R2850" i="46"/>
  <c r="P2850" i="46"/>
  <c r="R2868" i="46"/>
  <c r="P2868" i="46"/>
  <c r="R2848" i="46"/>
  <c r="P2848" i="46"/>
  <c r="R2856" i="46"/>
  <c r="P2856" i="46"/>
  <c r="R2875" i="46"/>
  <c r="P2875" i="46"/>
  <c r="R2843" i="46"/>
  <c r="P2843" i="46"/>
  <c r="R2841" i="46"/>
  <c r="P2841" i="46"/>
  <c r="R1695" i="46"/>
  <c r="P1695" i="46"/>
  <c r="R1682" i="46"/>
  <c r="P1682" i="46"/>
  <c r="R1684" i="46"/>
  <c r="P1684" i="46"/>
  <c r="R1685" i="46"/>
  <c r="P1685" i="46"/>
  <c r="R3330" i="46"/>
  <c r="P3330" i="46"/>
  <c r="R2299" i="46"/>
  <c r="P2299" i="46"/>
  <c r="R2296" i="46"/>
  <c r="P2296" i="46"/>
  <c r="R2301" i="46"/>
  <c r="P2301" i="46"/>
  <c r="R2302" i="46"/>
  <c r="P2302" i="46"/>
  <c r="R3840" i="46"/>
  <c r="P3840" i="46"/>
  <c r="R3833" i="46"/>
  <c r="P3833" i="46"/>
  <c r="R3834" i="46"/>
  <c r="P3834" i="46"/>
  <c r="R3835" i="46"/>
  <c r="P3835" i="46"/>
  <c r="R3144" i="46"/>
  <c r="P3144" i="46"/>
  <c r="R3176" i="46"/>
  <c r="P3176" i="46"/>
  <c r="R3145" i="46"/>
  <c r="P3145" i="46"/>
  <c r="R3177" i="46"/>
  <c r="P3177" i="46"/>
  <c r="R3146" i="46"/>
  <c r="P3146" i="46"/>
  <c r="R3178" i="46"/>
  <c r="P3178" i="46"/>
  <c r="R3147" i="46"/>
  <c r="P3147" i="46"/>
  <c r="R3179" i="46"/>
  <c r="P3179" i="46"/>
  <c r="R3308" i="46"/>
  <c r="P3308" i="46"/>
  <c r="P4121" i="46"/>
  <c r="R4121" i="46"/>
  <c r="P4083" i="46"/>
  <c r="R4083" i="46"/>
  <c r="R4104" i="46"/>
  <c r="P4104" i="46"/>
  <c r="R4074" i="46"/>
  <c r="P4074" i="46"/>
  <c r="R4075" i="46"/>
  <c r="P4075" i="46"/>
  <c r="R4082" i="46"/>
  <c r="P4082" i="46"/>
  <c r="R4090" i="46"/>
  <c r="P4090" i="46"/>
  <c r="R4110" i="46"/>
  <c r="P4110" i="46"/>
  <c r="R1077" i="46"/>
  <c r="P1077" i="46"/>
  <c r="R1109" i="46"/>
  <c r="P1109" i="46"/>
  <c r="P1086" i="46"/>
  <c r="R1086" i="46"/>
  <c r="R1067" i="46"/>
  <c r="P1067" i="46"/>
  <c r="R1099" i="46"/>
  <c r="P1099" i="46"/>
  <c r="P1076" i="46"/>
  <c r="R1076" i="46"/>
  <c r="P1108" i="46"/>
  <c r="R1108" i="46"/>
  <c r="R2171" i="46"/>
  <c r="P2171" i="46"/>
  <c r="R2169" i="46"/>
  <c r="P2169" i="46"/>
  <c r="R2173" i="46"/>
  <c r="P2173" i="46"/>
  <c r="R720" i="46"/>
  <c r="P720" i="46"/>
  <c r="P3673" i="46"/>
  <c r="R3673" i="46"/>
  <c r="P3671" i="46"/>
  <c r="R3671" i="46"/>
  <c r="P3669" i="46"/>
  <c r="R3669" i="46"/>
  <c r="P3667" i="46"/>
  <c r="R3667" i="46"/>
  <c r="P2657" i="46"/>
  <c r="R2657" i="46"/>
  <c r="P2655" i="46"/>
  <c r="R2655" i="46"/>
  <c r="P2659" i="46"/>
  <c r="R2659" i="46"/>
  <c r="R2660" i="46"/>
  <c r="P2660" i="46"/>
  <c r="R3092" i="46"/>
  <c r="P3092" i="46"/>
  <c r="R3124" i="46"/>
  <c r="P3124" i="46"/>
  <c r="R3097" i="46"/>
  <c r="P3097" i="46"/>
  <c r="R3074" i="46"/>
  <c r="P3074" i="46"/>
  <c r="R3106" i="46"/>
  <c r="P3106" i="46"/>
  <c r="R3083" i="46"/>
  <c r="P3083" i="46"/>
  <c r="R3115" i="46"/>
  <c r="P3115" i="46"/>
  <c r="R4326" i="46"/>
  <c r="P4326" i="46"/>
  <c r="R4358" i="46"/>
  <c r="P4358" i="46"/>
  <c r="R4347" i="46"/>
  <c r="P4347" i="46"/>
  <c r="R4336" i="46"/>
  <c r="P4336" i="46"/>
  <c r="R4321" i="46"/>
  <c r="P4321" i="46"/>
  <c r="R4353" i="46"/>
  <c r="P4353" i="46"/>
  <c r="R3196" i="46"/>
  <c r="P3196" i="46"/>
  <c r="R3219" i="46"/>
  <c r="P3219" i="46"/>
  <c r="R3215" i="46"/>
  <c r="P3215" i="46"/>
  <c r="R3226" i="46"/>
  <c r="P3226" i="46"/>
  <c r="R3220" i="46"/>
  <c r="P3220" i="46"/>
  <c r="R3197" i="46"/>
  <c r="P3197" i="46"/>
  <c r="R3229" i="46"/>
  <c r="P3229" i="46"/>
  <c r="R4206" i="46"/>
  <c r="P4206" i="46"/>
  <c r="R4238" i="46"/>
  <c r="P4238" i="46"/>
  <c r="R4211" i="46"/>
  <c r="P4211" i="46"/>
  <c r="R4243" i="46"/>
  <c r="P4243" i="46"/>
  <c r="R4212" i="46"/>
  <c r="P4212" i="46"/>
  <c r="R4244" i="46"/>
  <c r="P4244" i="46"/>
  <c r="R4217" i="46"/>
  <c r="P4217" i="46"/>
  <c r="R4249" i="46"/>
  <c r="P4249" i="46"/>
  <c r="R2948" i="46"/>
  <c r="P2948" i="46"/>
  <c r="R2949" i="46"/>
  <c r="P2949" i="46"/>
  <c r="R2950" i="46"/>
  <c r="P2950" i="46"/>
  <c r="R2951" i="46"/>
  <c r="P2951" i="46"/>
  <c r="P2609" i="46"/>
  <c r="R2609" i="46"/>
  <c r="P2607" i="46"/>
  <c r="R2607" i="46"/>
  <c r="P2611" i="46"/>
  <c r="R2611" i="46"/>
  <c r="R3963" i="46"/>
  <c r="P3963" i="46"/>
  <c r="R3959" i="46"/>
  <c r="P3959" i="46"/>
  <c r="R3953" i="46"/>
  <c r="P3953" i="46"/>
  <c r="R3957" i="46"/>
  <c r="P3957" i="46"/>
  <c r="R3951" i="46"/>
  <c r="P3951" i="46"/>
  <c r="R3961" i="46"/>
  <c r="P3961" i="46"/>
  <c r="P3968" i="46"/>
  <c r="R3968" i="46"/>
  <c r="P3962" i="46"/>
  <c r="R3962" i="46"/>
  <c r="R1305" i="46"/>
  <c r="P1305" i="46"/>
  <c r="R1337" i="46"/>
  <c r="P1337" i="46"/>
  <c r="P1306" i="46"/>
  <c r="R1306" i="46"/>
  <c r="R1279" i="46"/>
  <c r="P1279" i="46"/>
  <c r="R1311" i="46"/>
  <c r="P1311" i="46"/>
  <c r="P1280" i="46"/>
  <c r="R1280" i="46"/>
  <c r="P1312" i="46"/>
  <c r="R1312" i="46"/>
  <c r="R1779" i="46"/>
  <c r="P1779" i="46"/>
  <c r="R1755" i="46"/>
  <c r="P1755" i="46"/>
  <c r="R1746" i="46"/>
  <c r="P1746" i="46"/>
  <c r="R1778" i="46"/>
  <c r="P1778" i="46"/>
  <c r="R1748" i="46"/>
  <c r="P1748" i="46"/>
  <c r="R1780" i="46"/>
  <c r="P1780" i="46"/>
  <c r="R1749" i="46"/>
  <c r="P1749" i="46"/>
  <c r="R1781" i="46"/>
  <c r="P1781" i="46"/>
  <c r="R2037" i="46"/>
  <c r="P2037" i="46"/>
  <c r="P2052" i="46"/>
  <c r="R2052" i="46"/>
  <c r="P2062" i="46"/>
  <c r="R2062" i="46"/>
  <c r="R2025" i="46"/>
  <c r="P2025" i="46"/>
  <c r="R2035" i="46"/>
  <c r="P2035" i="46"/>
  <c r="R2045" i="46"/>
  <c r="P2045" i="46"/>
  <c r="R2055" i="46"/>
  <c r="P2055" i="46"/>
  <c r="R3561" i="46"/>
  <c r="P3561" i="46"/>
  <c r="P3565" i="46"/>
  <c r="R3565" i="46"/>
  <c r="P3555" i="46"/>
  <c r="R3555" i="46"/>
  <c r="R3578" i="46"/>
  <c r="P3578" i="46"/>
  <c r="R3547" i="46"/>
  <c r="P3547" i="46"/>
  <c r="R3590" i="46"/>
  <c r="P3590" i="46"/>
  <c r="P3585" i="46"/>
  <c r="R3585" i="46"/>
  <c r="R3601" i="46"/>
  <c r="P3601" i="46"/>
  <c r="R2574" i="46"/>
  <c r="P2574" i="46"/>
  <c r="P2575" i="46"/>
  <c r="R2575" i="46"/>
  <c r="P2579" i="46"/>
  <c r="R2579" i="46"/>
  <c r="P2583" i="46"/>
  <c r="R2583" i="46"/>
  <c r="R1369" i="46"/>
  <c r="P1369" i="46"/>
  <c r="P1362" i="46"/>
  <c r="R1362" i="46"/>
  <c r="R1359" i="46"/>
  <c r="P1359" i="46"/>
  <c r="P1356" i="46"/>
  <c r="R1356" i="46"/>
  <c r="P1050" i="46"/>
  <c r="R1050" i="46"/>
  <c r="R785" i="46"/>
  <c r="P785" i="46"/>
  <c r="P794" i="46"/>
  <c r="R794" i="46"/>
  <c r="P788" i="46"/>
  <c r="R788" i="46"/>
  <c r="R4066" i="46"/>
  <c r="P4066" i="46"/>
  <c r="P4033" i="46"/>
  <c r="R4033" i="46"/>
  <c r="P4014" i="46"/>
  <c r="R4014" i="46"/>
  <c r="R4038" i="46"/>
  <c r="P4038" i="46"/>
  <c r="R4053" i="46"/>
  <c r="P4053" i="46"/>
  <c r="R4046" i="46"/>
  <c r="P4046" i="46"/>
  <c r="P4057" i="46"/>
  <c r="R4057" i="46"/>
  <c r="R4054" i="46"/>
  <c r="P4054" i="46"/>
  <c r="R3388" i="46"/>
  <c r="P3388" i="46"/>
  <c r="R2355" i="46"/>
  <c r="P2355" i="46"/>
  <c r="R2356" i="46"/>
  <c r="P2356" i="46"/>
  <c r="R2357" i="46"/>
  <c r="P2357" i="46"/>
  <c r="R2358" i="46"/>
  <c r="P2358" i="46"/>
  <c r="R1442" i="46"/>
  <c r="P1442" i="46"/>
  <c r="R1455" i="46"/>
  <c r="P1455" i="46"/>
  <c r="R1462" i="46"/>
  <c r="P1462" i="46"/>
  <c r="R1449" i="46"/>
  <c r="P1449" i="46"/>
  <c r="R2229" i="46"/>
  <c r="P2229" i="46"/>
  <c r="P2222" i="46"/>
  <c r="R2222" i="46"/>
  <c r="P2220" i="46"/>
  <c r="R2220" i="46"/>
  <c r="P2224" i="46"/>
  <c r="R2224" i="46"/>
  <c r="R3614" i="46"/>
  <c r="P3614" i="46"/>
  <c r="R3630" i="46"/>
  <c r="P3630" i="46"/>
  <c r="R3615" i="46"/>
  <c r="P3615" i="46"/>
  <c r="R3631" i="46"/>
  <c r="P3631" i="46"/>
  <c r="P593" i="46"/>
  <c r="R593" i="46"/>
  <c r="R913" i="46"/>
  <c r="P913" i="46"/>
  <c r="P918" i="46"/>
  <c r="R918" i="46"/>
  <c r="R919" i="46"/>
  <c r="P919" i="46"/>
  <c r="P924" i="46"/>
  <c r="R924" i="46"/>
  <c r="P1988" i="46"/>
  <c r="R1988" i="46"/>
  <c r="P1986" i="46"/>
  <c r="R1986" i="46"/>
  <c r="P1990" i="46"/>
  <c r="R1990" i="46"/>
  <c r="R2770" i="46"/>
  <c r="P2770" i="46"/>
  <c r="R2786" i="46"/>
  <c r="P2786" i="46"/>
  <c r="R2829" i="46"/>
  <c r="P2829" i="46"/>
  <c r="R2816" i="46"/>
  <c r="P2816" i="46"/>
  <c r="R2806" i="46"/>
  <c r="P2806" i="46"/>
  <c r="R2828" i="46"/>
  <c r="P2828" i="46"/>
  <c r="R2831" i="46"/>
  <c r="P2831" i="46"/>
  <c r="R2785" i="46"/>
  <c r="P2785" i="46"/>
  <c r="R1433" i="46"/>
  <c r="P1433" i="46"/>
  <c r="R1405" i="46"/>
  <c r="P1405" i="46"/>
  <c r="R1404" i="46"/>
  <c r="P1404" i="46"/>
  <c r="R1377" i="46"/>
  <c r="P1377" i="46"/>
  <c r="R1402" i="46"/>
  <c r="P1402" i="46"/>
  <c r="R1434" i="46"/>
  <c r="P1434" i="46"/>
  <c r="R1407" i="46"/>
  <c r="P1407" i="46"/>
  <c r="P1380" i="46"/>
  <c r="R1380" i="46"/>
  <c r="R3326" i="46"/>
  <c r="P3326" i="46"/>
  <c r="P2238" i="46"/>
  <c r="R2238" i="46"/>
  <c r="R2231" i="46"/>
  <c r="P2231" i="46"/>
  <c r="R2249" i="46"/>
  <c r="P2249" i="46"/>
  <c r="P2250" i="46"/>
  <c r="R2250" i="46"/>
  <c r="R2388" i="46"/>
  <c r="P2388" i="46"/>
  <c r="R4166" i="46"/>
  <c r="P4166" i="46"/>
  <c r="P4137" i="46"/>
  <c r="R4137" i="46"/>
  <c r="P4185" i="46"/>
  <c r="R4185" i="46"/>
  <c r="R4152" i="46"/>
  <c r="P4152" i="46"/>
  <c r="P4169" i="46"/>
  <c r="R4169" i="46"/>
  <c r="P4191" i="46"/>
  <c r="R4191" i="46"/>
  <c r="P4183" i="46"/>
  <c r="R4183" i="46"/>
  <c r="R4174" i="46"/>
  <c r="P4174" i="46"/>
  <c r="R522" i="46"/>
  <c r="P522" i="46"/>
  <c r="P493" i="46"/>
  <c r="R493" i="46"/>
  <c r="R530" i="46"/>
  <c r="P530" i="46"/>
  <c r="R526" i="46"/>
  <c r="P526" i="46"/>
  <c r="P497" i="46"/>
  <c r="R497" i="46"/>
  <c r="P513" i="46"/>
  <c r="R513" i="46"/>
  <c r="P529" i="46"/>
  <c r="R529" i="46"/>
  <c r="R3711" i="46"/>
  <c r="P3711" i="46"/>
  <c r="P3712" i="46"/>
  <c r="R3712" i="46"/>
  <c r="R3703" i="46"/>
  <c r="P3703" i="46"/>
  <c r="P3720" i="46"/>
  <c r="R3720" i="46"/>
  <c r="R2706" i="46"/>
  <c r="P2706" i="46"/>
  <c r="R2734" i="46"/>
  <c r="P2734" i="46"/>
  <c r="R2728" i="46"/>
  <c r="P2728" i="46"/>
  <c r="R2732" i="46"/>
  <c r="P2732" i="46"/>
  <c r="R2726" i="46"/>
  <c r="P2726" i="46"/>
  <c r="R2736" i="46"/>
  <c r="P2736" i="46"/>
  <c r="P2733" i="46"/>
  <c r="R2733" i="46"/>
  <c r="R3016" i="46"/>
  <c r="P3016" i="46"/>
  <c r="R3048" i="46"/>
  <c r="P3048" i="46"/>
  <c r="R3021" i="46"/>
  <c r="P3021" i="46"/>
  <c r="R3053" i="46"/>
  <c r="P3053" i="46"/>
  <c r="R3026" i="46"/>
  <c r="P3026" i="46"/>
  <c r="R3058" i="46"/>
  <c r="P3058" i="46"/>
  <c r="R3031" i="46"/>
  <c r="P3031" i="46"/>
  <c r="R3063" i="46"/>
  <c r="P3063" i="46"/>
  <c r="R2129" i="46"/>
  <c r="P2129" i="46"/>
  <c r="R2127" i="46"/>
  <c r="P2127" i="46"/>
  <c r="R2131" i="46"/>
  <c r="P2131" i="46"/>
  <c r="R2135" i="46"/>
  <c r="P2135" i="46"/>
  <c r="R2908" i="46"/>
  <c r="P2908" i="46"/>
  <c r="R2913" i="46"/>
  <c r="P2913" i="46"/>
  <c r="R2918" i="46"/>
  <c r="P2918" i="46"/>
  <c r="P3730" i="46"/>
  <c r="R3730" i="46"/>
  <c r="R3737" i="46"/>
  <c r="P3737" i="46"/>
  <c r="P3754" i="46"/>
  <c r="R3754" i="46"/>
  <c r="R3745" i="46"/>
  <c r="P3745" i="46"/>
  <c r="R650" i="46"/>
  <c r="P650" i="46"/>
  <c r="R652" i="46"/>
  <c r="P652" i="46"/>
  <c r="R648" i="46"/>
  <c r="P648" i="46"/>
  <c r="P603" i="46"/>
  <c r="R603" i="46"/>
  <c r="P619" i="46"/>
  <c r="R619" i="46"/>
  <c r="P635" i="46"/>
  <c r="R635" i="46"/>
  <c r="P651" i="46"/>
  <c r="R651" i="46"/>
  <c r="R3283" i="46"/>
  <c r="P3283" i="46"/>
  <c r="R3299" i="46"/>
  <c r="P3299" i="46"/>
  <c r="R3274" i="46"/>
  <c r="P3274" i="46"/>
  <c r="R3306" i="46"/>
  <c r="P3306" i="46"/>
  <c r="R3276" i="46"/>
  <c r="P3276" i="46"/>
  <c r="R3245" i="46"/>
  <c r="P3245" i="46"/>
  <c r="R3277" i="46"/>
  <c r="P3277" i="46"/>
  <c r="R1811" i="46"/>
  <c r="P1811" i="46"/>
  <c r="R1827" i="46"/>
  <c r="P1827" i="46"/>
  <c r="R1813" i="46"/>
  <c r="P1813" i="46"/>
  <c r="R1822" i="46"/>
  <c r="P1822" i="46"/>
  <c r="R1869" i="46"/>
  <c r="P1869" i="46"/>
  <c r="R1885" i="46"/>
  <c r="P1885" i="46"/>
  <c r="R1901" i="46"/>
  <c r="P1901" i="46"/>
  <c r="R1917" i="46"/>
  <c r="P1917" i="46"/>
  <c r="R1872" i="46"/>
  <c r="P1872" i="46"/>
  <c r="R1888" i="46"/>
  <c r="P1888" i="46"/>
  <c r="R1904" i="46"/>
  <c r="P1904" i="46"/>
  <c r="R1920" i="46"/>
  <c r="P1920" i="46"/>
  <c r="R4270" i="46"/>
  <c r="P4270" i="46"/>
  <c r="R4302" i="46"/>
  <c r="P4302" i="46"/>
  <c r="R4287" i="46"/>
  <c r="P4287" i="46"/>
  <c r="R4264" i="46"/>
  <c r="P4264" i="46"/>
  <c r="R4296" i="46"/>
  <c r="P4296" i="46"/>
  <c r="R4277" i="46"/>
  <c r="P4277" i="46"/>
  <c r="R4306" i="46"/>
  <c r="P4306" i="46"/>
  <c r="R4309" i="46"/>
  <c r="P4309" i="46"/>
  <c r="R3513" i="46"/>
  <c r="P3513" i="46"/>
  <c r="R3511" i="46"/>
  <c r="P3511" i="46"/>
  <c r="P3523" i="46"/>
  <c r="R3523" i="46"/>
  <c r="R3512" i="46"/>
  <c r="P3512" i="46"/>
  <c r="R3540" i="46"/>
  <c r="P3540" i="46"/>
  <c r="R1591" i="46"/>
  <c r="P1591" i="46"/>
  <c r="R1618" i="46"/>
  <c r="P1618" i="46"/>
  <c r="R1593" i="46"/>
  <c r="P1593" i="46"/>
  <c r="P465" i="46"/>
  <c r="R465" i="46"/>
  <c r="P461" i="46"/>
  <c r="R461" i="46"/>
  <c r="R660" i="46"/>
  <c r="P660" i="46"/>
  <c r="R726" i="46"/>
  <c r="P726" i="46"/>
  <c r="R744" i="46"/>
  <c r="P744" i="46"/>
  <c r="R761" i="46"/>
  <c r="P761" i="46"/>
  <c r="P774" i="46"/>
  <c r="R774" i="46"/>
  <c r="P725" i="46"/>
  <c r="R725" i="46"/>
  <c r="P741" i="46"/>
  <c r="R741" i="46"/>
  <c r="P764" i="46"/>
  <c r="R764" i="46"/>
  <c r="R1241" i="46"/>
  <c r="P1241" i="46"/>
  <c r="R1273" i="46"/>
  <c r="P1273" i="46"/>
  <c r="P1250" i="46"/>
  <c r="R1250" i="46"/>
  <c r="R1227" i="46"/>
  <c r="P1227" i="46"/>
  <c r="R1259" i="46"/>
  <c r="P1259" i="46"/>
  <c r="P1236" i="46"/>
  <c r="R1236" i="46"/>
  <c r="P1268" i="46"/>
  <c r="R1268" i="46"/>
  <c r="R2282" i="46"/>
  <c r="P2282" i="46"/>
  <c r="R2280" i="46"/>
  <c r="P2280" i="46"/>
  <c r="R2284" i="46"/>
  <c r="P2284" i="46"/>
  <c r="R2288" i="46"/>
  <c r="P2288" i="46"/>
  <c r="R1659" i="46"/>
  <c r="P1659" i="46"/>
  <c r="R1630" i="46"/>
  <c r="P1630" i="46"/>
  <c r="R1662" i="46"/>
  <c r="P1662" i="46"/>
  <c r="R1640" i="46"/>
  <c r="P1640" i="46"/>
  <c r="R1672" i="46"/>
  <c r="P1672" i="46"/>
  <c r="R1649" i="46"/>
  <c r="P1649" i="46"/>
  <c r="P3420" i="46"/>
  <c r="R3420" i="46"/>
  <c r="P3423" i="46"/>
  <c r="R3423" i="46"/>
  <c r="P3427" i="46"/>
  <c r="R3427" i="46"/>
  <c r="R3439" i="46"/>
  <c r="P3439" i="46"/>
  <c r="R1137" i="46"/>
  <c r="P1137" i="46"/>
  <c r="P1110" i="46"/>
  <c r="R1110" i="46"/>
  <c r="P1142" i="46"/>
  <c r="R1142" i="46"/>
  <c r="R1115" i="46"/>
  <c r="P1115" i="46"/>
  <c r="R1147" i="46"/>
  <c r="P1147" i="46"/>
  <c r="P1120" i="46"/>
  <c r="R1120" i="46"/>
  <c r="P1152" i="46"/>
  <c r="R1152" i="46"/>
  <c r="R3765" i="46"/>
  <c r="P3765" i="46"/>
  <c r="R3785" i="46"/>
  <c r="P3785" i="46"/>
  <c r="R3786" i="46"/>
  <c r="P3786" i="46"/>
  <c r="R3783" i="46"/>
  <c r="P3783" i="46"/>
  <c r="R2976" i="46"/>
  <c r="P2976" i="46"/>
  <c r="R2981" i="46"/>
  <c r="P2981" i="46"/>
  <c r="R2959" i="46"/>
  <c r="P2959" i="46"/>
  <c r="R3395" i="46"/>
  <c r="P3395" i="46"/>
  <c r="P3402" i="46"/>
  <c r="R3402" i="46"/>
  <c r="P3413" i="46"/>
  <c r="R3413" i="46"/>
  <c r="P3419" i="46"/>
  <c r="R3419" i="46"/>
  <c r="R2460" i="46"/>
  <c r="P2460" i="46"/>
  <c r="R2473" i="46"/>
  <c r="P2473" i="46"/>
  <c r="R2487" i="46"/>
  <c r="P2487" i="46"/>
  <c r="R1715" i="46"/>
  <c r="P1715" i="46"/>
  <c r="R1719" i="46"/>
  <c r="P1719" i="46"/>
  <c r="R1734" i="46"/>
  <c r="P1734" i="46"/>
  <c r="R1728" i="46"/>
  <c r="P1728" i="46"/>
  <c r="R1721" i="46"/>
  <c r="P1721" i="46"/>
  <c r="R1177" i="46"/>
  <c r="P1177" i="46"/>
  <c r="R1209" i="46"/>
  <c r="P1209" i="46"/>
  <c r="P1186" i="46"/>
  <c r="R1186" i="46"/>
  <c r="P1218" i="46"/>
  <c r="R1218" i="46"/>
  <c r="R1199" i="46"/>
  <c r="P1199" i="46"/>
  <c r="P1176" i="46"/>
  <c r="R1176" i="46"/>
  <c r="P1208" i="46"/>
  <c r="R1208" i="46"/>
  <c r="R945" i="46"/>
  <c r="P945" i="46"/>
  <c r="R977" i="46"/>
  <c r="P977" i="46"/>
  <c r="P954" i="46"/>
  <c r="R954" i="46"/>
  <c r="R927" i="46"/>
  <c r="P927" i="46"/>
  <c r="R959" i="46"/>
  <c r="P959" i="46"/>
  <c r="P932" i="46"/>
  <c r="R932" i="46"/>
  <c r="P964" i="46"/>
  <c r="R964" i="46"/>
  <c r="R2546" i="46"/>
  <c r="P2546" i="46"/>
  <c r="R2534" i="46"/>
  <c r="P2534" i="46"/>
  <c r="R2532" i="46"/>
  <c r="P2532" i="46"/>
  <c r="R3920" i="46"/>
  <c r="P3920" i="46"/>
  <c r="R3937" i="46"/>
  <c r="P3937" i="46"/>
  <c r="R3935" i="46"/>
  <c r="P3935" i="46"/>
  <c r="R3939" i="46"/>
  <c r="P3939" i="46"/>
  <c r="P437" i="46"/>
  <c r="R437" i="46"/>
  <c r="P451" i="46"/>
  <c r="R451" i="46"/>
  <c r="R1839" i="46"/>
  <c r="P1839" i="46"/>
  <c r="R1855" i="46"/>
  <c r="P1855" i="46"/>
  <c r="R1840" i="46"/>
  <c r="P1840" i="46"/>
  <c r="R1856" i="46"/>
  <c r="P1856" i="46"/>
  <c r="P898" i="46"/>
  <c r="R898" i="46"/>
  <c r="P2004" i="46"/>
  <c r="R2004" i="46"/>
  <c r="P2002" i="46"/>
  <c r="R2002" i="46"/>
  <c r="P2006" i="46"/>
  <c r="R2006" i="46"/>
  <c r="R2007" i="46"/>
  <c r="P2007" i="46"/>
  <c r="R2423" i="46"/>
  <c r="P2423" i="46"/>
  <c r="R2455" i="46"/>
  <c r="P2455" i="46"/>
  <c r="R2424" i="46"/>
  <c r="P2424" i="46"/>
  <c r="R2456" i="46"/>
  <c r="P2456" i="46"/>
  <c r="R2425" i="46"/>
  <c r="P2425" i="46"/>
  <c r="R2457" i="46"/>
  <c r="P2457" i="46"/>
  <c r="R2426" i="46"/>
  <c r="P2426" i="46"/>
  <c r="P478" i="46"/>
  <c r="R478" i="46"/>
  <c r="P477" i="46"/>
  <c r="R477" i="46"/>
  <c r="R825" i="46"/>
  <c r="P825" i="46"/>
  <c r="P818" i="46"/>
  <c r="R818" i="46"/>
  <c r="R815" i="46"/>
  <c r="P815" i="46"/>
  <c r="P812" i="46"/>
  <c r="R812" i="46"/>
  <c r="R3458" i="46"/>
  <c r="P3458" i="46"/>
  <c r="P3485" i="46"/>
  <c r="R3485" i="46"/>
  <c r="R3494" i="46"/>
  <c r="P3494" i="46"/>
  <c r="R3486" i="46"/>
  <c r="P3486" i="46"/>
  <c r="P3491" i="46"/>
  <c r="R3491" i="46"/>
  <c r="R3498" i="46"/>
  <c r="P3498" i="46"/>
  <c r="P3503" i="46"/>
  <c r="R3503" i="46"/>
  <c r="R2526" i="46"/>
  <c r="P2526" i="46"/>
  <c r="R2522" i="46"/>
  <c r="P2522" i="46"/>
  <c r="R2161" i="46"/>
  <c r="P2161" i="46"/>
  <c r="R2159" i="46"/>
  <c r="P2159" i="46"/>
  <c r="P2166" i="46"/>
  <c r="R2166" i="46"/>
  <c r="R2167" i="46"/>
  <c r="P2167" i="46"/>
  <c r="R576" i="46"/>
  <c r="P576" i="46"/>
  <c r="R562" i="46"/>
  <c r="P562" i="46"/>
  <c r="R558" i="46"/>
  <c r="P558" i="46"/>
  <c r="P539" i="46"/>
  <c r="R539" i="46"/>
  <c r="P555" i="46"/>
  <c r="R555" i="46"/>
  <c r="P571" i="46"/>
  <c r="R571" i="46"/>
  <c r="P587" i="46"/>
  <c r="R587" i="46"/>
  <c r="R2499" i="46"/>
  <c r="P2499" i="46"/>
  <c r="R2510" i="46"/>
  <c r="P2510" i="46"/>
  <c r="R2500" i="46"/>
  <c r="P2500" i="46"/>
  <c r="P2514" i="46"/>
  <c r="R2514" i="46"/>
  <c r="R1543" i="46"/>
  <c r="P1543" i="46"/>
  <c r="R1559" i="46"/>
  <c r="P1559" i="46"/>
  <c r="R1558" i="46"/>
  <c r="P1558" i="46"/>
  <c r="R1528" i="46"/>
  <c r="P1528" i="46"/>
  <c r="R1560" i="46"/>
  <c r="P1560" i="46"/>
  <c r="R1529" i="46"/>
  <c r="P1529" i="46"/>
  <c r="R1561" i="46"/>
  <c r="P1561" i="46"/>
  <c r="R3663" i="46"/>
  <c r="P3663" i="46"/>
  <c r="R3642" i="46"/>
  <c r="P3642" i="46"/>
  <c r="R3659" i="46"/>
  <c r="P3659" i="46"/>
  <c r="R3643" i="46"/>
  <c r="P3643" i="46"/>
  <c r="R2642" i="46"/>
  <c r="P2642" i="46"/>
  <c r="P2619" i="46"/>
  <c r="R2619" i="46"/>
  <c r="R2630" i="46"/>
  <c r="P2630" i="46"/>
  <c r="R2634" i="46"/>
  <c r="P2634" i="46"/>
  <c r="R3343" i="46"/>
  <c r="P3343" i="46"/>
  <c r="R3341" i="46"/>
  <c r="P3341" i="46"/>
  <c r="R3360" i="46"/>
  <c r="P3360" i="46"/>
  <c r="R3376" i="46"/>
  <c r="P3376" i="46"/>
  <c r="R3359" i="46"/>
  <c r="P3359" i="46"/>
  <c r="R3375" i="46"/>
  <c r="P3375" i="46"/>
  <c r="R2343" i="46"/>
  <c r="P2343" i="46"/>
  <c r="R2344" i="46"/>
  <c r="P2344" i="46"/>
  <c r="R2345" i="46"/>
  <c r="P2345" i="46"/>
  <c r="R2346" i="46"/>
  <c r="P2346" i="46"/>
  <c r="R3892" i="46"/>
  <c r="P3892" i="46"/>
  <c r="R3853" i="46"/>
  <c r="P3853" i="46"/>
  <c r="R3885" i="46"/>
  <c r="P3885" i="46"/>
  <c r="R3862" i="46"/>
  <c r="P3862" i="46"/>
  <c r="R3894" i="46"/>
  <c r="P3894" i="46"/>
  <c r="R3871" i="46"/>
  <c r="P3871" i="46"/>
  <c r="R3903" i="46"/>
  <c r="P3903" i="46"/>
  <c r="R3913" i="46"/>
  <c r="P3913" i="46"/>
  <c r="P417" i="46"/>
  <c r="R417" i="46"/>
  <c r="R412" i="46"/>
  <c r="P412" i="46"/>
  <c r="R408" i="46"/>
  <c r="P408" i="46"/>
  <c r="R399" i="46"/>
  <c r="P399" i="46"/>
  <c r="R397" i="46"/>
  <c r="P397" i="46"/>
  <c r="P418" i="46"/>
  <c r="R418" i="46"/>
  <c r="R377" i="46"/>
  <c r="P377" i="46"/>
  <c r="R2754" i="46"/>
  <c r="P2754" i="46"/>
  <c r="R2760" i="46"/>
  <c r="P2760" i="46"/>
  <c r="R2758" i="46"/>
  <c r="P2758" i="46"/>
  <c r="R2762" i="46"/>
  <c r="P2762" i="46"/>
  <c r="R845" i="46"/>
  <c r="P845" i="46"/>
  <c r="R877" i="46"/>
  <c r="P877" i="46"/>
  <c r="P846" i="46"/>
  <c r="R846" i="46"/>
  <c r="P878" i="46"/>
  <c r="R878" i="46"/>
  <c r="R851" i="46"/>
  <c r="P851" i="46"/>
  <c r="R883" i="46"/>
  <c r="P883" i="46"/>
  <c r="P856" i="46"/>
  <c r="R856" i="46"/>
  <c r="P888" i="46"/>
  <c r="R888" i="46"/>
  <c r="R3792" i="46"/>
  <c r="P3792" i="46"/>
  <c r="R3817" i="46"/>
  <c r="P3817" i="46"/>
  <c r="R3818" i="46"/>
  <c r="P3818" i="46"/>
  <c r="R3819" i="46"/>
  <c r="P3819" i="46"/>
  <c r="R3012" i="46"/>
  <c r="P3012" i="46"/>
  <c r="R2982" i="46"/>
  <c r="P2982" i="46"/>
  <c r="R2983" i="46"/>
  <c r="P2983" i="46"/>
  <c r="R366" i="46"/>
  <c r="P366" i="46"/>
  <c r="R350" i="46"/>
  <c r="P350" i="46"/>
  <c r="R373" i="46"/>
  <c r="P373" i="46"/>
  <c r="P349" i="46"/>
  <c r="R349" i="46"/>
  <c r="R365" i="46"/>
  <c r="P365" i="46"/>
  <c r="R1935" i="46"/>
  <c r="P1935" i="46"/>
  <c r="P1956" i="46"/>
  <c r="R1956" i="46"/>
  <c r="R1938" i="46"/>
  <c r="P1938" i="46"/>
  <c r="R1949" i="46"/>
  <c r="P1949" i="46"/>
  <c r="R1503" i="46"/>
  <c r="P1503" i="46"/>
  <c r="R1507" i="46"/>
  <c r="P1507" i="46"/>
  <c r="R1486" i="46"/>
  <c r="P1486" i="46"/>
  <c r="R1518" i="46"/>
  <c r="P1518" i="46"/>
  <c r="R1488" i="46"/>
  <c r="P1488" i="46"/>
  <c r="R1520" i="46"/>
  <c r="P1520" i="46"/>
  <c r="R1493" i="46"/>
  <c r="P1493" i="46"/>
  <c r="R1525" i="46"/>
  <c r="P1525" i="46"/>
  <c r="P290" i="46"/>
  <c r="R290" i="46"/>
  <c r="R306" i="46"/>
  <c r="P306" i="46"/>
  <c r="R322" i="46"/>
  <c r="P322" i="46"/>
  <c r="P277" i="46"/>
  <c r="R277" i="46"/>
  <c r="P293" i="46"/>
  <c r="R293" i="46"/>
  <c r="P309" i="46"/>
  <c r="R309" i="46"/>
  <c r="P325" i="46"/>
  <c r="R325" i="46"/>
  <c r="R682" i="46"/>
  <c r="P682" i="46"/>
  <c r="R684" i="46"/>
  <c r="P684" i="46"/>
  <c r="R680" i="46"/>
  <c r="P680" i="46"/>
  <c r="R692" i="46"/>
  <c r="P692" i="46"/>
  <c r="P677" i="46"/>
  <c r="R677" i="46"/>
  <c r="P693" i="46"/>
  <c r="R693" i="46"/>
  <c r="P709" i="46"/>
  <c r="R709" i="46"/>
  <c r="R2101" i="46"/>
  <c r="P2101" i="46"/>
  <c r="R2079" i="46"/>
  <c r="P2079" i="46"/>
  <c r="R2083" i="46"/>
  <c r="P2083" i="46"/>
  <c r="R2087" i="46"/>
  <c r="P2087" i="46"/>
  <c r="R1001" i="46"/>
  <c r="P1001" i="46"/>
  <c r="R1033" i="46"/>
  <c r="P1033" i="46"/>
  <c r="P1002" i="46"/>
  <c r="R1002" i="46"/>
  <c r="P1034" i="46"/>
  <c r="R1034" i="46"/>
  <c r="R1007" i="46"/>
  <c r="P1007" i="46"/>
  <c r="R1039" i="46"/>
  <c r="P1039" i="46"/>
  <c r="P1008" i="46"/>
  <c r="R1008" i="46"/>
  <c r="P1040" i="46"/>
  <c r="R1040" i="46"/>
  <c r="R1756" i="46"/>
  <c r="P1756" i="46"/>
  <c r="P2068" i="46"/>
  <c r="R2068" i="46"/>
  <c r="R3550" i="46"/>
  <c r="P3550" i="46"/>
  <c r="R2562" i="46"/>
  <c r="P2562" i="46"/>
  <c r="P1370" i="46"/>
  <c r="R1370" i="46"/>
  <c r="R783" i="46"/>
  <c r="P783" i="46"/>
  <c r="R4060" i="46"/>
  <c r="P4060" i="46"/>
  <c r="R2365" i="46"/>
  <c r="P2365" i="46"/>
  <c r="R3618" i="46"/>
  <c r="P3618" i="46"/>
  <c r="P597" i="46"/>
  <c r="R597" i="46"/>
  <c r="P1960" i="46"/>
  <c r="R1960" i="46"/>
  <c r="P2771" i="46"/>
  <c r="R2771" i="46"/>
  <c r="R1425" i="46"/>
  <c r="P1425" i="46"/>
  <c r="R1415" i="46"/>
  <c r="P1415" i="46"/>
  <c r="R2256" i="46"/>
  <c r="P2256" i="46"/>
  <c r="R4160" i="46"/>
  <c r="P4160" i="46"/>
  <c r="R492" i="46"/>
  <c r="P492" i="46"/>
  <c r="P501" i="46"/>
  <c r="R501" i="46"/>
  <c r="R2686" i="46"/>
  <c r="P2686" i="46"/>
  <c r="R2692" i="46"/>
  <c r="P2692" i="46"/>
  <c r="R3066" i="46"/>
  <c r="P3066" i="46"/>
  <c r="R2109" i="46"/>
  <c r="P2109" i="46"/>
  <c r="P3732" i="46"/>
  <c r="R3732" i="46"/>
  <c r="P607" i="46"/>
  <c r="R607" i="46"/>
  <c r="R3252" i="46"/>
  <c r="P3252" i="46"/>
  <c r="R1889" i="46"/>
  <c r="P1889" i="46"/>
  <c r="R4263" i="46"/>
  <c r="P4263" i="46"/>
  <c r="R4317" i="46"/>
  <c r="P4317" i="46"/>
  <c r="R1611" i="46"/>
  <c r="P1611" i="46"/>
  <c r="P657" i="46"/>
  <c r="R657" i="46"/>
  <c r="P745" i="46"/>
  <c r="R745" i="46"/>
  <c r="P1244" i="46"/>
  <c r="R1244" i="46"/>
  <c r="R2275" i="46"/>
  <c r="P2275" i="46"/>
  <c r="P3431" i="46"/>
  <c r="R3431" i="46"/>
  <c r="R1123" i="46"/>
  <c r="P1123" i="46"/>
  <c r="P3768" i="46"/>
  <c r="R3768" i="46"/>
  <c r="R2967" i="46"/>
  <c r="P2967" i="46"/>
  <c r="R2478" i="46"/>
  <c r="P2478" i="46"/>
  <c r="R1217" i="46"/>
  <c r="P1217" i="46"/>
  <c r="R953" i="46"/>
  <c r="P953" i="46"/>
  <c r="P972" i="46"/>
  <c r="R972" i="46"/>
  <c r="R2550" i="46"/>
  <c r="P2550" i="46"/>
  <c r="P445" i="46"/>
  <c r="R445" i="46"/>
  <c r="R2431" i="46"/>
  <c r="P2431" i="46"/>
  <c r="R2434" i="46"/>
  <c r="P2434" i="46"/>
  <c r="P820" i="46"/>
  <c r="R820" i="46"/>
  <c r="R3455" i="46"/>
  <c r="P3455" i="46"/>
  <c r="R566" i="46"/>
  <c r="P566" i="46"/>
  <c r="P591" i="46"/>
  <c r="R591" i="46"/>
  <c r="R1534" i="46"/>
  <c r="P1534" i="46"/>
  <c r="R3646" i="46"/>
  <c r="P3646" i="46"/>
  <c r="R2624" i="46"/>
  <c r="P2624" i="46"/>
  <c r="R3380" i="46"/>
  <c r="P3380" i="46"/>
  <c r="R2353" i="46"/>
  <c r="P2353" i="46"/>
  <c r="R3870" i="46"/>
  <c r="P3870" i="46"/>
  <c r="P433" i="46"/>
  <c r="R433" i="46"/>
  <c r="P386" i="46"/>
  <c r="R386" i="46"/>
  <c r="P2739" i="46"/>
  <c r="R2739" i="46"/>
  <c r="P886" i="46"/>
  <c r="R886" i="46"/>
  <c r="R3795" i="46"/>
  <c r="P3795" i="46"/>
  <c r="P338" i="46"/>
  <c r="R338" i="46"/>
  <c r="R1939" i="46"/>
  <c r="P1939" i="46"/>
  <c r="R1494" i="46"/>
  <c r="P1494" i="46"/>
  <c r="R2095" i="46"/>
  <c r="P2095" i="46"/>
  <c r="R2891" i="46"/>
  <c r="P2891" i="46"/>
  <c r="R1699" i="46"/>
  <c r="P1699" i="46"/>
  <c r="R1701" i="46"/>
  <c r="P1701" i="46"/>
  <c r="R2317" i="46"/>
  <c r="P2317" i="46"/>
  <c r="R2318" i="46"/>
  <c r="P2318" i="46"/>
  <c r="R3129" i="46"/>
  <c r="P3129" i="46"/>
  <c r="P4117" i="46"/>
  <c r="R4117" i="46"/>
  <c r="R4122" i="46"/>
  <c r="P4122" i="46"/>
  <c r="R1083" i="46"/>
  <c r="P1083" i="46"/>
  <c r="P3680" i="46"/>
  <c r="R3680" i="46"/>
  <c r="R3108" i="46"/>
  <c r="P3108" i="46"/>
  <c r="R3126" i="46"/>
  <c r="P3126" i="46"/>
  <c r="P3114" i="46"/>
  <c r="R3114" i="46"/>
  <c r="R4352" i="46"/>
  <c r="P4352" i="46"/>
  <c r="R3199" i="46"/>
  <c r="P3199" i="46"/>
  <c r="R3236" i="46"/>
  <c r="P3236" i="46"/>
  <c r="P4195" i="46"/>
  <c r="R4195" i="46"/>
  <c r="R4196" i="46"/>
  <c r="P4196" i="46"/>
  <c r="R4233" i="46"/>
  <c r="P4233" i="46"/>
  <c r="R1796" i="46"/>
  <c r="P1796" i="46"/>
  <c r="P2030" i="46"/>
  <c r="R2030" i="46"/>
  <c r="R2067" i="46"/>
  <c r="P2067" i="46"/>
  <c r="R3546" i="46"/>
  <c r="P3546" i="46"/>
  <c r="P2571" i="46"/>
  <c r="R2571" i="46"/>
  <c r="P1340" i="46"/>
  <c r="R1340" i="46"/>
  <c r="R791" i="46"/>
  <c r="P791" i="46"/>
  <c r="R4062" i="46"/>
  <c r="P4062" i="46"/>
  <c r="R3385" i="46"/>
  <c r="P3385" i="46"/>
  <c r="R1464" i="46"/>
  <c r="P1464" i="46"/>
  <c r="R3622" i="46"/>
  <c r="P3622" i="46"/>
  <c r="P902" i="46"/>
  <c r="R902" i="46"/>
  <c r="R2794" i="46"/>
  <c r="P2794" i="46"/>
  <c r="R2803" i="46"/>
  <c r="P2803" i="46"/>
  <c r="R1420" i="46"/>
  <c r="P1420" i="46"/>
  <c r="R1391" i="46"/>
  <c r="P1391" i="46"/>
  <c r="P4147" i="46"/>
  <c r="R4147" i="46"/>
  <c r="R4184" i="46"/>
  <c r="P4184" i="46"/>
  <c r="P505" i="46"/>
  <c r="R505" i="46"/>
  <c r="P521" i="46"/>
  <c r="R521" i="46"/>
  <c r="R2702" i="46"/>
  <c r="P2702" i="46"/>
  <c r="P2701" i="46"/>
  <c r="R2701" i="46"/>
  <c r="R3069" i="46"/>
  <c r="P3069" i="46"/>
  <c r="R2133" i="46"/>
  <c r="P2133" i="46"/>
  <c r="R2909" i="46"/>
  <c r="P2909" i="46"/>
  <c r="P3748" i="46"/>
  <c r="R3748" i="46"/>
  <c r="P627" i="46"/>
  <c r="R627" i="46"/>
  <c r="R1928" i="46"/>
  <c r="P1928" i="46"/>
  <c r="R2885" i="46"/>
  <c r="P2885" i="46"/>
  <c r="R2864" i="46"/>
  <c r="P2864" i="46"/>
  <c r="R2872" i="46"/>
  <c r="P2872" i="46"/>
  <c r="R2862" i="46"/>
  <c r="P2862" i="46"/>
  <c r="R2879" i="46"/>
  <c r="P2879" i="46"/>
  <c r="R2839" i="46"/>
  <c r="P2839" i="46"/>
  <c r="R2851" i="46"/>
  <c r="P2851" i="46"/>
  <c r="R2849" i="46"/>
  <c r="P2849" i="46"/>
  <c r="R1703" i="46"/>
  <c r="P1703" i="46"/>
  <c r="R1686" i="46"/>
  <c r="P1686" i="46"/>
  <c r="R1688" i="46"/>
  <c r="P1688" i="46"/>
  <c r="R1689" i="46"/>
  <c r="P1689" i="46"/>
  <c r="R3334" i="46"/>
  <c r="P3334" i="46"/>
  <c r="R2303" i="46"/>
  <c r="P2303" i="46"/>
  <c r="R2300" i="46"/>
  <c r="P2300" i="46"/>
  <c r="R2305" i="46"/>
  <c r="P2305" i="46"/>
  <c r="R2306" i="46"/>
  <c r="P2306" i="46"/>
  <c r="R3828" i="46"/>
  <c r="P3828" i="46"/>
  <c r="R3837" i="46"/>
  <c r="P3837" i="46"/>
  <c r="R3838" i="46"/>
  <c r="P3838" i="46"/>
  <c r="R3839" i="46"/>
  <c r="P3839" i="46"/>
  <c r="R3148" i="46"/>
  <c r="P3148" i="46"/>
  <c r="R3180" i="46"/>
  <c r="P3180" i="46"/>
  <c r="R3149" i="46"/>
  <c r="P3149" i="46"/>
  <c r="R3181" i="46"/>
  <c r="P3181" i="46"/>
  <c r="R3150" i="46"/>
  <c r="P3150" i="46"/>
  <c r="R3182" i="46"/>
  <c r="P3182" i="46"/>
  <c r="R3151" i="46"/>
  <c r="P3151" i="46"/>
  <c r="R3183" i="46"/>
  <c r="P3183" i="46"/>
  <c r="R3312" i="46"/>
  <c r="P3312" i="46"/>
  <c r="R4080" i="46"/>
  <c r="P4080" i="46"/>
  <c r="R4108" i="46"/>
  <c r="P4108" i="46"/>
  <c r="P4125" i="46"/>
  <c r="R4125" i="46"/>
  <c r="P4081" i="46"/>
  <c r="R4081" i="46"/>
  <c r="R4102" i="46"/>
  <c r="P4102" i="46"/>
  <c r="P4095" i="46"/>
  <c r="R4095" i="46"/>
  <c r="P4103" i="46"/>
  <c r="R4103" i="46"/>
  <c r="P4123" i="46"/>
  <c r="R4123" i="46"/>
  <c r="R1081" i="46"/>
  <c r="P1081" i="46"/>
  <c r="P1058" i="46"/>
  <c r="R1058" i="46"/>
  <c r="P1090" i="46"/>
  <c r="R1090" i="46"/>
  <c r="R1071" i="46"/>
  <c r="P1071" i="46"/>
  <c r="R1103" i="46"/>
  <c r="P1103" i="46"/>
  <c r="P1080" i="46"/>
  <c r="R1080" i="46"/>
  <c r="P2184" i="46"/>
  <c r="R2184" i="46"/>
  <c r="P2174" i="46"/>
  <c r="R2174" i="46"/>
  <c r="P2172" i="46"/>
  <c r="R2172" i="46"/>
  <c r="P2176" i="46"/>
  <c r="R2176" i="46"/>
  <c r="R722" i="46"/>
  <c r="P722" i="46"/>
  <c r="P3681" i="46"/>
  <c r="R3681" i="46"/>
  <c r="P3679" i="46"/>
  <c r="R3679" i="46"/>
  <c r="P3677" i="46"/>
  <c r="R3677" i="46"/>
  <c r="P3675" i="46"/>
  <c r="R3675" i="46"/>
  <c r="R2670" i="46"/>
  <c r="P2670" i="46"/>
  <c r="R2668" i="46"/>
  <c r="P2668" i="46"/>
  <c r="R2672" i="46"/>
  <c r="P2672" i="46"/>
  <c r="P2663" i="46"/>
  <c r="R2663" i="46"/>
  <c r="R3096" i="46"/>
  <c r="P3096" i="46"/>
  <c r="R3128" i="46"/>
  <c r="P3128" i="46"/>
  <c r="R3101" i="46"/>
  <c r="P3101" i="46"/>
  <c r="R3078" i="46"/>
  <c r="P3078" i="46"/>
  <c r="R3110" i="46"/>
  <c r="P3110" i="46"/>
  <c r="R3087" i="46"/>
  <c r="P3087" i="46"/>
  <c r="R3119" i="46"/>
  <c r="P3119" i="46"/>
  <c r="R4330" i="46"/>
  <c r="P4330" i="46"/>
  <c r="R4319" i="46"/>
  <c r="P4319" i="46"/>
  <c r="R4351" i="46"/>
  <c r="P4351" i="46"/>
  <c r="R4340" i="46"/>
  <c r="P4340" i="46"/>
  <c r="R4325" i="46"/>
  <c r="P4325" i="46"/>
  <c r="R4357" i="46"/>
  <c r="P4357" i="46"/>
  <c r="R3223" i="46"/>
  <c r="P3223" i="46"/>
  <c r="R3194" i="46"/>
  <c r="P3194" i="46"/>
  <c r="R3191" i="46"/>
  <c r="P3191" i="46"/>
  <c r="R3230" i="46"/>
  <c r="P3230" i="46"/>
  <c r="R3224" i="46"/>
  <c r="P3224" i="46"/>
  <c r="R3201" i="46"/>
  <c r="P3201" i="46"/>
  <c r="R3233" i="46"/>
  <c r="P3233" i="46"/>
  <c r="R4210" i="46"/>
  <c r="P4210" i="46"/>
  <c r="R4242" i="46"/>
  <c r="P4242" i="46"/>
  <c r="R4215" i="46"/>
  <c r="P4215" i="46"/>
  <c r="R4247" i="46"/>
  <c r="P4247" i="46"/>
  <c r="R4216" i="46"/>
  <c r="P4216" i="46"/>
  <c r="R4248" i="46"/>
  <c r="P4248" i="46"/>
  <c r="R4221" i="46"/>
  <c r="P4221" i="46"/>
  <c r="R4253" i="46"/>
  <c r="P4253" i="46"/>
  <c r="R2952" i="46"/>
  <c r="P2952" i="46"/>
  <c r="R2953" i="46"/>
  <c r="P2953" i="46"/>
  <c r="R2954" i="46"/>
  <c r="P2954" i="46"/>
  <c r="R2594" i="46"/>
  <c r="P2594" i="46"/>
  <c r="R2584" i="46"/>
  <c r="P2584" i="46"/>
  <c r="P2585" i="46"/>
  <c r="R2585" i="46"/>
  <c r="R2586" i="46"/>
  <c r="P2586" i="46"/>
  <c r="P3992" i="46"/>
  <c r="R3992" i="46"/>
  <c r="P3972" i="46"/>
  <c r="R3972" i="46"/>
  <c r="P3966" i="46"/>
  <c r="R3966" i="46"/>
  <c r="P3970" i="46"/>
  <c r="R3970" i="46"/>
  <c r="P3964" i="46"/>
  <c r="R3964" i="46"/>
  <c r="P3974" i="46"/>
  <c r="R3974" i="46"/>
  <c r="R3971" i="46"/>
  <c r="P3971" i="46"/>
  <c r="R3965" i="46"/>
  <c r="P3965" i="46"/>
  <c r="R1277" i="46"/>
  <c r="P1277" i="46"/>
  <c r="R1309" i="46"/>
  <c r="P1309" i="46"/>
  <c r="P1278" i="46"/>
  <c r="R1278" i="46"/>
  <c r="P1310" i="46"/>
  <c r="R1310" i="46"/>
  <c r="R1283" i="46"/>
  <c r="P1283" i="46"/>
  <c r="R1315" i="46"/>
  <c r="P1315" i="46"/>
  <c r="P1284" i="46"/>
  <c r="R1284" i="46"/>
  <c r="P1316" i="46"/>
  <c r="R1316" i="46"/>
  <c r="R1747" i="46"/>
  <c r="P1747" i="46"/>
  <c r="R1787" i="46"/>
  <c r="P1787" i="46"/>
  <c r="R1750" i="46"/>
  <c r="P1750" i="46"/>
  <c r="R1782" i="46"/>
  <c r="P1782" i="46"/>
  <c r="R1752" i="46"/>
  <c r="P1752" i="46"/>
  <c r="R1784" i="46"/>
  <c r="P1784" i="46"/>
  <c r="R1753" i="46"/>
  <c r="P1753" i="46"/>
  <c r="R1785" i="46"/>
  <c r="P1785" i="46"/>
  <c r="P2024" i="46"/>
  <c r="R2024" i="46"/>
  <c r="R2065" i="46"/>
  <c r="P2065" i="46"/>
  <c r="R2075" i="46"/>
  <c r="P2075" i="46"/>
  <c r="P2028" i="46"/>
  <c r="R2028" i="46"/>
  <c r="P2038" i="46"/>
  <c r="R2038" i="46"/>
  <c r="P2048" i="46"/>
  <c r="R2048" i="46"/>
  <c r="P2058" i="46"/>
  <c r="R2058" i="46"/>
  <c r="R3584" i="46"/>
  <c r="P3584" i="46"/>
  <c r="R3574" i="46"/>
  <c r="P3574" i="46"/>
  <c r="R3564" i="46"/>
  <c r="P3564" i="46"/>
  <c r="R3544" i="46"/>
  <c r="P3544" i="46"/>
  <c r="R3556" i="46"/>
  <c r="P3556" i="46"/>
  <c r="R3592" i="46"/>
  <c r="P3592" i="46"/>
  <c r="R3587" i="46"/>
  <c r="P3587" i="46"/>
  <c r="R3603" i="46"/>
  <c r="P3603" i="46"/>
  <c r="P2577" i="46"/>
  <c r="R2577" i="46"/>
  <c r="P2553" i="46"/>
  <c r="R2553" i="46"/>
  <c r="R2554" i="46"/>
  <c r="P2554" i="46"/>
  <c r="R1341" i="46"/>
  <c r="P1341" i="46"/>
  <c r="R1373" i="46"/>
  <c r="P1373" i="46"/>
  <c r="P1366" i="46"/>
  <c r="R1366" i="46"/>
  <c r="R1363" i="46"/>
  <c r="P1363" i="46"/>
  <c r="P1360" i="46"/>
  <c r="R1360" i="46"/>
  <c r="P1054" i="46"/>
  <c r="R1054" i="46"/>
  <c r="R789" i="46"/>
  <c r="P789" i="46"/>
  <c r="R779" i="46"/>
  <c r="P779" i="46"/>
  <c r="P792" i="46"/>
  <c r="R792" i="46"/>
  <c r="R4027" i="46"/>
  <c r="P4027" i="46"/>
  <c r="R4037" i="46"/>
  <c r="P4037" i="46"/>
  <c r="R4017" i="46"/>
  <c r="P4017" i="46"/>
  <c r="P4063" i="46"/>
  <c r="R4063" i="46"/>
  <c r="R4056" i="46"/>
  <c r="P4056" i="46"/>
  <c r="P4016" i="46"/>
  <c r="R4016" i="46"/>
  <c r="R4061" i="46"/>
  <c r="P4061" i="46"/>
  <c r="P469" i="46"/>
  <c r="R469" i="46"/>
  <c r="R3390" i="46"/>
  <c r="P3390" i="46"/>
  <c r="R2359" i="46"/>
  <c r="P2359" i="46"/>
  <c r="R2360" i="46"/>
  <c r="P2360" i="46"/>
  <c r="R2361" i="46"/>
  <c r="P2361" i="46"/>
  <c r="R2362" i="46"/>
  <c r="P2362" i="46"/>
  <c r="R1459" i="46"/>
  <c r="P1459" i="46"/>
  <c r="R1440" i="46"/>
  <c r="P1440" i="46"/>
  <c r="R1452" i="46"/>
  <c r="P1452" i="46"/>
  <c r="R1453" i="46"/>
  <c r="P1453" i="46"/>
  <c r="R2209" i="46"/>
  <c r="P2209" i="46"/>
  <c r="R2207" i="46"/>
  <c r="P2207" i="46"/>
  <c r="R2211" i="46"/>
  <c r="P2211" i="46"/>
  <c r="P2202" i="46"/>
  <c r="R2202" i="46"/>
  <c r="R3616" i="46"/>
  <c r="P3616" i="46"/>
  <c r="R3632" i="46"/>
  <c r="P3632" i="46"/>
  <c r="R3617" i="46"/>
  <c r="P3617" i="46"/>
  <c r="R3633" i="46"/>
  <c r="P3633" i="46"/>
  <c r="P595" i="46"/>
  <c r="R595" i="46"/>
  <c r="R917" i="46"/>
  <c r="P917" i="46"/>
  <c r="P922" i="46"/>
  <c r="R922" i="46"/>
  <c r="R923" i="46"/>
  <c r="P923" i="46"/>
  <c r="R1989" i="46"/>
  <c r="P1989" i="46"/>
  <c r="R1963" i="46"/>
  <c r="P1963" i="46"/>
  <c r="R1961" i="46"/>
  <c r="P1961" i="46"/>
  <c r="R1965" i="46"/>
  <c r="P1965" i="46"/>
  <c r="R2790" i="46"/>
  <c r="P2790" i="46"/>
  <c r="R2800" i="46"/>
  <c r="P2800" i="46"/>
  <c r="R2780" i="46"/>
  <c r="P2780" i="46"/>
  <c r="R2830" i="46"/>
  <c r="P2830" i="46"/>
  <c r="R2810" i="46"/>
  <c r="P2810" i="46"/>
  <c r="R2778" i="46"/>
  <c r="P2778" i="46"/>
  <c r="R2777" i="46"/>
  <c r="P2777" i="46"/>
  <c r="R2793" i="46"/>
  <c r="P2793" i="46"/>
  <c r="R1409" i="46"/>
  <c r="P1409" i="46"/>
  <c r="R1393" i="46"/>
  <c r="P1393" i="46"/>
  <c r="R1408" i="46"/>
  <c r="P1408" i="46"/>
  <c r="P1381" i="46"/>
  <c r="R1381" i="46"/>
  <c r="P1406" i="46"/>
  <c r="R1406" i="46"/>
  <c r="R1375" i="46"/>
  <c r="P1375" i="46"/>
  <c r="R1411" i="46"/>
  <c r="P1411" i="46"/>
  <c r="P1383" i="46"/>
  <c r="R1383" i="46"/>
  <c r="R3320" i="46"/>
  <c r="P3320" i="46"/>
  <c r="P2242" i="46"/>
  <c r="R2242" i="46"/>
  <c r="P2234" i="46"/>
  <c r="R2234" i="46"/>
  <c r="R2251" i="46"/>
  <c r="P2251" i="46"/>
  <c r="R2255" i="46"/>
  <c r="P2255" i="46"/>
  <c r="R2392" i="46"/>
  <c r="P2392" i="46"/>
  <c r="P4189" i="46"/>
  <c r="R4189" i="46"/>
  <c r="R4150" i="46"/>
  <c r="P4150" i="46"/>
  <c r="R4156" i="46"/>
  <c r="P4156" i="46"/>
  <c r="P4173" i="46"/>
  <c r="R4173" i="46"/>
  <c r="R4192" i="46"/>
  <c r="P4192" i="46"/>
  <c r="R4188" i="46"/>
  <c r="P4188" i="46"/>
  <c r="R4186" i="46"/>
  <c r="P4186" i="46"/>
  <c r="P4187" i="46"/>
  <c r="R4187" i="46"/>
  <c r="R488" i="46"/>
  <c r="P488" i="46"/>
  <c r="R508" i="46"/>
  <c r="P508" i="46"/>
  <c r="P483" i="46"/>
  <c r="R483" i="46"/>
  <c r="P484" i="46"/>
  <c r="R484" i="46"/>
  <c r="P499" i="46"/>
  <c r="R499" i="46"/>
  <c r="P515" i="46"/>
  <c r="R515" i="46"/>
  <c r="P531" i="46"/>
  <c r="R531" i="46"/>
  <c r="P3724" i="46"/>
  <c r="R3724" i="46"/>
  <c r="R3715" i="46"/>
  <c r="P3715" i="46"/>
  <c r="P3716" i="46"/>
  <c r="R3716" i="46"/>
  <c r="R3723" i="46"/>
  <c r="P3723" i="46"/>
  <c r="P2693" i="46"/>
  <c r="R2693" i="46"/>
  <c r="P2737" i="46"/>
  <c r="R2737" i="46"/>
  <c r="P2731" i="46"/>
  <c r="R2731" i="46"/>
  <c r="P2735" i="46"/>
  <c r="R2735" i="46"/>
  <c r="P2729" i="46"/>
  <c r="R2729" i="46"/>
  <c r="R2682" i="46"/>
  <c r="P2682" i="46"/>
  <c r="P2679" i="46"/>
  <c r="R2679" i="46"/>
  <c r="R3020" i="46"/>
  <c r="P3020" i="46"/>
  <c r="R3052" i="46"/>
  <c r="P3052" i="46"/>
  <c r="R3025" i="46"/>
  <c r="P3025" i="46"/>
  <c r="R3057" i="46"/>
  <c r="P3057" i="46"/>
  <c r="R3030" i="46"/>
  <c r="P3030" i="46"/>
  <c r="R3062" i="46"/>
  <c r="P3062" i="46"/>
  <c r="R3035" i="46"/>
  <c r="P3035" i="46"/>
  <c r="R3067" i="46"/>
  <c r="P3067" i="46"/>
  <c r="P2132" i="46"/>
  <c r="R2132" i="46"/>
  <c r="P2130" i="46"/>
  <c r="R2130" i="46"/>
  <c r="P2134" i="46"/>
  <c r="R2134" i="46"/>
  <c r="R2897" i="46"/>
  <c r="P2897" i="46"/>
  <c r="R2899" i="46"/>
  <c r="P2899" i="46"/>
  <c r="R2917" i="46"/>
  <c r="P2917" i="46"/>
  <c r="R2922" i="46"/>
  <c r="P2922" i="46"/>
  <c r="P3746" i="46"/>
  <c r="R3746" i="46"/>
  <c r="P3750" i="46"/>
  <c r="R3750" i="46"/>
  <c r="R3757" i="46"/>
  <c r="P3757" i="46"/>
  <c r="P3758" i="46"/>
  <c r="R3758" i="46"/>
  <c r="R630" i="46"/>
  <c r="P630" i="46"/>
  <c r="R614" i="46"/>
  <c r="P614" i="46"/>
  <c r="R606" i="46"/>
  <c r="P606" i="46"/>
  <c r="P605" i="46"/>
  <c r="R605" i="46"/>
  <c r="P621" i="46"/>
  <c r="R621" i="46"/>
  <c r="P637" i="46"/>
  <c r="R637" i="46"/>
  <c r="P653" i="46"/>
  <c r="R653" i="46"/>
  <c r="R3271" i="46"/>
  <c r="P3271" i="46"/>
  <c r="R3246" i="46"/>
  <c r="P3246" i="46"/>
  <c r="R3278" i="46"/>
  <c r="P3278" i="46"/>
  <c r="R3248" i="46"/>
  <c r="P3248" i="46"/>
  <c r="R3280" i="46"/>
  <c r="P3280" i="46"/>
  <c r="R3249" i="46"/>
  <c r="P3249" i="46"/>
  <c r="R3281" i="46"/>
  <c r="P3281" i="46"/>
  <c r="R1807" i="46"/>
  <c r="P1807" i="46"/>
  <c r="R1808" i="46"/>
  <c r="P1808" i="46"/>
  <c r="R1829" i="46"/>
  <c r="P1829" i="46"/>
  <c r="R1824" i="46"/>
  <c r="P1824" i="46"/>
  <c r="R1871" i="46"/>
  <c r="P1871" i="46"/>
  <c r="R1887" i="46"/>
  <c r="P1887" i="46"/>
  <c r="R1903" i="46"/>
  <c r="P1903" i="46"/>
  <c r="R1919" i="46"/>
  <c r="P1919" i="46"/>
  <c r="R1874" i="46"/>
  <c r="P1874" i="46"/>
  <c r="R1890" i="46"/>
  <c r="P1890" i="46"/>
  <c r="R1906" i="46"/>
  <c r="P1906" i="46"/>
  <c r="R1922" i="46"/>
  <c r="P1922" i="46"/>
  <c r="R4274" i="46"/>
  <c r="P4274" i="46"/>
  <c r="R4259" i="46"/>
  <c r="P4259" i="46"/>
  <c r="R4291" i="46"/>
  <c r="P4291" i="46"/>
  <c r="R4268" i="46"/>
  <c r="P4268" i="46"/>
  <c r="R4300" i="46"/>
  <c r="P4300" i="46"/>
  <c r="R4281" i="46"/>
  <c r="P4281" i="46"/>
  <c r="R4310" i="46"/>
  <c r="P4310" i="46"/>
  <c r="R4313" i="46"/>
  <c r="P4313" i="46"/>
  <c r="R3538" i="46"/>
  <c r="P3538" i="46"/>
  <c r="R3509" i="46"/>
  <c r="P3509" i="46"/>
  <c r="R3532" i="46"/>
  <c r="P3532" i="46"/>
  <c r="P3519" i="46"/>
  <c r="R3519" i="46"/>
  <c r="R1619" i="46"/>
  <c r="P1619" i="46"/>
  <c r="R1590" i="46"/>
  <c r="P1590" i="46"/>
  <c r="R1592" i="46"/>
  <c r="P1592" i="46"/>
  <c r="R1597" i="46"/>
  <c r="P1597" i="46"/>
  <c r="P456" i="46"/>
  <c r="R456" i="46"/>
  <c r="P655" i="46"/>
  <c r="R655" i="46"/>
  <c r="R736" i="46"/>
  <c r="P736" i="46"/>
  <c r="R755" i="46"/>
  <c r="P755" i="46"/>
  <c r="R765" i="46"/>
  <c r="P765" i="46"/>
  <c r="R753" i="46"/>
  <c r="P753" i="46"/>
  <c r="P727" i="46"/>
  <c r="R727" i="46"/>
  <c r="P743" i="46"/>
  <c r="R743" i="46"/>
  <c r="P768" i="46"/>
  <c r="R768" i="46"/>
  <c r="R1245" i="46"/>
  <c r="P1245" i="46"/>
  <c r="P1222" i="46"/>
  <c r="R1222" i="46"/>
  <c r="P1254" i="46"/>
  <c r="R1254" i="46"/>
  <c r="R1231" i="46"/>
  <c r="P1231" i="46"/>
  <c r="R1263" i="46"/>
  <c r="P1263" i="46"/>
  <c r="P1240" i="46"/>
  <c r="R1240" i="46"/>
  <c r="P1272" i="46"/>
  <c r="R1272" i="46"/>
  <c r="R2267" i="46"/>
  <c r="P2267" i="46"/>
  <c r="R2268" i="46"/>
  <c r="P2268" i="46"/>
  <c r="R2266" i="46"/>
  <c r="P2266" i="46"/>
  <c r="R1651" i="46"/>
  <c r="P1651" i="46"/>
  <c r="R1647" i="46"/>
  <c r="P1647" i="46"/>
  <c r="R1634" i="46"/>
  <c r="P1634" i="46"/>
  <c r="R1666" i="46"/>
  <c r="P1666" i="46"/>
  <c r="R1644" i="46"/>
  <c r="P1644" i="46"/>
  <c r="R1621" i="46"/>
  <c r="P1621" i="46"/>
  <c r="R1653" i="46"/>
  <c r="P1653" i="46"/>
  <c r="P3422" i="46"/>
  <c r="R3422" i="46"/>
  <c r="P3429" i="46"/>
  <c r="R3429" i="46"/>
  <c r="R3430" i="46"/>
  <c r="P3430" i="46"/>
  <c r="R3444" i="46"/>
  <c r="P3444" i="46"/>
  <c r="R1141" i="46"/>
  <c r="P1141" i="46"/>
  <c r="P1114" i="46"/>
  <c r="R1114" i="46"/>
  <c r="P1146" i="46"/>
  <c r="R1146" i="46"/>
  <c r="R1119" i="46"/>
  <c r="P1119" i="46"/>
  <c r="R1151" i="46"/>
  <c r="P1151" i="46"/>
  <c r="P1124" i="46"/>
  <c r="R1124" i="46"/>
  <c r="P1156" i="46"/>
  <c r="R1156" i="46"/>
  <c r="R3772" i="46"/>
  <c r="P3772" i="46"/>
  <c r="R3789" i="46"/>
  <c r="P3789" i="46"/>
  <c r="R3790" i="46"/>
  <c r="P3790" i="46"/>
  <c r="R3787" i="46"/>
  <c r="P3787" i="46"/>
  <c r="R2980" i="46"/>
  <c r="P2980" i="46"/>
  <c r="R2958" i="46"/>
  <c r="P2958" i="46"/>
  <c r="R2963" i="46"/>
  <c r="P2963" i="46"/>
  <c r="R3399" i="46"/>
  <c r="P3399" i="46"/>
  <c r="P3407" i="46"/>
  <c r="R3407" i="46"/>
  <c r="P3396" i="46"/>
  <c r="R3396" i="46"/>
  <c r="R2481" i="46"/>
  <c r="P2481" i="46"/>
  <c r="R2464" i="46"/>
  <c r="P2464" i="46"/>
  <c r="R2483" i="46"/>
  <c r="P2483" i="46"/>
  <c r="R2476" i="46"/>
  <c r="P2476" i="46"/>
  <c r="R1707" i="46"/>
  <c r="P1707" i="46"/>
  <c r="R1706" i="46"/>
  <c r="P1706" i="46"/>
  <c r="R1738" i="46"/>
  <c r="P1738" i="46"/>
  <c r="R1732" i="46"/>
  <c r="P1732" i="46"/>
  <c r="R1725" i="46"/>
  <c r="P1725" i="46"/>
  <c r="R1181" i="46"/>
  <c r="P1181" i="46"/>
  <c r="R1213" i="46"/>
  <c r="P1213" i="46"/>
  <c r="P1190" i="46"/>
  <c r="R1190" i="46"/>
  <c r="R1171" i="46"/>
  <c r="P1171" i="46"/>
  <c r="R1203" i="46"/>
  <c r="P1203" i="46"/>
  <c r="P1180" i="46"/>
  <c r="R1180" i="46"/>
  <c r="P1212" i="46"/>
  <c r="R1212" i="46"/>
  <c r="R949" i="46"/>
  <c r="P949" i="46"/>
  <c r="R981" i="46"/>
  <c r="P981" i="46"/>
  <c r="P958" i="46"/>
  <c r="R958" i="46"/>
  <c r="R931" i="46"/>
  <c r="P931" i="46"/>
  <c r="R963" i="46"/>
  <c r="P963" i="46"/>
  <c r="P936" i="46"/>
  <c r="R936" i="46"/>
  <c r="P968" i="46"/>
  <c r="R968" i="46"/>
  <c r="R2542" i="46"/>
  <c r="P2542" i="46"/>
  <c r="P2537" i="46"/>
  <c r="R2537" i="46"/>
  <c r="P2535" i="46"/>
  <c r="R2535" i="46"/>
  <c r="P3928" i="46"/>
  <c r="R3928" i="46"/>
  <c r="P3938" i="46"/>
  <c r="R3938" i="46"/>
  <c r="R3929" i="46"/>
  <c r="P3929" i="46"/>
  <c r="P3930" i="46"/>
  <c r="R3930" i="46"/>
  <c r="P444" i="46"/>
  <c r="R444" i="46"/>
  <c r="P442" i="46"/>
  <c r="R442" i="46"/>
  <c r="R1841" i="46"/>
  <c r="P1841" i="46"/>
  <c r="R1857" i="46"/>
  <c r="P1857" i="46"/>
  <c r="R1842" i="46"/>
  <c r="P1842" i="46"/>
  <c r="R1858" i="46"/>
  <c r="P1858" i="46"/>
  <c r="R895" i="46"/>
  <c r="P895" i="46"/>
  <c r="R2017" i="46"/>
  <c r="P2017" i="46"/>
  <c r="R2015" i="46"/>
  <c r="P2015" i="46"/>
  <c r="R2019" i="46"/>
  <c r="P2019" i="46"/>
  <c r="P2010" i="46"/>
  <c r="R2010" i="46"/>
  <c r="R2427" i="46"/>
  <c r="P2427" i="46"/>
  <c r="R2396" i="46"/>
  <c r="P2396" i="46"/>
  <c r="R2428" i="46"/>
  <c r="P2428" i="46"/>
  <c r="R2397" i="46"/>
  <c r="P2397" i="46"/>
  <c r="R2429" i="46"/>
  <c r="P2429" i="46"/>
  <c r="R2398" i="46"/>
  <c r="P2398" i="46"/>
  <c r="R2430" i="46"/>
  <c r="P2430" i="46"/>
  <c r="P472" i="46"/>
  <c r="R472" i="46"/>
  <c r="P471" i="46"/>
  <c r="R471" i="46"/>
  <c r="R829" i="46"/>
  <c r="P829" i="46"/>
  <c r="P822" i="46"/>
  <c r="R822" i="46"/>
  <c r="R819" i="46"/>
  <c r="P819" i="46"/>
  <c r="P816" i="46"/>
  <c r="R816" i="46"/>
  <c r="R3462" i="46"/>
  <c r="P3462" i="46"/>
  <c r="R3497" i="46"/>
  <c r="P3497" i="46"/>
  <c r="R3449" i="46"/>
  <c r="P3449" i="46"/>
  <c r="R3493" i="46"/>
  <c r="P3493" i="46"/>
  <c r="R3500" i="46"/>
  <c r="P3500" i="46"/>
  <c r="R3448" i="46"/>
  <c r="P3448" i="46"/>
  <c r="R3451" i="46"/>
  <c r="P3451" i="46"/>
  <c r="P2529" i="46"/>
  <c r="R2529" i="46"/>
  <c r="P2525" i="46"/>
  <c r="R2525" i="46"/>
  <c r="P2164" i="46"/>
  <c r="R2164" i="46"/>
  <c r="P2162" i="46"/>
  <c r="R2162" i="46"/>
  <c r="R2141" i="46"/>
  <c r="P2141" i="46"/>
  <c r="R538" i="46"/>
  <c r="P538" i="46"/>
  <c r="R592" i="46"/>
  <c r="P592" i="46"/>
  <c r="R578" i="46"/>
  <c r="P578" i="46"/>
  <c r="R574" i="46"/>
  <c r="P574" i="46"/>
  <c r="P541" i="46"/>
  <c r="R541" i="46"/>
  <c r="P557" i="46"/>
  <c r="R557" i="46"/>
  <c r="P573" i="46"/>
  <c r="R573" i="46"/>
  <c r="P589" i="46"/>
  <c r="R589" i="46"/>
  <c r="P2501" i="46"/>
  <c r="R2501" i="46"/>
  <c r="P2515" i="46"/>
  <c r="R2515" i="46"/>
  <c r="P2505" i="46"/>
  <c r="R2505" i="46"/>
  <c r="P2519" i="46"/>
  <c r="R2519" i="46"/>
  <c r="R1575" i="46"/>
  <c r="P1575" i="46"/>
  <c r="R1530" i="46"/>
  <c r="P1530" i="46"/>
  <c r="R1562" i="46"/>
  <c r="P1562" i="46"/>
  <c r="R1532" i="46"/>
  <c r="P1532" i="46"/>
  <c r="R1564" i="46"/>
  <c r="P1564" i="46"/>
  <c r="R1533" i="46"/>
  <c r="P1533" i="46"/>
  <c r="R1565" i="46"/>
  <c r="P1565" i="46"/>
  <c r="P3660" i="46"/>
  <c r="R3660" i="46"/>
  <c r="R3644" i="46"/>
  <c r="P3644" i="46"/>
  <c r="P3666" i="46"/>
  <c r="R3666" i="46"/>
  <c r="R3645" i="46"/>
  <c r="P3645" i="46"/>
  <c r="P2645" i="46"/>
  <c r="R2645" i="46"/>
  <c r="R2632" i="46"/>
  <c r="P2632" i="46"/>
  <c r="P2633" i="46"/>
  <c r="R2633" i="46"/>
  <c r="P2637" i="46"/>
  <c r="R2637" i="46"/>
  <c r="R3338" i="46"/>
  <c r="P3338" i="46"/>
  <c r="R3345" i="46"/>
  <c r="P3345" i="46"/>
  <c r="R3362" i="46"/>
  <c r="P3362" i="46"/>
  <c r="R3378" i="46"/>
  <c r="P3378" i="46"/>
  <c r="R3361" i="46"/>
  <c r="P3361" i="46"/>
  <c r="R3377" i="46"/>
  <c r="P3377" i="46"/>
  <c r="R2347" i="46"/>
  <c r="P2347" i="46"/>
  <c r="R2348" i="46"/>
  <c r="P2348" i="46"/>
  <c r="R2349" i="46"/>
  <c r="P2349" i="46"/>
  <c r="R2350" i="46"/>
  <c r="P2350" i="46"/>
  <c r="R3880" i="46"/>
  <c r="P3880" i="46"/>
  <c r="R3857" i="46"/>
  <c r="P3857" i="46"/>
  <c r="R3889" i="46"/>
  <c r="P3889" i="46"/>
  <c r="R3866" i="46"/>
  <c r="P3866" i="46"/>
  <c r="R3898" i="46"/>
  <c r="P3898" i="46"/>
  <c r="R3875" i="46"/>
  <c r="P3875" i="46"/>
  <c r="R3909" i="46"/>
  <c r="P3909" i="46"/>
  <c r="R387" i="46"/>
  <c r="P387" i="46"/>
  <c r="P430" i="46"/>
  <c r="R430" i="46"/>
  <c r="P424" i="46"/>
  <c r="R424" i="46"/>
  <c r="P415" i="46"/>
  <c r="R415" i="46"/>
  <c r="R406" i="46"/>
  <c r="P406" i="46"/>
  <c r="P404" i="46"/>
  <c r="R404" i="46"/>
  <c r="R379" i="46"/>
  <c r="P379" i="46"/>
  <c r="R384" i="46"/>
  <c r="P384" i="46"/>
  <c r="P2741" i="46"/>
  <c r="R2741" i="46"/>
  <c r="P2763" i="46"/>
  <c r="R2763" i="46"/>
  <c r="P2761" i="46"/>
  <c r="R2761" i="46"/>
  <c r="P2765" i="46"/>
  <c r="R2765" i="46"/>
  <c r="R849" i="46"/>
  <c r="P849" i="46"/>
  <c r="R881" i="46"/>
  <c r="P881" i="46"/>
  <c r="P850" i="46"/>
  <c r="R850" i="46"/>
  <c r="P882" i="46"/>
  <c r="R882" i="46"/>
  <c r="R855" i="46"/>
  <c r="P855" i="46"/>
  <c r="R887" i="46"/>
  <c r="P887" i="46"/>
  <c r="P860" i="46"/>
  <c r="R860" i="46"/>
  <c r="P892" i="46"/>
  <c r="R892" i="46"/>
  <c r="R3812" i="46"/>
  <c r="P3812" i="46"/>
  <c r="R3821" i="46"/>
  <c r="P3821" i="46"/>
  <c r="R3791" i="46"/>
  <c r="P3791" i="46"/>
  <c r="R2984" i="46"/>
  <c r="P2984" i="46"/>
  <c r="R2985" i="46"/>
  <c r="P2985" i="46"/>
  <c r="R2986" i="46"/>
  <c r="P2986" i="46"/>
  <c r="R2987" i="46"/>
  <c r="P2987" i="46"/>
  <c r="R371" i="46"/>
  <c r="P371" i="46"/>
  <c r="P352" i="46"/>
  <c r="R352" i="46"/>
  <c r="R369" i="46"/>
  <c r="P369" i="46"/>
  <c r="P351" i="46"/>
  <c r="R351" i="46"/>
  <c r="P372" i="46"/>
  <c r="R372" i="46"/>
  <c r="R1937" i="46"/>
  <c r="P1937" i="46"/>
  <c r="P1950" i="46"/>
  <c r="R1950" i="46"/>
  <c r="R1940" i="46"/>
  <c r="P1940" i="46"/>
  <c r="P1952" i="46"/>
  <c r="R1952" i="46"/>
  <c r="R1479" i="46"/>
  <c r="P1479" i="46"/>
  <c r="R1495" i="46"/>
  <c r="P1495" i="46"/>
  <c r="R1490" i="46"/>
  <c r="P1490" i="46"/>
  <c r="R1522" i="46"/>
  <c r="P1522" i="46"/>
  <c r="R1492" i="46"/>
  <c r="P1492" i="46"/>
  <c r="R1524" i="46"/>
  <c r="P1524" i="46"/>
  <c r="R1497" i="46"/>
  <c r="P1497" i="46"/>
  <c r="R276" i="46"/>
  <c r="P276" i="46"/>
  <c r="R292" i="46"/>
  <c r="P292" i="46"/>
  <c r="P308" i="46"/>
  <c r="R308" i="46"/>
  <c r="P324" i="46"/>
  <c r="R324" i="46"/>
  <c r="P279" i="46"/>
  <c r="R279" i="46"/>
  <c r="P295" i="46"/>
  <c r="R295" i="46"/>
  <c r="P311" i="46"/>
  <c r="R311" i="46"/>
  <c r="P327" i="46"/>
  <c r="R327" i="46"/>
  <c r="R698" i="46"/>
  <c r="P698" i="46"/>
  <c r="R700" i="46"/>
  <c r="P700" i="46"/>
  <c r="R696" i="46"/>
  <c r="P696" i="46"/>
  <c r="R708" i="46"/>
  <c r="P708" i="46"/>
  <c r="P679" i="46"/>
  <c r="R679" i="46"/>
  <c r="P695" i="46"/>
  <c r="R695" i="46"/>
  <c r="P711" i="46"/>
  <c r="R711" i="46"/>
  <c r="R2081" i="46"/>
  <c r="P2081" i="46"/>
  <c r="P2082" i="46"/>
  <c r="R2082" i="46"/>
  <c r="P2086" i="46"/>
  <c r="R2086" i="46"/>
  <c r="P2090" i="46"/>
  <c r="R2090" i="46"/>
  <c r="R1005" i="46"/>
  <c r="P1005" i="46"/>
  <c r="R1037" i="46"/>
  <c r="P1037" i="46"/>
  <c r="P1006" i="46"/>
  <c r="R1006" i="46"/>
  <c r="P1038" i="46"/>
  <c r="R1038" i="46"/>
  <c r="R1011" i="46"/>
  <c r="P1011" i="46"/>
  <c r="R1043" i="46"/>
  <c r="P1043" i="46"/>
  <c r="P1012" i="46"/>
  <c r="R1012" i="46"/>
  <c r="P1044" i="46"/>
  <c r="R1044" i="46"/>
  <c r="G71" i="45" l="1"/>
  <c r="H70" i="45"/>
  <c r="I65" i="45"/>
  <c r="E65" i="45"/>
  <c r="F62" i="45"/>
  <c r="F73" i="45"/>
  <c r="E64" i="45"/>
  <c r="D63" i="45"/>
  <c r="G72" i="45"/>
  <c r="H71" i="45"/>
  <c r="I66" i="45"/>
  <c r="E66" i="45"/>
  <c r="F63" i="45"/>
  <c r="F64" i="45"/>
  <c r="I64" i="45"/>
  <c r="G62" i="45"/>
  <c r="G73" i="45"/>
  <c r="H72" i="45"/>
  <c r="I70" i="45"/>
  <c r="E70" i="45"/>
  <c r="F72" i="45"/>
  <c r="H74" i="45"/>
  <c r="G63" i="45"/>
  <c r="E124" i="45" s="1"/>
  <c r="G74" i="45"/>
  <c r="H62" i="45"/>
  <c r="H73" i="45"/>
  <c r="I71" i="45"/>
  <c r="E71" i="45"/>
  <c r="F65" i="45"/>
  <c r="D64" i="45"/>
  <c r="D62" i="45"/>
  <c r="G64" i="45"/>
  <c r="H63" i="45"/>
  <c r="I72" i="45"/>
  <c r="E72" i="45"/>
  <c r="F66" i="45"/>
  <c r="F71" i="45"/>
  <c r="D65" i="45"/>
  <c r="D66" i="45"/>
  <c r="G70" i="45"/>
  <c r="I74" i="45"/>
  <c r="G65" i="45"/>
  <c r="H64" i="45"/>
  <c r="I62" i="45"/>
  <c r="I73" i="45"/>
  <c r="E62" i="45"/>
  <c r="E73" i="45"/>
  <c r="F70" i="45"/>
  <c r="G66" i="45"/>
  <c r="H65" i="45"/>
  <c r="I63" i="45"/>
  <c r="E132" i="45" s="1"/>
  <c r="E63" i="45"/>
  <c r="E114" i="45" s="1"/>
  <c r="H66" i="45"/>
  <c r="J66" i="45"/>
  <c r="D72" i="45"/>
  <c r="J64" i="45"/>
  <c r="F74" i="45"/>
  <c r="J74" i="45"/>
  <c r="J65" i="45"/>
  <c r="D74" i="45"/>
  <c r="J63" i="45"/>
  <c r="D73" i="45"/>
  <c r="E74" i="45"/>
  <c r="J62" i="45"/>
  <c r="J72" i="45"/>
  <c r="J71" i="45"/>
  <c r="J70" i="45"/>
  <c r="D70" i="45"/>
  <c r="J73" i="45"/>
  <c r="D71" i="45"/>
  <c r="E125" i="45" l="1"/>
  <c r="E135" i="45"/>
  <c r="E137" i="45"/>
  <c r="E109" i="45"/>
  <c r="E112" i="45"/>
  <c r="E113" i="45"/>
  <c r="E115" i="45"/>
  <c r="E131" i="45"/>
  <c r="E120" i="45"/>
  <c r="E123" i="45"/>
  <c r="E133" i="45"/>
  <c r="E136" i="45"/>
  <c r="E130" i="45"/>
  <c r="E121" i="45"/>
  <c r="E119" i="45"/>
  <c r="E118" i="45"/>
  <c r="E138" i="45"/>
  <c r="E111" i="45"/>
  <c r="E122" i="45"/>
  <c r="E117" i="45"/>
  <c r="E116" i="45"/>
  <c r="E110" i="45"/>
  <c r="E129" i="45"/>
  <c r="E134" i="45"/>
  <c r="E126" i="45"/>
  <c r="E128" i="45"/>
  <c r="E127" i="45"/>
  <c r="J145" i="44" l="1"/>
  <c r="H145" i="44"/>
  <c r="G145" i="44"/>
  <c r="F145" i="44"/>
  <c r="J143" i="44"/>
  <c r="G143" i="44"/>
  <c r="F143" i="44"/>
  <c r="J142" i="44"/>
  <c r="J141" i="44"/>
  <c r="H141" i="44"/>
  <c r="G141" i="44"/>
  <c r="F141" i="44"/>
  <c r="J140" i="44"/>
  <c r="H140" i="44"/>
  <c r="G140" i="44"/>
  <c r="F140" i="44"/>
  <c r="J139" i="44"/>
  <c r="G139" i="44"/>
  <c r="F139" i="44"/>
  <c r="J138" i="44"/>
  <c r="G138" i="44"/>
  <c r="F138" i="44"/>
  <c r="J137" i="44"/>
  <c r="H137" i="44"/>
  <c r="G137" i="44"/>
  <c r="F137" i="44"/>
  <c r="J136" i="44"/>
  <c r="H136" i="44"/>
  <c r="G136" i="44"/>
  <c r="F136" i="44"/>
  <c r="J135" i="44"/>
  <c r="G135" i="44"/>
  <c r="F135" i="44"/>
  <c r="J134" i="44"/>
  <c r="G134" i="44"/>
  <c r="F134" i="44"/>
  <c r="H133" i="44"/>
  <c r="G133" i="44"/>
  <c r="F133" i="44"/>
  <c r="E133" i="44"/>
  <c r="E56" i="44" s="1"/>
  <c r="G107" i="44"/>
  <c r="F107" i="44"/>
  <c r="E107" i="44"/>
  <c r="D107" i="44"/>
  <c r="C107" i="44"/>
  <c r="G106" i="44"/>
  <c r="F106" i="44"/>
  <c r="E106" i="44"/>
  <c r="D106" i="44"/>
  <c r="C106" i="44"/>
  <c r="G105" i="44"/>
  <c r="F105" i="44"/>
  <c r="E105" i="44"/>
  <c r="D105" i="44"/>
  <c r="C105" i="44"/>
  <c r="G104" i="44"/>
  <c r="F104" i="44"/>
  <c r="E104" i="44"/>
  <c r="D104" i="44"/>
  <c r="C104" i="44"/>
  <c r="G103" i="44"/>
  <c r="F103" i="44"/>
  <c r="E103" i="44"/>
  <c r="D103" i="44"/>
  <c r="C103" i="44"/>
  <c r="G102" i="44"/>
  <c r="F102" i="44"/>
  <c r="E102" i="44"/>
  <c r="D102" i="44"/>
  <c r="C102" i="44"/>
  <c r="G101" i="44"/>
  <c r="F101" i="44"/>
  <c r="E101" i="44"/>
  <c r="D101" i="44"/>
  <c r="C101" i="44"/>
  <c r="G100" i="44"/>
  <c r="F100" i="44"/>
  <c r="E100" i="44"/>
  <c r="D100" i="44"/>
  <c r="C100" i="44"/>
  <c r="G99" i="44"/>
  <c r="F99" i="44"/>
  <c r="E99" i="44"/>
  <c r="D99" i="44"/>
  <c r="C99" i="44"/>
  <c r="G98" i="44"/>
  <c r="F98" i="44"/>
  <c r="E98" i="44"/>
  <c r="D98" i="44"/>
  <c r="C98" i="44"/>
  <c r="G97" i="44"/>
  <c r="F97" i="44"/>
  <c r="E97" i="44"/>
  <c r="D97" i="44"/>
  <c r="C97" i="44"/>
  <c r="G96" i="44"/>
  <c r="F96" i="44"/>
  <c r="E96" i="44"/>
  <c r="D96" i="44"/>
  <c r="C96" i="44"/>
  <c r="G95" i="44"/>
  <c r="F95" i="44"/>
  <c r="E95" i="44"/>
  <c r="D95" i="44"/>
  <c r="C95" i="44"/>
  <c r="G94" i="44"/>
  <c r="F94" i="44"/>
  <c r="E94" i="44"/>
  <c r="D94" i="44"/>
  <c r="C94" i="44"/>
  <c r="G93" i="44"/>
  <c r="F93" i="44"/>
  <c r="E93" i="44"/>
  <c r="D93" i="44"/>
  <c r="C93" i="44"/>
  <c r="B9" i="44"/>
  <c r="B10" i="44" s="1"/>
  <c r="C8" i="44"/>
  <c r="C21" i="44" s="1"/>
  <c r="D242" i="43"/>
  <c r="D232" i="43"/>
  <c r="D218" i="43"/>
  <c r="D195" i="43"/>
  <c r="D172" i="43"/>
  <c r="D145" i="43"/>
  <c r="D115" i="43"/>
  <c r="D98" i="43"/>
  <c r="D81" i="43"/>
  <c r="D69" i="43"/>
  <c r="H12" i="43"/>
  <c r="H11" i="43"/>
  <c r="H10" i="43"/>
  <c r="H9" i="43"/>
  <c r="H8" i="43"/>
  <c r="C15" i="43"/>
  <c r="J56" i="44" l="1"/>
  <c r="I94" i="44"/>
  <c r="J94" i="44" s="1"/>
  <c r="K94" i="44" s="1"/>
  <c r="F61" i="44"/>
  <c r="F56" i="44"/>
  <c r="E147" i="44"/>
  <c r="J61" i="44"/>
  <c r="I61" i="44"/>
  <c r="E61" i="44"/>
  <c r="I56" i="44"/>
  <c r="H26" i="44" s="1"/>
  <c r="J147" i="44"/>
  <c r="I135" i="44"/>
  <c r="I139" i="44"/>
  <c r="I143" i="44"/>
  <c r="H134" i="44"/>
  <c r="H138" i="44"/>
  <c r="H142" i="44"/>
  <c r="I136" i="44"/>
  <c r="I140" i="44"/>
  <c r="G142" i="44"/>
  <c r="G147" i="44" s="1"/>
  <c r="I145" i="44"/>
  <c r="I137" i="44"/>
  <c r="I141" i="44"/>
  <c r="H135" i="44"/>
  <c r="H139" i="44"/>
  <c r="H143" i="44"/>
  <c r="F142" i="44"/>
  <c r="F147" i="44" s="1"/>
  <c r="I134" i="44"/>
  <c r="I138" i="44"/>
  <c r="I142" i="44"/>
  <c r="C9" i="44"/>
  <c r="C35" i="44" s="1"/>
  <c r="I102" i="44"/>
  <c r="J102" i="44" s="1"/>
  <c r="K102" i="44" s="1"/>
  <c r="I98" i="44"/>
  <c r="J98" i="44" s="1"/>
  <c r="I106" i="44"/>
  <c r="J106" i="44" s="1"/>
  <c r="M106" i="44" s="1"/>
  <c r="G59" i="44" s="1"/>
  <c r="I99" i="44"/>
  <c r="J99" i="44" s="1"/>
  <c r="K99" i="44" s="1"/>
  <c r="I107" i="44"/>
  <c r="J107" i="44" s="1"/>
  <c r="B10" i="43"/>
  <c r="C10" i="43" s="1"/>
  <c r="C149" i="43" s="1"/>
  <c r="I97" i="44"/>
  <c r="J97" i="44" s="1"/>
  <c r="K97" i="44" s="1"/>
  <c r="I105" i="44"/>
  <c r="J105" i="44" s="1"/>
  <c r="K105" i="44" s="1"/>
  <c r="F86" i="44"/>
  <c r="I86" i="44"/>
  <c r="E84" i="44"/>
  <c r="H84" i="44"/>
  <c r="I85" i="44"/>
  <c r="F85" i="44"/>
  <c r="I96" i="44"/>
  <c r="J96" i="44" s="1"/>
  <c r="K96" i="44" s="1"/>
  <c r="I104" i="44"/>
  <c r="J104" i="44" s="1"/>
  <c r="E83" i="44"/>
  <c r="H83" i="44"/>
  <c r="E87" i="44"/>
  <c r="H87" i="44"/>
  <c r="I101" i="44"/>
  <c r="E82" i="44"/>
  <c r="E86" i="44"/>
  <c r="H86" i="44"/>
  <c r="I95" i="44"/>
  <c r="I103" i="44"/>
  <c r="J103" i="44" s="1"/>
  <c r="I84" i="44"/>
  <c r="F84" i="44"/>
  <c r="I83" i="44"/>
  <c r="F83" i="44"/>
  <c r="I87" i="44"/>
  <c r="F87" i="44"/>
  <c r="I100" i="44"/>
  <c r="J100" i="44" s="1"/>
  <c r="H85" i="44"/>
  <c r="E85" i="44"/>
  <c r="I129" i="44"/>
  <c r="K129" i="44"/>
  <c r="L129" i="44"/>
  <c r="E129" i="44"/>
  <c r="M129" i="44"/>
  <c r="J129" i="44"/>
  <c r="F129" i="44"/>
  <c r="N129" i="44"/>
  <c r="G129" i="44"/>
  <c r="O129" i="44"/>
  <c r="H129" i="44"/>
  <c r="B11" i="44"/>
  <c r="C10" i="44"/>
  <c r="C51" i="44" s="1"/>
  <c r="E26" i="44" l="1"/>
  <c r="E148" i="44"/>
  <c r="I26" i="44"/>
  <c r="I59" i="44"/>
  <c r="H29" i="44" s="1"/>
  <c r="J60" i="44"/>
  <c r="I30" i="44" s="1"/>
  <c r="H42" i="44" s="1"/>
  <c r="F59" i="44"/>
  <c r="I57" i="44"/>
  <c r="H27" i="44" s="1"/>
  <c r="H147" i="44"/>
  <c r="H148" i="44" s="1"/>
  <c r="F57" i="44"/>
  <c r="E59" i="44"/>
  <c r="J57" i="44"/>
  <c r="I27" i="44" s="1"/>
  <c r="J59" i="44"/>
  <c r="I29" i="44" s="1"/>
  <c r="G42" i="44" s="1"/>
  <c r="E57" i="44"/>
  <c r="F58" i="44"/>
  <c r="I147" i="44"/>
  <c r="I148" i="44" s="1"/>
  <c r="F60" i="44"/>
  <c r="I58" i="44"/>
  <c r="H28" i="44" s="1"/>
  <c r="E60" i="44"/>
  <c r="J58" i="44"/>
  <c r="I28" i="44" s="1"/>
  <c r="I60" i="44"/>
  <c r="H30" i="44" s="1"/>
  <c r="H41" i="44" s="1"/>
  <c r="E58" i="44"/>
  <c r="J148" i="44"/>
  <c r="G148" i="44"/>
  <c r="F148" i="44"/>
  <c r="B11" i="43"/>
  <c r="C11" i="43" s="1"/>
  <c r="C222" i="43" s="1"/>
  <c r="C9" i="43"/>
  <c r="C85" i="43" s="1"/>
  <c r="K100" i="44"/>
  <c r="H31" i="44"/>
  <c r="J95" i="44"/>
  <c r="M94" i="44" s="1"/>
  <c r="G56" i="44" s="1"/>
  <c r="J101" i="44"/>
  <c r="K101" i="44" s="1"/>
  <c r="K106" i="44"/>
  <c r="L106" i="44"/>
  <c r="L104" i="44"/>
  <c r="K104" i="44"/>
  <c r="M104" i="44"/>
  <c r="G60" i="44" s="1"/>
  <c r="K103" i="44"/>
  <c r="L103" i="44"/>
  <c r="M103" i="44"/>
  <c r="G58" i="44" s="1"/>
  <c r="I31" i="44"/>
  <c r="I42" i="44" s="1"/>
  <c r="K98" i="44"/>
  <c r="C11" i="44"/>
  <c r="C65" i="44" s="1"/>
  <c r="B12" i="44"/>
  <c r="C12" i="44" s="1"/>
  <c r="M107" i="44"/>
  <c r="L107" i="44"/>
  <c r="K107" i="44"/>
  <c r="F26" i="44" l="1"/>
  <c r="F40" i="44" s="1"/>
  <c r="I41" i="44"/>
  <c r="J74" i="25" s="1"/>
  <c r="G41" i="44"/>
  <c r="H74" i="25" s="1"/>
  <c r="L94" i="44"/>
  <c r="F41" i="44"/>
  <c r="G74" i="25" s="1"/>
  <c r="F39" i="44"/>
  <c r="G72" i="25" s="1"/>
  <c r="B12" i="43"/>
  <c r="C12" i="43" s="1"/>
  <c r="C246" i="43" s="1"/>
  <c r="F29" i="44"/>
  <c r="G40" i="44" s="1"/>
  <c r="E28" i="44"/>
  <c r="E27" i="44"/>
  <c r="E30" i="44"/>
  <c r="E31" i="44"/>
  <c r="I74" i="25"/>
  <c r="G61" i="44"/>
  <c r="F31" i="44" s="1"/>
  <c r="I40" i="44" s="1"/>
  <c r="F30" i="44"/>
  <c r="H40" i="44" s="1"/>
  <c r="M98" i="44"/>
  <c r="G57" i="44" s="1"/>
  <c r="L98" i="44"/>
  <c r="F28" i="44"/>
  <c r="E29" i="44"/>
  <c r="K95" i="44"/>
  <c r="F42" i="44"/>
  <c r="G75" i="25" s="1"/>
  <c r="H75" i="25"/>
  <c r="J75" i="25"/>
  <c r="I75" i="25"/>
  <c r="B13" i="44"/>
  <c r="C13" i="44" s="1"/>
  <c r="C111" i="44" s="1"/>
  <c r="C91" i="44"/>
  <c r="I39" i="44" l="1"/>
  <c r="J72" i="25" s="1"/>
  <c r="G39" i="44"/>
  <c r="H72" i="25" s="1"/>
  <c r="H39" i="44"/>
  <c r="I72" i="25" s="1"/>
  <c r="F27" i="44"/>
  <c r="G73" i="25"/>
  <c r="H73" i="25"/>
  <c r="J73" i="25"/>
  <c r="I73" i="25"/>
  <c r="F66" i="40"/>
  <c r="G66" i="40"/>
  <c r="H66" i="40"/>
  <c r="I66" i="40"/>
  <c r="J66" i="40"/>
  <c r="K66" i="40"/>
  <c r="L66" i="40"/>
  <c r="M66" i="40"/>
  <c r="N66" i="40"/>
  <c r="O66" i="40"/>
  <c r="P66" i="40"/>
  <c r="Q66" i="40"/>
  <c r="R66" i="40"/>
  <c r="S66" i="40"/>
  <c r="T66" i="40"/>
  <c r="U66" i="40"/>
  <c r="F67" i="40"/>
  <c r="G67" i="40"/>
  <c r="H67" i="40"/>
  <c r="I67" i="40"/>
  <c r="J67" i="40"/>
  <c r="K67" i="40"/>
  <c r="L67" i="40"/>
  <c r="M67" i="40"/>
  <c r="N67" i="40"/>
  <c r="O67" i="40"/>
  <c r="P67" i="40"/>
  <c r="Q67" i="40"/>
  <c r="R67" i="40"/>
  <c r="S67" i="40"/>
  <c r="T67" i="40"/>
  <c r="U67" i="40"/>
  <c r="F68" i="40"/>
  <c r="G68" i="40"/>
  <c r="H68" i="40"/>
  <c r="I68" i="40"/>
  <c r="J68" i="40"/>
  <c r="K68" i="40"/>
  <c r="L68" i="40"/>
  <c r="M68" i="40"/>
  <c r="N68" i="40"/>
  <c r="O68" i="40"/>
  <c r="P68" i="40"/>
  <c r="Q68" i="40"/>
  <c r="R68" i="40"/>
  <c r="S68" i="40"/>
  <c r="T68" i="40"/>
  <c r="U68" i="40"/>
  <c r="C69" i="40"/>
  <c r="D69" i="40"/>
  <c r="C70" i="40"/>
  <c r="D70" i="40"/>
  <c r="C71" i="40"/>
  <c r="D71" i="40"/>
  <c r="C72" i="40"/>
  <c r="D72" i="40"/>
  <c r="D73" i="40"/>
  <c r="D74" i="40"/>
  <c r="D75" i="40"/>
  <c r="D76" i="40"/>
  <c r="D77" i="40"/>
  <c r="D78" i="40"/>
  <c r="D79" i="40"/>
  <c r="D80" i="40"/>
  <c r="D81" i="40"/>
  <c r="D82" i="40"/>
  <c r="D83" i="40"/>
  <c r="D84" i="40"/>
  <c r="D85" i="40"/>
  <c r="D86" i="40"/>
  <c r="D87" i="40"/>
  <c r="D88" i="40"/>
  <c r="C101" i="40"/>
  <c r="C102" i="40"/>
  <c r="C103" i="40"/>
  <c r="C104" i="40"/>
  <c r="C105" i="40"/>
  <c r="C106" i="40"/>
  <c r="D106" i="40"/>
  <c r="E106" i="40"/>
  <c r="C107" i="40"/>
  <c r="D107" i="40"/>
  <c r="E107" i="40"/>
  <c r="C108" i="40"/>
  <c r="D108" i="40"/>
  <c r="E108" i="40"/>
  <c r="C109" i="40"/>
  <c r="D109" i="40"/>
  <c r="E109" i="40"/>
  <c r="C110" i="40"/>
  <c r="C111" i="40"/>
  <c r="D111" i="40"/>
  <c r="E111" i="40"/>
  <c r="C112" i="40"/>
  <c r="D112" i="40"/>
  <c r="E112" i="40"/>
  <c r="C113" i="40"/>
  <c r="D113" i="40"/>
  <c r="E113" i="40"/>
  <c r="C114" i="40"/>
  <c r="D114" i="40"/>
  <c r="E114" i="40"/>
  <c r="C115" i="40"/>
  <c r="C116" i="40"/>
  <c r="D116" i="40"/>
  <c r="E116" i="40"/>
  <c r="C117" i="40"/>
  <c r="D117" i="40"/>
  <c r="E117" i="40"/>
  <c r="C118" i="40"/>
  <c r="D118" i="40"/>
  <c r="E118" i="40"/>
  <c r="C119" i="40"/>
  <c r="D119" i="40"/>
  <c r="E119" i="40"/>
  <c r="C120" i="40"/>
  <c r="C121" i="40"/>
  <c r="D121" i="40"/>
  <c r="E121" i="40"/>
  <c r="C122" i="40"/>
  <c r="D122" i="40"/>
  <c r="E122" i="40"/>
  <c r="C123" i="40"/>
  <c r="D123" i="40"/>
  <c r="E123" i="40"/>
  <c r="C124" i="40"/>
  <c r="D124" i="40"/>
  <c r="E124" i="40"/>
  <c r="C125" i="40"/>
  <c r="C126" i="40"/>
  <c r="E126" i="40"/>
  <c r="C127" i="40"/>
  <c r="E127" i="40"/>
  <c r="C128" i="40"/>
  <c r="E128" i="40"/>
  <c r="C129" i="40"/>
  <c r="E129" i="40"/>
  <c r="C131" i="40"/>
  <c r="C132" i="40"/>
  <c r="C73" i="40" s="1"/>
  <c r="D132" i="40"/>
  <c r="E132" i="40"/>
  <c r="C133" i="40"/>
  <c r="C74" i="40" s="1"/>
  <c r="D133" i="40"/>
  <c r="E133" i="40"/>
  <c r="C134" i="40"/>
  <c r="C75" i="40" s="1"/>
  <c r="D134" i="40"/>
  <c r="E134" i="40"/>
  <c r="C135" i="40"/>
  <c r="C76" i="40" s="1"/>
  <c r="D135" i="40"/>
  <c r="E135" i="40"/>
  <c r="C136" i="40"/>
  <c r="C137" i="40"/>
  <c r="D137" i="40"/>
  <c r="E137" i="40"/>
  <c r="C138" i="40"/>
  <c r="D138" i="40"/>
  <c r="E138" i="40"/>
  <c r="C139" i="40"/>
  <c r="D139" i="40"/>
  <c r="E139" i="40"/>
  <c r="C140" i="40"/>
  <c r="D140" i="40"/>
  <c r="E140" i="40"/>
  <c r="C141" i="40"/>
  <c r="C142" i="40"/>
  <c r="D142" i="40"/>
  <c r="E142" i="40"/>
  <c r="C143" i="40"/>
  <c r="D143" i="40"/>
  <c r="E143" i="40"/>
  <c r="C144" i="40"/>
  <c r="D144" i="40"/>
  <c r="E144" i="40"/>
  <c r="C145" i="40"/>
  <c r="D145" i="40"/>
  <c r="E145" i="40"/>
  <c r="C147" i="40"/>
  <c r="C148" i="40"/>
  <c r="C77" i="40" s="1"/>
  <c r="D148" i="40"/>
  <c r="E148" i="40"/>
  <c r="C149" i="40"/>
  <c r="C78" i="40" s="1"/>
  <c r="D149" i="40"/>
  <c r="E149" i="40"/>
  <c r="C150" i="40"/>
  <c r="C79" i="40" s="1"/>
  <c r="D150" i="40"/>
  <c r="E150" i="40"/>
  <c r="C151" i="40"/>
  <c r="C80" i="40" s="1"/>
  <c r="D151" i="40"/>
  <c r="E151" i="40"/>
  <c r="C152" i="40"/>
  <c r="C153" i="40"/>
  <c r="D153" i="40"/>
  <c r="E153" i="40"/>
  <c r="C154" i="40"/>
  <c r="D154" i="40"/>
  <c r="E154" i="40"/>
  <c r="C155" i="40"/>
  <c r="D155" i="40"/>
  <c r="E155" i="40"/>
  <c r="C156" i="40"/>
  <c r="D156" i="40"/>
  <c r="E156" i="40"/>
  <c r="C157" i="40"/>
  <c r="C158" i="40"/>
  <c r="D158" i="40"/>
  <c r="E158" i="40"/>
  <c r="C159" i="40"/>
  <c r="D159" i="40"/>
  <c r="E159" i="40"/>
  <c r="C160" i="40"/>
  <c r="D160" i="40"/>
  <c r="E160" i="40"/>
  <c r="C161" i="40"/>
  <c r="D161" i="40"/>
  <c r="E161" i="40"/>
  <c r="C163" i="40"/>
  <c r="C164" i="40"/>
  <c r="C81" i="40" s="1"/>
  <c r="D164" i="40"/>
  <c r="E164" i="40"/>
  <c r="C165" i="40"/>
  <c r="C82" i="40" s="1"/>
  <c r="D165" i="40"/>
  <c r="E165" i="40"/>
  <c r="C166" i="40"/>
  <c r="C83" i="40" s="1"/>
  <c r="D166" i="40"/>
  <c r="E166" i="40"/>
  <c r="C167" i="40"/>
  <c r="C84" i="40" s="1"/>
  <c r="D167" i="40"/>
  <c r="E167" i="40"/>
  <c r="C168" i="40"/>
  <c r="C169" i="40"/>
  <c r="D169" i="40"/>
  <c r="E169" i="40"/>
  <c r="C170" i="40"/>
  <c r="D170" i="40"/>
  <c r="E170" i="40"/>
  <c r="C171" i="40"/>
  <c r="D171" i="40"/>
  <c r="E171" i="40"/>
  <c r="C172" i="40"/>
  <c r="D172" i="40"/>
  <c r="E172" i="40"/>
  <c r="C173" i="40"/>
  <c r="C174" i="40"/>
  <c r="D174" i="40"/>
  <c r="E174" i="40"/>
  <c r="C175" i="40"/>
  <c r="D175" i="40"/>
  <c r="E175" i="40"/>
  <c r="C176" i="40"/>
  <c r="D176" i="40"/>
  <c r="E176" i="40"/>
  <c r="C177" i="40"/>
  <c r="D177" i="40"/>
  <c r="E177" i="40"/>
  <c r="C179" i="40"/>
  <c r="C180" i="40"/>
  <c r="C85" i="40" s="1"/>
  <c r="D180" i="40"/>
  <c r="E180" i="40"/>
  <c r="C181" i="40"/>
  <c r="C86" i="40" s="1"/>
  <c r="D181" i="40"/>
  <c r="E181" i="40"/>
  <c r="C182" i="40"/>
  <c r="C87" i="40" s="1"/>
  <c r="D182" i="40"/>
  <c r="E182" i="40"/>
  <c r="C183" i="40"/>
  <c r="C88" i="40" s="1"/>
  <c r="D183" i="40"/>
  <c r="E183" i="40"/>
  <c r="C184" i="40"/>
  <c r="C185" i="40"/>
  <c r="D185" i="40"/>
  <c r="E185" i="40"/>
  <c r="C186" i="40"/>
  <c r="D186" i="40"/>
  <c r="E186" i="40"/>
  <c r="C187" i="40"/>
  <c r="D187" i="40"/>
  <c r="E187" i="40"/>
  <c r="C188" i="40"/>
  <c r="D188" i="40"/>
  <c r="E188" i="40"/>
  <c r="C189" i="40"/>
  <c r="C190" i="40"/>
  <c r="D190" i="40"/>
  <c r="E190" i="40"/>
  <c r="C191" i="40"/>
  <c r="D191" i="40"/>
  <c r="E191" i="40"/>
  <c r="C192" i="40"/>
  <c r="D192" i="40"/>
  <c r="E192" i="40"/>
  <c r="C193" i="40"/>
  <c r="D193" i="40"/>
  <c r="E193" i="40"/>
  <c r="C195" i="40"/>
  <c r="C196" i="40"/>
  <c r="E196" i="40"/>
  <c r="C197" i="40"/>
  <c r="E197" i="40"/>
  <c r="C198" i="40"/>
  <c r="E198" i="40"/>
  <c r="C199" i="40"/>
  <c r="E199" i="40"/>
  <c r="C200" i="40"/>
  <c r="C201" i="40"/>
  <c r="E201" i="40"/>
  <c r="C202" i="40"/>
  <c r="E202" i="40"/>
  <c r="C203" i="40"/>
  <c r="E203" i="40"/>
  <c r="C204" i="40"/>
  <c r="E204" i="40"/>
  <c r="C205" i="40"/>
  <c r="C206" i="40"/>
  <c r="E206" i="40"/>
  <c r="C207" i="40"/>
  <c r="E207" i="40"/>
  <c r="C208" i="40"/>
  <c r="E208" i="40"/>
  <c r="C209" i="40"/>
  <c r="E209" i="40"/>
  <c r="E52" i="40"/>
  <c r="E53" i="40" s="1"/>
  <c r="E54" i="40" s="1"/>
  <c r="E55" i="40" s="1"/>
  <c r="E46" i="40"/>
  <c r="E47" i="40" s="1"/>
  <c r="E43" i="40"/>
  <c r="F43" i="40" s="1"/>
  <c r="E42" i="40"/>
  <c r="F42" i="40" s="1"/>
  <c r="E41" i="40"/>
  <c r="F41" i="40" s="1"/>
  <c r="E40" i="40"/>
  <c r="F40" i="40" s="1"/>
  <c r="E33" i="40"/>
  <c r="F33" i="40" s="1"/>
  <c r="G33" i="40" s="1"/>
  <c r="C33" i="40"/>
  <c r="E32" i="40"/>
  <c r="F32" i="40" s="1"/>
  <c r="G32" i="40" s="1"/>
  <c r="C32" i="40"/>
  <c r="E31" i="40"/>
  <c r="F31" i="40" s="1"/>
  <c r="G31" i="40" s="1"/>
  <c r="C31" i="40"/>
  <c r="E30" i="40"/>
  <c r="F30" i="40" s="1"/>
  <c r="C30" i="40"/>
  <c r="C29" i="40"/>
  <c r="B9" i="40"/>
  <c r="C9" i="40" s="1"/>
  <c r="C37" i="40" s="1"/>
  <c r="C8" i="40"/>
  <c r="C22" i="40" s="1"/>
  <c r="C1" i="27"/>
  <c r="I217" i="40" l="1"/>
  <c r="G217" i="40"/>
  <c r="S218" i="40"/>
  <c r="F217" i="40"/>
  <c r="H217" i="40"/>
  <c r="D287" i="40" s="1"/>
  <c r="R217" i="40"/>
  <c r="F218" i="40"/>
  <c r="H219" i="40"/>
  <c r="I219" i="40"/>
  <c r="K220" i="40"/>
  <c r="R251" i="40"/>
  <c r="O251" i="40"/>
  <c r="T218" i="40"/>
  <c r="S217" i="40"/>
  <c r="G219" i="40"/>
  <c r="M218" i="40"/>
  <c r="N217" i="40"/>
  <c r="P217" i="40"/>
  <c r="T220" i="40"/>
  <c r="N218" i="40"/>
  <c r="P219" i="40"/>
  <c r="Q219" i="40"/>
  <c r="S220" i="40"/>
  <c r="K251" i="40"/>
  <c r="G220" i="40"/>
  <c r="N251" i="40"/>
  <c r="R218" i="40"/>
  <c r="N219" i="40"/>
  <c r="E287" i="40" s="1"/>
  <c r="Q218" i="40"/>
  <c r="L251" i="40"/>
  <c r="M254" i="40"/>
  <c r="L220" i="40"/>
  <c r="M220" i="40"/>
  <c r="M217" i="40"/>
  <c r="L219" i="40"/>
  <c r="K218" i="40"/>
  <c r="O219" i="40"/>
  <c r="I220" i="40"/>
  <c r="J220" i="40"/>
  <c r="F219" i="40"/>
  <c r="Q251" i="40"/>
  <c r="S251" i="40"/>
  <c r="M251" i="40"/>
  <c r="K217" i="40"/>
  <c r="I218" i="40"/>
  <c r="J251" i="40"/>
  <c r="M219" i="40"/>
  <c r="K219" i="40"/>
  <c r="S254" i="40"/>
  <c r="R219" i="40"/>
  <c r="T219" i="40"/>
  <c r="O217" i="40"/>
  <c r="J217" i="40"/>
  <c r="L218" i="40"/>
  <c r="H220" i="40"/>
  <c r="Q220" i="40"/>
  <c r="R220" i="40"/>
  <c r="O220" i="40"/>
  <c r="H251" i="40"/>
  <c r="D288" i="40" s="1"/>
  <c r="Q217" i="40"/>
  <c r="P220" i="40"/>
  <c r="J218" i="40"/>
  <c r="P251" i="40"/>
  <c r="G251" i="40"/>
  <c r="T251" i="40"/>
  <c r="L217" i="40"/>
  <c r="F220" i="40"/>
  <c r="G218" i="40"/>
  <c r="H218" i="40"/>
  <c r="J219" i="40"/>
  <c r="S219" i="40"/>
  <c r="I251" i="40"/>
  <c r="F251" i="40"/>
  <c r="T217" i="40"/>
  <c r="N220" i="40"/>
  <c r="O218" i="40"/>
  <c r="P218" i="40"/>
  <c r="K254" i="40"/>
  <c r="F223" i="40"/>
  <c r="F287" i="40" s="1"/>
  <c r="T228" i="40"/>
  <c r="H228" i="40"/>
  <c r="I225" i="40"/>
  <c r="T225" i="40"/>
  <c r="H227" i="40"/>
  <c r="N227" i="40"/>
  <c r="F226" i="40"/>
  <c r="K226" i="40"/>
  <c r="F221" i="40"/>
  <c r="H221" i="40"/>
  <c r="F224" i="40"/>
  <c r="Q224" i="40"/>
  <c r="F252" i="40"/>
  <c r="Q252" i="40"/>
  <c r="I254" i="40"/>
  <c r="J257" i="40"/>
  <c r="F257" i="40"/>
  <c r="F288" i="40" s="1"/>
  <c r="F253" i="40"/>
  <c r="P253" i="40"/>
  <c r="F261" i="40"/>
  <c r="P261" i="40"/>
  <c r="T262" i="40"/>
  <c r="Q262" i="40"/>
  <c r="O260" i="40"/>
  <c r="J260" i="40"/>
  <c r="N228" i="40"/>
  <c r="R226" i="40"/>
  <c r="L224" i="40"/>
  <c r="G253" i="40"/>
  <c r="J262" i="40"/>
  <c r="G223" i="40"/>
  <c r="S227" i="40"/>
  <c r="G224" i="40"/>
  <c r="O257" i="40"/>
  <c r="R262" i="40"/>
  <c r="N223" i="40"/>
  <c r="K227" i="40"/>
  <c r="I221" i="40"/>
  <c r="O254" i="40"/>
  <c r="I261" i="40"/>
  <c r="P223" i="40"/>
  <c r="T223" i="40"/>
  <c r="L228" i="40"/>
  <c r="P228" i="40"/>
  <c r="P225" i="40"/>
  <c r="L225" i="40"/>
  <c r="O227" i="40"/>
  <c r="F227" i="40"/>
  <c r="Q226" i="40"/>
  <c r="T226" i="40"/>
  <c r="S221" i="40"/>
  <c r="O221" i="40"/>
  <c r="M224" i="40"/>
  <c r="I224" i="40"/>
  <c r="L252" i="40"/>
  <c r="T254" i="40"/>
  <c r="Q257" i="40"/>
  <c r="L257" i="40"/>
  <c r="M253" i="40"/>
  <c r="J253" i="40"/>
  <c r="S261" i="40"/>
  <c r="H261" i="40"/>
  <c r="L262" i="40"/>
  <c r="O262" i="40"/>
  <c r="G260" i="40"/>
  <c r="S260" i="40"/>
  <c r="K260" i="40"/>
  <c r="Q223" i="40"/>
  <c r="O226" i="40"/>
  <c r="G252" i="40"/>
  <c r="H257" i="40"/>
  <c r="F262" i="40"/>
  <c r="M260" i="40"/>
  <c r="J228" i="40"/>
  <c r="J226" i="40"/>
  <c r="R224" i="40"/>
  <c r="K257" i="40"/>
  <c r="Q253" i="40"/>
  <c r="P260" i="40"/>
  <c r="J223" i="40"/>
  <c r="G227" i="40"/>
  <c r="N224" i="40"/>
  <c r="M257" i="40"/>
  <c r="M262" i="40"/>
  <c r="R260" i="40"/>
  <c r="H223" i="40"/>
  <c r="S223" i="40"/>
  <c r="I228" i="40"/>
  <c r="O228" i="40"/>
  <c r="H225" i="40"/>
  <c r="S225" i="40"/>
  <c r="R227" i="40"/>
  <c r="T227" i="40"/>
  <c r="I226" i="40"/>
  <c r="S226" i="40"/>
  <c r="K221" i="40"/>
  <c r="G221" i="40"/>
  <c r="S224" i="40"/>
  <c r="P252" i="40"/>
  <c r="M252" i="40"/>
  <c r="F254" i="40"/>
  <c r="I257" i="40"/>
  <c r="N257" i="40"/>
  <c r="S253" i="40"/>
  <c r="R253" i="40"/>
  <c r="M261" i="40"/>
  <c r="R261" i="40"/>
  <c r="I262" i="40"/>
  <c r="N260" i="40"/>
  <c r="K262" i="40"/>
  <c r="R228" i="40"/>
  <c r="I227" i="40"/>
  <c r="O224" i="40"/>
  <c r="S257" i="40"/>
  <c r="I260" i="40"/>
  <c r="M228" i="40"/>
  <c r="N226" i="40"/>
  <c r="T252" i="40"/>
  <c r="K261" i="40"/>
  <c r="L260" i="40"/>
  <c r="N225" i="40"/>
  <c r="L221" i="40"/>
  <c r="S252" i="40"/>
  <c r="I253" i="40"/>
  <c r="H260" i="40"/>
  <c r="M223" i="40"/>
  <c r="K223" i="40"/>
  <c r="S228" i="40"/>
  <c r="G228" i="40"/>
  <c r="O225" i="40"/>
  <c r="R225" i="40"/>
  <c r="J227" i="40"/>
  <c r="M227" i="40"/>
  <c r="P226" i="40"/>
  <c r="L226" i="40"/>
  <c r="P221" i="40"/>
  <c r="P224" i="40"/>
  <c r="K224" i="40"/>
  <c r="H252" i="40"/>
  <c r="R252" i="40"/>
  <c r="R254" i="40"/>
  <c r="L254" i="40"/>
  <c r="G257" i="40"/>
  <c r="T257" i="40"/>
  <c r="T253" i="40"/>
  <c r="H253" i="40"/>
  <c r="T261" i="40"/>
  <c r="J261" i="40"/>
  <c r="S262" i="40"/>
  <c r="G262" i="40"/>
  <c r="F260" i="40"/>
  <c r="Q260" i="40"/>
  <c r="P254" i="40"/>
  <c r="O223" i="40"/>
  <c r="N221" i="40"/>
  <c r="I252" i="40"/>
  <c r="M225" i="40"/>
  <c r="T221" i="40"/>
  <c r="Q254" i="40"/>
  <c r="Q261" i="40"/>
  <c r="N254" i="40"/>
  <c r="Q225" i="40"/>
  <c r="M226" i="40"/>
  <c r="N252" i="40"/>
  <c r="N253" i="40"/>
  <c r="E288" i="40" s="1"/>
  <c r="H262" i="40"/>
  <c r="L223" i="40"/>
  <c r="R223" i="40"/>
  <c r="K228" i="40"/>
  <c r="F228" i="40"/>
  <c r="G225" i="40"/>
  <c r="K225" i="40"/>
  <c r="Q227" i="40"/>
  <c r="L227" i="40"/>
  <c r="H226" i="40"/>
  <c r="M221" i="40"/>
  <c r="R221" i="40"/>
  <c r="H224" i="40"/>
  <c r="T224" i="40"/>
  <c r="O252" i="40"/>
  <c r="J252" i="40"/>
  <c r="J254" i="40"/>
  <c r="P257" i="40"/>
  <c r="O253" i="40"/>
  <c r="L253" i="40"/>
  <c r="O261" i="40"/>
  <c r="L261" i="40"/>
  <c r="N262" i="40"/>
  <c r="T260" i="40"/>
  <c r="F225" i="40"/>
  <c r="J225" i="40"/>
  <c r="J221" i="40"/>
  <c r="G254" i="40"/>
  <c r="G261" i="40"/>
  <c r="H254" i="40"/>
  <c r="I223" i="40"/>
  <c r="P227" i="40"/>
  <c r="Q221" i="40"/>
  <c r="K252" i="40"/>
  <c r="K253" i="40"/>
  <c r="P262" i="40"/>
  <c r="Q228" i="40"/>
  <c r="G226" i="40"/>
  <c r="J224" i="40"/>
  <c r="R257" i="40"/>
  <c r="N261" i="40"/>
  <c r="N231" i="40"/>
  <c r="R231" i="40"/>
  <c r="J229" i="40"/>
  <c r="G287" i="40" s="1"/>
  <c r="G300" i="40" s="1"/>
  <c r="P229" i="40"/>
  <c r="M234" i="40"/>
  <c r="L234" i="40"/>
  <c r="S232" i="40"/>
  <c r="Q232" i="40"/>
  <c r="G233" i="40"/>
  <c r="I233" i="40"/>
  <c r="S230" i="40"/>
  <c r="O230" i="40"/>
  <c r="G222" i="40"/>
  <c r="O222" i="40"/>
  <c r="N267" i="40"/>
  <c r="L267" i="40"/>
  <c r="N259" i="40"/>
  <c r="L259" i="40"/>
  <c r="R263" i="40"/>
  <c r="H263" i="40"/>
  <c r="N258" i="40"/>
  <c r="K258" i="40"/>
  <c r="N266" i="40"/>
  <c r="S266" i="40"/>
  <c r="M268" i="40"/>
  <c r="S268" i="40"/>
  <c r="O255" i="40"/>
  <c r="H255" i="40"/>
  <c r="L229" i="40"/>
  <c r="R234" i="40"/>
  <c r="T233" i="40"/>
  <c r="I230" i="40"/>
  <c r="P267" i="40"/>
  <c r="S259" i="40"/>
  <c r="Q258" i="40"/>
  <c r="T258" i="40"/>
  <c r="O268" i="40"/>
  <c r="F255" i="40"/>
  <c r="M267" i="40"/>
  <c r="F234" i="40"/>
  <c r="T230" i="40"/>
  <c r="O259" i="40"/>
  <c r="R255" i="40"/>
  <c r="Q229" i="40"/>
  <c r="O233" i="40"/>
  <c r="L222" i="40"/>
  <c r="J259" i="40"/>
  <c r="M266" i="40"/>
  <c r="Q255" i="40"/>
  <c r="F231" i="40"/>
  <c r="Q231" i="40"/>
  <c r="I229" i="40"/>
  <c r="H229" i="40"/>
  <c r="P234" i="40"/>
  <c r="S234" i="40"/>
  <c r="N232" i="40"/>
  <c r="I232" i="40"/>
  <c r="N233" i="40"/>
  <c r="Q233" i="40"/>
  <c r="K230" i="40"/>
  <c r="G230" i="40"/>
  <c r="S222" i="40"/>
  <c r="Q267" i="40"/>
  <c r="F267" i="40"/>
  <c r="Q259" i="40"/>
  <c r="F259" i="40"/>
  <c r="M263" i="40"/>
  <c r="J263" i="40"/>
  <c r="G288" i="40" s="1"/>
  <c r="R258" i="40"/>
  <c r="O258" i="40"/>
  <c r="R266" i="40"/>
  <c r="O266" i="40"/>
  <c r="P268" i="40"/>
  <c r="T268" i="40"/>
  <c r="L255" i="40"/>
  <c r="J231" i="40"/>
  <c r="G229" i="40"/>
  <c r="M232" i="40"/>
  <c r="N230" i="40"/>
  <c r="Q222" i="40"/>
  <c r="P259" i="40"/>
  <c r="O263" i="40"/>
  <c r="T266" i="40"/>
  <c r="P255" i="40"/>
  <c r="T267" i="40"/>
  <c r="F258" i="40"/>
  <c r="N268" i="40"/>
  <c r="J255" i="40"/>
  <c r="L231" i="40"/>
  <c r="R232" i="40"/>
  <c r="P230" i="40"/>
  <c r="R267" i="40"/>
  <c r="F263" i="40"/>
  <c r="F268" i="40"/>
  <c r="T234" i="40"/>
  <c r="H230" i="40"/>
  <c r="G259" i="40"/>
  <c r="M258" i="40"/>
  <c r="T255" i="40"/>
  <c r="K231" i="40"/>
  <c r="I231" i="40"/>
  <c r="T229" i="40"/>
  <c r="O229" i="40"/>
  <c r="H234" i="40"/>
  <c r="K234" i="40"/>
  <c r="F232" i="40"/>
  <c r="P232" i="40"/>
  <c r="F233" i="40"/>
  <c r="R233" i="40"/>
  <c r="Q230" i="40"/>
  <c r="N222" i="40"/>
  <c r="K222" i="40"/>
  <c r="I267" i="40"/>
  <c r="I259" i="40"/>
  <c r="T263" i="40"/>
  <c r="I263" i="40"/>
  <c r="J258" i="40"/>
  <c r="G258" i="40"/>
  <c r="J266" i="40"/>
  <c r="G266" i="40"/>
  <c r="H268" i="40"/>
  <c r="R268" i="40"/>
  <c r="N255" i="40"/>
  <c r="G255" i="40"/>
  <c r="H231" i="40"/>
  <c r="O234" i="40"/>
  <c r="H232" i="40"/>
  <c r="F222" i="40"/>
  <c r="S267" i="40"/>
  <c r="L263" i="40"/>
  <c r="F266" i="40"/>
  <c r="J268" i="40"/>
  <c r="T259" i="40"/>
  <c r="I266" i="40"/>
  <c r="K255" i="40"/>
  <c r="R229" i="40"/>
  <c r="M233" i="40"/>
  <c r="P222" i="40"/>
  <c r="S263" i="40"/>
  <c r="P266" i="40"/>
  <c r="S255" i="40"/>
  <c r="I234" i="40"/>
  <c r="L230" i="40"/>
  <c r="J267" i="40"/>
  <c r="P263" i="40"/>
  <c r="Q234" i="40"/>
  <c r="T222" i="40"/>
  <c r="R259" i="40"/>
  <c r="K266" i="40"/>
  <c r="M229" i="40"/>
  <c r="J232" i="40"/>
  <c r="H222" i="40"/>
  <c r="K263" i="40"/>
  <c r="H266" i="40"/>
  <c r="M231" i="40"/>
  <c r="G231" i="40"/>
  <c r="S229" i="40"/>
  <c r="N229" i="40"/>
  <c r="G234" i="40"/>
  <c r="J234" i="40"/>
  <c r="T232" i="40"/>
  <c r="P233" i="40"/>
  <c r="L233" i="40"/>
  <c r="F230" i="40"/>
  <c r="R230" i="40"/>
  <c r="M222" i="40"/>
  <c r="R222" i="40"/>
  <c r="H267" i="40"/>
  <c r="K267" i="40"/>
  <c r="H259" i="40"/>
  <c r="K259" i="40"/>
  <c r="Q263" i="40"/>
  <c r="G263" i="40"/>
  <c r="I258" i="40"/>
  <c r="L258" i="40"/>
  <c r="Q266" i="40"/>
  <c r="L266" i="40"/>
  <c r="G268" i="40"/>
  <c r="I268" i="40"/>
  <c r="I255" i="40"/>
  <c r="M255" i="40"/>
  <c r="T231" i="40"/>
  <c r="O231" i="40"/>
  <c r="K229" i="40"/>
  <c r="F229" i="40"/>
  <c r="N234" i="40"/>
  <c r="O232" i="40"/>
  <c r="K232" i="40"/>
  <c r="H233" i="40"/>
  <c r="S233" i="40"/>
  <c r="M230" i="40"/>
  <c r="J230" i="40"/>
  <c r="I222" i="40"/>
  <c r="J222" i="40"/>
  <c r="M259" i="40"/>
  <c r="N263" i="40"/>
  <c r="S258" i="40"/>
  <c r="K268" i="40"/>
  <c r="P231" i="40"/>
  <c r="H287" i="40" s="1"/>
  <c r="G232" i="40"/>
  <c r="K233" i="40"/>
  <c r="O267" i="40"/>
  <c r="P258" i="40"/>
  <c r="Q268" i="40"/>
  <c r="S231" i="40"/>
  <c r="L232" i="40"/>
  <c r="J233" i="40"/>
  <c r="G267" i="40"/>
  <c r="H258" i="40"/>
  <c r="L268" i="40"/>
  <c r="S237" i="40"/>
  <c r="H237" i="40"/>
  <c r="L238" i="40"/>
  <c r="N238" i="40"/>
  <c r="G235" i="40"/>
  <c r="O235" i="40"/>
  <c r="J240" i="40"/>
  <c r="Q240" i="40"/>
  <c r="L239" i="40"/>
  <c r="H239" i="40"/>
  <c r="J236" i="40"/>
  <c r="F236" i="40"/>
  <c r="H274" i="40"/>
  <c r="K274" i="40"/>
  <c r="R272" i="40"/>
  <c r="O272" i="40"/>
  <c r="S269" i="40"/>
  <c r="J269" i="40"/>
  <c r="R264" i="40"/>
  <c r="O264" i="40"/>
  <c r="Q265" i="40"/>
  <c r="N265" i="40"/>
  <c r="Q273" i="40"/>
  <c r="F273" i="40"/>
  <c r="I256" i="40"/>
  <c r="G256" i="40"/>
  <c r="K238" i="40"/>
  <c r="M239" i="40"/>
  <c r="F274" i="40"/>
  <c r="Q269" i="40"/>
  <c r="K273" i="40"/>
  <c r="R239" i="40"/>
  <c r="L274" i="40"/>
  <c r="F269" i="40"/>
  <c r="R265" i="40"/>
  <c r="T256" i="40"/>
  <c r="T237" i="40"/>
  <c r="T235" i="40"/>
  <c r="G239" i="40"/>
  <c r="S272" i="40"/>
  <c r="F264" i="40"/>
  <c r="Q256" i="40"/>
  <c r="T238" i="40"/>
  <c r="H240" i="40"/>
  <c r="P274" i="40"/>
  <c r="P269" i="40"/>
  <c r="T265" i="40"/>
  <c r="P256" i="40"/>
  <c r="K237" i="40"/>
  <c r="G237" i="40"/>
  <c r="Q238" i="40"/>
  <c r="F238" i="40"/>
  <c r="N235" i="40"/>
  <c r="F235" i="40"/>
  <c r="M240" i="40"/>
  <c r="I240" i="40"/>
  <c r="S239" i="40"/>
  <c r="F239" i="40"/>
  <c r="Q236" i="40"/>
  <c r="M236" i="40"/>
  <c r="N274" i="40"/>
  <c r="M274" i="40"/>
  <c r="J272" i="40"/>
  <c r="G272" i="40"/>
  <c r="T269" i="40"/>
  <c r="H269" i="40"/>
  <c r="J264" i="40"/>
  <c r="G264" i="40"/>
  <c r="I265" i="40"/>
  <c r="L265" i="40"/>
  <c r="I273" i="40"/>
  <c r="N273" i="40"/>
  <c r="H256" i="40"/>
  <c r="G238" i="40"/>
  <c r="K235" i="40"/>
  <c r="I239" i="40"/>
  <c r="T274" i="40"/>
  <c r="N269" i="40"/>
  <c r="K265" i="40"/>
  <c r="N256" i="40"/>
  <c r="R238" i="40"/>
  <c r="N240" i="40"/>
  <c r="S236" i="40"/>
  <c r="N272" i="40"/>
  <c r="N264" i="40"/>
  <c r="M273" i="40"/>
  <c r="Q237" i="40"/>
  <c r="F240" i="40"/>
  <c r="H236" i="40"/>
  <c r="K269" i="40"/>
  <c r="J265" i="40"/>
  <c r="T273" i="40"/>
  <c r="I237" i="40"/>
  <c r="J287" i="40" s="1"/>
  <c r="L235" i="40"/>
  <c r="P239" i="40"/>
  <c r="K272" i="40"/>
  <c r="K264" i="40"/>
  <c r="O273" i="40"/>
  <c r="P237" i="40"/>
  <c r="M237" i="40"/>
  <c r="P238" i="40"/>
  <c r="H238" i="40"/>
  <c r="Q235" i="40"/>
  <c r="M235" i="40"/>
  <c r="T240" i="40"/>
  <c r="O240" i="40"/>
  <c r="K239" i="40"/>
  <c r="N239" i="40"/>
  <c r="I236" i="40"/>
  <c r="R274" i="40"/>
  <c r="O274" i="40"/>
  <c r="T272" i="40"/>
  <c r="P272" i="40"/>
  <c r="O269" i="40"/>
  <c r="L269" i="40"/>
  <c r="T264" i="40"/>
  <c r="H264" i="40"/>
  <c r="P265" i="40"/>
  <c r="H288" i="40" s="1"/>
  <c r="P273" i="40"/>
  <c r="J256" i="40"/>
  <c r="F256" i="40"/>
  <c r="F237" i="40"/>
  <c r="P235" i="40"/>
  <c r="L236" i="40"/>
  <c r="H272" i="40"/>
  <c r="P264" i="40"/>
  <c r="G265" i="40"/>
  <c r="R256" i="40"/>
  <c r="J237" i="40"/>
  <c r="M238" i="40"/>
  <c r="R240" i="40"/>
  <c r="P236" i="40"/>
  <c r="R273" i="40"/>
  <c r="J238" i="40"/>
  <c r="P240" i="40"/>
  <c r="K236" i="40"/>
  <c r="R269" i="40"/>
  <c r="J273" i="40"/>
  <c r="J235" i="40"/>
  <c r="T239" i="40"/>
  <c r="N236" i="40"/>
  <c r="M272" i="40"/>
  <c r="M264" i="40"/>
  <c r="L273" i="40"/>
  <c r="O237" i="40"/>
  <c r="N237" i="40"/>
  <c r="S238" i="40"/>
  <c r="O238" i="40"/>
  <c r="I235" i="40"/>
  <c r="I287" i="40" s="1"/>
  <c r="H300" i="40" s="1"/>
  <c r="S235" i="40"/>
  <c r="L240" i="40"/>
  <c r="G240" i="40"/>
  <c r="J239" i="40"/>
  <c r="T236" i="40"/>
  <c r="O236" i="40"/>
  <c r="J274" i="40"/>
  <c r="G274" i="40"/>
  <c r="L272" i="40"/>
  <c r="Q272" i="40"/>
  <c r="G269" i="40"/>
  <c r="L264" i="40"/>
  <c r="Q264" i="40"/>
  <c r="S265" i="40"/>
  <c r="H265" i="40"/>
  <c r="S273" i="40"/>
  <c r="H273" i="40"/>
  <c r="O256" i="40"/>
  <c r="S256" i="40"/>
  <c r="R237" i="40"/>
  <c r="K240" i="40"/>
  <c r="G236" i="40"/>
  <c r="I272" i="40"/>
  <c r="I264" i="40"/>
  <c r="G273" i="40"/>
  <c r="L237" i="40"/>
  <c r="H235" i="40"/>
  <c r="O239" i="40"/>
  <c r="Q274" i="40"/>
  <c r="I269" i="40"/>
  <c r="I288" i="40" s="1"/>
  <c r="M265" i="40"/>
  <c r="M256" i="40"/>
  <c r="R235" i="40"/>
  <c r="Q239" i="40"/>
  <c r="I274" i="40"/>
  <c r="F272" i="40"/>
  <c r="S264" i="40"/>
  <c r="F265" i="40"/>
  <c r="K256" i="40"/>
  <c r="I238" i="40"/>
  <c r="S240" i="40"/>
  <c r="R236" i="40"/>
  <c r="S274" i="40"/>
  <c r="M269" i="40"/>
  <c r="O265" i="40"/>
  <c r="L256" i="40"/>
  <c r="R245" i="40"/>
  <c r="G245" i="40"/>
  <c r="I244" i="40"/>
  <c r="T244" i="40"/>
  <c r="P246" i="40"/>
  <c r="N246" i="40"/>
  <c r="S241" i="40"/>
  <c r="R241" i="40"/>
  <c r="G243" i="40"/>
  <c r="R243" i="40"/>
  <c r="H242" i="40"/>
  <c r="S242" i="40"/>
  <c r="H280" i="40"/>
  <c r="G280" i="40"/>
  <c r="G270" i="40"/>
  <c r="K278" i="40"/>
  <c r="Q275" i="40"/>
  <c r="F275" i="40"/>
  <c r="I279" i="40"/>
  <c r="O279" i="40"/>
  <c r="L271" i="40"/>
  <c r="O271" i="40"/>
  <c r="R278" i="40"/>
  <c r="T279" i="40"/>
  <c r="Q271" i="40"/>
  <c r="L241" i="40"/>
  <c r="N242" i="40"/>
  <c r="H270" i="40"/>
  <c r="J275" i="40"/>
  <c r="K271" i="40"/>
  <c r="I245" i="40"/>
  <c r="I246" i="40"/>
  <c r="J243" i="40"/>
  <c r="F280" i="40"/>
  <c r="G278" i="40"/>
  <c r="H279" i="40"/>
  <c r="K245" i="40"/>
  <c r="G241" i="40"/>
  <c r="S243" i="40"/>
  <c r="M280" i="40"/>
  <c r="I270" i="40"/>
  <c r="L275" i="40"/>
  <c r="H245" i="40"/>
  <c r="O246" i="40"/>
  <c r="K243" i="40"/>
  <c r="O280" i="40"/>
  <c r="Q278" i="40"/>
  <c r="T271" i="40"/>
  <c r="J245" i="40"/>
  <c r="N245" i="40"/>
  <c r="F244" i="40"/>
  <c r="L244" i="40"/>
  <c r="G246" i="40"/>
  <c r="F246" i="40"/>
  <c r="N241" i="40"/>
  <c r="J241" i="40"/>
  <c r="N243" i="40"/>
  <c r="Q243" i="40"/>
  <c r="O242" i="40"/>
  <c r="K242" i="40"/>
  <c r="Q280" i="40"/>
  <c r="N270" i="40"/>
  <c r="S270" i="40"/>
  <c r="N278" i="40"/>
  <c r="I275" i="40"/>
  <c r="S275" i="40"/>
  <c r="G279" i="40"/>
  <c r="G271" i="40"/>
  <c r="J242" i="40"/>
  <c r="M270" i="40"/>
  <c r="M275" i="40"/>
  <c r="P271" i="40"/>
  <c r="R244" i="40"/>
  <c r="H243" i="40"/>
  <c r="K280" i="40"/>
  <c r="L278" i="40"/>
  <c r="K279" i="40"/>
  <c r="P245" i="40"/>
  <c r="H246" i="40"/>
  <c r="I242" i="40"/>
  <c r="L270" i="40"/>
  <c r="G275" i="40"/>
  <c r="M271" i="40"/>
  <c r="M244" i="40"/>
  <c r="T241" i="40"/>
  <c r="P242" i="40"/>
  <c r="R270" i="40"/>
  <c r="N275" i="40"/>
  <c r="I271" i="40"/>
  <c r="J288" i="40" s="1"/>
  <c r="O245" i="40"/>
  <c r="M245" i="40"/>
  <c r="P244" i="40"/>
  <c r="S244" i="40"/>
  <c r="R246" i="40"/>
  <c r="M246" i="40"/>
  <c r="F241" i="40"/>
  <c r="H241" i="40"/>
  <c r="F243" i="40"/>
  <c r="I243" i="40"/>
  <c r="G242" i="40"/>
  <c r="T280" i="40"/>
  <c r="I280" i="40"/>
  <c r="F270" i="40"/>
  <c r="K270" i="40"/>
  <c r="F278" i="40"/>
  <c r="P278" i="40"/>
  <c r="P275" i="40"/>
  <c r="K275" i="40"/>
  <c r="L279" i="40"/>
  <c r="N279" i="40"/>
  <c r="N271" i="40"/>
  <c r="L245" i="40"/>
  <c r="J244" i="40"/>
  <c r="T246" i="40"/>
  <c r="L243" i="40"/>
  <c r="S280" i="40"/>
  <c r="T278" i="40"/>
  <c r="P279" i="40"/>
  <c r="S245" i="40"/>
  <c r="Q241" i="40"/>
  <c r="F242" i="40"/>
  <c r="O270" i="40"/>
  <c r="T275" i="40"/>
  <c r="H271" i="40"/>
  <c r="S246" i="40"/>
  <c r="I241" i="40"/>
  <c r="T242" i="40"/>
  <c r="I278" i="40"/>
  <c r="J271" i="40"/>
  <c r="K246" i="40"/>
  <c r="O243" i="40"/>
  <c r="J280" i="40"/>
  <c r="S278" i="40"/>
  <c r="J279" i="40"/>
  <c r="F245" i="40"/>
  <c r="T245" i="40"/>
  <c r="H244" i="40"/>
  <c r="K244" i="40"/>
  <c r="J246" i="40"/>
  <c r="L246" i="40"/>
  <c r="M241" i="40"/>
  <c r="P241" i="40"/>
  <c r="M243" i="40"/>
  <c r="R242" i="40"/>
  <c r="M242" i="40"/>
  <c r="L280" i="40"/>
  <c r="P280" i="40"/>
  <c r="J270" i="40"/>
  <c r="P270" i="40"/>
  <c r="M278" i="40"/>
  <c r="H278" i="40"/>
  <c r="H275" i="40"/>
  <c r="R275" i="40"/>
  <c r="Q279" i="40"/>
  <c r="F279" i="40"/>
  <c r="S271" i="40"/>
  <c r="F271" i="40"/>
  <c r="Q245" i="40"/>
  <c r="O244" i="40"/>
  <c r="Q246" i="40"/>
  <c r="P243" i="40"/>
  <c r="N280" i="40"/>
  <c r="O278" i="40"/>
  <c r="S279" i="40"/>
  <c r="G244" i="40"/>
  <c r="O241" i="40"/>
  <c r="Q242" i="40"/>
  <c r="T270" i="40"/>
  <c r="O275" i="40"/>
  <c r="R271" i="40"/>
  <c r="N244" i="40"/>
  <c r="T243" i="40"/>
  <c r="R280" i="40"/>
  <c r="J278" i="40"/>
  <c r="R279" i="40"/>
  <c r="Q244" i="40"/>
  <c r="K241" i="40"/>
  <c r="L242" i="40"/>
  <c r="Q270" i="40"/>
  <c r="M279" i="40"/>
  <c r="P276" i="40"/>
  <c r="T276" i="40"/>
  <c r="G277" i="40"/>
  <c r="Q277" i="40"/>
  <c r="I277" i="40"/>
  <c r="J276" i="40"/>
  <c r="N276" i="40"/>
  <c r="J277" i="40"/>
  <c r="R277" i="40"/>
  <c r="H276" i="40"/>
  <c r="R276" i="40"/>
  <c r="S277" i="40"/>
  <c r="N277" i="40"/>
  <c r="I276" i="40"/>
  <c r="S276" i="40"/>
  <c r="O276" i="40"/>
  <c r="P277" i="40"/>
  <c r="F276" i="40"/>
  <c r="L277" i="40"/>
  <c r="G276" i="40"/>
  <c r="Q276" i="40"/>
  <c r="F277" i="40"/>
  <c r="H277" i="40"/>
  <c r="K277" i="40"/>
  <c r="M277" i="40"/>
  <c r="L276" i="40"/>
  <c r="K276" i="40"/>
  <c r="T277" i="40"/>
  <c r="M276" i="40"/>
  <c r="O277" i="40"/>
  <c r="G40" i="40"/>
  <c r="K74" i="25" s="1"/>
  <c r="H40" i="40"/>
  <c r="K75" i="25"/>
  <c r="K73" i="25"/>
  <c r="H25" i="40"/>
  <c r="B10" i="40"/>
  <c r="H27" i="40"/>
  <c r="F27" i="40"/>
  <c r="F300" i="40" l="1"/>
  <c r="E300" i="40"/>
  <c r="H297" i="40"/>
  <c r="G297" i="40"/>
  <c r="E297" i="40"/>
  <c r="K72" i="25"/>
  <c r="J70" i="25"/>
  <c r="J68" i="25"/>
  <c r="J71" i="25"/>
  <c r="J69" i="25"/>
  <c r="H71" i="25"/>
  <c r="H69" i="25"/>
  <c r="C10" i="40"/>
  <c r="C64" i="40" s="1"/>
  <c r="B11" i="40"/>
  <c r="B12" i="40" s="1"/>
  <c r="G95" i="40"/>
  <c r="H49" i="14" s="1"/>
  <c r="H51" i="14" s="1"/>
  <c r="H95" i="40"/>
  <c r="H57" i="14" s="1"/>
  <c r="E95" i="40"/>
  <c r="H33" i="14" s="1"/>
  <c r="F94" i="40"/>
  <c r="H37" i="14" s="1"/>
  <c r="H94" i="40"/>
  <c r="H53" i="14" s="1"/>
  <c r="G94" i="40"/>
  <c r="H45" i="14" s="1"/>
  <c r="F95" i="40"/>
  <c r="H41" i="14" s="1"/>
  <c r="E94" i="40"/>
  <c r="H29" i="14" s="1"/>
  <c r="C12" i="40" l="1"/>
  <c r="C212" i="40" s="1"/>
  <c r="B13" i="40"/>
  <c r="H50" i="14"/>
  <c r="H52" i="14"/>
  <c r="H31" i="14"/>
  <c r="H60" i="14"/>
  <c r="H59" i="14"/>
  <c r="H58" i="14"/>
  <c r="H36" i="14"/>
  <c r="H35" i="14"/>
  <c r="H34" i="14"/>
  <c r="H56" i="14"/>
  <c r="H54" i="14"/>
  <c r="H55" i="14"/>
  <c r="H47" i="14"/>
  <c r="H48" i="14"/>
  <c r="H46" i="14"/>
  <c r="H39" i="14"/>
  <c r="H40" i="14"/>
  <c r="H38" i="14"/>
  <c r="B14" i="40" l="1"/>
  <c r="C14" i="40" s="1"/>
  <c r="C292" i="40" s="1"/>
  <c r="C13" i="40"/>
  <c r="C283" i="40" s="1"/>
  <c r="H30" i="14"/>
  <c r="H32" i="14"/>
  <c r="H43" i="14"/>
  <c r="H44" i="14"/>
  <c r="H42" i="14"/>
  <c r="C25" i="25" l="1"/>
  <c r="D25" i="25"/>
  <c r="E25" i="25"/>
  <c r="F25" i="25"/>
  <c r="H25" i="25"/>
  <c r="S25" i="25" s="1"/>
  <c r="C26" i="25"/>
  <c r="D26" i="25"/>
  <c r="E26" i="25"/>
  <c r="H26" i="25"/>
  <c r="S26" i="25" s="1"/>
  <c r="C27" i="25"/>
  <c r="D27" i="25"/>
  <c r="E27" i="25"/>
  <c r="H27" i="25"/>
  <c r="S27" i="25" s="1"/>
  <c r="C28" i="25"/>
  <c r="D28" i="25"/>
  <c r="E28" i="25"/>
  <c r="H28" i="25"/>
  <c r="S28" i="25" s="1"/>
  <c r="C29" i="25"/>
  <c r="E29" i="25"/>
  <c r="H29" i="25"/>
  <c r="S29" i="25" s="1"/>
  <c r="C30" i="25"/>
  <c r="E30" i="25"/>
  <c r="H30" i="25"/>
  <c r="S30" i="25" s="1"/>
  <c r="C31" i="25"/>
  <c r="E31" i="25"/>
  <c r="H31" i="25"/>
  <c r="S31" i="25" s="1"/>
  <c r="C32" i="25"/>
  <c r="E32" i="25"/>
  <c r="H32" i="25"/>
  <c r="S32" i="25" s="1"/>
  <c r="C33" i="25"/>
  <c r="E33" i="25"/>
  <c r="C34" i="25"/>
  <c r="E34" i="25"/>
  <c r="C35" i="25"/>
  <c r="E35" i="25"/>
  <c r="C36" i="25"/>
  <c r="E36" i="25"/>
  <c r="C37" i="25"/>
  <c r="E37" i="25"/>
  <c r="C38" i="25"/>
  <c r="E38" i="25"/>
  <c r="C39" i="25"/>
  <c r="E39" i="25"/>
  <c r="C40" i="25"/>
  <c r="E40" i="25"/>
  <c r="C41" i="25"/>
  <c r="E41" i="25"/>
  <c r="C42" i="25"/>
  <c r="E42" i="25"/>
  <c r="C43" i="25"/>
  <c r="E43" i="25"/>
  <c r="C44" i="25"/>
  <c r="E44" i="25"/>
  <c r="C45" i="25"/>
  <c r="E45" i="25"/>
  <c r="C46" i="25"/>
  <c r="E46" i="25"/>
  <c r="C47" i="25"/>
  <c r="E47" i="25"/>
  <c r="C48" i="25"/>
  <c r="E48" i="25"/>
  <c r="C49" i="25"/>
  <c r="E49" i="25"/>
  <c r="C50" i="25"/>
  <c r="E50" i="25"/>
  <c r="C51" i="25"/>
  <c r="E51" i="25"/>
  <c r="C52" i="25"/>
  <c r="E52" i="25"/>
  <c r="C53" i="25"/>
  <c r="E53" i="25"/>
  <c r="C54" i="25"/>
  <c r="E54" i="25"/>
  <c r="C55" i="25"/>
  <c r="E55" i="25"/>
  <c r="C56" i="25"/>
  <c r="E56" i="25"/>
  <c r="B9" i="25"/>
  <c r="E192" i="25"/>
  <c r="F192" i="25"/>
  <c r="G192" i="25"/>
  <c r="J192" i="25"/>
  <c r="Q192" i="25" s="1"/>
  <c r="K192" i="25"/>
  <c r="L192" i="25"/>
  <c r="M192" i="25"/>
  <c r="R192" i="25"/>
  <c r="S192" i="25"/>
  <c r="T192" i="25"/>
  <c r="C194" i="25"/>
  <c r="D194" i="25" s="1"/>
  <c r="I194" i="25"/>
  <c r="P194" i="25"/>
  <c r="C195" i="25"/>
  <c r="D195" i="25" s="1"/>
  <c r="I195" i="25"/>
  <c r="P195" i="25"/>
  <c r="Q195" i="25" s="1"/>
  <c r="C196" i="25"/>
  <c r="D196" i="25" s="1"/>
  <c r="I196" i="25"/>
  <c r="P196" i="25"/>
  <c r="C197" i="25"/>
  <c r="D197" i="25" s="1"/>
  <c r="I197" i="25"/>
  <c r="P197" i="25"/>
  <c r="Q197" i="25" s="1"/>
  <c r="J202" i="25"/>
  <c r="K202" i="25"/>
  <c r="L202" i="25"/>
  <c r="M202" i="25"/>
  <c r="Q202" i="25"/>
  <c r="R202" i="25"/>
  <c r="S202" i="25"/>
  <c r="T202" i="25"/>
  <c r="I204" i="25"/>
  <c r="P204" i="25"/>
  <c r="I205" i="25"/>
  <c r="P205" i="25"/>
  <c r="I206" i="25"/>
  <c r="P206" i="25"/>
  <c r="I207" i="25"/>
  <c r="P207" i="25"/>
  <c r="C129" i="25"/>
  <c r="D129" i="25"/>
  <c r="E129" i="25"/>
  <c r="C130" i="25"/>
  <c r="D130" i="25"/>
  <c r="E130" i="25"/>
  <c r="F130" i="25"/>
  <c r="C131" i="25"/>
  <c r="D131" i="25"/>
  <c r="E131" i="25"/>
  <c r="C132" i="25"/>
  <c r="D132" i="25"/>
  <c r="E132" i="25"/>
  <c r="C133" i="25"/>
  <c r="D133" i="25"/>
  <c r="E133" i="25"/>
  <c r="C134" i="25"/>
  <c r="E134" i="25"/>
  <c r="C135" i="25"/>
  <c r="E135" i="25"/>
  <c r="C136" i="25"/>
  <c r="E136" i="25"/>
  <c r="C137" i="25"/>
  <c r="E137" i="25"/>
  <c r="C138" i="25"/>
  <c r="E138" i="25"/>
  <c r="C139" i="25"/>
  <c r="E139" i="25"/>
  <c r="C140" i="25"/>
  <c r="E140" i="25"/>
  <c r="C141" i="25"/>
  <c r="E141" i="25"/>
  <c r="C142" i="25"/>
  <c r="E142" i="25"/>
  <c r="C143" i="25"/>
  <c r="E143" i="25"/>
  <c r="C144" i="25"/>
  <c r="E144" i="25"/>
  <c r="C145" i="25"/>
  <c r="E145" i="25"/>
  <c r="C146" i="25"/>
  <c r="E146" i="25"/>
  <c r="C147" i="25"/>
  <c r="E147" i="25"/>
  <c r="C148" i="25"/>
  <c r="E148" i="25"/>
  <c r="C149" i="25"/>
  <c r="E149" i="25"/>
  <c r="C150" i="25"/>
  <c r="E150" i="25"/>
  <c r="C151" i="25"/>
  <c r="E151" i="25"/>
  <c r="C152" i="25"/>
  <c r="E152" i="25"/>
  <c r="C153" i="25"/>
  <c r="E153" i="25"/>
  <c r="C154" i="25"/>
  <c r="E154" i="25"/>
  <c r="C155" i="25"/>
  <c r="E155" i="25"/>
  <c r="C156" i="25"/>
  <c r="E156" i="25"/>
  <c r="C157" i="25"/>
  <c r="E157" i="25"/>
  <c r="C158" i="25"/>
  <c r="E158" i="25"/>
  <c r="C159" i="25"/>
  <c r="E159" i="25"/>
  <c r="C160" i="25"/>
  <c r="E160" i="25"/>
  <c r="C161" i="25"/>
  <c r="E161" i="25"/>
  <c r="L13" i="27"/>
  <c r="L12" i="27"/>
  <c r="L11" i="27"/>
  <c r="L10" i="27"/>
  <c r="L9" i="27"/>
  <c r="C229" i="27"/>
  <c r="F191" i="27"/>
  <c r="F151" i="27"/>
  <c r="F111" i="27"/>
  <c r="F71" i="27"/>
  <c r="B9" i="27"/>
  <c r="C65" i="27" s="1"/>
  <c r="K11" i="14"/>
  <c r="K10" i="14"/>
  <c r="Q194" i="25" l="1"/>
  <c r="Q204" i="25" s="1"/>
  <c r="Q196" i="25"/>
  <c r="R195" i="25"/>
  <c r="R197" i="25"/>
  <c r="R194" i="25"/>
  <c r="R204" i="25" s="1"/>
  <c r="R196" i="25"/>
  <c r="G197" i="25"/>
  <c r="G195" i="25"/>
  <c r="G194" i="25"/>
  <c r="G196" i="25"/>
  <c r="T197" i="25"/>
  <c r="T194" i="25"/>
  <c r="T204" i="25" s="1"/>
  <c r="T195" i="25"/>
  <c r="T196" i="25"/>
  <c r="F197" i="25"/>
  <c r="F194" i="25"/>
  <c r="F196" i="25"/>
  <c r="F195" i="25"/>
  <c r="S195" i="25"/>
  <c r="S197" i="25"/>
  <c r="S194" i="25"/>
  <c r="S204" i="25" s="1"/>
  <c r="S196" i="25"/>
  <c r="E195" i="25"/>
  <c r="E197" i="25"/>
  <c r="E194" i="25"/>
  <c r="E196" i="25"/>
  <c r="R28" i="25"/>
  <c r="R27" i="25"/>
  <c r="R26" i="25"/>
  <c r="R25" i="25"/>
  <c r="C11" i="40"/>
  <c r="C99" i="40" s="1"/>
  <c r="J197" i="25"/>
  <c r="C167" i="25" a="1"/>
  <c r="C170" i="25" s="1"/>
  <c r="B10" i="27"/>
  <c r="M197" i="25" l="1"/>
  <c r="R205" i="25"/>
  <c r="L195" i="25"/>
  <c r="M196" i="25"/>
  <c r="K196" i="25"/>
  <c r="S206" i="25"/>
  <c r="T207" i="25"/>
  <c r="T206" i="25"/>
  <c r="Q205" i="25"/>
  <c r="M195" i="25"/>
  <c r="Q206" i="25"/>
  <c r="R207" i="25"/>
  <c r="C169" i="25"/>
  <c r="S205" i="25"/>
  <c r="J204" i="25"/>
  <c r="K195" i="25"/>
  <c r="R206" i="25"/>
  <c r="M204" i="25"/>
  <c r="M194" i="25"/>
  <c r="L196" i="25"/>
  <c r="S207" i="25"/>
  <c r="J194" i="25"/>
  <c r="T205" i="25"/>
  <c r="J196" i="25"/>
  <c r="C168" i="25"/>
  <c r="C167" i="25"/>
  <c r="L204" i="25"/>
  <c r="L194" i="25"/>
  <c r="Q207" i="25"/>
  <c r="K197" i="25"/>
  <c r="J195" i="25"/>
  <c r="K194" i="25"/>
  <c r="K204" i="25"/>
  <c r="L197" i="25"/>
  <c r="B11" i="27"/>
  <c r="C11" i="27" s="1"/>
  <c r="C145" i="27" s="1"/>
  <c r="C10" i="27"/>
  <c r="C105" i="27" s="1"/>
  <c r="E36" i="14"/>
  <c r="E35" i="14"/>
  <c r="E34" i="14"/>
  <c r="E33" i="14"/>
  <c r="L205" i="25" l="1"/>
  <c r="M207" i="25"/>
  <c r="E37" i="14"/>
  <c r="J37" i="14" s="1" a="1"/>
  <c r="J37" i="14" s="1"/>
  <c r="D29" i="25"/>
  <c r="R29" i="25" s="1"/>
  <c r="D134" i="25"/>
  <c r="E39" i="14"/>
  <c r="D31" i="25"/>
  <c r="R31" i="25" s="1"/>
  <c r="D136" i="25"/>
  <c r="E40" i="14"/>
  <c r="J40" i="14" s="1" a="1"/>
  <c r="J40" i="14" s="1"/>
  <c r="D137" i="25"/>
  <c r="D32" i="25"/>
  <c r="R32" i="25" s="1"/>
  <c r="E38" i="14"/>
  <c r="D135" i="25"/>
  <c r="D30" i="25"/>
  <c r="R30" i="25" s="1"/>
  <c r="L206" i="25"/>
  <c r="M206" i="25"/>
  <c r="K206" i="25"/>
  <c r="K207" i="25"/>
  <c r="K205" i="25"/>
  <c r="M205" i="25"/>
  <c r="L207" i="25"/>
  <c r="J205" i="25"/>
  <c r="J206" i="25"/>
  <c r="J207" i="25"/>
  <c r="B12" i="27"/>
  <c r="C12" i="27" s="1"/>
  <c r="C185" i="27" s="1"/>
  <c r="L8" i="27"/>
  <c r="C8" i="27"/>
  <c r="C17" i="27" s="1"/>
  <c r="C9" i="25"/>
  <c r="C65" i="25" s="1"/>
  <c r="B10" i="25"/>
  <c r="K8" i="14"/>
  <c r="K9" i="14"/>
  <c r="B9" i="14"/>
  <c r="B10" i="14" s="1"/>
  <c r="C8" i="14"/>
  <c r="C25" i="14" s="1"/>
  <c r="E115" i="25"/>
  <c r="C115" i="25"/>
  <c r="E114" i="25"/>
  <c r="C114" i="25"/>
  <c r="E113" i="25"/>
  <c r="C113" i="25"/>
  <c r="E112" i="25"/>
  <c r="C112" i="25"/>
  <c r="E111" i="25"/>
  <c r="C111" i="25"/>
  <c r="E110" i="25"/>
  <c r="C110" i="25"/>
  <c r="E109" i="25"/>
  <c r="C109" i="25"/>
  <c r="E108" i="25"/>
  <c r="C108" i="25"/>
  <c r="E107" i="25"/>
  <c r="C107" i="25"/>
  <c r="E106" i="25"/>
  <c r="C106" i="25"/>
  <c r="E105" i="25"/>
  <c r="C105" i="25"/>
  <c r="E104" i="25"/>
  <c r="C104" i="25"/>
  <c r="E103" i="25"/>
  <c r="C103" i="25"/>
  <c r="E102" i="25"/>
  <c r="C102" i="25"/>
  <c r="E101" i="25"/>
  <c r="C101" i="25"/>
  <c r="E100" i="25"/>
  <c r="C100" i="25"/>
  <c r="E99" i="25"/>
  <c r="C99" i="25"/>
  <c r="E98" i="25"/>
  <c r="C98" i="25"/>
  <c r="E97" i="25"/>
  <c r="C97" i="25"/>
  <c r="E96" i="25"/>
  <c r="C96" i="25"/>
  <c r="E95" i="25"/>
  <c r="C95" i="25"/>
  <c r="E94" i="25"/>
  <c r="C94" i="25"/>
  <c r="E93" i="25"/>
  <c r="C93" i="25"/>
  <c r="E92" i="25"/>
  <c r="C92" i="25"/>
  <c r="E91" i="25"/>
  <c r="D91" i="25"/>
  <c r="C91" i="25"/>
  <c r="E90" i="25"/>
  <c r="D90" i="25"/>
  <c r="C90" i="25"/>
  <c r="E89" i="25"/>
  <c r="D89" i="25"/>
  <c r="C89" i="25"/>
  <c r="E88" i="25"/>
  <c r="D88" i="25"/>
  <c r="G88" i="25" s="1"/>
  <c r="C88" i="25"/>
  <c r="E87" i="25"/>
  <c r="D87" i="25"/>
  <c r="G87" i="25" s="1"/>
  <c r="C87" i="25"/>
  <c r="E86" i="25"/>
  <c r="D86" i="25"/>
  <c r="G86" i="25" s="1"/>
  <c r="C86" i="25"/>
  <c r="E85" i="25"/>
  <c r="D85" i="25"/>
  <c r="C85" i="25"/>
  <c r="E84" i="25"/>
  <c r="D84" i="25"/>
  <c r="C84" i="25"/>
  <c r="E83" i="25"/>
  <c r="D83" i="25"/>
  <c r="C83" i="25"/>
  <c r="C30" i="14"/>
  <c r="B11" i="14" l="1"/>
  <c r="B12" i="14" s="1"/>
  <c r="B13" i="14" s="1"/>
  <c r="B14" i="14" s="1"/>
  <c r="B15" i="14" s="1"/>
  <c r="B16" i="14" s="1"/>
  <c r="B17" i="14" s="1"/>
  <c r="C10" i="14"/>
  <c r="D94" i="25"/>
  <c r="D201" i="27" s="1"/>
  <c r="K39" i="14" a="1"/>
  <c r="K39" i="14" s="1"/>
  <c r="K43" i="14" s="1"/>
  <c r="J39" i="14" a="1"/>
  <c r="J39" i="14" s="1"/>
  <c r="J43" i="14" s="1"/>
  <c r="D93" i="25"/>
  <c r="D80" i="27" s="1"/>
  <c r="K38" i="14" a="1"/>
  <c r="K38" i="14" s="1"/>
  <c r="K42" i="14" s="1"/>
  <c r="J38" i="14" a="1"/>
  <c r="J38" i="14" s="1"/>
  <c r="J42" i="14" s="1"/>
  <c r="D92" i="25"/>
  <c r="D159" i="27" s="1"/>
  <c r="J41" i="14"/>
  <c r="K37" i="14" a="1"/>
  <c r="K37" i="14" s="1"/>
  <c r="K41" i="14" s="1"/>
  <c r="K40" i="14" a="1"/>
  <c r="K40" i="14" s="1"/>
  <c r="K44" i="14" s="1"/>
  <c r="J44" i="14"/>
  <c r="G85" i="25"/>
  <c r="I85" i="25"/>
  <c r="G84" i="25"/>
  <c r="I84" i="25"/>
  <c r="E44" i="14"/>
  <c r="D36" i="25"/>
  <c r="R36" i="25" s="1"/>
  <c r="D141" i="25"/>
  <c r="D95" i="25"/>
  <c r="D122" i="27" s="1"/>
  <c r="C31" i="14"/>
  <c r="F26" i="25"/>
  <c r="F131" i="25"/>
  <c r="C230" i="27"/>
  <c r="F192" i="27"/>
  <c r="F152" i="27"/>
  <c r="F112" i="27"/>
  <c r="F72" i="27"/>
  <c r="E43" i="14"/>
  <c r="D35" i="25"/>
  <c r="R35" i="25" s="1"/>
  <c r="D140" i="25"/>
  <c r="E42" i="14"/>
  <c r="D34" i="25"/>
  <c r="R34" i="25" s="1"/>
  <c r="D139" i="25"/>
  <c r="E41" i="14"/>
  <c r="D33" i="25"/>
  <c r="R33" i="25" s="1"/>
  <c r="D138" i="25"/>
  <c r="C10" i="25"/>
  <c r="C81" i="25" s="1"/>
  <c r="B11" i="25"/>
  <c r="E191" i="27"/>
  <c r="E151" i="27"/>
  <c r="E111" i="27"/>
  <c r="E71" i="27"/>
  <c r="D74" i="27"/>
  <c r="D194" i="27"/>
  <c r="D154" i="27"/>
  <c r="D114" i="27"/>
  <c r="C197" i="27"/>
  <c r="C157" i="27"/>
  <c r="C117" i="27"/>
  <c r="C77" i="27"/>
  <c r="E159" i="27"/>
  <c r="E79" i="27"/>
  <c r="E119" i="27"/>
  <c r="E199" i="27"/>
  <c r="C85" i="27"/>
  <c r="C205" i="27"/>
  <c r="C165" i="27"/>
  <c r="C125" i="27"/>
  <c r="E207" i="27"/>
  <c r="E167" i="27"/>
  <c r="E127" i="27"/>
  <c r="E87" i="27"/>
  <c r="C93" i="27"/>
  <c r="C213" i="27"/>
  <c r="C173" i="27"/>
  <c r="C133" i="27"/>
  <c r="E175" i="27"/>
  <c r="E135" i="27"/>
  <c r="E215" i="27"/>
  <c r="E95" i="27"/>
  <c r="C101" i="27"/>
  <c r="C221" i="27"/>
  <c r="C181" i="27"/>
  <c r="C141" i="27"/>
  <c r="C152" i="27"/>
  <c r="C112" i="27"/>
  <c r="C72" i="27"/>
  <c r="C192" i="27"/>
  <c r="E194" i="27"/>
  <c r="E154" i="27"/>
  <c r="E114" i="27"/>
  <c r="E74" i="27"/>
  <c r="D77" i="27"/>
  <c r="D157" i="27"/>
  <c r="D117" i="27"/>
  <c r="D197" i="27"/>
  <c r="C160" i="27"/>
  <c r="C120" i="27"/>
  <c r="C80" i="27"/>
  <c r="C200" i="27"/>
  <c r="E202" i="27"/>
  <c r="E162" i="27"/>
  <c r="E122" i="27"/>
  <c r="E82" i="27"/>
  <c r="C128" i="27"/>
  <c r="C88" i="27"/>
  <c r="C208" i="27"/>
  <c r="C168" i="27"/>
  <c r="E210" i="27"/>
  <c r="E170" i="27"/>
  <c r="E130" i="27"/>
  <c r="E90" i="27"/>
  <c r="C176" i="27"/>
  <c r="C96" i="27"/>
  <c r="C216" i="27"/>
  <c r="C136" i="27"/>
  <c r="E218" i="27"/>
  <c r="E178" i="27"/>
  <c r="E138" i="27"/>
  <c r="E98" i="27"/>
  <c r="C203" i="27"/>
  <c r="C163" i="27"/>
  <c r="C123" i="27"/>
  <c r="C83" i="27"/>
  <c r="C211" i="27"/>
  <c r="C171" i="27"/>
  <c r="C131" i="27"/>
  <c r="C91" i="27"/>
  <c r="C99" i="27"/>
  <c r="C219" i="27"/>
  <c r="C179" i="27"/>
  <c r="C139" i="27"/>
  <c r="E192" i="27"/>
  <c r="E152" i="27"/>
  <c r="E112" i="27"/>
  <c r="E72" i="27"/>
  <c r="D155" i="27"/>
  <c r="D75" i="27"/>
  <c r="D115" i="27"/>
  <c r="D195" i="27"/>
  <c r="C198" i="27"/>
  <c r="C158" i="27"/>
  <c r="C118" i="27"/>
  <c r="C78" i="27"/>
  <c r="E200" i="27"/>
  <c r="E160" i="27"/>
  <c r="E120" i="27"/>
  <c r="E80" i="27"/>
  <c r="C206" i="27"/>
  <c r="C166" i="27"/>
  <c r="C126" i="27"/>
  <c r="C86" i="27"/>
  <c r="E208" i="27"/>
  <c r="E168" i="27"/>
  <c r="E128" i="27"/>
  <c r="E88" i="27"/>
  <c r="C174" i="27"/>
  <c r="C134" i="27"/>
  <c r="C214" i="27"/>
  <c r="C94" i="27"/>
  <c r="E216" i="27"/>
  <c r="E176" i="27"/>
  <c r="E136" i="27"/>
  <c r="E96" i="27"/>
  <c r="C182" i="27"/>
  <c r="C142" i="27"/>
  <c r="C222" i="27"/>
  <c r="C102" i="27"/>
  <c r="C75" i="27"/>
  <c r="C195" i="27"/>
  <c r="C155" i="27"/>
  <c r="C115" i="27"/>
  <c r="C193" i="27"/>
  <c r="C153" i="27"/>
  <c r="C113" i="27"/>
  <c r="C73" i="27"/>
  <c r="E155" i="27"/>
  <c r="E75" i="27"/>
  <c r="E195" i="27"/>
  <c r="E115" i="27"/>
  <c r="D78" i="27"/>
  <c r="D198" i="27"/>
  <c r="D158" i="27"/>
  <c r="D118" i="27"/>
  <c r="C81" i="27"/>
  <c r="C201" i="27"/>
  <c r="C161" i="27"/>
  <c r="C121" i="27"/>
  <c r="E163" i="27"/>
  <c r="E123" i="27"/>
  <c r="E203" i="27"/>
  <c r="E83" i="27"/>
  <c r="C89" i="27"/>
  <c r="C209" i="27"/>
  <c r="C169" i="27"/>
  <c r="C129" i="27"/>
  <c r="E131" i="27"/>
  <c r="E211" i="27"/>
  <c r="E171" i="27"/>
  <c r="E91" i="27"/>
  <c r="C217" i="27"/>
  <c r="C177" i="27"/>
  <c r="C137" i="27"/>
  <c r="C97" i="27"/>
  <c r="E219" i="27"/>
  <c r="E179" i="27"/>
  <c r="E139" i="27"/>
  <c r="E99" i="27"/>
  <c r="D192" i="27"/>
  <c r="D152" i="27"/>
  <c r="D112" i="27"/>
  <c r="D72" i="27"/>
  <c r="E197" i="27"/>
  <c r="E117" i="27"/>
  <c r="E157" i="27"/>
  <c r="E77" i="27"/>
  <c r="E213" i="27"/>
  <c r="E133" i="27"/>
  <c r="E173" i="27"/>
  <c r="E93" i="27"/>
  <c r="E181" i="27"/>
  <c r="E141" i="27"/>
  <c r="E221" i="27"/>
  <c r="E101" i="27"/>
  <c r="D113" i="27"/>
  <c r="D153" i="27"/>
  <c r="D73" i="27"/>
  <c r="D193" i="27"/>
  <c r="C196" i="27"/>
  <c r="C156" i="27"/>
  <c r="C116" i="27"/>
  <c r="C76" i="27"/>
  <c r="E198" i="27"/>
  <c r="E158" i="27"/>
  <c r="E118" i="27"/>
  <c r="E78" i="27"/>
  <c r="D161" i="27"/>
  <c r="D81" i="27"/>
  <c r="C124" i="27"/>
  <c r="C84" i="27"/>
  <c r="C204" i="27"/>
  <c r="C164" i="27"/>
  <c r="E206" i="27"/>
  <c r="E166" i="27"/>
  <c r="E126" i="27"/>
  <c r="E86" i="27"/>
  <c r="C172" i="27"/>
  <c r="C92" i="27"/>
  <c r="C212" i="27"/>
  <c r="C132" i="27"/>
  <c r="E214" i="27"/>
  <c r="E174" i="27"/>
  <c r="E134" i="27"/>
  <c r="E94" i="27"/>
  <c r="C220" i="27"/>
  <c r="C180" i="27"/>
  <c r="C100" i="27"/>
  <c r="C140" i="27"/>
  <c r="E222" i="27"/>
  <c r="E182" i="27"/>
  <c r="E142" i="27"/>
  <c r="E102" i="27"/>
  <c r="C191" i="27"/>
  <c r="C151" i="27"/>
  <c r="C111" i="27"/>
  <c r="C71" i="27"/>
  <c r="E73" i="27"/>
  <c r="E193" i="27"/>
  <c r="E113" i="27"/>
  <c r="E153" i="27"/>
  <c r="D196" i="27"/>
  <c r="D156" i="27"/>
  <c r="D116" i="27"/>
  <c r="D76" i="27"/>
  <c r="C199" i="27"/>
  <c r="C159" i="27"/>
  <c r="C119" i="27"/>
  <c r="C79" i="27"/>
  <c r="E121" i="27"/>
  <c r="E201" i="27"/>
  <c r="E161" i="27"/>
  <c r="E81" i="27"/>
  <c r="C207" i="27"/>
  <c r="C167" i="27"/>
  <c r="C127" i="27"/>
  <c r="C87" i="27"/>
  <c r="E169" i="27"/>
  <c r="E129" i="27"/>
  <c r="E209" i="27"/>
  <c r="E89" i="27"/>
  <c r="C95" i="27"/>
  <c r="C215" i="27"/>
  <c r="C175" i="27"/>
  <c r="C135" i="27"/>
  <c r="E137" i="27"/>
  <c r="E217" i="27"/>
  <c r="E177" i="27"/>
  <c r="E97" i="27"/>
  <c r="E125" i="27"/>
  <c r="E205" i="27"/>
  <c r="E165" i="27"/>
  <c r="E85" i="27"/>
  <c r="D111" i="27"/>
  <c r="D151" i="27"/>
  <c r="D71" i="27"/>
  <c r="D191" i="27"/>
  <c r="C194" i="27"/>
  <c r="C154" i="27"/>
  <c r="C114" i="27"/>
  <c r="C74" i="27"/>
  <c r="E196" i="27"/>
  <c r="E156" i="27"/>
  <c r="E116" i="27"/>
  <c r="E76" i="27"/>
  <c r="C202" i="27"/>
  <c r="C162" i="27"/>
  <c r="C122" i="27"/>
  <c r="C82" i="27"/>
  <c r="E204" i="27"/>
  <c r="E164" i="27"/>
  <c r="E124" i="27"/>
  <c r="E84" i="27"/>
  <c r="C130" i="27"/>
  <c r="C210" i="27"/>
  <c r="C170" i="27"/>
  <c r="C90" i="27"/>
  <c r="E212" i="27"/>
  <c r="E172" i="27"/>
  <c r="E132" i="27"/>
  <c r="E92" i="27"/>
  <c r="C178" i="27"/>
  <c r="C138" i="27"/>
  <c r="C218" i="27"/>
  <c r="C98" i="27"/>
  <c r="E220" i="27"/>
  <c r="E180" i="27"/>
  <c r="E140" i="27"/>
  <c r="E100" i="27"/>
  <c r="B13" i="27"/>
  <c r="C13" i="27" s="1"/>
  <c r="C225" i="27" s="1"/>
  <c r="C9" i="14"/>
  <c r="C64" i="14" s="1"/>
  <c r="D120" i="27" l="1"/>
  <c r="D121" i="27"/>
  <c r="C11" i="14"/>
  <c r="D160" i="27"/>
  <c r="D200" i="27"/>
  <c r="D199" i="27"/>
  <c r="D79" i="27"/>
  <c r="D119" i="27"/>
  <c r="G38" i="14"/>
  <c r="H34" i="25" s="1"/>
  <c r="S34" i="25" s="1"/>
  <c r="G42" i="14"/>
  <c r="H38" i="25" s="1"/>
  <c r="S38" i="25" s="1"/>
  <c r="G41" i="14"/>
  <c r="H37" i="25" s="1"/>
  <c r="S37" i="25" s="1"/>
  <c r="G37" i="14"/>
  <c r="H33" i="25" s="1"/>
  <c r="S33" i="25" s="1"/>
  <c r="G43" i="14"/>
  <c r="H39" i="25" s="1"/>
  <c r="S39" i="25" s="1"/>
  <c r="G39" i="14"/>
  <c r="H35" i="25" s="1"/>
  <c r="S35" i="25" s="1"/>
  <c r="D162" i="27"/>
  <c r="G40" i="14"/>
  <c r="H36" i="25" s="1"/>
  <c r="S36" i="25" s="1"/>
  <c r="G44" i="14"/>
  <c r="H40" i="25" s="1"/>
  <c r="S40" i="25" s="1"/>
  <c r="D202" i="27"/>
  <c r="D82" i="27"/>
  <c r="E47" i="14"/>
  <c r="D39" i="25"/>
  <c r="R39" i="25" s="1"/>
  <c r="D144" i="25"/>
  <c r="D98" i="25"/>
  <c r="C32" i="14"/>
  <c r="F27" i="25"/>
  <c r="F132" i="25"/>
  <c r="C231" i="27"/>
  <c r="F193" i="27"/>
  <c r="F153" i="27"/>
  <c r="F113" i="27"/>
  <c r="F73" i="27"/>
  <c r="E45" i="14"/>
  <c r="J45" i="14" s="1" a="1"/>
  <c r="J45" i="14" s="1"/>
  <c r="D37" i="25"/>
  <c r="R37" i="25" s="1"/>
  <c r="D142" i="25"/>
  <c r="D96" i="25"/>
  <c r="E46" i="14"/>
  <c r="D143" i="25"/>
  <c r="D38" i="25"/>
  <c r="R38" i="25" s="1"/>
  <c r="D97" i="25"/>
  <c r="E48" i="14"/>
  <c r="J48" i="14" s="1" a="1"/>
  <c r="J48" i="14" s="1"/>
  <c r="D145" i="25"/>
  <c r="D40" i="25"/>
  <c r="R40" i="25" s="1"/>
  <c r="D99" i="25"/>
  <c r="B12" i="25"/>
  <c r="C11" i="25"/>
  <c r="C127" i="25" s="1"/>
  <c r="C12" i="14" l="1"/>
  <c r="C94" i="14" s="1"/>
  <c r="K46" i="14" a="1"/>
  <c r="K46" i="14" s="1"/>
  <c r="J46" i="14" a="1"/>
  <c r="J46" i="14" s="1"/>
  <c r="J50" i="14" s="1"/>
  <c r="K47" i="14" a="1"/>
  <c r="K47" i="14" s="1"/>
  <c r="K51" i="14" s="1"/>
  <c r="J47" i="14" a="1"/>
  <c r="J47" i="14" s="1"/>
  <c r="J51" i="14" s="1"/>
  <c r="J52" i="14"/>
  <c r="K48" i="14" a="1"/>
  <c r="K48" i="14" s="1"/>
  <c r="K52" i="14" s="1"/>
  <c r="J49" i="14"/>
  <c r="K45" i="14" a="1"/>
  <c r="K45" i="14" s="1"/>
  <c r="K49" i="14" s="1"/>
  <c r="K50" i="14"/>
  <c r="E49" i="14"/>
  <c r="D41" i="25"/>
  <c r="R41" i="25" s="1"/>
  <c r="D146" i="25"/>
  <c r="D100" i="25"/>
  <c r="C33" i="14"/>
  <c r="C232" i="27"/>
  <c r="F194" i="27"/>
  <c r="F154" i="27"/>
  <c r="F114" i="27"/>
  <c r="F74" i="27"/>
  <c r="F133" i="25"/>
  <c r="F28" i="25"/>
  <c r="D205" i="27"/>
  <c r="D125" i="27"/>
  <c r="D85" i="27"/>
  <c r="D165" i="27"/>
  <c r="E50" i="14"/>
  <c r="D42" i="25"/>
  <c r="R42" i="25" s="1"/>
  <c r="D147" i="25"/>
  <c r="D101" i="25"/>
  <c r="E52" i="14"/>
  <c r="D44" i="25"/>
  <c r="R44" i="25" s="1"/>
  <c r="D149" i="25"/>
  <c r="D103" i="25"/>
  <c r="D86" i="27"/>
  <c r="D206" i="27"/>
  <c r="D166" i="27"/>
  <c r="D126" i="27"/>
  <c r="E51" i="14"/>
  <c r="D43" i="25"/>
  <c r="R43" i="25" s="1"/>
  <c r="D148" i="25"/>
  <c r="D102" i="25"/>
  <c r="D84" i="27"/>
  <c r="D204" i="27"/>
  <c r="D164" i="27"/>
  <c r="D124" i="27"/>
  <c r="D123" i="27"/>
  <c r="D83" i="27"/>
  <c r="D203" i="27"/>
  <c r="D163" i="27"/>
  <c r="B13" i="25"/>
  <c r="C13" i="25" s="1"/>
  <c r="C188" i="25" s="1"/>
  <c r="C12" i="25"/>
  <c r="C165" i="25" s="1"/>
  <c r="C72" i="14"/>
  <c r="C81" i="14"/>
  <c r="C13" i="14" l="1"/>
  <c r="C104" i="14" s="1"/>
  <c r="G49" i="14"/>
  <c r="H45" i="25" s="1"/>
  <c r="S45" i="25" s="1"/>
  <c r="G45" i="14"/>
  <c r="H41" i="25" s="1"/>
  <c r="S41" i="25" s="1"/>
  <c r="G51" i="14"/>
  <c r="H47" i="25" s="1"/>
  <c r="S47" i="25" s="1"/>
  <c r="G47" i="14"/>
  <c r="H43" i="25" s="1"/>
  <c r="S43" i="25" s="1"/>
  <c r="G50" i="14"/>
  <c r="H46" i="25" s="1"/>
  <c r="S46" i="25" s="1"/>
  <c r="G46" i="14"/>
  <c r="H42" i="25" s="1"/>
  <c r="S42" i="25" s="1"/>
  <c r="G52" i="14"/>
  <c r="H48" i="25" s="1"/>
  <c r="S48" i="25" s="1"/>
  <c r="G48" i="14"/>
  <c r="H44" i="25" s="1"/>
  <c r="S44" i="25" s="1"/>
  <c r="D89" i="27"/>
  <c r="D169" i="27"/>
  <c r="D209" i="27"/>
  <c r="D129" i="27"/>
  <c r="D170" i="27"/>
  <c r="D90" i="27"/>
  <c r="D210" i="27"/>
  <c r="D130" i="27"/>
  <c r="D128" i="27"/>
  <c r="D208" i="27"/>
  <c r="D168" i="27"/>
  <c r="D88" i="27"/>
  <c r="D167" i="27"/>
  <c r="D87" i="27"/>
  <c r="D127" i="27"/>
  <c r="D207" i="27"/>
  <c r="E54" i="14"/>
  <c r="J54" i="14" s="1" a="1"/>
  <c r="J54" i="14" s="1"/>
  <c r="D151" i="25"/>
  <c r="D46" i="25"/>
  <c r="R46" i="25" s="1"/>
  <c r="D105" i="25"/>
  <c r="E53" i="14"/>
  <c r="J53" i="14" s="1" a="1"/>
  <c r="J53" i="14" s="1"/>
  <c r="D45" i="25"/>
  <c r="R45" i="25" s="1"/>
  <c r="D150" i="25"/>
  <c r="D104" i="25"/>
  <c r="E55" i="14"/>
  <c r="J55" i="14" s="1" a="1"/>
  <c r="J55" i="14" s="1"/>
  <c r="D47" i="25"/>
  <c r="R47" i="25" s="1"/>
  <c r="D152" i="25"/>
  <c r="D106" i="25"/>
  <c r="E56" i="14"/>
  <c r="J56" i="14" s="1" a="1"/>
  <c r="J56" i="14" s="1"/>
  <c r="D153" i="25"/>
  <c r="D48" i="25"/>
  <c r="R48" i="25" s="1"/>
  <c r="D107" i="25"/>
  <c r="C34" i="14"/>
  <c r="F29" i="25"/>
  <c r="F134" i="25"/>
  <c r="C233" i="27"/>
  <c r="F195" i="27"/>
  <c r="F155" i="27"/>
  <c r="F115" i="27"/>
  <c r="F75" i="27"/>
  <c r="B14" i="25"/>
  <c r="C14" i="25" s="1"/>
  <c r="C211" i="25" s="1"/>
  <c r="C62" i="27"/>
  <c r="C61" i="27"/>
  <c r="C60" i="27"/>
  <c r="C59" i="27"/>
  <c r="C58" i="27"/>
  <c r="C57" i="27"/>
  <c r="C56" i="27"/>
  <c r="C55" i="27"/>
  <c r="C14" i="14" l="1"/>
  <c r="C117" i="14" s="1"/>
  <c r="K56" i="14" a="1"/>
  <c r="K56" i="14" s="1"/>
  <c r="K60" i="14" s="1"/>
  <c r="K53" i="14" a="1"/>
  <c r="K53" i="14" s="1"/>
  <c r="K57" i="14" s="1"/>
  <c r="K55" i="14" a="1"/>
  <c r="K55" i="14" s="1"/>
  <c r="K59" i="14" s="1"/>
  <c r="K54" i="14" a="1"/>
  <c r="K54" i="14" s="1"/>
  <c r="K58" i="14" s="1"/>
  <c r="D174" i="27"/>
  <c r="D94" i="27"/>
  <c r="D214" i="27"/>
  <c r="D134" i="27"/>
  <c r="E57" i="14"/>
  <c r="D49" i="25"/>
  <c r="R49" i="25" s="1"/>
  <c r="D154" i="25"/>
  <c r="D108" i="25"/>
  <c r="E60" i="14"/>
  <c r="D52" i="25"/>
  <c r="R52" i="25" s="1"/>
  <c r="D157" i="25"/>
  <c r="D111" i="25"/>
  <c r="D212" i="27"/>
  <c r="D172" i="27"/>
  <c r="D132" i="27"/>
  <c r="D92" i="27"/>
  <c r="D133" i="27"/>
  <c r="D213" i="27"/>
  <c r="D173" i="27"/>
  <c r="D93" i="27"/>
  <c r="D211" i="27"/>
  <c r="D91" i="27"/>
  <c r="D131" i="27"/>
  <c r="D171" i="27"/>
  <c r="E58" i="14"/>
  <c r="D50" i="25"/>
  <c r="R50" i="25" s="1"/>
  <c r="D155" i="25"/>
  <c r="D109" i="25"/>
  <c r="C35" i="14"/>
  <c r="F116" i="27"/>
  <c r="F196" i="27"/>
  <c r="F76" i="27"/>
  <c r="F135" i="25"/>
  <c r="C234" i="27"/>
  <c r="F156" i="27"/>
  <c r="F30" i="25"/>
  <c r="E59" i="14"/>
  <c r="D51" i="25"/>
  <c r="R51" i="25" s="1"/>
  <c r="D156" i="25"/>
  <c r="D110" i="25"/>
  <c r="F23" i="27"/>
  <c r="F216" i="25" s="1"/>
  <c r="C31" i="27"/>
  <c r="C224" i="25" s="1"/>
  <c r="C35" i="27"/>
  <c r="C228" i="25" s="1"/>
  <c r="C53" i="27"/>
  <c r="C246" i="25" s="1"/>
  <c r="E53" i="27"/>
  <c r="E246" i="25" s="1"/>
  <c r="E30" i="27"/>
  <c r="E223" i="25" s="1"/>
  <c r="C51" i="27"/>
  <c r="C244" i="25" s="1"/>
  <c r="C15" i="14" l="1"/>
  <c r="C126" i="14" s="1"/>
  <c r="K71" i="25"/>
  <c r="K69" i="25"/>
  <c r="G54" i="14"/>
  <c r="H50" i="25" s="1"/>
  <c r="S50" i="25" s="1"/>
  <c r="J58" i="14"/>
  <c r="G58" i="14" s="1"/>
  <c r="H54" i="25" s="1"/>
  <c r="S54" i="25" s="1"/>
  <c r="G55" i="14"/>
  <c r="H51" i="25" s="1"/>
  <c r="S51" i="25" s="1"/>
  <c r="J59" i="14"/>
  <c r="G59" i="14" s="1"/>
  <c r="H55" i="25" s="1"/>
  <c r="S55" i="25" s="1"/>
  <c r="J57" i="14"/>
  <c r="G57" i="14" s="1"/>
  <c r="H53" i="25" s="1"/>
  <c r="S53" i="25" s="1"/>
  <c r="G53" i="14"/>
  <c r="H49" i="25" s="1"/>
  <c r="S49" i="25" s="1"/>
  <c r="G56" i="14"/>
  <c r="H52" i="25" s="1"/>
  <c r="S52" i="25" s="1"/>
  <c r="J60" i="14"/>
  <c r="G60" i="14" s="1"/>
  <c r="H56" i="25" s="1"/>
  <c r="S56" i="25" s="1"/>
  <c r="D161" i="25"/>
  <c r="D56" i="25"/>
  <c r="R56" i="25" s="1"/>
  <c r="D115" i="25"/>
  <c r="I115" i="25" s="1"/>
  <c r="D97" i="27"/>
  <c r="D137" i="27"/>
  <c r="D177" i="27"/>
  <c r="D217" i="27"/>
  <c r="D95" i="27"/>
  <c r="D175" i="27"/>
  <c r="D135" i="27"/>
  <c r="D215" i="27"/>
  <c r="D55" i="25"/>
  <c r="R55" i="25" s="1"/>
  <c r="D160" i="25"/>
  <c r="D114" i="25"/>
  <c r="D122" i="25" s="1"/>
  <c r="C36" i="14"/>
  <c r="F136" i="25"/>
  <c r="F117" i="27"/>
  <c r="F31" i="25"/>
  <c r="F197" i="27"/>
  <c r="F157" i="27"/>
  <c r="F77" i="27"/>
  <c r="C235" i="27"/>
  <c r="D136" i="27"/>
  <c r="D96" i="27"/>
  <c r="D216" i="27"/>
  <c r="D176" i="27"/>
  <c r="D159" i="25"/>
  <c r="D54" i="25"/>
  <c r="R54" i="25" s="1"/>
  <c r="D113" i="25"/>
  <c r="G113" i="25" s="1"/>
  <c r="D53" i="25"/>
  <c r="R53" i="25" s="1"/>
  <c r="D158" i="25"/>
  <c r="D112" i="25"/>
  <c r="I112" i="25" s="1"/>
  <c r="D218" i="27"/>
  <c r="D178" i="27"/>
  <c r="D138" i="27"/>
  <c r="D98" i="27"/>
  <c r="C50" i="27"/>
  <c r="C243" i="25" s="1"/>
  <c r="D28" i="27"/>
  <c r="D221" i="25" s="1"/>
  <c r="D44" i="27"/>
  <c r="D237" i="25" s="1"/>
  <c r="C43" i="27"/>
  <c r="C236" i="25" s="1"/>
  <c r="D29" i="27"/>
  <c r="D222" i="25" s="1"/>
  <c r="I98" i="25"/>
  <c r="D43" i="27"/>
  <c r="D236" i="25" s="1"/>
  <c r="I99" i="25"/>
  <c r="D38" i="27"/>
  <c r="D231" i="25" s="1"/>
  <c r="D46" i="27"/>
  <c r="D239" i="25" s="1"/>
  <c r="C24" i="27"/>
  <c r="C217" i="25" s="1"/>
  <c r="D32" i="27"/>
  <c r="D225" i="25" s="1"/>
  <c r="D40" i="27"/>
  <c r="D233" i="25" s="1"/>
  <c r="D117" i="25"/>
  <c r="K117" i="25" s="1"/>
  <c r="D48" i="27"/>
  <c r="D241" i="25" s="1"/>
  <c r="D27" i="27"/>
  <c r="D220" i="25" s="1"/>
  <c r="D25" i="27"/>
  <c r="D218" i="25" s="1"/>
  <c r="D33" i="27"/>
  <c r="D226" i="25" s="1"/>
  <c r="D41" i="27"/>
  <c r="D234" i="25" s="1"/>
  <c r="D118" i="25"/>
  <c r="K118" i="25" s="1"/>
  <c r="C45" i="27"/>
  <c r="C238" i="25" s="1"/>
  <c r="D23" i="27"/>
  <c r="D216" i="25" s="1"/>
  <c r="I92" i="25"/>
  <c r="D39" i="27"/>
  <c r="D232" i="25" s="1"/>
  <c r="D116" i="25"/>
  <c r="K116" i="25" s="1"/>
  <c r="D26" i="27"/>
  <c r="D219" i="25" s="1"/>
  <c r="D34" i="27"/>
  <c r="D227" i="25" s="1"/>
  <c r="D42" i="27"/>
  <c r="D235" i="25" s="1"/>
  <c r="D119" i="25"/>
  <c r="K119" i="25" s="1"/>
  <c r="E28" i="27"/>
  <c r="E221" i="25" s="1"/>
  <c r="I96" i="25"/>
  <c r="E38" i="27"/>
  <c r="E231" i="25" s="1"/>
  <c r="C26" i="27"/>
  <c r="C219" i="25" s="1"/>
  <c r="E41" i="27"/>
  <c r="E234" i="25" s="1"/>
  <c r="E31" i="27"/>
  <c r="E224" i="25" s="1"/>
  <c r="E39" i="27"/>
  <c r="E232" i="25" s="1"/>
  <c r="C37" i="27"/>
  <c r="C230" i="25" s="1"/>
  <c r="E44" i="27"/>
  <c r="E237" i="25" s="1"/>
  <c r="E40" i="27"/>
  <c r="E233" i="25" s="1"/>
  <c r="D36" i="27"/>
  <c r="D229" i="25" s="1"/>
  <c r="E123" i="25"/>
  <c r="E62" i="27" s="1"/>
  <c r="C28" i="27"/>
  <c r="C221" i="25" s="1"/>
  <c r="G103" i="25"/>
  <c r="E32" i="27"/>
  <c r="E225" i="25" s="1"/>
  <c r="C34" i="27"/>
  <c r="C227" i="25" s="1"/>
  <c r="C49" i="27"/>
  <c r="C242" i="25" s="1"/>
  <c r="E46" i="27"/>
  <c r="E239" i="25" s="1"/>
  <c r="C44" i="27"/>
  <c r="C237" i="25" s="1"/>
  <c r="C52" i="27"/>
  <c r="C245" i="25" s="1"/>
  <c r="E25" i="27"/>
  <c r="E218" i="25" s="1"/>
  <c r="E34" i="27"/>
  <c r="E227" i="25" s="1"/>
  <c r="E42" i="27"/>
  <c r="E235" i="25" s="1"/>
  <c r="C42" i="27"/>
  <c r="C235" i="25" s="1"/>
  <c r="E36" i="27"/>
  <c r="E229" i="25" s="1"/>
  <c r="D45" i="27"/>
  <c r="D238" i="25" s="1"/>
  <c r="E27" i="27"/>
  <c r="E220" i="25" s="1"/>
  <c r="E35" i="27"/>
  <c r="E228" i="25" s="1"/>
  <c r="E43" i="27"/>
  <c r="E236" i="25" s="1"/>
  <c r="E120" i="25"/>
  <c r="E59" i="27" s="1"/>
  <c r="E122" i="25"/>
  <c r="E61" i="27" s="1"/>
  <c r="C40" i="27"/>
  <c r="C233" i="25" s="1"/>
  <c r="E121" i="25"/>
  <c r="E60" i="27" s="1"/>
  <c r="C39" i="27"/>
  <c r="C232" i="25" s="1"/>
  <c r="C47" i="27"/>
  <c r="C240" i="25" s="1"/>
  <c r="E45" i="27"/>
  <c r="E238" i="25" s="1"/>
  <c r="C36" i="27"/>
  <c r="C229" i="25" s="1"/>
  <c r="E23" i="27"/>
  <c r="E216" i="25" s="1"/>
  <c r="C33" i="27"/>
  <c r="C226" i="25" s="1"/>
  <c r="C23" i="27"/>
  <c r="C216" i="25" s="1"/>
  <c r="E33" i="27"/>
  <c r="E226" i="25" s="1"/>
  <c r="G93" i="25"/>
  <c r="G89" i="25"/>
  <c r="D49" i="27"/>
  <c r="D242" i="25" s="1"/>
  <c r="E29" i="27"/>
  <c r="E222" i="25" s="1"/>
  <c r="C41" i="27"/>
  <c r="C234" i="25" s="1"/>
  <c r="C32" i="27"/>
  <c r="C225" i="25" s="1"/>
  <c r="D50" i="27"/>
  <c r="D243" i="25" s="1"/>
  <c r="C30" i="27"/>
  <c r="C223" i="25" s="1"/>
  <c r="D35" i="27"/>
  <c r="D228" i="25" s="1"/>
  <c r="I228" i="25" s="1"/>
  <c r="E37" i="27"/>
  <c r="E230" i="25" s="1"/>
  <c r="E26" i="27"/>
  <c r="E219" i="25" s="1"/>
  <c r="C48" i="27"/>
  <c r="C241" i="25" s="1"/>
  <c r="C38" i="27"/>
  <c r="C231" i="25" s="1"/>
  <c r="C29" i="27"/>
  <c r="C222" i="25" s="1"/>
  <c r="D24" i="27"/>
  <c r="D217" i="25" s="1"/>
  <c r="C46" i="27"/>
  <c r="C239" i="25" s="1"/>
  <c r="D37" i="27"/>
  <c r="D230" i="25" s="1"/>
  <c r="E24" i="27"/>
  <c r="E217" i="25" s="1"/>
  <c r="C54" i="27"/>
  <c r="C247" i="25" s="1"/>
  <c r="C27" i="27"/>
  <c r="C220" i="25" s="1"/>
  <c r="D30" i="27"/>
  <c r="D223" i="25" s="1"/>
  <c r="D31" i="27"/>
  <c r="D224" i="25" s="1"/>
  <c r="I224" i="25" s="1"/>
  <c r="D47" i="27"/>
  <c r="D240" i="25" s="1"/>
  <c r="C25" i="27"/>
  <c r="C218" i="25" s="1"/>
  <c r="E118" i="25"/>
  <c r="E57" i="27" s="1"/>
  <c r="E49" i="27"/>
  <c r="E242" i="25" s="1"/>
  <c r="E119" i="25"/>
  <c r="E58" i="27" s="1"/>
  <c r="E50" i="27"/>
  <c r="E243" i="25" s="1"/>
  <c r="E116" i="25"/>
  <c r="E55" i="27" s="1"/>
  <c r="E47" i="27"/>
  <c r="E240" i="25" s="1"/>
  <c r="E117" i="25"/>
  <c r="E56" i="27" s="1"/>
  <c r="E48" i="27"/>
  <c r="E241" i="25" s="1"/>
  <c r="E52" i="27"/>
  <c r="E245" i="25" s="1"/>
  <c r="E54" i="27"/>
  <c r="E247" i="25" s="1"/>
  <c r="E51" i="27"/>
  <c r="E244" i="25" s="1"/>
  <c r="I89" i="25"/>
  <c r="I91" i="25"/>
  <c r="I95" i="25"/>
  <c r="I101" i="25"/>
  <c r="G91" i="25"/>
  <c r="G94" i="25"/>
  <c r="G98" i="25"/>
  <c r="G108" i="25"/>
  <c r="G106" i="25"/>
  <c r="G101" i="25"/>
  <c r="G109" i="25"/>
  <c r="I109" i="25"/>
  <c r="I94" i="25"/>
  <c r="I93" i="25"/>
  <c r="G99" i="25"/>
  <c r="G107" i="25"/>
  <c r="G96" i="25"/>
  <c r="I108" i="25"/>
  <c r="G95" i="25"/>
  <c r="G110" i="25"/>
  <c r="G92" i="25"/>
  <c r="G100" i="25"/>
  <c r="G90" i="25"/>
  <c r="G102" i="25"/>
  <c r="I110" i="25"/>
  <c r="I90" i="25"/>
  <c r="I103" i="25"/>
  <c r="G104" i="25"/>
  <c r="G97" i="25"/>
  <c r="G111" i="25"/>
  <c r="I97" i="25"/>
  <c r="G105" i="25"/>
  <c r="I111" i="25"/>
  <c r="I106" i="25"/>
  <c r="I102" i="25"/>
  <c r="I100" i="25"/>
  <c r="I86" i="25"/>
  <c r="I87" i="25"/>
  <c r="I88" i="25"/>
  <c r="I107" i="25"/>
  <c r="I105" i="25"/>
  <c r="I104" i="25"/>
  <c r="C16" i="14" l="1"/>
  <c r="C138" i="14" s="1"/>
  <c r="D52" i="27"/>
  <c r="D245" i="25" s="1"/>
  <c r="I245" i="25" s="1"/>
  <c r="I113" i="25"/>
  <c r="I114" i="25"/>
  <c r="D53" i="27"/>
  <c r="D246" i="25" s="1"/>
  <c r="I246" i="25" s="1"/>
  <c r="L246" i="25" s="1"/>
  <c r="G114" i="25"/>
  <c r="I243" i="25"/>
  <c r="O243" i="25" s="1"/>
  <c r="D99" i="27"/>
  <c r="D139" i="27"/>
  <c r="D219" i="27"/>
  <c r="D179" i="27"/>
  <c r="D142" i="27"/>
  <c r="D102" i="27"/>
  <c r="D222" i="27"/>
  <c r="D182" i="27"/>
  <c r="D120" i="25"/>
  <c r="D123" i="25"/>
  <c r="G112" i="25"/>
  <c r="G115" i="25"/>
  <c r="D54" i="27"/>
  <c r="D247" i="25" s="1"/>
  <c r="I247" i="25" s="1"/>
  <c r="L247" i="25" s="1"/>
  <c r="D51" i="27"/>
  <c r="D244" i="25" s="1"/>
  <c r="I244" i="25" s="1"/>
  <c r="O244" i="25" s="1"/>
  <c r="C37" i="14"/>
  <c r="F32" i="25"/>
  <c r="F137" i="25"/>
  <c r="C236" i="27"/>
  <c r="F198" i="27"/>
  <c r="F158" i="27"/>
  <c r="F118" i="27"/>
  <c r="F78" i="27"/>
  <c r="D100" i="27"/>
  <c r="D220" i="27"/>
  <c r="D180" i="27"/>
  <c r="D140" i="27"/>
  <c r="D181" i="27"/>
  <c r="D101" i="27"/>
  <c r="D141" i="27"/>
  <c r="D221" i="27"/>
  <c r="D121" i="25"/>
  <c r="I230" i="25"/>
  <c r="O230" i="25" s="1"/>
  <c r="I227" i="25"/>
  <c r="L227" i="25" s="1"/>
  <c r="I223" i="25"/>
  <c r="L223" i="25" s="1"/>
  <c r="I240" i="25"/>
  <c r="L240" i="25" s="1"/>
  <c r="I242" i="25"/>
  <c r="O242" i="25" s="1"/>
  <c r="I238" i="25"/>
  <c r="L238" i="25" s="1"/>
  <c r="I233" i="25"/>
  <c r="L233" i="25" s="1"/>
  <c r="I219" i="25"/>
  <c r="O219" i="25" s="1"/>
  <c r="I234" i="25"/>
  <c r="L234" i="25" s="1"/>
  <c r="I225" i="25"/>
  <c r="O225" i="25" s="1"/>
  <c r="I222" i="25"/>
  <c r="L222" i="25" s="1"/>
  <c r="I217" i="25"/>
  <c r="L217" i="25" s="1"/>
  <c r="I229" i="25"/>
  <c r="O229" i="25" s="1"/>
  <c r="I236" i="25"/>
  <c r="L236" i="25" s="1"/>
  <c r="I226" i="25"/>
  <c r="O224" i="25"/>
  <c r="L224" i="25"/>
  <c r="L228" i="25"/>
  <c r="O228" i="25"/>
  <c r="I232" i="25"/>
  <c r="I218" i="25"/>
  <c r="I239" i="25"/>
  <c r="I237" i="25"/>
  <c r="I220" i="25"/>
  <c r="I231" i="25"/>
  <c r="I221" i="25"/>
  <c r="I216" i="25"/>
  <c r="I241" i="25"/>
  <c r="I235" i="25"/>
  <c r="K122" i="25"/>
  <c r="D61" i="27"/>
  <c r="D55" i="27"/>
  <c r="D57" i="27"/>
  <c r="D58" i="27"/>
  <c r="D56" i="27"/>
  <c r="G203" i="27"/>
  <c r="G199" i="27"/>
  <c r="C17" i="14" l="1"/>
  <c r="C147" i="14" s="1"/>
  <c r="O245" i="25"/>
  <c r="D59" i="27"/>
  <c r="G221" i="27"/>
  <c r="O246" i="25"/>
  <c r="K120" i="25"/>
  <c r="G219" i="27"/>
  <c r="L230" i="25"/>
  <c r="H18" i="27" a="1"/>
  <c r="I18" i="27" s="1"/>
  <c r="L243" i="25"/>
  <c r="L244" i="25"/>
  <c r="H186" i="27" a="1"/>
  <c r="I186" i="27" s="1"/>
  <c r="K123" i="25"/>
  <c r="D62" i="27"/>
  <c r="H106" i="27" a="1"/>
  <c r="AD108" i="27" s="1"/>
  <c r="D60" i="27"/>
  <c r="K121" i="25"/>
  <c r="H66" i="27" a="1"/>
  <c r="C38" i="14"/>
  <c r="F138" i="25"/>
  <c r="F33" i="25"/>
  <c r="C237" i="27"/>
  <c r="F199" i="27"/>
  <c r="F159" i="27"/>
  <c r="F119" i="27"/>
  <c r="F79" i="27"/>
  <c r="H146" i="27" a="1"/>
  <c r="O227" i="25"/>
  <c r="O223" i="25"/>
  <c r="L245" i="25"/>
  <c r="O240" i="25"/>
  <c r="L242" i="25"/>
  <c r="I253" i="25"/>
  <c r="O247" i="25"/>
  <c r="O234" i="25"/>
  <c r="L219" i="25"/>
  <c r="O238" i="25"/>
  <c r="O236" i="25"/>
  <c r="L229" i="25"/>
  <c r="L225" i="25"/>
  <c r="O222" i="25"/>
  <c r="O233" i="25"/>
  <c r="O217" i="25"/>
  <c r="I251" i="25"/>
  <c r="O232" i="25"/>
  <c r="I252" i="25"/>
  <c r="L232" i="25"/>
  <c r="O216" i="25"/>
  <c r="L216" i="25"/>
  <c r="I250" i="25"/>
  <c r="L218" i="25"/>
  <c r="O218" i="25"/>
  <c r="L241" i="25"/>
  <c r="O241" i="25"/>
  <c r="L226" i="25"/>
  <c r="O226" i="25"/>
  <c r="L231" i="25"/>
  <c r="O231" i="25"/>
  <c r="O237" i="25"/>
  <c r="L237" i="25"/>
  <c r="L235" i="25"/>
  <c r="O235" i="25"/>
  <c r="L220" i="25"/>
  <c r="O220" i="25"/>
  <c r="O221" i="25"/>
  <c r="L221" i="25"/>
  <c r="L239" i="25"/>
  <c r="O239" i="25"/>
  <c r="G208" i="27"/>
  <c r="G195" i="27"/>
  <c r="G204" i="27"/>
  <c r="G197" i="27"/>
  <c r="G198" i="27"/>
  <c r="G209" i="27"/>
  <c r="G217" i="27"/>
  <c r="G192" i="27"/>
  <c r="G193" i="27"/>
  <c r="G218" i="27"/>
  <c r="G194" i="27"/>
  <c r="G205" i="27"/>
  <c r="G200" i="27"/>
  <c r="G211" i="27"/>
  <c r="G222" i="27"/>
  <c r="G216" i="27"/>
  <c r="G206" i="27"/>
  <c r="G196" i="27"/>
  <c r="AC20" i="27" l="1"/>
  <c r="V20" i="27"/>
  <c r="T19" i="27"/>
  <c r="AI19" i="27"/>
  <c r="AB20" i="27"/>
  <c r="AD20" i="27"/>
  <c r="AA19" i="27"/>
  <c r="R18" i="27"/>
  <c r="AM18" i="27"/>
  <c r="N18" i="27"/>
  <c r="AL18" i="27"/>
  <c r="Y20" i="27"/>
  <c r="S19" i="27"/>
  <c r="AL20" i="27"/>
  <c r="O20" i="27"/>
  <c r="X19" i="27"/>
  <c r="Y19" i="27"/>
  <c r="L20" i="27"/>
  <c r="U20" i="27"/>
  <c r="I19" i="27"/>
  <c r="M18" i="27"/>
  <c r="Z20" i="27"/>
  <c r="N20" i="27"/>
  <c r="AD18" i="27"/>
  <c r="AK20" i="27"/>
  <c r="P19" i="27"/>
  <c r="R20" i="27"/>
  <c r="AD19" i="27"/>
  <c r="W20" i="27"/>
  <c r="AJ19" i="27"/>
  <c r="H19" i="27"/>
  <c r="AB18" i="27"/>
  <c r="AK18" i="27"/>
  <c r="J20" i="27"/>
  <c r="Y18" i="27"/>
  <c r="T18" i="27"/>
  <c r="AC18" i="27"/>
  <c r="AH20" i="27"/>
  <c r="V18" i="27"/>
  <c r="O19" i="27"/>
  <c r="AK19" i="27"/>
  <c r="AK37" i="27" s="1"/>
  <c r="S20" i="27"/>
  <c r="AG20" i="27"/>
  <c r="I20" i="27"/>
  <c r="AI20" i="27"/>
  <c r="M19" i="27"/>
  <c r="AG19" i="27"/>
  <c r="K20" i="27"/>
  <c r="AF18" i="27"/>
  <c r="X18" i="27"/>
  <c r="AI18" i="27"/>
  <c r="S18" i="27"/>
  <c r="V19" i="27"/>
  <c r="L18" i="27"/>
  <c r="J18" i="27"/>
  <c r="K18" i="27"/>
  <c r="H20" i="27"/>
  <c r="AM19" i="27"/>
  <c r="U18" i="27"/>
  <c r="AE19" i="27"/>
  <c r="AL19" i="27"/>
  <c r="J19" i="27"/>
  <c r="Z18" i="27"/>
  <c r="K19" i="27"/>
  <c r="AE18" i="27"/>
  <c r="W19" i="27"/>
  <c r="AF19" i="27"/>
  <c r="P20" i="27"/>
  <c r="W18" i="27"/>
  <c r="AA18" i="27"/>
  <c r="AB19" i="27"/>
  <c r="AH18" i="27"/>
  <c r="T20" i="27"/>
  <c r="AJ20" i="27"/>
  <c r="Q20" i="27"/>
  <c r="AF20" i="27"/>
  <c r="AG18" i="27"/>
  <c r="N19" i="27"/>
  <c r="AA20" i="27"/>
  <c r="R19" i="27"/>
  <c r="M20" i="27"/>
  <c r="L19" i="27"/>
  <c r="AH19" i="27"/>
  <c r="O18" i="27"/>
  <c r="AM20" i="27"/>
  <c r="AC19" i="27"/>
  <c r="Q19" i="27"/>
  <c r="Z19" i="27"/>
  <c r="H18" i="27"/>
  <c r="U19" i="27"/>
  <c r="P18" i="27"/>
  <c r="AJ18" i="27"/>
  <c r="Q18" i="27"/>
  <c r="X20" i="27"/>
  <c r="AE20" i="27"/>
  <c r="AA187" i="27"/>
  <c r="W188" i="27"/>
  <c r="AM186" i="27"/>
  <c r="AH187" i="27"/>
  <c r="Q186" i="27"/>
  <c r="M186" i="27"/>
  <c r="W186" i="27"/>
  <c r="V186" i="27"/>
  <c r="Z188" i="27"/>
  <c r="AE187" i="27"/>
  <c r="AL188" i="27"/>
  <c r="U186" i="27"/>
  <c r="AK187" i="27"/>
  <c r="Y188" i="27"/>
  <c r="Z186" i="27"/>
  <c r="AA188" i="27"/>
  <c r="S187" i="27"/>
  <c r="T188" i="27"/>
  <c r="AE188" i="27"/>
  <c r="AB188" i="27"/>
  <c r="AI186" i="27"/>
  <c r="AK188" i="27"/>
  <c r="AL187" i="27"/>
  <c r="I187" i="27"/>
  <c r="S188" i="27"/>
  <c r="H188" i="27"/>
  <c r="AF188" i="27"/>
  <c r="Q187" i="27"/>
  <c r="U188" i="27"/>
  <c r="Z187" i="27"/>
  <c r="AM188" i="27"/>
  <c r="K186" i="27"/>
  <c r="H186" i="27"/>
  <c r="P188" i="27"/>
  <c r="P186" i="27"/>
  <c r="AI188" i="27"/>
  <c r="AC187" i="27"/>
  <c r="I188" i="27"/>
  <c r="AB186" i="27"/>
  <c r="AH186" i="27"/>
  <c r="W187" i="27"/>
  <c r="J186" i="27"/>
  <c r="J187" i="27"/>
  <c r="T187" i="27"/>
  <c r="L188" i="27"/>
  <c r="N187" i="27"/>
  <c r="AM187" i="27"/>
  <c r="U187" i="27"/>
  <c r="AG188" i="27"/>
  <c r="AD187" i="27"/>
  <c r="AH188" i="27"/>
  <c r="AC188" i="27"/>
  <c r="V187" i="27"/>
  <c r="Q188" i="27"/>
  <c r="L187" i="27"/>
  <c r="O188" i="27"/>
  <c r="AC186" i="27"/>
  <c r="O186" i="27"/>
  <c r="AD188" i="27"/>
  <c r="AG187" i="27"/>
  <c r="AD186" i="27"/>
  <c r="T186" i="27"/>
  <c r="M187" i="27"/>
  <c r="M188" i="27"/>
  <c r="J188" i="27"/>
  <c r="AK186" i="27"/>
  <c r="AI187" i="27"/>
  <c r="O187" i="27"/>
  <c r="AE186" i="27"/>
  <c r="L186" i="27"/>
  <c r="N186" i="27"/>
  <c r="R187" i="27"/>
  <c r="V188" i="27"/>
  <c r="AF186" i="27"/>
  <c r="H187" i="27"/>
  <c r="R188" i="27"/>
  <c r="R186" i="27"/>
  <c r="K187" i="27"/>
  <c r="AF187" i="27"/>
  <c r="AG186" i="27"/>
  <c r="Y187" i="27"/>
  <c r="AJ186" i="27"/>
  <c r="AB187" i="27"/>
  <c r="Y186" i="27"/>
  <c r="S186" i="27"/>
  <c r="AA186" i="27"/>
  <c r="X187" i="27"/>
  <c r="AJ188" i="27"/>
  <c r="X186" i="27"/>
  <c r="K188" i="27"/>
  <c r="AL186" i="27"/>
  <c r="AJ187" i="27"/>
  <c r="X188" i="27"/>
  <c r="P187" i="27"/>
  <c r="N188" i="27"/>
  <c r="O107" i="27"/>
  <c r="Q107" i="27"/>
  <c r="AK106" i="27"/>
  <c r="Y107" i="27"/>
  <c r="AB108" i="27"/>
  <c r="AH108" i="27"/>
  <c r="K106" i="27"/>
  <c r="T107" i="27"/>
  <c r="W108" i="27"/>
  <c r="H107" i="27"/>
  <c r="H108" i="27"/>
  <c r="AM107" i="27"/>
  <c r="AJ108" i="27"/>
  <c r="AG106" i="27"/>
  <c r="P108" i="27"/>
  <c r="AH106" i="27"/>
  <c r="AB107" i="27"/>
  <c r="R108" i="27"/>
  <c r="AJ106" i="27"/>
  <c r="J107" i="27"/>
  <c r="AE108" i="27"/>
  <c r="AF108" i="27"/>
  <c r="L107" i="27"/>
  <c r="X106" i="27"/>
  <c r="AM106" i="27"/>
  <c r="Y106" i="27"/>
  <c r="AC106" i="27"/>
  <c r="P107" i="27"/>
  <c r="AE106" i="27"/>
  <c r="U107" i="27"/>
  <c r="W106" i="27"/>
  <c r="M106" i="27"/>
  <c r="H106" i="27"/>
  <c r="X108" i="27"/>
  <c r="Q108" i="27"/>
  <c r="J106" i="27"/>
  <c r="AC108" i="27"/>
  <c r="AA107" i="27"/>
  <c r="AD107" i="27"/>
  <c r="R106" i="27"/>
  <c r="I106" i="27"/>
  <c r="J108" i="27"/>
  <c r="S106" i="27"/>
  <c r="O108" i="27"/>
  <c r="AI106" i="27"/>
  <c r="T108" i="27"/>
  <c r="I108" i="27"/>
  <c r="U108" i="27"/>
  <c r="R107" i="27"/>
  <c r="T106" i="27"/>
  <c r="AG107" i="27"/>
  <c r="K107" i="27"/>
  <c r="Z108" i="27"/>
  <c r="AH107" i="27"/>
  <c r="AL108" i="27"/>
  <c r="AI107" i="27"/>
  <c r="AC107" i="27"/>
  <c r="W107" i="27"/>
  <c r="AK108" i="27"/>
  <c r="AM108" i="27"/>
  <c r="N106" i="27"/>
  <c r="V107" i="27"/>
  <c r="S107" i="27"/>
  <c r="AI108" i="27"/>
  <c r="L108" i="27"/>
  <c r="Y108" i="27"/>
  <c r="AE107" i="27"/>
  <c r="AL106" i="27"/>
  <c r="X107" i="27"/>
  <c r="L106" i="27"/>
  <c r="AF106" i="27"/>
  <c r="Z107" i="27"/>
  <c r="V108" i="27"/>
  <c r="AL107" i="27"/>
  <c r="AK107" i="27"/>
  <c r="AJ107" i="27"/>
  <c r="AA106" i="27"/>
  <c r="M108" i="27"/>
  <c r="S108" i="27"/>
  <c r="P106" i="27"/>
  <c r="Z106" i="27"/>
  <c r="K108" i="27"/>
  <c r="N108" i="27"/>
  <c r="AB106" i="27"/>
  <c r="V106" i="27"/>
  <c r="AD106" i="27"/>
  <c r="U106" i="27"/>
  <c r="AA108" i="27"/>
  <c r="M107" i="27"/>
  <c r="O106" i="27"/>
  <c r="AF107" i="27"/>
  <c r="I107" i="27"/>
  <c r="Q106" i="27"/>
  <c r="N107" i="27"/>
  <c r="AG108" i="27"/>
  <c r="K146" i="27"/>
  <c r="W147" i="27"/>
  <c r="AG147" i="27"/>
  <c r="AA146" i="27"/>
  <c r="AB146" i="27"/>
  <c r="AI148" i="27"/>
  <c r="O146" i="27"/>
  <c r="I147" i="27"/>
  <c r="P147" i="27"/>
  <c r="AJ147" i="27"/>
  <c r="Z148" i="27"/>
  <c r="AH148" i="27"/>
  <c r="K148" i="27"/>
  <c r="P146" i="27"/>
  <c r="AK146" i="27"/>
  <c r="N148" i="27"/>
  <c r="Y147" i="27"/>
  <c r="R147" i="27"/>
  <c r="AD148" i="27"/>
  <c r="AJ148" i="27"/>
  <c r="AM147" i="27"/>
  <c r="Q146" i="27"/>
  <c r="J146" i="27"/>
  <c r="AF147" i="27"/>
  <c r="S147" i="27"/>
  <c r="AD147" i="27"/>
  <c r="M146" i="27"/>
  <c r="H146" i="27"/>
  <c r="Y148" i="27"/>
  <c r="S148" i="27"/>
  <c r="X146" i="27"/>
  <c r="AB148" i="27"/>
  <c r="AF148" i="27"/>
  <c r="AM146" i="27"/>
  <c r="K147" i="27"/>
  <c r="V147" i="27"/>
  <c r="AG148" i="27"/>
  <c r="AE148" i="27"/>
  <c r="Q148" i="27"/>
  <c r="J147" i="27"/>
  <c r="M148" i="27"/>
  <c r="AM148" i="27"/>
  <c r="T146" i="27"/>
  <c r="L148" i="27"/>
  <c r="AC146" i="27"/>
  <c r="AA147" i="27"/>
  <c r="J148" i="27"/>
  <c r="U147" i="27"/>
  <c r="AC148" i="27"/>
  <c r="AD146" i="27"/>
  <c r="AI147" i="27"/>
  <c r="M147" i="27"/>
  <c r="AK147" i="27"/>
  <c r="AC147" i="27"/>
  <c r="T147" i="27"/>
  <c r="Q147" i="27"/>
  <c r="O147" i="27"/>
  <c r="L146" i="27"/>
  <c r="R148" i="27"/>
  <c r="L147" i="27"/>
  <c r="AE147" i="27"/>
  <c r="AL146" i="27"/>
  <c r="U146" i="27"/>
  <c r="AK148" i="27"/>
  <c r="Y146" i="27"/>
  <c r="T148" i="27"/>
  <c r="V146" i="27"/>
  <c r="X148" i="27"/>
  <c r="AL148" i="27"/>
  <c r="N147" i="27"/>
  <c r="I148" i="27"/>
  <c r="AH146" i="27"/>
  <c r="AI146" i="27"/>
  <c r="U148" i="27"/>
  <c r="V148" i="27"/>
  <c r="Z147" i="27"/>
  <c r="AF146" i="27"/>
  <c r="O148" i="27"/>
  <c r="W146" i="27"/>
  <c r="AJ146" i="27"/>
  <c r="AL147" i="27"/>
  <c r="AG146" i="27"/>
  <c r="X147" i="27"/>
  <c r="H148" i="27"/>
  <c r="Z146" i="27"/>
  <c r="N146" i="27"/>
  <c r="P148" i="27"/>
  <c r="AA148" i="27"/>
  <c r="AH147" i="27"/>
  <c r="H147" i="27"/>
  <c r="W148" i="27"/>
  <c r="AE146" i="27"/>
  <c r="AB147" i="27"/>
  <c r="S146" i="27"/>
  <c r="R146" i="27"/>
  <c r="I146" i="27"/>
  <c r="C39" i="14"/>
  <c r="F34" i="25"/>
  <c r="F139" i="25"/>
  <c r="C238" i="27"/>
  <c r="F200" i="27"/>
  <c r="F160" i="27"/>
  <c r="F120" i="27"/>
  <c r="F80" i="27"/>
  <c r="AL67" i="27"/>
  <c r="Z68" i="27"/>
  <c r="K68" i="27"/>
  <c r="AJ66" i="27"/>
  <c r="AC67" i="27"/>
  <c r="O67" i="27"/>
  <c r="AJ67" i="27"/>
  <c r="AA66" i="27"/>
  <c r="M67" i="27"/>
  <c r="AH68" i="27"/>
  <c r="T68" i="27"/>
  <c r="J68" i="27"/>
  <c r="AA68" i="27"/>
  <c r="R66" i="27"/>
  <c r="V68" i="27"/>
  <c r="Q68" i="27"/>
  <c r="P67" i="27"/>
  <c r="S67" i="27"/>
  <c r="AI67" i="27"/>
  <c r="Q66" i="27"/>
  <c r="P66" i="27"/>
  <c r="AK68" i="27"/>
  <c r="N68" i="27"/>
  <c r="W67" i="27"/>
  <c r="AG67" i="27"/>
  <c r="AM68" i="27"/>
  <c r="L66" i="27"/>
  <c r="AG68" i="27"/>
  <c r="AA67" i="27"/>
  <c r="I66" i="27"/>
  <c r="AE66" i="27"/>
  <c r="V66" i="27"/>
  <c r="I68" i="27"/>
  <c r="AD67" i="27"/>
  <c r="L67" i="27"/>
  <c r="O66" i="27"/>
  <c r="Z67" i="27"/>
  <c r="AB67" i="27"/>
  <c r="Y66" i="27"/>
  <c r="AK67" i="27"/>
  <c r="AM66" i="27"/>
  <c r="U68" i="27"/>
  <c r="W68" i="27"/>
  <c r="AF67" i="27"/>
  <c r="AM67" i="27"/>
  <c r="W66" i="27"/>
  <c r="AK66" i="27"/>
  <c r="AI66" i="27"/>
  <c r="T66" i="27"/>
  <c r="AJ68" i="27"/>
  <c r="AF68" i="27"/>
  <c r="AD68" i="27"/>
  <c r="X67" i="27"/>
  <c r="O68" i="27"/>
  <c r="M66" i="27"/>
  <c r="S66" i="27"/>
  <c r="R67" i="27"/>
  <c r="Y68" i="27"/>
  <c r="AF66" i="27"/>
  <c r="U67" i="27"/>
  <c r="AG66" i="27"/>
  <c r="X66" i="27"/>
  <c r="AH67" i="27"/>
  <c r="AD66" i="27"/>
  <c r="S68" i="27"/>
  <c r="N67" i="27"/>
  <c r="H66" i="27"/>
  <c r="AI68" i="27"/>
  <c r="V67" i="27"/>
  <c r="R68" i="27"/>
  <c r="P68" i="27"/>
  <c r="M68" i="27"/>
  <c r="J67" i="27"/>
  <c r="N66" i="27"/>
  <c r="AL66" i="27"/>
  <c r="Z66" i="27"/>
  <c r="AB66" i="27"/>
  <c r="Q67" i="27"/>
  <c r="AC68" i="27"/>
  <c r="Y67" i="27"/>
  <c r="AE67" i="27"/>
  <c r="J66" i="27"/>
  <c r="AE68" i="27"/>
  <c r="H67" i="27"/>
  <c r="AC66" i="27"/>
  <c r="T67" i="27"/>
  <c r="L68" i="27"/>
  <c r="AH66" i="27"/>
  <c r="K67" i="27"/>
  <c r="I67" i="27"/>
  <c r="U66" i="27"/>
  <c r="X68" i="27"/>
  <c r="AB68" i="27"/>
  <c r="K66" i="27"/>
  <c r="AL68" i="27"/>
  <c r="H68" i="27"/>
  <c r="L253" i="25"/>
  <c r="O253" i="25"/>
  <c r="I254" i="25"/>
  <c r="L251" i="25"/>
  <c r="O251" i="25"/>
  <c r="L250" i="25"/>
  <c r="O250" i="25"/>
  <c r="L252" i="25"/>
  <c r="O252" i="25"/>
  <c r="G220" i="27"/>
  <c r="G201" i="27"/>
  <c r="G210" i="27"/>
  <c r="G214" i="27"/>
  <c r="G207" i="27"/>
  <c r="G191" i="27"/>
  <c r="G202" i="27"/>
  <c r="G215" i="27"/>
  <c r="G212" i="27"/>
  <c r="G213" i="27"/>
  <c r="AK44" i="27"/>
  <c r="F24" i="27"/>
  <c r="F217" i="25" s="1"/>
  <c r="B6"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U39" i="27" l="1"/>
  <c r="U27" i="27"/>
  <c r="L53" i="27"/>
  <c r="U25" i="27"/>
  <c r="U34" i="27"/>
  <c r="I24" i="27"/>
  <c r="U49" i="27"/>
  <c r="U60" i="27"/>
  <c r="U45" i="27"/>
  <c r="U38" i="27"/>
  <c r="U31" i="27"/>
  <c r="W43" i="27"/>
  <c r="R23" i="27"/>
  <c r="P38" i="27"/>
  <c r="I32" i="27"/>
  <c r="S60" i="27"/>
  <c r="U50" i="27"/>
  <c r="U32" i="27"/>
  <c r="U54" i="27"/>
  <c r="U55" i="27"/>
  <c r="U43" i="27"/>
  <c r="U59" i="27"/>
  <c r="U36" i="27"/>
  <c r="U51" i="27"/>
  <c r="W37" i="27"/>
  <c r="O57" i="27"/>
  <c r="AK62" i="27"/>
  <c r="U24" i="27"/>
  <c r="U48" i="27"/>
  <c r="U56" i="27"/>
  <c r="U35" i="27"/>
  <c r="U33" i="27"/>
  <c r="U42" i="27"/>
  <c r="U26" i="27"/>
  <c r="U53" i="27"/>
  <c r="AK48" i="27"/>
  <c r="Y28" i="27"/>
  <c r="U44" i="27"/>
  <c r="U62" i="27"/>
  <c r="W53" i="27"/>
  <c r="U47" i="27"/>
  <c r="U28" i="27"/>
  <c r="U52" i="27"/>
  <c r="U37" i="27"/>
  <c r="U61" i="27"/>
  <c r="AL54" i="27"/>
  <c r="AC62" i="27"/>
  <c r="W45" i="27"/>
  <c r="Z34" i="27"/>
  <c r="AH59" i="27"/>
  <c r="AB47" i="27"/>
  <c r="AD54" i="27"/>
  <c r="Y37" i="27"/>
  <c r="W41" i="27"/>
  <c r="Q46" i="27"/>
  <c r="V43" i="27"/>
  <c r="AL44" i="27"/>
  <c r="W25" i="27"/>
  <c r="W35" i="27"/>
  <c r="I29" i="27"/>
  <c r="W27" i="27"/>
  <c r="W56" i="27"/>
  <c r="W26" i="27"/>
  <c r="I23" i="27"/>
  <c r="W30" i="27"/>
  <c r="I48" i="27"/>
  <c r="T48" i="27"/>
  <c r="AA28" i="27"/>
  <c r="J46" i="27"/>
  <c r="AM34" i="27"/>
  <c r="I33" i="27"/>
  <c r="AC61" i="27"/>
  <c r="AJ46" i="27"/>
  <c r="I56" i="27"/>
  <c r="Y27" i="27"/>
  <c r="I62" i="27"/>
  <c r="Y45" i="27"/>
  <c r="P25" i="27"/>
  <c r="AI45" i="27"/>
  <c r="Y51" i="27"/>
  <c r="AI54" i="27"/>
  <c r="J43" i="27"/>
  <c r="J53" i="27"/>
  <c r="L52" i="27"/>
  <c r="L43" i="27"/>
  <c r="L61" i="27"/>
  <c r="N55" i="27"/>
  <c r="AL46" i="27"/>
  <c r="L58" i="27"/>
  <c r="R47" i="27"/>
  <c r="AL30" i="27"/>
  <c r="AJ38" i="27"/>
  <c r="AH50" i="27"/>
  <c r="AC50" i="27"/>
  <c r="AJ60" i="27"/>
  <c r="L44" i="27"/>
  <c r="AA31" i="27"/>
  <c r="AL23" i="27"/>
  <c r="AC41" i="27"/>
  <c r="AL61" i="27"/>
  <c r="AJ61" i="27"/>
  <c r="L26" i="27"/>
  <c r="V33" i="27"/>
  <c r="N41" i="27"/>
  <c r="J29" i="27"/>
  <c r="AC44" i="27"/>
  <c r="AC33" i="27"/>
  <c r="L33" i="27"/>
  <c r="H41" i="27"/>
  <c r="AH54" i="27"/>
  <c r="X44" i="27"/>
  <c r="K49" i="27"/>
  <c r="X37" i="27"/>
  <c r="R31" i="27"/>
  <c r="R25" i="27"/>
  <c r="AC49" i="27"/>
  <c r="AH48" i="27"/>
  <c r="AL56" i="27"/>
  <c r="P44" i="27"/>
  <c r="L24" i="27"/>
  <c r="L29" i="27"/>
  <c r="L54" i="27"/>
  <c r="L56" i="27"/>
  <c r="AI28" i="27"/>
  <c r="R55" i="27"/>
  <c r="AC37" i="27"/>
  <c r="AL25" i="27"/>
  <c r="AL60" i="27"/>
  <c r="AB61" i="27"/>
  <c r="P62" i="27"/>
  <c r="AA54" i="27"/>
  <c r="L47" i="27"/>
  <c r="L30" i="27"/>
  <c r="L41" i="27"/>
  <c r="L60" i="27"/>
  <c r="AI48" i="27"/>
  <c r="R59" i="27"/>
  <c r="AC56" i="27"/>
  <c r="AL47" i="27"/>
  <c r="J47" i="27"/>
  <c r="AJ47" i="27"/>
  <c r="P60" i="27"/>
  <c r="AA33" i="27"/>
  <c r="L40" i="27"/>
  <c r="L38" i="27"/>
  <c r="L31" i="27"/>
  <c r="L62" i="27"/>
  <c r="AI31" i="27"/>
  <c r="L37" i="27"/>
  <c r="L28" i="27"/>
  <c r="L35" i="27"/>
  <c r="N27" i="27"/>
  <c r="AA58" i="27"/>
  <c r="AC25" i="27"/>
  <c r="K47" i="27"/>
  <c r="L39" i="27"/>
  <c r="L45" i="27"/>
  <c r="L51" i="27"/>
  <c r="N36" i="27"/>
  <c r="K33" i="27"/>
  <c r="L32" i="27"/>
  <c r="L46" i="27"/>
  <c r="L55" i="27"/>
  <c r="N49" i="27"/>
  <c r="M59" i="27"/>
  <c r="AK50" i="27"/>
  <c r="R40" i="27"/>
  <c r="K37" i="27"/>
  <c r="AI33" i="27"/>
  <c r="X50" i="27"/>
  <c r="AE50" i="27"/>
  <c r="Q34" i="27"/>
  <c r="AA59" i="27"/>
  <c r="AB60" i="27"/>
  <c r="Z56" i="27"/>
  <c r="J59" i="27"/>
  <c r="H33" i="27"/>
  <c r="N57" i="27"/>
  <c r="AH36" i="27"/>
  <c r="AH58" i="27"/>
  <c r="K36" i="27"/>
  <c r="AI39" i="27"/>
  <c r="X26" i="27"/>
  <c r="X42" i="27"/>
  <c r="AH25" i="27"/>
  <c r="AH31" i="27"/>
  <c r="K57" i="27"/>
  <c r="L36" i="27"/>
  <c r="L49" i="27"/>
  <c r="L57" i="27"/>
  <c r="M25" i="27"/>
  <c r="AI58" i="27"/>
  <c r="X39" i="27"/>
  <c r="AM35" i="27"/>
  <c r="AL58" i="27"/>
  <c r="AI61" i="27"/>
  <c r="R49" i="27"/>
  <c r="R32" i="27"/>
  <c r="R48" i="27"/>
  <c r="AH47" i="27"/>
  <c r="AH61" i="27"/>
  <c r="U46" i="27"/>
  <c r="U40" i="27"/>
  <c r="U23" i="27"/>
  <c r="U57" i="27"/>
  <c r="K43" i="27"/>
  <c r="K51" i="27"/>
  <c r="L25" i="27"/>
  <c r="L50" i="27"/>
  <c r="L48" i="27"/>
  <c r="L59" i="27"/>
  <c r="AI47" i="27"/>
  <c r="AI53" i="27"/>
  <c r="X51" i="27"/>
  <c r="P58" i="27"/>
  <c r="X58" i="27"/>
  <c r="K25" i="27"/>
  <c r="K60" i="27"/>
  <c r="AH52" i="27"/>
  <c r="U29" i="27"/>
  <c r="U41" i="27"/>
  <c r="U30" i="27"/>
  <c r="U58" i="27"/>
  <c r="L34" i="27"/>
  <c r="L27" i="27"/>
  <c r="L42" i="27"/>
  <c r="L23" i="27"/>
  <c r="X62" i="27"/>
  <c r="Q38" i="27"/>
  <c r="J27" i="27"/>
  <c r="J42" i="27"/>
  <c r="J44" i="27"/>
  <c r="J41" i="27"/>
  <c r="J61" i="27"/>
  <c r="AB28" i="27"/>
  <c r="AB55" i="27"/>
  <c r="H36" i="27"/>
  <c r="AA24" i="27"/>
  <c r="AA23" i="27"/>
  <c r="AA40" i="27"/>
  <c r="AA56" i="27"/>
  <c r="AA61" i="27"/>
  <c r="Z44" i="27"/>
  <c r="Z51" i="27"/>
  <c r="N25" i="27"/>
  <c r="N28" i="27"/>
  <c r="N33" i="27"/>
  <c r="N56" i="27"/>
  <c r="N35" i="27"/>
  <c r="V54" i="27"/>
  <c r="Z35" i="27"/>
  <c r="K35" i="27"/>
  <c r="O42" i="27"/>
  <c r="AB51" i="27"/>
  <c r="AD37" i="27"/>
  <c r="X56" i="27"/>
  <c r="R62" i="27"/>
  <c r="Q43" i="27"/>
  <c r="J34" i="27"/>
  <c r="J54" i="27"/>
  <c r="J28" i="27"/>
  <c r="J31" i="27"/>
  <c r="J57" i="27"/>
  <c r="AB30" i="27"/>
  <c r="H31" i="27"/>
  <c r="AA36" i="27"/>
  <c r="AA43" i="27"/>
  <c r="AA30" i="27"/>
  <c r="AA60" i="27"/>
  <c r="AA35" i="27"/>
  <c r="Z30" i="27"/>
  <c r="N44" i="27"/>
  <c r="N50" i="27"/>
  <c r="N26" i="27"/>
  <c r="N32" i="27"/>
  <c r="N51" i="27"/>
  <c r="V35" i="27"/>
  <c r="J36" i="27"/>
  <c r="J58" i="27"/>
  <c r="AB38" i="27"/>
  <c r="H55" i="27"/>
  <c r="AA44" i="27"/>
  <c r="AA50" i="27"/>
  <c r="AA49" i="27"/>
  <c r="AA37" i="27"/>
  <c r="AA62" i="27"/>
  <c r="Z36" i="27"/>
  <c r="N24" i="27"/>
  <c r="N42" i="27"/>
  <c r="N30" i="27"/>
  <c r="N39" i="27"/>
  <c r="N58" i="27"/>
  <c r="Q58" i="27"/>
  <c r="AG56" i="27"/>
  <c r="V53" i="27"/>
  <c r="AC59" i="27"/>
  <c r="M62" i="27"/>
  <c r="S30" i="27"/>
  <c r="J48" i="27"/>
  <c r="J37" i="27"/>
  <c r="J25" i="27"/>
  <c r="J23" i="27"/>
  <c r="J51" i="27"/>
  <c r="J60" i="27"/>
  <c r="AB45" i="27"/>
  <c r="AA47" i="27"/>
  <c r="AA45" i="27"/>
  <c r="AA48" i="27"/>
  <c r="AA39" i="27"/>
  <c r="AA53" i="27"/>
  <c r="Z46" i="27"/>
  <c r="N37" i="27"/>
  <c r="N46" i="27"/>
  <c r="N43" i="27"/>
  <c r="N23" i="27"/>
  <c r="N60" i="27"/>
  <c r="V28" i="27"/>
  <c r="AJ57" i="27"/>
  <c r="Q57" i="27"/>
  <c r="J40" i="27"/>
  <c r="Q61" i="27"/>
  <c r="Q24" i="27"/>
  <c r="Q60" i="27"/>
  <c r="J39" i="27"/>
  <c r="J33" i="27"/>
  <c r="J49" i="27"/>
  <c r="J55" i="27"/>
  <c r="J62" i="27"/>
  <c r="AB52" i="27"/>
  <c r="AA25" i="27"/>
  <c r="AA42" i="27"/>
  <c r="AA26" i="27"/>
  <c r="AA38" i="27"/>
  <c r="AA55" i="27"/>
  <c r="Z26" i="27"/>
  <c r="N47" i="27"/>
  <c r="N52" i="27"/>
  <c r="N45" i="27"/>
  <c r="N59" i="27"/>
  <c r="N62" i="27"/>
  <c r="V24" i="27"/>
  <c r="X32" i="27"/>
  <c r="J35" i="27"/>
  <c r="Q23" i="27"/>
  <c r="J50" i="27"/>
  <c r="J32" i="27"/>
  <c r="J30" i="27"/>
  <c r="J45" i="27"/>
  <c r="J56" i="27"/>
  <c r="AB41" i="27"/>
  <c r="AA29" i="27"/>
  <c r="AA46" i="27"/>
  <c r="AA41" i="27"/>
  <c r="AA32" i="27"/>
  <c r="AA57" i="27"/>
  <c r="Z60" i="27"/>
  <c r="N38" i="27"/>
  <c r="N54" i="27"/>
  <c r="N34" i="27"/>
  <c r="N61" i="27"/>
  <c r="N53" i="27"/>
  <c r="V27" i="27"/>
  <c r="AG40" i="27"/>
  <c r="Q25" i="27"/>
  <c r="J52" i="27"/>
  <c r="J24" i="27"/>
  <c r="J38" i="27"/>
  <c r="J26" i="27"/>
  <c r="AA27" i="27"/>
  <c r="AA52" i="27"/>
  <c r="AA34" i="27"/>
  <c r="AA51" i="27"/>
  <c r="Z27" i="27"/>
  <c r="N29" i="27"/>
  <c r="N48" i="27"/>
  <c r="N40" i="27"/>
  <c r="N31" i="27"/>
  <c r="AG42" i="27"/>
  <c r="H56" i="27"/>
  <c r="AE29" i="27"/>
  <c r="Y35" i="27"/>
  <c r="Q28" i="27"/>
  <c r="Q33" i="27"/>
  <c r="Q52" i="27"/>
  <c r="Q35" i="27"/>
  <c r="Q62" i="27"/>
  <c r="R45" i="27"/>
  <c r="R39" i="27"/>
  <c r="R28" i="27"/>
  <c r="R35" i="27"/>
  <c r="R61" i="27"/>
  <c r="AC36" i="27"/>
  <c r="AC54" i="27"/>
  <c r="AC30" i="27"/>
  <c r="AC58" i="27"/>
  <c r="AC31" i="27"/>
  <c r="AH24" i="27"/>
  <c r="AH33" i="27"/>
  <c r="AH41" i="27"/>
  <c r="AH60" i="27"/>
  <c r="AH53" i="27"/>
  <c r="AL45" i="27"/>
  <c r="AL52" i="27"/>
  <c r="AL33" i="27"/>
  <c r="AL57" i="27"/>
  <c r="AL62" i="27"/>
  <c r="AB24" i="27"/>
  <c r="AB37" i="27"/>
  <c r="AB42" i="27"/>
  <c r="AB56" i="27"/>
  <c r="AB57" i="27"/>
  <c r="S31" i="27"/>
  <c r="K29" i="27"/>
  <c r="K48" i="27"/>
  <c r="K23" i="27"/>
  <c r="K53" i="27"/>
  <c r="K56" i="27"/>
  <c r="AD56" i="27"/>
  <c r="W29" i="27"/>
  <c r="W34" i="27"/>
  <c r="W23" i="27"/>
  <c r="W49" i="27"/>
  <c r="W31" i="27"/>
  <c r="M48" i="27"/>
  <c r="Z41" i="27"/>
  <c r="Z40" i="27"/>
  <c r="Z50" i="27"/>
  <c r="Z53" i="27"/>
  <c r="Z59" i="27"/>
  <c r="O58" i="27"/>
  <c r="AI36" i="27"/>
  <c r="AI43" i="27"/>
  <c r="AI30" i="27"/>
  <c r="AI60" i="27"/>
  <c r="AI35" i="27"/>
  <c r="V25" i="27"/>
  <c r="V50" i="27"/>
  <c r="V61" i="27"/>
  <c r="X47" i="27"/>
  <c r="X36" i="27"/>
  <c r="X52" i="27"/>
  <c r="X55" i="27"/>
  <c r="X35" i="27"/>
  <c r="AG37" i="27"/>
  <c r="Q36" i="27"/>
  <c r="Q39" i="27"/>
  <c r="Q54" i="27"/>
  <c r="Q55" i="27"/>
  <c r="Q53" i="27"/>
  <c r="R34" i="27"/>
  <c r="R38" i="27"/>
  <c r="R36" i="27"/>
  <c r="R53" i="27"/>
  <c r="R57" i="27"/>
  <c r="AC23" i="27"/>
  <c r="AC43" i="27"/>
  <c r="AC26" i="27"/>
  <c r="AC60" i="27"/>
  <c r="AC35" i="27"/>
  <c r="AH26" i="27"/>
  <c r="AH30" i="27"/>
  <c r="AH43" i="27"/>
  <c r="AH62" i="27"/>
  <c r="AH57" i="27"/>
  <c r="AL49" i="27"/>
  <c r="AL41" i="27"/>
  <c r="AL32" i="27"/>
  <c r="AL59" i="27"/>
  <c r="AL35" i="27"/>
  <c r="AB44" i="27"/>
  <c r="AB39" i="27"/>
  <c r="AB46" i="27"/>
  <c r="AB58" i="27"/>
  <c r="AB59" i="27"/>
  <c r="K27" i="27"/>
  <c r="K44" i="27"/>
  <c r="K30" i="27"/>
  <c r="K55" i="27"/>
  <c r="K58" i="27"/>
  <c r="AM25" i="27"/>
  <c r="W28" i="27"/>
  <c r="W33" i="27"/>
  <c r="W50" i="27"/>
  <c r="W48" i="27"/>
  <c r="W51" i="27"/>
  <c r="M39" i="27"/>
  <c r="Z28" i="27"/>
  <c r="Z33" i="27"/>
  <c r="Z42" i="27"/>
  <c r="Z58" i="27"/>
  <c r="Z61" i="27"/>
  <c r="AI44" i="27"/>
  <c r="AI50" i="27"/>
  <c r="AI49" i="27"/>
  <c r="AI37" i="27"/>
  <c r="AI62" i="27"/>
  <c r="V47" i="27"/>
  <c r="V29" i="27"/>
  <c r="V52" i="27"/>
  <c r="V57" i="27"/>
  <c r="X28" i="27"/>
  <c r="X45" i="27"/>
  <c r="X54" i="27"/>
  <c r="X59" i="27"/>
  <c r="X60" i="27"/>
  <c r="AG45" i="27"/>
  <c r="Q49" i="27"/>
  <c r="Q31" i="27"/>
  <c r="R44" i="27"/>
  <c r="R33" i="27"/>
  <c r="R50" i="27"/>
  <c r="R26" i="27"/>
  <c r="R51" i="27"/>
  <c r="AC47" i="27"/>
  <c r="AC45" i="27"/>
  <c r="AC48" i="27"/>
  <c r="AC39" i="27"/>
  <c r="AC53" i="27"/>
  <c r="AH44" i="27"/>
  <c r="AH34" i="27"/>
  <c r="AH37" i="27"/>
  <c r="AH45" i="27"/>
  <c r="AH35" i="27"/>
  <c r="AL24" i="27"/>
  <c r="AL29" i="27"/>
  <c r="AL26" i="27"/>
  <c r="AL37" i="27"/>
  <c r="AL55" i="27"/>
  <c r="AB23" i="27"/>
  <c r="AB32" i="27"/>
  <c r="AB54" i="27"/>
  <c r="AB62" i="27"/>
  <c r="AB53" i="27"/>
  <c r="K45" i="27"/>
  <c r="K26" i="27"/>
  <c r="K39" i="27"/>
  <c r="K59" i="27"/>
  <c r="K62" i="27"/>
  <c r="AM28" i="27"/>
  <c r="W44" i="27"/>
  <c r="W39" i="27"/>
  <c r="W42" i="27"/>
  <c r="W55" i="27"/>
  <c r="W58" i="27"/>
  <c r="Z24" i="27"/>
  <c r="Z37" i="27"/>
  <c r="Z52" i="27"/>
  <c r="Z62" i="27"/>
  <c r="Z55" i="27"/>
  <c r="AI25" i="27"/>
  <c r="AI42" i="27"/>
  <c r="AI41" i="27"/>
  <c r="AI38" i="27"/>
  <c r="AI55" i="27"/>
  <c r="V34" i="27"/>
  <c r="V36" i="27"/>
  <c r="V48" i="27"/>
  <c r="V58" i="27"/>
  <c r="X29" i="27"/>
  <c r="X46" i="27"/>
  <c r="X48" i="27"/>
  <c r="X61" i="27"/>
  <c r="X31" i="27"/>
  <c r="AG55" i="27"/>
  <c r="O51" i="27"/>
  <c r="S59" i="27"/>
  <c r="Q29" i="27"/>
  <c r="Q50" i="27"/>
  <c r="Q48" i="27"/>
  <c r="Q51" i="27"/>
  <c r="R27" i="27"/>
  <c r="R30" i="27"/>
  <c r="R46" i="27"/>
  <c r="R24" i="27"/>
  <c r="R56" i="27"/>
  <c r="AC28" i="27"/>
  <c r="AC42" i="27"/>
  <c r="AC24" i="27"/>
  <c r="AC38" i="27"/>
  <c r="AC55" i="27"/>
  <c r="AH29" i="27"/>
  <c r="AH42" i="27"/>
  <c r="AH39" i="27"/>
  <c r="AH23" i="27"/>
  <c r="AH55" i="27"/>
  <c r="AL34" i="27"/>
  <c r="AL50" i="27"/>
  <c r="AL48" i="27"/>
  <c r="AL39" i="27"/>
  <c r="AL31" i="27"/>
  <c r="AB29" i="27"/>
  <c r="AB34" i="27"/>
  <c r="AB26" i="27"/>
  <c r="AB43" i="27"/>
  <c r="AB31" i="27"/>
  <c r="S25" i="27"/>
  <c r="K24" i="27"/>
  <c r="K42" i="27"/>
  <c r="K41" i="27"/>
  <c r="K38" i="27"/>
  <c r="K61" i="27"/>
  <c r="AD32" i="27"/>
  <c r="AM54" i="27"/>
  <c r="W47" i="27"/>
  <c r="W38" i="27"/>
  <c r="W46" i="27"/>
  <c r="W57" i="27"/>
  <c r="W60" i="27"/>
  <c r="Z25" i="27"/>
  <c r="Z45" i="27"/>
  <c r="Z39" i="27"/>
  <c r="Z23" i="27"/>
  <c r="Z57" i="27"/>
  <c r="O24" i="27"/>
  <c r="AI29" i="27"/>
  <c r="AI46" i="27"/>
  <c r="AI26" i="27"/>
  <c r="AI32" i="27"/>
  <c r="AI57" i="27"/>
  <c r="V32" i="27"/>
  <c r="V41" i="27"/>
  <c r="V37" i="27"/>
  <c r="X27" i="27"/>
  <c r="X25" i="27"/>
  <c r="X23" i="27"/>
  <c r="X41" i="27"/>
  <c r="X57" i="27"/>
  <c r="AG57" i="27"/>
  <c r="Q32" i="27"/>
  <c r="Q40" i="27"/>
  <c r="Q41" i="27"/>
  <c r="Q26" i="27"/>
  <c r="Q56" i="27"/>
  <c r="R29" i="27"/>
  <c r="R43" i="27"/>
  <c r="R52" i="27"/>
  <c r="R41" i="27"/>
  <c r="R60" i="27"/>
  <c r="AC29" i="27"/>
  <c r="AC46" i="27"/>
  <c r="AC34" i="27"/>
  <c r="AC32" i="27"/>
  <c r="AC57" i="27"/>
  <c r="AH27" i="27"/>
  <c r="AH40" i="27"/>
  <c r="AH38" i="27"/>
  <c r="AH49" i="27"/>
  <c r="AH51" i="27"/>
  <c r="AL43" i="27"/>
  <c r="AL42" i="27"/>
  <c r="AL36" i="27"/>
  <c r="AL38" i="27"/>
  <c r="AL51" i="27"/>
  <c r="AB27" i="27"/>
  <c r="AB40" i="27"/>
  <c r="AB36" i="27"/>
  <c r="AB49" i="27"/>
  <c r="AB35" i="27"/>
  <c r="S49" i="27"/>
  <c r="K50" i="27"/>
  <c r="K46" i="27"/>
  <c r="K34" i="27"/>
  <c r="K32" i="27"/>
  <c r="K31" i="27"/>
  <c r="AD45" i="27"/>
  <c r="W36" i="27"/>
  <c r="W32" i="27"/>
  <c r="W52" i="27"/>
  <c r="W59" i="27"/>
  <c r="W62" i="27"/>
  <c r="Z29" i="27"/>
  <c r="Z49" i="27"/>
  <c r="Z38" i="27"/>
  <c r="Z54" i="27"/>
  <c r="Z31" i="27"/>
  <c r="O38" i="27"/>
  <c r="AI27" i="27"/>
  <c r="AI52" i="27"/>
  <c r="AI34" i="27"/>
  <c r="AI51" i="27"/>
  <c r="AI59" i="27"/>
  <c r="V40" i="27"/>
  <c r="V45" i="27"/>
  <c r="V38" i="27"/>
  <c r="X24" i="27"/>
  <c r="X34" i="27"/>
  <c r="X43" i="27"/>
  <c r="X33" i="27"/>
  <c r="X53" i="27"/>
  <c r="AG29" i="27"/>
  <c r="AG58" i="27"/>
  <c r="Q30" i="27"/>
  <c r="Q27" i="27"/>
  <c r="Q44" i="27"/>
  <c r="Q45" i="27"/>
  <c r="Q47" i="27"/>
  <c r="Q37" i="27"/>
  <c r="Q42" i="27"/>
  <c r="Q59" i="27"/>
  <c r="R42" i="27"/>
  <c r="R37" i="27"/>
  <c r="R54" i="27"/>
  <c r="R58" i="27"/>
  <c r="AC27" i="27"/>
  <c r="AC52" i="27"/>
  <c r="AC40" i="27"/>
  <c r="AC51" i="27"/>
  <c r="AH28" i="27"/>
  <c r="AH46" i="27"/>
  <c r="AH32" i="27"/>
  <c r="AH56" i="27"/>
  <c r="AL27" i="27"/>
  <c r="AL40" i="27"/>
  <c r="AL28" i="27"/>
  <c r="AL53" i="27"/>
  <c r="AB25" i="27"/>
  <c r="AB33" i="27"/>
  <c r="AB50" i="27"/>
  <c r="AB48" i="27"/>
  <c r="K52" i="27"/>
  <c r="K54" i="27"/>
  <c r="K40" i="27"/>
  <c r="K28" i="27"/>
  <c r="W24" i="27"/>
  <c r="W40" i="27"/>
  <c r="W54" i="27"/>
  <c r="W61" i="27"/>
  <c r="Z43" i="27"/>
  <c r="Z47" i="27"/>
  <c r="Z32" i="27"/>
  <c r="Z48" i="27"/>
  <c r="AI24" i="27"/>
  <c r="AI23" i="27"/>
  <c r="AI40" i="27"/>
  <c r="AI56" i="27"/>
  <c r="V44" i="27"/>
  <c r="V42" i="27"/>
  <c r="V30" i="27"/>
  <c r="X40" i="27"/>
  <c r="X38" i="27"/>
  <c r="X49" i="27"/>
  <c r="X30" i="27"/>
  <c r="AG27" i="27"/>
  <c r="AG60" i="27"/>
  <c r="M58" i="27"/>
  <c r="AF58" i="27"/>
  <c r="AK31" i="27"/>
  <c r="AM62" i="27"/>
  <c r="Y29" i="27"/>
  <c r="Y41" i="27"/>
  <c r="Y50" i="27"/>
  <c r="Y48" i="27"/>
  <c r="Y31" i="27"/>
  <c r="AE33" i="27"/>
  <c r="H44" i="27"/>
  <c r="H25" i="27"/>
  <c r="H30" i="27"/>
  <c r="H60" i="27"/>
  <c r="H61" i="27"/>
  <c r="T51" i="27"/>
  <c r="AK24" i="27"/>
  <c r="AK49" i="27"/>
  <c r="AK26" i="27"/>
  <c r="AK60" i="27"/>
  <c r="AK35" i="27"/>
  <c r="AM30" i="27"/>
  <c r="AM23" i="27"/>
  <c r="AM41" i="27"/>
  <c r="AM61" i="27"/>
  <c r="AM53" i="27"/>
  <c r="M43" i="27"/>
  <c r="M49" i="27"/>
  <c r="M37" i="27"/>
  <c r="M57" i="27"/>
  <c r="M60" i="27"/>
  <c r="Y44" i="27"/>
  <c r="Y34" i="27"/>
  <c r="Y42" i="27"/>
  <c r="Y36" i="27"/>
  <c r="Y56" i="27"/>
  <c r="AE48" i="27"/>
  <c r="H38" i="27"/>
  <c r="H26" i="27"/>
  <c r="H54" i="27"/>
  <c r="H57" i="27"/>
  <c r="H35" i="27"/>
  <c r="AK47" i="27"/>
  <c r="AK45" i="27"/>
  <c r="AK23" i="27"/>
  <c r="AK39" i="27"/>
  <c r="AK53" i="27"/>
  <c r="AM29" i="27"/>
  <c r="AM33" i="27"/>
  <c r="AM36" i="27"/>
  <c r="AM43" i="27"/>
  <c r="AM31" i="27"/>
  <c r="M23" i="27"/>
  <c r="M44" i="27"/>
  <c r="M26" i="27"/>
  <c r="M38" i="27"/>
  <c r="M61" i="27"/>
  <c r="AF47" i="27"/>
  <c r="Y47" i="27"/>
  <c r="Y33" i="27"/>
  <c r="Y46" i="27"/>
  <c r="Y55" i="27"/>
  <c r="Y58" i="27"/>
  <c r="AE51" i="27"/>
  <c r="H27" i="27"/>
  <c r="H50" i="27"/>
  <c r="H37" i="27"/>
  <c r="H62" i="27"/>
  <c r="H58" i="27"/>
  <c r="AK29" i="27"/>
  <c r="AK42" i="27"/>
  <c r="AK41" i="27"/>
  <c r="AK38" i="27"/>
  <c r="AK55" i="27"/>
  <c r="AM27" i="27"/>
  <c r="AM37" i="27"/>
  <c r="AM50" i="27"/>
  <c r="AM49" i="27"/>
  <c r="AM51" i="27"/>
  <c r="M29" i="27"/>
  <c r="M47" i="27"/>
  <c r="M24" i="27"/>
  <c r="M32" i="27"/>
  <c r="M31" i="27"/>
  <c r="AF52" i="27"/>
  <c r="Y26" i="27"/>
  <c r="Y39" i="27"/>
  <c r="Y52" i="27"/>
  <c r="Y57" i="27"/>
  <c r="Y60" i="27"/>
  <c r="H47" i="27"/>
  <c r="H29" i="27"/>
  <c r="H34" i="27"/>
  <c r="H39" i="27"/>
  <c r="H53" i="27"/>
  <c r="T25" i="27"/>
  <c r="AK27" i="27"/>
  <c r="AK46" i="27"/>
  <c r="AK34" i="27"/>
  <c r="AK32" i="27"/>
  <c r="AK57" i="27"/>
  <c r="AM26" i="27"/>
  <c r="AM39" i="27"/>
  <c r="AM45" i="27"/>
  <c r="AM48" i="27"/>
  <c r="AM56" i="27"/>
  <c r="M27" i="27"/>
  <c r="M45" i="27"/>
  <c r="M34" i="27"/>
  <c r="M28" i="27"/>
  <c r="M35" i="27"/>
  <c r="AF36" i="27"/>
  <c r="Y24" i="27"/>
  <c r="Y38" i="27"/>
  <c r="Y54" i="27"/>
  <c r="Y59" i="27"/>
  <c r="Y62" i="27"/>
  <c r="H23" i="27"/>
  <c r="H45" i="27"/>
  <c r="H42" i="27"/>
  <c r="H32" i="27"/>
  <c r="H51" i="27"/>
  <c r="T30" i="27"/>
  <c r="AK28" i="27"/>
  <c r="AK52" i="27"/>
  <c r="AK40" i="27"/>
  <c r="AK51" i="27"/>
  <c r="AK59" i="27"/>
  <c r="AM44" i="27"/>
  <c r="AM38" i="27"/>
  <c r="AM42" i="27"/>
  <c r="AM55" i="27"/>
  <c r="AM58" i="27"/>
  <c r="M50" i="27"/>
  <c r="M42" i="27"/>
  <c r="M40" i="27"/>
  <c r="M36" i="27"/>
  <c r="M51" i="27"/>
  <c r="AF38" i="27"/>
  <c r="Y30" i="27"/>
  <c r="Y32" i="27"/>
  <c r="Y43" i="27"/>
  <c r="Y61" i="27"/>
  <c r="Y53" i="27"/>
  <c r="H24" i="27"/>
  <c r="H43" i="27"/>
  <c r="H46" i="27"/>
  <c r="H48" i="27"/>
  <c r="H59" i="27"/>
  <c r="T50" i="27"/>
  <c r="AK36" i="27"/>
  <c r="AK54" i="27"/>
  <c r="AK33" i="27"/>
  <c r="AK56" i="27"/>
  <c r="AK61" i="27"/>
  <c r="AM47" i="27"/>
  <c r="AM32" i="27"/>
  <c r="AM46" i="27"/>
  <c r="AM57" i="27"/>
  <c r="AM60" i="27"/>
  <c r="M52" i="27"/>
  <c r="M46" i="27"/>
  <c r="M33" i="27"/>
  <c r="M53" i="27"/>
  <c r="M56" i="27"/>
  <c r="AF51" i="27"/>
  <c r="AE35" i="27"/>
  <c r="T31" i="27"/>
  <c r="AD61" i="27"/>
  <c r="Y25" i="27"/>
  <c r="Y40" i="27"/>
  <c r="Y23" i="27"/>
  <c r="Y49" i="27"/>
  <c r="H28" i="27"/>
  <c r="H49" i="27"/>
  <c r="H52" i="27"/>
  <c r="H40" i="27"/>
  <c r="AK25" i="27"/>
  <c r="AK43" i="27"/>
  <c r="AK30" i="27"/>
  <c r="AK58" i="27"/>
  <c r="AM24" i="27"/>
  <c r="AM40" i="27"/>
  <c r="AM52" i="27"/>
  <c r="AM59" i="27"/>
  <c r="M41" i="27"/>
  <c r="M54" i="27"/>
  <c r="M30" i="27"/>
  <c r="M55" i="27"/>
  <c r="I31" i="27"/>
  <c r="S28" i="27"/>
  <c r="S43" i="27"/>
  <c r="S33" i="27"/>
  <c r="S56" i="27"/>
  <c r="S61" i="27"/>
  <c r="AJ44" i="27"/>
  <c r="AJ39" i="27"/>
  <c r="AJ42" i="27"/>
  <c r="AJ58" i="27"/>
  <c r="AJ59" i="27"/>
  <c r="P23" i="27"/>
  <c r="P27" i="27"/>
  <c r="P37" i="27"/>
  <c r="P35" i="27"/>
  <c r="P31" i="27"/>
  <c r="I52" i="27"/>
  <c r="AD47" i="27"/>
  <c r="AD36" i="27"/>
  <c r="AD41" i="27"/>
  <c r="AD52" i="27"/>
  <c r="AD53" i="27"/>
  <c r="AE28" i="27"/>
  <c r="AE34" i="27"/>
  <c r="AE23" i="27"/>
  <c r="AE49" i="27"/>
  <c r="AE31" i="27"/>
  <c r="T27" i="27"/>
  <c r="T33" i="27"/>
  <c r="T36" i="27"/>
  <c r="T49" i="27"/>
  <c r="T35" i="27"/>
  <c r="I47" i="27"/>
  <c r="O47" i="27"/>
  <c r="O39" i="27"/>
  <c r="O45" i="27"/>
  <c r="O26" i="27"/>
  <c r="O56" i="27"/>
  <c r="AF44" i="27"/>
  <c r="AF46" i="27"/>
  <c r="AF43" i="27"/>
  <c r="AF37" i="27"/>
  <c r="AF56" i="27"/>
  <c r="I60" i="27"/>
  <c r="I59" i="27"/>
  <c r="I39" i="27"/>
  <c r="S50" i="27"/>
  <c r="S48" i="27"/>
  <c r="S37" i="27"/>
  <c r="S53" i="27"/>
  <c r="S35" i="27"/>
  <c r="AJ26" i="27"/>
  <c r="AJ32" i="27"/>
  <c r="AJ52" i="27"/>
  <c r="AJ62" i="27"/>
  <c r="AJ53" i="27"/>
  <c r="P46" i="27"/>
  <c r="P36" i="27"/>
  <c r="P45" i="27"/>
  <c r="P59" i="27"/>
  <c r="P53" i="27"/>
  <c r="I44" i="27"/>
  <c r="AD28" i="27"/>
  <c r="AD23" i="27"/>
  <c r="AD34" i="27"/>
  <c r="AD48" i="27"/>
  <c r="AD35" i="27"/>
  <c r="AE27" i="27"/>
  <c r="AE37" i="27"/>
  <c r="AE45" i="27"/>
  <c r="AE26" i="27"/>
  <c r="AE56" i="27"/>
  <c r="T23" i="27"/>
  <c r="T37" i="27"/>
  <c r="T45" i="27"/>
  <c r="T41" i="27"/>
  <c r="T55" i="27"/>
  <c r="I36" i="27"/>
  <c r="O30" i="27"/>
  <c r="O32" i="27"/>
  <c r="O46" i="27"/>
  <c r="O59" i="27"/>
  <c r="O60" i="27"/>
  <c r="AF24" i="27"/>
  <c r="AF33" i="27"/>
  <c r="AF49" i="27"/>
  <c r="AF32" i="27"/>
  <c r="AF53" i="27"/>
  <c r="I45" i="27"/>
  <c r="AG44" i="27"/>
  <c r="AG34" i="27"/>
  <c r="AG46" i="27"/>
  <c r="AG59" i="27"/>
  <c r="AG62" i="27"/>
  <c r="I51" i="27"/>
  <c r="S44" i="27"/>
  <c r="S45" i="27"/>
  <c r="S26" i="27"/>
  <c r="S39" i="27"/>
  <c r="S58" i="27"/>
  <c r="AJ28" i="27"/>
  <c r="AJ34" i="27"/>
  <c r="AJ23" i="27"/>
  <c r="AJ54" i="27"/>
  <c r="AJ31" i="27"/>
  <c r="P52" i="27"/>
  <c r="P54" i="27"/>
  <c r="P26" i="27"/>
  <c r="P34" i="27"/>
  <c r="P55" i="27"/>
  <c r="I30" i="27"/>
  <c r="I53" i="27"/>
  <c r="AD24" i="27"/>
  <c r="AD43" i="27"/>
  <c r="AD40" i="27"/>
  <c r="AD51" i="27"/>
  <c r="AD58" i="27"/>
  <c r="AE44" i="27"/>
  <c r="AE39" i="27"/>
  <c r="AE42" i="27"/>
  <c r="AE55" i="27"/>
  <c r="AE58" i="27"/>
  <c r="T44" i="27"/>
  <c r="T39" i="27"/>
  <c r="T42" i="27"/>
  <c r="T56" i="27"/>
  <c r="T57" i="27"/>
  <c r="I42" i="27"/>
  <c r="O25" i="27"/>
  <c r="O40" i="27"/>
  <c r="O52" i="27"/>
  <c r="O61" i="27"/>
  <c r="O62" i="27"/>
  <c r="V26" i="27"/>
  <c r="V51" i="27"/>
  <c r="V60" i="27"/>
  <c r="AF28" i="27"/>
  <c r="AF23" i="27"/>
  <c r="AF26" i="27"/>
  <c r="AF57" i="27"/>
  <c r="AF55" i="27"/>
  <c r="I41" i="27"/>
  <c r="AG47" i="27"/>
  <c r="AG33" i="27"/>
  <c r="AG52" i="27"/>
  <c r="AG61" i="27"/>
  <c r="AG53" i="27"/>
  <c r="I54" i="27"/>
  <c r="S36" i="27"/>
  <c r="S42" i="27"/>
  <c r="S24" i="27"/>
  <c r="S38" i="27"/>
  <c r="S62" i="27"/>
  <c r="AJ24" i="27"/>
  <c r="AJ40" i="27"/>
  <c r="AJ41" i="27"/>
  <c r="AJ43" i="27"/>
  <c r="AJ35" i="27"/>
  <c r="P41" i="27"/>
  <c r="P48" i="27"/>
  <c r="P42" i="27"/>
  <c r="P43" i="27"/>
  <c r="P61" i="27"/>
  <c r="I40" i="27"/>
  <c r="I26" i="27"/>
  <c r="AD29" i="27"/>
  <c r="AD49" i="27"/>
  <c r="AD38" i="27"/>
  <c r="AD31" i="27"/>
  <c r="AD60" i="27"/>
  <c r="AE47" i="27"/>
  <c r="AE38" i="27"/>
  <c r="AE46" i="27"/>
  <c r="AE57" i="27"/>
  <c r="AE60" i="27"/>
  <c r="T47" i="27"/>
  <c r="T38" i="27"/>
  <c r="T46" i="27"/>
  <c r="T58" i="27"/>
  <c r="T59" i="27"/>
  <c r="I37" i="27"/>
  <c r="O28" i="27"/>
  <c r="O41" i="27"/>
  <c r="O54" i="27"/>
  <c r="O35" i="27"/>
  <c r="O53" i="27"/>
  <c r="V55" i="27"/>
  <c r="V62" i="27"/>
  <c r="AF25" i="27"/>
  <c r="AF54" i="27"/>
  <c r="AF34" i="27"/>
  <c r="AF61" i="27"/>
  <c r="AF60" i="27"/>
  <c r="AG28" i="27"/>
  <c r="AG26" i="27"/>
  <c r="AG39" i="27"/>
  <c r="AG54" i="27"/>
  <c r="AG35" i="27"/>
  <c r="I28" i="27"/>
  <c r="I61" i="27"/>
  <c r="I38" i="27"/>
  <c r="S47" i="27"/>
  <c r="S46" i="27"/>
  <c r="S41" i="27"/>
  <c r="S32" i="27"/>
  <c r="S55" i="27"/>
  <c r="AJ29" i="27"/>
  <c r="AJ33" i="27"/>
  <c r="AJ36" i="27"/>
  <c r="AJ49" i="27"/>
  <c r="AJ51" i="27"/>
  <c r="P39" i="27"/>
  <c r="P28" i="27"/>
  <c r="P30" i="27"/>
  <c r="P49" i="27"/>
  <c r="P51" i="27"/>
  <c r="I25" i="27"/>
  <c r="I46" i="27"/>
  <c r="AD33" i="27"/>
  <c r="AD25" i="27"/>
  <c r="AD50" i="27"/>
  <c r="AD57" i="27"/>
  <c r="AD62" i="27"/>
  <c r="AE36" i="27"/>
  <c r="AE32" i="27"/>
  <c r="AE52" i="27"/>
  <c r="AE59" i="27"/>
  <c r="AE62" i="27"/>
  <c r="T24" i="27"/>
  <c r="T32" i="27"/>
  <c r="T52" i="27"/>
  <c r="T60" i="27"/>
  <c r="T61" i="27"/>
  <c r="O27" i="27"/>
  <c r="O34" i="27"/>
  <c r="O23" i="27"/>
  <c r="O43" i="27"/>
  <c r="O31" i="27"/>
  <c r="I49" i="27"/>
  <c r="V23" i="27"/>
  <c r="V46" i="27"/>
  <c r="V59" i="27"/>
  <c r="V56" i="27"/>
  <c r="AF27" i="27"/>
  <c r="AF39" i="27"/>
  <c r="AF40" i="27"/>
  <c r="AF31" i="27"/>
  <c r="AF62" i="27"/>
  <c r="AG36" i="27"/>
  <c r="AG23" i="27"/>
  <c r="AG38" i="27"/>
  <c r="AG43" i="27"/>
  <c r="AG31" i="27"/>
  <c r="I27" i="27"/>
  <c r="S29" i="27"/>
  <c r="S52" i="27"/>
  <c r="S34" i="27"/>
  <c r="S23" i="27"/>
  <c r="S57" i="27"/>
  <c r="AJ27" i="27"/>
  <c r="AJ30" i="27"/>
  <c r="AJ50" i="27"/>
  <c r="AJ48" i="27"/>
  <c r="AJ55" i="27"/>
  <c r="P50" i="27"/>
  <c r="P47" i="27"/>
  <c r="P40" i="27"/>
  <c r="P32" i="27"/>
  <c r="P57" i="27"/>
  <c r="I55" i="27"/>
  <c r="I34" i="27"/>
  <c r="AD27" i="27"/>
  <c r="AD26" i="27"/>
  <c r="AD42" i="27"/>
  <c r="AD59" i="27"/>
  <c r="AD55" i="27"/>
  <c r="AE24" i="27"/>
  <c r="AE40" i="27"/>
  <c r="AE54" i="27"/>
  <c r="AE61" i="27"/>
  <c r="AE53" i="27"/>
  <c r="T34" i="27"/>
  <c r="T26" i="27"/>
  <c r="T54" i="27"/>
  <c r="T62" i="27"/>
  <c r="T53" i="27"/>
  <c r="O29" i="27"/>
  <c r="O33" i="27"/>
  <c r="O36" i="27"/>
  <c r="O49" i="27"/>
  <c r="O55" i="27"/>
  <c r="I50" i="27"/>
  <c r="V31" i="27"/>
  <c r="AF50" i="27"/>
  <c r="AF48" i="27"/>
  <c r="AF30" i="27"/>
  <c r="AF59" i="27"/>
  <c r="AF35" i="27"/>
  <c r="AG24" i="27"/>
  <c r="AG30" i="27"/>
  <c r="AG32" i="27"/>
  <c r="AG49" i="27"/>
  <c r="AG51" i="27"/>
  <c r="I43" i="27"/>
  <c r="I57" i="27"/>
  <c r="S27" i="27"/>
  <c r="S54" i="27"/>
  <c r="S40" i="27"/>
  <c r="S51" i="27"/>
  <c r="AJ25" i="27"/>
  <c r="AJ37" i="27"/>
  <c r="AJ45" i="27"/>
  <c r="AJ56" i="27"/>
  <c r="P24" i="27"/>
  <c r="P29" i="27"/>
  <c r="P33" i="27"/>
  <c r="P56" i="27"/>
  <c r="I35" i="27"/>
  <c r="AD39" i="27"/>
  <c r="AD44" i="27"/>
  <c r="AD30" i="27"/>
  <c r="AD46" i="27"/>
  <c r="AE25" i="27"/>
  <c r="AE30" i="27"/>
  <c r="AE41" i="27"/>
  <c r="AE43" i="27"/>
  <c r="T29" i="27"/>
  <c r="T40" i="27"/>
  <c r="T28" i="27"/>
  <c r="T43" i="27"/>
  <c r="I58" i="27"/>
  <c r="O44" i="27"/>
  <c r="O37" i="27"/>
  <c r="O50" i="27"/>
  <c r="O48" i="27"/>
  <c r="V49" i="27"/>
  <c r="V39" i="27"/>
  <c r="AF29" i="27"/>
  <c r="AF42" i="27"/>
  <c r="AF45" i="27"/>
  <c r="AF41" i="27"/>
  <c r="AG25" i="27"/>
  <c r="AG41" i="27"/>
  <c r="AG50" i="27"/>
  <c r="AG48" i="27"/>
  <c r="C40" i="14"/>
  <c r="F35" i="25"/>
  <c r="F140" i="25"/>
  <c r="C239" i="27"/>
  <c r="F201" i="27"/>
  <c r="F161" i="27"/>
  <c r="F121" i="27"/>
  <c r="F81" i="27"/>
  <c r="O254" i="25"/>
  <c r="L254" i="25"/>
  <c r="H190" i="27" a="1"/>
  <c r="F25" i="27"/>
  <c r="F218" i="25" s="1"/>
  <c r="E173" i="25" l="1"/>
  <c r="K173" i="25"/>
  <c r="R175" i="25"/>
  <c r="AJ175" i="25"/>
  <c r="O175" i="25"/>
  <c r="T175" i="25"/>
  <c r="G175" i="25"/>
  <c r="G172" i="25"/>
  <c r="R172" i="25"/>
  <c r="I172" i="25"/>
  <c r="I175" i="25"/>
  <c r="AE175" i="25"/>
  <c r="E172" i="25"/>
  <c r="Z175" i="25"/>
  <c r="N173" i="25"/>
  <c r="AI173" i="25"/>
  <c r="T172" i="25"/>
  <c r="X172" i="25"/>
  <c r="X175" i="25"/>
  <c r="G173" i="25"/>
  <c r="K172" i="25"/>
  <c r="R173" i="25"/>
  <c r="I173" i="25"/>
  <c r="X173" i="25"/>
  <c r="W172" i="25"/>
  <c r="Z172" i="25"/>
  <c r="AF175" i="25"/>
  <c r="H175" i="25"/>
  <c r="K175" i="25"/>
  <c r="U175" i="25"/>
  <c r="AB175" i="25"/>
  <c r="AB172" i="25"/>
  <c r="J172" i="25"/>
  <c r="V172" i="25"/>
  <c r="AF173" i="25"/>
  <c r="Y173" i="25"/>
  <c r="N172" i="25"/>
  <c r="U172" i="25"/>
  <c r="H172" i="25"/>
  <c r="AI172" i="25"/>
  <c r="T173" i="25"/>
  <c r="AI175" i="25"/>
  <c r="AE172" i="25"/>
  <c r="O172" i="25"/>
  <c r="AD172" i="25"/>
  <c r="Q172" i="25"/>
  <c r="H173" i="25"/>
  <c r="S175" i="25"/>
  <c r="E175" i="25"/>
  <c r="Y172" i="25"/>
  <c r="AG172" i="25"/>
  <c r="M173" i="25"/>
  <c r="L172" i="25"/>
  <c r="AA172" i="25"/>
  <c r="AD175" i="25"/>
  <c r="V173" i="25"/>
  <c r="AH172" i="25"/>
  <c r="AJ172" i="25"/>
  <c r="AG175" i="25"/>
  <c r="AF172" i="25"/>
  <c r="Z173" i="25"/>
  <c r="U173" i="25"/>
  <c r="W173" i="25"/>
  <c r="W175" i="25"/>
  <c r="AE173" i="25"/>
  <c r="V175" i="25"/>
  <c r="J175" i="25"/>
  <c r="N175" i="25"/>
  <c r="Y175" i="25"/>
  <c r="O173" i="25"/>
  <c r="J173" i="25"/>
  <c r="L173" i="25"/>
  <c r="P172" i="25"/>
  <c r="AG173" i="25"/>
  <c r="AB173" i="25"/>
  <c r="M172" i="25"/>
  <c r="M175" i="25"/>
  <c r="AH175" i="25"/>
  <c r="P175" i="25"/>
  <c r="AH173" i="25"/>
  <c r="AJ173" i="25"/>
  <c r="L175" i="25"/>
  <c r="Q173" i="25"/>
  <c r="AC172" i="25"/>
  <c r="AA173" i="25"/>
  <c r="S172" i="25"/>
  <c r="F175" i="25"/>
  <c r="AA175" i="25"/>
  <c r="AD173" i="25"/>
  <c r="AC175" i="25"/>
  <c r="Q175" i="25"/>
  <c r="F173" i="25"/>
  <c r="P173" i="25"/>
  <c r="S173" i="25"/>
  <c r="AC173" i="25"/>
  <c r="F172" i="25"/>
  <c r="C41" i="14"/>
  <c r="C240" i="27"/>
  <c r="F202" i="27"/>
  <c r="F162" i="27"/>
  <c r="F122" i="27"/>
  <c r="F82" i="27"/>
  <c r="F36" i="25"/>
  <c r="F141" i="25"/>
  <c r="N190" i="27"/>
  <c r="V190" i="27"/>
  <c r="AD190" i="27"/>
  <c r="AL190" i="27"/>
  <c r="I190" i="27"/>
  <c r="Q190" i="27"/>
  <c r="Y190" i="27"/>
  <c r="AG190" i="27"/>
  <c r="J190" i="27"/>
  <c r="R190" i="27"/>
  <c r="Z190" i="27"/>
  <c r="AH190" i="27"/>
  <c r="P190" i="27"/>
  <c r="AC190" i="27"/>
  <c r="S190" i="27"/>
  <c r="AE190" i="27"/>
  <c r="T190" i="27"/>
  <c r="AF190" i="27"/>
  <c r="H190" i="27"/>
  <c r="U190" i="27"/>
  <c r="AI190" i="27"/>
  <c r="K190" i="27"/>
  <c r="W190" i="27"/>
  <c r="AJ190" i="27"/>
  <c r="L190" i="27"/>
  <c r="X190" i="27"/>
  <c r="AK190" i="27"/>
  <c r="AM190" i="27"/>
  <c r="M190" i="27"/>
  <c r="AA190" i="27"/>
  <c r="O190" i="27"/>
  <c r="AB190" i="27"/>
  <c r="F26" i="27"/>
  <c r="F219" i="25" s="1"/>
  <c r="O222" i="27" l="1"/>
  <c r="O142" i="27" s="1"/>
  <c r="O221" i="27"/>
  <c r="O141" i="27" s="1"/>
  <c r="O220" i="27"/>
  <c r="O140" i="27" s="1"/>
  <c r="O219" i="27"/>
  <c r="O139" i="27" s="1"/>
  <c r="O218" i="27"/>
  <c r="O138" i="27" s="1"/>
  <c r="O217" i="27"/>
  <c r="O137" i="27" s="1"/>
  <c r="O216" i="27"/>
  <c r="O136" i="27" s="1"/>
  <c r="O215" i="27"/>
  <c r="O135" i="27" s="1"/>
  <c r="O214" i="27"/>
  <c r="O134" i="27" s="1"/>
  <c r="O213" i="27"/>
  <c r="O133" i="27" s="1"/>
  <c r="O212" i="27"/>
  <c r="O132" i="27" s="1"/>
  <c r="O211" i="27"/>
  <c r="O131" i="27" s="1"/>
  <c r="O210" i="27"/>
  <c r="O130" i="27" s="1"/>
  <c r="O209" i="27"/>
  <c r="O129" i="27" s="1"/>
  <c r="O208" i="27"/>
  <c r="O128" i="27" s="1"/>
  <c r="O207" i="27"/>
  <c r="O127" i="27" s="1"/>
  <c r="O206" i="27"/>
  <c r="O126" i="27" s="1"/>
  <c r="O205" i="27"/>
  <c r="O125" i="27" s="1"/>
  <c r="O204" i="27"/>
  <c r="O124" i="27" s="1"/>
  <c r="O203" i="27"/>
  <c r="O123" i="27" s="1"/>
  <c r="O202" i="27"/>
  <c r="O122" i="27" s="1"/>
  <c r="O201" i="27"/>
  <c r="O121" i="27" s="1"/>
  <c r="O200" i="27"/>
  <c r="O120" i="27" s="1"/>
  <c r="O199" i="27"/>
  <c r="O119" i="27" s="1"/>
  <c r="O197" i="27"/>
  <c r="O117" i="27" s="1"/>
  <c r="O196" i="27"/>
  <c r="O116" i="27" s="1"/>
  <c r="O195" i="27"/>
  <c r="O115" i="27" s="1"/>
  <c r="O194" i="27"/>
  <c r="O114" i="27" s="1"/>
  <c r="O193" i="27"/>
  <c r="O113" i="27" s="1"/>
  <c r="O192" i="27"/>
  <c r="O112" i="27" s="1"/>
  <c r="O191" i="27"/>
  <c r="O111" i="27" s="1"/>
  <c r="W222" i="27"/>
  <c r="W142" i="27" s="1"/>
  <c r="W221" i="27"/>
  <c r="W141" i="27" s="1"/>
  <c r="W220" i="27"/>
  <c r="W140" i="27" s="1"/>
  <c r="W219" i="27"/>
  <c r="W139" i="27" s="1"/>
  <c r="W218" i="27"/>
  <c r="W138" i="27" s="1"/>
  <c r="W217" i="27"/>
  <c r="W137" i="27" s="1"/>
  <c r="W216" i="27"/>
  <c r="W136" i="27" s="1"/>
  <c r="W215" i="27"/>
  <c r="W135" i="27" s="1"/>
  <c r="W214" i="27"/>
  <c r="W134" i="27" s="1"/>
  <c r="W213" i="27"/>
  <c r="W133" i="27" s="1"/>
  <c r="W212" i="27"/>
  <c r="W132" i="27" s="1"/>
  <c r="W211" i="27"/>
  <c r="W131" i="27" s="1"/>
  <c r="W210" i="27"/>
  <c r="W130" i="27" s="1"/>
  <c r="W209" i="27"/>
  <c r="W129" i="27" s="1"/>
  <c r="W208" i="27"/>
  <c r="W128" i="27" s="1"/>
  <c r="W207" i="27"/>
  <c r="W127" i="27" s="1"/>
  <c r="W205" i="27"/>
  <c r="W125" i="27" s="1"/>
  <c r="W204" i="27"/>
  <c r="W124" i="27" s="1"/>
  <c r="W203" i="27"/>
  <c r="W123" i="27" s="1"/>
  <c r="W202" i="27"/>
  <c r="W122" i="27" s="1"/>
  <c r="W201" i="27"/>
  <c r="W121" i="27" s="1"/>
  <c r="W200" i="27"/>
  <c r="W120" i="27" s="1"/>
  <c r="W199" i="27"/>
  <c r="W119" i="27" s="1"/>
  <c r="W198" i="27"/>
  <c r="W118" i="27" s="1"/>
  <c r="W197" i="27"/>
  <c r="W117" i="27" s="1"/>
  <c r="W196" i="27"/>
  <c r="W116" i="27" s="1"/>
  <c r="W195" i="27"/>
  <c r="W115" i="27" s="1"/>
  <c r="W194" i="27"/>
  <c r="W114" i="27" s="1"/>
  <c r="W193" i="27"/>
  <c r="W113" i="27" s="1"/>
  <c r="W192" i="27"/>
  <c r="W112" i="27" s="1"/>
  <c r="W191" i="27"/>
  <c r="W111" i="27" s="1"/>
  <c r="S217" i="27"/>
  <c r="S137" i="27" s="1"/>
  <c r="S212" i="27"/>
  <c r="S132" i="27" s="1"/>
  <c r="S210" i="27"/>
  <c r="S130" i="27" s="1"/>
  <c r="S205" i="27"/>
  <c r="S125" i="27" s="1"/>
  <c r="S222" i="27"/>
  <c r="S142" i="27" s="1"/>
  <c r="S215" i="27"/>
  <c r="S135" i="27" s="1"/>
  <c r="S208" i="27"/>
  <c r="S128" i="27" s="1"/>
  <c r="S203" i="27"/>
  <c r="S123" i="27" s="1"/>
  <c r="S201" i="27"/>
  <c r="S121" i="27" s="1"/>
  <c r="S220" i="27"/>
  <c r="S140" i="27" s="1"/>
  <c r="S218" i="27"/>
  <c r="S138" i="27" s="1"/>
  <c r="S213" i="27"/>
  <c r="S133" i="27" s="1"/>
  <c r="S206" i="27"/>
  <c r="S126" i="27" s="1"/>
  <c r="S216" i="27"/>
  <c r="S136" i="27" s="1"/>
  <c r="S211" i="27"/>
  <c r="S131" i="27" s="1"/>
  <c r="S200" i="27"/>
  <c r="S120" i="27" s="1"/>
  <c r="S199" i="27"/>
  <c r="S119" i="27" s="1"/>
  <c r="S198" i="27"/>
  <c r="S118" i="27" s="1"/>
  <c r="S197" i="27"/>
  <c r="S117" i="27" s="1"/>
  <c r="S196" i="27"/>
  <c r="S116" i="27" s="1"/>
  <c r="S195" i="27"/>
  <c r="S115" i="27" s="1"/>
  <c r="S194" i="27"/>
  <c r="S114" i="27" s="1"/>
  <c r="S193" i="27"/>
  <c r="S113" i="27" s="1"/>
  <c r="S192" i="27"/>
  <c r="S112" i="27" s="1"/>
  <c r="S191" i="27"/>
  <c r="S111" i="27" s="1"/>
  <c r="S221" i="27"/>
  <c r="S141" i="27" s="1"/>
  <c r="S209" i="27"/>
  <c r="S129" i="27" s="1"/>
  <c r="S207" i="27"/>
  <c r="S127" i="27" s="1"/>
  <c r="S204" i="27"/>
  <c r="S124" i="27" s="1"/>
  <c r="S219" i="27"/>
  <c r="S139" i="27" s="1"/>
  <c r="S214" i="27"/>
  <c r="S134" i="27" s="1"/>
  <c r="Y206" i="27"/>
  <c r="Y126" i="27" s="1"/>
  <c r="Y220" i="27"/>
  <c r="Y140" i="27" s="1"/>
  <c r="Y218" i="27"/>
  <c r="Y138" i="27" s="1"/>
  <c r="Y213" i="27"/>
  <c r="Y133" i="27" s="1"/>
  <c r="Y216" i="27"/>
  <c r="Y136" i="27" s="1"/>
  <c r="Y211" i="27"/>
  <c r="Y131" i="27" s="1"/>
  <c r="Y204" i="27"/>
  <c r="Y124" i="27" s="1"/>
  <c r="Y209" i="27"/>
  <c r="Y129" i="27" s="1"/>
  <c r="Y207" i="27"/>
  <c r="Y127" i="27" s="1"/>
  <c r="Y202" i="27"/>
  <c r="Y122" i="27" s="1"/>
  <c r="Y221" i="27"/>
  <c r="Y141" i="27" s="1"/>
  <c r="Y214" i="27"/>
  <c r="Y134" i="27" s="1"/>
  <c r="Y199" i="27"/>
  <c r="Y119" i="27" s="1"/>
  <c r="Y194" i="27"/>
  <c r="Y114" i="27" s="1"/>
  <c r="Y215" i="27"/>
  <c r="Y135" i="27" s="1"/>
  <c r="Y212" i="27"/>
  <c r="Y132" i="27" s="1"/>
  <c r="Y203" i="27"/>
  <c r="Y123" i="27" s="1"/>
  <c r="Y197" i="27"/>
  <c r="Y117" i="27" s="1"/>
  <c r="Y192" i="27"/>
  <c r="Y112" i="27" s="1"/>
  <c r="Y219" i="27"/>
  <c r="Y139" i="27" s="1"/>
  <c r="Y210" i="27"/>
  <c r="Y130" i="27" s="1"/>
  <c r="Y201" i="27"/>
  <c r="Y121" i="27" s="1"/>
  <c r="Y195" i="27"/>
  <c r="Y115" i="27" s="1"/>
  <c r="Y222" i="27"/>
  <c r="Y142" i="27" s="1"/>
  <c r="Y200" i="27"/>
  <c r="Y120" i="27" s="1"/>
  <c r="Y198" i="27"/>
  <c r="Y118" i="27" s="1"/>
  <c r="Y205" i="27"/>
  <c r="Y125" i="27" s="1"/>
  <c r="Y193" i="27"/>
  <c r="Y113" i="27" s="1"/>
  <c r="Y191" i="27"/>
  <c r="Y111" i="27" s="1"/>
  <c r="Y217" i="27"/>
  <c r="Y137" i="27" s="1"/>
  <c r="Y196" i="27"/>
  <c r="Y116" i="27" s="1"/>
  <c r="AB216" i="27"/>
  <c r="AB136" i="27" s="1"/>
  <c r="AB209" i="27"/>
  <c r="AB129" i="27" s="1"/>
  <c r="AB204" i="27"/>
  <c r="AB124" i="27" s="1"/>
  <c r="AB207" i="27"/>
  <c r="AB127" i="27" s="1"/>
  <c r="AB202" i="27"/>
  <c r="AB122" i="27" s="1"/>
  <c r="AB221" i="27"/>
  <c r="AB141" i="27" s="1"/>
  <c r="AB214" i="27"/>
  <c r="AB134" i="27" s="1"/>
  <c r="AB219" i="27"/>
  <c r="AB139" i="27" s="1"/>
  <c r="AB205" i="27"/>
  <c r="AB125" i="27" s="1"/>
  <c r="AB200" i="27"/>
  <c r="AB120" i="27" s="1"/>
  <c r="AB199" i="27"/>
  <c r="AB119" i="27" s="1"/>
  <c r="AB198" i="27"/>
  <c r="AB118" i="27" s="1"/>
  <c r="AB197" i="27"/>
  <c r="AB117" i="27" s="1"/>
  <c r="AB196" i="27"/>
  <c r="AB116" i="27" s="1"/>
  <c r="AB195" i="27"/>
  <c r="AB115" i="27" s="1"/>
  <c r="AB194" i="27"/>
  <c r="AB114" i="27" s="1"/>
  <c r="AB193" i="27"/>
  <c r="AB113" i="27" s="1"/>
  <c r="AB192" i="27"/>
  <c r="AB112" i="27" s="1"/>
  <c r="AB191" i="27"/>
  <c r="AB111" i="27" s="1"/>
  <c r="AB217" i="27"/>
  <c r="AB137" i="27" s="1"/>
  <c r="AB212" i="27"/>
  <c r="AB132" i="27" s="1"/>
  <c r="AB210" i="27"/>
  <c r="AB130" i="27" s="1"/>
  <c r="AB218" i="27"/>
  <c r="AB138" i="27" s="1"/>
  <c r="AB201" i="27"/>
  <c r="AB121" i="27" s="1"/>
  <c r="AB222" i="27"/>
  <c r="AB142" i="27" s="1"/>
  <c r="AB213" i="27"/>
  <c r="AB133" i="27" s="1"/>
  <c r="AB208" i="27"/>
  <c r="AB128" i="27" s="1"/>
  <c r="AB206" i="27"/>
  <c r="AB126" i="27" s="1"/>
  <c r="AB220" i="27"/>
  <c r="AB140" i="27" s="1"/>
  <c r="AB203" i="27"/>
  <c r="AB123" i="27" s="1"/>
  <c r="AB215" i="27"/>
  <c r="AB135" i="27" s="1"/>
  <c r="Q219" i="27"/>
  <c r="Q139" i="27" s="1"/>
  <c r="Q217" i="27"/>
  <c r="Q137" i="27" s="1"/>
  <c r="Q212" i="27"/>
  <c r="Q132" i="27" s="1"/>
  <c r="Q210" i="27"/>
  <c r="Q130" i="27" s="1"/>
  <c r="Q205" i="27"/>
  <c r="Q125" i="27" s="1"/>
  <c r="Q222" i="27"/>
  <c r="Q142" i="27" s="1"/>
  <c r="Q215" i="27"/>
  <c r="Q135" i="27" s="1"/>
  <c r="Q208" i="27"/>
  <c r="Q128" i="27" s="1"/>
  <c r="Q203" i="27"/>
  <c r="Q123" i="27" s="1"/>
  <c r="Q201" i="27"/>
  <c r="Q121" i="27" s="1"/>
  <c r="Q220" i="27"/>
  <c r="Q140" i="27" s="1"/>
  <c r="Q218" i="27"/>
  <c r="Q138" i="27" s="1"/>
  <c r="Q213" i="27"/>
  <c r="Q133" i="27" s="1"/>
  <c r="Q206" i="27"/>
  <c r="Q126" i="27" s="1"/>
  <c r="Q214" i="27"/>
  <c r="Q134" i="27" s="1"/>
  <c r="Q193" i="27"/>
  <c r="Q113" i="27" s="1"/>
  <c r="Q191" i="27"/>
  <c r="Q111" i="27" s="1"/>
  <c r="Q196" i="27"/>
  <c r="Q116" i="27" s="1"/>
  <c r="Q221" i="27"/>
  <c r="Q141" i="27" s="1"/>
  <c r="Q209" i="27"/>
  <c r="Q129" i="27" s="1"/>
  <c r="Q216" i="27"/>
  <c r="Q136" i="27" s="1"/>
  <c r="Q199" i="27"/>
  <c r="Q119" i="27" s="1"/>
  <c r="Q194" i="27"/>
  <c r="Q114" i="27" s="1"/>
  <c r="Q197" i="27"/>
  <c r="Q117" i="27" s="1"/>
  <c r="Q192" i="27"/>
  <c r="Q112" i="27" s="1"/>
  <c r="Q207" i="27"/>
  <c r="Q127" i="27" s="1"/>
  <c r="Q204" i="27"/>
  <c r="Q124" i="27" s="1"/>
  <c r="Q195" i="27"/>
  <c r="Q115" i="27" s="1"/>
  <c r="Q202" i="27"/>
  <c r="Q122" i="27" s="1"/>
  <c r="Q198" i="27"/>
  <c r="Q118" i="27" s="1"/>
  <c r="Q211" i="27"/>
  <c r="Q131" i="27" s="1"/>
  <c r="AM221" i="27"/>
  <c r="AM141" i="27" s="1"/>
  <c r="AM220" i="27"/>
  <c r="AM140" i="27" s="1"/>
  <c r="AM219" i="27"/>
  <c r="AM139" i="27" s="1"/>
  <c r="AM218" i="27"/>
  <c r="AM138" i="27" s="1"/>
  <c r="AM217" i="27"/>
  <c r="AM137" i="27" s="1"/>
  <c r="AM216" i="27"/>
  <c r="AM136" i="27" s="1"/>
  <c r="AM215" i="27"/>
  <c r="AM135" i="27" s="1"/>
  <c r="AM214" i="27"/>
  <c r="AM134" i="27" s="1"/>
  <c r="AM213" i="27"/>
  <c r="AM133" i="27" s="1"/>
  <c r="AM212" i="27"/>
  <c r="AM132" i="27" s="1"/>
  <c r="AM211" i="27"/>
  <c r="AM131" i="27" s="1"/>
  <c r="AM210" i="27"/>
  <c r="AM130" i="27" s="1"/>
  <c r="AM209" i="27"/>
  <c r="AM129" i="27" s="1"/>
  <c r="AM208" i="27"/>
  <c r="AM128" i="27" s="1"/>
  <c r="AM207" i="27"/>
  <c r="AM127" i="27" s="1"/>
  <c r="AM206" i="27"/>
  <c r="AM126" i="27" s="1"/>
  <c r="AM205" i="27"/>
  <c r="AM125" i="27" s="1"/>
  <c r="AM204" i="27"/>
  <c r="AM124" i="27" s="1"/>
  <c r="AM203" i="27"/>
  <c r="AM123" i="27" s="1"/>
  <c r="AM202" i="27"/>
  <c r="AM122" i="27" s="1"/>
  <c r="AM201" i="27"/>
  <c r="AM121" i="27" s="1"/>
  <c r="AM200" i="27"/>
  <c r="AM120" i="27" s="1"/>
  <c r="AM199" i="27"/>
  <c r="AM119" i="27" s="1"/>
  <c r="AM198" i="27"/>
  <c r="AM118" i="27" s="1"/>
  <c r="AM197" i="27"/>
  <c r="AM117" i="27" s="1"/>
  <c r="AM196" i="27"/>
  <c r="AM116" i="27" s="1"/>
  <c r="AM195" i="27"/>
  <c r="AM115" i="27" s="1"/>
  <c r="AM194" i="27"/>
  <c r="AM114" i="27" s="1"/>
  <c r="AM193" i="27"/>
  <c r="AM113" i="27" s="1"/>
  <c r="AM192" i="27"/>
  <c r="AM112" i="27" s="1"/>
  <c r="AM191" i="27"/>
  <c r="AM111" i="27" s="1"/>
  <c r="U222" i="27"/>
  <c r="U142" i="27" s="1"/>
  <c r="U221" i="27"/>
  <c r="U141" i="27" s="1"/>
  <c r="U220" i="27"/>
  <c r="U140" i="27" s="1"/>
  <c r="U219" i="27"/>
  <c r="U139" i="27" s="1"/>
  <c r="U218" i="27"/>
  <c r="U138" i="27" s="1"/>
  <c r="U217" i="27"/>
  <c r="U137" i="27" s="1"/>
  <c r="U216" i="27"/>
  <c r="U136" i="27" s="1"/>
  <c r="U215" i="27"/>
  <c r="U135" i="27" s="1"/>
  <c r="U214" i="27"/>
  <c r="U134" i="27" s="1"/>
  <c r="U213" i="27"/>
  <c r="U133" i="27" s="1"/>
  <c r="U212" i="27"/>
  <c r="U132" i="27" s="1"/>
  <c r="U211" i="27"/>
  <c r="U131" i="27" s="1"/>
  <c r="U210" i="27"/>
  <c r="U130" i="27" s="1"/>
  <c r="U209" i="27"/>
  <c r="U129" i="27" s="1"/>
  <c r="U208" i="27"/>
  <c r="U128" i="27" s="1"/>
  <c r="U207" i="27"/>
  <c r="U127" i="27" s="1"/>
  <c r="U206" i="27"/>
  <c r="U126" i="27" s="1"/>
  <c r="U205" i="27"/>
  <c r="U125" i="27" s="1"/>
  <c r="U203" i="27"/>
  <c r="U123" i="27" s="1"/>
  <c r="U202" i="27"/>
  <c r="U122" i="27" s="1"/>
  <c r="U201" i="27"/>
  <c r="U121" i="27" s="1"/>
  <c r="U200" i="27"/>
  <c r="U120" i="27" s="1"/>
  <c r="U199" i="27"/>
  <c r="U119" i="27" s="1"/>
  <c r="U198" i="27"/>
  <c r="U118" i="27" s="1"/>
  <c r="U197" i="27"/>
  <c r="U117" i="27" s="1"/>
  <c r="U196" i="27"/>
  <c r="U116" i="27" s="1"/>
  <c r="U195" i="27"/>
  <c r="U115" i="27" s="1"/>
  <c r="U194" i="27"/>
  <c r="U114" i="27" s="1"/>
  <c r="U193" i="27"/>
  <c r="U113" i="27" s="1"/>
  <c r="U192" i="27"/>
  <c r="U112" i="27" s="1"/>
  <c r="U191" i="27"/>
  <c r="U111" i="27" s="1"/>
  <c r="AH222" i="27"/>
  <c r="AH142" i="27" s="1"/>
  <c r="AH221" i="27"/>
  <c r="AH141" i="27" s="1"/>
  <c r="AH220" i="27"/>
  <c r="AH140" i="27" s="1"/>
  <c r="AH219" i="27"/>
  <c r="AH139" i="27" s="1"/>
  <c r="AH218" i="27"/>
  <c r="AH138" i="27" s="1"/>
  <c r="AH216" i="27"/>
  <c r="AH136" i="27" s="1"/>
  <c r="AH215" i="27"/>
  <c r="AH135" i="27" s="1"/>
  <c r="AH214" i="27"/>
  <c r="AH134" i="27" s="1"/>
  <c r="AH213" i="27"/>
  <c r="AH133" i="27" s="1"/>
  <c r="AH212" i="27"/>
  <c r="AH132" i="27" s="1"/>
  <c r="AH211" i="27"/>
  <c r="AH131" i="27" s="1"/>
  <c r="AH210" i="27"/>
  <c r="AH130" i="27" s="1"/>
  <c r="AH209" i="27"/>
  <c r="AH129" i="27" s="1"/>
  <c r="AH208" i="27"/>
  <c r="AH128" i="27" s="1"/>
  <c r="AH207" i="27"/>
  <c r="AH127" i="27" s="1"/>
  <c r="AH206" i="27"/>
  <c r="AH126" i="27" s="1"/>
  <c r="AH205" i="27"/>
  <c r="AH125" i="27" s="1"/>
  <c r="AH204" i="27"/>
  <c r="AH124" i="27" s="1"/>
  <c r="AH203" i="27"/>
  <c r="AH123" i="27" s="1"/>
  <c r="AH202" i="27"/>
  <c r="AH122" i="27" s="1"/>
  <c r="AH201" i="27"/>
  <c r="AH121" i="27" s="1"/>
  <c r="AH200" i="27"/>
  <c r="AH120" i="27" s="1"/>
  <c r="AH198" i="27"/>
  <c r="AH118" i="27" s="1"/>
  <c r="AH193" i="27"/>
  <c r="AH113" i="27" s="1"/>
  <c r="AH191" i="27"/>
  <c r="AH111" i="27" s="1"/>
  <c r="AH196" i="27"/>
  <c r="AH116" i="27" s="1"/>
  <c r="AH199" i="27"/>
  <c r="AH119" i="27" s="1"/>
  <c r="AH194" i="27"/>
  <c r="AH114" i="27" s="1"/>
  <c r="AH197" i="27"/>
  <c r="AH117" i="27" s="1"/>
  <c r="AH192" i="27"/>
  <c r="AH112" i="27" s="1"/>
  <c r="AH195" i="27"/>
  <c r="AH115" i="27" s="1"/>
  <c r="AL222" i="27"/>
  <c r="AL142" i="27" s="1"/>
  <c r="AL220" i="27"/>
  <c r="AL140" i="27" s="1"/>
  <c r="AL219" i="27"/>
  <c r="AL139" i="27" s="1"/>
  <c r="AL218" i="27"/>
  <c r="AL138" i="27" s="1"/>
  <c r="AL217" i="27"/>
  <c r="AL137" i="27" s="1"/>
  <c r="AL216" i="27"/>
  <c r="AL136" i="27" s="1"/>
  <c r="AL215" i="27"/>
  <c r="AL135" i="27" s="1"/>
  <c r="AL214" i="27"/>
  <c r="AL134" i="27" s="1"/>
  <c r="AL213" i="27"/>
  <c r="AL133" i="27" s="1"/>
  <c r="AL212" i="27"/>
  <c r="AL132" i="27" s="1"/>
  <c r="AL211" i="27"/>
  <c r="AL131" i="27" s="1"/>
  <c r="AL210" i="27"/>
  <c r="AL130" i="27" s="1"/>
  <c r="AL209" i="27"/>
  <c r="AL129" i="27" s="1"/>
  <c r="AL208" i="27"/>
  <c r="AL128" i="27" s="1"/>
  <c r="AL207" i="27"/>
  <c r="AL127" i="27" s="1"/>
  <c r="AL206" i="27"/>
  <c r="AL126" i="27" s="1"/>
  <c r="AL205" i="27"/>
  <c r="AL125" i="27" s="1"/>
  <c r="AL204" i="27"/>
  <c r="AL124" i="27" s="1"/>
  <c r="AL203" i="27"/>
  <c r="AL123" i="27" s="1"/>
  <c r="AL202" i="27"/>
  <c r="AL122" i="27" s="1"/>
  <c r="AL201" i="27"/>
  <c r="AL121" i="27" s="1"/>
  <c r="AL200" i="27"/>
  <c r="AL120" i="27" s="1"/>
  <c r="AL199" i="27"/>
  <c r="AL119" i="27" s="1"/>
  <c r="AL198" i="27"/>
  <c r="AL118" i="27" s="1"/>
  <c r="AL197" i="27"/>
  <c r="AL117" i="27" s="1"/>
  <c r="AL196" i="27"/>
  <c r="AL116" i="27" s="1"/>
  <c r="AL195" i="27"/>
  <c r="AL115" i="27" s="1"/>
  <c r="AL194" i="27"/>
  <c r="AL114" i="27" s="1"/>
  <c r="AL193" i="27"/>
  <c r="AL113" i="27" s="1"/>
  <c r="AL192" i="27"/>
  <c r="AL112" i="27" s="1"/>
  <c r="AL191" i="27"/>
  <c r="AL111" i="27" s="1"/>
  <c r="AJ217" i="27"/>
  <c r="AJ137" i="27" s="1"/>
  <c r="AJ212" i="27"/>
  <c r="AJ132" i="27" s="1"/>
  <c r="AJ205" i="27"/>
  <c r="AJ125" i="27" s="1"/>
  <c r="AJ215" i="27"/>
  <c r="AJ135" i="27" s="1"/>
  <c r="AJ210" i="27"/>
  <c r="AJ130" i="27" s="1"/>
  <c r="AJ222" i="27"/>
  <c r="AJ142" i="27" s="1"/>
  <c r="AJ208" i="27"/>
  <c r="AJ128" i="27" s="1"/>
  <c r="AJ203" i="27"/>
  <c r="AJ123" i="27" s="1"/>
  <c r="AJ201" i="27"/>
  <c r="AJ121" i="27" s="1"/>
  <c r="AJ213" i="27"/>
  <c r="AJ133" i="27" s="1"/>
  <c r="AJ206" i="27"/>
  <c r="AJ126" i="27" s="1"/>
  <c r="AJ200" i="27"/>
  <c r="AJ120" i="27" s="1"/>
  <c r="AJ199" i="27"/>
  <c r="AJ119" i="27" s="1"/>
  <c r="AJ198" i="27"/>
  <c r="AJ118" i="27" s="1"/>
  <c r="AJ197" i="27"/>
  <c r="AJ117" i="27" s="1"/>
  <c r="AJ196" i="27"/>
  <c r="AJ116" i="27" s="1"/>
  <c r="AJ195" i="27"/>
  <c r="AJ115" i="27" s="1"/>
  <c r="AJ194" i="27"/>
  <c r="AJ114" i="27" s="1"/>
  <c r="AJ193" i="27"/>
  <c r="AJ113" i="27" s="1"/>
  <c r="AJ192" i="27"/>
  <c r="AJ112" i="27" s="1"/>
  <c r="AJ191" i="27"/>
  <c r="AJ111" i="27" s="1"/>
  <c r="AJ220" i="27"/>
  <c r="AJ140" i="27" s="1"/>
  <c r="AJ218" i="27"/>
  <c r="AJ138" i="27" s="1"/>
  <c r="AJ216" i="27"/>
  <c r="AJ136" i="27" s="1"/>
  <c r="AJ207" i="27"/>
  <c r="AJ127" i="27" s="1"/>
  <c r="AJ204" i="27"/>
  <c r="AJ124" i="27" s="1"/>
  <c r="AJ214" i="27"/>
  <c r="AJ134" i="27" s="1"/>
  <c r="AJ211" i="27"/>
  <c r="AJ131" i="27" s="1"/>
  <c r="AJ202" i="27"/>
  <c r="AJ122" i="27" s="1"/>
  <c r="AJ209" i="27"/>
  <c r="AJ129" i="27" s="1"/>
  <c r="AJ221" i="27"/>
  <c r="AJ141" i="27" s="1"/>
  <c r="AE222" i="27"/>
  <c r="AE142" i="27" s="1"/>
  <c r="AE221" i="27"/>
  <c r="AE141" i="27" s="1"/>
  <c r="AE220" i="27"/>
  <c r="AE140" i="27" s="1"/>
  <c r="AE219" i="27"/>
  <c r="AE139" i="27" s="1"/>
  <c r="AE218" i="27"/>
  <c r="AE138" i="27" s="1"/>
  <c r="AE217" i="27"/>
  <c r="AE137" i="27" s="1"/>
  <c r="AE216" i="27"/>
  <c r="AE136" i="27" s="1"/>
  <c r="AE215" i="27"/>
  <c r="AE135" i="27" s="1"/>
  <c r="AE213" i="27"/>
  <c r="AE133" i="27" s="1"/>
  <c r="AE212" i="27"/>
  <c r="AE132" i="27" s="1"/>
  <c r="AE211" i="27"/>
  <c r="AE131" i="27" s="1"/>
  <c r="AE210" i="27"/>
  <c r="AE130" i="27" s="1"/>
  <c r="AE209" i="27"/>
  <c r="AE129" i="27" s="1"/>
  <c r="AE208" i="27"/>
  <c r="AE128" i="27" s="1"/>
  <c r="AE207" i="27"/>
  <c r="AE127" i="27" s="1"/>
  <c r="AE206" i="27"/>
  <c r="AE126" i="27" s="1"/>
  <c r="AE205" i="27"/>
  <c r="AE125" i="27" s="1"/>
  <c r="AE204" i="27"/>
  <c r="AE124" i="27" s="1"/>
  <c r="AE203" i="27"/>
  <c r="AE123" i="27" s="1"/>
  <c r="AE202" i="27"/>
  <c r="AE122" i="27" s="1"/>
  <c r="AE201" i="27"/>
  <c r="AE121" i="27" s="1"/>
  <c r="AE200" i="27"/>
  <c r="AE120" i="27" s="1"/>
  <c r="AE199" i="27"/>
  <c r="AE119" i="27" s="1"/>
  <c r="AE198" i="27"/>
  <c r="AE118" i="27" s="1"/>
  <c r="AE197" i="27"/>
  <c r="AE117" i="27" s="1"/>
  <c r="AE196" i="27"/>
  <c r="AE116" i="27" s="1"/>
  <c r="AE195" i="27"/>
  <c r="AE115" i="27" s="1"/>
  <c r="AE194" i="27"/>
  <c r="AE114" i="27" s="1"/>
  <c r="AE193" i="27"/>
  <c r="AE113" i="27" s="1"/>
  <c r="AE192" i="27"/>
  <c r="AE112" i="27" s="1"/>
  <c r="AE191" i="27"/>
  <c r="AE111" i="27" s="1"/>
  <c r="AG214" i="27"/>
  <c r="AG134" i="27" s="1"/>
  <c r="AG207" i="27"/>
  <c r="AG127" i="27" s="1"/>
  <c r="AG202" i="27"/>
  <c r="AG122" i="27" s="1"/>
  <c r="AG221" i="27"/>
  <c r="AG141" i="27" s="1"/>
  <c r="AG219" i="27"/>
  <c r="AG139" i="27" s="1"/>
  <c r="AG212" i="27"/>
  <c r="AG132" i="27" s="1"/>
  <c r="AG205" i="27"/>
  <c r="AG125" i="27" s="1"/>
  <c r="AG217" i="27"/>
  <c r="AG137" i="27" s="1"/>
  <c r="AG215" i="27"/>
  <c r="AG135" i="27" s="1"/>
  <c r="AG210" i="27"/>
  <c r="AG130" i="27" s="1"/>
  <c r="AG222" i="27"/>
  <c r="AG142" i="27" s="1"/>
  <c r="AG208" i="27"/>
  <c r="AG128" i="27" s="1"/>
  <c r="AG203" i="27"/>
  <c r="AG123" i="27" s="1"/>
  <c r="AG201" i="27"/>
  <c r="AG121" i="27" s="1"/>
  <c r="AG195" i="27"/>
  <c r="AG115" i="27" s="1"/>
  <c r="AG213" i="27"/>
  <c r="AG133" i="27" s="1"/>
  <c r="AG200" i="27"/>
  <c r="AG120" i="27" s="1"/>
  <c r="AG198" i="27"/>
  <c r="AG118" i="27" s="1"/>
  <c r="AG204" i="27"/>
  <c r="AG124" i="27" s="1"/>
  <c r="AG193" i="27"/>
  <c r="AG113" i="27" s="1"/>
  <c r="AG191" i="27"/>
  <c r="AG111" i="27" s="1"/>
  <c r="AG196" i="27"/>
  <c r="AG116" i="27" s="1"/>
  <c r="AG220" i="27"/>
  <c r="AG140" i="27" s="1"/>
  <c r="AG211" i="27"/>
  <c r="AG131" i="27" s="1"/>
  <c r="AG199" i="27"/>
  <c r="AG119" i="27" s="1"/>
  <c r="AG194" i="27"/>
  <c r="AG114" i="27" s="1"/>
  <c r="AG218" i="27"/>
  <c r="AG138" i="27" s="1"/>
  <c r="AG209" i="27"/>
  <c r="AG129" i="27" s="1"/>
  <c r="AG192" i="27"/>
  <c r="AG112" i="27" s="1"/>
  <c r="AG206" i="27"/>
  <c r="AG126" i="27" s="1"/>
  <c r="AG197" i="27"/>
  <c r="AG117" i="27" s="1"/>
  <c r="AC222" i="27"/>
  <c r="AC142" i="27" s="1"/>
  <c r="AC221" i="27"/>
  <c r="AC141" i="27" s="1"/>
  <c r="AC220" i="27"/>
  <c r="AC140" i="27" s="1"/>
  <c r="AC219" i="27"/>
  <c r="AC139" i="27" s="1"/>
  <c r="AC218" i="27"/>
  <c r="AC138" i="27" s="1"/>
  <c r="AC217" i="27"/>
  <c r="AC137" i="27" s="1"/>
  <c r="AC216" i="27"/>
  <c r="AC136" i="27" s="1"/>
  <c r="AC215" i="27"/>
  <c r="AC135" i="27" s="1"/>
  <c r="AC214" i="27"/>
  <c r="AC134" i="27" s="1"/>
  <c r="AC213" i="27"/>
  <c r="AC133" i="27" s="1"/>
  <c r="AC211" i="27"/>
  <c r="AC131" i="27" s="1"/>
  <c r="AC210" i="27"/>
  <c r="AC130" i="27" s="1"/>
  <c r="AC209" i="27"/>
  <c r="AC129" i="27" s="1"/>
  <c r="AC208" i="27"/>
  <c r="AC128" i="27" s="1"/>
  <c r="AC207" i="27"/>
  <c r="AC127" i="27" s="1"/>
  <c r="AC206" i="27"/>
  <c r="AC126" i="27" s="1"/>
  <c r="AC205" i="27"/>
  <c r="AC125" i="27" s="1"/>
  <c r="AC204" i="27"/>
  <c r="AC124" i="27" s="1"/>
  <c r="AC203" i="27"/>
  <c r="AC123" i="27" s="1"/>
  <c r="AC202" i="27"/>
  <c r="AC122" i="27" s="1"/>
  <c r="AC201" i="27"/>
  <c r="AC121" i="27" s="1"/>
  <c r="AC200" i="27"/>
  <c r="AC120" i="27" s="1"/>
  <c r="AC199" i="27"/>
  <c r="AC119" i="27" s="1"/>
  <c r="AC198" i="27"/>
  <c r="AC118" i="27" s="1"/>
  <c r="AC197" i="27"/>
  <c r="AC117" i="27" s="1"/>
  <c r="AC196" i="27"/>
  <c r="AC116" i="27" s="1"/>
  <c r="AC195" i="27"/>
  <c r="AC115" i="27" s="1"/>
  <c r="AC194" i="27"/>
  <c r="AC114" i="27" s="1"/>
  <c r="AC193" i="27"/>
  <c r="AC113" i="27" s="1"/>
  <c r="AC192" i="27"/>
  <c r="AC112" i="27" s="1"/>
  <c r="AC191" i="27"/>
  <c r="AC111" i="27" s="1"/>
  <c r="M222" i="27"/>
  <c r="M142" i="27" s="1"/>
  <c r="M221" i="27"/>
  <c r="M141" i="27" s="1"/>
  <c r="M220" i="27"/>
  <c r="M140" i="27" s="1"/>
  <c r="M219" i="27"/>
  <c r="M139" i="27" s="1"/>
  <c r="M218" i="27"/>
  <c r="M138" i="27" s="1"/>
  <c r="M217" i="27"/>
  <c r="M137" i="27" s="1"/>
  <c r="M216" i="27"/>
  <c r="M136" i="27" s="1"/>
  <c r="M215" i="27"/>
  <c r="M135" i="27" s="1"/>
  <c r="M214" i="27"/>
  <c r="M134" i="27" s="1"/>
  <c r="M213" i="27"/>
  <c r="M133" i="27" s="1"/>
  <c r="M212" i="27"/>
  <c r="M132" i="27" s="1"/>
  <c r="M211" i="27"/>
  <c r="M131" i="27" s="1"/>
  <c r="M210" i="27"/>
  <c r="M130" i="27" s="1"/>
  <c r="M209" i="27"/>
  <c r="M129" i="27" s="1"/>
  <c r="M208" i="27"/>
  <c r="M128" i="27" s="1"/>
  <c r="M207" i="27"/>
  <c r="M127" i="27" s="1"/>
  <c r="M206" i="27"/>
  <c r="M126" i="27" s="1"/>
  <c r="M205" i="27"/>
  <c r="M125" i="27" s="1"/>
  <c r="M204" i="27"/>
  <c r="M124" i="27" s="1"/>
  <c r="M203" i="27"/>
  <c r="M123" i="27" s="1"/>
  <c r="M202" i="27"/>
  <c r="M122" i="27" s="1"/>
  <c r="M201" i="27"/>
  <c r="M121" i="27" s="1"/>
  <c r="M200" i="27"/>
  <c r="M120" i="27" s="1"/>
  <c r="M199" i="27"/>
  <c r="M119" i="27" s="1"/>
  <c r="M198" i="27"/>
  <c r="M118" i="27" s="1"/>
  <c r="M197" i="27"/>
  <c r="M117" i="27" s="1"/>
  <c r="M195" i="27"/>
  <c r="M115" i="27" s="1"/>
  <c r="M194" i="27"/>
  <c r="M114" i="27" s="1"/>
  <c r="M193" i="27"/>
  <c r="M113" i="27" s="1"/>
  <c r="M192" i="27"/>
  <c r="M112" i="27" s="1"/>
  <c r="M191" i="27"/>
  <c r="M111" i="27" s="1"/>
  <c r="AI221" i="27"/>
  <c r="AI141" i="27" s="1"/>
  <c r="AI219" i="27"/>
  <c r="AI139" i="27" s="1"/>
  <c r="AI217" i="27"/>
  <c r="AI137" i="27" s="1"/>
  <c r="AI212" i="27"/>
  <c r="AI132" i="27" s="1"/>
  <c r="AI205" i="27"/>
  <c r="AI125" i="27" s="1"/>
  <c r="AI215" i="27"/>
  <c r="AI135" i="27" s="1"/>
  <c r="AI210" i="27"/>
  <c r="AI130" i="27" s="1"/>
  <c r="AI222" i="27"/>
  <c r="AI142" i="27" s="1"/>
  <c r="AI208" i="27"/>
  <c r="AI128" i="27" s="1"/>
  <c r="AI203" i="27"/>
  <c r="AI123" i="27" s="1"/>
  <c r="AI201" i="27"/>
  <c r="AI121" i="27" s="1"/>
  <c r="AI213" i="27"/>
  <c r="AI133" i="27" s="1"/>
  <c r="AI206" i="27"/>
  <c r="AI126" i="27" s="1"/>
  <c r="AI200" i="27"/>
  <c r="AI120" i="27" s="1"/>
  <c r="AI199" i="27"/>
  <c r="AI119" i="27" s="1"/>
  <c r="AI198" i="27"/>
  <c r="AI118" i="27" s="1"/>
  <c r="AI197" i="27"/>
  <c r="AI117" i="27" s="1"/>
  <c r="AI196" i="27"/>
  <c r="AI116" i="27" s="1"/>
  <c r="AI195" i="27"/>
  <c r="AI115" i="27" s="1"/>
  <c r="AI194" i="27"/>
  <c r="AI114" i="27" s="1"/>
  <c r="AI193" i="27"/>
  <c r="AI113" i="27" s="1"/>
  <c r="AI192" i="27"/>
  <c r="AI112" i="27" s="1"/>
  <c r="AI191" i="27"/>
  <c r="AI111" i="27" s="1"/>
  <c r="AI216" i="27"/>
  <c r="AI136" i="27" s="1"/>
  <c r="AI207" i="27"/>
  <c r="AI127" i="27" s="1"/>
  <c r="AI204" i="27"/>
  <c r="AI124" i="27" s="1"/>
  <c r="AI220" i="27"/>
  <c r="AI140" i="27" s="1"/>
  <c r="AI214" i="27"/>
  <c r="AI134" i="27" s="1"/>
  <c r="AI211" i="27"/>
  <c r="AI131" i="27" s="1"/>
  <c r="AI202" i="27"/>
  <c r="AI122" i="27" s="1"/>
  <c r="AI209" i="27"/>
  <c r="AI129" i="27" s="1"/>
  <c r="P222" i="27"/>
  <c r="P142" i="27" s="1"/>
  <c r="P221" i="27"/>
  <c r="P141" i="27" s="1"/>
  <c r="P220" i="27"/>
  <c r="P140" i="27" s="1"/>
  <c r="P219" i="27"/>
  <c r="P139" i="27" s="1"/>
  <c r="P218" i="27"/>
  <c r="P138" i="27" s="1"/>
  <c r="P217" i="27"/>
  <c r="P137" i="27" s="1"/>
  <c r="P216" i="27"/>
  <c r="P136" i="27" s="1"/>
  <c r="P215" i="27"/>
  <c r="P135" i="27" s="1"/>
  <c r="P214" i="27"/>
  <c r="P134" i="27" s="1"/>
  <c r="P213" i="27"/>
  <c r="P133" i="27" s="1"/>
  <c r="P212" i="27"/>
  <c r="P132" i="27" s="1"/>
  <c r="P211" i="27"/>
  <c r="P131" i="27" s="1"/>
  <c r="P210" i="27"/>
  <c r="P130" i="27" s="1"/>
  <c r="P209" i="27"/>
  <c r="P129" i="27" s="1"/>
  <c r="P208" i="27"/>
  <c r="P128" i="27" s="1"/>
  <c r="P207" i="27"/>
  <c r="P127" i="27" s="1"/>
  <c r="P206" i="27"/>
  <c r="P126" i="27" s="1"/>
  <c r="P205" i="27"/>
  <c r="P125" i="27" s="1"/>
  <c r="P204" i="27"/>
  <c r="P124" i="27" s="1"/>
  <c r="P203" i="27"/>
  <c r="P123" i="27" s="1"/>
  <c r="P202" i="27"/>
  <c r="P122" i="27" s="1"/>
  <c r="P201" i="27"/>
  <c r="P121" i="27" s="1"/>
  <c r="P200" i="27"/>
  <c r="P120" i="27" s="1"/>
  <c r="P198" i="27"/>
  <c r="P118" i="27" s="1"/>
  <c r="P193" i="27"/>
  <c r="P113" i="27" s="1"/>
  <c r="P191" i="27"/>
  <c r="P111" i="27" s="1"/>
  <c r="P196" i="27"/>
  <c r="P116" i="27" s="1"/>
  <c r="P194" i="27"/>
  <c r="P114" i="27" s="1"/>
  <c r="P197" i="27"/>
  <c r="P117" i="27" s="1"/>
  <c r="P192" i="27"/>
  <c r="P112" i="27" s="1"/>
  <c r="P195" i="27"/>
  <c r="P115" i="27" s="1"/>
  <c r="I216" i="27"/>
  <c r="I136" i="27" s="1"/>
  <c r="I211" i="27"/>
  <c r="I131" i="27" s="1"/>
  <c r="I209" i="27"/>
  <c r="I129" i="27" s="1"/>
  <c r="I204" i="27"/>
  <c r="I124" i="27" s="1"/>
  <c r="I202" i="27"/>
  <c r="I122" i="27" s="1"/>
  <c r="I221" i="27"/>
  <c r="I141" i="27" s="1"/>
  <c r="I214" i="27"/>
  <c r="I134" i="27" s="1"/>
  <c r="I207" i="27"/>
  <c r="I127" i="27" s="1"/>
  <c r="I219" i="27"/>
  <c r="I139" i="27" s="1"/>
  <c r="I217" i="27"/>
  <c r="I137" i="27" s="1"/>
  <c r="I212" i="27"/>
  <c r="I132" i="27" s="1"/>
  <c r="I210" i="27"/>
  <c r="I130" i="27" s="1"/>
  <c r="I205" i="27"/>
  <c r="I125" i="27" s="1"/>
  <c r="I197" i="27"/>
  <c r="I117" i="27" s="1"/>
  <c r="I220" i="27"/>
  <c r="I140" i="27" s="1"/>
  <c r="I215" i="27"/>
  <c r="I135" i="27" s="1"/>
  <c r="I200" i="27"/>
  <c r="I120" i="27" s="1"/>
  <c r="I195" i="27"/>
  <c r="I115" i="27" s="1"/>
  <c r="I218" i="27"/>
  <c r="I138" i="27" s="1"/>
  <c r="I203" i="27"/>
  <c r="I123" i="27" s="1"/>
  <c r="I198" i="27"/>
  <c r="I118" i="27" s="1"/>
  <c r="I193" i="27"/>
  <c r="I113" i="27" s="1"/>
  <c r="I191" i="27"/>
  <c r="I111" i="27" s="1"/>
  <c r="I206" i="27"/>
  <c r="I126" i="27" s="1"/>
  <c r="I222" i="27"/>
  <c r="I142" i="27" s="1"/>
  <c r="I196" i="27"/>
  <c r="I116" i="27" s="1"/>
  <c r="I208" i="27"/>
  <c r="I128" i="27" s="1"/>
  <c r="I199" i="27"/>
  <c r="I119" i="27" s="1"/>
  <c r="I201" i="27"/>
  <c r="I121" i="27" s="1"/>
  <c r="I213" i="27"/>
  <c r="I133" i="27" s="1"/>
  <c r="I194" i="27"/>
  <c r="I114" i="27" s="1"/>
  <c r="AK222" i="27"/>
  <c r="AK142" i="27" s="1"/>
  <c r="AK221" i="27"/>
  <c r="AK141" i="27" s="1"/>
  <c r="AK219" i="27"/>
  <c r="AK139" i="27" s="1"/>
  <c r="AK218" i="27"/>
  <c r="AK138" i="27" s="1"/>
  <c r="AK217" i="27"/>
  <c r="AK137" i="27" s="1"/>
  <c r="AK216" i="27"/>
  <c r="AK136" i="27" s="1"/>
  <c r="AK215" i="27"/>
  <c r="AK135" i="27" s="1"/>
  <c r="AK214" i="27"/>
  <c r="AK134" i="27" s="1"/>
  <c r="AK213" i="27"/>
  <c r="AK133" i="27" s="1"/>
  <c r="AK212" i="27"/>
  <c r="AK132" i="27" s="1"/>
  <c r="AK211" i="27"/>
  <c r="AK131" i="27" s="1"/>
  <c r="AK210" i="27"/>
  <c r="AK130" i="27" s="1"/>
  <c r="AK209" i="27"/>
  <c r="AK129" i="27" s="1"/>
  <c r="AK208" i="27"/>
  <c r="AK128" i="27" s="1"/>
  <c r="AK207" i="27"/>
  <c r="AK127" i="27" s="1"/>
  <c r="AK206" i="27"/>
  <c r="AK126" i="27" s="1"/>
  <c r="AK205" i="27"/>
  <c r="AK125" i="27" s="1"/>
  <c r="AK204" i="27"/>
  <c r="AK124" i="27" s="1"/>
  <c r="AK203" i="27"/>
  <c r="AK123" i="27" s="1"/>
  <c r="AK202" i="27"/>
  <c r="AK122" i="27" s="1"/>
  <c r="AK201" i="27"/>
  <c r="AK121" i="27" s="1"/>
  <c r="AK200" i="27"/>
  <c r="AK120" i="27" s="1"/>
  <c r="AK199" i="27"/>
  <c r="AK119" i="27" s="1"/>
  <c r="AK198" i="27"/>
  <c r="AK118" i="27" s="1"/>
  <c r="AK197" i="27"/>
  <c r="AK117" i="27" s="1"/>
  <c r="AK196" i="27"/>
  <c r="AK116" i="27" s="1"/>
  <c r="AK195" i="27"/>
  <c r="AK115" i="27" s="1"/>
  <c r="AK194" i="27"/>
  <c r="AK114" i="27" s="1"/>
  <c r="AK193" i="27"/>
  <c r="AK113" i="27" s="1"/>
  <c r="AK192" i="27"/>
  <c r="AK112" i="27" s="1"/>
  <c r="AK191" i="27"/>
  <c r="AK111" i="27" s="1"/>
  <c r="H222" i="27"/>
  <c r="H142" i="27" s="1"/>
  <c r="H221" i="27"/>
  <c r="H141" i="27" s="1"/>
  <c r="H220" i="27"/>
  <c r="H140" i="27" s="1"/>
  <c r="H219" i="27"/>
  <c r="H139" i="27" s="1"/>
  <c r="H218" i="27"/>
  <c r="H138" i="27" s="1"/>
  <c r="H217" i="27"/>
  <c r="H137" i="27" s="1"/>
  <c r="H216" i="27"/>
  <c r="H136" i="27" s="1"/>
  <c r="H215" i="27"/>
  <c r="H135" i="27" s="1"/>
  <c r="H214" i="27"/>
  <c r="H134" i="27" s="1"/>
  <c r="H213" i="27"/>
  <c r="H133" i="27" s="1"/>
  <c r="H212" i="27"/>
  <c r="H132" i="27" s="1"/>
  <c r="H211" i="27"/>
  <c r="H131" i="27" s="1"/>
  <c r="H210" i="27"/>
  <c r="H130" i="27" s="1"/>
  <c r="H209" i="27"/>
  <c r="H129" i="27" s="1"/>
  <c r="H208" i="27"/>
  <c r="H128" i="27" s="1"/>
  <c r="H207" i="27"/>
  <c r="H127" i="27" s="1"/>
  <c r="H206" i="27"/>
  <c r="H126" i="27" s="1"/>
  <c r="H205" i="27"/>
  <c r="H125" i="27" s="1"/>
  <c r="H204" i="27"/>
  <c r="H124" i="27" s="1"/>
  <c r="H203" i="27"/>
  <c r="H123" i="27" s="1"/>
  <c r="H202" i="27"/>
  <c r="H122" i="27" s="1"/>
  <c r="H194" i="27"/>
  <c r="H114" i="27" s="1"/>
  <c r="H192" i="27"/>
  <c r="H112" i="27" s="1"/>
  <c r="H197" i="27"/>
  <c r="H117" i="27" s="1"/>
  <c r="H200" i="27"/>
  <c r="H120" i="27" s="1"/>
  <c r="H195" i="27"/>
  <c r="H115" i="27" s="1"/>
  <c r="H198" i="27"/>
  <c r="H118" i="27" s="1"/>
  <c r="H193" i="27"/>
  <c r="H113" i="27" s="1"/>
  <c r="H199" i="27"/>
  <c r="H119" i="27" s="1"/>
  <c r="H201" i="27"/>
  <c r="H121" i="27" s="1"/>
  <c r="H196" i="27"/>
  <c r="H116" i="27" s="1"/>
  <c r="Z222" i="27"/>
  <c r="Z142" i="27" s="1"/>
  <c r="Z221" i="27"/>
  <c r="Z141" i="27" s="1"/>
  <c r="Z220" i="27"/>
  <c r="Z140" i="27" s="1"/>
  <c r="Z219" i="27"/>
  <c r="Z139" i="27" s="1"/>
  <c r="Z218" i="27"/>
  <c r="Z138" i="27" s="1"/>
  <c r="Z217" i="27"/>
  <c r="Z137" i="27" s="1"/>
  <c r="Z216" i="27"/>
  <c r="Z136" i="27" s="1"/>
  <c r="Z215" i="27"/>
  <c r="Z135" i="27" s="1"/>
  <c r="Z214" i="27"/>
  <c r="Z134" i="27" s="1"/>
  <c r="Z213" i="27"/>
  <c r="Z133" i="27" s="1"/>
  <c r="Z212" i="27"/>
  <c r="Z132" i="27" s="1"/>
  <c r="Z211" i="27"/>
  <c r="Z131" i="27" s="1"/>
  <c r="Z210" i="27"/>
  <c r="Z130" i="27" s="1"/>
  <c r="Z208" i="27"/>
  <c r="Z128" i="27" s="1"/>
  <c r="Z207" i="27"/>
  <c r="Z127" i="27" s="1"/>
  <c r="Z206" i="27"/>
  <c r="Z126" i="27" s="1"/>
  <c r="Z205" i="27"/>
  <c r="Z125" i="27" s="1"/>
  <c r="Z204" i="27"/>
  <c r="Z124" i="27" s="1"/>
  <c r="Z203" i="27"/>
  <c r="Z123" i="27" s="1"/>
  <c r="Z202" i="27"/>
  <c r="Z122" i="27" s="1"/>
  <c r="Z201" i="27"/>
  <c r="Z121" i="27" s="1"/>
  <c r="Z197" i="27"/>
  <c r="Z117" i="27" s="1"/>
  <c r="Z192" i="27"/>
  <c r="Z112" i="27" s="1"/>
  <c r="Z195" i="27"/>
  <c r="Z115" i="27" s="1"/>
  <c r="Z200" i="27"/>
  <c r="Z120" i="27" s="1"/>
  <c r="Z198" i="27"/>
  <c r="Z118" i="27" s="1"/>
  <c r="Z193" i="27"/>
  <c r="Z113" i="27" s="1"/>
  <c r="Z191" i="27"/>
  <c r="Z111" i="27" s="1"/>
  <c r="Z196" i="27"/>
  <c r="Z116" i="27" s="1"/>
  <c r="Z199" i="27"/>
  <c r="Z119" i="27" s="1"/>
  <c r="Z194" i="27"/>
  <c r="Z114" i="27" s="1"/>
  <c r="AD222" i="27"/>
  <c r="AD142" i="27" s="1"/>
  <c r="AD221" i="27"/>
  <c r="AD141" i="27" s="1"/>
  <c r="AD220" i="27"/>
  <c r="AD140" i="27" s="1"/>
  <c r="AD219" i="27"/>
  <c r="AD139" i="27" s="1"/>
  <c r="AD218" i="27"/>
  <c r="AD138" i="27" s="1"/>
  <c r="AD217" i="27"/>
  <c r="AD137" i="27" s="1"/>
  <c r="AD216" i="27"/>
  <c r="AD136" i="27" s="1"/>
  <c r="AD215" i="27"/>
  <c r="AD135" i="27" s="1"/>
  <c r="AD214" i="27"/>
  <c r="AD134" i="27" s="1"/>
  <c r="AD212" i="27"/>
  <c r="AD132" i="27" s="1"/>
  <c r="AD211" i="27"/>
  <c r="AD131" i="27" s="1"/>
  <c r="AD210" i="27"/>
  <c r="AD130" i="27" s="1"/>
  <c r="AD209" i="27"/>
  <c r="AD129" i="27" s="1"/>
  <c r="AD208" i="27"/>
  <c r="AD128" i="27" s="1"/>
  <c r="AD207" i="27"/>
  <c r="AD127" i="27" s="1"/>
  <c r="AD206" i="27"/>
  <c r="AD126" i="27" s="1"/>
  <c r="AD205" i="27"/>
  <c r="AD125" i="27" s="1"/>
  <c r="AD204" i="27"/>
  <c r="AD124" i="27" s="1"/>
  <c r="AD203" i="27"/>
  <c r="AD123" i="27" s="1"/>
  <c r="AD202" i="27"/>
  <c r="AD122" i="27" s="1"/>
  <c r="AD201" i="27"/>
  <c r="AD121" i="27" s="1"/>
  <c r="AD200" i="27"/>
  <c r="AD120" i="27" s="1"/>
  <c r="AD199" i="27"/>
  <c r="AD119" i="27" s="1"/>
  <c r="AD198" i="27"/>
  <c r="AD118" i="27" s="1"/>
  <c r="AD197" i="27"/>
  <c r="AD117" i="27" s="1"/>
  <c r="AD196" i="27"/>
  <c r="AD116" i="27" s="1"/>
  <c r="AD195" i="27"/>
  <c r="AD115" i="27" s="1"/>
  <c r="AD194" i="27"/>
  <c r="AD114" i="27" s="1"/>
  <c r="AD193" i="27"/>
  <c r="AD113" i="27" s="1"/>
  <c r="AD192" i="27"/>
  <c r="AD112" i="27" s="1"/>
  <c r="AD191" i="27"/>
  <c r="AD111" i="27" s="1"/>
  <c r="K209" i="27"/>
  <c r="K129" i="27" s="1"/>
  <c r="K204" i="27"/>
  <c r="K124" i="27" s="1"/>
  <c r="K202" i="27"/>
  <c r="K122" i="27" s="1"/>
  <c r="K221" i="27"/>
  <c r="K141" i="27" s="1"/>
  <c r="K214" i="27"/>
  <c r="K134" i="27" s="1"/>
  <c r="K207" i="27"/>
  <c r="K127" i="27" s="1"/>
  <c r="K219" i="27"/>
  <c r="K139" i="27" s="1"/>
  <c r="K217" i="27"/>
  <c r="K137" i="27" s="1"/>
  <c r="K212" i="27"/>
  <c r="K132" i="27" s="1"/>
  <c r="K210" i="27"/>
  <c r="K130" i="27" s="1"/>
  <c r="K205" i="27"/>
  <c r="K125" i="27" s="1"/>
  <c r="K222" i="27"/>
  <c r="K142" i="27" s="1"/>
  <c r="K215" i="27"/>
  <c r="K135" i="27" s="1"/>
  <c r="K208" i="27"/>
  <c r="K128" i="27" s="1"/>
  <c r="K203" i="27"/>
  <c r="K123" i="27" s="1"/>
  <c r="K200" i="27"/>
  <c r="K120" i="27" s="1"/>
  <c r="K199" i="27"/>
  <c r="K119" i="27" s="1"/>
  <c r="K198" i="27"/>
  <c r="K118" i="27" s="1"/>
  <c r="K197" i="27"/>
  <c r="K117" i="27" s="1"/>
  <c r="K196" i="27"/>
  <c r="K116" i="27" s="1"/>
  <c r="K195" i="27"/>
  <c r="K115" i="27" s="1"/>
  <c r="K193" i="27"/>
  <c r="K113" i="27" s="1"/>
  <c r="K192" i="27"/>
  <c r="K112" i="27" s="1"/>
  <c r="K191" i="27"/>
  <c r="K111" i="27" s="1"/>
  <c r="K220" i="27"/>
  <c r="K140" i="27" s="1"/>
  <c r="K211" i="27"/>
  <c r="K131" i="27" s="1"/>
  <c r="K218" i="27"/>
  <c r="K138" i="27" s="1"/>
  <c r="K206" i="27"/>
  <c r="K126" i="27" s="1"/>
  <c r="K216" i="27"/>
  <c r="K136" i="27" s="1"/>
  <c r="K213" i="27"/>
  <c r="K133" i="27" s="1"/>
  <c r="K201" i="27"/>
  <c r="K121" i="27" s="1"/>
  <c r="X222" i="27"/>
  <c r="X142" i="27" s="1"/>
  <c r="X221" i="27"/>
  <c r="X141" i="27" s="1"/>
  <c r="X220" i="27"/>
  <c r="X140" i="27" s="1"/>
  <c r="X219" i="27"/>
  <c r="X139" i="27" s="1"/>
  <c r="X218" i="27"/>
  <c r="X138" i="27" s="1"/>
  <c r="X217" i="27"/>
  <c r="X137" i="27" s="1"/>
  <c r="X216" i="27"/>
  <c r="X136" i="27" s="1"/>
  <c r="X215" i="27"/>
  <c r="X135" i="27" s="1"/>
  <c r="X214" i="27"/>
  <c r="X134" i="27" s="1"/>
  <c r="X213" i="27"/>
  <c r="X133" i="27" s="1"/>
  <c r="X212" i="27"/>
  <c r="X132" i="27" s="1"/>
  <c r="X211" i="27"/>
  <c r="X131" i="27" s="1"/>
  <c r="X210" i="27"/>
  <c r="X130" i="27" s="1"/>
  <c r="X209" i="27"/>
  <c r="X129" i="27" s="1"/>
  <c r="X208" i="27"/>
  <c r="X128" i="27" s="1"/>
  <c r="X206" i="27"/>
  <c r="X126" i="27" s="1"/>
  <c r="X205" i="27"/>
  <c r="X125" i="27" s="1"/>
  <c r="X204" i="27"/>
  <c r="X124" i="27" s="1"/>
  <c r="X203" i="27"/>
  <c r="X123" i="27" s="1"/>
  <c r="X202" i="27"/>
  <c r="X122" i="27" s="1"/>
  <c r="X201" i="27"/>
  <c r="X121" i="27" s="1"/>
  <c r="X199" i="27"/>
  <c r="X119" i="27" s="1"/>
  <c r="X194" i="27"/>
  <c r="X114" i="27" s="1"/>
  <c r="X197" i="27"/>
  <c r="X117" i="27" s="1"/>
  <c r="X192" i="27"/>
  <c r="X112" i="27" s="1"/>
  <c r="X195" i="27"/>
  <c r="X115" i="27" s="1"/>
  <c r="X200" i="27"/>
  <c r="X120" i="27" s="1"/>
  <c r="X198" i="27"/>
  <c r="X118" i="27" s="1"/>
  <c r="X193" i="27"/>
  <c r="X113" i="27" s="1"/>
  <c r="X196" i="27"/>
  <c r="X116" i="27" s="1"/>
  <c r="X191" i="27"/>
  <c r="X111" i="27" s="1"/>
  <c r="AF222" i="27"/>
  <c r="AF142" i="27" s="1"/>
  <c r="AF221" i="27"/>
  <c r="AF141" i="27" s="1"/>
  <c r="AF220" i="27"/>
  <c r="AF140" i="27" s="1"/>
  <c r="AF219" i="27"/>
  <c r="AF139" i="27" s="1"/>
  <c r="AF218" i="27"/>
  <c r="AF138" i="27" s="1"/>
  <c r="AF217" i="27"/>
  <c r="AF137" i="27" s="1"/>
  <c r="AF216" i="27"/>
  <c r="AF136" i="27" s="1"/>
  <c r="AF214" i="27"/>
  <c r="AF134" i="27" s="1"/>
  <c r="AF213" i="27"/>
  <c r="AF133" i="27" s="1"/>
  <c r="AF212" i="27"/>
  <c r="AF132" i="27" s="1"/>
  <c r="AF211" i="27"/>
  <c r="AF131" i="27" s="1"/>
  <c r="AF210" i="27"/>
  <c r="AF130" i="27" s="1"/>
  <c r="AF209" i="27"/>
  <c r="AF129" i="27" s="1"/>
  <c r="AF208" i="27"/>
  <c r="AF128" i="27" s="1"/>
  <c r="AF207" i="27"/>
  <c r="AF127" i="27" s="1"/>
  <c r="AF206" i="27"/>
  <c r="AF126" i="27" s="1"/>
  <c r="AF205" i="27"/>
  <c r="AF125" i="27" s="1"/>
  <c r="AF204" i="27"/>
  <c r="AF124" i="27" s="1"/>
  <c r="AF203" i="27"/>
  <c r="AF123" i="27" s="1"/>
  <c r="AF202" i="27"/>
  <c r="AF122" i="27" s="1"/>
  <c r="AF201" i="27"/>
  <c r="AF121" i="27" s="1"/>
  <c r="AF195" i="27"/>
  <c r="AF115" i="27" s="1"/>
  <c r="AF200" i="27"/>
  <c r="AF120" i="27" s="1"/>
  <c r="AF198" i="27"/>
  <c r="AF118" i="27" s="1"/>
  <c r="AF193" i="27"/>
  <c r="AF113" i="27" s="1"/>
  <c r="AF191" i="27"/>
  <c r="AF111" i="27" s="1"/>
  <c r="AF196" i="27"/>
  <c r="AF116" i="27" s="1"/>
  <c r="AF197" i="27"/>
  <c r="AF117" i="27" s="1"/>
  <c r="AF194" i="27"/>
  <c r="AF114" i="27" s="1"/>
  <c r="AF192" i="27"/>
  <c r="AF112" i="27" s="1"/>
  <c r="AF199" i="27"/>
  <c r="AF119" i="27" s="1"/>
  <c r="R222" i="27"/>
  <c r="R142" i="27" s="1"/>
  <c r="R221" i="27"/>
  <c r="R141" i="27" s="1"/>
  <c r="R220" i="27"/>
  <c r="R140" i="27" s="1"/>
  <c r="R219" i="27"/>
  <c r="R139" i="27" s="1"/>
  <c r="R218" i="27"/>
  <c r="R138" i="27" s="1"/>
  <c r="R217" i="27"/>
  <c r="R137" i="27" s="1"/>
  <c r="R216" i="27"/>
  <c r="R136" i="27" s="1"/>
  <c r="R215" i="27"/>
  <c r="R135" i="27" s="1"/>
  <c r="R214" i="27"/>
  <c r="R134" i="27" s="1"/>
  <c r="R213" i="27"/>
  <c r="R133" i="27" s="1"/>
  <c r="R212" i="27"/>
  <c r="R132" i="27" s="1"/>
  <c r="R211" i="27"/>
  <c r="R131" i="27" s="1"/>
  <c r="R210" i="27"/>
  <c r="R130" i="27" s="1"/>
  <c r="R209" i="27"/>
  <c r="R129" i="27" s="1"/>
  <c r="R208" i="27"/>
  <c r="R128" i="27" s="1"/>
  <c r="R207" i="27"/>
  <c r="R127" i="27" s="1"/>
  <c r="R206" i="27"/>
  <c r="R126" i="27" s="1"/>
  <c r="R205" i="27"/>
  <c r="R125" i="27" s="1"/>
  <c r="R204" i="27"/>
  <c r="R124" i="27" s="1"/>
  <c r="R203" i="27"/>
  <c r="R123" i="27" s="1"/>
  <c r="R202" i="27"/>
  <c r="R122" i="27" s="1"/>
  <c r="R196" i="27"/>
  <c r="R116" i="27" s="1"/>
  <c r="R199" i="27"/>
  <c r="R119" i="27" s="1"/>
  <c r="R194" i="27"/>
  <c r="R114" i="27" s="1"/>
  <c r="R197" i="27"/>
  <c r="R117" i="27" s="1"/>
  <c r="R192" i="27"/>
  <c r="R112" i="27" s="1"/>
  <c r="R195" i="27"/>
  <c r="R115" i="27" s="1"/>
  <c r="R191" i="27"/>
  <c r="R111" i="27" s="1"/>
  <c r="R200" i="27"/>
  <c r="R120" i="27" s="1"/>
  <c r="R193" i="27"/>
  <c r="R113" i="27" s="1"/>
  <c r="R198" i="27"/>
  <c r="R118" i="27" s="1"/>
  <c r="V222" i="27"/>
  <c r="V142" i="27" s="1"/>
  <c r="V221" i="27"/>
  <c r="V141" i="27" s="1"/>
  <c r="V220" i="27"/>
  <c r="V140" i="27" s="1"/>
  <c r="V219" i="27"/>
  <c r="V139" i="27" s="1"/>
  <c r="V218" i="27"/>
  <c r="V138" i="27" s="1"/>
  <c r="V217" i="27"/>
  <c r="V137" i="27" s="1"/>
  <c r="V216" i="27"/>
  <c r="V136" i="27" s="1"/>
  <c r="V215" i="27"/>
  <c r="V135" i="27" s="1"/>
  <c r="V214" i="27"/>
  <c r="V134" i="27" s="1"/>
  <c r="V213" i="27"/>
  <c r="V133" i="27" s="1"/>
  <c r="V212" i="27"/>
  <c r="V132" i="27" s="1"/>
  <c r="V211" i="27"/>
  <c r="V131" i="27" s="1"/>
  <c r="V210" i="27"/>
  <c r="V130" i="27" s="1"/>
  <c r="V209" i="27"/>
  <c r="V129" i="27" s="1"/>
  <c r="V208" i="27"/>
  <c r="V128" i="27" s="1"/>
  <c r="V207" i="27"/>
  <c r="V127" i="27" s="1"/>
  <c r="V206" i="27"/>
  <c r="V126" i="27" s="1"/>
  <c r="V204" i="27"/>
  <c r="V124" i="27" s="1"/>
  <c r="V203" i="27"/>
  <c r="V123" i="27" s="1"/>
  <c r="V202" i="27"/>
  <c r="V122" i="27" s="1"/>
  <c r="V201" i="27"/>
  <c r="V121" i="27" s="1"/>
  <c r="V200" i="27"/>
  <c r="V120" i="27" s="1"/>
  <c r="V199" i="27"/>
  <c r="V119" i="27" s="1"/>
  <c r="V198" i="27"/>
  <c r="V118" i="27" s="1"/>
  <c r="V197" i="27"/>
  <c r="V117" i="27" s="1"/>
  <c r="V196" i="27"/>
  <c r="V116" i="27" s="1"/>
  <c r="V195" i="27"/>
  <c r="V115" i="27" s="1"/>
  <c r="V194" i="27"/>
  <c r="V114" i="27" s="1"/>
  <c r="V193" i="27"/>
  <c r="V113" i="27" s="1"/>
  <c r="V192" i="27"/>
  <c r="V112" i="27" s="1"/>
  <c r="V191" i="27"/>
  <c r="V111" i="27" s="1"/>
  <c r="AA220" i="27"/>
  <c r="AA140" i="27" s="1"/>
  <c r="AA218" i="27"/>
  <c r="AA138" i="27" s="1"/>
  <c r="AA213" i="27"/>
  <c r="AA133" i="27" s="1"/>
  <c r="AA216" i="27"/>
  <c r="AA136" i="27" s="1"/>
  <c r="AA211" i="27"/>
  <c r="AA131" i="27" s="1"/>
  <c r="AA209" i="27"/>
  <c r="AA129" i="27" s="1"/>
  <c r="AA204" i="27"/>
  <c r="AA124" i="27" s="1"/>
  <c r="AA207" i="27"/>
  <c r="AA127" i="27" s="1"/>
  <c r="AA202" i="27"/>
  <c r="AA122" i="27" s="1"/>
  <c r="AA221" i="27"/>
  <c r="AA141" i="27" s="1"/>
  <c r="AA214" i="27"/>
  <c r="AA134" i="27" s="1"/>
  <c r="AA219" i="27"/>
  <c r="AA139" i="27" s="1"/>
  <c r="AA205" i="27"/>
  <c r="AA125" i="27" s="1"/>
  <c r="AA200" i="27"/>
  <c r="AA120" i="27" s="1"/>
  <c r="AA199" i="27"/>
  <c r="AA119" i="27" s="1"/>
  <c r="AA198" i="27"/>
  <c r="AA118" i="27" s="1"/>
  <c r="AA197" i="27"/>
  <c r="AA117" i="27" s="1"/>
  <c r="AA196" i="27"/>
  <c r="AA116" i="27" s="1"/>
  <c r="AA195" i="27"/>
  <c r="AA115" i="27" s="1"/>
  <c r="AA194" i="27"/>
  <c r="AA114" i="27" s="1"/>
  <c r="AA193" i="27"/>
  <c r="AA113" i="27" s="1"/>
  <c r="AA192" i="27"/>
  <c r="AA112" i="27" s="1"/>
  <c r="AA191" i="27"/>
  <c r="AA111" i="27" s="1"/>
  <c r="AA215" i="27"/>
  <c r="AA135" i="27" s="1"/>
  <c r="AA212" i="27"/>
  <c r="AA132" i="27" s="1"/>
  <c r="AA206" i="27"/>
  <c r="AA126" i="27" s="1"/>
  <c r="AA203" i="27"/>
  <c r="AA123" i="27" s="1"/>
  <c r="AA201" i="27"/>
  <c r="AA121" i="27" s="1"/>
  <c r="AA222" i="27"/>
  <c r="AA142" i="27" s="1"/>
  <c r="AA217" i="27"/>
  <c r="AA137" i="27" s="1"/>
  <c r="AA208" i="27"/>
  <c r="AA128" i="27" s="1"/>
  <c r="L221" i="27"/>
  <c r="L141" i="27" s="1"/>
  <c r="L214" i="27"/>
  <c r="L134" i="27" s="1"/>
  <c r="L207" i="27"/>
  <c r="L127" i="27" s="1"/>
  <c r="L219" i="27"/>
  <c r="L139" i="27" s="1"/>
  <c r="L217" i="27"/>
  <c r="L137" i="27" s="1"/>
  <c r="L212" i="27"/>
  <c r="L132" i="27" s="1"/>
  <c r="L210" i="27"/>
  <c r="L130" i="27" s="1"/>
  <c r="L205" i="27"/>
  <c r="L125" i="27" s="1"/>
  <c r="L222" i="27"/>
  <c r="L142" i="27" s="1"/>
  <c r="L215" i="27"/>
  <c r="L135" i="27" s="1"/>
  <c r="L208" i="27"/>
  <c r="L128" i="27" s="1"/>
  <c r="L203" i="27"/>
  <c r="L123" i="27" s="1"/>
  <c r="L200" i="27"/>
  <c r="L120" i="27" s="1"/>
  <c r="L199" i="27"/>
  <c r="L119" i="27" s="1"/>
  <c r="L198" i="27"/>
  <c r="L118" i="27" s="1"/>
  <c r="L197" i="27"/>
  <c r="L117" i="27" s="1"/>
  <c r="L196" i="27"/>
  <c r="L116" i="27" s="1"/>
  <c r="L194" i="27"/>
  <c r="L114" i="27" s="1"/>
  <c r="L193" i="27"/>
  <c r="L113" i="27" s="1"/>
  <c r="L192" i="27"/>
  <c r="L112" i="27" s="1"/>
  <c r="L191" i="27"/>
  <c r="L111" i="27" s="1"/>
  <c r="L201" i="27"/>
  <c r="L121" i="27" s="1"/>
  <c r="L211" i="27"/>
  <c r="L131" i="27" s="1"/>
  <c r="L202" i="27"/>
  <c r="L122" i="27" s="1"/>
  <c r="L218" i="27"/>
  <c r="L138" i="27" s="1"/>
  <c r="L206" i="27"/>
  <c r="L126" i="27" s="1"/>
  <c r="L209" i="27"/>
  <c r="L129" i="27" s="1"/>
  <c r="L216" i="27"/>
  <c r="L136" i="27" s="1"/>
  <c r="L213" i="27"/>
  <c r="L133" i="27" s="1"/>
  <c r="L204" i="27"/>
  <c r="L124" i="27" s="1"/>
  <c r="L220" i="27"/>
  <c r="L140" i="27" s="1"/>
  <c r="T222" i="27"/>
  <c r="T142" i="27" s="1"/>
  <c r="T215" i="27"/>
  <c r="T135" i="27" s="1"/>
  <c r="T208" i="27"/>
  <c r="T128" i="27" s="1"/>
  <c r="T201" i="27"/>
  <c r="T121" i="27" s="1"/>
  <c r="T220" i="27"/>
  <c r="T140" i="27" s="1"/>
  <c r="T218" i="27"/>
  <c r="T138" i="27" s="1"/>
  <c r="T213" i="27"/>
  <c r="T133" i="27" s="1"/>
  <c r="T206" i="27"/>
  <c r="T126" i="27" s="1"/>
  <c r="T216" i="27"/>
  <c r="T136" i="27" s="1"/>
  <c r="T211" i="27"/>
  <c r="T131" i="27" s="1"/>
  <c r="T200" i="27"/>
  <c r="T120" i="27" s="1"/>
  <c r="T199" i="27"/>
  <c r="T119" i="27" s="1"/>
  <c r="T198" i="27"/>
  <c r="T118" i="27" s="1"/>
  <c r="T197" i="27"/>
  <c r="T117" i="27" s="1"/>
  <c r="T196" i="27"/>
  <c r="T116" i="27" s="1"/>
  <c r="T195" i="27"/>
  <c r="T115" i="27" s="1"/>
  <c r="T194" i="27"/>
  <c r="T114" i="27" s="1"/>
  <c r="T193" i="27"/>
  <c r="T113" i="27" s="1"/>
  <c r="T192" i="27"/>
  <c r="T112" i="27" s="1"/>
  <c r="T191" i="27"/>
  <c r="T111" i="27" s="1"/>
  <c r="T209" i="27"/>
  <c r="T129" i="27" s="1"/>
  <c r="T204" i="27"/>
  <c r="T124" i="27" s="1"/>
  <c r="T202" i="27"/>
  <c r="T122" i="27" s="1"/>
  <c r="T221" i="27"/>
  <c r="T141" i="27" s="1"/>
  <c r="T212" i="27"/>
  <c r="T132" i="27" s="1"/>
  <c r="T207" i="27"/>
  <c r="T127" i="27" s="1"/>
  <c r="T219" i="27"/>
  <c r="T139" i="27" s="1"/>
  <c r="T210" i="27"/>
  <c r="T130" i="27" s="1"/>
  <c r="T214" i="27"/>
  <c r="T134" i="27" s="1"/>
  <c r="T205" i="27"/>
  <c r="T125" i="27" s="1"/>
  <c r="T217" i="27"/>
  <c r="T137" i="27" s="1"/>
  <c r="J222" i="27"/>
  <c r="J142" i="27" s="1"/>
  <c r="J221" i="27"/>
  <c r="J141" i="27" s="1"/>
  <c r="J220" i="27"/>
  <c r="J140" i="27" s="1"/>
  <c r="J219" i="27"/>
  <c r="J139" i="27" s="1"/>
  <c r="J218" i="27"/>
  <c r="J138" i="27" s="1"/>
  <c r="J217" i="27"/>
  <c r="J137" i="27" s="1"/>
  <c r="J216" i="27"/>
  <c r="J136" i="27" s="1"/>
  <c r="J215" i="27"/>
  <c r="J135" i="27" s="1"/>
  <c r="J214" i="27"/>
  <c r="J134" i="27" s="1"/>
  <c r="J213" i="27"/>
  <c r="J133" i="27" s="1"/>
  <c r="J212" i="27"/>
  <c r="J132" i="27" s="1"/>
  <c r="J211" i="27"/>
  <c r="J131" i="27" s="1"/>
  <c r="J210" i="27"/>
  <c r="J130" i="27" s="1"/>
  <c r="J209" i="27"/>
  <c r="J129" i="27" s="1"/>
  <c r="J208" i="27"/>
  <c r="J128" i="27" s="1"/>
  <c r="J207" i="27"/>
  <c r="J127" i="27" s="1"/>
  <c r="J206" i="27"/>
  <c r="J126" i="27" s="1"/>
  <c r="J205" i="27"/>
  <c r="J125" i="27" s="1"/>
  <c r="J204" i="27"/>
  <c r="J124" i="27" s="1"/>
  <c r="J203" i="27"/>
  <c r="J123" i="27" s="1"/>
  <c r="J202" i="27"/>
  <c r="J122" i="27" s="1"/>
  <c r="J201" i="27"/>
  <c r="J121" i="27" s="1"/>
  <c r="J200" i="27"/>
  <c r="J120" i="27" s="1"/>
  <c r="J195" i="27"/>
  <c r="J115" i="27" s="1"/>
  <c r="J198" i="27"/>
  <c r="J118" i="27" s="1"/>
  <c r="J191" i="27"/>
  <c r="J111" i="27" s="1"/>
  <c r="J196" i="27"/>
  <c r="J116" i="27" s="1"/>
  <c r="J199" i="27"/>
  <c r="J119" i="27" s="1"/>
  <c r="J197" i="27"/>
  <c r="J117" i="27" s="1"/>
  <c r="J192" i="27"/>
  <c r="J112" i="27" s="1"/>
  <c r="J194" i="27"/>
  <c r="J114" i="27" s="1"/>
  <c r="N222" i="27"/>
  <c r="N142" i="27" s="1"/>
  <c r="N221" i="27"/>
  <c r="N141" i="27" s="1"/>
  <c r="N220" i="27"/>
  <c r="N140" i="27" s="1"/>
  <c r="N219" i="27"/>
  <c r="N139" i="27" s="1"/>
  <c r="N218" i="27"/>
  <c r="N138" i="27" s="1"/>
  <c r="N217" i="27"/>
  <c r="N137" i="27" s="1"/>
  <c r="N216" i="27"/>
  <c r="N136" i="27" s="1"/>
  <c r="N215" i="27"/>
  <c r="N135" i="27" s="1"/>
  <c r="N214" i="27"/>
  <c r="N134" i="27" s="1"/>
  <c r="N213" i="27"/>
  <c r="N133" i="27" s="1"/>
  <c r="N212" i="27"/>
  <c r="N132" i="27" s="1"/>
  <c r="N211" i="27"/>
  <c r="N131" i="27" s="1"/>
  <c r="N210" i="27"/>
  <c r="N130" i="27" s="1"/>
  <c r="N209" i="27"/>
  <c r="N129" i="27" s="1"/>
  <c r="N208" i="27"/>
  <c r="N128" i="27" s="1"/>
  <c r="N207" i="27"/>
  <c r="N127" i="27" s="1"/>
  <c r="N206" i="27"/>
  <c r="N126" i="27" s="1"/>
  <c r="N205" i="27"/>
  <c r="N125" i="27" s="1"/>
  <c r="N204" i="27"/>
  <c r="N124" i="27" s="1"/>
  <c r="N203" i="27"/>
  <c r="N123" i="27" s="1"/>
  <c r="N202" i="27"/>
  <c r="N122" i="27" s="1"/>
  <c r="N201" i="27"/>
  <c r="N121" i="27" s="1"/>
  <c r="N200" i="27"/>
  <c r="N120" i="27" s="1"/>
  <c r="N199" i="27"/>
  <c r="N119" i="27" s="1"/>
  <c r="N198" i="27"/>
  <c r="N118" i="27" s="1"/>
  <c r="N196" i="27"/>
  <c r="N116" i="27" s="1"/>
  <c r="N195" i="27"/>
  <c r="N115" i="27" s="1"/>
  <c r="N194" i="27"/>
  <c r="N114" i="27" s="1"/>
  <c r="N193" i="27"/>
  <c r="N113" i="27" s="1"/>
  <c r="N192" i="27"/>
  <c r="N112" i="27" s="1"/>
  <c r="N191" i="27"/>
  <c r="N111" i="27" s="1"/>
  <c r="C42" i="14"/>
  <c r="F37" i="25"/>
  <c r="F142" i="25"/>
  <c r="C241" i="27"/>
  <c r="F203" i="27"/>
  <c r="F163" i="27"/>
  <c r="F123" i="27"/>
  <c r="F83" i="27"/>
  <c r="F27" i="27"/>
  <c r="F220" i="25" s="1"/>
  <c r="H151" i="27" l="1" a="1"/>
  <c r="C43" i="14"/>
  <c r="C242" i="27"/>
  <c r="F164" i="27"/>
  <c r="F124" i="27"/>
  <c r="F143" i="25"/>
  <c r="F204" i="27"/>
  <c r="F84" i="27"/>
  <c r="F38" i="25"/>
  <c r="F28" i="27"/>
  <c r="F221" i="25" s="1"/>
  <c r="K152" i="27" l="1"/>
  <c r="AF181" i="27"/>
  <c r="X178" i="27"/>
  <c r="AB173" i="27"/>
  <c r="AG165" i="27"/>
  <c r="S157" i="27"/>
  <c r="AF151" i="27"/>
  <c r="AF153" i="27"/>
  <c r="AF155" i="27"/>
  <c r="AF157" i="27"/>
  <c r="AF159" i="27"/>
  <c r="AF161" i="27"/>
  <c r="AF163" i="27"/>
  <c r="AF165" i="27"/>
  <c r="AF167" i="27"/>
  <c r="AF169" i="27"/>
  <c r="AF171" i="27"/>
  <c r="Z152" i="27"/>
  <c r="Z154" i="27"/>
  <c r="Z156" i="27"/>
  <c r="Z158" i="27"/>
  <c r="Z160" i="27"/>
  <c r="Z162" i="27"/>
  <c r="Z164" i="27"/>
  <c r="Z166" i="27"/>
  <c r="Z168" i="27"/>
  <c r="Z170" i="27"/>
  <c r="U151" i="27"/>
  <c r="U153" i="27"/>
  <c r="U155" i="27"/>
  <c r="U157" i="27"/>
  <c r="U159" i="27"/>
  <c r="U161" i="27"/>
  <c r="U163" i="27"/>
  <c r="U165" i="27"/>
  <c r="U167" i="27"/>
  <c r="U169" i="27"/>
  <c r="U171" i="27"/>
  <c r="AB152" i="27"/>
  <c r="AI155" i="27"/>
  <c r="I159" i="27"/>
  <c r="O162" i="27"/>
  <c r="V165" i="27"/>
  <c r="AB168" i="27"/>
  <c r="AI171" i="27"/>
  <c r="AM173" i="27"/>
  <c r="AM175" i="27"/>
  <c r="AM177" i="27"/>
  <c r="AM179" i="27"/>
  <c r="AM181" i="27"/>
  <c r="Q152" i="27"/>
  <c r="W155" i="27"/>
  <c r="AD158" i="27"/>
  <c r="AJ161" i="27"/>
  <c r="K165" i="27"/>
  <c r="Q168" i="27"/>
  <c r="W171" i="27"/>
  <c r="AF173" i="27"/>
  <c r="AF175" i="27"/>
  <c r="Y151" i="27"/>
  <c r="AE154" i="27"/>
  <c r="AL157" i="27"/>
  <c r="L161" i="27"/>
  <c r="S164" i="27"/>
  <c r="Y167" i="27"/>
  <c r="AE170" i="27"/>
  <c r="Q173" i="27"/>
  <c r="Q175" i="27"/>
  <c r="Q177" i="27"/>
  <c r="Q179" i="27"/>
  <c r="Q181" i="27"/>
  <c r="AA151" i="27"/>
  <c r="AG154" i="27"/>
  <c r="AM157" i="27"/>
  <c r="N161" i="27"/>
  <c r="T164" i="27"/>
  <c r="AA167" i="27"/>
  <c r="AG170" i="27"/>
  <c r="R173" i="27"/>
  <c r="R175" i="27"/>
  <c r="R177" i="27"/>
  <c r="R179" i="27"/>
  <c r="AI152" i="27"/>
  <c r="I156" i="27"/>
  <c r="O159" i="27"/>
  <c r="V162" i="27"/>
  <c r="AB165" i="27"/>
  <c r="AI168" i="27"/>
  <c r="I172" i="27"/>
  <c r="K174" i="27"/>
  <c r="K176" i="27"/>
  <c r="K178" i="27"/>
  <c r="K180" i="27"/>
  <c r="V175" i="27"/>
  <c r="AL168" i="27"/>
  <c r="W160" i="27"/>
  <c r="L181" i="27"/>
  <c r="AL164" i="27"/>
  <c r="AG151" i="27"/>
  <c r="L176" i="27"/>
  <c r="W162" i="27"/>
  <c r="AL181" i="27"/>
  <c r="AJ178" i="27"/>
  <c r="AL173" i="27"/>
  <c r="Y166" i="27"/>
  <c r="K158" i="27"/>
  <c r="L180" i="27"/>
  <c r="U182" i="27"/>
  <c r="AC180" i="27"/>
  <c r="AJ168" i="27"/>
  <c r="AK182" i="27"/>
  <c r="P180" i="27"/>
  <c r="AK175" i="27"/>
  <c r="AD169" i="27"/>
  <c r="AM160" i="27"/>
  <c r="Y152" i="27"/>
  <c r="Q169" i="27"/>
  <c r="AL178" i="27"/>
  <c r="Z181" i="27"/>
  <c r="N178" i="27"/>
  <c r="M173" i="27"/>
  <c r="Q165" i="27"/>
  <c r="AA156" i="27"/>
  <c r="AI181" i="27"/>
  <c r="AC178" i="27"/>
  <c r="AD173" i="27"/>
  <c r="L182" i="27"/>
  <c r="U181" i="27"/>
  <c r="H178" i="27"/>
  <c r="AK172" i="27"/>
  <c r="AJ164" i="27"/>
  <c r="N156" i="27"/>
  <c r="H152" i="27"/>
  <c r="H154" i="27"/>
  <c r="H156" i="27"/>
  <c r="H158" i="27"/>
  <c r="H160" i="27"/>
  <c r="H162" i="27"/>
  <c r="H164" i="27"/>
  <c r="H166" i="27"/>
  <c r="H168" i="27"/>
  <c r="H170" i="27"/>
  <c r="H172" i="27"/>
  <c r="AH152" i="27"/>
  <c r="AH154" i="27"/>
  <c r="AH156" i="27"/>
  <c r="AH158" i="27"/>
  <c r="AH160" i="27"/>
  <c r="AH162" i="27"/>
  <c r="AH164" i="27"/>
  <c r="AH166" i="27"/>
  <c r="AH168" i="27"/>
  <c r="AH170" i="27"/>
  <c r="AC151" i="27"/>
  <c r="AC153" i="27"/>
  <c r="AC155" i="27"/>
  <c r="AC157" i="27"/>
  <c r="AC159" i="27"/>
  <c r="AC161" i="27"/>
  <c r="AC163" i="27"/>
  <c r="AC165" i="27"/>
  <c r="AC167" i="27"/>
  <c r="AC169" i="27"/>
  <c r="AC171" i="27"/>
  <c r="I153" i="27"/>
  <c r="O156" i="27"/>
  <c r="V159" i="27"/>
  <c r="AB162" i="27"/>
  <c r="AI165" i="27"/>
  <c r="I169" i="27"/>
  <c r="O172" i="27"/>
  <c r="O174" i="27"/>
  <c r="O176" i="27"/>
  <c r="O178" i="27"/>
  <c r="O180" i="27"/>
  <c r="O182" i="27"/>
  <c r="AD152" i="27"/>
  <c r="AJ155" i="27"/>
  <c r="K159" i="27"/>
  <c r="Q162" i="27"/>
  <c r="W165" i="27"/>
  <c r="AD168" i="27"/>
  <c r="AJ171" i="27"/>
  <c r="H174" i="27"/>
  <c r="H176" i="27"/>
  <c r="AL151" i="27"/>
  <c r="L155" i="27"/>
  <c r="S158" i="27"/>
  <c r="Y161" i="27"/>
  <c r="AE164" i="27"/>
  <c r="AL167" i="27"/>
  <c r="L171" i="27"/>
  <c r="Y173" i="27"/>
  <c r="Y175" i="27"/>
  <c r="Y177" i="27"/>
  <c r="Y179" i="27"/>
  <c r="Y181" i="27"/>
  <c r="AM151" i="27"/>
  <c r="N155" i="27"/>
  <c r="T158" i="27"/>
  <c r="AA161" i="27"/>
  <c r="AG164" i="27"/>
  <c r="AM167" i="27"/>
  <c r="N171" i="27"/>
  <c r="Z173" i="27"/>
  <c r="Z175" i="27"/>
  <c r="Z177" i="27"/>
  <c r="Z179" i="27"/>
  <c r="O153" i="27"/>
  <c r="V156" i="27"/>
  <c r="AB159" i="27"/>
  <c r="AI162" i="27"/>
  <c r="I166" i="27"/>
  <c r="O169" i="27"/>
  <c r="S172" i="27"/>
  <c r="S174" i="27"/>
  <c r="S176" i="27"/>
  <c r="S178" i="27"/>
  <c r="J182" i="27"/>
  <c r="AJ174" i="27"/>
  <c r="AG167" i="27"/>
  <c r="S159" i="27"/>
  <c r="AB179" i="27"/>
  <c r="AE161" i="27"/>
  <c r="S182" i="27"/>
  <c r="AD174" i="27"/>
  <c r="N160" i="27"/>
  <c r="AB181" i="27"/>
  <c r="T178" i="27"/>
  <c r="T173" i="27"/>
  <c r="T165" i="27"/>
  <c r="AL156" i="27"/>
  <c r="AB177" i="27"/>
  <c r="T182" i="27"/>
  <c r="U179" i="27"/>
  <c r="AA166" i="27"/>
  <c r="AA182" i="27"/>
  <c r="AF179" i="27"/>
  <c r="N175" i="27"/>
  <c r="Y168" i="27"/>
  <c r="K160" i="27"/>
  <c r="T151" i="27"/>
  <c r="K166" i="27"/>
  <c r="K154" i="27"/>
  <c r="N181" i="27"/>
  <c r="AD177" i="27"/>
  <c r="V172" i="27"/>
  <c r="L164" i="27"/>
  <c r="AD155" i="27"/>
  <c r="X181" i="27"/>
  <c r="M178" i="27"/>
  <c r="L173" i="27"/>
  <c r="AM164" i="27"/>
  <c r="Y156" i="27"/>
  <c r="AM168" i="27"/>
  <c r="Y160" i="27"/>
  <c r="H151" i="27"/>
  <c r="H153" i="27"/>
  <c r="H157" i="27"/>
  <c r="H163" i="27"/>
  <c r="AH151" i="27"/>
  <c r="AH163" i="27"/>
  <c r="AC152" i="27"/>
  <c r="AC162" i="27"/>
  <c r="AB154" i="27"/>
  <c r="AB170" i="27"/>
  <c r="O179" i="27"/>
  <c r="AD160" i="27"/>
  <c r="H175" i="27"/>
  <c r="L163" i="27"/>
  <c r="Y174" i="27"/>
  <c r="AA153" i="27"/>
  <c r="AA169" i="27"/>
  <c r="AB151" i="27"/>
  <c r="AB167" i="27"/>
  <c r="S175" i="27"/>
  <c r="AM154" i="27"/>
  <c r="V181" i="27"/>
  <c r="K181" i="27"/>
  <c r="X177" i="27"/>
  <c r="N172" i="27"/>
  <c r="AE163" i="27"/>
  <c r="Q155" i="27"/>
  <c r="P152" i="27"/>
  <c r="P154" i="27"/>
  <c r="P156" i="27"/>
  <c r="P158" i="27"/>
  <c r="P160" i="27"/>
  <c r="P162" i="27"/>
  <c r="P164" i="27"/>
  <c r="P166" i="27"/>
  <c r="P168" i="27"/>
  <c r="P170" i="27"/>
  <c r="J151" i="27"/>
  <c r="J153" i="27"/>
  <c r="J155" i="27"/>
  <c r="J157" i="27"/>
  <c r="J159" i="27"/>
  <c r="J161" i="27"/>
  <c r="J163" i="27"/>
  <c r="J165" i="27"/>
  <c r="J167" i="27"/>
  <c r="J169" i="27"/>
  <c r="J171" i="27"/>
  <c r="AK151" i="27"/>
  <c r="AK153" i="27"/>
  <c r="AK155" i="27"/>
  <c r="AK157" i="27"/>
  <c r="AK159" i="27"/>
  <c r="AK161" i="27"/>
  <c r="AK163" i="27"/>
  <c r="AK165" i="27"/>
  <c r="AK167" i="27"/>
  <c r="AK169" i="27"/>
  <c r="AK171" i="27"/>
  <c r="V153" i="27"/>
  <c r="AB156" i="27"/>
  <c r="AI159" i="27"/>
  <c r="I163" i="27"/>
  <c r="O166" i="27"/>
  <c r="V169" i="27"/>
  <c r="W172" i="27"/>
  <c r="W174" i="27"/>
  <c r="W176" i="27"/>
  <c r="W178" i="27"/>
  <c r="W180" i="27"/>
  <c r="W182" i="27"/>
  <c r="K153" i="27"/>
  <c r="Q156" i="27"/>
  <c r="W159" i="27"/>
  <c r="AD162" i="27"/>
  <c r="AJ165" i="27"/>
  <c r="K169" i="27"/>
  <c r="P172" i="27"/>
  <c r="P174" i="27"/>
  <c r="P176" i="27"/>
  <c r="S152" i="27"/>
  <c r="Y155" i="27"/>
  <c r="AE158" i="27"/>
  <c r="AL161" i="27"/>
  <c r="L165" i="27"/>
  <c r="S168" i="27"/>
  <c r="Y171" i="27"/>
  <c r="AG173" i="27"/>
  <c r="AG175" i="27"/>
  <c r="AG177" i="27"/>
  <c r="AG179" i="27"/>
  <c r="AG181" i="27"/>
  <c r="T152" i="27"/>
  <c r="AA155" i="27"/>
  <c r="AG158" i="27"/>
  <c r="AM161" i="27"/>
  <c r="N165" i="27"/>
  <c r="T168" i="27"/>
  <c r="AA171" i="27"/>
  <c r="AH173" i="27"/>
  <c r="AH175" i="27"/>
  <c r="AH177" i="27"/>
  <c r="AH179" i="27"/>
  <c r="AB153" i="27"/>
  <c r="AI156" i="27"/>
  <c r="I160" i="27"/>
  <c r="O163" i="27"/>
  <c r="V166" i="27"/>
  <c r="AB169" i="27"/>
  <c r="AA172" i="27"/>
  <c r="AA174" i="27"/>
  <c r="AA176" i="27"/>
  <c r="AA178" i="27"/>
  <c r="AD180" i="27"/>
  <c r="M174" i="27"/>
  <c r="AJ166" i="27"/>
  <c r="N158" i="27"/>
  <c r="L178" i="27"/>
  <c r="Y158" i="27"/>
  <c r="AC181" i="27"/>
  <c r="U173" i="27"/>
  <c r="L158" i="27"/>
  <c r="R181" i="27"/>
  <c r="AJ177" i="27"/>
  <c r="AC172" i="27"/>
  <c r="W164" i="27"/>
  <c r="AG155" i="27"/>
  <c r="AC175" i="27"/>
  <c r="J181" i="27"/>
  <c r="AK177" i="27"/>
  <c r="Y164" i="27"/>
  <c r="P182" i="27"/>
  <c r="P179" i="27"/>
  <c r="AB174" i="27"/>
  <c r="T167" i="27"/>
  <c r="AL158" i="27"/>
  <c r="V182" i="27"/>
  <c r="AJ162" i="27"/>
  <c r="AK178" i="27"/>
  <c r="AJ180" i="27"/>
  <c r="M177" i="27"/>
  <c r="AD171" i="27"/>
  <c r="AM162" i="27"/>
  <c r="Y154" i="27"/>
  <c r="M181" i="27"/>
  <c r="AC177" i="27"/>
  <c r="U172" i="27"/>
  <c r="K164" i="27"/>
  <c r="T155" i="27"/>
  <c r="AB175" i="27"/>
  <c r="H159" i="27"/>
  <c r="H167" i="27"/>
  <c r="AH153" i="27"/>
  <c r="AH157" i="27"/>
  <c r="AH165" i="27"/>
  <c r="AH171" i="27"/>
  <c r="AC158" i="27"/>
  <c r="AC166" i="27"/>
  <c r="V151" i="27"/>
  <c r="I161" i="27"/>
  <c r="O173" i="27"/>
  <c r="O181" i="27"/>
  <c r="Q154" i="27"/>
  <c r="K167" i="27"/>
  <c r="H177" i="27"/>
  <c r="AL159" i="27"/>
  <c r="Y169" i="27"/>
  <c r="Y178" i="27"/>
  <c r="AG156" i="27"/>
  <c r="T166" i="27"/>
  <c r="Z176" i="27"/>
  <c r="I158" i="27"/>
  <c r="AI170" i="27"/>
  <c r="S179" i="27"/>
  <c r="AD163" i="27"/>
  <c r="AK179" i="27"/>
  <c r="V180" i="27"/>
  <c r="AF180" i="27"/>
  <c r="AK176" i="27"/>
  <c r="Q171" i="27"/>
  <c r="AA162" i="27"/>
  <c r="L154" i="27"/>
  <c r="X152" i="27"/>
  <c r="X154" i="27"/>
  <c r="X156" i="27"/>
  <c r="X158" i="27"/>
  <c r="X160" i="27"/>
  <c r="X162" i="27"/>
  <c r="X164" i="27"/>
  <c r="X166" i="27"/>
  <c r="X168" i="27"/>
  <c r="X170" i="27"/>
  <c r="R151" i="27"/>
  <c r="R153" i="27"/>
  <c r="R155" i="27"/>
  <c r="R157" i="27"/>
  <c r="R159" i="27"/>
  <c r="R161" i="27"/>
  <c r="R163" i="27"/>
  <c r="R165" i="27"/>
  <c r="R167" i="27"/>
  <c r="R169" i="27"/>
  <c r="R171" i="27"/>
  <c r="M152" i="27"/>
  <c r="M154" i="27"/>
  <c r="M156" i="27"/>
  <c r="M158" i="27"/>
  <c r="M160" i="27"/>
  <c r="M162" i="27"/>
  <c r="M164" i="27"/>
  <c r="M166" i="27"/>
  <c r="M168" i="27"/>
  <c r="M170" i="27"/>
  <c r="M172" i="27"/>
  <c r="AI153" i="27"/>
  <c r="I157" i="27"/>
  <c r="O160" i="27"/>
  <c r="V163" i="27"/>
  <c r="AB166" i="27"/>
  <c r="AI169" i="27"/>
  <c r="AE172" i="27"/>
  <c r="AE174" i="27"/>
  <c r="AE176" i="27"/>
  <c r="AE178" i="27"/>
  <c r="AE180" i="27"/>
  <c r="AE182" i="27"/>
  <c r="W153" i="27"/>
  <c r="AD156" i="27"/>
  <c r="AJ159" i="27"/>
  <c r="K163" i="27"/>
  <c r="Q166" i="27"/>
  <c r="W169" i="27"/>
  <c r="X172" i="27"/>
  <c r="X174" i="27"/>
  <c r="X176" i="27"/>
  <c r="AE152" i="27"/>
  <c r="AL155" i="27"/>
  <c r="L159" i="27"/>
  <c r="S162" i="27"/>
  <c r="Y165" i="27"/>
  <c r="AE168" i="27"/>
  <c r="AL171" i="27"/>
  <c r="I174" i="27"/>
  <c r="I176" i="27"/>
  <c r="I178" i="27"/>
  <c r="I180" i="27"/>
  <c r="I182" i="27"/>
  <c r="AG152" i="27"/>
  <c r="AM155" i="27"/>
  <c r="N159" i="27"/>
  <c r="T162" i="27"/>
  <c r="AA165" i="27"/>
  <c r="AG168" i="27"/>
  <c r="AM171" i="27"/>
  <c r="J174" i="27"/>
  <c r="J176" i="27"/>
  <c r="J178" i="27"/>
  <c r="J180" i="27"/>
  <c r="I154" i="27"/>
  <c r="O157" i="27"/>
  <c r="V160" i="27"/>
  <c r="AB163" i="27"/>
  <c r="AI166" i="27"/>
  <c r="I170" i="27"/>
  <c r="AI172" i="27"/>
  <c r="AI174" i="27"/>
  <c r="AI176" i="27"/>
  <c r="AI178" i="27"/>
  <c r="AL179" i="27"/>
  <c r="V173" i="27"/>
  <c r="AE165" i="27"/>
  <c r="Q157" i="27"/>
  <c r="T176" i="27"/>
  <c r="Q153" i="27"/>
  <c r="H181" i="27"/>
  <c r="K172" i="27"/>
  <c r="K156" i="27"/>
  <c r="AL180" i="27"/>
  <c r="T177" i="27"/>
  <c r="AG171" i="27"/>
  <c r="S163" i="27"/>
  <c r="AJ154" i="27"/>
  <c r="T172" i="27"/>
  <c r="AL177" i="27"/>
  <c r="AD176" i="27"/>
  <c r="S161" i="27"/>
  <c r="AK181" i="27"/>
  <c r="AF178" i="27"/>
  <c r="AK173" i="27"/>
  <c r="W166" i="27"/>
  <c r="AG157" i="27"/>
  <c r="AH180" i="27"/>
  <c r="AA160" i="27"/>
  <c r="AG153" i="27"/>
  <c r="Z180" i="27"/>
  <c r="V176" i="27"/>
  <c r="Y170" i="27"/>
  <c r="K162" i="27"/>
  <c r="T153" i="27"/>
  <c r="AI180" i="27"/>
  <c r="L177" i="27"/>
  <c r="T171" i="27"/>
  <c r="AL162" i="27"/>
  <c r="W154" i="27"/>
  <c r="H180" i="27"/>
  <c r="H161" i="27"/>
  <c r="H171" i="27"/>
  <c r="AH161" i="27"/>
  <c r="AH169" i="27"/>
  <c r="AC156" i="27"/>
  <c r="AC164" i="27"/>
  <c r="AC170" i="27"/>
  <c r="O164" i="27"/>
  <c r="O177" i="27"/>
  <c r="W157" i="27"/>
  <c r="Q170" i="27"/>
  <c r="AE156" i="27"/>
  <c r="Y172" i="27"/>
  <c r="Y180" i="27"/>
  <c r="N163" i="27"/>
  <c r="Z174" i="27"/>
  <c r="AI154" i="27"/>
  <c r="V164" i="27"/>
  <c r="S177" i="27"/>
  <c r="L172" i="27"/>
  <c r="T181" i="27"/>
  <c r="AB178" i="27"/>
  <c r="U180" i="27"/>
  <c r="N176" i="27"/>
  <c r="L170" i="27"/>
  <c r="AD161" i="27"/>
  <c r="AM152" i="27"/>
  <c r="AF152" i="27"/>
  <c r="AF154" i="27"/>
  <c r="AF156" i="27"/>
  <c r="AF158" i="27"/>
  <c r="AF160" i="27"/>
  <c r="AF162" i="27"/>
  <c r="AF164" i="27"/>
  <c r="AF166" i="27"/>
  <c r="AF168" i="27"/>
  <c r="AF170" i="27"/>
  <c r="Z151" i="27"/>
  <c r="Z153" i="27"/>
  <c r="Z155" i="27"/>
  <c r="Z157" i="27"/>
  <c r="Z159" i="27"/>
  <c r="Z161" i="27"/>
  <c r="Z163" i="27"/>
  <c r="Z165" i="27"/>
  <c r="Z167" i="27"/>
  <c r="Z169" i="27"/>
  <c r="Z171" i="27"/>
  <c r="U152" i="27"/>
  <c r="U154" i="27"/>
  <c r="U156" i="27"/>
  <c r="U158" i="27"/>
  <c r="U160" i="27"/>
  <c r="U162" i="27"/>
  <c r="U164" i="27"/>
  <c r="U166" i="27"/>
  <c r="U168" i="27"/>
  <c r="U170" i="27"/>
  <c r="I151" i="27"/>
  <c r="O154" i="27"/>
  <c r="V157" i="27"/>
  <c r="AB160" i="27"/>
  <c r="AI163" i="27"/>
  <c r="I167" i="27"/>
  <c r="O170" i="27"/>
  <c r="AM172" i="27"/>
  <c r="AM174" i="27"/>
  <c r="AM176" i="27"/>
  <c r="AM178" i="27"/>
  <c r="AM180" i="27"/>
  <c r="AM182" i="27"/>
  <c r="AJ153" i="27"/>
  <c r="K157" i="27"/>
  <c r="Q160" i="27"/>
  <c r="W163" i="27"/>
  <c r="AD166" i="27"/>
  <c r="AJ169" i="27"/>
  <c r="AF172" i="27"/>
  <c r="AF174" i="27"/>
  <c r="AF176" i="27"/>
  <c r="L153" i="27"/>
  <c r="S156" i="27"/>
  <c r="Y159" i="27"/>
  <c r="AE162" i="27"/>
  <c r="AL165" i="27"/>
  <c r="L169" i="27"/>
  <c r="Q172" i="27"/>
  <c r="Q174" i="27"/>
  <c r="Q176" i="27"/>
  <c r="Q178" i="27"/>
  <c r="Q180" i="27"/>
  <c r="Q182" i="27"/>
  <c r="N153" i="27"/>
  <c r="T156" i="27"/>
  <c r="AA159" i="27"/>
  <c r="AG162" i="27"/>
  <c r="AM165" i="27"/>
  <c r="N169" i="27"/>
  <c r="R172" i="27"/>
  <c r="R174" i="27"/>
  <c r="R176" i="27"/>
  <c r="R178" i="27"/>
  <c r="O151" i="27"/>
  <c r="V154" i="27"/>
  <c r="AB157" i="27"/>
  <c r="AI160" i="27"/>
  <c r="I164" i="27"/>
  <c r="O167" i="27"/>
  <c r="V170" i="27"/>
  <c r="K173" i="27"/>
  <c r="K175" i="27"/>
  <c r="K177" i="27"/>
  <c r="K179" i="27"/>
  <c r="V179" i="27"/>
  <c r="AJ172" i="27"/>
  <c r="AA164" i="27"/>
  <c r="L156" i="27"/>
  <c r="T174" i="27"/>
  <c r="AD182" i="27"/>
  <c r="S180" i="27"/>
  <c r="AG169" i="27"/>
  <c r="AE151" i="27"/>
  <c r="AB180" i="27"/>
  <c r="AC176" i="27"/>
  <c r="AJ170" i="27"/>
  <c r="N162" i="27"/>
  <c r="AE153" i="27"/>
  <c r="AG163" i="27"/>
  <c r="AL152" i="27"/>
  <c r="U175" i="27"/>
  <c r="Q159" i="27"/>
  <c r="AA181" i="27"/>
  <c r="P178" i="27"/>
  <c r="N173" i="27"/>
  <c r="S165" i="27"/>
  <c r="AJ156" i="27"/>
  <c r="L179" i="27"/>
  <c r="T157" i="27"/>
  <c r="AJ182" i="27"/>
  <c r="N180" i="27"/>
  <c r="AJ175" i="27"/>
  <c r="T169" i="27"/>
  <c r="AL160" i="27"/>
  <c r="W152" i="27"/>
  <c r="X180" i="27"/>
  <c r="U176" i="27"/>
  <c r="W170" i="27"/>
  <c r="AG161" i="27"/>
  <c r="S153" i="27"/>
  <c r="AC173" i="27"/>
  <c r="H155" i="27"/>
  <c r="H165" i="27"/>
  <c r="H169" i="27"/>
  <c r="AH155" i="27"/>
  <c r="AH159" i="27"/>
  <c r="AH167" i="27"/>
  <c r="AC154" i="27"/>
  <c r="AC160" i="27"/>
  <c r="AC168" i="27"/>
  <c r="AI157" i="27"/>
  <c r="V167" i="27"/>
  <c r="O175" i="27"/>
  <c r="K151" i="27"/>
  <c r="AJ163" i="27"/>
  <c r="H173" i="27"/>
  <c r="Y153" i="27"/>
  <c r="S166" i="27"/>
  <c r="Y176" i="27"/>
  <c r="Y182" i="27"/>
  <c r="AM159" i="27"/>
  <c r="Z172" i="27"/>
  <c r="Z178" i="27"/>
  <c r="O161" i="27"/>
  <c r="S173" i="27"/>
  <c r="V178" i="27"/>
  <c r="AL172" i="27"/>
  <c r="S155" i="27"/>
  <c r="X179" i="27"/>
  <c r="AK174" i="27"/>
  <c r="K168" i="27"/>
  <c r="T159" i="27"/>
  <c r="P151" i="27"/>
  <c r="P153" i="27"/>
  <c r="P155" i="27"/>
  <c r="P157" i="27"/>
  <c r="P159" i="27"/>
  <c r="P161" i="27"/>
  <c r="P163" i="27"/>
  <c r="P165" i="27"/>
  <c r="P167" i="27"/>
  <c r="P169" i="27"/>
  <c r="P171" i="27"/>
  <c r="J152" i="27"/>
  <c r="J154" i="27"/>
  <c r="J156" i="27"/>
  <c r="J158" i="27"/>
  <c r="J160" i="27"/>
  <c r="J162" i="27"/>
  <c r="J164" i="27"/>
  <c r="J166" i="27"/>
  <c r="J168" i="27"/>
  <c r="J170" i="27"/>
  <c r="J172" i="27"/>
  <c r="AK152" i="27"/>
  <c r="AK154" i="27"/>
  <c r="AK156" i="27"/>
  <c r="AK158" i="27"/>
  <c r="AK160" i="27"/>
  <c r="AK162" i="27"/>
  <c r="AK164" i="27"/>
  <c r="AK166" i="27"/>
  <c r="AK168" i="27"/>
  <c r="AK170" i="27"/>
  <c r="AI151" i="27"/>
  <c r="I155" i="27"/>
  <c r="O158" i="27"/>
  <c r="V161" i="27"/>
  <c r="AB164" i="27"/>
  <c r="AI167" i="27"/>
  <c r="I171" i="27"/>
  <c r="W173" i="27"/>
  <c r="W175" i="27"/>
  <c r="W177" i="27"/>
  <c r="W179" i="27"/>
  <c r="W181" i="27"/>
  <c r="W151" i="27"/>
  <c r="AD154" i="27"/>
  <c r="AJ157" i="27"/>
  <c r="K161" i="27"/>
  <c r="Q164" i="27"/>
  <c r="W167" i="27"/>
  <c r="AD170" i="27"/>
  <c r="P173" i="27"/>
  <c r="P175" i="27"/>
  <c r="P177" i="27"/>
  <c r="AL153" i="27"/>
  <c r="L157" i="27"/>
  <c r="S160" i="27"/>
  <c r="Y163" i="27"/>
  <c r="AE166" i="27"/>
  <c r="AL169" i="27"/>
  <c r="AG172" i="27"/>
  <c r="AG174" i="27"/>
  <c r="AG176" i="27"/>
  <c r="AG178" i="27"/>
  <c r="AG180" i="27"/>
  <c r="AG182" i="27"/>
  <c r="AM153" i="27"/>
  <c r="N157" i="27"/>
  <c r="T160" i="27"/>
  <c r="AA163" i="27"/>
  <c r="AG166" i="27"/>
  <c r="AM169" i="27"/>
  <c r="AH172" i="27"/>
  <c r="AH174" i="27"/>
  <c r="AH176" i="27"/>
  <c r="AH178" i="27"/>
  <c r="I152" i="27"/>
  <c r="O155" i="27"/>
  <c r="V158" i="27"/>
  <c r="AB161" i="27"/>
  <c r="AI164" i="27"/>
  <c r="I168" i="27"/>
  <c r="O171" i="27"/>
  <c r="AA173" i="27"/>
  <c r="AA175" i="27"/>
  <c r="AA177" i="27"/>
  <c r="AA179" i="27"/>
  <c r="V177" i="27"/>
  <c r="AM170" i="27"/>
  <c r="Y162" i="27"/>
  <c r="AI182" i="27"/>
  <c r="N170" i="27"/>
  <c r="T180" i="27"/>
  <c r="U178" i="27"/>
  <c r="AD165" i="27"/>
  <c r="AB182" i="27"/>
  <c r="AJ179" i="27"/>
  <c r="T175" i="27"/>
  <c r="AA168" i="27"/>
  <c r="L160" i="27"/>
  <c r="AD151" i="27"/>
  <c r="W156" i="27"/>
  <c r="H182" i="27"/>
  <c r="AD172" i="27"/>
  <c r="AL154" i="27"/>
  <c r="AK180" i="27"/>
  <c r="N177" i="27"/>
  <c r="AE171" i="27"/>
  <c r="Q163" i="27"/>
  <c r="AA154" i="27"/>
  <c r="AL174" i="27"/>
  <c r="AF182" i="27"/>
  <c r="N182" i="27"/>
  <c r="N179" i="27"/>
  <c r="V174" i="27"/>
  <c r="S167" i="27"/>
  <c r="AJ158" i="27"/>
  <c r="X182" i="27"/>
  <c r="AC179" i="27"/>
  <c r="L175" i="27"/>
  <c r="N168" i="27"/>
  <c r="AE159" i="27"/>
  <c r="Q151" i="27"/>
  <c r="K182" i="27"/>
  <c r="H179" i="27"/>
  <c r="N174" i="27"/>
  <c r="AL166" i="27"/>
  <c r="W158" i="27"/>
  <c r="X151" i="27"/>
  <c r="X153" i="27"/>
  <c r="X155" i="27"/>
  <c r="X157" i="27"/>
  <c r="X159" i="27"/>
  <c r="X161" i="27"/>
  <c r="X163" i="27"/>
  <c r="X165" i="27"/>
  <c r="X167" i="27"/>
  <c r="X169" i="27"/>
  <c r="X171" i="27"/>
  <c r="R152" i="27"/>
  <c r="R154" i="27"/>
  <c r="R156" i="27"/>
  <c r="R158" i="27"/>
  <c r="R160" i="27"/>
  <c r="R162" i="27"/>
  <c r="R164" i="27"/>
  <c r="R166" i="27"/>
  <c r="R168" i="27"/>
  <c r="R170" i="27"/>
  <c r="M151" i="27"/>
  <c r="M153" i="27"/>
  <c r="M155" i="27"/>
  <c r="M157" i="27"/>
  <c r="M159" i="27"/>
  <c r="M161" i="27"/>
  <c r="M163" i="27"/>
  <c r="M165" i="27"/>
  <c r="M167" i="27"/>
  <c r="M169" i="27"/>
  <c r="M171" i="27"/>
  <c r="O152" i="27"/>
  <c r="V155" i="27"/>
  <c r="AB158" i="27"/>
  <c r="AI161" i="27"/>
  <c r="I165" i="27"/>
  <c r="O168" i="27"/>
  <c r="K155" i="27"/>
  <c r="L151" i="27"/>
  <c r="I175" i="27"/>
  <c r="AM163" i="27"/>
  <c r="AB155" i="27"/>
  <c r="AI177" i="27"/>
  <c r="U177" i="27"/>
  <c r="AC174" i="27"/>
  <c r="N154" i="27"/>
  <c r="AA180" i="27"/>
  <c r="AD153" i="27"/>
  <c r="AD178" i="27"/>
  <c r="M182" i="27"/>
  <c r="AJ160" i="27"/>
  <c r="AA157" i="27"/>
  <c r="AJ152" i="27"/>
  <c r="X175" i="27"/>
  <c r="AE155" i="27"/>
  <c r="V171" i="27"/>
  <c r="Q158" i="27"/>
  <c r="S154" i="27"/>
  <c r="I177" i="27"/>
  <c r="N167" i="27"/>
  <c r="AI158" i="27"/>
  <c r="AI179" i="27"/>
  <c r="AE167" i="27"/>
  <c r="AE169" i="27"/>
  <c r="AC182" i="27"/>
  <c r="AF177" i="27"/>
  <c r="AL176" i="27"/>
  <c r="M175" i="27"/>
  <c r="M180" i="27"/>
  <c r="AA158" i="27"/>
  <c r="X173" i="27"/>
  <c r="L168" i="27"/>
  <c r="AJ181" i="27"/>
  <c r="AI175" i="27"/>
  <c r="AJ176" i="27"/>
  <c r="AD159" i="27"/>
  <c r="S151" i="27"/>
  <c r="AE173" i="27"/>
  <c r="W161" i="27"/>
  <c r="Y157" i="27"/>
  <c r="I179" i="27"/>
  <c r="T170" i="27"/>
  <c r="I162" i="27"/>
  <c r="M176" i="27"/>
  <c r="T163" i="27"/>
  <c r="AD167" i="27"/>
  <c r="S181" i="27"/>
  <c r="AB176" i="27"/>
  <c r="S171" i="27"/>
  <c r="AJ173" i="27"/>
  <c r="M179" i="27"/>
  <c r="AD157" i="27"/>
  <c r="S170" i="27"/>
  <c r="V152" i="27"/>
  <c r="AE175" i="27"/>
  <c r="AD164" i="27"/>
  <c r="AE160" i="27"/>
  <c r="I181" i="27"/>
  <c r="J173" i="27"/>
  <c r="O165" i="27"/>
  <c r="K170" i="27"/>
  <c r="AL182" i="27"/>
  <c r="Q161" i="27"/>
  <c r="L174" i="27"/>
  <c r="AB172" i="27"/>
  <c r="L152" i="27"/>
  <c r="W168" i="27"/>
  <c r="AD175" i="27"/>
  <c r="N152" i="27"/>
  <c r="J179" i="27"/>
  <c r="T179" i="27"/>
  <c r="L162" i="27"/>
  <c r="AE157" i="27"/>
  <c r="AG160" i="27"/>
  <c r="AL175" i="27"/>
  <c r="AD179" i="27"/>
  <c r="AE177" i="27"/>
  <c r="AJ167" i="27"/>
  <c r="AL163" i="27"/>
  <c r="N151" i="27"/>
  <c r="J175" i="27"/>
  <c r="V168" i="27"/>
  <c r="T161" i="27"/>
  <c r="R182" i="27"/>
  <c r="AM158" i="27"/>
  <c r="AL170" i="27"/>
  <c r="AA170" i="27"/>
  <c r="AD181" i="27"/>
  <c r="N166" i="27"/>
  <c r="U174" i="27"/>
  <c r="AM166" i="27"/>
  <c r="AE181" i="27"/>
  <c r="AH181" i="27"/>
  <c r="I173" i="27"/>
  <c r="P181" i="27"/>
  <c r="L166" i="27"/>
  <c r="AE179" i="27"/>
  <c r="K171" i="27"/>
  <c r="L167" i="27"/>
  <c r="T154" i="27"/>
  <c r="J177" i="27"/>
  <c r="AB171" i="27"/>
  <c r="AH182" i="27"/>
  <c r="R180" i="27"/>
  <c r="AA152" i="27"/>
  <c r="AM156" i="27"/>
  <c r="N164" i="27"/>
  <c r="Z182" i="27"/>
  <c r="AG159" i="27"/>
  <c r="S169" i="27"/>
  <c r="AI173" i="27"/>
  <c r="Q167" i="27"/>
  <c r="AJ151" i="27"/>
  <c r="C44" i="14"/>
  <c r="F144" i="25"/>
  <c r="C243" i="27"/>
  <c r="F205" i="27"/>
  <c r="F165" i="27"/>
  <c r="F85" i="27"/>
  <c r="F39" i="25"/>
  <c r="F125" i="27"/>
  <c r="F29" i="27"/>
  <c r="F222" i="25" s="1"/>
  <c r="C45" i="14" l="1"/>
  <c r="F40" i="25"/>
  <c r="F145" i="25"/>
  <c r="C244" i="27"/>
  <c r="F206" i="27"/>
  <c r="F166" i="27"/>
  <c r="F126" i="27"/>
  <c r="F86" i="27"/>
  <c r="F30" i="27"/>
  <c r="F223" i="25" s="1"/>
  <c r="C46" i="14" l="1"/>
  <c r="F146" i="25"/>
  <c r="F41" i="25"/>
  <c r="C245" i="27"/>
  <c r="F207" i="27"/>
  <c r="F167" i="27"/>
  <c r="F127" i="27"/>
  <c r="F87" i="27"/>
  <c r="F31" i="27"/>
  <c r="F224" i="25" s="1"/>
  <c r="C47" i="14" l="1"/>
  <c r="F42" i="25"/>
  <c r="F147" i="25"/>
  <c r="C246" i="27"/>
  <c r="F208" i="27"/>
  <c r="F168" i="27"/>
  <c r="F128" i="27"/>
  <c r="F88" i="27"/>
  <c r="F32" i="27"/>
  <c r="F225" i="25" s="1"/>
  <c r="C48" i="14" l="1"/>
  <c r="F43" i="25"/>
  <c r="F148" i="25"/>
  <c r="C247" i="27"/>
  <c r="F209" i="27"/>
  <c r="F169" i="27"/>
  <c r="F129" i="27"/>
  <c r="F89" i="27"/>
  <c r="F33" i="27"/>
  <c r="F226" i="25" s="1"/>
  <c r="C49" i="14" l="1"/>
  <c r="C248" i="27"/>
  <c r="F210" i="27"/>
  <c r="F170" i="27"/>
  <c r="F130" i="27"/>
  <c r="F90" i="27"/>
  <c r="F44" i="25"/>
  <c r="F149" i="25"/>
  <c r="F34" i="27"/>
  <c r="F227" i="25" s="1"/>
  <c r="C50" i="14" l="1"/>
  <c r="F45" i="25"/>
  <c r="F150" i="25"/>
  <c r="C249" i="27"/>
  <c r="F211" i="27"/>
  <c r="F171" i="27"/>
  <c r="F131" i="27"/>
  <c r="F91" i="27"/>
  <c r="F35" i="27"/>
  <c r="F228" i="25" s="1"/>
  <c r="C51" i="14" l="1"/>
  <c r="F92" i="27"/>
  <c r="F151" i="25"/>
  <c r="F212" i="27"/>
  <c r="F172" i="27"/>
  <c r="C250" i="27"/>
  <c r="F132" i="27"/>
  <c r="F46" i="25"/>
  <c r="F36" i="27"/>
  <c r="F229" i="25" s="1"/>
  <c r="C52" i="14" l="1"/>
  <c r="F152" i="25"/>
  <c r="F173" i="27"/>
  <c r="F133" i="27"/>
  <c r="F47" i="25"/>
  <c r="C251" i="27"/>
  <c r="F213" i="27"/>
  <c r="F93" i="27"/>
  <c r="F37" i="27"/>
  <c r="F230" i="25" s="1"/>
  <c r="C53" i="14" l="1"/>
  <c r="F48" i="25"/>
  <c r="F153" i="25"/>
  <c r="C252" i="27"/>
  <c r="F214" i="27"/>
  <c r="F174" i="27"/>
  <c r="F134" i="27"/>
  <c r="F94" i="27"/>
  <c r="F38" i="27"/>
  <c r="F231" i="25" s="1"/>
  <c r="C54" i="14" l="1"/>
  <c r="F154" i="25"/>
  <c r="F49" i="25"/>
  <c r="C253" i="27"/>
  <c r="F215" i="27"/>
  <c r="F175" i="27"/>
  <c r="F135" i="27"/>
  <c r="F95" i="27"/>
  <c r="F39" i="27"/>
  <c r="F232" i="25" s="1"/>
  <c r="C55" i="14" l="1"/>
  <c r="F50" i="25"/>
  <c r="F155" i="25"/>
  <c r="C254" i="27"/>
  <c r="F216" i="27"/>
  <c r="F176" i="27"/>
  <c r="F136" i="27"/>
  <c r="F96" i="27"/>
  <c r="F40" i="27"/>
  <c r="F233" i="25" s="1"/>
  <c r="C56" i="14" l="1"/>
  <c r="F51" i="25"/>
  <c r="F156" i="25"/>
  <c r="C255" i="27"/>
  <c r="F217" i="27"/>
  <c r="F177" i="27"/>
  <c r="F137" i="27"/>
  <c r="F97" i="27"/>
  <c r="F41" i="27"/>
  <c r="F234" i="25" s="1"/>
  <c r="C57" i="14" l="1"/>
  <c r="C256" i="27"/>
  <c r="F218" i="27"/>
  <c r="F178" i="27"/>
  <c r="F138" i="27"/>
  <c r="F98" i="27"/>
  <c r="F157" i="25"/>
  <c r="F52" i="25"/>
  <c r="F42" i="27"/>
  <c r="F235" i="25" s="1"/>
  <c r="C58" i="14" l="1"/>
  <c r="F53" i="25"/>
  <c r="F158" i="25"/>
  <c r="C257" i="27"/>
  <c r="F219" i="27"/>
  <c r="F179" i="27"/>
  <c r="F139" i="27"/>
  <c r="F99" i="27"/>
  <c r="F43" i="27"/>
  <c r="F236" i="25" s="1"/>
  <c r="C59" i="14" l="1"/>
  <c r="F220" i="27"/>
  <c r="F140" i="27"/>
  <c r="F100" i="27"/>
  <c r="C258" i="27"/>
  <c r="F180" i="27"/>
  <c r="F159" i="25"/>
  <c r="F54" i="25"/>
  <c r="F44" i="27"/>
  <c r="F237" i="25" s="1"/>
  <c r="C60" i="14" l="1"/>
  <c r="F160" i="25"/>
  <c r="C259" i="27"/>
  <c r="F221" i="27"/>
  <c r="F55" i="25"/>
  <c r="F181" i="27"/>
  <c r="F141" i="27"/>
  <c r="F101" i="27"/>
  <c r="F45" i="27"/>
  <c r="F238" i="25" s="1"/>
  <c r="F56" i="25" l="1"/>
  <c r="F161" i="25"/>
  <c r="E167" i="25" s="1" a="1"/>
  <c r="C260" i="27"/>
  <c r="F222" i="27"/>
  <c r="F182" i="27"/>
  <c r="H149" i="27" s="1" a="1"/>
  <c r="F142" i="27"/>
  <c r="F102" i="27"/>
  <c r="H69" i="27" s="1" a="1"/>
  <c r="F46" i="27"/>
  <c r="F239" i="25" s="1"/>
  <c r="H189" i="27" l="1" a="1"/>
  <c r="U149" i="27"/>
  <c r="W149" i="27"/>
  <c r="R149" i="27"/>
  <c r="K149" i="27"/>
  <c r="O149" i="27"/>
  <c r="J149" i="27"/>
  <c r="AC149" i="27"/>
  <c r="AE149" i="27"/>
  <c r="Z149" i="27"/>
  <c r="AF149" i="27"/>
  <c r="AL149" i="27"/>
  <c r="AG149" i="27"/>
  <c r="P149" i="27"/>
  <c r="AK149" i="27"/>
  <c r="AM149" i="27"/>
  <c r="AH149" i="27"/>
  <c r="AI149" i="27"/>
  <c r="N149" i="27"/>
  <c r="I149" i="27"/>
  <c r="S149" i="27"/>
  <c r="AJ149" i="27"/>
  <c r="H149" i="27"/>
  <c r="V149" i="27"/>
  <c r="Q149" i="27"/>
  <c r="T149" i="27"/>
  <c r="L149" i="27"/>
  <c r="M149" i="27"/>
  <c r="AB149" i="27"/>
  <c r="AD149" i="27"/>
  <c r="Y149" i="27"/>
  <c r="X149" i="27"/>
  <c r="AA149" i="27"/>
  <c r="E227" i="27" a="1"/>
  <c r="K170" i="25"/>
  <c r="Q167" i="25"/>
  <c r="S170" i="25"/>
  <c r="J169" i="25"/>
  <c r="Q169" i="25"/>
  <c r="R169" i="25"/>
  <c r="AF170" i="25"/>
  <c r="Z169" i="25"/>
  <c r="H167" i="25"/>
  <c r="AH169" i="25"/>
  <c r="P167" i="25"/>
  <c r="I170" i="25"/>
  <c r="X167" i="25"/>
  <c r="Y170" i="25"/>
  <c r="G167" i="25"/>
  <c r="H169" i="25"/>
  <c r="AG169" i="25"/>
  <c r="Z167" i="25"/>
  <c r="AE167" i="25"/>
  <c r="F168" i="25"/>
  <c r="N168" i="25"/>
  <c r="O170" i="25"/>
  <c r="AD168" i="25"/>
  <c r="AD167" i="25"/>
  <c r="AI167" i="25"/>
  <c r="M170" i="25"/>
  <c r="AI168" i="25"/>
  <c r="S167" i="25"/>
  <c r="W168" i="25"/>
  <c r="I169" i="25"/>
  <c r="AE168" i="25"/>
  <c r="E167" i="25"/>
  <c r="F169" i="25"/>
  <c r="M167" i="25"/>
  <c r="N169" i="25"/>
  <c r="U167" i="25"/>
  <c r="V169" i="25"/>
  <c r="L168" i="25"/>
  <c r="E169" i="25"/>
  <c r="AA167" i="25"/>
  <c r="Y167" i="25"/>
  <c r="G168" i="25"/>
  <c r="W170" i="25"/>
  <c r="G169" i="25"/>
  <c r="T168" i="25"/>
  <c r="AH168" i="25"/>
  <c r="AB168" i="25"/>
  <c r="U170" i="25"/>
  <c r="AJ168" i="25"/>
  <c r="AC170" i="25"/>
  <c r="K169" i="25"/>
  <c r="J168" i="25"/>
  <c r="S169" i="25"/>
  <c r="Y169" i="25"/>
  <c r="AA169" i="25"/>
  <c r="P170" i="25"/>
  <c r="S168" i="25"/>
  <c r="K167" i="25"/>
  <c r="W169" i="25"/>
  <c r="U169" i="25"/>
  <c r="W167" i="25"/>
  <c r="L167" i="25"/>
  <c r="AB167" i="25"/>
  <c r="AB170" i="25"/>
  <c r="AA168" i="25"/>
  <c r="P169" i="25"/>
  <c r="J170" i="25"/>
  <c r="Z170" i="25"/>
  <c r="AG167" i="25"/>
  <c r="AH170" i="25"/>
  <c r="H168" i="25"/>
  <c r="F167" i="25"/>
  <c r="P168" i="25"/>
  <c r="N167" i="25"/>
  <c r="X168" i="25"/>
  <c r="V167" i="25"/>
  <c r="AF168" i="25"/>
  <c r="Q170" i="25"/>
  <c r="AF167" i="25"/>
  <c r="Z168" i="25"/>
  <c r="R170" i="25"/>
  <c r="AF169" i="25"/>
  <c r="G170" i="25"/>
  <c r="V168" i="25"/>
  <c r="AE170" i="25"/>
  <c r="E168" i="25"/>
  <c r="E170" i="25"/>
  <c r="X169" i="25"/>
  <c r="U168" i="25"/>
  <c r="AE169" i="25"/>
  <c r="AC168" i="25"/>
  <c r="F170" i="25"/>
  <c r="L169" i="25"/>
  <c r="N170" i="25"/>
  <c r="T169" i="25"/>
  <c r="V170" i="25"/>
  <c r="AB169" i="25"/>
  <c r="AD170" i="25"/>
  <c r="AC167" i="25"/>
  <c r="AD169" i="25"/>
  <c r="M168" i="25"/>
  <c r="O168" i="25"/>
  <c r="T167" i="25"/>
  <c r="T170" i="25"/>
  <c r="K168" i="25"/>
  <c r="AJ169" i="25"/>
  <c r="M169" i="25"/>
  <c r="O167" i="25"/>
  <c r="R167" i="25"/>
  <c r="AA170" i="25"/>
  <c r="AH167" i="25"/>
  <c r="AI170" i="25"/>
  <c r="I168" i="25"/>
  <c r="R168" i="25"/>
  <c r="Q168" i="25"/>
  <c r="H170" i="25"/>
  <c r="Y168" i="25"/>
  <c r="X170" i="25"/>
  <c r="AG168" i="25"/>
  <c r="AI169" i="25"/>
  <c r="I167" i="25"/>
  <c r="O169" i="25"/>
  <c r="AG170" i="25"/>
  <c r="AC169" i="25"/>
  <c r="L170" i="25"/>
  <c r="AJ167" i="25"/>
  <c r="AJ170" i="25"/>
  <c r="J167" i="25"/>
  <c r="H109" i="27" a="1"/>
  <c r="AM69" i="27"/>
  <c r="AG69" i="27"/>
  <c r="U69" i="27"/>
  <c r="AJ69" i="27"/>
  <c r="AC69" i="27"/>
  <c r="N69" i="27"/>
  <c r="H69" i="27"/>
  <c r="K69" i="27"/>
  <c r="Z69" i="27"/>
  <c r="W69" i="27"/>
  <c r="AK69" i="27"/>
  <c r="T69" i="27"/>
  <c r="V69" i="27"/>
  <c r="P69" i="27"/>
  <c r="S69" i="27"/>
  <c r="AB69" i="27"/>
  <c r="Y69" i="27"/>
  <c r="AD69" i="27"/>
  <c r="X69" i="27"/>
  <c r="AA69" i="27"/>
  <c r="L69" i="27"/>
  <c r="AF69" i="27"/>
  <c r="AH69" i="27"/>
  <c r="Q69" i="27"/>
  <c r="M69" i="27"/>
  <c r="AL69" i="27"/>
  <c r="AI69" i="27"/>
  <c r="AE69" i="27"/>
  <c r="O69" i="27"/>
  <c r="I69" i="27"/>
  <c r="R69" i="27"/>
  <c r="J69" i="27"/>
  <c r="F47" i="27"/>
  <c r="F240" i="25" s="1"/>
  <c r="S227" i="27" l="1"/>
  <c r="M227" i="27"/>
  <c r="O227" i="27"/>
  <c r="AH227" i="27"/>
  <c r="AD227" i="27"/>
  <c r="I227" i="27"/>
  <c r="AA227" i="27"/>
  <c r="U227" i="27"/>
  <c r="W227" i="27"/>
  <c r="J227" i="27"/>
  <c r="AJ227" i="27"/>
  <c r="AI227" i="27"/>
  <c r="AC227" i="27"/>
  <c r="AE227" i="27"/>
  <c r="Q227" i="27"/>
  <c r="Z227" i="27"/>
  <c r="L227" i="27"/>
  <c r="F227" i="27"/>
  <c r="H227" i="27"/>
  <c r="R227" i="27"/>
  <c r="AF227" i="27"/>
  <c r="G227" i="27"/>
  <c r="T227" i="27"/>
  <c r="N227" i="27"/>
  <c r="P227" i="27"/>
  <c r="Y227" i="27"/>
  <c r="K227" i="27"/>
  <c r="AB227" i="27"/>
  <c r="V227" i="27"/>
  <c r="X227" i="27"/>
  <c r="AG227" i="27"/>
  <c r="E227" i="27"/>
  <c r="AL109" i="27"/>
  <c r="AF109" i="27"/>
  <c r="AH109" i="27"/>
  <c r="AJ109" i="27"/>
  <c r="AB109" i="27"/>
  <c r="M109" i="27"/>
  <c r="O109" i="27"/>
  <c r="I109" i="27"/>
  <c r="K109" i="27"/>
  <c r="V109" i="27"/>
  <c r="P109" i="27"/>
  <c r="T109" i="27"/>
  <c r="U109" i="27"/>
  <c r="W109" i="27"/>
  <c r="Q109" i="27"/>
  <c r="S109" i="27"/>
  <c r="AD109" i="27"/>
  <c r="AC109" i="27"/>
  <c r="AE109" i="27"/>
  <c r="Y109" i="27"/>
  <c r="AA109" i="27"/>
  <c r="AG109" i="27"/>
  <c r="R109" i="27"/>
  <c r="AK109" i="27"/>
  <c r="AM109" i="27"/>
  <c r="AI109" i="27"/>
  <c r="X109" i="27"/>
  <c r="N109" i="27"/>
  <c r="H109" i="27"/>
  <c r="J109" i="27"/>
  <c r="L109" i="27"/>
  <c r="Z109" i="27"/>
  <c r="W189" i="27"/>
  <c r="S189" i="27"/>
  <c r="AL189" i="27"/>
  <c r="AF189" i="27"/>
  <c r="K189" i="27"/>
  <c r="Y189" i="27"/>
  <c r="T189" i="27"/>
  <c r="AE189" i="27"/>
  <c r="AA189" i="27"/>
  <c r="N189" i="27"/>
  <c r="U189" i="27"/>
  <c r="AD189" i="27"/>
  <c r="I189" i="27"/>
  <c r="AM189" i="27"/>
  <c r="AI189" i="27"/>
  <c r="AB189" i="27"/>
  <c r="V189" i="27"/>
  <c r="O189" i="27"/>
  <c r="J189" i="27"/>
  <c r="L189" i="27"/>
  <c r="P189" i="27"/>
  <c r="AG189" i="27"/>
  <c r="R189" i="27"/>
  <c r="X189" i="27"/>
  <c r="AC189" i="27"/>
  <c r="AJ189" i="27"/>
  <c r="AH189" i="27"/>
  <c r="Z189" i="27"/>
  <c r="AK189" i="27"/>
  <c r="Q189" i="27"/>
  <c r="H189" i="27"/>
  <c r="M189" i="27"/>
  <c r="F48" i="27"/>
  <c r="F241" i="25" s="1"/>
  <c r="X229" i="27" l="1"/>
  <c r="X230" i="27"/>
  <c r="X231" i="27"/>
  <c r="X232" i="27"/>
  <c r="X233" i="27"/>
  <c r="X234" i="27"/>
  <c r="X235" i="27"/>
  <c r="X236" i="27"/>
  <c r="X237" i="27"/>
  <c r="X238" i="27"/>
  <c r="X239" i="27"/>
  <c r="X240" i="27"/>
  <c r="X241" i="27"/>
  <c r="X242" i="27"/>
  <c r="X243" i="27"/>
  <c r="X244" i="27"/>
  <c r="X245" i="27"/>
  <c r="X246" i="27"/>
  <c r="X247" i="27"/>
  <c r="X248" i="27"/>
  <c r="X249" i="27"/>
  <c r="X250" i="27"/>
  <c r="X251" i="27"/>
  <c r="X252" i="27"/>
  <c r="X253" i="27"/>
  <c r="X254" i="27"/>
  <c r="X255" i="27"/>
  <c r="X256" i="27"/>
  <c r="X257" i="27"/>
  <c r="X258" i="27"/>
  <c r="X259" i="27"/>
  <c r="X260"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G256" i="27"/>
  <c r="G257" i="27"/>
  <c r="G258" i="27"/>
  <c r="G259" i="27"/>
  <c r="G260" i="27"/>
  <c r="AE229" i="27"/>
  <c r="AE230" i="27"/>
  <c r="AE231" i="27"/>
  <c r="AE232" i="27"/>
  <c r="AE233" i="27"/>
  <c r="AE234" i="27"/>
  <c r="AE235" i="27"/>
  <c r="AE236" i="27"/>
  <c r="AE237" i="27"/>
  <c r="AE238" i="27"/>
  <c r="AE239" i="27"/>
  <c r="AE240" i="27"/>
  <c r="AE241" i="27"/>
  <c r="AE242" i="27"/>
  <c r="AE243" i="27"/>
  <c r="AE244" i="27"/>
  <c r="AE245" i="27"/>
  <c r="AE246" i="27"/>
  <c r="AE247" i="27"/>
  <c r="AE248" i="27"/>
  <c r="AE249" i="27"/>
  <c r="AE250" i="27"/>
  <c r="AE251" i="27"/>
  <c r="AE252" i="27"/>
  <c r="AE253" i="27"/>
  <c r="AE254" i="27"/>
  <c r="AE255" i="27"/>
  <c r="AE256" i="27"/>
  <c r="AE257" i="27"/>
  <c r="AE258" i="27"/>
  <c r="AE259" i="27"/>
  <c r="AE260" i="27"/>
  <c r="I229" i="27"/>
  <c r="I230" i="27"/>
  <c r="I231" i="27"/>
  <c r="I232" i="27"/>
  <c r="I233" i="27"/>
  <c r="I234" i="27"/>
  <c r="I235" i="27"/>
  <c r="I236" i="27"/>
  <c r="I237" i="27"/>
  <c r="I238" i="27"/>
  <c r="I239" i="27"/>
  <c r="I240" i="27"/>
  <c r="I241" i="27"/>
  <c r="I242" i="27"/>
  <c r="I243" i="27"/>
  <c r="I244" i="27"/>
  <c r="I245" i="27"/>
  <c r="I246" i="27"/>
  <c r="I247" i="27"/>
  <c r="I248" i="27"/>
  <c r="I249" i="27"/>
  <c r="I250" i="27"/>
  <c r="I251" i="27"/>
  <c r="I252" i="27"/>
  <c r="I253" i="27"/>
  <c r="I254" i="27"/>
  <c r="I255" i="27"/>
  <c r="I256" i="27"/>
  <c r="I257" i="27"/>
  <c r="I258" i="27"/>
  <c r="I259" i="27"/>
  <c r="I260" i="27"/>
  <c r="Q229" i="27"/>
  <c r="Q230" i="27"/>
  <c r="Q231" i="27"/>
  <c r="Q232" i="27"/>
  <c r="Q233" i="27"/>
  <c r="Q234" i="27"/>
  <c r="Q235" i="27"/>
  <c r="Q236" i="27"/>
  <c r="Q237" i="27"/>
  <c r="Q238" i="27"/>
  <c r="Q239" i="27"/>
  <c r="Q240" i="27"/>
  <c r="Q241" i="27"/>
  <c r="Q242" i="27"/>
  <c r="Q243" i="27"/>
  <c r="Q244" i="27"/>
  <c r="Q245" i="27"/>
  <c r="Q246" i="27"/>
  <c r="Q247" i="27"/>
  <c r="Q248" i="27"/>
  <c r="Q249" i="27"/>
  <c r="Q250" i="27"/>
  <c r="Q251" i="27"/>
  <c r="Q252" i="27"/>
  <c r="Q253" i="27"/>
  <c r="Q254" i="27"/>
  <c r="Q255" i="27"/>
  <c r="Q256" i="27"/>
  <c r="Q257" i="27"/>
  <c r="Q258" i="27"/>
  <c r="Q259" i="27"/>
  <c r="Q260" i="27"/>
  <c r="V229" i="27"/>
  <c r="V230" i="27"/>
  <c r="V231" i="27"/>
  <c r="V232" i="27"/>
  <c r="V233" i="27"/>
  <c r="V234" i="27"/>
  <c r="V235" i="27"/>
  <c r="V236" i="27"/>
  <c r="V237" i="27"/>
  <c r="V238" i="27"/>
  <c r="V239" i="27"/>
  <c r="V240" i="27"/>
  <c r="V241" i="27"/>
  <c r="V242" i="27"/>
  <c r="V243" i="27"/>
  <c r="V244" i="27"/>
  <c r="V245" i="27"/>
  <c r="V246" i="27"/>
  <c r="V247" i="27"/>
  <c r="V248" i="27"/>
  <c r="V249" i="27"/>
  <c r="V250" i="27"/>
  <c r="V251" i="27"/>
  <c r="V252" i="27"/>
  <c r="V253" i="27"/>
  <c r="V254" i="27"/>
  <c r="V255" i="27"/>
  <c r="V256" i="27"/>
  <c r="V257" i="27"/>
  <c r="V258" i="27"/>
  <c r="V259" i="27"/>
  <c r="V260" i="27"/>
  <c r="AF229" i="27"/>
  <c r="AF230" i="27"/>
  <c r="AF231" i="27"/>
  <c r="AF232" i="27"/>
  <c r="AF233" i="27"/>
  <c r="AF234" i="27"/>
  <c r="AF235" i="27"/>
  <c r="AF236" i="27"/>
  <c r="AF237" i="27"/>
  <c r="AF238" i="27"/>
  <c r="AF239" i="27"/>
  <c r="AF240" i="27"/>
  <c r="AF241" i="27"/>
  <c r="AF242" i="27"/>
  <c r="AF243" i="27"/>
  <c r="AF244" i="27"/>
  <c r="AF245" i="27"/>
  <c r="AF246" i="27"/>
  <c r="AF247" i="27"/>
  <c r="AF248" i="27"/>
  <c r="AF249" i="27"/>
  <c r="AF250" i="27"/>
  <c r="AF251" i="27"/>
  <c r="AF252" i="27"/>
  <c r="AF253" i="27"/>
  <c r="AF254" i="27"/>
  <c r="AF255" i="27"/>
  <c r="AF256" i="27"/>
  <c r="AF257" i="27"/>
  <c r="AF258" i="27"/>
  <c r="AF259" i="27"/>
  <c r="AF260" i="27"/>
  <c r="AC229" i="27"/>
  <c r="AC230" i="27"/>
  <c r="AC231" i="27"/>
  <c r="AC232" i="27"/>
  <c r="AC233" i="27"/>
  <c r="AC234" i="27"/>
  <c r="AC235" i="27"/>
  <c r="AC236" i="27"/>
  <c r="AC237" i="27"/>
  <c r="AC238" i="27"/>
  <c r="AC239" i="27"/>
  <c r="AC240" i="27"/>
  <c r="AC241" i="27"/>
  <c r="AC242" i="27"/>
  <c r="AC243" i="27"/>
  <c r="AC244" i="27"/>
  <c r="AC245" i="27"/>
  <c r="AC246" i="27"/>
  <c r="AC247" i="27"/>
  <c r="AC248" i="27"/>
  <c r="AC249" i="27"/>
  <c r="AC250" i="27"/>
  <c r="AC251" i="27"/>
  <c r="AC252" i="27"/>
  <c r="AC253" i="27"/>
  <c r="AC254" i="27"/>
  <c r="AC255" i="27"/>
  <c r="AC256" i="27"/>
  <c r="AC257" i="27"/>
  <c r="AC258" i="27"/>
  <c r="AC259" i="27"/>
  <c r="AC260" i="27"/>
  <c r="AD229" i="27"/>
  <c r="AD230" i="27"/>
  <c r="AD231" i="27"/>
  <c r="AD232" i="27"/>
  <c r="AD233" i="27"/>
  <c r="AD234" i="27"/>
  <c r="AD235" i="27"/>
  <c r="AD236" i="27"/>
  <c r="AD237" i="27"/>
  <c r="AD238" i="27"/>
  <c r="AD239" i="27"/>
  <c r="AD240" i="27"/>
  <c r="AD241" i="27"/>
  <c r="AD242" i="27"/>
  <c r="AD243" i="27"/>
  <c r="AD244" i="27"/>
  <c r="AD245" i="27"/>
  <c r="AD246" i="27"/>
  <c r="AD247" i="27"/>
  <c r="AD248" i="27"/>
  <c r="AD249" i="27"/>
  <c r="AD250" i="27"/>
  <c r="AD251" i="27"/>
  <c r="AD252" i="27"/>
  <c r="AD253" i="27"/>
  <c r="AD254" i="27"/>
  <c r="AD255" i="27"/>
  <c r="AD256" i="27"/>
  <c r="AD257" i="27"/>
  <c r="AD258" i="27"/>
  <c r="AD259" i="27"/>
  <c r="AD260" i="27"/>
  <c r="AG229" i="27"/>
  <c r="AG230" i="27"/>
  <c r="AG231" i="27"/>
  <c r="AG232" i="27"/>
  <c r="AG233" i="27"/>
  <c r="AG234" i="27"/>
  <c r="AG235" i="27"/>
  <c r="AG236" i="27"/>
  <c r="AG237" i="27"/>
  <c r="AG238" i="27"/>
  <c r="AG239" i="27"/>
  <c r="AG240" i="27"/>
  <c r="AG241" i="27"/>
  <c r="AG242" i="27"/>
  <c r="AG243" i="27"/>
  <c r="AG244" i="27"/>
  <c r="AG245" i="27"/>
  <c r="AG246" i="27"/>
  <c r="AG247" i="27"/>
  <c r="AG248" i="27"/>
  <c r="AG249" i="27"/>
  <c r="AG250" i="27"/>
  <c r="AG251" i="27"/>
  <c r="AG252" i="27"/>
  <c r="AG253" i="27"/>
  <c r="AG254" i="27"/>
  <c r="AG255" i="27"/>
  <c r="AG256" i="27"/>
  <c r="AG257" i="27"/>
  <c r="AG258" i="27"/>
  <c r="AG259" i="27"/>
  <c r="AG260" i="27"/>
  <c r="AB229" i="27"/>
  <c r="AB230" i="27"/>
  <c r="AB231" i="27"/>
  <c r="AB232" i="27"/>
  <c r="AB233" i="27"/>
  <c r="AB234" i="27"/>
  <c r="AB235" i="27"/>
  <c r="AB236" i="27"/>
  <c r="AB237" i="27"/>
  <c r="AB238" i="27"/>
  <c r="AB239" i="27"/>
  <c r="AB240" i="27"/>
  <c r="AB241" i="27"/>
  <c r="AB242" i="27"/>
  <c r="AB243" i="27"/>
  <c r="AB244" i="27"/>
  <c r="AB245" i="27"/>
  <c r="AB246" i="27"/>
  <c r="AB247" i="27"/>
  <c r="AB248" i="27"/>
  <c r="AB249" i="27"/>
  <c r="AB250" i="27"/>
  <c r="AB251" i="27"/>
  <c r="AB252" i="27"/>
  <c r="AB253" i="27"/>
  <c r="AB254" i="27"/>
  <c r="AB255" i="27"/>
  <c r="AB256" i="27"/>
  <c r="AB257" i="27"/>
  <c r="AB258" i="27"/>
  <c r="AB259" i="27"/>
  <c r="AB260"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H229" i="27"/>
  <c r="AH230" i="27"/>
  <c r="AH231" i="27"/>
  <c r="AH232" i="27"/>
  <c r="AH233" i="27"/>
  <c r="AH234" i="27"/>
  <c r="AH235" i="27"/>
  <c r="AH236" i="27"/>
  <c r="AH237" i="27"/>
  <c r="AH238" i="27"/>
  <c r="AH239" i="27"/>
  <c r="AH240" i="27"/>
  <c r="AH241" i="27"/>
  <c r="AH242" i="27"/>
  <c r="AH243" i="27"/>
  <c r="AH244" i="27"/>
  <c r="AH245" i="27"/>
  <c r="AH246" i="27"/>
  <c r="AH247" i="27"/>
  <c r="AH248" i="27"/>
  <c r="AH249" i="27"/>
  <c r="AH250" i="27"/>
  <c r="AH251" i="27"/>
  <c r="AH252" i="27"/>
  <c r="AH253" i="27"/>
  <c r="AH254" i="27"/>
  <c r="AH255" i="27"/>
  <c r="AH256" i="27"/>
  <c r="AH257" i="27"/>
  <c r="AH258" i="27"/>
  <c r="AH259" i="27"/>
  <c r="AH260" i="27"/>
  <c r="E229" i="27"/>
  <c r="E230" i="27"/>
  <c r="E231" i="27"/>
  <c r="E232" i="27"/>
  <c r="E233" i="27"/>
  <c r="E234" i="27"/>
  <c r="E235" i="27"/>
  <c r="E236" i="27"/>
  <c r="E237" i="27"/>
  <c r="E238" i="27"/>
  <c r="E239" i="27"/>
  <c r="E240" i="27"/>
  <c r="E241" i="27"/>
  <c r="E242" i="27"/>
  <c r="E243" i="27"/>
  <c r="E244" i="27"/>
  <c r="E245" i="27"/>
  <c r="E246" i="27"/>
  <c r="E247" i="27"/>
  <c r="E248" i="27"/>
  <c r="E249" i="27"/>
  <c r="E250" i="27"/>
  <c r="E251" i="27"/>
  <c r="E252" i="27"/>
  <c r="E253" i="27"/>
  <c r="E254" i="27"/>
  <c r="E255" i="27"/>
  <c r="E256" i="27"/>
  <c r="E257" i="27"/>
  <c r="E258" i="27"/>
  <c r="E259" i="27"/>
  <c r="E260" i="27"/>
  <c r="Z229" i="27"/>
  <c r="Z230" i="27"/>
  <c r="Z231" i="27"/>
  <c r="Z232" i="27"/>
  <c r="Z233" i="27"/>
  <c r="Z234" i="27"/>
  <c r="Z235" i="27"/>
  <c r="Z236" i="27"/>
  <c r="Z237" i="27"/>
  <c r="Z238" i="27"/>
  <c r="Z239" i="27"/>
  <c r="Z240" i="27"/>
  <c r="Z241" i="27"/>
  <c r="Z242" i="27"/>
  <c r="Z243" i="27"/>
  <c r="Z244" i="27"/>
  <c r="Z245" i="27"/>
  <c r="Z246" i="27"/>
  <c r="Z247" i="27"/>
  <c r="Z248" i="27"/>
  <c r="Z249" i="27"/>
  <c r="Z250" i="27"/>
  <c r="Z251" i="27"/>
  <c r="Z252" i="27"/>
  <c r="Z253" i="27"/>
  <c r="Z254" i="27"/>
  <c r="Z255" i="27"/>
  <c r="Z256" i="27"/>
  <c r="Z257" i="27"/>
  <c r="Z258" i="27"/>
  <c r="Z259" i="27"/>
  <c r="Z260" i="27"/>
  <c r="T229" i="27"/>
  <c r="T230" i="27"/>
  <c r="T231" i="27"/>
  <c r="T232" i="27"/>
  <c r="T233" i="27"/>
  <c r="T234" i="27"/>
  <c r="T235" i="27"/>
  <c r="T236" i="27"/>
  <c r="T237" i="27"/>
  <c r="T238" i="27"/>
  <c r="T239" i="27"/>
  <c r="T240" i="27"/>
  <c r="T241" i="27"/>
  <c r="T242" i="27"/>
  <c r="T243" i="27"/>
  <c r="T244" i="27"/>
  <c r="T245" i="27"/>
  <c r="T246" i="27"/>
  <c r="T247" i="27"/>
  <c r="T248" i="27"/>
  <c r="T249" i="27"/>
  <c r="T250" i="27"/>
  <c r="T251" i="27"/>
  <c r="T252" i="27"/>
  <c r="T253" i="27"/>
  <c r="T254" i="27"/>
  <c r="T255" i="27"/>
  <c r="T256" i="27"/>
  <c r="T257" i="27"/>
  <c r="T258" i="27"/>
  <c r="T259" i="27"/>
  <c r="T260"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H229" i="27"/>
  <c r="H230" i="27"/>
  <c r="H231" i="27"/>
  <c r="H232" i="27"/>
  <c r="H233" i="27"/>
  <c r="H234" i="27"/>
  <c r="H235" i="27"/>
  <c r="H236" i="27"/>
  <c r="H237" i="27"/>
  <c r="H238" i="27"/>
  <c r="H239" i="27"/>
  <c r="H240" i="27"/>
  <c r="H241" i="27"/>
  <c r="H242" i="27"/>
  <c r="H243" i="27"/>
  <c r="H244" i="27"/>
  <c r="H245" i="27"/>
  <c r="H246" i="27"/>
  <c r="H247" i="27"/>
  <c r="H248" i="27"/>
  <c r="H249" i="27"/>
  <c r="H250" i="27"/>
  <c r="H251" i="27"/>
  <c r="H252" i="27"/>
  <c r="H253" i="27"/>
  <c r="H254" i="27"/>
  <c r="H255" i="27"/>
  <c r="H256" i="27"/>
  <c r="H257" i="27"/>
  <c r="H258" i="27"/>
  <c r="H259" i="27"/>
  <c r="H260" i="27"/>
  <c r="AJ229" i="27"/>
  <c r="AJ230" i="27"/>
  <c r="AJ231" i="27"/>
  <c r="AJ232" i="27"/>
  <c r="AJ233" i="27"/>
  <c r="AJ234" i="27"/>
  <c r="AJ235" i="27"/>
  <c r="AJ236" i="27"/>
  <c r="AJ237" i="27"/>
  <c r="AJ238" i="27"/>
  <c r="AJ239" i="27"/>
  <c r="AJ240" i="27"/>
  <c r="AJ241" i="27"/>
  <c r="AJ242" i="27"/>
  <c r="AJ243" i="27"/>
  <c r="AJ244" i="27"/>
  <c r="AJ245" i="27"/>
  <c r="AJ246" i="27"/>
  <c r="AJ247" i="27"/>
  <c r="AJ248" i="27"/>
  <c r="AJ249" i="27"/>
  <c r="AJ250" i="27"/>
  <c r="AJ251" i="27"/>
  <c r="AJ252" i="27"/>
  <c r="AJ253" i="27"/>
  <c r="AJ254" i="27"/>
  <c r="AJ255" i="27"/>
  <c r="AJ256" i="27"/>
  <c r="AJ257" i="27"/>
  <c r="AJ258" i="27"/>
  <c r="AJ259" i="27"/>
  <c r="AJ260" i="27"/>
  <c r="O229" i="27"/>
  <c r="O230" i="27"/>
  <c r="O231" i="27"/>
  <c r="O232" i="27"/>
  <c r="O233" i="27"/>
  <c r="O234" i="27"/>
  <c r="O235" i="27"/>
  <c r="O236" i="27"/>
  <c r="O237" i="27"/>
  <c r="O238" i="27"/>
  <c r="O239" i="27"/>
  <c r="O240" i="27"/>
  <c r="O241" i="27"/>
  <c r="O242" i="27"/>
  <c r="O243" i="27"/>
  <c r="O244" i="27"/>
  <c r="O245" i="27"/>
  <c r="O246" i="27"/>
  <c r="O247" i="27"/>
  <c r="O248" i="27"/>
  <c r="O249" i="27"/>
  <c r="O250" i="27"/>
  <c r="O251" i="27"/>
  <c r="O252" i="27"/>
  <c r="O253" i="27"/>
  <c r="O254" i="27"/>
  <c r="O255" i="27"/>
  <c r="O256" i="27"/>
  <c r="O257" i="27"/>
  <c r="O258" i="27"/>
  <c r="O259" i="27"/>
  <c r="O260"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U229" i="27"/>
  <c r="U230" i="27"/>
  <c r="U231" i="27"/>
  <c r="U232" i="27"/>
  <c r="U233" i="27"/>
  <c r="U234" i="27"/>
  <c r="U235" i="27"/>
  <c r="U236" i="27"/>
  <c r="U237" i="27"/>
  <c r="U238" i="27"/>
  <c r="U239" i="27"/>
  <c r="U240" i="27"/>
  <c r="U241" i="27"/>
  <c r="U242" i="27"/>
  <c r="U243" i="27"/>
  <c r="U244" i="27"/>
  <c r="U245" i="27"/>
  <c r="U246" i="27"/>
  <c r="U247" i="27"/>
  <c r="U248" i="27"/>
  <c r="U249" i="27"/>
  <c r="U250" i="27"/>
  <c r="U251" i="27"/>
  <c r="U252" i="27"/>
  <c r="U253" i="27"/>
  <c r="U254" i="27"/>
  <c r="U255" i="27"/>
  <c r="U256" i="27"/>
  <c r="U257" i="27"/>
  <c r="U258" i="27"/>
  <c r="U259" i="27"/>
  <c r="U260" i="27"/>
  <c r="AA229" i="27"/>
  <c r="AA230" i="27"/>
  <c r="AA231" i="27"/>
  <c r="AA232" i="27"/>
  <c r="AA233" i="27"/>
  <c r="AA234" i="27"/>
  <c r="AA235" i="27"/>
  <c r="AA236" i="27"/>
  <c r="AA237" i="27"/>
  <c r="AA238" i="27"/>
  <c r="AA239" i="27"/>
  <c r="AA240" i="27"/>
  <c r="AA241" i="27"/>
  <c r="AA242" i="27"/>
  <c r="AA243" i="27"/>
  <c r="AA244" i="27"/>
  <c r="AA245" i="27"/>
  <c r="AA246" i="27"/>
  <c r="AA247" i="27"/>
  <c r="AA248" i="27"/>
  <c r="AA249" i="27"/>
  <c r="AA250" i="27"/>
  <c r="AA251" i="27"/>
  <c r="AA252" i="27"/>
  <c r="AA253" i="27"/>
  <c r="AA254" i="27"/>
  <c r="AA255" i="27"/>
  <c r="AA256" i="27"/>
  <c r="AA257" i="27"/>
  <c r="AA258" i="27"/>
  <c r="AA259" i="27"/>
  <c r="AA260" i="27"/>
  <c r="Y229" i="27"/>
  <c r="Y230" i="27"/>
  <c r="Y231" i="27"/>
  <c r="Y232" i="27"/>
  <c r="Y233" i="27"/>
  <c r="Y234" i="27"/>
  <c r="Y235" i="27"/>
  <c r="Y236" i="27"/>
  <c r="Y237" i="27"/>
  <c r="Y238" i="27"/>
  <c r="Y239" i="27"/>
  <c r="Y240" i="27"/>
  <c r="Y241" i="27"/>
  <c r="Y242" i="27"/>
  <c r="Y243" i="27"/>
  <c r="Y244" i="27"/>
  <c r="Y245" i="27"/>
  <c r="Y246" i="27"/>
  <c r="Y247" i="27"/>
  <c r="Y248" i="27"/>
  <c r="Y249" i="27"/>
  <c r="Y250" i="27"/>
  <c r="Y251" i="27"/>
  <c r="Y252" i="27"/>
  <c r="Y253" i="27"/>
  <c r="Y254" i="27"/>
  <c r="Y255" i="27"/>
  <c r="Y256" i="27"/>
  <c r="Y257" i="27"/>
  <c r="Y258" i="27"/>
  <c r="Y259" i="27"/>
  <c r="Y260"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W229" i="27"/>
  <c r="W230" i="27"/>
  <c r="W231" i="27"/>
  <c r="W232" i="27"/>
  <c r="W233" i="27"/>
  <c r="W234" i="27"/>
  <c r="W235" i="27"/>
  <c r="W236" i="27"/>
  <c r="W237" i="27"/>
  <c r="W238" i="27"/>
  <c r="W239" i="27"/>
  <c r="W240" i="27"/>
  <c r="W241" i="27"/>
  <c r="W242" i="27"/>
  <c r="W243" i="27"/>
  <c r="W244" i="27"/>
  <c r="W245" i="27"/>
  <c r="W246" i="27"/>
  <c r="W247" i="27"/>
  <c r="W248" i="27"/>
  <c r="W249" i="27"/>
  <c r="W250" i="27"/>
  <c r="W251" i="27"/>
  <c r="W252" i="27"/>
  <c r="W253" i="27"/>
  <c r="W254" i="27"/>
  <c r="W255" i="27"/>
  <c r="W256" i="27"/>
  <c r="W257" i="27"/>
  <c r="W258" i="27"/>
  <c r="W259" i="27"/>
  <c r="W260" i="27"/>
  <c r="S229" i="27"/>
  <c r="S230" i="27"/>
  <c r="S231" i="27"/>
  <c r="S232" i="27"/>
  <c r="S233" i="27"/>
  <c r="S234" i="27"/>
  <c r="S235" i="27"/>
  <c r="S236" i="27"/>
  <c r="S237" i="27"/>
  <c r="S238" i="27"/>
  <c r="S239" i="27"/>
  <c r="S240" i="27"/>
  <c r="S241" i="27"/>
  <c r="S242" i="27"/>
  <c r="S243" i="27"/>
  <c r="S244" i="27"/>
  <c r="S245" i="27"/>
  <c r="S246" i="27"/>
  <c r="S247" i="27"/>
  <c r="S248" i="27"/>
  <c r="S249" i="27"/>
  <c r="S250" i="27"/>
  <c r="S251" i="27"/>
  <c r="S252" i="27"/>
  <c r="S253" i="27"/>
  <c r="S254" i="27"/>
  <c r="S255" i="27"/>
  <c r="S256" i="27"/>
  <c r="S257" i="27"/>
  <c r="S258" i="27"/>
  <c r="S259" i="27"/>
  <c r="S260" i="27"/>
  <c r="F49" i="27"/>
  <c r="F242" i="25" s="1"/>
  <c r="E178" i="25" l="1"/>
  <c r="G181" i="25"/>
  <c r="T181" i="25"/>
  <c r="AA181" i="25"/>
  <c r="U181" i="25"/>
  <c r="AH181" i="25"/>
  <c r="AD181" i="25"/>
  <c r="W181" i="25"/>
  <c r="Z181" i="25"/>
  <c r="L181" i="25"/>
  <c r="P181" i="25"/>
  <c r="X181" i="25"/>
  <c r="I181" i="25"/>
  <c r="N181" i="25"/>
  <c r="K181" i="25"/>
  <c r="AG181" i="25"/>
  <c r="R181" i="25"/>
  <c r="AB181" i="25"/>
  <c r="Y181" i="25"/>
  <c r="O181" i="25"/>
  <c r="M181" i="25"/>
  <c r="AF181" i="25"/>
  <c r="F181" i="25"/>
  <c r="J181" i="25"/>
  <c r="H181" i="25"/>
  <c r="Q181" i="25"/>
  <c r="AE181" i="25"/>
  <c r="AC181" i="25"/>
  <c r="V181" i="25"/>
  <c r="S181" i="25"/>
  <c r="AI181" i="25"/>
  <c r="S179" i="25"/>
  <c r="S178" i="25"/>
  <c r="W178" i="25"/>
  <c r="W179" i="25"/>
  <c r="L178" i="25"/>
  <c r="L179" i="25"/>
  <c r="P178" i="25"/>
  <c r="P179" i="25"/>
  <c r="M179" i="25"/>
  <c r="M178" i="25"/>
  <c r="J179" i="25"/>
  <c r="J178" i="25"/>
  <c r="F178" i="25"/>
  <c r="F179" i="25"/>
  <c r="Y179" i="25"/>
  <c r="Y178" i="25"/>
  <c r="AA178" i="25"/>
  <c r="AA179" i="25"/>
  <c r="E181" i="25"/>
  <c r="U178" i="25"/>
  <c r="U179" i="25"/>
  <c r="N179" i="25"/>
  <c r="N178" i="25"/>
  <c r="O178" i="25"/>
  <c r="O179" i="25"/>
  <c r="AJ179" i="25"/>
  <c r="AJ178" i="25"/>
  <c r="H178" i="25"/>
  <c r="H179" i="25"/>
  <c r="K179" i="25"/>
  <c r="K178" i="25"/>
  <c r="T179" i="25"/>
  <c r="T178" i="25"/>
  <c r="Z179" i="25"/>
  <c r="Z178" i="25"/>
  <c r="E179" i="25"/>
  <c r="AH179" i="25"/>
  <c r="AH178" i="25"/>
  <c r="AI179" i="25"/>
  <c r="AI178" i="25"/>
  <c r="R179" i="25"/>
  <c r="R178" i="25"/>
  <c r="AB179" i="25"/>
  <c r="AB178" i="25"/>
  <c r="AG178" i="25"/>
  <c r="AG179" i="25"/>
  <c r="AD178" i="25"/>
  <c r="AD179" i="25"/>
  <c r="AC179" i="25"/>
  <c r="AC178" i="25"/>
  <c r="AF178" i="25"/>
  <c r="AF179" i="25"/>
  <c r="V178" i="25"/>
  <c r="V179" i="25"/>
  <c r="Q179" i="25"/>
  <c r="Q178" i="25"/>
  <c r="I178" i="25"/>
  <c r="I179" i="25"/>
  <c r="AE178" i="25"/>
  <c r="AE179" i="25"/>
  <c r="G178" i="25"/>
  <c r="G179" i="25"/>
  <c r="X178" i="25"/>
  <c r="X179" i="25"/>
  <c r="AJ181" i="25"/>
  <c r="F50" i="27"/>
  <c r="F243" i="25" s="1"/>
  <c r="F51" i="27" l="1"/>
  <c r="F244" i="25" s="1"/>
  <c r="F52" i="27" l="1"/>
  <c r="F245" i="25" s="1"/>
  <c r="F53" i="27" l="1"/>
  <c r="F246" i="25" s="1"/>
  <c r="F54" i="27" l="1"/>
  <c r="F247" i="25" s="1"/>
  <c r="H21" i="27" l="1" a="1"/>
  <c r="I21" i="27" l="1"/>
  <c r="O21" i="27"/>
  <c r="AE21" i="27"/>
  <c r="P21" i="27"/>
  <c r="AF21" i="27"/>
  <c r="R21" i="27"/>
  <c r="V21" i="27"/>
  <c r="AL21" i="27"/>
  <c r="AH21" i="27"/>
  <c r="W21" i="27"/>
  <c r="AM21" i="27"/>
  <c r="H21" i="27"/>
  <c r="X21" i="27"/>
  <c r="J21" i="27"/>
  <c r="Z21" i="27"/>
  <c r="N21" i="27"/>
  <c r="AD21" i="27"/>
  <c r="AJ21" i="27"/>
  <c r="AG21" i="27"/>
  <c r="T21" i="27"/>
  <c r="AK21" i="27"/>
  <c r="L21" i="27"/>
  <c r="AC21" i="27"/>
  <c r="AI21" i="27"/>
  <c r="U21" i="27"/>
  <c r="AA21" i="27"/>
  <c r="M21" i="27"/>
  <c r="S21" i="27"/>
  <c r="AB21" i="27"/>
  <c r="Y21" i="27"/>
  <c r="K21" i="27"/>
  <c r="Q21" i="27"/>
  <c r="D20" i="45" l="1" a="1"/>
  <c r="F20" i="45" s="1"/>
  <c r="E20" i="45" l="1"/>
  <c r="D20" i="45"/>
  <c r="G24" i="45" l="1"/>
  <c r="G23" i="45"/>
  <c r="H23" i="45" l="1"/>
  <c r="K68" i="25" s="1"/>
  <c r="G116" i="25" s="1"/>
  <c r="H24" i="45"/>
  <c r="D27" i="45" a="1"/>
  <c r="F27" i="45" s="1"/>
  <c r="I97" i="50" l="1"/>
  <c r="I100" i="50"/>
  <c r="D27" i="45"/>
  <c r="E27" i="45"/>
  <c r="G30" i="45" l="1"/>
  <c r="H30" i="45" s="1"/>
  <c r="G31" i="45"/>
  <c r="H31" i="45" l="1"/>
  <c r="I101" i="50" l="1"/>
  <c r="K70" i="25"/>
  <c r="G120" i="25" s="1"/>
  <c r="I98" i="50"/>
  <c r="G122" i="25" l="1"/>
  <c r="G123" i="25"/>
  <c r="G121" i="25"/>
  <c r="G119" i="25"/>
  <c r="G117" i="25"/>
  <c r="G118" i="25"/>
  <c r="R174" i="25" l="1"/>
  <c r="R176" i="25" s="1"/>
  <c r="R184" i="25" s="1"/>
  <c r="AA174" i="25"/>
  <c r="AA176" i="25" s="1"/>
  <c r="AA184" i="25" s="1"/>
  <c r="T174" i="25"/>
  <c r="T176" i="25" s="1"/>
  <c r="T184" i="25" s="1"/>
  <c r="V174" i="25"/>
  <c r="V176" i="25" s="1"/>
  <c r="V184" i="25" s="1"/>
  <c r="Y174" i="25"/>
  <c r="Y176" i="25" s="1"/>
  <c r="Y184" i="25" s="1"/>
  <c r="AE174" i="25"/>
  <c r="AE176" i="25" s="1"/>
  <c r="AE184" i="25" s="1"/>
  <c r="AH174" i="25"/>
  <c r="AH176" i="25" s="1"/>
  <c r="AH184" i="25" s="1"/>
  <c r="AC174" i="25"/>
  <c r="AC176" i="25" s="1"/>
  <c r="AC184" i="25" s="1"/>
  <c r="AJ174" i="25"/>
  <c r="AJ176" i="25" s="1"/>
  <c r="AJ184" i="25" s="1"/>
  <c r="J174" i="25"/>
  <c r="J176" i="25" s="1"/>
  <c r="J184" i="25" s="1"/>
  <c r="AI174" i="25"/>
  <c r="AI176" i="25" s="1"/>
  <c r="AI184" i="25" s="1"/>
  <c r="U174" i="25"/>
  <c r="U176" i="25" s="1"/>
  <c r="U184" i="25" s="1"/>
  <c r="Q174" i="25"/>
  <c r="Q176" i="25" s="1"/>
  <c r="Q184" i="25" s="1"/>
  <c r="P174" i="25"/>
  <c r="P176" i="25" s="1"/>
  <c r="P184" i="25" s="1"/>
  <c r="AD174" i="25"/>
  <c r="AD176" i="25" s="1"/>
  <c r="AD184" i="25" s="1"/>
  <c r="H174" i="25"/>
  <c r="H176" i="25" s="1"/>
  <c r="H184" i="25" s="1"/>
  <c r="G174" i="25"/>
  <c r="G176" i="25" s="1"/>
  <c r="G184" i="25" s="1"/>
  <c r="AG174" i="25"/>
  <c r="AG176" i="25" s="1"/>
  <c r="AG184" i="25" s="1"/>
  <c r="K174" i="25"/>
  <c r="K176" i="25" s="1"/>
  <c r="K184" i="25" s="1"/>
  <c r="M174" i="25"/>
  <c r="M176" i="25" s="1"/>
  <c r="M184" i="25" s="1"/>
  <c r="AF174" i="25"/>
  <c r="AF176" i="25" s="1"/>
  <c r="AF184" i="25" s="1"/>
  <c r="N174" i="25"/>
  <c r="N176" i="25" s="1"/>
  <c r="N184" i="25" s="1"/>
  <c r="O174" i="25"/>
  <c r="O176" i="25" s="1"/>
  <c r="O184" i="25" s="1"/>
  <c r="E174" i="25"/>
  <c r="E176" i="25" s="1"/>
  <c r="E184" i="25" s="1"/>
  <c r="AB174" i="25"/>
  <c r="AB176" i="25" s="1"/>
  <c r="AB184" i="25" s="1"/>
  <c r="F174" i="25"/>
  <c r="F176" i="25" s="1"/>
  <c r="F184" i="25" s="1"/>
  <c r="I174" i="25"/>
  <c r="I176" i="25" s="1"/>
  <c r="I184" i="25" s="1"/>
  <c r="S174" i="25"/>
  <c r="S176" i="25" s="1"/>
  <c r="S184" i="25" s="1"/>
  <c r="Z174" i="25"/>
  <c r="Z176" i="25" s="1"/>
  <c r="Z184" i="25" s="1"/>
  <c r="L174" i="25"/>
  <c r="L176" i="25" s="1"/>
  <c r="L184" i="25" s="1"/>
  <c r="W174" i="25"/>
  <c r="W176" i="25" s="1"/>
  <c r="W184" i="25" s="1"/>
  <c r="X174" i="25"/>
  <c r="X176" i="25" s="1"/>
  <c r="X184" i="25" s="1"/>
  <c r="H130" i="25" l="1" a="1"/>
  <c r="H130" i="25" s="1"/>
  <c r="J130" i="25" s="1"/>
  <c r="H154" i="25" l="1"/>
  <c r="J154" i="25" s="1"/>
  <c r="H159" i="25"/>
  <c r="J159" i="25" s="1"/>
  <c r="H155" i="25"/>
  <c r="J155" i="25" s="1"/>
  <c r="H150" i="25"/>
  <c r="J150" i="25" s="1"/>
  <c r="H147" i="25"/>
  <c r="J147" i="25" s="1"/>
  <c r="H138" i="25"/>
  <c r="J138" i="25" s="1"/>
  <c r="H142" i="25"/>
  <c r="J142" i="25" s="1"/>
  <c r="H152" i="25"/>
  <c r="J152" i="25" s="1"/>
  <c r="H135" i="25"/>
  <c r="J135" i="25" s="1"/>
  <c r="H160" i="25"/>
  <c r="J160" i="25" s="1"/>
  <c r="H136" i="25"/>
  <c r="J136" i="25" s="1"/>
  <c r="H141" i="25"/>
  <c r="J141" i="25" s="1"/>
  <c r="H149" i="25"/>
  <c r="J149" i="25" s="1"/>
  <c r="H156" i="25"/>
  <c r="J156" i="25" s="1"/>
  <c r="H132" i="25"/>
  <c r="J132" i="25" s="1"/>
  <c r="H140" i="25"/>
  <c r="J140" i="25" s="1"/>
  <c r="H146" i="25"/>
  <c r="J146" i="25" s="1"/>
  <c r="H139" i="25"/>
  <c r="J139" i="25" s="1"/>
  <c r="H161" i="25"/>
  <c r="J161" i="25" s="1"/>
  <c r="H145" i="25"/>
  <c r="J145" i="25" s="1"/>
  <c r="H153" i="25"/>
  <c r="J153" i="25" s="1"/>
  <c r="H144" i="25"/>
  <c r="J144" i="25" s="1"/>
  <c r="H133" i="25"/>
  <c r="J133" i="25" s="1"/>
  <c r="H134" i="25"/>
  <c r="J134" i="25" s="1"/>
  <c r="H151" i="25"/>
  <c r="J151" i="25" s="1"/>
  <c r="H157" i="25"/>
  <c r="J157" i="25" s="1"/>
  <c r="H148" i="25"/>
  <c r="J148" i="25" s="1"/>
  <c r="H131" i="25"/>
  <c r="J131" i="25" s="1"/>
  <c r="H143" i="25"/>
  <c r="J143" i="25" s="1"/>
  <c r="H158" i="25"/>
  <c r="J158" i="25" s="1"/>
  <c r="I25" i="25" s="1" a="1"/>
  <c r="I30" i="25" s="1"/>
  <c r="T30" i="25" s="1"/>
  <c r="H137" i="25"/>
  <c r="J137" i="25" s="1"/>
  <c r="I56" i="25" l="1"/>
  <c r="T56" i="25" s="1"/>
  <c r="I39" i="25"/>
  <c r="T39" i="25" s="1"/>
  <c r="I45" i="25"/>
  <c r="T45" i="25" s="1"/>
  <c r="I41" i="25"/>
  <c r="T41" i="25" s="1"/>
  <c r="I35" i="25"/>
  <c r="T35" i="25" s="1"/>
  <c r="I47" i="25"/>
  <c r="T47" i="25" s="1"/>
  <c r="I44" i="25"/>
  <c r="T44" i="25" s="1"/>
  <c r="I38" i="25"/>
  <c r="T38" i="25" s="1"/>
  <c r="I33" i="25"/>
  <c r="T33" i="25" s="1"/>
  <c r="I32" i="25"/>
  <c r="T32" i="25" s="1"/>
  <c r="I25" i="25"/>
  <c r="I49" i="25"/>
  <c r="T49" i="25" s="1"/>
  <c r="I52" i="25"/>
  <c r="T52" i="25" s="1"/>
  <c r="I31" i="25"/>
  <c r="T31" i="25" s="1"/>
  <c r="I55" i="25"/>
  <c r="T55" i="25" s="1"/>
  <c r="I53" i="25"/>
  <c r="T53" i="25" s="1"/>
  <c r="I51" i="25"/>
  <c r="T51" i="25" s="1"/>
  <c r="I26" i="25"/>
  <c r="T26" i="25" s="1"/>
  <c r="I34" i="25"/>
  <c r="T34" i="25" s="1"/>
  <c r="I29" i="25"/>
  <c r="I46" i="25"/>
  <c r="T46" i="25" s="1"/>
  <c r="I27" i="25"/>
  <c r="T27" i="25" s="1"/>
  <c r="I54" i="25"/>
  <c r="T54" i="25" s="1"/>
  <c r="I28" i="25"/>
  <c r="T28" i="25" s="1"/>
  <c r="I43" i="25"/>
  <c r="T43" i="25" s="1"/>
  <c r="I40" i="25"/>
  <c r="T40" i="25" s="1"/>
  <c r="I36" i="25"/>
  <c r="T36" i="25" s="1"/>
  <c r="I48" i="25"/>
  <c r="T48" i="25" s="1"/>
  <c r="I37" i="25"/>
  <c r="T37" i="25" s="1"/>
  <c r="I42" i="25"/>
  <c r="T42" i="25" s="1"/>
  <c r="I50" i="25"/>
  <c r="T50" i="25" s="1"/>
  <c r="J30" i="25"/>
  <c r="G221" i="25" s="1"/>
  <c r="H221" i="25" s="1"/>
  <c r="J221" i="25" s="1"/>
  <c r="M221" i="25" s="1"/>
  <c r="T29" i="25" l="1"/>
  <c r="O25" i="25"/>
  <c r="P25" i="25" s="1"/>
  <c r="L25" i="25" a="1"/>
  <c r="L25" i="25" s="1"/>
  <c r="H111" i="50" s="1"/>
  <c r="T25" i="25"/>
  <c r="L33" i="25" a="1"/>
  <c r="L33" i="25" s="1"/>
  <c r="H133" i="50" s="1"/>
  <c r="J43" i="25"/>
  <c r="G234" i="25" s="1"/>
  <c r="H234" i="25" s="1"/>
  <c r="J234" i="25" s="1"/>
  <c r="M234" i="25" s="1"/>
  <c r="J49" i="25"/>
  <c r="G240" i="25" s="1"/>
  <c r="H240" i="25" s="1"/>
  <c r="J240" i="25" s="1"/>
  <c r="P240" i="25" s="1"/>
  <c r="J51" i="25"/>
  <c r="G242" i="25" s="1"/>
  <c r="H242" i="25" s="1"/>
  <c r="J242" i="25" s="1"/>
  <c r="M242" i="25" s="1"/>
  <c r="J33" i="25"/>
  <c r="G224" i="25" s="1"/>
  <c r="H224" i="25" s="1"/>
  <c r="J224" i="25" s="1"/>
  <c r="P224" i="25" s="1"/>
  <c r="J56" i="25"/>
  <c r="G247" i="25" s="1"/>
  <c r="H247" i="25" s="1"/>
  <c r="J247" i="25" s="1"/>
  <c r="M247" i="25" s="1"/>
  <c r="J41" i="25"/>
  <c r="G232" i="25" s="1"/>
  <c r="H232" i="25" s="1"/>
  <c r="J232" i="25" s="1"/>
  <c r="P232" i="25" s="1"/>
  <c r="J45" i="25"/>
  <c r="G236" i="25" s="1"/>
  <c r="H236" i="25" s="1"/>
  <c r="J236" i="25" s="1"/>
  <c r="P236" i="25" s="1"/>
  <c r="J25" i="25"/>
  <c r="G216" i="25" s="1"/>
  <c r="H216" i="25" s="1"/>
  <c r="J216" i="25" s="1"/>
  <c r="M216" i="25" s="1"/>
  <c r="J29" i="25"/>
  <c r="G220" i="25" s="1"/>
  <c r="H220" i="25" s="1"/>
  <c r="J220" i="25" s="1"/>
  <c r="M220" i="25" s="1"/>
  <c r="J50" i="25"/>
  <c r="G241" i="25" s="1"/>
  <c r="H241" i="25" s="1"/>
  <c r="J241" i="25" s="1"/>
  <c r="P241" i="25" s="1"/>
  <c r="J44" i="25"/>
  <c r="G235" i="25" s="1"/>
  <c r="H235" i="25" s="1"/>
  <c r="J235" i="25" s="1"/>
  <c r="P235" i="25" s="1"/>
  <c r="O43" i="25"/>
  <c r="P43" i="25" s="1"/>
  <c r="J52" i="25"/>
  <c r="G243" i="25" s="1"/>
  <c r="H243" i="25" s="1"/>
  <c r="J243" i="25" s="1"/>
  <c r="P243" i="25" s="1"/>
  <c r="J35" i="25"/>
  <c r="G226" i="25" s="1"/>
  <c r="H226" i="25" s="1"/>
  <c r="J226" i="25" s="1"/>
  <c r="P226" i="25" s="1"/>
  <c r="J48" i="25"/>
  <c r="G239" i="25" s="1"/>
  <c r="H239" i="25" s="1"/>
  <c r="J239" i="25" s="1"/>
  <c r="M239" i="25" s="1"/>
  <c r="J36" i="25"/>
  <c r="G227" i="25" s="1"/>
  <c r="H227" i="25" s="1"/>
  <c r="J227" i="25" s="1"/>
  <c r="M227" i="25" s="1"/>
  <c r="J34" i="25"/>
  <c r="G225" i="25" s="1"/>
  <c r="H225" i="25" s="1"/>
  <c r="J225" i="25" s="1"/>
  <c r="P225" i="25" s="1"/>
  <c r="J40" i="25"/>
  <c r="G231" i="25" s="1"/>
  <c r="H231" i="25" s="1"/>
  <c r="J231" i="25" s="1"/>
  <c r="P231" i="25" s="1"/>
  <c r="O26" i="25"/>
  <c r="P26" i="25" s="1"/>
  <c r="J32" i="25"/>
  <c r="G223" i="25" s="1"/>
  <c r="H223" i="25" s="1"/>
  <c r="J223" i="25" s="1"/>
  <c r="M223" i="25" s="1"/>
  <c r="J39" i="25"/>
  <c r="G230" i="25" s="1"/>
  <c r="H230" i="25" s="1"/>
  <c r="J230" i="25" s="1"/>
  <c r="P230" i="25" s="1"/>
  <c r="E180" i="25"/>
  <c r="O28" i="25"/>
  <c r="P28" i="25" s="1"/>
  <c r="J55" i="25"/>
  <c r="G246" i="25" s="1"/>
  <c r="H246" i="25" s="1"/>
  <c r="J246" i="25" s="1"/>
  <c r="M246" i="25" s="1"/>
  <c r="O51" i="25"/>
  <c r="P51" i="25" s="1"/>
  <c r="O27" i="25"/>
  <c r="P27" i="25" s="1"/>
  <c r="O44" i="25"/>
  <c r="P44" i="25" s="1"/>
  <c r="J54" i="25"/>
  <c r="G245" i="25" s="1"/>
  <c r="H245" i="25" s="1"/>
  <c r="J245" i="25" s="1"/>
  <c r="O50" i="25"/>
  <c r="P50" i="25" s="1"/>
  <c r="J37" i="25"/>
  <c r="G228" i="25" s="1"/>
  <c r="H228" i="25" s="1"/>
  <c r="J228" i="25" s="1"/>
  <c r="P228" i="25" s="1"/>
  <c r="O33" i="25"/>
  <c r="P33" i="25" s="1"/>
  <c r="J46" i="25"/>
  <c r="G237" i="25" s="1"/>
  <c r="H237" i="25" s="1"/>
  <c r="J237" i="25" s="1"/>
  <c r="M237" i="25" s="1"/>
  <c r="O42" i="25"/>
  <c r="P42" i="25" s="1"/>
  <c r="O41" i="25"/>
  <c r="P41" i="25" s="1"/>
  <c r="O36" i="25"/>
  <c r="P36" i="25" s="1"/>
  <c r="O35" i="25"/>
  <c r="P35" i="25" s="1"/>
  <c r="O52" i="25"/>
  <c r="P52" i="25" s="1"/>
  <c r="F180" i="25"/>
  <c r="J53" i="25"/>
  <c r="G244" i="25" s="1"/>
  <c r="H244" i="25" s="1"/>
  <c r="J244" i="25" s="1"/>
  <c r="P244" i="25" s="1"/>
  <c r="O49" i="25"/>
  <c r="P49" i="25" s="1"/>
  <c r="L37" i="25" a="1"/>
  <c r="L37" i="25" s="1"/>
  <c r="O34" i="25"/>
  <c r="P34" i="25" s="1"/>
  <c r="L49" i="25" a="1"/>
  <c r="L49" i="25" s="1"/>
  <c r="Q182" i="25"/>
  <c r="Y182" i="25"/>
  <c r="AB182" i="25"/>
  <c r="J182" i="25"/>
  <c r="L53" i="25" a="1"/>
  <c r="L53" i="25" s="1"/>
  <c r="S180" i="25"/>
  <c r="J38" i="25"/>
  <c r="G229" i="25" s="1"/>
  <c r="H229" i="25" s="1"/>
  <c r="J229" i="25" s="1"/>
  <c r="AJ182" i="25"/>
  <c r="J28" i="25"/>
  <c r="G219" i="25" s="1"/>
  <c r="H219" i="25" s="1"/>
  <c r="J219" i="25" s="1"/>
  <c r="K182" i="25"/>
  <c r="M182" i="25"/>
  <c r="S182" i="25"/>
  <c r="AA180" i="25"/>
  <c r="AJ180" i="25"/>
  <c r="AG180" i="25"/>
  <c r="AG182" i="25"/>
  <c r="U180" i="25"/>
  <c r="L180" i="25"/>
  <c r="H180" i="25"/>
  <c r="L182" i="25"/>
  <c r="V180" i="25"/>
  <c r="I180" i="25"/>
  <c r="Z182" i="25"/>
  <c r="X180" i="25"/>
  <c r="AI182" i="25"/>
  <c r="X182" i="25"/>
  <c r="J31" i="25"/>
  <c r="G222" i="25" s="1"/>
  <c r="H222" i="25" s="1"/>
  <c r="J222" i="25" s="1"/>
  <c r="M222" i="25" s="1"/>
  <c r="F182" i="25"/>
  <c r="N180" i="25"/>
  <c r="O182" i="25"/>
  <c r="Z180" i="25"/>
  <c r="M180" i="25"/>
  <c r="AF182" i="25"/>
  <c r="AH182" i="25"/>
  <c r="E182" i="25"/>
  <c r="L29" i="25" a="1"/>
  <c r="L29" i="25" s="1"/>
  <c r="L41" i="25" a="1"/>
  <c r="L41" i="25" s="1"/>
  <c r="H144" i="50" s="1"/>
  <c r="J42" i="25"/>
  <c r="G233" i="25" s="1"/>
  <c r="H233" i="25" s="1"/>
  <c r="J233" i="25" s="1"/>
  <c r="M233" i="25" s="1"/>
  <c r="W180" i="25"/>
  <c r="AD180" i="25"/>
  <c r="R182" i="25"/>
  <c r="W182" i="25"/>
  <c r="AB180" i="25"/>
  <c r="AH180" i="25"/>
  <c r="AC182" i="25"/>
  <c r="AC180" i="25"/>
  <c r="J180" i="25"/>
  <c r="O180" i="25"/>
  <c r="P182" i="25"/>
  <c r="G180" i="25"/>
  <c r="G182" i="25"/>
  <c r="Y180" i="25"/>
  <c r="U182" i="25"/>
  <c r="L45" i="25" a="1"/>
  <c r="L45" i="25" s="1"/>
  <c r="J27" i="25"/>
  <c r="G218" i="25" s="1"/>
  <c r="H218" i="25" s="1"/>
  <c r="J218" i="25" s="1"/>
  <c r="P218" i="25" s="1"/>
  <c r="J47" i="25"/>
  <c r="G238" i="25" s="1"/>
  <c r="H238" i="25" s="1"/>
  <c r="J238" i="25" s="1"/>
  <c r="P238" i="25" s="1"/>
  <c r="AI180" i="25"/>
  <c r="T182" i="25"/>
  <c r="AF180" i="25"/>
  <c r="H182" i="25"/>
  <c r="K180" i="25"/>
  <c r="R180" i="25"/>
  <c r="AA182" i="25"/>
  <c r="N182" i="25"/>
  <c r="AE180" i="25"/>
  <c r="T180" i="25"/>
  <c r="V182" i="25"/>
  <c r="AE182" i="25"/>
  <c r="I182" i="25"/>
  <c r="AD182" i="25"/>
  <c r="P180" i="25"/>
  <c r="Q180" i="25"/>
  <c r="J26" i="25"/>
  <c r="G217" i="25" s="1"/>
  <c r="H217" i="25" s="1"/>
  <c r="J217" i="25" s="1"/>
  <c r="P221" i="25"/>
  <c r="R221" i="25" s="1"/>
  <c r="M67" i="52" l="1"/>
  <c r="E67" i="52" s="1" a="1"/>
  <c r="E67" i="52" s="1"/>
  <c r="G67" i="52" s="1"/>
  <c r="H150" i="50"/>
  <c r="H183" i="50"/>
  <c r="O183" i="50"/>
  <c r="O150" i="50"/>
  <c r="H112" i="50"/>
  <c r="H113" i="50"/>
  <c r="H114" i="50"/>
  <c r="H115" i="50"/>
  <c r="H130" i="50"/>
  <c r="H131" i="50"/>
  <c r="H132" i="50"/>
  <c r="M78" i="52"/>
  <c r="E78" i="52" s="1" a="1"/>
  <c r="E78" i="52" s="1"/>
  <c r="H139" i="50"/>
  <c r="H138" i="50"/>
  <c r="H124" i="50"/>
  <c r="H121" i="50"/>
  <c r="H123" i="50"/>
  <c r="H125" i="50"/>
  <c r="H122" i="50"/>
  <c r="H120" i="50"/>
  <c r="O172" i="50"/>
  <c r="H172" i="50"/>
  <c r="M240" i="25"/>
  <c r="R240" i="25" s="1"/>
  <c r="P234" i="25"/>
  <c r="R234" i="25" s="1"/>
  <c r="P247" i="25"/>
  <c r="R247" i="25" s="1"/>
  <c r="M224" i="25"/>
  <c r="R224" i="25" s="1"/>
  <c r="P242" i="25"/>
  <c r="R242" i="25" s="1"/>
  <c r="M232" i="25"/>
  <c r="R232" i="25" s="1"/>
  <c r="M236" i="25"/>
  <c r="R236" i="25" s="1"/>
  <c r="M230" i="25"/>
  <c r="R230" i="25" s="1"/>
  <c r="P220" i="25"/>
  <c r="R220" i="25" s="1"/>
  <c r="M225" i="25"/>
  <c r="R225" i="25" s="1"/>
  <c r="P216" i="25"/>
  <c r="R216" i="25" s="1"/>
  <c r="M241" i="25"/>
  <c r="R241" i="25" s="1"/>
  <c r="M243" i="25"/>
  <c r="R243" i="25" s="1"/>
  <c r="M226" i="25"/>
  <c r="R226" i="25" s="1"/>
  <c r="M244" i="25"/>
  <c r="R244" i="25" s="1"/>
  <c r="P246" i="25"/>
  <c r="R246" i="25" s="1"/>
  <c r="P227" i="25"/>
  <c r="R227" i="25" s="1"/>
  <c r="M235" i="25"/>
  <c r="R235" i="25" s="1"/>
  <c r="P239" i="25"/>
  <c r="R239" i="25" s="1"/>
  <c r="P237" i="25"/>
  <c r="R237" i="25" s="1"/>
  <c r="M218" i="25"/>
  <c r="R218" i="25" s="1"/>
  <c r="M231" i="25"/>
  <c r="R231" i="25" s="1"/>
  <c r="P223" i="25"/>
  <c r="R223" i="25" s="1"/>
  <c r="P222" i="25"/>
  <c r="R222" i="25" s="1"/>
  <c r="J253" i="25"/>
  <c r="P233" i="25"/>
  <c r="R233" i="25" s="1"/>
  <c r="J252" i="25"/>
  <c r="M245" i="25"/>
  <c r="P245" i="25"/>
  <c r="J251" i="25"/>
  <c r="J250" i="25"/>
  <c r="M228" i="25"/>
  <c r="R228" i="25" s="1"/>
  <c r="M238" i="25"/>
  <c r="R238" i="25" s="1"/>
  <c r="M219" i="25"/>
  <c r="P219" i="25"/>
  <c r="M229" i="25"/>
  <c r="P229" i="25"/>
  <c r="P217" i="25"/>
  <c r="M217" i="25"/>
  <c r="F67" i="52" l="1"/>
  <c r="L111" i="52"/>
  <c r="M56" i="52"/>
  <c r="M66" i="52"/>
  <c r="E66" i="52" s="1" a="1"/>
  <c r="E66" i="52" s="1"/>
  <c r="L110" i="52" s="1"/>
  <c r="M47" i="52"/>
  <c r="E47" i="52" s="1" a="1"/>
  <c r="E47" i="52" s="1"/>
  <c r="E91" i="52" s="1"/>
  <c r="M59" i="52"/>
  <c r="M46" i="52"/>
  <c r="E46" i="52" s="1" a="1"/>
  <c r="E46" i="52" s="1"/>
  <c r="E90" i="52" s="1"/>
  <c r="M65" i="52"/>
  <c r="E65" i="52" s="1" a="1"/>
  <c r="E65" i="52" s="1"/>
  <c r="L109" i="52" s="1"/>
  <c r="M55" i="52"/>
  <c r="H67" i="52"/>
  <c r="E111" i="52"/>
  <c r="M48" i="52"/>
  <c r="E48" i="52" s="1" a="1"/>
  <c r="E48" i="52" s="1"/>
  <c r="F48" i="52" s="1"/>
  <c r="M57" i="52"/>
  <c r="E57" i="52" s="1" a="1"/>
  <c r="E57" i="52" s="1"/>
  <c r="L101" i="52" s="1"/>
  <c r="N101" i="52" s="1"/>
  <c r="M58" i="52"/>
  <c r="M49" i="52"/>
  <c r="E49" i="52" s="1" a="1"/>
  <c r="E49" i="52" s="1"/>
  <c r="E93" i="52" s="1"/>
  <c r="M64" i="52"/>
  <c r="E64" i="52" s="1" a="1"/>
  <c r="E64" i="52" s="1"/>
  <c r="L108" i="52" s="1"/>
  <c r="O169" i="50"/>
  <c r="H169" i="50"/>
  <c r="M72" i="52"/>
  <c r="E72" i="52" s="1" a="1"/>
  <c r="E72" i="52" s="1"/>
  <c r="E116" i="52" s="1"/>
  <c r="H177" i="50"/>
  <c r="O177" i="50"/>
  <c r="M73" i="52"/>
  <c r="E73" i="52" s="1" a="1"/>
  <c r="E73" i="52" s="1"/>
  <c r="L117" i="52" s="1"/>
  <c r="O178" i="50"/>
  <c r="H178" i="50"/>
  <c r="M54" i="52"/>
  <c r="H159" i="50"/>
  <c r="O159" i="50"/>
  <c r="E122" i="52"/>
  <c r="L122" i="52"/>
  <c r="P111" i="52"/>
  <c r="N111" i="52"/>
  <c r="L90" i="52"/>
  <c r="P90" i="52" s="1"/>
  <c r="M45" i="52"/>
  <c r="L93" i="52"/>
  <c r="E56" i="52" a="1"/>
  <c r="E56" i="52" s="1"/>
  <c r="L100" i="52" s="1"/>
  <c r="P101" i="52"/>
  <c r="F78" i="52"/>
  <c r="G78" i="52"/>
  <c r="H78" i="52"/>
  <c r="H57" i="52"/>
  <c r="G57" i="52"/>
  <c r="F57" i="52"/>
  <c r="E101" i="52"/>
  <c r="H46" i="52"/>
  <c r="G46" i="52"/>
  <c r="F47" i="52"/>
  <c r="G47" i="52"/>
  <c r="H47" i="52"/>
  <c r="H49" i="52"/>
  <c r="G49" i="52"/>
  <c r="F49" i="52"/>
  <c r="H111" i="52"/>
  <c r="G111" i="52"/>
  <c r="F111" i="52"/>
  <c r="H170" i="50"/>
  <c r="O170" i="50"/>
  <c r="H171" i="50"/>
  <c r="O171" i="50"/>
  <c r="O161" i="50"/>
  <c r="H161" i="50"/>
  <c r="O153" i="50"/>
  <c r="H153" i="50"/>
  <c r="H164" i="50"/>
  <c r="O164" i="50"/>
  <c r="H151" i="50"/>
  <c r="O151" i="50"/>
  <c r="O162" i="50"/>
  <c r="H162" i="50"/>
  <c r="H152" i="50"/>
  <c r="O152" i="50"/>
  <c r="H160" i="50"/>
  <c r="O160" i="50"/>
  <c r="O154" i="50"/>
  <c r="H154" i="50"/>
  <c r="H163" i="50"/>
  <c r="O163" i="50"/>
  <c r="M253" i="25"/>
  <c r="P252" i="25"/>
  <c r="P250" i="25"/>
  <c r="R245" i="25"/>
  <c r="R253" i="25" s="1"/>
  <c r="P253" i="25"/>
  <c r="M252" i="25"/>
  <c r="M250" i="25"/>
  <c r="J254" i="25"/>
  <c r="M251" i="25"/>
  <c r="R229" i="25"/>
  <c r="R251" i="25" s="1"/>
  <c r="P251" i="25"/>
  <c r="R219" i="25"/>
  <c r="R217" i="25"/>
  <c r="R252" i="25"/>
  <c r="L92" i="52" l="1"/>
  <c r="G66" i="52"/>
  <c r="F46" i="52"/>
  <c r="H48" i="52"/>
  <c r="E92" i="52"/>
  <c r="E59" i="52" a="1"/>
  <c r="E59" i="52" s="1"/>
  <c r="G48" i="52"/>
  <c r="E55" i="52" a="1"/>
  <c r="E55" i="52" s="1"/>
  <c r="L99" i="52" s="1"/>
  <c r="F65" i="52"/>
  <c r="E109" i="52"/>
  <c r="G65" i="52"/>
  <c r="H65" i="52"/>
  <c r="E110" i="52"/>
  <c r="G110" i="52" s="1"/>
  <c r="F66" i="52"/>
  <c r="H66" i="52"/>
  <c r="L91" i="52"/>
  <c r="P91" i="52" s="1"/>
  <c r="E58" i="52" a="1"/>
  <c r="E58" i="52" s="1"/>
  <c r="L102" i="52" s="1"/>
  <c r="G64" i="52"/>
  <c r="E54" i="52" a="1"/>
  <c r="E54" i="52" s="1"/>
  <c r="L98" i="52" s="1"/>
  <c r="H64" i="52"/>
  <c r="F64" i="52"/>
  <c r="H73" i="52"/>
  <c r="G72" i="52"/>
  <c r="H72" i="52"/>
  <c r="F72" i="52"/>
  <c r="F73" i="52"/>
  <c r="G73" i="52"/>
  <c r="E108" i="52"/>
  <c r="H108" i="52" s="1"/>
  <c r="E117" i="52"/>
  <c r="F117" i="52" s="1"/>
  <c r="L116" i="52"/>
  <c r="P116" i="52" s="1"/>
  <c r="E45" i="52" a="1"/>
  <c r="E45" i="52" s="1"/>
  <c r="H45" i="52" s="1"/>
  <c r="N91" i="52"/>
  <c r="N90" i="52"/>
  <c r="P122" i="52"/>
  <c r="N122" i="52"/>
  <c r="N117" i="52"/>
  <c r="P117" i="52"/>
  <c r="N93" i="52"/>
  <c r="P93" i="52"/>
  <c r="P108" i="52"/>
  <c r="N108" i="52"/>
  <c r="L103" i="52"/>
  <c r="N103" i="52" s="1"/>
  <c r="E103" i="52"/>
  <c r="G103" i="52" s="1"/>
  <c r="F56" i="52"/>
  <c r="G56" i="52"/>
  <c r="E99" i="52"/>
  <c r="H99" i="52" s="1"/>
  <c r="F55" i="52"/>
  <c r="G55" i="52"/>
  <c r="H55" i="52"/>
  <c r="H59" i="52"/>
  <c r="G59" i="52"/>
  <c r="F59" i="52"/>
  <c r="E100" i="52"/>
  <c r="H100" i="52" s="1"/>
  <c r="H56" i="52"/>
  <c r="P100" i="52"/>
  <c r="N100" i="52"/>
  <c r="P92" i="52"/>
  <c r="N92" i="52"/>
  <c r="N102" i="52"/>
  <c r="P102" i="52"/>
  <c r="N109" i="52"/>
  <c r="P109" i="52"/>
  <c r="P99" i="52"/>
  <c r="N99" i="52"/>
  <c r="N110" i="52"/>
  <c r="P110" i="52"/>
  <c r="G116" i="52"/>
  <c r="F116" i="52"/>
  <c r="H116" i="52"/>
  <c r="F93" i="52"/>
  <c r="G93" i="52"/>
  <c r="H93" i="52"/>
  <c r="H91" i="52"/>
  <c r="G91" i="52"/>
  <c r="F91" i="52"/>
  <c r="H101" i="52"/>
  <c r="G101" i="52"/>
  <c r="F101" i="52"/>
  <c r="H109" i="52"/>
  <c r="G109" i="52"/>
  <c r="F109" i="52"/>
  <c r="H92" i="52"/>
  <c r="G92" i="52"/>
  <c r="F92" i="52"/>
  <c r="G122" i="52"/>
  <c r="H122" i="52"/>
  <c r="F122" i="52"/>
  <c r="H90" i="52"/>
  <c r="F90" i="52"/>
  <c r="G90" i="52"/>
  <c r="P254" i="25"/>
  <c r="M254" i="25"/>
  <c r="R250" i="25"/>
  <c r="R254" i="25" s="1"/>
  <c r="G58" i="52" l="1"/>
  <c r="F58" i="52"/>
  <c r="H110" i="52"/>
  <c r="F110" i="52"/>
  <c r="H58" i="52"/>
  <c r="E102" i="52"/>
  <c r="H102" i="52" s="1"/>
  <c r="H54" i="52"/>
  <c r="F54" i="52"/>
  <c r="G54" i="52"/>
  <c r="E98" i="52"/>
  <c r="F98" i="52" s="1"/>
  <c r="F108" i="52"/>
  <c r="G108" i="52"/>
  <c r="G117" i="52"/>
  <c r="H117" i="52"/>
  <c r="N116" i="52"/>
  <c r="P103" i="52"/>
  <c r="G45" i="52"/>
  <c r="E89" i="52"/>
  <c r="H89" i="52" s="1"/>
  <c r="L89" i="52"/>
  <c r="P89" i="52" s="1"/>
  <c r="F45" i="52"/>
  <c r="P98" i="52"/>
  <c r="N98" i="52"/>
  <c r="H103" i="52"/>
  <c r="F99" i="52"/>
  <c r="G99" i="52"/>
  <c r="F103" i="52"/>
  <c r="F100" i="52"/>
  <c r="G100" i="52"/>
  <c r="F102" i="52"/>
  <c r="G102" i="52" l="1"/>
  <c r="H98" i="52"/>
  <c r="G98" i="52"/>
  <c r="F89" i="52"/>
  <c r="N89" i="52"/>
  <c r="G8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Gregory McLennan</author>
  </authors>
  <commentList>
    <comment ref="H28" authorId="0" shapeId="0" xr:uid="{28C6C420-B730-4410-9EB2-9B2AB8B6ABDB}">
      <text>
        <r>
          <rPr>
            <sz val="9"/>
            <color indexed="81"/>
            <rFont val="Tahoma"/>
            <family val="2"/>
          </rPr>
          <t xml:space="preserve">Note: own price elasticity estimates assume all public transport prices are changed by the same amount
</t>
        </r>
      </text>
    </comment>
    <comment ref="F68" authorId="0" shapeId="0" xr:uid="{824B6834-452A-472B-B702-0DF084417B0F}">
      <text>
        <r>
          <rPr>
            <b/>
            <sz val="9"/>
            <color indexed="81"/>
            <rFont val="Tahoma"/>
            <family val="2"/>
          </rPr>
          <t>IPART:</t>
        </r>
        <r>
          <rPr>
            <sz val="9"/>
            <color indexed="81"/>
            <rFont val="Tahoma"/>
            <family val="2"/>
          </rPr>
          <t xml:space="preserve">
For every dollar of GST paid by a taxpayer in NSW, approximately 31 cents is returned by the 
Commonwealth to the NSW Government, implying that 69 cents “leaks.” The factor μ
represents that leakage as a proportion of the GST-inclusive selling price of the relevant service: 
μ = 69%/11.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<sst xmlns="http://schemas.openxmlformats.org/spreadsheetml/2006/main" count="68629" uniqueCount="1532">
  <si>
    <t>Key outputs</t>
  </si>
  <si>
    <t>User Instructions - IPART CHARTS</t>
  </si>
  <si>
    <t>Blue</t>
  </si>
  <si>
    <t>X value</t>
  </si>
  <si>
    <t>1st Y value</t>
  </si>
  <si>
    <t>2nd Y value</t>
  </si>
  <si>
    <t>1975-76</t>
  </si>
  <si>
    <t>1983-84</t>
  </si>
  <si>
    <t>1988-89</t>
  </si>
  <si>
    <t>1993-94</t>
  </si>
  <si>
    <t>1996-97</t>
  </si>
  <si>
    <t>1997-98</t>
  </si>
  <si>
    <t>1998-99</t>
  </si>
  <si>
    <t>1999-00</t>
  </si>
  <si>
    <r>
      <t>–</t>
    </r>
    <r>
      <rPr>
        <sz val="10"/>
        <rFont val="Arial"/>
        <family val="2"/>
      </rPr>
      <t xml:space="preserve">  en rule for when needed</t>
    </r>
  </si>
  <si>
    <t>Item no.</t>
  </si>
  <si>
    <t>Category</t>
  </si>
  <si>
    <t>QA signoff</t>
  </si>
  <si>
    <t>Description of changes:</t>
  </si>
  <si>
    <t>Worksheet:</t>
  </si>
  <si>
    <t>Made by:</t>
  </si>
  <si>
    <t>Date</t>
  </si>
  <si>
    <t>Notes</t>
  </si>
  <si>
    <t>SIGNIFICANT STRUCTURAL CHANGES MADE IN THIS VERSION</t>
  </si>
  <si>
    <t>OTHER CHANGES</t>
  </si>
  <si>
    <t>CORRECTIONS TO BE MADE AFTER next date (next step)</t>
  </si>
  <si>
    <t>ALTERATIONS TO BE MADE AFTER       Next date  (next step)</t>
  </si>
  <si>
    <t xml:space="preserve">File name(s):  </t>
  </si>
  <si>
    <t>Name of model</t>
  </si>
  <si>
    <t>&lt;not required for simple spreadsheets if the file name is sufficiently descriptive&gt;</t>
  </si>
  <si>
    <t>Name of modeller</t>
  </si>
  <si>
    <t>The modeller provides a concise summary of the model's purpose(s)</t>
  </si>
  <si>
    <t>&lt;add or delete rows as required&gt;</t>
  </si>
  <si>
    <t xml:space="preserve">DETAILS OF ISSUES FOUND IN THE QA </t>
  </si>
  <si>
    <t>Date checked (Month and Year)</t>
  </si>
  <si>
    <t>What is the issue?</t>
  </si>
  <si>
    <t xml:space="preserve">Where in model? </t>
  </si>
  <si>
    <t>Where … continued (optional)</t>
  </si>
  <si>
    <t>Required only if QA is staggered over along period</t>
  </si>
  <si>
    <t>Select the type of issue from the drop-down box (see notes in column N)</t>
  </si>
  <si>
    <t>Changed / not changed &amp; reason</t>
  </si>
  <si>
    <t>Categories for drop-down box.  DO NOT DELETE</t>
  </si>
  <si>
    <t>Notes on when to use the categories</t>
  </si>
  <si>
    <t>END OF LOG</t>
  </si>
  <si>
    <t>IF A LONGER LOG IS REQUIRED, INSERT NEW ROWS ABOVE ITEM 29 AND REDO THE NUMBERING</t>
  </si>
  <si>
    <t>Journal of structural changes made to model/spreadsheet</t>
  </si>
  <si>
    <t>This journal is for spreadsheets that are developed from an existing spreadsheet that has already been QA'd.</t>
  </si>
  <si>
    <t>Please paste the name of the updated version in the box below (file name)</t>
  </si>
  <si>
    <t>&lt;Enter file name here&gt;</t>
  </si>
  <si>
    <t>MODELLER:</t>
  </si>
  <si>
    <t>email</t>
  </si>
  <si>
    <t>WHAT IS THE PURPOSE OF MODEL?</t>
  </si>
  <si>
    <t>COLOUR CODE  &lt;Required for all models/spreadsheets. See 'Examples' for the full list of potential colour codes&gt;</t>
  </si>
  <si>
    <t>This model uses standard IPART colour coding:</t>
  </si>
  <si>
    <t>Blue cells indicate inputs</t>
  </si>
  <si>
    <t>Light blue cells indicate inputs with default values</t>
  </si>
  <si>
    <r>
      <t xml:space="preserve">default values are shown in </t>
    </r>
    <r>
      <rPr>
        <i/>
        <sz val="9"/>
        <rFont val="Arial"/>
        <family val="2"/>
      </rPr>
      <t>italics</t>
    </r>
    <r>
      <rPr>
        <sz val="9"/>
        <rFont val="Arial"/>
        <family val="2"/>
      </rPr>
      <t xml:space="preserve"> next to or below the light blue cells</t>
    </r>
  </si>
  <si>
    <t>Blue font indicates IPART hard-coded values used that should not be changed</t>
  </si>
  <si>
    <t>Pink font indicates calculation checks</t>
  </si>
  <si>
    <t>Red indicates assumptions made in calculations</t>
  </si>
  <si>
    <t>Review that the QA is for</t>
  </si>
  <si>
    <t>Planned date of QA:</t>
  </si>
  <si>
    <t>Logic checks</t>
  </si>
  <si>
    <t>Input checks</t>
  </si>
  <si>
    <t>–     Nominal or real</t>
  </si>
  <si>
    <t>–     Including or excluding GST</t>
  </si>
  <si>
    <t xml:space="preserve">The model has been structured and colour coded in accordance with IPART’s modelling standards  </t>
  </si>
  <si>
    <t>The QAer can easily identify the parts of the model that need to be checked</t>
  </si>
  <si>
    <t>Yes</t>
  </si>
  <si>
    <t xml:space="preserve">No </t>
  </si>
  <si>
    <t>NA</t>
  </si>
  <si>
    <t>Select an option</t>
  </si>
  <si>
    <t>DO NOT DELETE</t>
  </si>
  <si>
    <t>1. PURPOSE OF MODEL</t>
  </si>
  <si>
    <t>2.3 Detailed scope of QA</t>
  </si>
  <si>
    <t>–     Has the Regulatory Asset Base (RAB) been rolled forward correctly?</t>
  </si>
  <si>
    <t>–     Has a real weighted average cost of capital (WACC) correctly been applied to the RAB?</t>
  </si>
  <si>
    <t>–     Are timing assumptions consistent with IPART's Cash Flow assumptions?</t>
  </si>
  <si>
    <t>–     Is the treatment of asset disposals consistent with IPART’s most current policy?</t>
  </si>
  <si>
    <t>–     Has the tax allowance been calculated using IPART’s most current methodology?</t>
  </si>
  <si>
    <t>–     Have the financial ratios been calculated using IPART’s most current methodology?</t>
  </si>
  <si>
    <t>The modeller provides information about the context of the QA and the scope of work.</t>
  </si>
  <si>
    <t>2.2 The scope of the QA is to check</t>
  </si>
  <si>
    <t>2. CONTEXT AND SCOPE OF QA</t>
  </si>
  <si>
    <t>(iii)</t>
  </si>
  <si>
    <t>(ii)</t>
  </si>
  <si>
    <t xml:space="preserve">(i) </t>
  </si>
  <si>
    <t>Specify clearly*</t>
  </si>
  <si>
    <t>* If the model contains a detailed journal of changes, you may refer to the journal.</t>
  </si>
  <si>
    <t>2.1 The model/spreadsheet is for (context)</t>
  </si>
  <si>
    <t>–     Is the treatment of cash and non-cash capital contributions consistent with IPART’s most current policy?</t>
  </si>
  <si>
    <t>The model inputs reflect Tribunal decisions or information from the source documents</t>
  </si>
  <si>
    <t>Red double line means formula changes across row</t>
  </si>
  <si>
    <t>Grey</t>
  </si>
  <si>
    <t>Turquoise</t>
  </si>
  <si>
    <t>Grey-80%</t>
  </si>
  <si>
    <t>Data 1</t>
  </si>
  <si>
    <t>Data 2</t>
  </si>
  <si>
    <t>Data 3</t>
  </si>
  <si>
    <t>Data 4</t>
  </si>
  <si>
    <t>Data 5</t>
  </si>
  <si>
    <t>Data 6</t>
  </si>
  <si>
    <t>Data 7</t>
  </si>
  <si>
    <t>Data 8</t>
  </si>
  <si>
    <t>Risk rating for the review:</t>
  </si>
  <si>
    <t>select</t>
  </si>
  <si>
    <t>Note: low risk models do not require independent QA, however the modeller should indicate in section 2.3 what steps have been taken to ensure accuracy of results.</t>
  </si>
  <si>
    <t>2.3 Detailed scope of QA.</t>
  </si>
  <si>
    <t>For high risk QAs, the scope will usually include a comprehensive logic and input check. For medium risk QAs, the modeller should indicate areas of the model that require attention.</t>
  </si>
  <si>
    <t>what is to be checked (e.g. ‘check changes in the calculation of: the tax allowance; sewerage charges and;  bills’)</t>
  </si>
  <si>
    <t>how to identify the areas that need to be checked (e.g. ‘check all calculations highlighted in green on the following worksheets: …’), and</t>
  </si>
  <si>
    <t>any specific areas of logic or inputs that you need particular assurance on (e.g. ‘check that the rolled forward RAB is correctly indexed’)</t>
  </si>
  <si>
    <t>3. QA CHECK LIST</t>
  </si>
  <si>
    <t>3.1 Pre-QA check list (for both medium and high risk QAs)</t>
  </si>
  <si>
    <t>–     Units e.g. $m, $’000, $ or cents, kL, MWh, GJ, etc</t>
  </si>
  <si>
    <t>High</t>
  </si>
  <si>
    <t>Medium</t>
  </si>
  <si>
    <t>Low</t>
  </si>
  <si>
    <t>The source documents (or references) have all been located and provided to the QAer/s</t>
  </si>
  <si>
    <r>
      <t xml:space="preserve">3.2 Additional check list for </t>
    </r>
    <r>
      <rPr>
        <b/>
        <u/>
        <sz val="9"/>
        <rFont val="Arial"/>
        <family val="2"/>
      </rPr>
      <t>high risk QAs only</t>
    </r>
  </si>
  <si>
    <t>Has the QA scope been reviewed by the Chief Modeller? (Only applicable for external models and high risk price determinations)</t>
  </si>
  <si>
    <t>Modeller check</t>
  </si>
  <si>
    <t>QAer check</t>
  </si>
  <si>
    <t>–     Has the correct (e.g. most current) version of building block model logic been used?</t>
  </si>
  <si>
    <t>–     Have adequate error checks been built into the model?</t>
  </si>
  <si>
    <t>–     If the model is a support model for a review, does it use the same common inputs as the main model, e.g. WACC and inflation?</t>
  </si>
  <si>
    <t>4  INDUSTRY TEAM REMINDER – POST QA SIGN OFF IN CM9</t>
  </si>
  <si>
    <t>Has the QA been signed off via action tracking in CM9 by the QA analyst and Director?</t>
  </si>
  <si>
    <t>* provide details of requirements for "simplified duplication of analysis" and/or "sampling of inputs" in section 2.3 below.</t>
  </si>
  <si>
    <t>Is the model consistent with good modelling practice?</t>
  </si>
  <si>
    <t>Tables, inputs and outputs are clearly labelled, e.g.:</t>
  </si>
  <si>
    <t>The model inputs reflect Tribunal decisions or information from the source documents or related models</t>
  </si>
  <si>
    <t>3.2 QA check list (for RStudio scripts only)</t>
  </si>
  <si>
    <t>Code was rerun successfully; or an alternative calculation successfully replicated results</t>
  </si>
  <si>
    <t>Code is easy to follow, with comments highlighting different sections in code</t>
  </si>
  <si>
    <t>Variable names are easy to understand</t>
  </si>
  <si>
    <t>Test variables are used to check that data is not duplicated or excluded in error when joining data sources</t>
  </si>
  <si>
    <t>If this QA is an update to an existing RStudio script, changes are highlighted and easy to find (e.g. a text comparison tool is used to compare scripts before and after change)</t>
  </si>
  <si>
    <t>QAed by</t>
  </si>
  <si>
    <t>Responses by industry team /model developer (industry team should prioritise red cells, i.e. calculation or data errors)</t>
  </si>
  <si>
    <t>e.g. worksheet(s),  and rows/columns, or table numbers. May refer to highlighted areas in worksheet(s)</t>
  </si>
  <si>
    <r>
      <t xml:space="preserve">Optional 2nd column, e.g. with cell reference area in </t>
    </r>
    <r>
      <rPr>
        <sz val="9"/>
        <rFont val="Arial"/>
        <family val="2"/>
      </rPr>
      <t>(or link to) relevant worksheet</t>
    </r>
  </si>
  <si>
    <t>Calculation or data error</t>
  </si>
  <si>
    <t>The formula logical is flawed, contains a cell reference error or contains another error (e.g. bracket is in the wrong place), or there is a data input problem</t>
  </si>
  <si>
    <t>Documentation, formatting or structure</t>
  </si>
  <si>
    <t>Model is not structured efficiently, not consistent with IPART colour coding and formatting, or there is a labelling issue</t>
  </si>
  <si>
    <t>IPART colour codes for models, spreadsheets and information requests</t>
  </si>
  <si>
    <r>
      <t xml:space="preserve">NB </t>
    </r>
    <r>
      <rPr>
        <b/>
        <sz val="10"/>
        <rFont val="Arial"/>
        <family val="2"/>
      </rPr>
      <t xml:space="preserve"> ALWAYS DESCRIBE THE COLOUR CODE USED IN YOUR MODEL </t>
    </r>
  </si>
  <si>
    <t>Note: If you use the formats for the inputs provided in this template, input cells will always be unprotected even when you protect the worksheet</t>
  </si>
  <si>
    <t>use this column cell to "paint" input cells for numbers (NOT for percentages)</t>
  </si>
  <si>
    <t>use this column cell to "paint" input cells for percentages (NOT numbers)</t>
  </si>
  <si>
    <t>Models and spreadsheets</t>
  </si>
  <si>
    <t>numbers</t>
  </si>
  <si>
    <t>%</t>
  </si>
  <si>
    <t>Inputs</t>
  </si>
  <si>
    <t xml:space="preserve">Inputs with default values, default values are shown in italics next to or below </t>
  </si>
  <si>
    <t>Hard-coded values used that should not be changed, e.g. credit ratings or '1' at the start of an index series.</t>
  </si>
  <si>
    <t>Links from other files (green)</t>
  </si>
  <si>
    <t>Error check (check =0)</t>
  </si>
  <si>
    <t>Error warnings, messages and unusual calculation assumptions</t>
  </si>
  <si>
    <t>Indicate change in formula across row with a double red line</t>
  </si>
  <si>
    <t>Note:  You can combine options for inputs, e.g.:</t>
  </si>
  <si>
    <t xml:space="preserve">Inputs can be links to other files </t>
  </si>
  <si>
    <t xml:space="preserve">You can drawn attention to unusual inputs </t>
  </si>
  <si>
    <t>Information Requests</t>
  </si>
  <si>
    <t>Inputs for historical years (actual values)</t>
  </si>
  <si>
    <t>Forecast inputs</t>
  </si>
  <si>
    <t>Error warnings and messages</t>
  </si>
  <si>
    <t>QA notes - annotation or documentation by QA staff</t>
  </si>
  <si>
    <t>Has the post-QA deliverable been CM9ed?</t>
  </si>
  <si>
    <t>required only if there is more than one QAer</t>
  </si>
  <si>
    <t>Tables, inputs and outputs are clearly labelled, e.g.</t>
  </si>
  <si>
    <t>GST leakage factor (μ)</t>
  </si>
  <si>
    <t>Mode</t>
  </si>
  <si>
    <t>Distance (km)</t>
  </si>
  <si>
    <t>Time-of-day</t>
  </si>
  <si>
    <t>$/PJ</t>
  </si>
  <si>
    <t>$/pkm</t>
  </si>
  <si>
    <t>cents per VKT</t>
  </si>
  <si>
    <t>PKT/VKT</t>
  </si>
  <si>
    <t>TfNSW Economic Parameter Values June 2020 v2.0, Table 35.</t>
  </si>
  <si>
    <t>PT Marginal cost</t>
  </si>
  <si>
    <t>Car MEC</t>
  </si>
  <si>
    <t>Rail</t>
  </si>
  <si>
    <t>Bus</t>
  </si>
  <si>
    <t>Ferry</t>
  </si>
  <si>
    <t>Light Rail</t>
  </si>
  <si>
    <t>Car</t>
  </si>
  <si>
    <t>Marginal cost - peak</t>
  </si>
  <si>
    <t>Marginal cost - off peak</t>
  </si>
  <si>
    <t>Marginal external cost - peak</t>
  </si>
  <si>
    <t>Own-price elasticity</t>
  </si>
  <si>
    <t>Marginal external cost ($/passenger journey)</t>
  </si>
  <si>
    <t>Marginal cost ($/passenger journey)</t>
  </si>
  <si>
    <t>Marginal external cost - off-peak</t>
  </si>
  <si>
    <t>Marginal cost - off-peak</t>
  </si>
  <si>
    <r>
      <t>Z</t>
    </r>
    <r>
      <rPr>
        <vertAlign val="superscript"/>
        <sz val="18"/>
        <rFont val="Arial"/>
        <family val="2"/>
      </rPr>
      <t>i</t>
    </r>
    <r>
      <rPr>
        <vertAlign val="subscript"/>
        <sz val="18"/>
        <rFont val="Arial"/>
        <family val="2"/>
      </rPr>
      <t>j</t>
    </r>
  </si>
  <si>
    <t>Peak</t>
  </si>
  <si>
    <t>Off-peak</t>
  </si>
  <si>
    <t>Mode j</t>
  </si>
  <si>
    <t>Mode i</t>
  </si>
  <si>
    <t>Distance</t>
  </si>
  <si>
    <t>e X0/p0</t>
  </si>
  <si>
    <t>TOD</t>
  </si>
  <si>
    <t>model j</t>
  </si>
  <si>
    <t>Δp</t>
  </si>
  <si>
    <t>Δq</t>
  </si>
  <si>
    <t>q0</t>
  </si>
  <si>
    <t>q*</t>
  </si>
  <si>
    <t>RHS</t>
  </si>
  <si>
    <t>Z m</t>
  </si>
  <si>
    <t>Z c(1+λ)</t>
  </si>
  <si>
    <t>Z (c - p)(1+λ)</t>
  </si>
  <si>
    <t>Z p*(1+λ)</t>
  </si>
  <si>
    <t>λ V p0</t>
  </si>
  <si>
    <t>λ V p*</t>
  </si>
  <si>
    <t>Marginal cost-price ($/passenger journey)</t>
  </si>
  <si>
    <t>p*</t>
  </si>
  <si>
    <t>current p</t>
  </si>
  <si>
    <t>Total Rail</t>
  </si>
  <si>
    <t>Total Bus</t>
  </si>
  <si>
    <t>Total Ferry</t>
  </si>
  <si>
    <t>Total Light Rail</t>
  </si>
  <si>
    <t>Total All Modes</t>
  </si>
  <si>
    <t>Fare Optimisation Model for the 2025 Opal Review</t>
  </si>
  <si>
    <t>Index of Tables</t>
  </si>
  <si>
    <t>Row Number</t>
  </si>
  <si>
    <t>Difference (p* - p)</t>
  </si>
  <si>
    <t>INPUTS</t>
  </si>
  <si>
    <t>ToD</t>
  </si>
  <si>
    <t>Air pollution</t>
  </si>
  <si>
    <t>Occupancy</t>
  </si>
  <si>
    <t>Note: for Cars marginal cost = marginal cost - p.</t>
  </si>
  <si>
    <t>mode j</t>
  </si>
  <si>
    <t>Part RHS</t>
  </si>
  <si>
    <t xml:space="preserve">Change in </t>
  </si>
  <si>
    <r>
      <t>Z</t>
    </r>
    <r>
      <rPr>
        <b/>
        <vertAlign val="superscript"/>
        <sz val="12"/>
        <rFont val="Arial"/>
        <family val="2"/>
      </rPr>
      <t>i</t>
    </r>
    <r>
      <rPr>
        <b/>
        <vertAlign val="subscript"/>
        <sz val="12"/>
        <rFont val="Arial"/>
        <family val="2"/>
      </rPr>
      <t>j</t>
    </r>
  </si>
  <si>
    <r>
      <t>Z</t>
    </r>
    <r>
      <rPr>
        <b/>
        <vertAlign val="superscript"/>
        <sz val="12"/>
        <rFont val="Arial"/>
        <family val="2"/>
      </rPr>
      <t>j</t>
    </r>
    <r>
      <rPr>
        <b/>
        <vertAlign val="subscript"/>
        <sz val="12"/>
        <rFont val="Arial"/>
        <family val="2"/>
      </rPr>
      <t>i</t>
    </r>
  </si>
  <si>
    <r>
      <t>A</t>
    </r>
    <r>
      <rPr>
        <b/>
        <vertAlign val="superscript"/>
        <sz val="12"/>
        <rFont val="Arial"/>
        <family val="2"/>
      </rPr>
      <t>i</t>
    </r>
    <r>
      <rPr>
        <b/>
        <vertAlign val="subscript"/>
        <sz val="12"/>
        <rFont val="Arial"/>
        <family val="2"/>
      </rPr>
      <t>j</t>
    </r>
  </si>
  <si>
    <r>
      <t>A</t>
    </r>
    <r>
      <rPr>
        <b/>
        <vertAlign val="superscript"/>
        <sz val="12"/>
        <rFont val="Arial"/>
        <family val="2"/>
      </rPr>
      <t>-1</t>
    </r>
  </si>
  <si>
    <r>
      <t>V</t>
    </r>
    <r>
      <rPr>
        <b/>
        <vertAlign val="superscript"/>
        <sz val="12"/>
        <rFont val="Arial"/>
        <family val="2"/>
      </rPr>
      <t>i</t>
    </r>
    <r>
      <rPr>
        <b/>
        <vertAlign val="subscript"/>
        <sz val="12"/>
        <rFont val="Arial"/>
        <family val="2"/>
      </rPr>
      <t>j</t>
    </r>
  </si>
  <si>
    <t>Distance j, Time-of-day j</t>
  </si>
  <si>
    <t>Note: It is assumed that there is no shifting between distances, since travellers must go where they must go.</t>
  </si>
  <si>
    <t>Note: Locational decisions of work, residence, etc. are only changed in the longer-term.</t>
  </si>
  <si>
    <t>Weekday passenger journeys (per annum cumulative by distance)</t>
  </si>
  <si>
    <t>All times</t>
  </si>
  <si>
    <t>Passenger journeys (per annum non cumulative by distance)</t>
  </si>
  <si>
    <t>AM Peak</t>
  </si>
  <si>
    <t>Light rail</t>
  </si>
  <si>
    <t>Off-Peak</t>
  </si>
  <si>
    <t>PM Peak</t>
  </si>
  <si>
    <t>North West Metro</t>
  </si>
  <si>
    <t>NSW TrainLink Intercity</t>
  </si>
  <si>
    <t>Sydney Trains</t>
  </si>
  <si>
    <t>Number of trips</t>
  </si>
  <si>
    <t>Bus, Ferry &amp; Light Rail Data</t>
  </si>
  <si>
    <t>Rail Data</t>
  </si>
  <si>
    <t>RESULTS</t>
  </si>
  <si>
    <t>Active transport ($/passenger journey)</t>
  </si>
  <si>
    <t>Air pollution + GHG ($/passenger km)</t>
  </si>
  <si>
    <t>Road accidents ($/passenger km)</t>
  </si>
  <si>
    <t>= STA buss</t>
  </si>
  <si>
    <t>/bus passenger km</t>
  </si>
  <si>
    <t>$/buss passenger km</t>
  </si>
  <si>
    <t>Toll revenue per vehicle journey</t>
  </si>
  <si>
    <t>$/trip</t>
  </si>
  <si>
    <t>$/passenger journey</t>
  </si>
  <si>
    <t>$/passenger journey peak</t>
  </si>
  <si>
    <t>AM</t>
  </si>
  <si>
    <t>IP</t>
  </si>
  <si>
    <t>PM</t>
  </si>
  <si>
    <t>EV</t>
  </si>
  <si>
    <t>Fuel excise per passenger km</t>
  </si>
  <si>
    <t>Fuel excise (cents/vehicle km trip)</t>
  </si>
  <si>
    <t>Fuel excise (cents/passenger km)</t>
  </si>
  <si>
    <t>Road damage (cents/passenger km)</t>
  </si>
  <si>
    <t>Parking space levy per vehicle journey</t>
  </si>
  <si>
    <t>Vehicle journeys (million/weekday)</t>
  </si>
  <si>
    <t>Vehicle journeys (million/year (exc weekends &amp; public holidays)</t>
  </si>
  <si>
    <t>Parking space levy/vehicle journey ($/vehicle journey)</t>
  </si>
  <si>
    <t>Parking space levy/passenger journey ($/passenger journey)</t>
  </si>
  <si>
    <t>Health benefit of walking ($/km)</t>
  </si>
  <si>
    <t>Source:</t>
  </si>
  <si>
    <t>Average walk distance access (m)</t>
  </si>
  <si>
    <t>Average walk distance egress (m)</t>
  </si>
  <si>
    <t>Share of passengers walking access (AM peak)</t>
  </si>
  <si>
    <t>Share of passengers walking egress</t>
  </si>
  <si>
    <t>Weekdays in data period</t>
  </si>
  <si>
    <t>Bus passenger kms travelled on a weekday</t>
  </si>
  <si>
    <t>Key TU</t>
  </si>
  <si>
    <t>Other TU</t>
  </si>
  <si>
    <t>Crashes</t>
  </si>
  <si>
    <t>Killed</t>
  </si>
  <si>
    <t>Seriously injured</t>
  </si>
  <si>
    <t>Moderately injured</t>
  </si>
  <si>
    <t>Excise rate (cents/litre)</t>
  </si>
  <si>
    <t>Fuel consumption (litres/vehicle km trip)</t>
  </si>
  <si>
    <t>Road damage (cents/vehicle km trip)</t>
  </si>
  <si>
    <t>Parking space levy ($m, $2020-21)</t>
  </si>
  <si>
    <t>Run description</t>
  </si>
  <si>
    <t>STM3.92</t>
  </si>
  <si>
    <t>Baseline</t>
  </si>
  <si>
    <t>Bus only</t>
  </si>
  <si>
    <t>Rail, light rail and ferry only</t>
  </si>
  <si>
    <t>Rail only</t>
  </si>
  <si>
    <t>Light rail only</t>
  </si>
  <si>
    <t>Ferry only</t>
  </si>
  <si>
    <t>All modes</t>
  </si>
  <si>
    <t>Fare change</t>
  </si>
  <si>
    <t>-20%</t>
  </si>
  <si>
    <t>+20%</t>
  </si>
  <si>
    <t>Effect of travel Less distance (Fare increase)</t>
  </si>
  <si>
    <t>Effect of travel Greater distance 
(Fare decrease)</t>
  </si>
  <si>
    <t>Year</t>
  </si>
  <si>
    <t>Run ID</t>
  </si>
  <si>
    <t>2021_cf_CurrentFare</t>
  </si>
  <si>
    <t>2021_cf_CurrentFare_Dec20b</t>
  </si>
  <si>
    <t>2021_cf_CurrentFare_Dec20r</t>
  </si>
  <si>
    <t>2021_cf_CurrentFare_Dec20rl</t>
  </si>
  <si>
    <t>2021_cf_CurrentFare_Dec20lr</t>
  </si>
  <si>
    <t>2021_cf_CurrentFare_Dec20f</t>
  </si>
  <si>
    <t>2021_cf_CurrentFare_Dec20a</t>
  </si>
  <si>
    <t>2021_cf_CurrentFare_Inc20b</t>
  </si>
  <si>
    <t>2021_cf_CurrentFare_Inc20r</t>
  </si>
  <si>
    <t>2021_cf_CurrentFare_Inc20rl</t>
  </si>
  <si>
    <t>2021_cf_CurrentFare_Inc20lr</t>
  </si>
  <si>
    <t>2021_cf_CurrentFare_Inc20f</t>
  </si>
  <si>
    <t>2021_cf_CurrentFare_Inc20a</t>
  </si>
  <si>
    <t>2021_cf_CurrentFare_Dec60a</t>
  </si>
  <si>
    <t>2021_cf_CurrentFare_Ddist</t>
  </si>
  <si>
    <t>2021_cf_CurrentFare_Hdist</t>
  </si>
  <si>
    <t>Car trips</t>
  </si>
  <si>
    <t>Car driver demand - AM peak 2 hours</t>
  </si>
  <si>
    <t>C1</t>
  </si>
  <si>
    <t>Trips/AM</t>
  </si>
  <si>
    <t>Car driver demand - IP 6 hours</t>
  </si>
  <si>
    <t>C2</t>
  </si>
  <si>
    <t>Trips/IP</t>
  </si>
  <si>
    <t>Car driver demand - PM peak 3 hours</t>
  </si>
  <si>
    <t>C3</t>
  </si>
  <si>
    <t>Trips/PM</t>
  </si>
  <si>
    <t>Car driver demand - EV 13 hours</t>
  </si>
  <si>
    <t>C4</t>
  </si>
  <si>
    <t>Trips/EV</t>
  </si>
  <si>
    <t>Car vehicle kilometres travelled</t>
  </si>
  <si>
    <t>Car AM VKT - AM peak 2 hours</t>
  </si>
  <si>
    <t>C5</t>
  </si>
  <si>
    <t>VKTs/AM</t>
  </si>
  <si>
    <t>Car IP VKT - IP 6 hours</t>
  </si>
  <si>
    <t>C6</t>
  </si>
  <si>
    <t>VKTs/IP</t>
  </si>
  <si>
    <t>Car PM VKT - PM peak 3 hours</t>
  </si>
  <si>
    <t>C7</t>
  </si>
  <si>
    <t>VKTs/PM</t>
  </si>
  <si>
    <t>Car EV VKT - EV 13 hours</t>
  </si>
  <si>
    <t>C8</t>
  </si>
  <si>
    <t>VKTs/EV</t>
  </si>
  <si>
    <t>Car driver toll revenue</t>
  </si>
  <si>
    <t>Car toll revenue - AM peak 2 hours</t>
  </si>
  <si>
    <t>C13</t>
  </si>
  <si>
    <t>$/AM</t>
  </si>
  <si>
    <t>Car toll revenue  - IP 6 hours</t>
  </si>
  <si>
    <t>C14</t>
  </si>
  <si>
    <t>$/IP</t>
  </si>
  <si>
    <t>Car toll revenue  - PM peak 3 hours</t>
  </si>
  <si>
    <t>C15</t>
  </si>
  <si>
    <t>$/PM</t>
  </si>
  <si>
    <t>Car toll revenue  - EV 13 hours</t>
  </si>
  <si>
    <t>C16</t>
  </si>
  <si>
    <t>$/EV</t>
  </si>
  <si>
    <t>Car vehicle hours travelled</t>
  </si>
  <si>
    <t>Car AM VHT - AM peak 2 hours</t>
  </si>
  <si>
    <t>C9</t>
  </si>
  <si>
    <t>Hours/AM</t>
  </si>
  <si>
    <t>Car IP VHT  - IP 6 hours</t>
  </si>
  <si>
    <t>C10</t>
  </si>
  <si>
    <t>Hours/IP</t>
  </si>
  <si>
    <t>Car PM VHT  - PM peak 3 hours</t>
  </si>
  <si>
    <t>C11</t>
  </si>
  <si>
    <t>Hours/PM</t>
  </si>
  <si>
    <t>Car EV VHT  - EV 13 hours</t>
  </si>
  <si>
    <t>C12</t>
  </si>
  <si>
    <t>Hours/EV</t>
  </si>
  <si>
    <t>Derived quantities</t>
  </si>
  <si>
    <t>Car Hr_per_km - AM peak</t>
  </si>
  <si>
    <t>VHT/VKT</t>
  </si>
  <si>
    <t>Car Hr_per_km - IP</t>
  </si>
  <si>
    <t>Car Hr_per_km - PM peak</t>
  </si>
  <si>
    <t>Car Hr_per_km - EV peak</t>
  </si>
  <si>
    <t>Rail trips</t>
  </si>
  <si>
    <t>Rail passenger demand - AM peak 2 hours</t>
  </si>
  <si>
    <t>R1</t>
  </si>
  <si>
    <t>Rail passenger demand - IP 6 hours</t>
  </si>
  <si>
    <t>R2</t>
  </si>
  <si>
    <t>Rail passenger demand - PM peak 3 hours</t>
  </si>
  <si>
    <t>R3</t>
  </si>
  <si>
    <t>Rail passenger demand - EV 13 hours</t>
  </si>
  <si>
    <t>R4</t>
  </si>
  <si>
    <t>Rail passenger kms</t>
  </si>
  <si>
    <t>Rail PKT - AM peak 2 hours</t>
  </si>
  <si>
    <t>R5</t>
  </si>
  <si>
    <t>Pass. Kms/AM</t>
  </si>
  <si>
    <t>Rail PKT - IP 6 hours</t>
  </si>
  <si>
    <t>R6</t>
  </si>
  <si>
    <t>Pass. Kms/IP</t>
  </si>
  <si>
    <t>Rail PKT - PM peak 3 hours</t>
  </si>
  <si>
    <t>R7</t>
  </si>
  <si>
    <t>Pass. Kms/PM</t>
  </si>
  <si>
    <t>Rail PKT - EV 13 hours</t>
  </si>
  <si>
    <t>R8</t>
  </si>
  <si>
    <t>Pass. Kms/EV</t>
  </si>
  <si>
    <t>Rail passenger hours</t>
  </si>
  <si>
    <t>Rail PHT - AM peak 2 hours</t>
  </si>
  <si>
    <t>R9</t>
  </si>
  <si>
    <t>Pass. Hours/AM</t>
  </si>
  <si>
    <t>Rail PHT - IP 6 hours</t>
  </si>
  <si>
    <t>R10</t>
  </si>
  <si>
    <t>Pass. Hours/IP</t>
  </si>
  <si>
    <t>Rail PHT - PM peak 3 hours</t>
  </si>
  <si>
    <t>R11</t>
  </si>
  <si>
    <t>Pass. Hours/PM</t>
  </si>
  <si>
    <t>Rail PHT - EV 13 hours</t>
  </si>
  <si>
    <t>R12</t>
  </si>
  <si>
    <t>Pass. Hours/EV</t>
  </si>
  <si>
    <t>Bus trips</t>
  </si>
  <si>
    <t>Bus passenger demand - AM peak 2 hours</t>
  </si>
  <si>
    <t>B1</t>
  </si>
  <si>
    <t>Bus passenger demand - IP 6 hours</t>
  </si>
  <si>
    <t>B2</t>
  </si>
  <si>
    <t>Bus passenger demand - PM peak 3 hours</t>
  </si>
  <si>
    <t>B3</t>
  </si>
  <si>
    <t>Bus passenger demand - EV 13 hours</t>
  </si>
  <si>
    <t>B4</t>
  </si>
  <si>
    <t>Bus passenger kms</t>
  </si>
  <si>
    <t>Bus PKT - AM peak 2 hours</t>
  </si>
  <si>
    <t>B5</t>
  </si>
  <si>
    <t>Bus PKT - IP 6 hours</t>
  </si>
  <si>
    <t>B6</t>
  </si>
  <si>
    <t>Bus PKT - PM peak 3 hours</t>
  </si>
  <si>
    <t>B7</t>
  </si>
  <si>
    <t>Bus PKT - EV 13 hours</t>
  </si>
  <si>
    <t>B8</t>
  </si>
  <si>
    <t>Bus passenger hours</t>
  </si>
  <si>
    <t>Bus PHT - AM peak 2 hours</t>
  </si>
  <si>
    <t>B9</t>
  </si>
  <si>
    <t>Bus PHT - IP 6 hours</t>
  </si>
  <si>
    <t>B10</t>
  </si>
  <si>
    <t>Bus PHT - PM peak 3 hours</t>
  </si>
  <si>
    <t>B11</t>
  </si>
  <si>
    <t>Bus PHT - EV 13 hours</t>
  </si>
  <si>
    <t>B12</t>
  </si>
  <si>
    <t>Ferry trips</t>
  </si>
  <si>
    <t>Ferry passenger demand - AM peak 2 hours</t>
  </si>
  <si>
    <t>F1</t>
  </si>
  <si>
    <t>Ferry passenger demand - IP 6 hours</t>
  </si>
  <si>
    <t>F2</t>
  </si>
  <si>
    <t>Ferry passenger demand - PM peak 3 hours</t>
  </si>
  <si>
    <t>F3</t>
  </si>
  <si>
    <t>Ferry passenger demand - EV 13 hours</t>
  </si>
  <si>
    <t>F4</t>
  </si>
  <si>
    <t>Ferry passenger kms</t>
  </si>
  <si>
    <t>Ferry PKT - AM peak 2 hours</t>
  </si>
  <si>
    <t>F5</t>
  </si>
  <si>
    <t>Ferry PKT - IP 6 hours</t>
  </si>
  <si>
    <t>F6</t>
  </si>
  <si>
    <t>Ferry PKT - PM peak 3 hours</t>
  </si>
  <si>
    <t>F7</t>
  </si>
  <si>
    <t>Ferry PKT - EV 13 hours</t>
  </si>
  <si>
    <t>F8</t>
  </si>
  <si>
    <t>Ferry passenger hours</t>
  </si>
  <si>
    <t>Ferry PHT - AM peak 2 hours</t>
  </si>
  <si>
    <t>F9</t>
  </si>
  <si>
    <t>Ferry PHT - IP 6 hours</t>
  </si>
  <si>
    <t>F10</t>
  </si>
  <si>
    <t>Ferry PHT - PM peak 3 hours</t>
  </si>
  <si>
    <t>F11</t>
  </si>
  <si>
    <t>Ferry PHT - EV 13 hours</t>
  </si>
  <si>
    <t>F12</t>
  </si>
  <si>
    <t>Light rail trips</t>
  </si>
  <si>
    <t>Light rail passenger demand - AM peak 2 hours</t>
  </si>
  <si>
    <t>L1</t>
  </si>
  <si>
    <t>Light rail passenger demand - IP 6 hours</t>
  </si>
  <si>
    <t>L2</t>
  </si>
  <si>
    <t>Light rail passenger demand - PM peak 3 hours</t>
  </si>
  <si>
    <t>L3</t>
  </si>
  <si>
    <t>Light rail passenger demand - EV 13 hours</t>
  </si>
  <si>
    <t>L4</t>
  </si>
  <si>
    <t>Light rail passenger kms</t>
  </si>
  <si>
    <t>Light rail PKT - AM peak 2 hours</t>
  </si>
  <si>
    <t>L5</t>
  </si>
  <si>
    <t>Light rail PKT - IP 6 hours</t>
  </si>
  <si>
    <t>L6</t>
  </si>
  <si>
    <t>Light rail PKT - PM peak 3 hours</t>
  </si>
  <si>
    <t>L7</t>
  </si>
  <si>
    <t>Light rail PKT - EV 13 hours</t>
  </si>
  <si>
    <t>L8</t>
  </si>
  <si>
    <t>Light rail passenger hours</t>
  </si>
  <si>
    <t>Light rail PHT - AM peak 2 hours</t>
  </si>
  <si>
    <t>L9</t>
  </si>
  <si>
    <t>Light rail PHT - IP 6 hours</t>
  </si>
  <si>
    <t>L10</t>
  </si>
  <si>
    <t>Light rail PHT - PM peak 3 hours</t>
  </si>
  <si>
    <t>L11</t>
  </si>
  <si>
    <t>Light rail PHT - EV 13 hours</t>
  </si>
  <si>
    <t>L12</t>
  </si>
  <si>
    <t>Wet train</t>
  </si>
  <si>
    <t>Wet train passenger demand - AM peak 2 hours</t>
  </si>
  <si>
    <t>Wet train passenger demand - IP 6 hours</t>
  </si>
  <si>
    <t>Wet train passenger demand - PM peak 3 hours</t>
  </si>
  <si>
    <t>Wet train passenger demand - EV 13 hours</t>
  </si>
  <si>
    <t>Wet train passenger kms</t>
  </si>
  <si>
    <t>Wet train PKT - AM peak 2 hours</t>
  </si>
  <si>
    <t>Wet train PKT - IP 6 hours</t>
  </si>
  <si>
    <t>Wet train PKT - PM peak 3 hours</t>
  </si>
  <si>
    <t>Wet train PKT - EV 13 hours</t>
  </si>
  <si>
    <t>Wet train passenger hours</t>
  </si>
  <si>
    <t>Wet train PHT - AM peak 2 hours</t>
  </si>
  <si>
    <t>Wet train PHT - IP 6 hours</t>
  </si>
  <si>
    <t>Wet train PHT - PM peak 3 hours</t>
  </si>
  <si>
    <t>Wet train PHT - EV 13 hours</t>
  </si>
  <si>
    <t>Denominator</t>
  </si>
  <si>
    <t>Numerator</t>
  </si>
  <si>
    <t>from</t>
  </si>
  <si>
    <t>to</t>
  </si>
  <si>
    <t/>
  </si>
  <si>
    <t>Vehicle ownership</t>
  </si>
  <si>
    <t>Target vehicle utilisation in peak hour</t>
  </si>
  <si>
    <t>Syd Trains</t>
  </si>
  <si>
    <t>Cost categorisation</t>
  </si>
  <si>
    <t>Infrastructure</t>
  </si>
  <si>
    <t>(H) maintenance of stops and stations</t>
  </si>
  <si>
    <t>Facilities</t>
  </si>
  <si>
    <t>(O) corporate overhead</t>
  </si>
  <si>
    <t>Rolling Stock</t>
  </si>
  <si>
    <t>(B) vehicle maintenance costs</t>
  </si>
  <si>
    <t>Train Operations</t>
  </si>
  <si>
    <t>(D) crew cost</t>
  </si>
  <si>
    <t>Electric traction energy</t>
  </si>
  <si>
    <t>(E) fuel costs</t>
  </si>
  <si>
    <t>Customer Interface</t>
  </si>
  <si>
    <t>(S) staff at stations</t>
  </si>
  <si>
    <t>Revenue Collection</t>
  </si>
  <si>
    <t>(R) ticketing and revenue protection staff</t>
  </si>
  <si>
    <t>Maintenance cost of sales</t>
  </si>
  <si>
    <t>(V) Not-included</t>
  </si>
  <si>
    <t>TAHE Access Fee &amp; License Fee Interest</t>
  </si>
  <si>
    <t>(G) maintenance of path infrastructure</t>
  </si>
  <si>
    <t>redundancy</t>
  </si>
  <si>
    <t>depreciation and amortisation</t>
  </si>
  <si>
    <t>finance costs</t>
  </si>
  <si>
    <t>actuarial assessed superannuation adjustment</t>
  </si>
  <si>
    <t>written down value of assets write-off</t>
  </si>
  <si>
    <t>PaCS - Transport shared services</t>
  </si>
  <si>
    <t>PaCS - Group IT</t>
  </si>
  <si>
    <t>PaCS - legal services &amp; governance</t>
  </si>
  <si>
    <t>PaCS - human resources</t>
  </si>
  <si>
    <t>Finance and investment division</t>
  </si>
  <si>
    <t>transport services division excl ticketing, community transport and TMC)</t>
  </si>
  <si>
    <t>(T) customer information services</t>
  </si>
  <si>
    <t>Total</t>
  </si>
  <si>
    <t>Intercity Trains</t>
  </si>
  <si>
    <t>North west metro</t>
  </si>
  <si>
    <t>Personnel service expenses</t>
  </si>
  <si>
    <t>Operating expenses</t>
  </si>
  <si>
    <t>Major rail project expense</t>
  </si>
  <si>
    <t>Depreciation and amortisation</t>
  </si>
  <si>
    <t>Grants and subsidies</t>
  </si>
  <si>
    <t>Finance costs</t>
  </si>
  <si>
    <t>Other expenses</t>
  </si>
  <si>
    <t>GSBC7-9</t>
  </si>
  <si>
    <t>Drivers - Salaries and Wages  (including labour on-costs)</t>
  </si>
  <si>
    <t>Diesel Bus Maintenance and Repair (including labour on-costs)</t>
  </si>
  <si>
    <t>Diesel Bus Fuel</t>
  </si>
  <si>
    <t>Electricity</t>
  </si>
  <si>
    <t xml:space="preserve">Contract Bus Maintenance and Repair (non-labour)
</t>
  </si>
  <si>
    <t>Other (non-labour)</t>
  </si>
  <si>
    <t>Gas fuel and Oil</t>
  </si>
  <si>
    <t>Tolls</t>
  </si>
  <si>
    <t>SMBSC</t>
  </si>
  <si>
    <t>Other</t>
  </si>
  <si>
    <t>Salaries and Wages  (including labour on-costs)</t>
  </si>
  <si>
    <t>Bus Maintenance and Repair (non-labour)</t>
  </si>
  <si>
    <t>Fuel and Oil</t>
  </si>
  <si>
    <t>Contract Depot Ownership charges</t>
  </si>
  <si>
    <t>Any allowances for passenger incentive revenues</t>
  </si>
  <si>
    <t>Any allowance for KPI Credits</t>
  </si>
  <si>
    <t>OMBSC non-STA</t>
  </si>
  <si>
    <t>Drivers - Salaries and Wages (including labour on-costs)</t>
  </si>
  <si>
    <t>Contract Bus Maintenance and Repair - Salaries and Wages (including labour on- costs)</t>
  </si>
  <si>
    <t>Management and Administration Staff - Salaries and Wages (including labour on-costs)</t>
  </si>
  <si>
    <t>Contract Bus Maintenance and Repair (non-labour)</t>
  </si>
  <si>
    <t>Diesel Fuel and Oil (Diesel Buses)</t>
  </si>
  <si>
    <t>Electricity (Operational) Bus Contract Energy</t>
  </si>
  <si>
    <t>Contract Bus Principal and Interest Costs</t>
  </si>
  <si>
    <t>Bus Maintenance and Repair (non labour)</t>
  </si>
  <si>
    <t>New Bus Principal Prices</t>
  </si>
  <si>
    <t>New Bus Interest Prices</t>
  </si>
  <si>
    <t>Bus Principal plus Interest Prices for Transfer In Contract Buses</t>
  </si>
  <si>
    <t>Bus Principal plus Interest Prices for Existing Buses that Will Not Reach 26 Years of Age During the Term</t>
  </si>
  <si>
    <t>Bus Principal plus Interest Prices for Existing Buses that Will Reach 26 Years of Age During the Term</t>
  </si>
  <si>
    <t>Contract Depot Ownership Charges</t>
  </si>
  <si>
    <t xml:space="preserve">Any allowance for Passenger Incentive Revenues </t>
  </si>
  <si>
    <t>Less New bus Principal &amp; Interest Prices</t>
  </si>
  <si>
    <t>Contract Bus Salaries &amp; Wages (incl on costs)</t>
  </si>
  <si>
    <t>Contract Bus Maintenance &amp; Repair (non-labour)</t>
  </si>
  <si>
    <t>Contract Bus Fuel &amp; Oil</t>
  </si>
  <si>
    <t>Operator Bus Payments</t>
  </si>
  <si>
    <t>Operator Depot Payments</t>
  </si>
  <si>
    <t>Manly fast ferry</t>
  </si>
  <si>
    <t>Wages</t>
  </si>
  <si>
    <t>Salaries</t>
  </si>
  <si>
    <t> </t>
  </si>
  <si>
    <t>Fuel Costs</t>
  </si>
  <si>
    <t>Fleet Maintenance</t>
  </si>
  <si>
    <t>Other Maintenance</t>
  </si>
  <si>
    <t>Advertising.marketing</t>
  </si>
  <si>
    <t>cleaning</t>
  </si>
  <si>
    <t>(C) vehicle cleaning costs</t>
  </si>
  <si>
    <t>existing ticketing</t>
  </si>
  <si>
    <t>(Q) annuitised capital cost of ticketing equipment</t>
  </si>
  <si>
    <t>insurance</t>
  </si>
  <si>
    <t>security</t>
  </si>
  <si>
    <t>staff related expenses</t>
  </si>
  <si>
    <t>other</t>
  </si>
  <si>
    <t>vessel lease payments to state</t>
  </si>
  <si>
    <t>non-vessel lease and rental payments to state</t>
  </si>
  <si>
    <t>net interest</t>
  </si>
  <si>
    <t>Sydney</t>
  </si>
  <si>
    <t>Stockton</t>
  </si>
  <si>
    <t>NLR Salaries &amp; Wages (incl on costs)</t>
  </si>
  <si>
    <t xml:space="preserve">Ongoing Accreditation </t>
  </si>
  <si>
    <t>Insurances</t>
  </si>
  <si>
    <t>LRV Maintenance</t>
  </si>
  <si>
    <t>Traction Energy</t>
  </si>
  <si>
    <t>NLR Delivery Activities</t>
  </si>
  <si>
    <t>NLR Maintenance &amp; Repair (non-labour)</t>
  </si>
  <si>
    <t>Vehicle type</t>
  </si>
  <si>
    <t>Number in fleet</t>
  </si>
  <si>
    <t>Replacement cost</t>
  </si>
  <si>
    <t>Capacity</t>
  </si>
  <si>
    <t>Life (years)</t>
  </si>
  <si>
    <t>Waratah (No)</t>
  </si>
  <si>
    <t>Millenium</t>
  </si>
  <si>
    <t>Tangara</t>
  </si>
  <si>
    <t>K-set</t>
  </si>
  <si>
    <t>Oscar</t>
  </si>
  <si>
    <t>Hunter</t>
  </si>
  <si>
    <t>V-set</t>
  </si>
  <si>
    <t>Endeavour</t>
  </si>
  <si>
    <t>Waratah B-sets</t>
  </si>
  <si>
    <t>Metro</t>
  </si>
  <si>
    <t>Sydney Ferries</t>
  </si>
  <si>
    <t>Stockton Ferries</t>
  </si>
  <si>
    <t>LR</t>
  </si>
  <si>
    <t>Time-of-day by mode</t>
  </si>
  <si>
    <t>Passenger km</t>
  </si>
  <si>
    <t>AM Peak Bus</t>
  </si>
  <si>
    <t>AM Peak North West Metro</t>
  </si>
  <si>
    <t>AM Peak NSW TrainLink Intercity</t>
  </si>
  <si>
    <t>AM Peak Ferry</t>
  </si>
  <si>
    <t>AM Peak Light rail</t>
  </si>
  <si>
    <t>Off-Peak Bus</t>
  </si>
  <si>
    <t>Off-Peak Ferry</t>
  </si>
  <si>
    <t>Off-Peak Light rail</t>
  </si>
  <si>
    <t>PM Peak Bus</t>
  </si>
  <si>
    <t>AM Peak Sydney Trains</t>
  </si>
  <si>
    <t>PM Peak Ferry</t>
  </si>
  <si>
    <t>PM Peak Light rail</t>
  </si>
  <si>
    <t>Off-Peak North West Metro</t>
  </si>
  <si>
    <t>Off-Peak NSW TrainLink Intercity</t>
  </si>
  <si>
    <t>Off-Peak Sydney Trains</t>
  </si>
  <si>
    <t>PM Peak North West Metro</t>
  </si>
  <si>
    <t>PM Peak NSW TrainLink Intercity</t>
  </si>
  <si>
    <t>PM Peak Sydney Trains</t>
  </si>
  <si>
    <t>Peak period</t>
  </si>
  <si>
    <t>Off-peak periods</t>
  </si>
  <si>
    <t>$/PKM</t>
  </si>
  <si>
    <t>ANALYSIS</t>
  </si>
  <si>
    <t>Capacity costs</t>
  </si>
  <si>
    <t>Usage costs</t>
  </si>
  <si>
    <t>by PJ</t>
  </si>
  <si>
    <t>by PKM</t>
  </si>
  <si>
    <t>Trips</t>
  </si>
  <si>
    <t>Passenger kms</t>
  </si>
  <si>
    <t>Peak period only</t>
  </si>
  <si>
    <t>All periods</t>
  </si>
  <si>
    <t>PJ</t>
  </si>
  <si>
    <t>PKM</t>
  </si>
  <si>
    <t>Replacement cost per vehicle</t>
  </si>
  <si>
    <t>annual cost of ownership/vehicle</t>
  </si>
  <si>
    <t>annual ownership cost/pax capacity</t>
  </si>
  <si>
    <t>weighted average across provider</t>
  </si>
  <si>
    <t>total annual cost</t>
  </si>
  <si>
    <t>Trains</t>
  </si>
  <si>
    <t>Buses</t>
  </si>
  <si>
    <t>Ferries</t>
  </si>
  <si>
    <t>Metro Trains</t>
  </si>
  <si>
    <t>Manly Fast Ferry</t>
  </si>
  <si>
    <t>Stockton Ferry</t>
  </si>
  <si>
    <t>Syd LR L1 L2 L3</t>
  </si>
  <si>
    <t>Newcastle LR</t>
  </si>
  <si>
    <t>Usage PKM</t>
  </si>
  <si>
    <t>Capacity PJ</t>
  </si>
  <si>
    <t>Usage PJ</t>
  </si>
  <si>
    <t>VJ/time period hr (AAHT)</t>
  </si>
  <si>
    <t>Vhr/VKT</t>
  </si>
  <si>
    <t>VKT/VJ</t>
  </si>
  <si>
    <t>MECC</t>
  </si>
  <si>
    <t>Duration of period (hours)</t>
  </si>
  <si>
    <t>AM PEAK</t>
  </si>
  <si>
    <t>OFF PEAK</t>
  </si>
  <si>
    <t>PM PEAK</t>
  </si>
  <si>
    <t>PUBLIC HOLIDAYS</t>
  </si>
  <si>
    <t>WEEKENDS</t>
  </si>
  <si>
    <t>Traffic Volume by period by hour</t>
  </si>
  <si>
    <t>Sum of traffic volume by period</t>
  </si>
  <si>
    <t>Count of traffic volume by period</t>
  </si>
  <si>
    <t>Average speed</t>
  </si>
  <si>
    <t>Count of speed by period</t>
  </si>
  <si>
    <t>Compilation of data for graphing</t>
  </si>
  <si>
    <t>Time period</t>
  </si>
  <si>
    <t>Traffic volume</t>
  </si>
  <si>
    <t>1/speed</t>
  </si>
  <si>
    <t>station_id</t>
  </si>
  <si>
    <t>Count</t>
  </si>
  <si>
    <t>Include if 2023 &gt; 0 (1 = include, 0 = exclude)</t>
  </si>
  <si>
    <t>6178-PR</t>
  </si>
  <si>
    <t>7104-PR</t>
  </si>
  <si>
    <t>7119-PR</t>
  </si>
  <si>
    <t>7123-PR</t>
  </si>
  <si>
    <t>9834-PR</t>
  </si>
  <si>
    <t>9836-PR</t>
  </si>
  <si>
    <t>BRGSTC</t>
  </si>
  <si>
    <t>F3FWY001</t>
  </si>
  <si>
    <t>F3FWY002</t>
  </si>
  <si>
    <t>F3FWY003</t>
  </si>
  <si>
    <t>F3FWY004</t>
  </si>
  <si>
    <t>F3FWY005</t>
  </si>
  <si>
    <t>F3FWY006</t>
  </si>
  <si>
    <t>HEX1</t>
  </si>
  <si>
    <t>HEX2</t>
  </si>
  <si>
    <t>HEXBUCHW-PR</t>
  </si>
  <si>
    <t>MOHVCS</t>
  </si>
  <si>
    <t>T0085</t>
  </si>
  <si>
    <t>T0231</t>
  </si>
  <si>
    <t>T0288</t>
  </si>
  <si>
    <t>T0289</t>
  </si>
  <si>
    <t>T0290</t>
  </si>
  <si>
    <t>T0294</t>
  </si>
  <si>
    <t>T0295</t>
  </si>
  <si>
    <t>T0296</t>
  </si>
  <si>
    <t>T0297</t>
  </si>
  <si>
    <t>T0298</t>
  </si>
  <si>
    <t>T0299</t>
  </si>
  <si>
    <t>T0337</t>
  </si>
  <si>
    <t>T0342</t>
  </si>
  <si>
    <t>T0345</t>
  </si>
  <si>
    <t>T0384</t>
  </si>
  <si>
    <t>T0479-PR</t>
  </si>
  <si>
    <t>T0492</t>
  </si>
  <si>
    <t>T0493</t>
  </si>
  <si>
    <t>Matching flag</t>
  </si>
  <si>
    <t>Greater Sydney</t>
  </si>
  <si>
    <t>AM Off-Peak</t>
  </si>
  <si>
    <t>Inter-Peak</t>
  </si>
  <si>
    <t>PM Off-Peak</t>
  </si>
  <si>
    <t>suburb</t>
  </si>
  <si>
    <t>year</t>
  </si>
  <si>
    <t>period</t>
  </si>
  <si>
    <t>Station included? (1 = year, 0 = no)</t>
  </si>
  <si>
    <t>Year &amp; Time-of-day</t>
  </si>
  <si>
    <t>In geo scope? (1 = yes, 0 = no)</t>
  </si>
  <si>
    <t>Year &amp; Vehicle Classification</t>
  </si>
  <si>
    <t>0101000020E61000004C16F71F99DD6240FA7B293C68F040C0</t>
  </si>
  <si>
    <t>Cambridge Street</t>
  </si>
  <si>
    <t>Canley Heights</t>
  </si>
  <si>
    <t>NORTH</t>
  </si>
  <si>
    <t>LIGHT VEHICLES</t>
  </si>
  <si>
    <t>SOUTH</t>
  </si>
  <si>
    <t>0101000020E6100000A471A8DF05DF6240266E15C4402141C0</t>
  </si>
  <si>
    <t>Lawrence Hargrave Drive</t>
  </si>
  <si>
    <t>Clifton</t>
  </si>
  <si>
    <t>0101000020E61000005D88D51F61E762408BFCFA2136F040C0</t>
  </si>
  <si>
    <t>New South Head Road</t>
  </si>
  <si>
    <t>Edgecliff</t>
  </si>
  <si>
    <t>EAST</t>
  </si>
  <si>
    <t>WEST</t>
  </si>
  <si>
    <t>0101000020E61000001AA20A7F86E5624004E275FD82EF40C0</t>
  </si>
  <si>
    <t>City West Link Road</t>
  </si>
  <si>
    <t>Lilyfield</t>
  </si>
  <si>
    <t>0101000020E6100000D5CDC5DF76E7624037AAD381ACE940C0</t>
  </si>
  <si>
    <t>Military Road</t>
  </si>
  <si>
    <t>Mosman</t>
  </si>
  <si>
    <t>0101000020E6100000271422E010E56240FDF675E09CF740C0</t>
  </si>
  <si>
    <t>Marsh Street</t>
  </si>
  <si>
    <t>Arncliffe</t>
  </si>
  <si>
    <t>0101000020E6100000D6C4025FD1E26240359BC76130F340C0</t>
  </si>
  <si>
    <t>Punchbowl Road</t>
  </si>
  <si>
    <t>Belfield</t>
  </si>
  <si>
    <t>0101000020E61000000118CFA021E2624018CFA0A17FEE40C0</t>
  </si>
  <si>
    <t>Centenary Drive</t>
  </si>
  <si>
    <t>Homebush West</t>
  </si>
  <si>
    <t>0101000020E6100000D9EE1EA0FBE262402E9276A38FE940C0</t>
  </si>
  <si>
    <t>Concord Road</t>
  </si>
  <si>
    <t>Rhodes</t>
  </si>
  <si>
    <t>0101000020E6100000DE0033DF41E562402A3BFDA02EEE40C0</t>
  </si>
  <si>
    <t>Victoria Road</t>
  </si>
  <si>
    <t>Rozelle</t>
  </si>
  <si>
    <t>0101000020E61000005C7347FFCBE462407AA52C431CE940C0</t>
  </si>
  <si>
    <t>Burns Bay Road</t>
  </si>
  <si>
    <t>Lane Cove West</t>
  </si>
  <si>
    <t>0101000020E61000004B1FBAA0BEE562407C7BD7A02FE740C0</t>
  </si>
  <si>
    <t>Pacific Highway</t>
  </si>
  <si>
    <t>Lane Cove North</t>
  </si>
  <si>
    <t>0101000020E61000007C7E1821BCE66240BEF8A23D5EE640C0</t>
  </si>
  <si>
    <t>Eastern Valley Way</t>
  </si>
  <si>
    <t>Castlecrag</t>
  </si>
  <si>
    <t>0101000020E6100000B2F2CB608CE862401096B1A19BE340C0</t>
  </si>
  <si>
    <t>Condamine Street</t>
  </si>
  <si>
    <t>Manly Vale</t>
  </si>
  <si>
    <t>0101000020E61000005C8E5720FAE0624026C632FD12FD40C0</t>
  </si>
  <si>
    <t>Alfords Point Road</t>
  </si>
  <si>
    <t>Padstow Heights</t>
  </si>
  <si>
    <t>0101000020E6100000F390291F02E2624085B1852007E540C0</t>
  </si>
  <si>
    <t>Marsden Road</t>
  </si>
  <si>
    <t>Carlingford</t>
  </si>
  <si>
    <t>0101000020E61000002E56D4609ADF6240B4AD669DF1E540C0</t>
  </si>
  <si>
    <t>Briens Road</t>
  </si>
  <si>
    <t>Northmead</t>
  </si>
  <si>
    <t>0101000020E610000021EA3E00A9E1624045BC75FEEDE840C0</t>
  </si>
  <si>
    <t>Silverwater Road</t>
  </si>
  <si>
    <t>Rydalmere</t>
  </si>
  <si>
    <t>0101000020E6100000EE93A30051E362403DD7F7E120E340C0</t>
  </si>
  <si>
    <t>Epping Road</t>
  </si>
  <si>
    <t>Marsfield</t>
  </si>
  <si>
    <t>0101000020E6100000D3D9C9E0A8E362400A4B3CA06CE640C0</t>
  </si>
  <si>
    <t>Lane Cove Road</t>
  </si>
  <si>
    <t>Ryde</t>
  </si>
  <si>
    <t>0101000020E6100000C98E8D403CE36240CEC7B5A162E840C0</t>
  </si>
  <si>
    <t>0101000020E6100000E869C020E9E362407A36AB3E57DD40C0</t>
  </si>
  <si>
    <t>Warrawee</t>
  </si>
  <si>
    <t>0101000020E6100000B0C56E9FD5E46240062AE3DF67E040C0</t>
  </si>
  <si>
    <t>Gordon</t>
  </si>
  <si>
    <t>0101000020E6100000B0C8AF1F62E46240AFB0E07EC0E140C0</t>
  </si>
  <si>
    <t>Ryde Road</t>
  </si>
  <si>
    <t>West Pymble</t>
  </si>
  <si>
    <t>0101000020E61000007B6649809AE96240FE99417C60DD40C0</t>
  </si>
  <si>
    <t>Pittwater Road</t>
  </si>
  <si>
    <t>Collaroy</t>
  </si>
  <si>
    <t>0101000020E6100000F19F6EA040E86240E7A8A3E36AE040C0</t>
  </si>
  <si>
    <t>Warringah Road</t>
  </si>
  <si>
    <t>Beacon Hill</t>
  </si>
  <si>
    <t>0101000020E6100000F5BD86E038E86240FDD8243FE2D740C0</t>
  </si>
  <si>
    <t>Mona Vale Road</t>
  </si>
  <si>
    <t>Ingleside</t>
  </si>
  <si>
    <t>0101000020E6100000B401D88008E76240EFA83121E6DC40C0</t>
  </si>
  <si>
    <t>Forest Way</t>
  </si>
  <si>
    <t>Belrose</t>
  </si>
  <si>
    <t>0101000020E6100000ADC266808BDA62405EBEF561BD2F41C0</t>
  </si>
  <si>
    <t>Picton Road</t>
  </si>
  <si>
    <t>Cordeaux</t>
  </si>
  <si>
    <t>0101000020E610000043E6CAA0DAD66240E71BD13DEB2241C0</t>
  </si>
  <si>
    <t>Wilton</t>
  </si>
  <si>
    <t>0101000020E6100000FEF0F3DF83DC6240A14D0E9F74FA40C0</t>
  </si>
  <si>
    <t>Hume Highway</t>
  </si>
  <si>
    <t>Casula</t>
  </si>
  <si>
    <t>0101000020E6100000EC8497E0D4DE62405FD0420246EF40C0</t>
  </si>
  <si>
    <t>Fairfield Street</t>
  </si>
  <si>
    <t>Fairfield East</t>
  </si>
  <si>
    <t>0101000020E6100000AFB0E07E40DF62401363997E89E840C0</t>
  </si>
  <si>
    <t>Great Western Highway</t>
  </si>
  <si>
    <t>South Wentworthville</t>
  </si>
  <si>
    <t>0101000020E6100000E42D573FB6DD6240A79201A08AD940C0</t>
  </si>
  <si>
    <t>Windsor Road</t>
  </si>
  <si>
    <t>Rouse Hill</t>
  </si>
  <si>
    <t>0101000020E6100000950ED6FF39DA6240B5C2F4BD860841C0</t>
  </si>
  <si>
    <t>Broughton Street</t>
  </si>
  <si>
    <t>Campbelltown</t>
  </si>
  <si>
    <t>0101000020E61000002C29779F63E16240AEBCE47FF2EB40C0</t>
  </si>
  <si>
    <t>Auburn</t>
  </si>
  <si>
    <t>0101000020E6100000B2D47ABF51E26240D5CDC5DFF6F640C0</t>
  </si>
  <si>
    <t>Canterbury Road</t>
  </si>
  <si>
    <t>Wiley Park</t>
  </si>
  <si>
    <t>0101000020E61000008EEA74206BDF6240397D3D5FB3E840C0</t>
  </si>
  <si>
    <t>Hawkesbury Road</t>
  </si>
  <si>
    <t>Merrylands</t>
  </si>
  <si>
    <t>0101000020E6100000094E7D20F9E66240E38A8BA372F140C0</t>
  </si>
  <si>
    <t>South Dowling Street</t>
  </si>
  <si>
    <t>Surry Hills</t>
  </si>
  <si>
    <t>0101000020E6100000389ECF80FAE66240D09A1F7F69F140C0</t>
  </si>
  <si>
    <t>0101000020E610000029266F8099D8624070B20DDC81E240C0</t>
  </si>
  <si>
    <t>Pages Road</t>
  </si>
  <si>
    <t>St Marys</t>
  </si>
  <si>
    <t>0101000020E61000000327DBC09DE36240A5BF97C2830441C0</t>
  </si>
  <si>
    <t>Kingsway</t>
  </si>
  <si>
    <t>Miranda</t>
  </si>
  <si>
    <t>0101000020E61000003DB9A64066E46240D7A02FBDFDF940C0</t>
  </si>
  <si>
    <t>Princes Highway</t>
  </si>
  <si>
    <t>Rockdale</t>
  </si>
  <si>
    <t>0101000020E6100000D6C4025F51E762405D3123BC3DF040C0</t>
  </si>
  <si>
    <t>Darlinghurst</t>
  </si>
  <si>
    <t>0101000020E6100000090000805DDF6240070000A0F9F640C0</t>
  </si>
  <si>
    <t>Newbridge Road</t>
  </si>
  <si>
    <t>Milperra</t>
  </si>
  <si>
    <t>0101000020E61000003CA1D79F44DF624051137D3ECADC40C0</t>
  </si>
  <si>
    <t>Showground Road</t>
  </si>
  <si>
    <t>Castle Hill</t>
  </si>
  <si>
    <t>0101000020E6100000F1FFFFDF54E1624000000000BCEE40C0</t>
  </si>
  <si>
    <t>Olympic Drive</t>
  </si>
  <si>
    <t>Lidcombe</t>
  </si>
  <si>
    <t>0101000020E6100000DE21C50089DD6240535BEA20AFF140C0</t>
  </si>
  <si>
    <t>0101000020E61000004E0D349FF3E162408FE1B19FC5DE40C0</t>
  </si>
  <si>
    <t>Pennant Hills Road</t>
  </si>
  <si>
    <t>Pennant Hills</t>
  </si>
  <si>
    <t>0101000020E6100000DE0033DF41E4624006668522DD0541C0</t>
  </si>
  <si>
    <t>Woolooware</t>
  </si>
  <si>
    <t>0101000020E61000005340DAFF80E562406F0F4240BEEE40C0</t>
  </si>
  <si>
    <t>0101000020E61000004B0169FF03DF624055FB743C66E840C0</t>
  </si>
  <si>
    <t>0101000020E610000091ED7C3FB5DC6240556AF6402BE640C0</t>
  </si>
  <si>
    <t>Blacktown</t>
  </si>
  <si>
    <t>0101000020E610000096236420CFDE6240E0F76F5E9CE840C0</t>
  </si>
  <si>
    <t>Jersey Road</t>
  </si>
  <si>
    <t>0101000020E610000087A5811F55E462406D1B4641F0E240C0</t>
  </si>
  <si>
    <t>0101000020E6100000FDD8243FE2DF6240E48409A359DF40C0</t>
  </si>
  <si>
    <t>Old Northern Road</t>
  </si>
  <si>
    <t>0101000020E6100000DC0F786080DF62403562669FC7DE40C0</t>
  </si>
  <si>
    <t>Baulkham Hills</t>
  </si>
  <si>
    <t>0101000020E6100000F4C308E1D1F6624073486AA1647840C0</t>
  </si>
  <si>
    <t>Lily Lane</t>
  </si>
  <si>
    <t>Adamstown</t>
  </si>
  <si>
    <t>0101000020E61000008BC058DF40F8624051888043A87640C0</t>
  </si>
  <si>
    <t>Stewart Avenue</t>
  </si>
  <si>
    <t>Hamilton East</t>
  </si>
  <si>
    <t>0101000020E6100000732D5A8036F76240F1D58EE21C7540C0</t>
  </si>
  <si>
    <t>Griffiths Road</t>
  </si>
  <si>
    <t>Lambton</t>
  </si>
  <si>
    <t>0101000020E610000040C2306049E162406D1E87C1FCF340C0</t>
  </si>
  <si>
    <t>Stacey Street</t>
  </si>
  <si>
    <t>Bankstown</t>
  </si>
  <si>
    <t>0101000020E6100000512E8D5FF8E46240A25F5B3FFDEF40C0</t>
  </si>
  <si>
    <t>City-West Link Road</t>
  </si>
  <si>
    <t>0101000020E610000082751C3FD4E362409BE447FC8AE540C0</t>
  </si>
  <si>
    <t>North Ryde</t>
  </si>
  <si>
    <t>0101000020E61000003CBCE7C072E06240EB6F09C03FF540C0</t>
  </si>
  <si>
    <t>Edgar Street</t>
  </si>
  <si>
    <t>0101000020E61000007633A31F0DDA6240287D21E4BCE340C0</t>
  </si>
  <si>
    <t>Minchinbury</t>
  </si>
  <si>
    <t>0101000020E610000029232E008DE36240FDA204FD85F240C0</t>
  </si>
  <si>
    <t>Georges River Road</t>
  </si>
  <si>
    <t>Croydon Park</t>
  </si>
  <si>
    <t>0101000020E610000026FF93BF7BF562401C60E63BF87340C0</t>
  </si>
  <si>
    <t>Thomas Street</t>
  </si>
  <si>
    <t>Wallsend</t>
  </si>
  <si>
    <t>0101000020E6100000CC9A58E02BE162407DB1F7E28BDC40C0</t>
  </si>
  <si>
    <t>New Line Road</t>
  </si>
  <si>
    <t>Cherrybrook</t>
  </si>
  <si>
    <t>0101000020E610000071033E3F8CE262406BB8C83D5DE140C0</t>
  </si>
  <si>
    <t>Beecroft Road</t>
  </si>
  <si>
    <t>Cheltenham</t>
  </si>
  <si>
    <t>0101000020E61000005F9A22C069DA62408672A25D850641C0</t>
  </si>
  <si>
    <t>Campbelltown Road</t>
  </si>
  <si>
    <t>Leumeah</t>
  </si>
  <si>
    <t>0101000020E6100000DCF4673FD2D56240E23FDD4081DF40C0</t>
  </si>
  <si>
    <t>Penrith</t>
  </si>
  <si>
    <t>0101000020E6100000ED66463F9AE062408B321B6492E540C0</t>
  </si>
  <si>
    <t>Oatlands</t>
  </si>
  <si>
    <t>0101000020E61000007E7214208AE96240BCCB457C27DC40C0</t>
  </si>
  <si>
    <t>Narrabeen</t>
  </si>
  <si>
    <t>0101000020E6100000D09D60FFF5E262408690F3FE3F0441C0</t>
  </si>
  <si>
    <t>0101000020E6100000DE0033DFC1E362406AFAEC80EBE840C0</t>
  </si>
  <si>
    <t>0101000020E61000004AEF1B5FFBE2624051DA1B7C61F040C0</t>
  </si>
  <si>
    <t>The Boulevarde</t>
  </si>
  <si>
    <t>Strathfield</t>
  </si>
  <si>
    <t>0101000020E6100000982F2FC03ED36240815A0C1EA62741C0</t>
  </si>
  <si>
    <t>Hume Motorway</t>
  </si>
  <si>
    <t>Bargo</t>
  </si>
  <si>
    <t>0101000020E610000015A8C5E0E1E36240EF5701BEDBD840C0</t>
  </si>
  <si>
    <t>Pacific Motorway</t>
  </si>
  <si>
    <t>North Wahroonga</t>
  </si>
  <si>
    <t>0101000020E6100000304AD05F68E4624047CB811E6AD340C0</t>
  </si>
  <si>
    <t>Mount Kuring-Gai</t>
  </si>
  <si>
    <t>0101000020E6100000FDF9B66029E66240A27DACE0B7C740C0</t>
  </si>
  <si>
    <t>Cowan</t>
  </si>
  <si>
    <t>0101000020E610000048E00F3FFFE5624021938C9C85BF40C0</t>
  </si>
  <si>
    <t>Bar Point</t>
  </si>
  <si>
    <t>0101000020E61000008ECC237F30E762402F4D11E0F4B640C0</t>
  </si>
  <si>
    <t>Calga</t>
  </si>
  <si>
    <t>0101000020E61000007C60C77F81E962404BCB48BDA7B240C0</t>
  </si>
  <si>
    <t>Somersby</t>
  </si>
  <si>
    <t>0101000020E6100000020F0C207CEE62407651F4C0C76240C0</t>
  </si>
  <si>
    <t>Hunter Expressway</t>
  </si>
  <si>
    <t>Sawyers Gully</t>
  </si>
  <si>
    <t>0101000020E6100000E44EE9607DEE62401FA2D11DC46240C0</t>
  </si>
  <si>
    <t>0101000020E61000005F7F129F3BF16240D5CDC5DFF66A40C0</t>
  </si>
  <si>
    <t>Buchanan</t>
  </si>
  <si>
    <t>0101000020E6100000F38DE89E75DB6240FA0E7EE2003241C0</t>
  </si>
  <si>
    <t>Mount Ousley Road Hvcs</t>
  </si>
  <si>
    <t>Mount Keira</t>
  </si>
  <si>
    <t>0101000020E6100000DF180280E3E26240D7FA22A12DD540C0</t>
  </si>
  <si>
    <t>Galston Road</t>
  </si>
  <si>
    <t>Hornsby Heights</t>
  </si>
  <si>
    <t>0101000020E61000007636E49F99E46240AF777FBC57EB40C0</t>
  </si>
  <si>
    <t>Huntleys Point</t>
  </si>
  <si>
    <t>0101000020E61000006FF4311F90E662404913EF004FBA40C0</t>
  </si>
  <si>
    <t>Pacific Motorway Hvcs</t>
  </si>
  <si>
    <t>Mount White</t>
  </si>
  <si>
    <t>0101000020E6100000F1845E7F92E662404E7FF62345BA40C0</t>
  </si>
  <si>
    <t>0101000020E61000003065E08096E66240022D5DC136BA40C0</t>
  </si>
  <si>
    <t>0101000020E6100000179F0260BCC862404B22FB20CBCE40C0</t>
  </si>
  <si>
    <t>Great Western Highway Hvcs</t>
  </si>
  <si>
    <t>Blackheath</t>
  </si>
  <si>
    <t>0101000020E6100000753FA720BFC86240D9976C3CD8CE40C0</t>
  </si>
  <si>
    <t>0101000020E6100000B5E0455FC1C86240E6965643E2CE40C0</t>
  </si>
  <si>
    <t>0101000020E61000002F3201BFC6C86240CC9717601FCF40C0</t>
  </si>
  <si>
    <t>0101000020E6100000CBA0DAE0C4C862406494675E0ECF40C0</t>
  </si>
  <si>
    <t>0101000020E6100000F6CFD380C1C8624094DE37BEF6CE40C0</t>
  </si>
  <si>
    <t>0101000020E610000000FDBE7FF3E162406AA67B9DD4D340C0</t>
  </si>
  <si>
    <t>Galston</t>
  </si>
  <si>
    <t>0101000020E6100000369204E10AE262406B48DC63E9D340C0</t>
  </si>
  <si>
    <t>0101000020E6100000FBE769C020E36240362383DC45D840C0</t>
  </si>
  <si>
    <t>Hornsby</t>
  </si>
  <si>
    <t>0101000020E610000094F6065F18C96240C26D6DE179C140C0</t>
  </si>
  <si>
    <t>Bells Line Of Road</t>
  </si>
  <si>
    <t>Bell</t>
  </si>
  <si>
    <t>0101000020E61000007427D87F9DE66240711B0DE02DBA40C0</t>
  </si>
  <si>
    <t>0101000020E6100000F19F6EA0C0D26240D4D688601C2841C0</t>
  </si>
  <si>
    <t>Remembrance Driveway</t>
  </si>
  <si>
    <t>0101000020E6100000EE7BD45F2FD36240A741D13C802741C0</t>
  </si>
  <si>
    <t>Avon Dam Road</t>
  </si>
  <si>
    <t>Data: July 2019 to March 2020 (by time of day weekday Greater Sydney conurbation)</t>
  </si>
  <si>
    <t>Days in analysis</t>
  </si>
  <si>
    <t>Time</t>
  </si>
  <si>
    <t>Pedestrian killed</t>
  </si>
  <si>
    <t>Pedestrian seriously injured</t>
  </si>
  <si>
    <t>Pedestrian moderately injured</t>
  </si>
  <si>
    <t>Cyclists killed Other TU type</t>
  </si>
  <si>
    <t>Cyclists seriously injured Other TU type</t>
  </si>
  <si>
    <t>Cyclists moderately injured Other TU type</t>
  </si>
  <si>
    <t>Cyclists killed Key TU type</t>
  </si>
  <si>
    <t>Cyclists seriously injured Key TU type</t>
  </si>
  <si>
    <t>Cyclists moderately injured Key TU type</t>
  </si>
  <si>
    <t>Other TU type</t>
  </si>
  <si>
    <t>Key TU type</t>
  </si>
  <si>
    <t>Vehicle - Pedestrian</t>
  </si>
  <si>
    <t>Pedal cycle</t>
  </si>
  <si>
    <t>No. of traffic units involved</t>
  </si>
  <si>
    <t>Average 6am - 10pm</t>
  </si>
  <si>
    <t>Accidents/vehicle km travelled</t>
  </si>
  <si>
    <t>Social loss/accident</t>
  </si>
  <si>
    <t>Social loss/vehicle km travelled</t>
  </si>
  <si>
    <t>Pedestrian serious injury</t>
  </si>
  <si>
    <t>Pedestrian moderate injury</t>
  </si>
  <si>
    <t>Cyclist killed</t>
  </si>
  <si>
    <t>Cyclist serious injury</t>
  </si>
  <si>
    <t>TOTAL external cost / VKT</t>
  </si>
  <si>
    <t>Social loss per hospital injury</t>
  </si>
  <si>
    <t>Social loss per non-hospital injury</t>
  </si>
  <si>
    <t>00:01 - 01:59</t>
  </si>
  <si>
    <t>02:00 - 03:59</t>
  </si>
  <si>
    <t>04:00 - 05:59</t>
  </si>
  <si>
    <t>06:00 - 07:59</t>
  </si>
  <si>
    <t>08:00 - 09:59</t>
  </si>
  <si>
    <t>10:00 - 11:59</t>
  </si>
  <si>
    <t>12:00 - 13:59</t>
  </si>
  <si>
    <t>14:00 - 15:59</t>
  </si>
  <si>
    <t>16:00 - 17:59</t>
  </si>
  <si>
    <t>18:00 - 19:59</t>
  </si>
  <si>
    <t>20:00 - 21:59</t>
  </si>
  <si>
    <t>22:00 - Midnight</t>
  </si>
  <si>
    <t>Time of crash - Two-hour intervals</t>
  </si>
  <si>
    <t>First impact type</t>
  </si>
  <si>
    <t>No. killed</t>
  </si>
  <si>
    <t>No. seriously injured</t>
  </si>
  <si>
    <t>No. moderately injured</t>
  </si>
  <si>
    <t>Right angle</t>
  </si>
  <si>
    <t>Car (sedan/hatch)</t>
  </si>
  <si>
    <t>Light truck utility(from 2018)</t>
  </si>
  <si>
    <t>Rear end</t>
  </si>
  <si>
    <t>Station wagon</t>
  </si>
  <si>
    <t>Other angle</t>
  </si>
  <si>
    <t>Large rigid</t>
  </si>
  <si>
    <t>Passenger van</t>
  </si>
  <si>
    <t>Head-on</t>
  </si>
  <si>
    <t>Motorcycle</t>
  </si>
  <si>
    <t>Light truck</t>
  </si>
  <si>
    <t>Other bus</t>
  </si>
  <si>
    <t>Unknown motor vehicle</t>
  </si>
  <si>
    <t>Vehicle - Object</t>
  </si>
  <si>
    <t>Semi-trailer</t>
  </si>
  <si>
    <t>4 wheel drive</t>
  </si>
  <si>
    <t>Rollover</t>
  </si>
  <si>
    <t>Unknown type</t>
  </si>
  <si>
    <t>Pedestrian</t>
  </si>
  <si>
    <t>Motor scooter</t>
  </si>
  <si>
    <t>Utility</t>
  </si>
  <si>
    <t>Unknown</t>
  </si>
  <si>
    <t>Vehicle - Animal</t>
  </si>
  <si>
    <t>Boat trailer</t>
  </si>
  <si>
    <t>Coach</t>
  </si>
  <si>
    <t>STA bus</t>
  </si>
  <si>
    <t>B-double (road train prior 98)</t>
  </si>
  <si>
    <t>Panel van</t>
  </si>
  <si>
    <t>Motorised scooter (mob. aid)</t>
  </si>
  <si>
    <t>Horse float</t>
  </si>
  <si>
    <t>Ped in toy vehicle</t>
  </si>
  <si>
    <t>Box trailer</t>
  </si>
  <si>
    <t>Person - Object</t>
  </si>
  <si>
    <t>Tram</t>
  </si>
  <si>
    <t>Self prop plant</t>
  </si>
  <si>
    <t>Other small trailer</t>
  </si>
  <si>
    <t>Tractor</t>
  </si>
  <si>
    <t>Artic tanker</t>
  </si>
  <si>
    <t>Detached trailer</t>
  </si>
  <si>
    <t>Motorised push scooters</t>
  </si>
  <si>
    <t>Caravan</t>
  </si>
  <si>
    <t>Mini-bike</t>
  </si>
  <si>
    <t>Mot. wheelchair</t>
  </si>
  <si>
    <t>MC &amp; sidecar</t>
  </si>
  <si>
    <t>Rigid tanker</t>
  </si>
  <si>
    <t>Ridden animal</t>
  </si>
  <si>
    <t>Overall</t>
  </si>
  <si>
    <t>Pre covid</t>
  </si>
  <si>
    <t>Post covid</t>
  </si>
  <si>
    <t>Marginal excess burden of taxation (λ)</t>
  </si>
  <si>
    <t>Own elasticity if all PT fares changed by the same amount</t>
  </si>
  <si>
    <t>Distance of the Trip (km)</t>
  </si>
  <si>
    <t>Appropriate maximum fare ($)</t>
  </si>
  <si>
    <t>0 to ≤ 10</t>
  </si>
  <si>
    <t>&gt; 20 to ≤ 35</t>
  </si>
  <si>
    <t>&gt; 35 to ≤ 65</t>
  </si>
  <si>
    <t>&gt; 10 to ≤ 20</t>
  </si>
  <si>
    <t>&gt; 65</t>
  </si>
  <si>
    <t>0 to ≤ 9</t>
  </si>
  <si>
    <t>&gt; 9</t>
  </si>
  <si>
    <t>0 to ≤ 3</t>
  </si>
  <si>
    <t>&gt; 3 to ≤ 8</t>
  </si>
  <si>
    <t>&gt; 8 to ≤ 20</t>
  </si>
  <si>
    <t>&gt; 20</t>
  </si>
  <si>
    <t>Do not delete</t>
  </si>
  <si>
    <t>Peak ($/passenger journey)</t>
  </si>
  <si>
    <t>Range: 0 to 2</t>
  </si>
  <si>
    <t>Range: 1 to 2</t>
  </si>
  <si>
    <t>$/km</t>
  </si>
  <si>
    <t>Car occupancy assumption (PKT/VKT)</t>
  </si>
  <si>
    <t>Per pj</t>
  </si>
  <si>
    <t>Per pkm</t>
  </si>
  <si>
    <t>FF($/PJ)</t>
  </si>
  <si>
    <t>Table 2.1: Train Services</t>
  </si>
  <si>
    <t>Table 2.5: Newcastle Ferry Services</t>
  </si>
  <si>
    <t>Table 2.2: Light Rail Services</t>
  </si>
  <si>
    <t>Table 2.4: Ferry Services</t>
  </si>
  <si>
    <t>Table 2.3: Bus Services</t>
  </si>
  <si>
    <t>Trip length</t>
  </si>
  <si>
    <t>Bus accident parameters</t>
  </si>
  <si>
    <t>Percentage Change</t>
  </si>
  <si>
    <t>$ Change</t>
  </si>
  <si>
    <t>Linear Regression</t>
  </si>
  <si>
    <t>Range: 0% to 100%</t>
  </si>
  <si>
    <t>% diff peak v off-peak</t>
  </si>
  <si>
    <t>Peak v off-peak prices</t>
  </si>
  <si>
    <t>Chart data</t>
  </si>
  <si>
    <t>$ diff : off-peak less peak</t>
  </si>
  <si>
    <t>Range: 3% to 7%</t>
  </si>
  <si>
    <t>Weighted Average Cost of Capital (Real Pre-tax WACC)</t>
  </si>
  <si>
    <t>Range: 0.6 to 1.1</t>
  </si>
  <si>
    <t>Value of time travelled ($/person hour)</t>
  </si>
  <si>
    <t>Range: $10 to $30</t>
  </si>
  <si>
    <t>Green House Gas (cents per VKT)</t>
  </si>
  <si>
    <t>2024-25 determined prices</t>
  </si>
  <si>
    <t>Off-peak discount (excluding ferries)</t>
  </si>
  <si>
    <t>Allocation rates</t>
  </si>
  <si>
    <t>Passenger km calculation</t>
  </si>
  <si>
    <t>Trip length start point</t>
  </si>
  <si>
    <t>Trip length mid point</t>
  </si>
  <si>
    <t>Determination Tables - Estimated ($2022-23)(excluding GST)</t>
  </si>
  <si>
    <t>CPI</t>
  </si>
  <si>
    <t>CPI adjustment required</t>
  </si>
  <si>
    <t>Current prices for fare optimisation analysis</t>
  </si>
  <si>
    <t>Source: TfNSW - Economic Parameter Values 2023.2, '8. Road damage cost' worksheet, E6.</t>
  </si>
  <si>
    <t xml:space="preserve">https://www.transport.nsw.gov.au/system/files/media/documents/2021/PSL%20Rev%20and%20Exp%20.pdf </t>
  </si>
  <si>
    <t>2024-25 applied prices</t>
  </si>
  <si>
    <t>2024-25 determined prices ($, $2024-25)</t>
  </si>
  <si>
    <t>2024-25 actual prices ($, $2024-25)</t>
  </si>
  <si>
    <t>Current Prices ($/passenger journey, $2022-23)</t>
  </si>
  <si>
    <t>Current price (p) ($, $2022-23)</t>
  </si>
  <si>
    <t>Estimated price (p*) ($, $2022-23)</t>
  </si>
  <si>
    <t>Current price (p) ($, $2024-25)</t>
  </si>
  <si>
    <t>Estimated price (p*) ($, $2024-25)</t>
  </si>
  <si>
    <t>Source: Excise duty rates for fuel and petroleum products | Australian Taxation Office (ato.gov.au), 1 July 2024 to 4 August 2024.</t>
  </si>
  <si>
    <t>$2020</t>
  </si>
  <si>
    <t xml:space="preserve">ALL CAPITALS Consumer Price Index </t>
  </si>
  <si>
    <t xml:space="preserve">Percentage rate of change </t>
  </si>
  <si>
    <t>Financial</t>
  </si>
  <si>
    <t xml:space="preserve">         Quarterly Index Numbers</t>
  </si>
  <si>
    <t>Change from the corresponding quarter of the previous year.</t>
  </si>
  <si>
    <t>Average inflation for the year*</t>
  </si>
  <si>
    <t>Previouly called Quarter-on-Quarter</t>
  </si>
  <si>
    <t>Previouly called 'Year-on-Year'.</t>
  </si>
  <si>
    <t xml:space="preserve"> Year</t>
  </si>
  <si>
    <t>SEP</t>
  </si>
  <si>
    <t>DEC</t>
  </si>
  <si>
    <t>MAR</t>
  </si>
  <si>
    <t>JUN</t>
  </si>
  <si>
    <t>Sep-Sep</t>
  </si>
  <si>
    <t>Dec-Dec</t>
  </si>
  <si>
    <t>Mar-Mar</t>
  </si>
  <si>
    <t>Jun-Jun</t>
  </si>
  <si>
    <t>* Average of four quarters/average of four quarters.</t>
  </si>
  <si>
    <t>Updates also available from</t>
  </si>
  <si>
    <t>webpage:</t>
  </si>
  <si>
    <t>www.abs.gov.au</t>
  </si>
  <si>
    <t xml:space="preserve"> </t>
  </si>
  <si>
    <t>2015 - 2016</t>
  </si>
  <si>
    <t>2016 - 2017</t>
  </si>
  <si>
    <t>2017 - 2018</t>
  </si>
  <si>
    <t>2018 - 2019</t>
  </si>
  <si>
    <t>2019 - 2020</t>
  </si>
  <si>
    <t>2020 - 2021</t>
  </si>
  <si>
    <t>2021 - 2022</t>
  </si>
  <si>
    <t>2022 - 2023</t>
  </si>
  <si>
    <t>2023 - 2024</t>
  </si>
  <si>
    <t>2024 - 2025</t>
  </si>
  <si>
    <t>$2022-23</t>
  </si>
  <si>
    <t>PUBLIC TRANSPORT - MARGINAL EXTERNAL COST</t>
  </si>
  <si>
    <t>PUBLIC TRANSPORT - MARGINAL COST</t>
  </si>
  <si>
    <t>FARE OPTIMISATION</t>
  </si>
  <si>
    <t>TRAFFIC ACCIDENTS - MARGINAL EXTERNAL COST</t>
  </si>
  <si>
    <t>2020 Determination Fares ($2024-25)(excluding GST)</t>
  </si>
  <si>
    <t>TfNSW Applied Fares in 2024-25 ($2024-25)(excluding GST)</t>
  </si>
  <si>
    <t>Source: D24/13841, Table 2</t>
  </si>
  <si>
    <t>Source: D24/13841, Table 5, with values divided by 11, and multiplied by 10 to remove the GST.</t>
  </si>
  <si>
    <t>Source: Social Cost of Road Crashes Report for the Bureau of Infrastructure and Transport Research Economics Final report September 2022,The Australian National University (p 4)</t>
  </si>
  <si>
    <t>Source: ABS Consumer Price Index 6401.0</t>
  </si>
  <si>
    <t>Source: https://opendata.transport.nsw.gov.au/dataset/nsw-crash-data, NSW Road Crash Data - 2018-2022 - CRASH.xls</t>
  </si>
  <si>
    <t>Range: $0 to $20</t>
  </si>
  <si>
    <t>Air pollution (cents/passenger km)</t>
  </si>
  <si>
    <t>Source:  TfNSW economic parameters 2020 Tables 37 and 38 p 37 (ferry and LR @ average patronage)</t>
  </si>
  <si>
    <t>GHG (Well to tank)(cents/passenger km)</t>
  </si>
  <si>
    <t>Source: TfNSW economic parameters 2020 Table 45, p 41</t>
  </si>
  <si>
    <t>Source: TfNSW economic parameters 2020 Table 45, p 42</t>
  </si>
  <si>
    <t>Source: TfNSW economic parameters 2020 Table 45, p 43</t>
  </si>
  <si>
    <t>Source: TfNSW economic parameters 2020 Table 45, p 44</t>
  </si>
  <si>
    <t>Check - must = 0</t>
  </si>
  <si>
    <t>Allocate to usage/capacity &amp; PKM/PJ</t>
  </si>
  <si>
    <t>Capacity PKM</t>
  </si>
  <si>
    <t>Allocate to users/government (all modes except buses)</t>
  </si>
  <si>
    <t>Allocate to users/government (buses</t>
  </si>
  <si>
    <t>.</t>
  </si>
  <si>
    <t>DETERMINATION TABLES</t>
  </si>
  <si>
    <t>2020 Determined Fares ($2024-25)</t>
  </si>
  <si>
    <t>Use optimised fares</t>
  </si>
  <si>
    <t>No</t>
  </si>
  <si>
    <t>TfNSW Applied Fares ($2024-25)</t>
  </si>
  <si>
    <t>Max Historical Fares ($2024-25)</t>
  </si>
  <si>
    <t>Lower bound fare constraints assessed against which fare option</t>
  </si>
  <si>
    <t>Lower bound threshold (%)</t>
  </si>
  <si>
    <t>Upper bound fare constraints assessed against which fare option</t>
  </si>
  <si>
    <t xml:space="preserve"> x CPI₁</t>
  </si>
  <si>
    <t xml:space="preserve"> x CPI₂</t>
  </si>
  <si>
    <t xml:space="preserve"> x CPI₃</t>
  </si>
  <si>
    <t>Optimised</t>
  </si>
  <si>
    <t>2020 Determination</t>
  </si>
  <si>
    <t>Current (1 Jul 24)</t>
  </si>
  <si>
    <t>2024-25</t>
  </si>
  <si>
    <t>2025-26</t>
  </si>
  <si>
    <t>2026-27</t>
  </si>
  <si>
    <t>2027-28</t>
  </si>
  <si>
    <t>GST rate</t>
  </si>
  <si>
    <t>Determination Tables - Estimated ($2024-25)(including GST)</t>
  </si>
  <si>
    <t>Upper bound threshold (%)</t>
  </si>
  <si>
    <t>STA Bus</t>
  </si>
  <si>
    <t>M-F</t>
  </si>
  <si>
    <t>Sa-Su</t>
  </si>
  <si>
    <t>Part of week</t>
  </si>
  <si>
    <t>Time mode</t>
  </si>
  <si>
    <t>CONGESTION DATA</t>
  </si>
  <si>
    <t>SGCCSA CRASH INPUTS</t>
  </si>
  <si>
    <t>TRIP INPUTS</t>
  </si>
  <si>
    <t>STM INPUTS</t>
  </si>
  <si>
    <t>COST INPUTS</t>
  </si>
  <si>
    <t>Fare Optimisation Inputs</t>
  </si>
  <si>
    <t>Public transport marginal external cost inputs</t>
  </si>
  <si>
    <t>Traffic accident marginal external cost inputs</t>
  </si>
  <si>
    <t>Mike Smart</t>
  </si>
  <si>
    <t>mike.smart@ipart.nsw.gov.au</t>
  </si>
  <si>
    <r>
      <t>Select 'pre covid' or 'post covid" marginal extern</t>
    </r>
    <r>
      <rPr>
        <sz val="9"/>
        <color theme="1"/>
        <rFont val="Arial"/>
        <family val="2"/>
      </rPr>
      <t>al congestion</t>
    </r>
    <r>
      <rPr>
        <sz val="9"/>
        <rFont val="Arial"/>
        <family val="2"/>
      </rPr>
      <t xml:space="preserve"> costs</t>
    </r>
  </si>
  <si>
    <t>Off-peak ($/passenger journey)</t>
  </si>
  <si>
    <t>Revenue ($m/year)</t>
  </si>
  <si>
    <t>Variable cost ($m/year)</t>
  </si>
  <si>
    <t>subsidy ($m/year)</t>
  </si>
  <si>
    <t>$/passenger journey off-peak</t>
  </si>
  <si>
    <t>Sum of sum by period</t>
  </si>
  <si>
    <t>Green House Gas</t>
  </si>
  <si>
    <t>Distance i, Time-of-day i</t>
  </si>
  <si>
    <t>Social loss per fatality</t>
  </si>
  <si>
    <t>Source: D24/14916, Vehicle Kilometres Travelled worksheet, B7:B18</t>
  </si>
  <si>
    <t>calendar year</t>
  </si>
  <si>
    <t>time period</t>
  </si>
  <si>
    <t>road name</t>
  </si>
  <si>
    <t>classification type</t>
  </si>
  <si>
    <t>traffic count</t>
  </si>
  <si>
    <t>the geom</t>
  </si>
  <si>
    <t>station id</t>
  </si>
  <si>
    <t>cardinal direction name</t>
  </si>
  <si>
    <t>wgs84 latitude</t>
  </si>
  <si>
    <t>wgs84 longitude</t>
  </si>
  <si>
    <t>gccsa 2021 name</t>
  </si>
  <si>
    <t>is weekday flag</t>
  </si>
  <si>
    <t>is school holiday flag</t>
  </si>
  <si>
    <t>is public holiday flag</t>
  </si>
  <si>
    <t>weighted mean speed</t>
  </si>
  <si>
    <t>number of days used ref only</t>
  </si>
  <si>
    <t>Bus Principal, interest prices (contract items 4-8 total)</t>
  </si>
  <si>
    <t>Payroll On Costs</t>
  </si>
  <si>
    <t>Temporary staff</t>
  </si>
  <si>
    <t>Newcastle</t>
  </si>
  <si>
    <t>Opal Fare Review 2024</t>
  </si>
  <si>
    <t>Opal Fares Model</t>
  </si>
  <si>
    <t>Greg McLennan</t>
  </si>
  <si>
    <t>Base on bus (short bands) &amp; rail (long bands)</t>
  </si>
  <si>
    <t>Base on independent prices</t>
  </si>
  <si>
    <t>Please check that all options are feeding into the model correctly.</t>
  </si>
  <si>
    <t>Please check that the chart of the "Scenario Analysis" worksheet is linking through to the correct data.</t>
  </si>
  <si>
    <t>Goods and services tax (GST) | Australian Taxation Office (ato.gov.au)</t>
  </si>
  <si>
    <t>Optimised, 2020 Determined, Current and Historical Fares ($2024-25)(excluding GST)</t>
  </si>
  <si>
    <t>Historical Fares ($2024-25)(excluding GST)</t>
  </si>
  <si>
    <t>Determination Tables - Estimated Fares ($2024-25)(excluding GST)</t>
  </si>
  <si>
    <t>Current applied ex GST</t>
  </si>
  <si>
    <t>Difference</t>
  </si>
  <si>
    <t>Light rail fare composition</t>
  </si>
  <si>
    <t>REQUIRED MATRICES</t>
  </si>
  <si>
    <t>Cyclist moderate injury</t>
  </si>
  <si>
    <t>SENSITIVITY/SCENARIO ANALYSIS</t>
  </si>
  <si>
    <t>Logic Check - three worksheets: complete check of "Determination Tables" &amp; "Scenario Analysis", and a partial check of "General Inputs"</t>
  </si>
  <si>
    <t>For "Determination Tables" &amp; "Scenario Analysis":</t>
  </si>
  <si>
    <t>For "General inputs":</t>
  </si>
  <si>
    <t>Please check formula structure and results of range J31:K62, T34:T67 and AB34:AB67.</t>
  </si>
  <si>
    <t>Input Check - three worksheets: complete check of "Determination Tables" &amp; "Scenario Analysis", and a partial check of "General Inputs"</t>
  </si>
  <si>
    <t>For "General inputs" - please changes ranges Z34:Z67 and AH34:AH67 against source provided (D24/13841).</t>
  </si>
  <si>
    <t>Please check that all functionality and all formula are working as intended, including the data validation and conditional formatting.</t>
  </si>
  <si>
    <t>The model generates fares by travel model by specified distance bands.</t>
  </si>
  <si>
    <t>For "Determination Tables" &amp; "Scenario Analysis" please check inputs if they have a source.</t>
  </si>
  <si>
    <t>General: please give the model a once over for any obvious formatting/presentational issues.</t>
  </si>
  <si>
    <t>'Scenario Analysis'!B141</t>
  </si>
  <si>
    <t>General inputs'!F79</t>
  </si>
  <si>
    <t>General inputs'!J31:K34,
'General inputs'!J39:K42,
'General inputs'!J47:K50,
'General inputs'!J55:K58</t>
  </si>
  <si>
    <t>General inputs'!Z34:Z67</t>
  </si>
  <si>
    <t>checked</t>
  </si>
  <si>
    <t>Scenario Analysis'!I17</t>
  </si>
  <si>
    <t>Scenario Analysis'!G45:J56 &amp; 'Scenario Analysis'!G60:J71</t>
  </si>
  <si>
    <t>Data validation for "per pkm" shows 0 to 1 as limits, not 0.6 to 1.1</t>
  </si>
  <si>
    <t>Data validation for WACC is set to 0 to 10%, not 3% to 7%</t>
  </si>
  <si>
    <t>Scenario Analysis'!I80</t>
  </si>
  <si>
    <t>General inputs'!Z46:Z48</t>
  </si>
  <si>
    <t>General inputs'!Z56</t>
  </si>
  <si>
    <t>Should the heading for column G (cell G54) be "Total annual ownership cost"?</t>
  </si>
  <si>
    <t>MC - public transport'!G54</t>
  </si>
  <si>
    <t>MC - public transport'!C91</t>
  </si>
  <si>
    <t>MEC - traffic congestion'!G57:J57</t>
  </si>
  <si>
    <t>These fields don't have data validation set. Should this be 0 to 100%?</t>
  </si>
  <si>
    <t>Scenario Analysis'!G30:J41</t>
  </si>
  <si>
    <t>Cell P90 uses different formula to calculated the difference (%) - no change in results, but suggest using the same formula as surrounding cells</t>
  </si>
  <si>
    <t>Determination Tables'!K19</t>
  </si>
  <si>
    <t>suggest changing heading to "Max Historical" to make it clear that the max fare across the 3 years is picked up</t>
  </si>
  <si>
    <t>Determination Tables'!P43</t>
  </si>
  <si>
    <t>Determination Tables'!P90</t>
  </si>
  <si>
    <t>If "Yes" is selected in cell K19, cell K31 ("CBD increment removal renenue neutral train adjustment ($)") is blacked out, but still applied in the formulae in cells E45:E49 - is that intended? Should cell K31 not be blacked out?</t>
  </si>
  <si>
    <t>Index of Tables is missing the row numbers</t>
  </si>
  <si>
    <t>MC - public transport'!K8:K13</t>
  </si>
  <si>
    <t>This is the wrong row number for Table 3</t>
  </si>
  <si>
    <t>MEC - traffic congestion'!K10</t>
  </si>
  <si>
    <t>The row numbers in this index table are wrong</t>
  </si>
  <si>
    <t>Fare optimisation'!K8:K14</t>
  </si>
  <si>
    <t>Fare optimisation'!L24:M24</t>
  </si>
  <si>
    <t>suggest noting that these prices are also in $2022-23 for clarity</t>
  </si>
  <si>
    <t>MEC - traffic accidents'!F21 &amp; 'MEC - traffic accidents'!F24</t>
  </si>
  <si>
    <t>This value (pedestrian or cyclist killed) is sourced from TfNSW, Economic Parameter Values 2020 v2.0, Table 33 (human capital approach, rural areas) and is in $2019 (May). Should this be inflated? Also questioning whether the value for "rural areas" is appropriate? PMC (Office of Impact Analysis) suggests a value of a statistical life of $5.4 million ($2023)</t>
  </si>
  <si>
    <t xml:space="preserve">The condition in the IFS formula should be &lt;=, as the upper limit of the distance range in Tables 2.1 to 2.5 is inclusive. Similarly, the last IF-condition should be &gt; in line with the last distance range. Note, with current distance assumptions this does not change results of the model. </t>
  </si>
  <si>
    <t>Midpoint of range 0 to 9 is 4.5, not 2.  Was the 2 selected specifically for Newcastle?</t>
  </si>
  <si>
    <t>Values have been rounded to 2 decimal points (after removing GST). Is this rounding of inputs intended?</t>
  </si>
  <si>
    <t>Table 5 in the source document shows the same fare for distances &gt;20km as for the 8 to 20km distance (greyed out). Noting, that the lower fares are used in the calculations in cell J58 and K58. The higher fares (pro-rata) are used in the sheet Determination Tables. Just noted to make sure this is intended.</t>
  </si>
  <si>
    <t>Table 5 in the source document shows the same fare for distance &gt;20km as for the 8 to 20km distance (greyed out). Also noting, that the lower fare is used in the calculations in cell J42 and K42. The higher fare (pro-rata) is used in the sheet Determination Tables. Just noted to make sure this is intended.</t>
  </si>
  <si>
    <t>Not all fields have data validation set. Should this be 0 to 100% for all fields?</t>
  </si>
  <si>
    <t>Recommend setting up a cross-check similar the group above, assuming each line should not total more than 100%? (This would also help to identify if someone accidentally added values to the blacked out cells - noting that this will not impact the results)</t>
  </si>
  <si>
    <t xml:space="preserve">The unit costs for Table 5 should be $'000 as per source sheet "Cost inputs", cell C233. Note, no impact on calculation/results. The data flows through the model correctly. </t>
  </si>
  <si>
    <t>#DIV/0! Error in Table 2 as "count of traffic volume" set to 0 for public holidays from 2021 onwards. This doesn't have any further impacts on model. Suggest removing errors with iferror()</t>
  </si>
  <si>
    <t>Use of "trip length mid-point" (cell I25) on sheet "trip inputs": For some of the large distances (&gt;=28km, AM Peak North West Metro / &gt;= 48km, AM Peak Bus), 0.5 is not the actual midpoint between the two trip lengths, resulting in lower 'passenger km' for those distances.</t>
  </si>
  <si>
    <t>Use of "trip length start point" (cell I25) on sheet "trip inputs": for very short distance (0 to &lt;1km) the 'passenger km' are zero if start point is selected. Is that the intention?</t>
  </si>
  <si>
    <t>Scenario Analysis'!I25  &amp; Sheet "Trip Inputs"</t>
  </si>
  <si>
    <t>MEC - traffic accidents'!H8:H9</t>
  </si>
  <si>
    <t>Row numbers in the index table are wrong, need to be swapped</t>
  </si>
  <si>
    <t>To convert air pollution and GHG from $/VKT to $/PKT, it should be divided by the occupany (PKT/VKT). The impact on fares is between 2% and 8%.</t>
  </si>
  <si>
    <t>The source document (Table 35) notes that the air pollution estimate (3.77 cents per VKT) is in $2019 (June). This externality should be inflated to $2022-23.</t>
  </si>
  <si>
    <t>Fixed</t>
  </si>
  <si>
    <t>Changed - value has been inflated from June 19 to June 23.</t>
  </si>
  <si>
    <t>Changed</t>
  </si>
  <si>
    <t>Validation added</t>
  </si>
  <si>
    <t>Check - must = OK</t>
  </si>
  <si>
    <t>Validation extended</t>
  </si>
  <si>
    <t>Added</t>
  </si>
  <si>
    <t>Maximum Historical</t>
  </si>
  <si>
    <t>Changed - but that was someone elses work :)</t>
  </si>
  <si>
    <t>No change - the team has selected 2km as the appropriate range for the Newcastle Ferry.</t>
  </si>
  <si>
    <t>No change - the issue you identified is the reason why the mid point option was incorporated. Needed to assess impact of the change. Perhaps the start point option can be removed from the published model.</t>
  </si>
  <si>
    <t>Fixed, I actually fixed this in two other version today</t>
  </si>
  <si>
    <t>Value of statistical life (pmc.gov.au)</t>
  </si>
  <si>
    <t>Source: TfNSW - Economic Parameter Values 2023.2, '3. VOC' worksheet, E389 (midpoint of the range).</t>
  </si>
  <si>
    <t>Fixed - excellent pick up!!</t>
  </si>
  <si>
    <t>Ok as it is because pre GST prices would be set to the nearest cent, and then GST applied. I have applied rounding to Z61:Z62 and the extrapolated values as well for consistency.</t>
  </si>
  <si>
    <t>No change - as intended. But I should remove the extrapolated prices from, and relable the bands in the model which will be published.</t>
  </si>
  <si>
    <t>No change - as intended. But I should remove the extrapolated price from, and relable the band in the model which will be published.</t>
  </si>
  <si>
    <t>Range: 0.01% or 100%</t>
  </si>
  <si>
    <t>No change - the data is presented in 1km bands. If a trip distance is skipped it means there were no trips of that length.</t>
  </si>
  <si>
    <t>Annual ownership costs</t>
  </si>
  <si>
    <t>Changed to annual ownership costs just because there is an adjustment factor which could increase it above total annual ownership costs.</t>
  </si>
  <si>
    <t>Changed (sort of), changed table title to include $2022-23</t>
  </si>
  <si>
    <t>OK - NAR</t>
  </si>
  <si>
    <t>TRAFFIC CONGESTION - MARGINAL EXTERNAL COST</t>
  </si>
  <si>
    <t>CBD increment removal revenue neutral train adjustment ($)</t>
  </si>
  <si>
    <t>Source: Traffic Volume Viewer (nsw.gov.au)</t>
  </si>
  <si>
    <t>https://transportnsw.info/travel-info/ways-to-get-around/train/fleet-facilities</t>
  </si>
  <si>
    <t>Source: Capacity:</t>
  </si>
  <si>
    <t>Source: IPART assumption</t>
  </si>
  <si>
    <t>Source: IPART assumptions</t>
  </si>
  <si>
    <t>rail-&gt;car</t>
  </si>
  <si>
    <t>rail-&gt;bus</t>
  </si>
  <si>
    <t>bus-&gt;car</t>
  </si>
  <si>
    <t>ferry-&gt;car</t>
  </si>
  <si>
    <t>ferry&gt;bus</t>
  </si>
  <si>
    <t>LR-&gt;car</t>
  </si>
  <si>
    <t>LR-&gt;bus</t>
  </si>
  <si>
    <t>COMPARISONS ($2024-25)(ex GST)</t>
  </si>
  <si>
    <t>D24/16156: "FOR GREG" worksheet, G6:I34.</t>
  </si>
  <si>
    <t>-</t>
  </si>
  <si>
    <t>NISC approx 22/23 patronage</t>
  </si>
  <si>
    <t>Bus Patronage - Monthly Figures | Transport for NSW</t>
  </si>
  <si>
    <t>NSW Trains</t>
  </si>
  <si>
    <t>Manly</t>
  </si>
  <si>
    <t>Newcastle services (all modes)</t>
  </si>
  <si>
    <t>OMBSC</t>
  </si>
  <si>
    <t>TOTAL</t>
  </si>
  <si>
    <t>Check must = 0</t>
  </si>
  <si>
    <t>21705.547 D24/9804, Annexure B, Syd Train cost, F10</t>
  </si>
  <si>
    <t>Source:  State of New South Wales (Sydney Metro) Volume 1 of the Sydney Metro Annual report FY 22-23, 2023, p 121 (PDF)</t>
  </si>
  <si>
    <t>Source: D24/16166 - reverse engineered</t>
  </si>
  <si>
    <t>Source: D24/3565, Annexure A, Costs worksheet, L17, L52, L88, L131, L173, L212, and L577.</t>
  </si>
  <si>
    <t>other corporate (finance, SEQR, Comm, Exec)</t>
  </si>
  <si>
    <t>Allocation of revenue protection, high level for light rail, ferries and buses - allocated to one service but these numbers are then aggregated anyway).</t>
  </si>
  <si>
    <t>Source: TfNSW - Economic Parameter Values 2023.2, '6.Environment' worksheet, E12.</t>
  </si>
  <si>
    <t xml:space="preserve">- </t>
  </si>
  <si>
    <t>Average incremental cost for each of the public transport modes on the Opal network.</t>
  </si>
  <si>
    <t>Marginal external cost of the public transport network.</t>
  </si>
  <si>
    <t>Marginal external cost of traffic congestion.</t>
  </si>
  <si>
    <t>Marginal external cost of traffic accidents.</t>
  </si>
  <si>
    <t>HOW DOES THE MODEL WORK?</t>
  </si>
  <si>
    <t>The model calculates socially optimal peak and off-peak fares for the rail, bus, light rail and ferry public transport modes in the Opal network.</t>
  </si>
  <si>
    <t xml:space="preserve">The socially optimal fares for each mode of transportation are then calculated within in an integrated framework (prices are set with a whole of network equilibrium) with </t>
  </si>
  <si>
    <t>The model should be considered in parallel with the Technical paper on calculation socially optimal fares.</t>
  </si>
  <si>
    <t>provide a link to the Technical paper</t>
  </si>
  <si>
    <t>The model performs a range of analyses which feed into the calculation of the socially optimal fares. The preliminary analyses include the calculation of:</t>
  </si>
  <si>
    <t>MODEL STRUCTURE</t>
  </si>
  <si>
    <t>Determination Tables worksheet - options and inputs for setting the determined prices are contained on this worksheet.</t>
  </si>
  <si>
    <t>Scenario Analysis worksheet - options and selected key sensitivity inputs for the optimal fare analysis are contained on this worksheet.</t>
  </si>
  <si>
    <t>The model is run from the Scenario Analysis worksheet, with the fares being presented graphically for instant feedback on the impact of any changes to key option/parameter changes.</t>
  </si>
  <si>
    <t>There are six calculation worksheets, with various degrees of interconnectivity.</t>
  </si>
  <si>
    <t>This worksheet draws the key output from the other calculation worksheet, as well as the 'Scenario Analysis' worksheet.</t>
  </si>
  <si>
    <t xml:space="preserve">The 'Fare optimisation - matrices' worksheet generates all of the matrices which are required to calculate the socially optimal fares. </t>
  </si>
  <si>
    <t>Marginal external cost of cars.</t>
  </si>
  <si>
    <t>The 'MEC - public transport &amp; cars' worksheet calculates the marginal external costs of the public transport and cars.</t>
  </si>
  <si>
    <t xml:space="preserve">The marginal external costs for public transport relate to the benefits of walking, pollution reduction and accident reduction. </t>
  </si>
  <si>
    <t>The marginal external costs for cars relate to cost saved and reduced road damage.</t>
  </si>
  <si>
    <t>Pre-COVID line fit</t>
  </si>
  <si>
    <t>Post-COVID line fit</t>
  </si>
  <si>
    <t>Pre-COVID period</t>
  </si>
  <si>
    <t>Post-COVID period</t>
  </si>
  <si>
    <t>as well as pre and post COVID.</t>
  </si>
  <si>
    <t>Inputs - light blue worksheet tab colour</t>
  </si>
  <si>
    <t>Calculation Worksheets - grey worksheet tab colour</t>
  </si>
  <si>
    <t>Scenario Analysis Worksheets - dark blue worksheet tab colour</t>
  </si>
  <si>
    <r>
      <t xml:space="preserve">There are seven worksheet which require inputs. </t>
    </r>
    <r>
      <rPr>
        <sz val="9"/>
        <color rgb="FFFF0000"/>
        <rFont val="Arial"/>
        <family val="2"/>
      </rPr>
      <t>A number of these worksheets have been removed from this version of the model for confidentiality reasons.</t>
    </r>
  </si>
  <si>
    <t>Green shading has been used to identify calculated values which have been hardcoded.</t>
  </si>
  <si>
    <t>For confidentiality reasons, certain calculations have been removed from the model. Where necessary and appropriate, the calculated values have been hardcoded.</t>
  </si>
  <si>
    <t>Excluding the sensitivity parameters which are available on the 'Scenario Analysis' worksheet, individual inputs and smaller data sets are entered on the 'General inputs' worksheet.</t>
  </si>
  <si>
    <t>Larger data sets are entered on stand alone worksheet which are specific to the type of input.</t>
  </si>
  <si>
    <t>The model has three sections - scenario analysis, calculations and inputs - these are identified by the tab colour.</t>
  </si>
  <si>
    <t>Green cells indicate calculations that have been hardcoded for confidentiality reasons</t>
  </si>
  <si>
    <t>Grey cells indicate values which have been drawn directly from another worksheet.</t>
  </si>
  <si>
    <t>consideration of the preliminary analysis results.</t>
  </si>
  <si>
    <t xml:space="preserve">The 'Fare optimisation' worksheet calculates and presents the socially optimal fares. </t>
  </si>
  <si>
    <t>and by passenger journey and passenger kilometre.</t>
  </si>
  <si>
    <t>The 'MEC - traffic congestion' worksheet calculates the marginal external cost of reduced public roads congestion as a result of public transport patronage by peak and off-peak</t>
  </si>
  <si>
    <t>The 'MEC - traffic accidents' worksheet calculates the social cost of traffic accidents on public roads.</t>
  </si>
  <si>
    <t>Calculation of ticketing and revenue protection staff costs ($'000, $2022-23)</t>
  </si>
  <si>
    <r>
      <t xml:space="preserve">Source: D24/12398 - TfNSW, STM run 3.92 - </t>
    </r>
    <r>
      <rPr>
        <sz val="9"/>
        <color rgb="FFFF0000"/>
        <rFont val="Arial"/>
        <family val="2"/>
      </rPr>
      <t>CONFIDENTIAL</t>
    </r>
    <r>
      <rPr>
        <sz val="9"/>
        <rFont val="Arial"/>
        <family val="2"/>
      </rPr>
      <t>.</t>
    </r>
  </si>
  <si>
    <r>
      <t xml:space="preserve">Source: D24/11407, "speeds" worksheet, provided by TfNSW from HERE data - </t>
    </r>
    <r>
      <rPr>
        <sz val="9"/>
        <color rgb="FFFF0000"/>
        <rFont val="Arial"/>
        <family val="2"/>
      </rPr>
      <t>CONFIDENTIAL</t>
    </r>
    <r>
      <rPr>
        <sz val="9"/>
        <rFont val="Arial"/>
        <family val="2"/>
      </rPr>
      <t>.</t>
    </r>
  </si>
  <si>
    <r>
      <t xml:space="preserve">24/9804: Annexure B, Opal data - Bus, LR and ferry, columns B to  G - </t>
    </r>
    <r>
      <rPr>
        <sz val="9"/>
        <color rgb="FFFF0000"/>
        <rFont val="Arial"/>
        <family val="2"/>
      </rPr>
      <t>CONFIDENTIAL.</t>
    </r>
  </si>
  <si>
    <r>
      <t xml:space="preserve">24/9804: Annexure B, Opal data - train, columns B to G - </t>
    </r>
    <r>
      <rPr>
        <sz val="9"/>
        <color rgb="FFFF0000"/>
        <rFont val="Arial"/>
        <family val="2"/>
      </rPr>
      <t>CONFIDENTIAL</t>
    </r>
    <r>
      <rPr>
        <sz val="9"/>
        <rFont val="Arial"/>
        <family val="2"/>
      </rPr>
      <t>.</t>
    </r>
  </si>
  <si>
    <r>
      <t xml:space="preserve">Source: D24/9804, Annexure B, Syd Trains cost, columns A, B &amp; F - </t>
    </r>
    <r>
      <rPr>
        <sz val="9"/>
        <color rgb="FFFF0000"/>
        <rFont val="Arial"/>
        <family val="2"/>
      </rPr>
      <t>CONFIDENTIAL</t>
    </r>
    <r>
      <rPr>
        <sz val="9"/>
        <rFont val="Arial"/>
        <family val="2"/>
      </rPr>
      <t>.</t>
    </r>
  </si>
  <si>
    <r>
      <t xml:space="preserve">Source: D24/9804, Annexure B, Syd Trains cost, columns A, E &amp; F - </t>
    </r>
    <r>
      <rPr>
        <sz val="9"/>
        <color rgb="FFFF0000"/>
        <rFont val="Arial"/>
        <family val="2"/>
      </rPr>
      <t>CONFIDENTIAL</t>
    </r>
    <r>
      <rPr>
        <sz val="9"/>
        <rFont val="Arial"/>
        <family val="2"/>
      </rPr>
      <t>.</t>
    </r>
  </si>
  <si>
    <r>
      <t xml:space="preserve">Source: D24/9804, Annexure B, Greater Sydney buses, E24:H31, J24:N31, I24:I31/1000 &amp; O24:031/1000 - </t>
    </r>
    <r>
      <rPr>
        <sz val="9"/>
        <color rgb="FFFF0000"/>
        <rFont val="Arial"/>
        <family val="2"/>
      </rPr>
      <t>CONFIDENTIAL</t>
    </r>
    <r>
      <rPr>
        <sz val="9"/>
        <rFont val="Arial"/>
        <family val="2"/>
      </rPr>
      <t>.</t>
    </r>
  </si>
  <si>
    <r>
      <t xml:space="preserve">Source: D24/9804, Annexure B, Outer metropolitan bus, F4:F32 - </t>
    </r>
    <r>
      <rPr>
        <sz val="9"/>
        <color rgb="FFFF0000"/>
        <rFont val="Arial"/>
        <family val="2"/>
      </rPr>
      <t>CONFIDENTIAL</t>
    </r>
    <r>
      <rPr>
        <sz val="9"/>
        <rFont val="Arial"/>
        <family val="2"/>
      </rPr>
      <t>.</t>
    </r>
  </si>
  <si>
    <r>
      <t xml:space="preserve">Source: D24/9804, Annexure B, Manly Fast Ferry, columns G &amp; H - </t>
    </r>
    <r>
      <rPr>
        <sz val="9"/>
        <color rgb="FFFF0000"/>
        <rFont val="Arial"/>
        <family val="2"/>
      </rPr>
      <t>CONFIDENTIAL</t>
    </r>
    <r>
      <rPr>
        <sz val="9"/>
        <rFont val="Arial"/>
        <family val="2"/>
      </rPr>
      <t>.</t>
    </r>
  </si>
  <si>
    <r>
      <t xml:space="preserve">Source: D24/9804, Annexure B, Sydney Ferries, columns F &amp; G - </t>
    </r>
    <r>
      <rPr>
        <sz val="9"/>
        <color rgb="FFFF0000"/>
        <rFont val="Arial"/>
        <family val="2"/>
      </rPr>
      <t>CONFIDENTIAL</t>
    </r>
    <r>
      <rPr>
        <sz val="9"/>
        <rFont val="Arial"/>
        <family val="2"/>
      </rPr>
      <t>.</t>
    </r>
  </si>
  <si>
    <r>
      <t xml:space="preserve">Source: D24/9804, Annexure B, Stockton Ferry cost, columns G &amp; H - </t>
    </r>
    <r>
      <rPr>
        <sz val="9"/>
        <color rgb="FFFF0000"/>
        <rFont val="Arial"/>
        <family val="2"/>
      </rPr>
      <t>CONFIDENTIAL</t>
    </r>
    <r>
      <rPr>
        <sz val="9"/>
        <rFont val="Arial"/>
        <family val="2"/>
      </rPr>
      <t>.</t>
    </r>
  </si>
  <si>
    <r>
      <t xml:space="preserve">Source: D24/9804, Annexure B, light rail, columns B &amp; F - </t>
    </r>
    <r>
      <rPr>
        <sz val="9"/>
        <color rgb="FFFF0000"/>
        <rFont val="Arial"/>
        <family val="2"/>
      </rPr>
      <t>CONFIDENTIAL</t>
    </r>
    <r>
      <rPr>
        <sz val="9"/>
        <rFont val="Arial"/>
        <family val="2"/>
      </rPr>
      <t>.</t>
    </r>
  </si>
  <si>
    <r>
      <t xml:space="preserve">Source: D24/9804, Annexure B, light rail, columns E &amp; F - </t>
    </r>
    <r>
      <rPr>
        <sz val="9"/>
        <color rgb="FFFF0000"/>
        <rFont val="Arial"/>
        <family val="2"/>
      </rPr>
      <t>CONFIDENTIAL</t>
    </r>
    <r>
      <rPr>
        <sz val="9"/>
        <rFont val="Arial"/>
        <family val="2"/>
      </rPr>
      <t>.</t>
    </r>
  </si>
  <si>
    <r>
      <t xml:space="preserve">Source: for number in fleet and replacement costs, D24/3565, Annexure A, Detailed fleet data worksheet - </t>
    </r>
    <r>
      <rPr>
        <sz val="9"/>
        <color rgb="FFFF0000"/>
        <rFont val="Arial"/>
        <family val="2"/>
      </rPr>
      <t>CONFIDENTIAL</t>
    </r>
    <r>
      <rPr>
        <sz val="9"/>
        <rFont val="Arial"/>
        <family val="2"/>
      </rPr>
      <t>.</t>
    </r>
  </si>
  <si>
    <t xml:space="preserve">The 'MC - public transport' worksheet calculates the average incremental cost for the rail, bus, light rail and ferry public transport modes in the Opal network by peak and off-peak </t>
  </si>
  <si>
    <t>Management &amp; Admin staff</t>
  </si>
  <si>
    <t>Source for D177: D24/16841, Sydney Ferries worksheet, F12/1000.</t>
  </si>
  <si>
    <r>
      <t xml:space="preserve">Source: D24/16841, Greater Sydney buses workshett , F5:H19 - </t>
    </r>
    <r>
      <rPr>
        <sz val="9"/>
        <color rgb="FFFF0000"/>
        <rFont val="Arial"/>
        <family val="2"/>
      </rPr>
      <t>CONFIDENTIAL</t>
    </r>
    <r>
      <rPr>
        <sz val="9"/>
        <rFont val="Arial"/>
        <family val="2"/>
      </rPr>
      <t>.</t>
    </r>
  </si>
  <si>
    <t>(L) OTHER OPERATIONAL COSTS</t>
  </si>
  <si>
    <t>(L) other operational costs</t>
  </si>
  <si>
    <t>Source: KPMG Econtech 2009, CGE Analysis of the Current Australian Tax System, KPMG, Canberra. Chart A on p 3 notes the 8% marginal excess burden of taxation for GST</t>
  </si>
  <si>
    <t>Source: see note on input.</t>
  </si>
  <si>
    <t>Rolling Stock cleaning</t>
  </si>
  <si>
    <t>Maintenance Non AWP</t>
  </si>
  <si>
    <t>Customer experience, safety, and other operational costs</t>
  </si>
  <si>
    <t>Fincom, SP&amp;I, ST Exec</t>
  </si>
  <si>
    <t>Insurance &amp; deductibles</t>
  </si>
  <si>
    <t>Accounting adjustment</t>
  </si>
  <si>
    <t xml:space="preserve">1 - Determination Tables worksheet, H36. Rounding has been increased from 2 to 3 decimal places to align with IPART policy. </t>
  </si>
  <si>
    <t>Source: D19/21951, Guide worksheet, rows 47 to 53 for IPART CPI rounding conventions.</t>
  </si>
  <si>
    <t>Only two minor changes have been made since the Draft Model.</t>
  </si>
  <si>
    <t xml:space="preserve">Please check that all other inputs on the Determination Tables &amp; Scenario Analysis worksheets which have been identified with yellow shading in column A </t>
  </si>
  <si>
    <t>are identical between the Draft Report Model (D24/16585) and this Final Report Model.</t>
  </si>
  <si>
    <t xml:space="preserve">Please check that all prices on the Determination Tables worksheet in the range E45:H73 (shaded green in column A) are the same as in the Draft Report Model </t>
  </si>
  <si>
    <t>to two decimal places (ie, the nearst cent).</t>
  </si>
  <si>
    <t>2 - Scenario Analysis worksheet, B144. The hardcoded range parameter has been reduced from 2 in the Draft Report Model (D24/16585) to 1 for this Final Report Model.</t>
  </si>
  <si>
    <t>Source: D24/25807, page 4, comments under 4.1.</t>
  </si>
  <si>
    <t>Checked</t>
  </si>
  <si>
    <t xml:space="preserve">No issues found.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</si>
</sst>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_(* \(#,##0.00\);_(* &quot;-&quot;_);_(@_)"/>
    <numFmt numFmtId="165" formatCode="0.0%"/>
    <numFmt numFmtId="166" formatCode="#,##0.0"/>
    <numFmt numFmtId="167" formatCode="_(* #,##0.0_);_(* \(#,##0.0\);_(* &quot;-&quot;??_);_(@_)"/>
    <numFmt numFmtId="168" formatCode="0.0"/>
    <numFmt numFmtId="169" formatCode="_-* #,##0.0000000000_-;\-* #,##0.0000000000_-;_-* &quot;-&quot;??_-;_-@_-"/>
    <numFmt numFmtId="170" formatCode="_-* #,##0.00000000000_-;\-* #,##0.00000000000_-;_-* &quot;-&quot;??_-;_-@_-"/>
    <numFmt numFmtId="171" formatCode="_(* #,##0_);_(* \(#,##0\);_(* &quot;-&quot;_);_(@_)"/>
    <numFmt numFmtId="172" formatCode="0.0000"/>
    <numFmt numFmtId="173" formatCode="0.0E+00"/>
    <numFmt numFmtId="174" formatCode="#,##0.0000"/>
    <numFmt numFmtId="175" formatCode="#,##0.00000"/>
    <numFmt numFmtId="176" formatCode="0E+00"/>
    <numFmt numFmtId="177" formatCode="0.00000"/>
    <numFmt numFmtId="178" formatCode="0.000"/>
    <numFmt numFmtId="179" formatCode="_-* #,##0.00000_-;\-* #,##0.00000_-;_-* &quot;-&quot;??_-;_-@_-"/>
    <numFmt numFmtId="180" formatCode="0_ ;[Red]\-0\ "/>
    <numFmt numFmtId="181" formatCode="_-* #,##0.0_-;\-* #,##0.0_-;_-* &quot;-&quot;_-;_-@_-"/>
    <numFmt numFmtId="182" formatCode="#,##0.000"/>
  </numFmts>
  <fonts count="63" x14ac:knownFonts="1">
    <font>
      <sz val="9"/>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9"/>
      <name val="Arial"/>
      <family val="2"/>
    </font>
    <font>
      <sz val="9"/>
      <color indexed="14"/>
      <name val="Arial"/>
      <family val="2"/>
    </font>
    <font>
      <sz val="9"/>
      <color indexed="10"/>
      <name val="Arial"/>
      <family val="2"/>
    </font>
    <font>
      <sz val="10"/>
      <name val="Arial"/>
      <family val="2"/>
    </font>
    <font>
      <sz val="9"/>
      <color indexed="12"/>
      <name val="Arial"/>
      <family val="2"/>
    </font>
    <font>
      <b/>
      <sz val="9"/>
      <color indexed="9"/>
      <name val="Arial"/>
      <family val="2"/>
    </font>
    <font>
      <b/>
      <sz val="9"/>
      <color indexed="57"/>
      <name val="Arial"/>
      <family val="2"/>
    </font>
    <font>
      <b/>
      <sz val="14"/>
      <name val="Arial"/>
      <family val="2"/>
    </font>
    <font>
      <b/>
      <sz val="10"/>
      <name val="Arial"/>
      <family val="2"/>
    </font>
    <font>
      <sz val="11"/>
      <name val="Arial"/>
      <family val="2"/>
    </font>
    <font>
      <b/>
      <sz val="12"/>
      <name val="Arial"/>
      <family val="2"/>
    </font>
    <font>
      <b/>
      <sz val="9"/>
      <name val="Arial"/>
      <family val="2"/>
    </font>
    <font>
      <b/>
      <sz val="16"/>
      <name val="Arial"/>
      <family val="2"/>
    </font>
    <font>
      <sz val="12"/>
      <name val="Arial"/>
      <family val="2"/>
    </font>
    <font>
      <u/>
      <sz val="9"/>
      <color theme="10"/>
      <name val="Arial"/>
      <family val="2"/>
    </font>
    <font>
      <b/>
      <sz val="11"/>
      <name val="Arial"/>
      <family val="2"/>
    </font>
    <font>
      <sz val="9"/>
      <color theme="4" tint="0.249977111117893"/>
      <name val="Arial"/>
      <family val="2"/>
    </font>
    <font>
      <b/>
      <sz val="9"/>
      <color rgb="FFFF0000"/>
      <name val="Arial"/>
      <family val="2"/>
    </font>
    <font>
      <sz val="10"/>
      <color indexed="9"/>
      <name val="Arial"/>
      <family val="2"/>
    </font>
    <font>
      <u/>
      <sz val="9"/>
      <name val="Arial"/>
      <family val="2"/>
    </font>
    <font>
      <b/>
      <sz val="12"/>
      <color indexed="12"/>
      <name val="Arial"/>
      <family val="2"/>
    </font>
    <font>
      <i/>
      <sz val="9"/>
      <name val="Arial"/>
      <family val="2"/>
    </font>
    <font>
      <sz val="8"/>
      <color rgb="FF000000"/>
      <name val="Tahoma"/>
      <family val="2"/>
    </font>
    <font>
      <sz val="9"/>
      <color theme="8" tint="-0.249977111117893"/>
      <name val="Arial"/>
      <family val="2"/>
    </font>
    <font>
      <sz val="8"/>
      <color indexed="14"/>
      <name val="Arial"/>
      <family val="2"/>
    </font>
    <font>
      <sz val="10"/>
      <color theme="4"/>
      <name val="Arial"/>
      <family val="2"/>
    </font>
    <font>
      <sz val="9"/>
      <color theme="4"/>
      <name val="Arial"/>
      <family val="2"/>
    </font>
    <font>
      <sz val="8"/>
      <color theme="4"/>
      <name val="Arial"/>
      <family val="2"/>
    </font>
    <font>
      <b/>
      <u/>
      <sz val="9"/>
      <name val="Arial"/>
      <family val="2"/>
    </font>
    <font>
      <b/>
      <sz val="10"/>
      <color indexed="10"/>
      <name val="Arial"/>
      <family val="2"/>
    </font>
    <font>
      <sz val="10"/>
      <name val="Arial Narrow"/>
      <family val="2"/>
    </font>
    <font>
      <b/>
      <sz val="12"/>
      <color indexed="10"/>
      <name val="Arial"/>
      <family val="2"/>
    </font>
    <font>
      <b/>
      <sz val="10"/>
      <color indexed="57"/>
      <name val="Arial"/>
      <family val="2"/>
    </font>
    <font>
      <sz val="9"/>
      <color indexed="81"/>
      <name val="Tahoma"/>
      <family val="2"/>
    </font>
    <font>
      <b/>
      <sz val="9"/>
      <color indexed="81"/>
      <name val="Tahoma"/>
      <family val="2"/>
    </font>
    <font>
      <sz val="8"/>
      <name val="Arial"/>
      <family val="2"/>
    </font>
    <font>
      <sz val="18"/>
      <name val="Arial"/>
      <family val="2"/>
    </font>
    <font>
      <vertAlign val="superscript"/>
      <sz val="18"/>
      <name val="Arial"/>
      <family val="2"/>
    </font>
    <font>
      <vertAlign val="subscript"/>
      <sz val="18"/>
      <name val="Arial"/>
      <family val="2"/>
    </font>
    <font>
      <b/>
      <sz val="18"/>
      <name val="Arial"/>
      <family val="2"/>
    </font>
    <font>
      <sz val="9"/>
      <color theme="0" tint="-0.14999847407452621"/>
      <name val="Arial"/>
      <family val="2"/>
    </font>
    <font>
      <b/>
      <vertAlign val="superscript"/>
      <sz val="12"/>
      <name val="Arial"/>
      <family val="2"/>
    </font>
    <font>
      <b/>
      <vertAlign val="subscript"/>
      <sz val="12"/>
      <name val="Arial"/>
      <family val="2"/>
    </font>
    <font>
      <sz val="9"/>
      <color theme="0" tint="-0.14996795556505021"/>
      <name val="Arial"/>
      <family val="2"/>
    </font>
    <font>
      <sz val="9"/>
      <color rgb="FFFF0000"/>
      <name val="Arial"/>
      <family val="2"/>
    </font>
    <font>
      <sz val="9"/>
      <color theme="1"/>
      <name val="Arial"/>
      <family val="2"/>
    </font>
    <font>
      <b/>
      <sz val="10"/>
      <name val="Helv"/>
    </font>
    <font>
      <b/>
      <sz val="16"/>
      <name val="Helv"/>
    </font>
    <font>
      <b/>
      <sz val="9"/>
      <name val="Helv"/>
    </font>
    <font>
      <sz val="9"/>
      <name val="Helv"/>
    </font>
    <font>
      <sz val="8"/>
      <name val="Helv"/>
    </font>
    <font>
      <b/>
      <sz val="8"/>
      <name val="Helv"/>
    </font>
    <font>
      <sz val="10"/>
      <color indexed="12"/>
      <name val="Arial"/>
      <family val="2"/>
    </font>
    <font>
      <b/>
      <sz val="9"/>
      <color theme="0"/>
      <name val="Arial"/>
      <family val="2"/>
    </font>
    <font>
      <b/>
      <sz val="8"/>
      <color theme="0" tint="-0.499984740745262"/>
      <name val="Arial"/>
      <family val="2"/>
    </font>
    <font>
      <sz val="9"/>
      <color theme="0" tint="-4.9989318521683403E-2"/>
      <name val="Arial"/>
      <family val="2"/>
    </font>
    <font>
      <sz val="9"/>
      <color theme="1" tint="0.499984740745262"/>
      <name val="Arial"/>
      <family val="2"/>
    </font>
    <font>
      <b/>
      <sz val="9"/>
      <color theme="1" tint="0.499984740745262"/>
      <name val="Arial"/>
      <family val="2"/>
    </font>
  </fonts>
  <fills count="20">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18"/>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theme="0"/>
      </patternFill>
    </fill>
    <fill>
      <patternFill patternType="solid">
        <fgColor rgb="FFCCCCFF"/>
        <bgColor indexed="64"/>
      </patternFill>
    </fill>
    <fill>
      <patternFill patternType="solid">
        <fgColor theme="0" tint="-0.14999847407452621"/>
        <bgColor rgb="FF00FFFF"/>
      </patternFill>
    </fill>
    <fill>
      <patternFill patternType="solid">
        <fgColor theme="0"/>
        <bgColor rgb="FF00FFFF"/>
      </patternFill>
    </fill>
    <fill>
      <patternFill patternType="solid">
        <fgColor indexed="18"/>
        <bgColor rgb="FF00FFFF"/>
      </patternFill>
    </fill>
    <fill>
      <patternFill patternType="solid">
        <fgColor theme="0" tint="-0.34998626667073579"/>
        <bgColor indexed="64"/>
      </patternFill>
    </fill>
    <fill>
      <patternFill patternType="solid">
        <fgColor theme="0"/>
        <bgColor indexed="15"/>
      </patternFill>
    </fill>
    <fill>
      <patternFill patternType="solid">
        <fgColor theme="0" tint="-0.24994659260841701"/>
        <bgColor indexed="64"/>
      </patternFill>
    </fill>
    <fill>
      <patternFill patternType="solid">
        <fgColor theme="1"/>
        <bgColor indexed="64"/>
      </patternFill>
    </fill>
    <fill>
      <patternFill patternType="solid">
        <fgColor rgb="FF48B749"/>
        <bgColor indexed="64"/>
      </patternFill>
    </fill>
  </fills>
  <borders count="102">
    <border>
      <left/>
      <right/>
      <top/>
      <bottom/>
      <diagonal/>
    </border>
    <border>
      <left/>
      <right/>
      <top/>
      <bottom style="thin">
        <color indexed="64"/>
      </bottom>
      <diagonal/>
    </border>
    <border>
      <left/>
      <right/>
      <top style="thin">
        <color indexed="64"/>
      </top>
      <bottom/>
      <diagonal/>
    </border>
    <border>
      <left/>
      <right/>
      <top/>
      <bottom style="hair">
        <color indexed="64"/>
      </bottom>
      <diagonal/>
    </border>
    <border>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medium">
        <color indexed="64"/>
      </top>
      <bottom/>
      <diagonal/>
    </border>
    <border>
      <left/>
      <right/>
      <top style="medium">
        <color indexed="64"/>
      </top>
      <bottom style="hair">
        <color indexed="64"/>
      </bottom>
      <diagonal/>
    </border>
    <border>
      <left/>
      <right/>
      <top style="hair">
        <color indexed="64"/>
      </top>
      <bottom style="medium">
        <color indexed="64"/>
      </bottom>
      <diagonal/>
    </border>
    <border>
      <left style="double">
        <color indexed="10"/>
      </left>
      <right/>
      <top/>
      <bottom/>
      <diagonal/>
    </border>
    <border>
      <left/>
      <right style="double">
        <color rgb="FFFF000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double">
        <color indexed="10"/>
      </right>
      <top/>
      <bottom style="medium">
        <color indexed="64"/>
      </bottom>
      <diagonal/>
    </border>
    <border>
      <left style="double">
        <color indexed="10"/>
      </left>
      <right/>
      <top/>
      <bottom style="medium">
        <color indexed="64"/>
      </bottom>
      <diagonal/>
    </border>
    <border>
      <left/>
      <right style="medium">
        <color indexed="64"/>
      </right>
      <top/>
      <bottom style="medium">
        <color indexed="64"/>
      </bottom>
      <diagonal/>
    </border>
    <border>
      <left/>
      <right/>
      <top style="double">
        <color rgb="FFFF0000"/>
      </top>
      <bottom style="double">
        <color rgb="FFFF0000"/>
      </bottom>
      <diagonal/>
    </border>
    <border>
      <left/>
      <right/>
      <top/>
      <bottom style="double">
        <color rgb="FFFF0000"/>
      </bottom>
      <diagonal/>
    </border>
    <border>
      <left/>
      <right/>
      <top style="double">
        <color rgb="FFFF0000"/>
      </top>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theme="0" tint="-0.24994659260841701"/>
      </bottom>
      <diagonal/>
    </border>
    <border>
      <left style="thin">
        <color indexed="64"/>
      </left>
      <right/>
      <top/>
      <bottom style="double">
        <color rgb="FFFF0000"/>
      </bottom>
      <diagonal/>
    </border>
    <border>
      <left style="thin">
        <color indexed="64"/>
      </left>
      <right/>
      <top style="double">
        <color rgb="FFFF0000"/>
      </top>
      <bottom/>
      <diagonal/>
    </border>
    <border>
      <left/>
      <right style="thin">
        <color indexed="64"/>
      </right>
      <top/>
      <bottom style="double">
        <color rgb="FFFF0000"/>
      </bottom>
      <diagonal/>
    </border>
    <border>
      <left/>
      <right style="thin">
        <color indexed="64"/>
      </right>
      <top style="double">
        <color rgb="FFFF0000"/>
      </top>
      <bottom/>
      <diagonal/>
    </border>
    <border>
      <left style="thin">
        <color indexed="64"/>
      </left>
      <right/>
      <top/>
      <bottom style="dotted">
        <color theme="0" tint="-0.24994659260841701"/>
      </bottom>
      <diagonal/>
    </border>
    <border>
      <left style="thin">
        <color indexed="64"/>
      </left>
      <right/>
      <top style="dotted">
        <color theme="0" tint="-0.24994659260841701"/>
      </top>
      <bottom/>
      <diagonal/>
    </border>
    <border>
      <left/>
      <right style="thin">
        <color indexed="64"/>
      </right>
      <top/>
      <bottom style="dotted">
        <color theme="0" tint="-0.24994659260841701"/>
      </bottom>
      <diagonal/>
    </border>
    <border>
      <left/>
      <right style="thin">
        <color indexed="64"/>
      </right>
      <top style="dotted">
        <color theme="0" tint="-0.24994659260841701"/>
      </top>
      <bottom/>
      <diagonal/>
    </border>
    <border>
      <left/>
      <right style="dotted">
        <color theme="0" tint="-0.24994659260841701"/>
      </right>
      <top/>
      <bottom/>
      <diagonal/>
    </border>
    <border>
      <left/>
      <right style="dotted">
        <color theme="0" tint="-0.24994659260841701"/>
      </right>
      <top style="dotted">
        <color theme="0" tint="-0.24994659260841701"/>
      </top>
      <bottom/>
      <diagonal/>
    </border>
    <border>
      <left style="dotted">
        <color theme="0" tint="-0.24994659260841701"/>
      </left>
      <right style="dotted">
        <color theme="0" tint="-0.24994659260841701"/>
      </right>
      <top style="thin">
        <color indexed="64"/>
      </top>
      <bottom style="dotted">
        <color theme="0" tint="-0.24994659260841701"/>
      </bottom>
      <diagonal/>
    </border>
    <border>
      <left style="dotted">
        <color theme="0" tint="-0.24994659260841701"/>
      </left>
      <right style="thin">
        <color indexed="64"/>
      </right>
      <top style="thin">
        <color indexed="64"/>
      </top>
      <bottom style="dotted">
        <color theme="0" tint="-0.24994659260841701"/>
      </bottom>
      <diagonal/>
    </border>
    <border>
      <left style="dotted">
        <color theme="0" tint="-0.24994659260841701"/>
      </left>
      <right style="thin">
        <color indexed="64"/>
      </right>
      <top style="dotted">
        <color theme="0" tint="-0.24994659260841701"/>
      </top>
      <bottom style="dotted">
        <color theme="0" tint="-0.24994659260841701"/>
      </bottom>
      <diagonal/>
    </border>
    <border>
      <left style="thin">
        <color indexed="64"/>
      </left>
      <right style="dotted">
        <color theme="0" tint="-0.24994659260841701"/>
      </right>
      <top style="dotted">
        <color theme="0" tint="-0.24994659260841701"/>
      </top>
      <bottom style="dotted">
        <color theme="0" tint="-0.24994659260841701"/>
      </bottom>
      <diagonal/>
    </border>
    <border>
      <left style="thin">
        <color indexed="64"/>
      </left>
      <right style="dotted">
        <color theme="0" tint="-0.24994659260841701"/>
      </right>
      <top style="dotted">
        <color theme="0" tint="-0.24994659260841701"/>
      </top>
      <bottom style="thin">
        <color indexed="64"/>
      </bottom>
      <diagonal/>
    </border>
    <border>
      <left style="dotted">
        <color theme="0" tint="-0.24994659260841701"/>
      </left>
      <right style="dotted">
        <color theme="0" tint="-0.24994659260841701"/>
      </right>
      <top style="dotted">
        <color theme="0" tint="-0.24994659260841701"/>
      </top>
      <bottom style="thin">
        <color indexed="64"/>
      </bottom>
      <diagonal/>
    </border>
    <border>
      <left style="thin">
        <color indexed="64"/>
      </left>
      <right style="dotted">
        <color theme="0" tint="-0.24994659260841701"/>
      </right>
      <top style="dotted">
        <color theme="0" tint="-0.24994659260841701"/>
      </top>
      <bottom/>
      <diagonal/>
    </border>
    <border>
      <left style="dotted">
        <color theme="0" tint="-0.24994659260841701"/>
      </left>
      <right style="dotted">
        <color theme="0" tint="-0.24994659260841701"/>
      </right>
      <top style="dotted">
        <color theme="0" tint="-0.24994659260841701"/>
      </top>
      <bottom/>
      <diagonal/>
    </border>
    <border>
      <left style="dotted">
        <color theme="0" tint="-0.24994659260841701"/>
      </left>
      <right/>
      <top style="dotted">
        <color theme="0" tint="-0.24994659260841701"/>
      </top>
      <bottom style="dotted">
        <color theme="0" tint="-0.24994659260841701"/>
      </bottom>
      <diagonal/>
    </border>
    <border>
      <left/>
      <right/>
      <top style="dotted">
        <color theme="0" tint="-0.24994659260841701"/>
      </top>
      <bottom style="dotted">
        <color theme="0" tint="-0.24994659260841701"/>
      </bottom>
      <diagonal/>
    </border>
    <border>
      <left/>
      <right style="thin">
        <color indexed="64"/>
      </right>
      <top style="dotted">
        <color theme="0" tint="-0.24994659260841701"/>
      </top>
      <bottom style="dotted">
        <color theme="0" tint="-0.24994659260841701"/>
      </bottom>
      <diagonal/>
    </border>
    <border>
      <left style="double">
        <color rgb="FFFF0000"/>
      </left>
      <right/>
      <top/>
      <bottom/>
      <diagonal/>
    </border>
    <border>
      <left/>
      <right style="double">
        <color rgb="FFFF0000"/>
      </right>
      <top/>
      <bottom style="double">
        <color rgb="FFFF0000"/>
      </bottom>
      <diagonal/>
    </border>
    <border>
      <left style="double">
        <color rgb="FFFF0000"/>
      </left>
      <right/>
      <top/>
      <bottom style="double">
        <color rgb="FFFF0000"/>
      </bottom>
      <diagonal/>
    </border>
    <border>
      <left/>
      <right style="double">
        <color rgb="FFFF0000"/>
      </right>
      <top style="double">
        <color rgb="FFFF0000"/>
      </top>
      <bottom/>
      <diagonal/>
    </border>
    <border>
      <left style="double">
        <color rgb="FFFF0000"/>
      </left>
      <right/>
      <top style="double">
        <color rgb="FFFF0000"/>
      </top>
      <bottom/>
      <diagonal/>
    </border>
    <border>
      <left style="dotted">
        <color theme="0" tint="-0.24994659260841701"/>
      </left>
      <right style="dotted">
        <color theme="0" tint="-0.24994659260841701"/>
      </right>
      <top/>
      <bottom/>
      <diagonal/>
    </border>
    <border>
      <left style="dotted">
        <color theme="0" tint="-0.24994659260841701"/>
      </left>
      <right style="dotted">
        <color theme="0" tint="-0.24994659260841701"/>
      </right>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right style="dotted">
        <color theme="0" tint="-0.24994659260841701"/>
      </right>
      <top/>
      <bottom style="dotted">
        <color theme="0" tint="-0.24994659260841701"/>
      </bottom>
      <diagonal/>
    </border>
    <border>
      <left/>
      <right style="double">
        <color rgb="FFFF0000"/>
      </right>
      <top style="double">
        <color rgb="FFFF0000"/>
      </top>
      <bottom style="double">
        <color rgb="FFFF0000"/>
      </bottom>
      <diagonal/>
    </border>
    <border>
      <left style="double">
        <color rgb="FFFF0000"/>
      </left>
      <right style="thin">
        <color indexed="64"/>
      </right>
      <top style="double">
        <color rgb="FFFF0000"/>
      </top>
      <bottom/>
      <diagonal/>
    </border>
    <border>
      <left style="double">
        <color rgb="FFFF0000"/>
      </left>
      <right style="thin">
        <color indexed="64"/>
      </right>
      <top style="double">
        <color rgb="FFFF0000"/>
      </top>
      <bottom style="double">
        <color rgb="FFFF0000"/>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rgb="FFFF0000"/>
      </left>
      <right style="double">
        <color rgb="FFFF0000"/>
      </right>
      <top/>
      <bottom style="double">
        <color rgb="FFFF0000"/>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style="double">
        <color rgb="FFFF0000"/>
      </left>
      <right style="double">
        <color rgb="FFFF0000"/>
      </right>
      <top style="double">
        <color rgb="FFFF0000"/>
      </top>
      <bottom/>
      <diagonal/>
    </border>
    <border>
      <left style="double">
        <color rgb="FFFF0000"/>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ck">
        <color auto="1"/>
      </top>
      <bottom/>
      <diagonal/>
    </border>
    <border>
      <left style="double">
        <color rgb="FFFF0000"/>
      </left>
      <right style="thin">
        <color indexed="64"/>
      </right>
      <top/>
      <bottom style="double">
        <color rgb="FFFF0000"/>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thin">
        <color indexed="64"/>
      </right>
      <top/>
      <bottom style="dotted">
        <color theme="0" tint="-0.14996795556505021"/>
      </bottom>
      <diagonal/>
    </border>
    <border>
      <left/>
      <right style="dotted">
        <color theme="0" tint="-0.14996795556505021"/>
      </right>
      <top style="dotted">
        <color theme="0" tint="-0.14996795556505021"/>
      </top>
      <bottom style="dotted">
        <color theme="0" tint="-0.14996795556505021"/>
      </bottom>
      <diagonal/>
    </border>
    <border>
      <left style="dotted">
        <color theme="0" tint="-0.14996795556505021"/>
      </left>
      <right style="dotted">
        <color theme="0" tint="-0.14996795556505021"/>
      </right>
      <top style="dotted">
        <color theme="0" tint="-0.14996795556505021"/>
      </top>
      <bottom style="dotted">
        <color theme="0" tint="-0.14996795556505021"/>
      </bottom>
      <diagonal/>
    </border>
    <border>
      <left style="dotted">
        <color theme="0" tint="-0.14996795556505021"/>
      </left>
      <right style="thin">
        <color indexed="64"/>
      </right>
      <top style="dotted">
        <color theme="0" tint="-0.14996795556505021"/>
      </top>
      <bottom style="dotted">
        <color theme="0" tint="-0.14996795556505021"/>
      </bottom>
      <diagonal/>
    </border>
    <border>
      <left/>
      <right style="dotted">
        <color theme="0" tint="-0.14996795556505021"/>
      </right>
      <top style="dotted">
        <color theme="0" tint="-0.14996795556505021"/>
      </top>
      <bottom/>
      <diagonal/>
    </border>
    <border>
      <left style="dotted">
        <color theme="0" tint="-0.14996795556505021"/>
      </left>
      <right style="dotted">
        <color theme="0" tint="-0.14996795556505021"/>
      </right>
      <top style="dotted">
        <color theme="0" tint="-0.14996795556505021"/>
      </top>
      <bottom/>
      <diagonal/>
    </border>
    <border>
      <left style="dotted">
        <color theme="0" tint="-0.14996795556505021"/>
      </left>
      <right style="thin">
        <color indexed="64"/>
      </right>
      <top style="dotted">
        <color theme="0" tint="-0.14996795556505021"/>
      </top>
      <bottom/>
      <diagonal/>
    </border>
    <border>
      <left style="thin">
        <color indexed="64"/>
      </left>
      <right/>
      <top style="double">
        <color rgb="FFFF0000"/>
      </top>
      <bottom style="double">
        <color rgb="FFFF0000"/>
      </bottom>
      <diagonal/>
    </border>
  </borders>
  <cellStyleXfs count="29">
    <xf numFmtId="0" fontId="0" fillId="0" borderId="0"/>
    <xf numFmtId="43" fontId="5" fillId="0" borderId="0" applyFont="0" applyFill="0" applyBorder="0" applyAlignment="0" applyProtection="0"/>
    <xf numFmtId="41" fontId="5" fillId="0" borderId="0" applyFont="0" applyFill="0" applyBorder="0" applyAlignment="0" applyProtection="0"/>
    <xf numFmtId="0" fontId="5" fillId="0" borderId="16" applyNumberFormat="0" applyFont="0" applyFill="0" applyAlignment="0" applyProtection="0"/>
    <xf numFmtId="164" fontId="29" fillId="0" borderId="0" applyNumberFormat="0" applyFill="0" applyBorder="0" applyAlignment="0">
      <alignment horizontal="left"/>
    </xf>
    <xf numFmtId="0" fontId="7" fillId="0" borderId="0" applyNumberFormat="0" applyFill="0" applyBorder="0" applyAlignment="0"/>
    <xf numFmtId="4" fontId="5" fillId="3" borderId="0" applyBorder="0" applyAlignment="0">
      <alignment horizontal="right"/>
      <protection locked="0"/>
    </xf>
    <xf numFmtId="165" fontId="5" fillId="3" borderId="0" applyBorder="0" applyAlignment="0">
      <alignment horizontal="right"/>
      <protection locked="0"/>
    </xf>
    <xf numFmtId="3" fontId="9" fillId="0" borderId="0" applyNumberFormat="0" applyFill="0" applyBorder="0" applyAlignment="0" applyProtection="0">
      <protection locked="0"/>
    </xf>
    <xf numFmtId="41" fontId="10" fillId="4" borderId="0" applyNumberFormat="0" applyBorder="0" applyAlignment="0"/>
    <xf numFmtId="0" fontId="11" fillId="0" borderId="0" applyNumberFormat="0" applyFill="0" applyBorder="0" applyAlignment="0" applyProtection="0"/>
    <xf numFmtId="0" fontId="19" fillId="0" borderId="0" applyNumberFormat="0" applyFill="0" applyBorder="0" applyAlignment="0" applyProtection="0"/>
    <xf numFmtId="166" fontId="5" fillId="10" borderId="0" applyBorder="0" applyAlignment="0">
      <alignment horizontal="right"/>
      <protection locked="0"/>
    </xf>
    <xf numFmtId="165" fontId="5" fillId="2" borderId="0" applyBorder="0" applyAlignment="0">
      <protection locked="0"/>
    </xf>
    <xf numFmtId="0" fontId="22" fillId="8" borderId="0" applyNumberFormat="0" applyBorder="0" applyAlignment="0" applyProtection="0"/>
    <xf numFmtId="165" fontId="5" fillId="10" borderId="0" applyBorder="0" applyAlignment="0">
      <alignment horizontal="left"/>
      <protection locked="0"/>
    </xf>
    <xf numFmtId="166" fontId="5" fillId="2" borderId="1" applyBorder="0" applyAlignment="0">
      <alignment horizontal="right"/>
      <protection locked="0"/>
    </xf>
    <xf numFmtId="9" fontId="23" fillId="0" borderId="0" applyFont="0" applyBorder="0" applyAlignment="0" applyProtection="0"/>
    <xf numFmtId="9" fontId="23" fillId="0" borderId="0" applyFont="0" applyBorder="0" applyAlignment="0" applyProtection="0"/>
    <xf numFmtId="0" fontId="4" fillId="0" borderId="0"/>
    <xf numFmtId="0" fontId="3" fillId="0" borderId="0"/>
    <xf numFmtId="0" fontId="5" fillId="11" borderId="0">
      <alignment vertical="top"/>
    </xf>
    <xf numFmtId="3" fontId="9" fillId="0" borderId="0" applyNumberFormat="0" applyFill="0" applyBorder="0" applyAlignment="0" applyProtection="0">
      <protection locked="0"/>
    </xf>
    <xf numFmtId="0" fontId="2" fillId="0" borderId="0"/>
    <xf numFmtId="9" fontId="5" fillId="0" borderId="0" applyFont="0" applyFill="0" applyBorder="0" applyAlignment="0" applyProtection="0"/>
    <xf numFmtId="3" fontId="57" fillId="0" borderId="0">
      <protection locked="0"/>
    </xf>
    <xf numFmtId="171" fontId="5" fillId="3" borderId="0" applyBorder="0" applyAlignment="0">
      <alignment horizontal="right"/>
      <protection locked="0"/>
    </xf>
    <xf numFmtId="171" fontId="10" fillId="4" borderId="0"/>
    <xf numFmtId="9" fontId="1" fillId="0" borderId="0" applyFont="0" applyFill="0" applyBorder="0" applyAlignment="0" applyProtection="0"/>
  </cellStyleXfs>
  <cellXfs count="683">
    <xf numFmtId="0" fontId="0" fillId="0" borderId="0" xfId="0"/>
    <xf numFmtId="0" fontId="0" fillId="7" borderId="0" xfId="0" applyFill="1"/>
    <xf numFmtId="0" fontId="0" fillId="7" borderId="10" xfId="0" applyFill="1" applyBorder="1"/>
    <xf numFmtId="0" fontId="14" fillId="7" borderId="0" xfId="0" applyFont="1" applyFill="1"/>
    <xf numFmtId="0" fontId="15" fillId="7" borderId="0" xfId="0" applyFont="1" applyFill="1"/>
    <xf numFmtId="166" fontId="5" fillId="2" borderId="0" xfId="16" applyBorder="1" applyAlignment="1">
      <protection locked="0"/>
    </xf>
    <xf numFmtId="0" fontId="0" fillId="0" borderId="0" xfId="0" applyAlignment="1">
      <alignment wrapText="1"/>
    </xf>
    <xf numFmtId="0" fontId="0" fillId="0" borderId="0" xfId="0" applyAlignment="1">
      <alignment horizontal="left"/>
    </xf>
    <xf numFmtId="0" fontId="20" fillId="7" borderId="0" xfId="0" applyFont="1" applyFill="1"/>
    <xf numFmtId="0" fontId="24" fillId="7" borderId="0" xfId="11" applyFont="1" applyFill="1" applyAlignment="1">
      <alignment horizontal="left" vertical="top"/>
    </xf>
    <xf numFmtId="0" fontId="5" fillId="7" borderId="0" xfId="0" applyFont="1" applyFill="1"/>
    <xf numFmtId="0" fontId="5" fillId="0" borderId="0" xfId="0" applyFont="1"/>
    <xf numFmtId="0" fontId="21" fillId="7" borderId="0" xfId="0" applyFont="1" applyFill="1"/>
    <xf numFmtId="0" fontId="16" fillId="7" borderId="0" xfId="0" applyFont="1" applyFill="1"/>
    <xf numFmtId="0" fontId="5" fillId="7" borderId="0" xfId="0" applyFont="1" applyFill="1" applyAlignment="1">
      <alignment horizontal="center"/>
    </xf>
    <xf numFmtId="0" fontId="5" fillId="7" borderId="0" xfId="0" applyFont="1" applyFill="1" applyAlignment="1">
      <alignment horizontal="center" wrapText="1"/>
    </xf>
    <xf numFmtId="0" fontId="16" fillId="7" borderId="0" xfId="0" applyFont="1" applyFill="1" applyAlignment="1">
      <alignment horizontal="center" wrapText="1"/>
    </xf>
    <xf numFmtId="0" fontId="0" fillId="7" borderId="0" xfId="0" applyFill="1" applyAlignment="1">
      <alignment horizontal="center"/>
    </xf>
    <xf numFmtId="17" fontId="0" fillId="7" borderId="13" xfId="0" applyNumberFormat="1" applyFill="1" applyBorder="1" applyAlignment="1">
      <alignment vertical="top" wrapText="1"/>
    </xf>
    <xf numFmtId="0" fontId="0" fillId="7" borderId="13" xfId="0" applyFill="1" applyBorder="1" applyAlignment="1">
      <alignment vertical="top" wrapText="1"/>
    </xf>
    <xf numFmtId="17" fontId="0" fillId="7" borderId="4" xfId="0" applyNumberFormat="1" applyFill="1" applyBorder="1" applyAlignment="1">
      <alignment vertical="top" wrapText="1"/>
    </xf>
    <xf numFmtId="0" fontId="0" fillId="7" borderId="4" xfId="0" applyFill="1" applyBorder="1" applyAlignment="1">
      <alignment vertical="top" wrapText="1"/>
    </xf>
    <xf numFmtId="0" fontId="5" fillId="7" borderId="9" xfId="8" applyNumberFormat="1" applyFont="1" applyFill="1" applyBorder="1" applyAlignment="1" applyProtection="1"/>
    <xf numFmtId="17" fontId="0" fillId="7" borderId="14" xfId="0" applyNumberFormat="1" applyFill="1" applyBorder="1" applyAlignment="1">
      <alignment vertical="top" wrapText="1"/>
    </xf>
    <xf numFmtId="0" fontId="0" fillId="7" borderId="14" xfId="0" applyFill="1" applyBorder="1" applyAlignment="1">
      <alignment vertical="top" wrapText="1"/>
    </xf>
    <xf numFmtId="0" fontId="5" fillId="7" borderId="0" xfId="0" applyFont="1" applyFill="1" applyAlignment="1">
      <alignment horizontal="left"/>
    </xf>
    <xf numFmtId="0" fontId="17" fillId="0" borderId="0" xfId="0" applyFont="1"/>
    <xf numFmtId="0" fontId="20" fillId="0" borderId="0" xfId="0" applyFont="1"/>
    <xf numFmtId="0" fontId="14" fillId="0" borderId="0" xfId="0" applyFont="1"/>
    <xf numFmtId="0" fontId="20" fillId="0" borderId="0" xfId="0" applyFont="1" applyAlignment="1">
      <alignment horizontal="left" vertical="top"/>
    </xf>
    <xf numFmtId="0" fontId="16" fillId="0" borderId="6" xfId="0" applyFont="1" applyBorder="1"/>
    <xf numFmtId="0" fontId="16" fillId="0" borderId="11" xfId="0" applyFont="1" applyBorder="1"/>
    <xf numFmtId="0" fontId="13" fillId="0" borderId="0" xfId="0" applyFont="1"/>
    <xf numFmtId="0" fontId="16" fillId="0" borderId="8" xfId="0" applyFont="1" applyBorder="1" applyAlignment="1">
      <alignment wrapText="1"/>
    </xf>
    <xf numFmtId="0" fontId="16" fillId="0" borderId="0" xfId="0" applyFont="1" applyAlignment="1">
      <alignment wrapText="1"/>
    </xf>
    <xf numFmtId="0" fontId="0" fillId="0" borderId="8" xfId="0" applyBorder="1" applyAlignment="1">
      <alignment wrapText="1"/>
    </xf>
    <xf numFmtId="0" fontId="8" fillId="0" borderId="0" xfId="0" applyFont="1"/>
    <xf numFmtId="0" fontId="16" fillId="0" borderId="7" xfId="0" applyFont="1" applyBorder="1" applyAlignment="1">
      <alignment wrapText="1"/>
    </xf>
    <xf numFmtId="0" fontId="0" fillId="0" borderId="2" xfId="0" applyBorder="1" applyAlignment="1">
      <alignment wrapText="1"/>
    </xf>
    <xf numFmtId="0" fontId="0" fillId="0" borderId="7" xfId="0" applyBorder="1" applyAlignment="1">
      <alignment wrapText="1"/>
    </xf>
    <xf numFmtId="0" fontId="0" fillId="0" borderId="9" xfId="0" applyBorder="1" applyAlignment="1">
      <alignment wrapText="1"/>
    </xf>
    <xf numFmtId="0" fontId="0" fillId="0" borderId="1" xfId="0" applyBorder="1" applyAlignment="1">
      <alignment wrapText="1"/>
    </xf>
    <xf numFmtId="0" fontId="16" fillId="0" borderId="0" xfId="0" applyFont="1"/>
    <xf numFmtId="0" fontId="15" fillId="0" borderId="0" xfId="0" applyFont="1"/>
    <xf numFmtId="0" fontId="25" fillId="0" borderId="0" xfId="8" applyNumberFormat="1" applyFont="1" applyFill="1" applyAlignment="1" applyProtection="1"/>
    <xf numFmtId="0" fontId="14" fillId="0" borderId="0" xfId="0" applyFont="1" applyAlignment="1">
      <alignment horizontal="left" vertical="top"/>
    </xf>
    <xf numFmtId="0" fontId="0" fillId="0" borderId="0" xfId="0" applyAlignment="1">
      <alignment horizontal="left" vertical="top"/>
    </xf>
    <xf numFmtId="0" fontId="0" fillId="0" borderId="3" xfId="0" applyBorder="1"/>
    <xf numFmtId="0" fontId="20" fillId="9" borderId="0" xfId="0" applyFont="1" applyFill="1"/>
    <xf numFmtId="0" fontId="0" fillId="9" borderId="0" xfId="0" applyFill="1"/>
    <xf numFmtId="0" fontId="0" fillId="0" borderId="0" xfId="0" applyAlignment="1">
      <alignment horizontal="center" vertical="top"/>
    </xf>
    <xf numFmtId="0" fontId="14" fillId="9" borderId="0" xfId="0" applyFont="1" applyFill="1"/>
    <xf numFmtId="4" fontId="0" fillId="3" borderId="0" xfId="6" applyFont="1" applyBorder="1" applyAlignment="1">
      <alignment horizontal="left"/>
      <protection locked="0"/>
    </xf>
    <xf numFmtId="166" fontId="0" fillId="2" borderId="0" xfId="16" applyFont="1" applyBorder="1" applyAlignment="1">
      <protection locked="0"/>
    </xf>
    <xf numFmtId="167" fontId="9" fillId="0" borderId="0" xfId="1" applyNumberFormat="1" applyFont="1" applyFill="1" applyBorder="1" applyAlignment="1">
      <alignment horizontal="left"/>
    </xf>
    <xf numFmtId="167" fontId="10" fillId="4" borderId="0" xfId="9" applyNumberFormat="1" applyBorder="1" applyAlignment="1">
      <alignment horizontal="left"/>
    </xf>
    <xf numFmtId="167" fontId="6" fillId="0" borderId="0" xfId="4" applyNumberFormat="1" applyFont="1" applyFill="1" applyBorder="1" applyAlignment="1">
      <alignment horizontal="left"/>
    </xf>
    <xf numFmtId="167" fontId="6" fillId="0" borderId="0" xfId="1" applyNumberFormat="1" applyFont="1" applyFill="1" applyBorder="1" applyAlignment="1">
      <alignment horizontal="left"/>
    </xf>
    <xf numFmtId="167" fontId="7" fillId="0" borderId="0" xfId="5" applyNumberFormat="1" applyFill="1" applyBorder="1" applyAlignment="1">
      <alignment horizontal="left"/>
    </xf>
    <xf numFmtId="167" fontId="7" fillId="0" borderId="0" xfId="1" applyNumberFormat="1" applyFont="1" applyFill="1" applyBorder="1" applyAlignment="1">
      <alignment horizontal="left"/>
    </xf>
    <xf numFmtId="167" fontId="0" fillId="0" borderId="15" xfId="1" applyNumberFormat="1" applyFont="1" applyBorder="1" applyAlignment="1">
      <alignment horizontal="left"/>
    </xf>
    <xf numFmtId="167" fontId="0" fillId="0" borderId="0" xfId="1" applyNumberFormat="1" applyFont="1" applyBorder="1" applyAlignment="1">
      <alignment horizontal="left"/>
    </xf>
    <xf numFmtId="0" fontId="0" fillId="7" borderId="0" xfId="0" applyFill="1" applyAlignment="1">
      <alignment wrapText="1"/>
    </xf>
    <xf numFmtId="0" fontId="5" fillId="7" borderId="0" xfId="0" applyFont="1" applyFill="1" applyAlignment="1">
      <alignment wrapText="1"/>
    </xf>
    <xf numFmtId="0" fontId="5" fillId="0" borderId="0" xfId="0" applyFont="1" applyAlignment="1">
      <alignment wrapText="1"/>
    </xf>
    <xf numFmtId="0" fontId="28" fillId="7" borderId="0" xfId="0" applyFont="1" applyFill="1"/>
    <xf numFmtId="0" fontId="28" fillId="7" borderId="0" xfId="0" applyFont="1" applyFill="1" applyAlignment="1">
      <alignment wrapText="1"/>
    </xf>
    <xf numFmtId="167" fontId="9" fillId="0" borderId="0" xfId="8" applyNumberFormat="1" applyFill="1" applyBorder="1" applyAlignment="1" applyProtection="1">
      <alignment horizontal="left"/>
    </xf>
    <xf numFmtId="0" fontId="0" fillId="0" borderId="16" xfId="3" applyFont="1" applyFill="1" applyAlignment="1"/>
    <xf numFmtId="0" fontId="3" fillId="0" borderId="0" xfId="20"/>
    <xf numFmtId="164" fontId="6" fillId="0" borderId="0" xfId="20" applyNumberFormat="1" applyFont="1" applyAlignment="1">
      <alignment horizontal="left"/>
    </xf>
    <xf numFmtId="0" fontId="3" fillId="5" borderId="0" xfId="20" applyFill="1" applyAlignment="1">
      <alignment wrapText="1"/>
    </xf>
    <xf numFmtId="0" fontId="3" fillId="6" borderId="0" xfId="20" applyFill="1" applyAlignment="1">
      <alignment wrapText="1"/>
    </xf>
    <xf numFmtId="0" fontId="12" fillId="0" borderId="0" xfId="20" applyFont="1"/>
    <xf numFmtId="0" fontId="3" fillId="5" borderId="5" xfId="20" applyFill="1" applyBorder="1" applyAlignment="1">
      <alignment wrapText="1"/>
    </xf>
    <xf numFmtId="0" fontId="3" fillId="5" borderId="5" xfId="20" applyFill="1" applyBorder="1" applyAlignment="1">
      <alignment horizontal="right" wrapText="1"/>
    </xf>
    <xf numFmtId="0" fontId="3" fillId="5" borderId="5" xfId="20" quotePrefix="1" applyFill="1" applyBorder="1" applyAlignment="1">
      <alignment wrapText="1"/>
    </xf>
    <xf numFmtId="0" fontId="3" fillId="5" borderId="0" xfId="20" applyFill="1" applyAlignment="1">
      <alignment horizontal="left" indent="1"/>
    </xf>
    <xf numFmtId="0" fontId="3" fillId="0" borderId="0" xfId="20" applyAlignment="1">
      <alignment wrapText="1"/>
    </xf>
    <xf numFmtId="0" fontId="0" fillId="7" borderId="3" xfId="0" applyFill="1" applyBorder="1"/>
    <xf numFmtId="0" fontId="0" fillId="7" borderId="4" xfId="0" applyFill="1" applyBorder="1"/>
    <xf numFmtId="15" fontId="0" fillId="7" borderId="4" xfId="0" applyNumberFormat="1" applyFill="1" applyBorder="1" applyAlignment="1">
      <alignment horizontal="left"/>
    </xf>
    <xf numFmtId="0" fontId="30" fillId="7" borderId="0" xfId="0" applyFont="1" applyFill="1"/>
    <xf numFmtId="15" fontId="0" fillId="7" borderId="0" xfId="0" applyNumberFormat="1" applyFill="1" applyAlignment="1">
      <alignment horizontal="left"/>
    </xf>
    <xf numFmtId="0" fontId="15" fillId="9" borderId="0" xfId="0" applyFont="1" applyFill="1"/>
    <xf numFmtId="0" fontId="31" fillId="7" borderId="0" xfId="0" applyFont="1" applyFill="1"/>
    <xf numFmtId="0" fontId="21" fillId="0" borderId="0" xfId="0" applyFont="1"/>
    <xf numFmtId="0" fontId="0" fillId="7" borderId="12" xfId="0" applyFill="1" applyBorder="1" applyAlignment="1">
      <alignment horizontal="left" vertical="top"/>
    </xf>
    <xf numFmtId="0" fontId="0" fillId="7" borderId="12" xfId="0" applyFill="1" applyBorder="1" applyAlignment="1">
      <alignment horizontal="left"/>
    </xf>
    <xf numFmtId="0" fontId="0" fillId="7" borderId="0" xfId="0" applyFill="1" applyAlignment="1">
      <alignment horizontal="left" vertical="top"/>
    </xf>
    <xf numFmtId="0" fontId="0" fillId="7" borderId="0" xfId="0" applyFill="1" applyAlignment="1">
      <alignment horizontal="left"/>
    </xf>
    <xf numFmtId="0" fontId="0" fillId="7" borderId="10" xfId="0" applyFill="1" applyBorder="1" applyAlignment="1">
      <alignment horizontal="left"/>
    </xf>
    <xf numFmtId="0" fontId="16" fillId="7" borderId="0" xfId="0" applyFont="1" applyFill="1" applyAlignment="1">
      <alignment horizontal="right"/>
    </xf>
    <xf numFmtId="0" fontId="31" fillId="7" borderId="0" xfId="0" applyFont="1" applyFill="1" applyAlignment="1">
      <alignment horizontal="right" vertical="top"/>
    </xf>
    <xf numFmtId="0" fontId="31" fillId="7" borderId="0" xfId="0" applyFont="1" applyFill="1" applyAlignment="1">
      <alignment horizontal="right" vertical="top" wrapText="1"/>
    </xf>
    <xf numFmtId="0" fontId="32" fillId="7" borderId="0" xfId="0" applyFont="1" applyFill="1"/>
    <xf numFmtId="0" fontId="26" fillId="7" borderId="0" xfId="0" applyFont="1" applyFill="1"/>
    <xf numFmtId="0" fontId="0" fillId="7" borderId="7" xfId="0" applyFill="1" applyBorder="1"/>
    <xf numFmtId="0" fontId="0" fillId="7" borderId="8" xfId="0" applyFill="1" applyBorder="1"/>
    <xf numFmtId="0" fontId="0" fillId="7" borderId="6" xfId="0" applyFill="1" applyBorder="1"/>
    <xf numFmtId="0" fontId="0" fillId="7" borderId="9" xfId="0" applyFill="1" applyBorder="1"/>
    <xf numFmtId="0" fontId="0" fillId="7" borderId="2" xfId="0" applyFill="1" applyBorder="1"/>
    <xf numFmtId="0" fontId="16" fillId="7" borderId="0" xfId="0" applyFont="1" applyFill="1" applyAlignment="1">
      <alignment horizontal="left"/>
    </xf>
    <xf numFmtId="0" fontId="16" fillId="7" borderId="0" xfId="0" applyFont="1" applyFill="1" applyAlignment="1">
      <alignment wrapText="1"/>
    </xf>
    <xf numFmtId="0" fontId="18" fillId="7" borderId="0" xfId="0" applyFont="1" applyFill="1"/>
    <xf numFmtId="0" fontId="14" fillId="7" borderId="0" xfId="0" applyFont="1" applyFill="1" applyAlignment="1">
      <alignment horizontal="center" vertical="top" wrapText="1"/>
    </xf>
    <xf numFmtId="0" fontId="0" fillId="7" borderId="10" xfId="0" applyFill="1" applyBorder="1" applyAlignment="1">
      <alignment horizontal="center" wrapText="1"/>
    </xf>
    <xf numFmtId="0" fontId="5" fillId="7" borderId="7" xfId="0" applyFont="1" applyFill="1" applyBorder="1"/>
    <xf numFmtId="0" fontId="5" fillId="7" borderId="8" xfId="0" applyFont="1" applyFill="1" applyBorder="1"/>
    <xf numFmtId="0" fontId="0" fillId="0" borderId="8" xfId="0" applyBorder="1"/>
    <xf numFmtId="0" fontId="12" fillId="0" borderId="0" xfId="0" applyFont="1"/>
    <xf numFmtId="0" fontId="0" fillId="5" borderId="0" xfId="0" applyFill="1" applyAlignment="1">
      <alignment wrapText="1"/>
    </xf>
    <xf numFmtId="0" fontId="34" fillId="0" borderId="0" xfId="0" applyFont="1"/>
    <xf numFmtId="0" fontId="35" fillId="0" borderId="0" xfId="0" applyFont="1"/>
    <xf numFmtId="0" fontId="8" fillId="5" borderId="0" xfId="0" applyFont="1" applyFill="1" applyAlignment="1">
      <alignment wrapText="1"/>
    </xf>
    <xf numFmtId="0" fontId="36" fillId="0" borderId="0" xfId="0" applyFont="1"/>
    <xf numFmtId="0" fontId="0" fillId="0" borderId="17" xfId="0" applyBorder="1"/>
    <xf numFmtId="0" fontId="15" fillId="0" borderId="12" xfId="0" applyFont="1" applyBorder="1"/>
    <xf numFmtId="0" fontId="0" fillId="0" borderId="12" xfId="0" applyBorder="1" applyAlignment="1">
      <alignment wrapText="1"/>
    </xf>
    <xf numFmtId="0" fontId="8" fillId="0" borderId="12" xfId="0" applyFont="1" applyBorder="1" applyAlignment="1">
      <alignment horizontal="center"/>
    </xf>
    <xf numFmtId="0" fontId="8" fillId="0" borderId="18" xfId="0" applyFont="1" applyBorder="1" applyAlignment="1">
      <alignment horizontal="center"/>
    </xf>
    <xf numFmtId="4" fontId="5" fillId="3" borderId="19" xfId="6" applyBorder="1" applyAlignment="1">
      <alignment horizontal="left"/>
      <protection locked="0"/>
    </xf>
    <xf numFmtId="4" fontId="5" fillId="3" borderId="0" xfId="6" applyBorder="1" applyAlignment="1">
      <protection locked="0"/>
    </xf>
    <xf numFmtId="4" fontId="5" fillId="3" borderId="0" xfId="6" applyBorder="1" applyAlignment="1">
      <alignment wrapText="1"/>
      <protection locked="0"/>
    </xf>
    <xf numFmtId="165" fontId="5" fillId="3" borderId="20" xfId="7" applyBorder="1" applyAlignment="1">
      <protection locked="0"/>
    </xf>
    <xf numFmtId="166" fontId="5" fillId="2" borderId="19" xfId="16" applyBorder="1" applyAlignment="1">
      <alignment horizontal="left"/>
      <protection locked="0"/>
    </xf>
    <xf numFmtId="166" fontId="5" fillId="2" borderId="0" xfId="16" applyBorder="1" applyAlignment="1">
      <alignment horizontal="left"/>
      <protection locked="0"/>
    </xf>
    <xf numFmtId="166" fontId="5" fillId="2" borderId="0" xfId="16" applyBorder="1" applyAlignment="1">
      <alignment wrapText="1"/>
      <protection locked="0"/>
    </xf>
    <xf numFmtId="165" fontId="5" fillId="2" borderId="20" xfId="13" applyBorder="1" applyAlignment="1">
      <alignment horizontal="right"/>
      <protection locked="0"/>
    </xf>
    <xf numFmtId="0" fontId="9" fillId="0" borderId="19" xfId="8" applyNumberFormat="1" applyBorder="1" applyProtection="1"/>
    <xf numFmtId="0" fontId="37" fillId="0" borderId="0" xfId="0" applyFont="1"/>
    <xf numFmtId="0" fontId="0" fillId="0" borderId="20" xfId="0" applyBorder="1" applyAlignment="1">
      <alignment wrapText="1"/>
    </xf>
    <xf numFmtId="0" fontId="10" fillId="4" borderId="19" xfId="9" applyNumberFormat="1" applyBorder="1" applyAlignment="1"/>
    <xf numFmtId="0" fontId="11" fillId="0" borderId="19" xfId="10" applyBorder="1" applyAlignment="1"/>
    <xf numFmtId="0" fontId="29" fillId="0" borderId="19" xfId="4" applyNumberFormat="1" applyBorder="1" applyAlignment="1">
      <alignment horizontal="left"/>
    </xf>
    <xf numFmtId="0" fontId="6" fillId="0" borderId="0" xfId="0" applyFont="1" applyAlignment="1">
      <alignment horizontal="left"/>
    </xf>
    <xf numFmtId="0" fontId="7" fillId="0" borderId="19" xfId="5" applyBorder="1" applyAlignment="1"/>
    <xf numFmtId="0" fontId="7" fillId="0" borderId="0" xfId="0" applyFont="1"/>
    <xf numFmtId="0" fontId="0" fillId="0" borderId="21" xfId="0" applyBorder="1"/>
    <xf numFmtId="0" fontId="0" fillId="0" borderId="10" xfId="0" applyBorder="1"/>
    <xf numFmtId="0" fontId="0" fillId="0" borderId="22" xfId="0" applyBorder="1"/>
    <xf numFmtId="0" fontId="0" fillId="0" borderId="10" xfId="0" applyBorder="1" applyAlignment="1">
      <alignment wrapText="1"/>
    </xf>
    <xf numFmtId="0" fontId="0" fillId="0" borderId="22" xfId="0" applyBorder="1" applyAlignment="1">
      <alignment wrapText="1"/>
    </xf>
    <xf numFmtId="0" fontId="0" fillId="0" borderId="23" xfId="0" applyBorder="1"/>
    <xf numFmtId="0" fontId="0" fillId="0" borderId="24" xfId="0" applyBorder="1" applyAlignment="1">
      <alignment wrapText="1"/>
    </xf>
    <xf numFmtId="4" fontId="11" fillId="3" borderId="0" xfId="10" applyNumberFormat="1" applyFill="1" applyBorder="1" applyAlignment="1" applyProtection="1">
      <alignment horizontal="left"/>
      <protection locked="0"/>
    </xf>
    <xf numFmtId="4" fontId="5" fillId="3" borderId="0" xfId="6" applyBorder="1" applyAlignment="1">
      <alignment horizontal="left"/>
      <protection locked="0"/>
    </xf>
    <xf numFmtId="4" fontId="7" fillId="3" borderId="0" xfId="5" applyNumberFormat="1" applyFill="1" applyBorder="1" applyAlignment="1">
      <alignment horizontal="left"/>
    </xf>
    <xf numFmtId="0" fontId="12" fillId="0" borderId="17" xfId="0" applyFont="1" applyBorder="1"/>
    <xf numFmtId="0" fontId="12" fillId="0" borderId="12" xfId="0" applyFont="1" applyBorder="1"/>
    <xf numFmtId="0" fontId="8" fillId="0" borderId="0" xfId="0" applyFont="1" applyAlignment="1">
      <alignment horizontal="right"/>
    </xf>
    <xf numFmtId="166" fontId="5" fillId="2" borderId="0" xfId="16" applyBorder="1" applyAlignment="1">
      <alignment horizontal="right"/>
      <protection locked="0"/>
    </xf>
    <xf numFmtId="166" fontId="5" fillId="10" borderId="19" xfId="12" applyBorder="1">
      <alignment horizontal="right"/>
      <protection locked="0"/>
    </xf>
    <xf numFmtId="166" fontId="5" fillId="10" borderId="0" xfId="12" applyBorder="1">
      <alignment horizontal="right"/>
      <protection locked="0"/>
    </xf>
    <xf numFmtId="165" fontId="5" fillId="10" borderId="20" xfId="15" applyBorder="1" applyAlignment="1">
      <alignment horizontal="right"/>
      <protection locked="0"/>
    </xf>
    <xf numFmtId="0" fontId="0" fillId="0" borderId="20" xfId="0" applyBorder="1"/>
    <xf numFmtId="0" fontId="29" fillId="0" borderId="21" xfId="4" applyNumberFormat="1" applyBorder="1" applyAlignment="1">
      <alignment horizontal="left"/>
    </xf>
    <xf numFmtId="0" fontId="6" fillId="0" borderId="10" xfId="0" applyFont="1" applyBorder="1" applyAlignment="1">
      <alignment horizontal="left"/>
    </xf>
    <xf numFmtId="0" fontId="0" fillId="0" borderId="24" xfId="0" applyBorder="1"/>
    <xf numFmtId="9" fontId="22" fillId="8" borderId="0" xfId="14" applyNumberFormat="1" applyBorder="1" applyAlignment="1"/>
    <xf numFmtId="0" fontId="22" fillId="8" borderId="0" xfId="14" applyAlignment="1">
      <alignment horizontal="left"/>
    </xf>
    <xf numFmtId="0" fontId="22" fillId="8" borderId="0" xfId="14"/>
    <xf numFmtId="0" fontId="5" fillId="11" borderId="0" xfId="21">
      <alignment vertical="top"/>
    </xf>
    <xf numFmtId="0" fontId="0" fillId="0" borderId="0" xfId="0" applyAlignment="1">
      <alignment horizontal="right"/>
    </xf>
    <xf numFmtId="4" fontId="0" fillId="0" borderId="0" xfId="0" applyNumberFormat="1"/>
    <xf numFmtId="4" fontId="0" fillId="0" borderId="26" xfId="0" applyNumberFormat="1" applyBorder="1"/>
    <xf numFmtId="4" fontId="0" fillId="0" borderId="27" xfId="0" applyNumberFormat="1" applyBorder="1"/>
    <xf numFmtId="4" fontId="5" fillId="7" borderId="27" xfId="6" applyFill="1" applyBorder="1" applyAlignment="1">
      <protection locked="0"/>
    </xf>
    <xf numFmtId="0" fontId="41" fillId="0" borderId="0" xfId="0" applyFont="1" applyAlignment="1">
      <alignment horizontal="center"/>
    </xf>
    <xf numFmtId="43" fontId="0" fillId="0" borderId="0" xfId="0" applyNumberFormat="1"/>
    <xf numFmtId="1" fontId="0" fillId="0" borderId="28" xfId="0" applyNumberFormat="1" applyBorder="1" applyAlignment="1">
      <alignment horizontal="right"/>
    </xf>
    <xf numFmtId="0" fontId="0" fillId="0" borderId="28" xfId="0" applyBorder="1" applyAlignment="1">
      <alignment horizontal="right"/>
    </xf>
    <xf numFmtId="4" fontId="0" fillId="0" borderId="28" xfId="0" applyNumberFormat="1" applyBorder="1" applyAlignment="1">
      <alignment horizontal="right"/>
    </xf>
    <xf numFmtId="3" fontId="0" fillId="0" borderId="28" xfId="0" applyNumberFormat="1" applyBorder="1" applyAlignment="1">
      <alignment horizontal="right"/>
    </xf>
    <xf numFmtId="0" fontId="0" fillId="0" borderId="29" xfId="0" applyBorder="1"/>
    <xf numFmtId="0" fontId="0" fillId="0" borderId="30" xfId="0" applyBorder="1"/>
    <xf numFmtId="0" fontId="0" fillId="0" borderId="30" xfId="0" applyBorder="1" applyAlignment="1">
      <alignment horizontal="right"/>
    </xf>
    <xf numFmtId="0" fontId="0" fillId="0" borderId="31" xfId="0" applyBorder="1"/>
    <xf numFmtId="0" fontId="16" fillId="0" borderId="29" xfId="0" applyFont="1" applyBorder="1"/>
    <xf numFmtId="0" fontId="0" fillId="0" borderId="31" xfId="0" applyBorder="1" applyAlignment="1">
      <alignment horizontal="right"/>
    </xf>
    <xf numFmtId="0" fontId="16" fillId="0" borderId="30" xfId="0" applyFont="1" applyBorder="1"/>
    <xf numFmtId="0" fontId="16" fillId="0" borderId="31" xfId="0" applyFont="1" applyBorder="1"/>
    <xf numFmtId="0" fontId="16" fillId="0" borderId="28" xfId="0" applyFont="1" applyBorder="1"/>
    <xf numFmtId="2" fontId="0" fillId="0" borderId="0" xfId="0" applyNumberFormat="1"/>
    <xf numFmtId="0" fontId="44" fillId="0" borderId="0" xfId="0" applyFont="1"/>
    <xf numFmtId="0" fontId="5" fillId="0" borderId="0" xfId="0" applyFont="1" applyAlignment="1">
      <alignment horizontal="right"/>
    </xf>
    <xf numFmtId="171" fontId="9" fillId="0" borderId="0" xfId="22" applyNumberFormat="1" applyProtection="1"/>
    <xf numFmtId="0" fontId="5" fillId="0" borderId="2" xfId="0" applyFont="1" applyBorder="1"/>
    <xf numFmtId="0" fontId="0" fillId="0" borderId="32" xfId="0" applyBorder="1"/>
    <xf numFmtId="0" fontId="0" fillId="0" borderId="2" xfId="0" applyBorder="1"/>
    <xf numFmtId="0" fontId="0" fillId="0" borderId="33" xfId="0" applyBorder="1"/>
    <xf numFmtId="0" fontId="0" fillId="0" borderId="34" xfId="0" applyBorder="1"/>
    <xf numFmtId="0" fontId="16" fillId="0" borderId="0" xfId="0" applyFont="1" applyAlignment="1">
      <alignment horizontal="right"/>
    </xf>
    <xf numFmtId="0" fontId="0" fillId="0" borderId="35" xfId="0" applyBorder="1" applyAlignment="1">
      <alignment horizontal="right"/>
    </xf>
    <xf numFmtId="3" fontId="0" fillId="0" borderId="0" xfId="0" applyNumberFormat="1"/>
    <xf numFmtId="0" fontId="0" fillId="0" borderId="35" xfId="0" applyBorder="1"/>
    <xf numFmtId="0" fontId="0" fillId="0" borderId="36" xfId="0" applyBorder="1"/>
    <xf numFmtId="0" fontId="0" fillId="0" borderId="1" xfId="0" applyBorder="1"/>
    <xf numFmtId="0" fontId="0" fillId="0" borderId="37" xfId="0" applyBorder="1"/>
    <xf numFmtId="3" fontId="0" fillId="0" borderId="38" xfId="0" applyNumberFormat="1" applyBorder="1"/>
    <xf numFmtId="3" fontId="0" fillId="0" borderId="30" xfId="0" applyNumberFormat="1" applyBorder="1"/>
    <xf numFmtId="4" fontId="0" fillId="0" borderId="0" xfId="0" applyNumberFormat="1" applyAlignment="1">
      <alignment horizontal="right"/>
    </xf>
    <xf numFmtId="0" fontId="16" fillId="0" borderId="0" xfId="0" applyFont="1" applyAlignment="1">
      <alignment horizontal="right" wrapText="1"/>
    </xf>
    <xf numFmtId="0" fontId="0" fillId="0" borderId="0" xfId="0" applyAlignment="1">
      <alignment horizontal="right" wrapText="1"/>
    </xf>
    <xf numFmtId="0" fontId="9" fillId="0" borderId="34" xfId="8" applyNumberFormat="1" applyBorder="1" applyProtection="1"/>
    <xf numFmtId="4" fontId="9" fillId="7" borderId="0" xfId="8" applyNumberFormat="1" applyFill="1" applyBorder="1" applyAlignment="1">
      <alignment horizontal="right"/>
      <protection locked="0"/>
    </xf>
    <xf numFmtId="3" fontId="9" fillId="7" borderId="0" xfId="8" applyNumberFormat="1" applyFill="1" applyBorder="1" applyAlignment="1">
      <alignment horizontal="right"/>
      <protection locked="0"/>
    </xf>
    <xf numFmtId="0" fontId="0" fillId="0" borderId="35" xfId="0" applyBorder="1" applyAlignment="1">
      <alignment horizontal="right" wrapText="1"/>
    </xf>
    <xf numFmtId="4" fontId="5" fillId="3" borderId="35" xfId="6" applyBorder="1" applyAlignment="1">
      <protection locked="0"/>
    </xf>
    <xf numFmtId="0" fontId="5" fillId="0" borderId="1" xfId="0" applyFont="1" applyBorder="1"/>
    <xf numFmtId="165" fontId="9" fillId="7" borderId="0" xfId="8" applyNumberFormat="1" applyFill="1" applyBorder="1" applyAlignment="1">
      <protection locked="0"/>
    </xf>
    <xf numFmtId="171" fontId="45" fillId="0" borderId="0" xfId="0" applyNumberFormat="1" applyFont="1"/>
    <xf numFmtId="4" fontId="5" fillId="0" borderId="0" xfId="6" applyFill="1" applyBorder="1" applyAlignment="1">
      <protection locked="0"/>
    </xf>
    <xf numFmtId="4" fontId="5" fillId="0" borderId="35" xfId="6" applyFill="1" applyBorder="1" applyAlignment="1">
      <protection locked="0"/>
    </xf>
    <xf numFmtId="4" fontId="9" fillId="7" borderId="0" xfId="8" applyNumberFormat="1" applyFill="1" applyBorder="1" applyAlignment="1">
      <protection locked="0"/>
    </xf>
    <xf numFmtId="4" fontId="5" fillId="7" borderId="0" xfId="6" applyFill="1" applyBorder="1" applyAlignment="1">
      <protection locked="0"/>
    </xf>
    <xf numFmtId="4" fontId="5" fillId="7" borderId="35" xfId="6" applyFill="1" applyBorder="1" applyAlignment="1">
      <protection locked="0"/>
    </xf>
    <xf numFmtId="0" fontId="15" fillId="0" borderId="32" xfId="0" applyFont="1" applyBorder="1"/>
    <xf numFmtId="2" fontId="0" fillId="0" borderId="35" xfId="0" applyNumberFormat="1" applyBorder="1"/>
    <xf numFmtId="0" fontId="16" fillId="0" borderId="35" xfId="0" applyFont="1" applyBorder="1" applyAlignment="1">
      <alignment horizontal="right" wrapText="1"/>
    </xf>
    <xf numFmtId="0" fontId="16" fillId="0" borderId="34" xfId="0" applyFont="1" applyBorder="1"/>
    <xf numFmtId="0" fontId="16" fillId="0" borderId="35" xfId="0" applyFont="1" applyBorder="1" applyAlignment="1">
      <alignment horizontal="right"/>
    </xf>
    <xf numFmtId="0" fontId="0" fillId="0" borderId="38" xfId="0" applyBorder="1"/>
    <xf numFmtId="4" fontId="0" fillId="0" borderId="36" xfId="0" applyNumberFormat="1" applyBorder="1"/>
    <xf numFmtId="3" fontId="0" fillId="0" borderId="1" xfId="0" applyNumberFormat="1" applyBorder="1"/>
    <xf numFmtId="4" fontId="0" fillId="0" borderId="1" xfId="0" applyNumberFormat="1" applyBorder="1"/>
    <xf numFmtId="4" fontId="0" fillId="0" borderId="2" xfId="0" applyNumberFormat="1" applyBorder="1"/>
    <xf numFmtId="43" fontId="0" fillId="0" borderId="35" xfId="0" applyNumberFormat="1" applyBorder="1"/>
    <xf numFmtId="0" fontId="0" fillId="0" borderId="47" xfId="0" applyBorder="1"/>
    <xf numFmtId="0" fontId="0" fillId="9" borderId="38" xfId="0" applyFill="1" applyBorder="1" applyAlignment="1">
      <alignment horizontal="centerContinuous"/>
    </xf>
    <xf numFmtId="0" fontId="0" fillId="9" borderId="48" xfId="0" applyFill="1" applyBorder="1" applyAlignment="1">
      <alignment horizontal="right"/>
    </xf>
    <xf numFmtId="0" fontId="0" fillId="9" borderId="29" xfId="0" applyFill="1" applyBorder="1" applyAlignment="1">
      <alignment horizontal="right"/>
    </xf>
    <xf numFmtId="0" fontId="0" fillId="9" borderId="47" xfId="0" applyFill="1" applyBorder="1"/>
    <xf numFmtId="0" fontId="0" fillId="9" borderId="31" xfId="0" applyFill="1" applyBorder="1"/>
    <xf numFmtId="0" fontId="5" fillId="0" borderId="1" xfId="0" applyFont="1" applyBorder="1" applyAlignment="1">
      <alignment horizontal="right"/>
    </xf>
    <xf numFmtId="3" fontId="0" fillId="0" borderId="35" xfId="0" applyNumberFormat="1" applyBorder="1"/>
    <xf numFmtId="0" fontId="15" fillId="0" borderId="0" xfId="0" applyFont="1" applyAlignment="1">
      <alignment horizontal="center"/>
    </xf>
    <xf numFmtId="0" fontId="16" fillId="0" borderId="32" xfId="0" applyFont="1" applyBorder="1"/>
    <xf numFmtId="0" fontId="0" fillId="0" borderId="2" xfId="0" applyBorder="1" applyAlignment="1">
      <alignment horizontal="right"/>
    </xf>
    <xf numFmtId="0" fontId="0" fillId="0" borderId="49" xfId="0" applyBorder="1" applyAlignment="1">
      <alignment horizontal="right"/>
    </xf>
    <xf numFmtId="0" fontId="0" fillId="0" borderId="50" xfId="0" applyBorder="1" applyAlignment="1">
      <alignment horizontal="right"/>
    </xf>
    <xf numFmtId="1" fontId="0" fillId="0" borderId="51" xfId="0" applyNumberFormat="1" applyBorder="1" applyAlignment="1">
      <alignment horizontal="right"/>
    </xf>
    <xf numFmtId="0" fontId="0" fillId="0" borderId="51" xfId="0" applyBorder="1" applyAlignment="1">
      <alignment horizontal="right"/>
    </xf>
    <xf numFmtId="0" fontId="0" fillId="0" borderId="34" xfId="0" applyBorder="1" applyAlignment="1">
      <alignment horizontal="right"/>
    </xf>
    <xf numFmtId="4" fontId="0" fillId="0" borderId="52" xfId="0" applyNumberFormat="1" applyBorder="1" applyAlignment="1">
      <alignment horizontal="right"/>
    </xf>
    <xf numFmtId="4" fontId="0" fillId="0" borderId="53" xfId="0" applyNumberFormat="1" applyBorder="1" applyAlignment="1">
      <alignment horizontal="right"/>
    </xf>
    <xf numFmtId="3" fontId="0" fillId="0" borderId="54" xfId="0" applyNumberFormat="1" applyBorder="1" applyAlignment="1">
      <alignment horizontal="right"/>
    </xf>
    <xf numFmtId="4" fontId="0" fillId="0" borderId="54" xfId="0" applyNumberFormat="1" applyBorder="1" applyAlignment="1">
      <alignment horizontal="right"/>
    </xf>
    <xf numFmtId="43" fontId="0" fillId="0" borderId="1" xfId="0" applyNumberFormat="1" applyBorder="1"/>
    <xf numFmtId="43" fontId="0" fillId="0" borderId="37" xfId="0" applyNumberFormat="1" applyBorder="1"/>
    <xf numFmtId="4" fontId="5" fillId="7" borderId="0" xfId="14" applyNumberFormat="1" applyFont="1" applyFill="1" applyBorder="1"/>
    <xf numFmtId="170" fontId="0" fillId="0" borderId="0" xfId="0" applyNumberFormat="1"/>
    <xf numFmtId="169" fontId="0" fillId="0" borderId="0" xfId="0" applyNumberFormat="1"/>
    <xf numFmtId="4" fontId="0" fillId="0" borderId="55" xfId="0" applyNumberFormat="1" applyBorder="1" applyAlignment="1">
      <alignment horizontal="right"/>
    </xf>
    <xf numFmtId="3" fontId="0" fillId="0" borderId="56" xfId="0" applyNumberFormat="1" applyBorder="1" applyAlignment="1">
      <alignment horizontal="right"/>
    </xf>
    <xf numFmtId="4" fontId="0" fillId="0" borderId="56" xfId="0" applyNumberFormat="1" applyBorder="1" applyAlignment="1">
      <alignment horizontal="right"/>
    </xf>
    <xf numFmtId="166" fontId="5" fillId="3" borderId="0" xfId="6" applyNumberFormat="1" applyBorder="1" applyAlignment="1">
      <protection locked="0"/>
    </xf>
    <xf numFmtId="166" fontId="5" fillId="3" borderId="35" xfId="6" applyNumberFormat="1" applyBorder="1" applyAlignment="1">
      <protection locked="0"/>
    </xf>
    <xf numFmtId="0" fontId="16" fillId="0" borderId="58" xfId="0" applyFont="1" applyBorder="1" applyAlignment="1">
      <alignment horizontal="right"/>
    </xf>
    <xf numFmtId="0" fontId="0" fillId="0" borderId="28" xfId="0" applyBorder="1"/>
    <xf numFmtId="0" fontId="16" fillId="0" borderId="28" xfId="0" applyFont="1" applyBorder="1" applyAlignment="1">
      <alignment horizontal="right"/>
    </xf>
    <xf numFmtId="0" fontId="16" fillId="0" borderId="57" xfId="0" applyFont="1" applyBorder="1"/>
    <xf numFmtId="0" fontId="16" fillId="0" borderId="59" xfId="0" applyFont="1" applyBorder="1" applyAlignment="1">
      <alignment horizontal="right"/>
    </xf>
    <xf numFmtId="0" fontId="16" fillId="0" borderId="52" xfId="0" applyFont="1" applyBorder="1"/>
    <xf numFmtId="4" fontId="16" fillId="0" borderId="52" xfId="0" applyNumberFormat="1" applyFont="1" applyBorder="1"/>
    <xf numFmtId="0" fontId="0" fillId="0" borderId="52" xfId="0" applyBorder="1"/>
    <xf numFmtId="3" fontId="5" fillId="7" borderId="0" xfId="8" applyNumberFormat="1" applyFont="1" applyFill="1" applyBorder="1" applyAlignment="1">
      <alignment horizontal="right"/>
      <protection locked="0"/>
    </xf>
    <xf numFmtId="171" fontId="45" fillId="0" borderId="0" xfId="22" applyNumberFormat="1" applyFont="1" applyProtection="1"/>
    <xf numFmtId="0" fontId="5" fillId="0" borderId="2" xfId="0" applyFont="1" applyBorder="1" applyAlignment="1">
      <alignment horizontal="right"/>
    </xf>
    <xf numFmtId="4" fontId="5" fillId="7" borderId="16" xfId="6" applyFill="1" applyBorder="1" applyAlignment="1">
      <protection locked="0"/>
    </xf>
    <xf numFmtId="4" fontId="5" fillId="7" borderId="42" xfId="6" applyFill="1" applyBorder="1" applyAlignment="1">
      <protection locked="0"/>
    </xf>
    <xf numFmtId="0" fontId="15" fillId="0" borderId="1" xfId="0" applyFont="1" applyBorder="1"/>
    <xf numFmtId="171" fontId="48" fillId="0" borderId="0" xfId="22" applyNumberFormat="1" applyFont="1" applyProtection="1"/>
    <xf numFmtId="172" fontId="10" fillId="4" borderId="0" xfId="9" applyNumberFormat="1" applyBorder="1"/>
    <xf numFmtId="172" fontId="9" fillId="7" borderId="0" xfId="8" applyNumberFormat="1" applyFill="1" applyBorder="1" applyProtection="1"/>
    <xf numFmtId="0" fontId="0" fillId="0" borderId="0" xfId="0" quotePrefix="1" applyAlignment="1">
      <alignment horizontal="right"/>
    </xf>
    <xf numFmtId="0" fontId="0" fillId="0" borderId="0" xfId="0" quotePrefix="1" applyAlignment="1">
      <alignment horizontal="right" wrapText="1"/>
    </xf>
    <xf numFmtId="173" fontId="0" fillId="0" borderId="0" xfId="0" applyNumberFormat="1"/>
    <xf numFmtId="172" fontId="0" fillId="0" borderId="0" xfId="0" applyNumberFormat="1"/>
    <xf numFmtId="174" fontId="0" fillId="0" borderId="0" xfId="0" applyNumberFormat="1"/>
    <xf numFmtId="174" fontId="10" fillId="4" borderId="0" xfId="9" applyNumberFormat="1" applyBorder="1"/>
    <xf numFmtId="171" fontId="9" fillId="0" borderId="0" xfId="22" applyNumberFormat="1" applyBorder="1" applyProtection="1"/>
    <xf numFmtId="171" fontId="45" fillId="0" borderId="0" xfId="22" applyNumberFormat="1" applyFont="1" applyBorder="1" applyProtection="1"/>
    <xf numFmtId="3" fontId="5" fillId="3" borderId="0" xfId="6" applyNumberFormat="1" applyBorder="1" applyAlignment="1">
      <protection locked="0"/>
    </xf>
    <xf numFmtId="3" fontId="5" fillId="3" borderId="35" xfId="6" applyNumberFormat="1" applyBorder="1" applyAlignment="1">
      <protection locked="0"/>
    </xf>
    <xf numFmtId="165" fontId="5" fillId="3" borderId="0" xfId="7" applyBorder="1" applyAlignment="1">
      <protection locked="0"/>
    </xf>
    <xf numFmtId="3" fontId="5" fillId="7" borderId="0" xfId="6" applyNumberFormat="1" applyFill="1" applyBorder="1" applyAlignment="1">
      <protection locked="0"/>
    </xf>
    <xf numFmtId="3" fontId="5" fillId="7" borderId="35" xfId="6" applyNumberFormat="1" applyFill="1" applyBorder="1" applyAlignment="1">
      <protection locked="0"/>
    </xf>
    <xf numFmtId="0" fontId="16" fillId="12" borderId="0" xfId="0" applyFont="1" applyFill="1" applyAlignment="1">
      <alignment horizontal="right"/>
    </xf>
    <xf numFmtId="0" fontId="16" fillId="12" borderId="35" xfId="0" applyFont="1" applyFill="1" applyBorder="1" applyAlignment="1">
      <alignment horizontal="right"/>
    </xf>
    <xf numFmtId="0" fontId="0" fillId="12" borderId="34" xfId="0" applyFill="1" applyBorder="1"/>
    <xf numFmtId="4" fontId="0" fillId="0" borderId="35" xfId="0" applyNumberFormat="1" applyBorder="1"/>
    <xf numFmtId="3" fontId="0" fillId="12" borderId="34" xfId="0" applyNumberFormat="1" applyFill="1" applyBorder="1"/>
    <xf numFmtId="3" fontId="0" fillId="0" borderId="37" xfId="0" applyNumberFormat="1" applyBorder="1"/>
    <xf numFmtId="4" fontId="5" fillId="3" borderId="34" xfId="6" applyBorder="1" applyAlignment="1">
      <protection locked="0"/>
    </xf>
    <xf numFmtId="4" fontId="16" fillId="7" borderId="34" xfId="6" applyFont="1" applyFill="1" applyBorder="1" applyAlignment="1">
      <protection locked="0"/>
    </xf>
    <xf numFmtId="3" fontId="16" fillId="7" borderId="0" xfId="6" applyNumberFormat="1" applyFont="1" applyFill="1" applyBorder="1" applyAlignment="1">
      <protection locked="0"/>
    </xf>
    <xf numFmtId="4" fontId="5" fillId="7" borderId="34" xfId="6" applyFill="1" applyBorder="1" applyAlignment="1">
      <protection locked="0"/>
    </xf>
    <xf numFmtId="3" fontId="16" fillId="7" borderId="0" xfId="6" applyNumberFormat="1" applyFont="1" applyFill="1" applyBorder="1" applyAlignment="1">
      <alignment horizontal="right"/>
      <protection locked="0"/>
    </xf>
    <xf numFmtId="0" fontId="16" fillId="0" borderId="34" xfId="0" applyFont="1" applyBorder="1" applyAlignment="1">
      <alignment wrapText="1"/>
    </xf>
    <xf numFmtId="3" fontId="5" fillId="3" borderId="34" xfId="6" applyNumberFormat="1" applyBorder="1" applyAlignment="1">
      <protection locked="0"/>
    </xf>
    <xf numFmtId="0" fontId="0" fillId="0" borderId="0" xfId="0" applyAlignment="1">
      <alignment horizontal="centerContinuous"/>
    </xf>
    <xf numFmtId="0" fontId="0" fillId="0" borderId="0" xfId="0" applyAlignment="1">
      <alignment horizontal="center"/>
    </xf>
    <xf numFmtId="4" fontId="5" fillId="3" borderId="0" xfId="6" applyBorder="1" applyAlignment="1">
      <alignment horizontal="right"/>
      <protection locked="0"/>
    </xf>
    <xf numFmtId="0" fontId="16" fillId="0" borderId="35" xfId="0" applyFont="1" applyBorder="1"/>
    <xf numFmtId="0" fontId="0" fillId="0" borderId="44" xfId="0" applyBorder="1"/>
    <xf numFmtId="172" fontId="0" fillId="0" borderId="48" xfId="0" applyNumberFormat="1" applyBorder="1"/>
    <xf numFmtId="172" fontId="0" fillId="0" borderId="47" xfId="0" applyNumberFormat="1" applyBorder="1"/>
    <xf numFmtId="0" fontId="0" fillId="0" borderId="43" xfId="0" applyBorder="1"/>
    <xf numFmtId="172" fontId="0" fillId="0" borderId="68" xfId="0" applyNumberFormat="1" applyBorder="1"/>
    <xf numFmtId="0" fontId="0" fillId="0" borderId="34" xfId="0" applyBorder="1" applyAlignment="1">
      <alignment wrapText="1"/>
    </xf>
    <xf numFmtId="0" fontId="0" fillId="0" borderId="35" xfId="0" applyBorder="1" applyAlignment="1">
      <alignment wrapText="1"/>
    </xf>
    <xf numFmtId="0" fontId="5" fillId="3" borderId="0" xfId="6" applyNumberFormat="1" applyBorder="1" applyAlignment="1">
      <protection locked="0"/>
    </xf>
    <xf numFmtId="4" fontId="5" fillId="3" borderId="36" xfId="6" applyBorder="1" applyAlignment="1">
      <protection locked="0"/>
    </xf>
    <xf numFmtId="0" fontId="5" fillId="3" borderId="1" xfId="6" applyNumberFormat="1" applyBorder="1" applyAlignment="1">
      <protection locked="0"/>
    </xf>
    <xf numFmtId="4" fontId="5" fillId="3" borderId="1" xfId="6" applyBorder="1" applyAlignment="1">
      <protection locked="0"/>
    </xf>
    <xf numFmtId="0" fontId="0" fillId="0" borderId="34" xfId="0" applyBorder="1" applyAlignment="1">
      <alignment horizontal="right" wrapText="1"/>
    </xf>
    <xf numFmtId="0" fontId="5" fillId="3" borderId="0" xfId="6" applyNumberFormat="1" applyBorder="1" applyAlignment="1">
      <alignment horizontal="right"/>
      <protection locked="0"/>
    </xf>
    <xf numFmtId="175" fontId="5" fillId="3" borderId="0" xfId="6" applyNumberFormat="1" applyBorder="1" applyAlignment="1">
      <protection locked="0"/>
    </xf>
    <xf numFmtId="0" fontId="5" fillId="3" borderId="1" xfId="6" applyNumberFormat="1" applyBorder="1" applyAlignment="1">
      <alignment horizontal="right"/>
      <protection locked="0"/>
    </xf>
    <xf numFmtId="3" fontId="5" fillId="3" borderId="1" xfId="6" applyNumberFormat="1" applyBorder="1" applyAlignment="1">
      <protection locked="0"/>
    </xf>
    <xf numFmtId="175" fontId="5" fillId="3" borderId="1" xfId="6" applyNumberFormat="1" applyBorder="1" applyAlignment="1">
      <protection locked="0"/>
    </xf>
    <xf numFmtId="3" fontId="0" fillId="0" borderId="0" xfId="0" applyNumberFormat="1" applyAlignment="1">
      <alignment horizontal="right"/>
    </xf>
    <xf numFmtId="3" fontId="0" fillId="0" borderId="35" xfId="0" applyNumberFormat="1" applyBorder="1" applyAlignment="1">
      <alignment horizontal="right"/>
    </xf>
    <xf numFmtId="176" fontId="0" fillId="0" borderId="0" xfId="0" applyNumberFormat="1"/>
    <xf numFmtId="176" fontId="0" fillId="0" borderId="35" xfId="0" applyNumberFormat="1" applyBorder="1"/>
    <xf numFmtId="11" fontId="0" fillId="0" borderId="1" xfId="0" applyNumberFormat="1" applyBorder="1"/>
    <xf numFmtId="177" fontId="0" fillId="0" borderId="35" xfId="0" applyNumberFormat="1" applyBorder="1"/>
    <xf numFmtId="177" fontId="10" fillId="4" borderId="35" xfId="9" applyNumberFormat="1" applyBorder="1"/>
    <xf numFmtId="4" fontId="5" fillId="9" borderId="0" xfId="6" applyFill="1" applyBorder="1" applyAlignment="1">
      <protection locked="0"/>
    </xf>
    <xf numFmtId="4" fontId="5" fillId="3" borderId="0" xfId="6" applyAlignment="1">
      <protection locked="0"/>
    </xf>
    <xf numFmtId="0" fontId="16" fillId="0" borderId="11" xfId="0" applyFont="1" applyBorder="1" applyAlignment="1">
      <alignment horizontal="right"/>
    </xf>
    <xf numFmtId="0" fontId="49" fillId="0" borderId="0" xfId="0" applyFont="1"/>
    <xf numFmtId="0" fontId="9" fillId="0" borderId="0" xfId="8" applyNumberFormat="1" applyProtection="1"/>
    <xf numFmtId="0" fontId="9" fillId="0" borderId="7" xfId="8" applyNumberFormat="1" applyBorder="1" applyProtection="1"/>
    <xf numFmtId="0" fontId="9" fillId="0" borderId="8" xfId="8" applyNumberFormat="1" applyBorder="1" applyProtection="1"/>
    <xf numFmtId="0" fontId="0" fillId="0" borderId="6" xfId="0" applyBorder="1"/>
    <xf numFmtId="0" fontId="0" fillId="0" borderId="72" xfId="0" applyBorder="1"/>
    <xf numFmtId="0" fontId="0" fillId="0" borderId="73" xfId="0" applyBorder="1"/>
    <xf numFmtId="0" fontId="0" fillId="0" borderId="74" xfId="0" applyBorder="1"/>
    <xf numFmtId="0" fontId="0" fillId="0" borderId="75" xfId="0" applyBorder="1"/>
    <xf numFmtId="0" fontId="0" fillId="0" borderId="76" xfId="0" applyBorder="1"/>
    <xf numFmtId="0" fontId="0" fillId="0" borderId="77" xfId="0" applyBorder="1"/>
    <xf numFmtId="4" fontId="5" fillId="3" borderId="0" xfId="6" applyBorder="1" applyAlignment="1">
      <alignment horizontal="center"/>
      <protection locked="0"/>
    </xf>
    <xf numFmtId="1" fontId="9" fillId="0" borderId="0" xfId="8" applyNumberFormat="1" applyProtection="1"/>
    <xf numFmtId="0" fontId="0" fillId="0" borderId="11" xfId="0" applyBorder="1"/>
    <xf numFmtId="4" fontId="0" fillId="0" borderId="11" xfId="0" applyNumberFormat="1" applyBorder="1"/>
    <xf numFmtId="0" fontId="22" fillId="7" borderId="0" xfId="14" applyFill="1"/>
    <xf numFmtId="0" fontId="9" fillId="0" borderId="0" xfId="8" applyNumberFormat="1" applyBorder="1" applyProtection="1"/>
    <xf numFmtId="165" fontId="0" fillId="0" borderId="1" xfId="24" applyNumberFormat="1" applyFont="1" applyBorder="1"/>
    <xf numFmtId="165" fontId="0" fillId="0" borderId="2" xfId="24" applyNumberFormat="1" applyFont="1" applyBorder="1"/>
    <xf numFmtId="165" fontId="0" fillId="0" borderId="0" xfId="24" applyNumberFormat="1" applyFont="1" applyBorder="1"/>
    <xf numFmtId="165" fontId="0" fillId="0" borderId="11" xfId="24" applyNumberFormat="1" applyFont="1" applyBorder="1"/>
    <xf numFmtId="2" fontId="0" fillId="0" borderId="1" xfId="24" applyNumberFormat="1" applyFont="1" applyBorder="1"/>
    <xf numFmtId="2" fontId="0" fillId="0" borderId="11" xfId="24" applyNumberFormat="1" applyFont="1" applyBorder="1"/>
    <xf numFmtId="2" fontId="0" fillId="0" borderId="2" xfId="24" applyNumberFormat="1" applyFont="1" applyBorder="1"/>
    <xf numFmtId="2" fontId="0" fillId="0" borderId="0" xfId="24" applyNumberFormat="1" applyFont="1" applyBorder="1"/>
    <xf numFmtId="171" fontId="48" fillId="0" borderId="0" xfId="22" applyNumberFormat="1" applyFont="1" applyFill="1" applyProtection="1"/>
    <xf numFmtId="2" fontId="0" fillId="13" borderId="0" xfId="0" applyNumberFormat="1" applyFill="1"/>
    <xf numFmtId="3" fontId="0" fillId="13" borderId="26" xfId="0" applyNumberFormat="1" applyFill="1" applyBorder="1"/>
    <xf numFmtId="3" fontId="0" fillId="13" borderId="25" xfId="0" applyNumberFormat="1" applyFill="1" applyBorder="1"/>
    <xf numFmtId="3" fontId="0" fillId="13" borderId="27" xfId="0" applyNumberFormat="1" applyFill="1" applyBorder="1"/>
    <xf numFmtId="3" fontId="5" fillId="13" borderId="0" xfId="6" applyNumberFormat="1" applyFill="1" applyBorder="1" applyAlignment="1">
      <protection locked="0"/>
    </xf>
    <xf numFmtId="3" fontId="5" fillId="13" borderId="16" xfId="6" applyNumberFormat="1" applyFill="1" applyBorder="1" applyAlignment="1">
      <protection locked="0"/>
    </xf>
    <xf numFmtId="3" fontId="5" fillId="13" borderId="60" xfId="6" applyNumberFormat="1" applyFill="1" applyBorder="1" applyAlignment="1">
      <protection locked="0"/>
    </xf>
    <xf numFmtId="3" fontId="5" fillId="13" borderId="26" xfId="6" applyNumberFormat="1" applyFill="1" applyBorder="1" applyAlignment="1">
      <protection locked="0"/>
    </xf>
    <xf numFmtId="3" fontId="5" fillId="13" borderId="61" xfId="6" applyNumberFormat="1" applyFill="1" applyBorder="1" applyAlignment="1">
      <protection locked="0"/>
    </xf>
    <xf numFmtId="3" fontId="5" fillId="13" borderId="62" xfId="6" applyNumberFormat="1" applyFill="1" applyBorder="1" applyAlignment="1">
      <protection locked="0"/>
    </xf>
    <xf numFmtId="3" fontId="5" fillId="13" borderId="27" xfId="6" applyNumberFormat="1" applyFill="1" applyBorder="1" applyAlignment="1">
      <protection locked="0"/>
    </xf>
    <xf numFmtId="3" fontId="5" fillId="13" borderId="63" xfId="6" applyNumberFormat="1" applyFill="1" applyBorder="1" applyAlignment="1">
      <protection locked="0"/>
    </xf>
    <xf numFmtId="3" fontId="5" fillId="13" borderId="64" xfId="6" applyNumberFormat="1" applyFill="1" applyBorder="1" applyAlignment="1">
      <protection locked="0"/>
    </xf>
    <xf numFmtId="4" fontId="0" fillId="12" borderId="34" xfId="0" applyNumberFormat="1" applyFill="1" applyBorder="1"/>
    <xf numFmtId="3" fontId="0" fillId="12" borderId="0" xfId="0" applyNumberFormat="1" applyFill="1"/>
    <xf numFmtId="3" fontId="0" fillId="13" borderId="0" xfId="0" applyNumberFormat="1" applyFill="1"/>
    <xf numFmtId="2" fontId="10" fillId="14" borderId="61" xfId="9" applyNumberFormat="1" applyFill="1" applyBorder="1"/>
    <xf numFmtId="2" fontId="10" fillId="14" borderId="78" xfId="9" applyNumberFormat="1" applyFill="1" applyBorder="1"/>
    <xf numFmtId="2" fontId="10" fillId="14" borderId="62" xfId="9" applyNumberFormat="1" applyFill="1" applyBorder="1"/>
    <xf numFmtId="2" fontId="10" fillId="14" borderId="69" xfId="9" applyNumberFormat="1" applyFill="1" applyBorder="1"/>
    <xf numFmtId="2" fontId="10" fillId="14" borderId="79" xfId="9" applyNumberFormat="1" applyFill="1" applyBorder="1"/>
    <xf numFmtId="2" fontId="10" fillId="14" borderId="80" xfId="9" applyNumberFormat="1" applyFill="1" applyBorder="1"/>
    <xf numFmtId="2" fontId="10" fillId="14" borderId="63" xfId="9" applyNumberFormat="1" applyFill="1" applyBorder="1"/>
    <xf numFmtId="2" fontId="10" fillId="14" borderId="81" xfId="9" applyNumberFormat="1" applyFill="1" applyBorder="1"/>
    <xf numFmtId="2" fontId="10" fillId="14" borderId="64" xfId="9" applyNumberFormat="1" applyFill="1" applyBorder="1"/>
    <xf numFmtId="4" fontId="5" fillId="7" borderId="82" xfId="6" applyFill="1" applyBorder="1" applyAlignment="1">
      <protection locked="0"/>
    </xf>
    <xf numFmtId="4" fontId="5" fillId="7" borderId="63" xfId="6" applyFill="1" applyBorder="1" applyAlignment="1">
      <protection locked="0"/>
    </xf>
    <xf numFmtId="0" fontId="49" fillId="0" borderId="35" xfId="0" applyFont="1" applyBorder="1"/>
    <xf numFmtId="9" fontId="0" fillId="0" borderId="0" xfId="24" applyFont="1" applyBorder="1"/>
    <xf numFmtId="4" fontId="0" fillId="0" borderId="0" xfId="0" quotePrefix="1" applyNumberFormat="1"/>
    <xf numFmtId="4" fontId="0" fillId="0" borderId="35" xfId="0" quotePrefix="1" applyNumberFormat="1" applyBorder="1"/>
    <xf numFmtId="165" fontId="5" fillId="3" borderId="35" xfId="7" applyBorder="1" applyAlignment="1">
      <protection locked="0"/>
    </xf>
    <xf numFmtId="4" fontId="0" fillId="9" borderId="0" xfId="0" quotePrefix="1" applyNumberFormat="1" applyFill="1"/>
    <xf numFmtId="4" fontId="0" fillId="9" borderId="0" xfId="0" applyNumberFormat="1" applyFill="1"/>
    <xf numFmtId="0" fontId="9" fillId="0" borderId="36" xfId="8" applyNumberFormat="1" applyBorder="1" applyProtection="1"/>
    <xf numFmtId="0" fontId="49" fillId="0" borderId="83" xfId="0" applyFont="1" applyBorder="1"/>
    <xf numFmtId="2" fontId="10" fillId="4" borderId="0" xfId="9" applyNumberFormat="1" applyBorder="1"/>
    <xf numFmtId="1" fontId="9" fillId="0" borderId="0" xfId="8" applyNumberFormat="1" applyBorder="1" applyProtection="1"/>
    <xf numFmtId="4" fontId="0" fillId="15" borderId="0" xfId="0" applyNumberFormat="1" applyFill="1"/>
    <xf numFmtId="4" fontId="0" fillId="15" borderId="1" xfId="0" applyNumberFormat="1" applyFill="1" applyBorder="1"/>
    <xf numFmtId="4" fontId="0" fillId="15" borderId="11" xfId="0" applyNumberFormat="1" applyFill="1" applyBorder="1"/>
    <xf numFmtId="0" fontId="19" fillId="0" borderId="0" xfId="11"/>
    <xf numFmtId="0" fontId="51" fillId="0" borderId="0" xfId="0" applyFont="1"/>
    <xf numFmtId="0" fontId="51" fillId="0" borderId="84" xfId="0" applyFont="1" applyBorder="1" applyAlignment="1">
      <alignment horizontal="center"/>
    </xf>
    <xf numFmtId="0" fontId="52" fillId="0" borderId="85" xfId="0" applyFont="1" applyBorder="1" applyAlignment="1">
      <alignment horizontal="center"/>
    </xf>
    <xf numFmtId="0" fontId="52" fillId="0" borderId="86" xfId="0" applyFont="1" applyBorder="1" applyAlignment="1">
      <alignment horizontal="center"/>
    </xf>
    <xf numFmtId="0" fontId="0" fillId="0" borderId="86" xfId="0" applyBorder="1"/>
    <xf numFmtId="0" fontId="52" fillId="0" borderId="87" xfId="0" applyFont="1" applyBorder="1" applyAlignment="1">
      <alignment horizontal="center"/>
    </xf>
    <xf numFmtId="0" fontId="51" fillId="0" borderId="88" xfId="0" applyFont="1" applyBorder="1" applyAlignment="1">
      <alignment horizontal="center"/>
    </xf>
    <xf numFmtId="0" fontId="51" fillId="0" borderId="85" xfId="0" applyFont="1" applyBorder="1" applyAlignment="1">
      <alignment horizontal="center"/>
    </xf>
    <xf numFmtId="0" fontId="51" fillId="0" borderId="86" xfId="0" applyFont="1" applyBorder="1" applyAlignment="1">
      <alignment horizontal="center"/>
    </xf>
    <xf numFmtId="0" fontId="51" fillId="0" borderId="86" xfId="0" applyFont="1" applyBorder="1" applyAlignment="1">
      <alignment horizontal="left"/>
    </xf>
    <xf numFmtId="0" fontId="51" fillId="0" borderId="87" xfId="0" applyFont="1" applyBorder="1" applyAlignment="1">
      <alignment horizontal="center"/>
    </xf>
    <xf numFmtId="0" fontId="53" fillId="0" borderId="17" xfId="0" applyFont="1" applyBorder="1" applyAlignment="1">
      <alignment horizontal="center"/>
    </xf>
    <xf numFmtId="0" fontId="53" fillId="0" borderId="12" xfId="0" applyFont="1" applyBorder="1" applyAlignment="1">
      <alignment horizontal="center"/>
    </xf>
    <xf numFmtId="0" fontId="53" fillId="0" borderId="18" xfId="0" applyFont="1" applyBorder="1" applyAlignment="1">
      <alignment horizontal="center"/>
    </xf>
    <xf numFmtId="0" fontId="0" fillId="0" borderId="19" xfId="0" applyBorder="1"/>
    <xf numFmtId="0" fontId="53" fillId="0" borderId="0" xfId="0" applyFont="1" applyAlignment="1">
      <alignment horizontal="center"/>
    </xf>
    <xf numFmtId="0" fontId="53" fillId="0" borderId="20" xfId="0" applyFont="1" applyBorder="1" applyAlignment="1">
      <alignment horizontal="center"/>
    </xf>
    <xf numFmtId="0" fontId="54" fillId="0" borderId="0" xfId="0" applyFont="1" applyAlignment="1">
      <alignment horizontal="center"/>
    </xf>
    <xf numFmtId="0" fontId="55" fillId="0" borderId="0" xfId="0" applyFont="1" applyAlignment="1">
      <alignment horizontal="center"/>
    </xf>
    <xf numFmtId="0" fontId="40" fillId="0" borderId="0" xfId="0" applyFont="1" applyAlignment="1">
      <alignment horizontal="center"/>
    </xf>
    <xf numFmtId="0" fontId="40" fillId="0" borderId="20" xfId="0" applyFont="1" applyBorder="1" applyAlignment="1">
      <alignment horizontal="center"/>
    </xf>
    <xf numFmtId="0" fontId="51" fillId="0" borderId="89" xfId="0" applyFont="1" applyBorder="1" applyAlignment="1">
      <alignment horizontal="center"/>
    </xf>
    <xf numFmtId="0" fontId="53" fillId="0" borderId="21" xfId="0" applyFont="1" applyBorder="1" applyAlignment="1">
      <alignment horizontal="right"/>
    </xf>
    <xf numFmtId="0" fontId="53" fillId="0" borderId="10" xfId="0" applyFont="1" applyBorder="1" applyAlignment="1">
      <alignment horizontal="right"/>
    </xf>
    <xf numFmtId="0" fontId="53" fillId="0" borderId="24" xfId="0" applyFont="1" applyBorder="1" applyAlignment="1">
      <alignment horizontal="right"/>
    </xf>
    <xf numFmtId="0" fontId="53" fillId="0" borderId="10" xfId="0" applyFont="1" applyBorder="1" applyAlignment="1">
      <alignment horizontal="center"/>
    </xf>
    <xf numFmtId="0" fontId="56" fillId="0" borderId="21" xfId="0" applyFont="1" applyBorder="1" applyAlignment="1">
      <alignment horizontal="center"/>
    </xf>
    <xf numFmtId="0" fontId="56" fillId="0" borderId="10" xfId="0" applyFont="1" applyBorder="1" applyAlignment="1">
      <alignment horizontal="center"/>
    </xf>
    <xf numFmtId="0" fontId="56" fillId="0" borderId="24" xfId="0" applyFont="1" applyBorder="1" applyAlignment="1">
      <alignment horizontal="center"/>
    </xf>
    <xf numFmtId="0" fontId="55" fillId="0" borderId="0" xfId="0" applyFont="1"/>
    <xf numFmtId="0" fontId="56" fillId="0" borderId="19" xfId="0" applyFont="1" applyBorder="1"/>
    <xf numFmtId="181" fontId="16" fillId="3" borderId="19" xfId="26" applyNumberFormat="1" applyFont="1" applyBorder="1" applyAlignment="1">
      <protection locked="0"/>
    </xf>
    <xf numFmtId="181" fontId="16" fillId="3" borderId="0" xfId="26" applyNumberFormat="1" applyFont="1" applyBorder="1" applyAlignment="1">
      <protection locked="0"/>
    </xf>
    <xf numFmtId="181" fontId="16" fillId="3" borderId="20" xfId="26" applyNumberFormat="1" applyFont="1" applyBorder="1" applyAlignment="1">
      <protection locked="0"/>
    </xf>
    <xf numFmtId="165" fontId="59" fillId="16" borderId="20" xfId="28" applyNumberFormat="1" applyFont="1" applyFill="1" applyBorder="1"/>
    <xf numFmtId="165" fontId="59" fillId="16" borderId="0" xfId="28" applyNumberFormat="1" applyFont="1" applyFill="1" applyBorder="1"/>
    <xf numFmtId="165" fontId="58" fillId="4" borderId="19" xfId="28" applyNumberFormat="1" applyFont="1" applyFill="1" applyBorder="1" applyAlignment="1">
      <alignment horizontal="right"/>
    </xf>
    <xf numFmtId="165" fontId="58" fillId="4" borderId="0" xfId="28" applyNumberFormat="1" applyFont="1" applyFill="1" applyBorder="1" applyAlignment="1">
      <alignment horizontal="right"/>
    </xf>
    <xf numFmtId="10" fontId="5" fillId="0" borderId="90" xfId="28" applyNumberFormat="1" applyFont="1" applyBorder="1"/>
    <xf numFmtId="10" fontId="13" fillId="0" borderId="90" xfId="28" applyNumberFormat="1" applyFont="1" applyBorder="1"/>
    <xf numFmtId="0" fontId="13" fillId="0" borderId="90" xfId="28" applyNumberFormat="1" applyFont="1" applyBorder="1"/>
    <xf numFmtId="10" fontId="13" fillId="0" borderId="0" xfId="28" applyNumberFormat="1" applyFont="1" applyBorder="1"/>
    <xf numFmtId="165" fontId="13" fillId="0" borderId="0" xfId="28" applyNumberFormat="1" applyFont="1" applyBorder="1"/>
    <xf numFmtId="0" fontId="13" fillId="0" borderId="0" xfId="28" applyNumberFormat="1" applyFont="1" applyBorder="1"/>
    <xf numFmtId="10" fontId="5" fillId="0" borderId="0" xfId="28" applyNumberFormat="1" applyFont="1" applyBorder="1"/>
    <xf numFmtId="0" fontId="54" fillId="0" borderId="0" xfId="0" applyFont="1"/>
    <xf numFmtId="10" fontId="0" fillId="0" borderId="0" xfId="0" applyNumberFormat="1"/>
    <xf numFmtId="166" fontId="5" fillId="9" borderId="0" xfId="6" applyNumberFormat="1" applyFill="1" applyBorder="1" applyAlignment="1">
      <protection locked="0"/>
    </xf>
    <xf numFmtId="4" fontId="49" fillId="7" borderId="1" xfId="6" applyFont="1" applyFill="1" applyBorder="1" applyAlignment="1">
      <protection locked="0"/>
    </xf>
    <xf numFmtId="180" fontId="0" fillId="0" borderId="33" xfId="0" quotePrefix="1" applyNumberFormat="1" applyBorder="1" applyAlignment="1">
      <alignment horizontal="right"/>
    </xf>
    <xf numFmtId="4" fontId="5" fillId="7" borderId="35" xfId="6" quotePrefix="1" applyFill="1" applyBorder="1" applyAlignment="1">
      <protection locked="0"/>
    </xf>
    <xf numFmtId="4" fontId="5" fillId="7" borderId="41" xfId="6" quotePrefix="1" applyFill="1" applyBorder="1" applyAlignment="1">
      <protection locked="0"/>
    </xf>
    <xf numFmtId="4" fontId="0" fillId="0" borderId="42" xfId="0" applyNumberFormat="1" applyBorder="1"/>
    <xf numFmtId="0" fontId="60" fillId="0" borderId="0" xfId="0" applyFont="1"/>
    <xf numFmtId="4" fontId="5" fillId="7" borderId="0" xfId="6" quotePrefix="1" applyFill="1" applyBorder="1" applyAlignment="1">
      <protection locked="0"/>
    </xf>
    <xf numFmtId="4" fontId="5" fillId="7" borderId="26" xfId="6" quotePrefix="1" applyFill="1" applyBorder="1" applyAlignment="1">
      <protection locked="0"/>
    </xf>
    <xf numFmtId="4" fontId="5" fillId="7" borderId="70" xfId="6" applyFill="1" applyBorder="1" applyAlignment="1">
      <protection locked="0"/>
    </xf>
    <xf numFmtId="4" fontId="5" fillId="7" borderId="16" xfId="6" quotePrefix="1" applyFill="1" applyBorder="1" applyAlignment="1">
      <protection locked="0"/>
    </xf>
    <xf numFmtId="4" fontId="5" fillId="7" borderId="82" xfId="6" quotePrefix="1" applyFill="1" applyBorder="1" applyAlignment="1">
      <protection locked="0"/>
    </xf>
    <xf numFmtId="4" fontId="5" fillId="7" borderId="61" xfId="6" quotePrefix="1" applyFill="1" applyBorder="1" applyAlignment="1">
      <protection locked="0"/>
    </xf>
    <xf numFmtId="4" fontId="5" fillId="7" borderId="91" xfId="6" quotePrefix="1" applyFill="1" applyBorder="1" applyAlignment="1">
      <protection locked="0"/>
    </xf>
    <xf numFmtId="4" fontId="0" fillId="7" borderId="63" xfId="0" applyNumberFormat="1" applyFill="1" applyBorder="1"/>
    <xf numFmtId="4" fontId="0" fillId="7" borderId="42" xfId="0" applyNumberFormat="1" applyFill="1" applyBorder="1"/>
    <xf numFmtId="0" fontId="22" fillId="7" borderId="32" xfId="14" applyFill="1" applyBorder="1"/>
    <xf numFmtId="0" fontId="22" fillId="7" borderId="2" xfId="14" applyFill="1" applyBorder="1"/>
    <xf numFmtId="0" fontId="22" fillId="7" borderId="33" xfId="14" applyFill="1" applyBorder="1"/>
    <xf numFmtId="1" fontId="5" fillId="7" borderId="34" xfId="6" applyNumberFormat="1" applyFill="1" applyBorder="1" applyAlignment="1">
      <alignment horizontal="right"/>
      <protection locked="0"/>
    </xf>
    <xf numFmtId="1" fontId="5" fillId="7" borderId="36" xfId="6" applyNumberFormat="1" applyFill="1" applyBorder="1" applyAlignment="1">
      <alignment horizontal="right"/>
      <protection locked="0"/>
    </xf>
    <xf numFmtId="171" fontId="48" fillId="0" borderId="0" xfId="22" applyNumberFormat="1" applyFont="1" applyBorder="1" applyProtection="1"/>
    <xf numFmtId="0" fontId="0" fillId="0" borderId="47" xfId="0" applyBorder="1" applyAlignment="1">
      <alignment horizontal="centerContinuous"/>
    </xf>
    <xf numFmtId="0" fontId="0" fillId="0" borderId="31" xfId="0" applyBorder="1" applyAlignment="1">
      <alignment horizontal="centerContinuous"/>
    </xf>
    <xf numFmtId="0" fontId="0" fillId="0" borderId="47" xfId="0" applyBorder="1" applyAlignment="1">
      <alignment horizontal="center"/>
    </xf>
    <xf numFmtId="0" fontId="0" fillId="0" borderId="31" xfId="0" applyBorder="1" applyAlignment="1">
      <alignment horizontal="center"/>
    </xf>
    <xf numFmtId="4" fontId="0" fillId="0" borderId="56" xfId="0" applyNumberFormat="1" applyBorder="1"/>
    <xf numFmtId="3" fontId="0" fillId="0" borderId="56" xfId="0" applyNumberFormat="1" applyBorder="1"/>
    <xf numFmtId="4" fontId="0" fillId="0" borderId="65" xfId="0" applyNumberFormat="1" applyBorder="1"/>
    <xf numFmtId="3" fontId="0" fillId="0" borderId="65" xfId="0" applyNumberFormat="1" applyBorder="1"/>
    <xf numFmtId="4" fontId="0" fillId="0" borderId="66" xfId="0" applyNumberFormat="1" applyBorder="1"/>
    <xf numFmtId="3" fontId="0" fillId="0" borderId="66" xfId="0" applyNumberFormat="1" applyBorder="1"/>
    <xf numFmtId="4" fontId="0" fillId="0" borderId="28" xfId="0" applyNumberFormat="1" applyBorder="1"/>
    <xf numFmtId="3" fontId="0" fillId="0" borderId="67" xfId="0" applyNumberFormat="1" applyBorder="1"/>
    <xf numFmtId="3" fontId="0" fillId="0" borderId="28" xfId="0" applyNumberFormat="1" applyBorder="1"/>
    <xf numFmtId="0" fontId="29" fillId="0" borderId="0" xfId="4" applyNumberFormat="1" applyFill="1" applyBorder="1" applyAlignment="1">
      <alignment horizontal="right" wrapText="1"/>
    </xf>
    <xf numFmtId="165" fontId="29" fillId="0" borderId="0" xfId="4" applyNumberFormat="1" applyAlignment="1"/>
    <xf numFmtId="0" fontId="29" fillId="0" borderId="34" xfId="4" applyNumberFormat="1" applyBorder="1" applyAlignment="1"/>
    <xf numFmtId="3" fontId="29" fillId="0" borderId="0" xfId="4" applyNumberFormat="1" applyAlignment="1"/>
    <xf numFmtId="165" fontId="5" fillId="3" borderId="92" xfId="7" applyBorder="1" applyAlignment="1">
      <protection locked="0"/>
    </xf>
    <xf numFmtId="165" fontId="5" fillId="3" borderId="93" xfId="7" applyBorder="1" applyAlignment="1">
      <protection locked="0"/>
    </xf>
    <xf numFmtId="165" fontId="5" fillId="3" borderId="94" xfId="7" applyBorder="1" applyAlignment="1">
      <alignment horizontal="right"/>
      <protection locked="0"/>
    </xf>
    <xf numFmtId="165" fontId="5" fillId="3" borderId="95" xfId="7" applyBorder="1" applyAlignment="1">
      <protection locked="0"/>
    </xf>
    <xf numFmtId="165" fontId="5" fillId="3" borderId="96" xfId="7" applyBorder="1" applyAlignment="1">
      <protection locked="0"/>
    </xf>
    <xf numFmtId="165" fontId="5" fillId="3" borderId="97" xfId="7" applyBorder="1" applyAlignment="1">
      <alignment horizontal="right"/>
      <protection locked="0"/>
    </xf>
    <xf numFmtId="165" fontId="5" fillId="3" borderId="98" xfId="7" applyBorder="1" applyAlignment="1">
      <protection locked="0"/>
    </xf>
    <xf numFmtId="165" fontId="5" fillId="3" borderId="99" xfId="7" applyBorder="1" applyAlignment="1">
      <protection locked="0"/>
    </xf>
    <xf numFmtId="165" fontId="5" fillId="3" borderId="100" xfId="7" applyBorder="1" applyAlignment="1">
      <alignment horizontal="right"/>
      <protection locked="0"/>
    </xf>
    <xf numFmtId="165" fontId="5" fillId="7" borderId="0" xfId="7" applyFill="1" applyBorder="1" applyAlignment="1">
      <alignment horizontal="right"/>
      <protection locked="0"/>
    </xf>
    <xf numFmtId="165" fontId="5" fillId="7" borderId="0" xfId="7" applyFill="1" applyAlignment="1">
      <protection locked="0"/>
    </xf>
    <xf numFmtId="165" fontId="5" fillId="7" borderId="35" xfId="7" applyFill="1" applyBorder="1" applyAlignment="1">
      <protection locked="0"/>
    </xf>
    <xf numFmtId="165" fontId="5" fillId="7" borderId="0" xfId="7" applyFill="1" applyBorder="1" applyAlignment="1">
      <protection locked="0"/>
    </xf>
    <xf numFmtId="165" fontId="5" fillId="7" borderId="35" xfId="7" applyFill="1" applyBorder="1" applyAlignment="1">
      <alignment horizontal="right"/>
      <protection locked="0"/>
    </xf>
    <xf numFmtId="17" fontId="0" fillId="0" borderId="2" xfId="0" applyNumberFormat="1" applyBorder="1"/>
    <xf numFmtId="166" fontId="5" fillId="9" borderId="2" xfId="6" applyNumberFormat="1" applyFill="1" applyBorder="1" applyAlignment="1">
      <protection locked="0"/>
    </xf>
    <xf numFmtId="0" fontId="15" fillId="0" borderId="2" xfId="0" applyFont="1" applyBorder="1"/>
    <xf numFmtId="17" fontId="0" fillId="0" borderId="0" xfId="0" applyNumberFormat="1"/>
    <xf numFmtId="4" fontId="49" fillId="7" borderId="0" xfId="6" applyFont="1" applyFill="1" applyBorder="1" applyAlignment="1">
      <protection locked="0"/>
    </xf>
    <xf numFmtId="0" fontId="0" fillId="0" borderId="7" xfId="0" applyBorder="1"/>
    <xf numFmtId="4" fontId="5" fillId="3" borderId="35" xfId="6" applyBorder="1" applyAlignment="1">
      <alignment horizontal="right"/>
      <protection locked="0"/>
    </xf>
    <xf numFmtId="0" fontId="0" fillId="0" borderId="9" xfId="0" applyBorder="1"/>
    <xf numFmtId="4" fontId="5" fillId="7" borderId="0" xfId="6" applyFill="1" applyAlignment="1">
      <protection locked="0"/>
    </xf>
    <xf numFmtId="0" fontId="0" fillId="0" borderId="1" xfId="0" applyBorder="1" applyAlignment="1">
      <alignment horizontal="right"/>
    </xf>
    <xf numFmtId="4" fontId="5" fillId="7" borderId="1" xfId="6" applyFill="1" applyBorder="1" applyAlignment="1">
      <protection locked="0"/>
    </xf>
    <xf numFmtId="4" fontId="49" fillId="7" borderId="0" xfId="6" applyFont="1" applyFill="1" applyAlignment="1">
      <protection locked="0"/>
    </xf>
    <xf numFmtId="0" fontId="0" fillId="0" borderId="11" xfId="0" applyBorder="1" applyAlignment="1">
      <alignment horizontal="right"/>
    </xf>
    <xf numFmtId="4" fontId="5" fillId="7" borderId="11" xfId="6" applyFill="1" applyBorder="1" applyAlignment="1">
      <protection locked="0"/>
    </xf>
    <xf numFmtId="165" fontId="5" fillId="3" borderId="0" xfId="7" applyAlignment="1">
      <protection locked="0"/>
    </xf>
    <xf numFmtId="0" fontId="16" fillId="7" borderId="11" xfId="0" applyFont="1" applyFill="1" applyBorder="1" applyAlignment="1">
      <alignment horizontal="right"/>
    </xf>
    <xf numFmtId="0" fontId="0" fillId="7" borderId="0" xfId="0" applyFill="1" applyAlignment="1">
      <alignment horizontal="right"/>
    </xf>
    <xf numFmtId="165" fontId="5" fillId="18" borderId="92" xfId="7" applyFill="1" applyBorder="1" applyAlignment="1">
      <protection locked="0"/>
    </xf>
    <xf numFmtId="165" fontId="5" fillId="18" borderId="93" xfId="7" applyFill="1" applyBorder="1" applyAlignment="1">
      <protection locked="0"/>
    </xf>
    <xf numFmtId="165" fontId="5" fillId="18" borderId="94" xfId="7" applyFill="1" applyBorder="1" applyAlignment="1">
      <protection locked="0"/>
    </xf>
    <xf numFmtId="165" fontId="5" fillId="18" borderId="95" xfId="7" applyFill="1" applyBorder="1" applyAlignment="1">
      <protection locked="0"/>
    </xf>
    <xf numFmtId="165" fontId="5" fillId="18" borderId="96" xfId="7" applyFill="1" applyBorder="1" applyAlignment="1">
      <protection locked="0"/>
    </xf>
    <xf numFmtId="165" fontId="5" fillId="18" borderId="97" xfId="7" applyFill="1" applyBorder="1" applyAlignment="1">
      <protection locked="0"/>
    </xf>
    <xf numFmtId="165" fontId="5" fillId="18" borderId="98" xfId="7" applyFill="1" applyBorder="1" applyAlignment="1">
      <protection locked="0"/>
    </xf>
    <xf numFmtId="165" fontId="5" fillId="18" borderId="99" xfId="7" applyFill="1" applyBorder="1" applyAlignment="1">
      <protection locked="0"/>
    </xf>
    <xf numFmtId="165" fontId="5" fillId="18" borderId="100" xfId="7" applyFill="1" applyBorder="1" applyAlignment="1">
      <protection locked="0"/>
    </xf>
    <xf numFmtId="9" fontId="5" fillId="18" borderId="94" xfId="7" applyNumberFormat="1" applyFill="1" applyBorder="1" applyAlignment="1">
      <protection locked="0"/>
    </xf>
    <xf numFmtId="9" fontId="5" fillId="18" borderId="97" xfId="7" applyNumberFormat="1" applyFill="1" applyBorder="1" applyAlignment="1">
      <protection locked="0"/>
    </xf>
    <xf numFmtId="9" fontId="5" fillId="18" borderId="100" xfId="7" applyNumberFormat="1" applyFill="1" applyBorder="1" applyAlignment="1">
      <protection locked="0"/>
    </xf>
    <xf numFmtId="0" fontId="0" fillId="7" borderId="34" xfId="0" applyFill="1" applyBorder="1"/>
    <xf numFmtId="177" fontId="10" fillId="4" borderId="0" xfId="9" applyNumberFormat="1" applyBorder="1"/>
    <xf numFmtId="11" fontId="0" fillId="0" borderId="0" xfId="0" applyNumberFormat="1"/>
    <xf numFmtId="172" fontId="0" fillId="0" borderId="35" xfId="0" applyNumberFormat="1" applyBorder="1"/>
    <xf numFmtId="0" fontId="5" fillId="0" borderId="11" xfId="0" applyFont="1" applyBorder="1"/>
    <xf numFmtId="4" fontId="10" fillId="14" borderId="30" xfId="9" applyNumberFormat="1" applyFill="1" applyBorder="1"/>
    <xf numFmtId="4" fontId="10" fillId="14" borderId="0" xfId="9" applyNumberFormat="1" applyFill="1" applyBorder="1"/>
    <xf numFmtId="4" fontId="10" fillId="14" borderId="38" xfId="9" applyNumberFormat="1" applyFill="1" applyBorder="1"/>
    <xf numFmtId="9" fontId="0" fillId="0" borderId="77" xfId="24" applyFont="1" applyFill="1" applyBorder="1"/>
    <xf numFmtId="9" fontId="0" fillId="0" borderId="35" xfId="24" applyFont="1" applyFill="1" applyBorder="1"/>
    <xf numFmtId="4" fontId="5" fillId="13" borderId="26" xfId="6" applyFill="1" applyBorder="1" applyAlignment="1">
      <protection locked="0"/>
    </xf>
    <xf numFmtId="4" fontId="5" fillId="13" borderId="61" xfId="6" applyFill="1" applyBorder="1" applyAlignment="1">
      <protection locked="0"/>
    </xf>
    <xf numFmtId="4" fontId="5" fillId="13" borderId="82" xfId="6" applyFill="1" applyBorder="1" applyAlignment="1">
      <protection locked="0"/>
    </xf>
    <xf numFmtId="4" fontId="5" fillId="13" borderId="25" xfId="6" applyFill="1" applyBorder="1" applyAlignment="1">
      <protection locked="0"/>
    </xf>
    <xf numFmtId="4" fontId="5" fillId="13" borderId="69" xfId="6" applyFill="1" applyBorder="1" applyAlignment="1">
      <protection locked="0"/>
    </xf>
    <xf numFmtId="4" fontId="5" fillId="13" borderId="71" xfId="6" applyFill="1" applyBorder="1" applyAlignment="1">
      <protection locked="0"/>
    </xf>
    <xf numFmtId="4" fontId="5" fillId="13" borderId="27" xfId="6" applyFill="1" applyBorder="1" applyAlignment="1">
      <protection locked="0"/>
    </xf>
    <xf numFmtId="4" fontId="5" fillId="13" borderId="63" xfId="6" applyFill="1" applyBorder="1" applyAlignment="1">
      <protection locked="0"/>
    </xf>
    <xf numFmtId="4" fontId="5" fillId="13" borderId="70" xfId="6" applyFill="1" applyBorder="1" applyAlignment="1">
      <protection locked="0"/>
    </xf>
    <xf numFmtId="2" fontId="9" fillId="0" borderId="35" xfId="8" applyNumberFormat="1" applyFill="1" applyBorder="1" applyProtection="1"/>
    <xf numFmtId="2" fontId="9" fillId="0" borderId="0" xfId="8" applyNumberFormat="1" applyFill="1" applyBorder="1" applyProtection="1"/>
    <xf numFmtId="2" fontId="0" fillId="0" borderId="1" xfId="0" applyNumberFormat="1" applyBorder="1"/>
    <xf numFmtId="4" fontId="9" fillId="0" borderId="0" xfId="8" applyNumberFormat="1" applyFill="1" applyBorder="1" applyAlignment="1" applyProtection="1">
      <alignment horizontal="right"/>
    </xf>
    <xf numFmtId="4" fontId="5" fillId="13" borderId="16" xfId="6" applyFill="1" applyBorder="1" applyAlignment="1">
      <protection locked="0"/>
    </xf>
    <xf numFmtId="4" fontId="5" fillId="13" borderId="60" xfId="6" applyFill="1" applyBorder="1" applyAlignment="1">
      <protection locked="0"/>
    </xf>
    <xf numFmtId="4" fontId="5" fillId="13" borderId="0" xfId="6" applyFill="1" applyBorder="1" applyAlignment="1">
      <protection locked="0"/>
    </xf>
    <xf numFmtId="4" fontId="5" fillId="13" borderId="35" xfId="6" applyFill="1" applyBorder="1" applyAlignment="1">
      <protection locked="0"/>
    </xf>
    <xf numFmtId="4" fontId="5" fillId="13" borderId="41" xfId="6" applyFill="1" applyBorder="1" applyAlignment="1">
      <protection locked="0"/>
    </xf>
    <xf numFmtId="4" fontId="5" fillId="13" borderId="42" xfId="6" applyFill="1" applyBorder="1" applyAlignment="1">
      <protection locked="0"/>
    </xf>
    <xf numFmtId="168" fontId="0" fillId="12" borderId="47" xfId="0" applyNumberFormat="1" applyFill="1" applyBorder="1"/>
    <xf numFmtId="168" fontId="0" fillId="12" borderId="31" xfId="0" applyNumberFormat="1" applyFill="1" applyBorder="1"/>
    <xf numFmtId="166" fontId="0" fillId="12" borderId="47" xfId="0" applyNumberFormat="1" applyFill="1" applyBorder="1"/>
    <xf numFmtId="166" fontId="0" fillId="12" borderId="31" xfId="0" applyNumberFormat="1" applyFill="1" applyBorder="1"/>
    <xf numFmtId="3" fontId="5" fillId="13" borderId="26" xfId="14" applyNumberFormat="1" applyFont="1" applyFill="1" applyBorder="1"/>
    <xf numFmtId="0" fontId="5" fillId="17" borderId="0" xfId="0" applyFont="1" applyFill="1"/>
    <xf numFmtId="0" fontId="0" fillId="17" borderId="0" xfId="0" applyFill="1"/>
    <xf numFmtId="0" fontId="19" fillId="0" borderId="3" xfId="11" applyBorder="1"/>
    <xf numFmtId="0" fontId="0" fillId="0" borderId="0" xfId="0" applyAlignment="1">
      <alignment horizontal="left" wrapText="1"/>
    </xf>
    <xf numFmtId="0" fontId="9" fillId="0" borderId="2" xfId="8" applyNumberFormat="1" applyBorder="1" applyProtection="1"/>
    <xf numFmtId="0" fontId="9" fillId="0" borderId="1" xfId="8" applyNumberFormat="1" applyBorder="1" applyProtection="1"/>
    <xf numFmtId="0" fontId="9" fillId="0" borderId="2" xfId="8" applyNumberFormat="1" applyFill="1" applyBorder="1" applyProtection="1"/>
    <xf numFmtId="0" fontId="9" fillId="0" borderId="1" xfId="8" applyNumberFormat="1" applyFill="1" applyBorder="1" applyProtection="1"/>
    <xf numFmtId="4" fontId="9" fillId="7" borderId="0" xfId="8" applyNumberFormat="1" applyFill="1" applyAlignment="1">
      <alignment horizontal="right" vertical="top"/>
      <protection locked="0"/>
    </xf>
    <xf numFmtId="9" fontId="0" fillId="0" borderId="0" xfId="24" applyFont="1"/>
    <xf numFmtId="165" fontId="0" fillId="0" borderId="0" xfId="0" applyNumberFormat="1" applyAlignment="1">
      <alignment horizontal="right"/>
    </xf>
    <xf numFmtId="165" fontId="0" fillId="0" borderId="1" xfId="0" applyNumberFormat="1" applyBorder="1" applyAlignment="1">
      <alignment horizontal="right"/>
    </xf>
    <xf numFmtId="4" fontId="0" fillId="0" borderId="11" xfId="0" applyNumberFormat="1" applyBorder="1" applyAlignment="1">
      <alignment horizontal="right"/>
    </xf>
    <xf numFmtId="165" fontId="0" fillId="0" borderId="11" xfId="0" applyNumberFormat="1" applyBorder="1" applyAlignment="1">
      <alignment horizontal="right"/>
    </xf>
    <xf numFmtId="4" fontId="0" fillId="0" borderId="2" xfId="0" applyNumberFormat="1" applyBorder="1" applyAlignment="1">
      <alignment horizontal="right"/>
    </xf>
    <xf numFmtId="165" fontId="0" fillId="0" borderId="2" xfId="0" applyNumberFormat="1" applyBorder="1" applyAlignment="1">
      <alignment horizontal="right"/>
    </xf>
    <xf numFmtId="4" fontId="0" fillId="0" borderId="1" xfId="0" applyNumberFormat="1" applyBorder="1" applyAlignment="1">
      <alignment horizontal="right"/>
    </xf>
    <xf numFmtId="4" fontId="5" fillId="0" borderId="1" xfId="6" applyFill="1" applyBorder="1" applyAlignment="1">
      <protection locked="0"/>
    </xf>
    <xf numFmtId="0" fontId="16" fillId="0" borderId="0" xfId="0" applyFont="1" applyAlignment="1">
      <alignment horizontal="centerContinuous"/>
    </xf>
    <xf numFmtId="0" fontId="16" fillId="0" borderId="34" xfId="0" applyFont="1" applyBorder="1" applyAlignment="1">
      <alignment horizontal="right" wrapText="1"/>
    </xf>
    <xf numFmtId="4" fontId="0" fillId="0" borderId="44" xfId="0" applyNumberFormat="1" applyBorder="1"/>
    <xf numFmtId="4" fontId="0" fillId="0" borderId="30" xfId="0" applyNumberFormat="1" applyBorder="1" applyAlignment="1">
      <alignment horizontal="right"/>
    </xf>
    <xf numFmtId="2" fontId="0" fillId="0" borderId="30" xfId="0" applyNumberFormat="1" applyBorder="1"/>
    <xf numFmtId="4" fontId="0" fillId="0" borderId="34" xfId="0" applyNumberFormat="1" applyBorder="1"/>
    <xf numFmtId="4" fontId="0" fillId="0" borderId="43" xfId="0" applyNumberFormat="1" applyBorder="1"/>
    <xf numFmtId="4" fontId="0" fillId="0" borderId="38" xfId="0" applyNumberFormat="1" applyBorder="1" applyAlignment="1">
      <alignment horizontal="right"/>
    </xf>
    <xf numFmtId="2" fontId="0" fillId="0" borderId="38" xfId="0" applyNumberFormat="1" applyBorder="1"/>
    <xf numFmtId="0" fontId="0" fillId="0" borderId="46" xfId="0" applyBorder="1"/>
    <xf numFmtId="178" fontId="0" fillId="0" borderId="44" xfId="0" applyNumberFormat="1" applyBorder="1"/>
    <xf numFmtId="178" fontId="0" fillId="0" borderId="46" xfId="0" applyNumberFormat="1" applyBorder="1"/>
    <xf numFmtId="4" fontId="0" fillId="0" borderId="75" xfId="0" applyNumberFormat="1" applyBorder="1"/>
    <xf numFmtId="179" fontId="0" fillId="0" borderId="0" xfId="0" applyNumberFormat="1"/>
    <xf numFmtId="0" fontId="0" fillId="0" borderId="45" xfId="0" applyBorder="1"/>
    <xf numFmtId="4" fontId="16" fillId="0" borderId="34" xfId="0" applyNumberFormat="1" applyFont="1" applyBorder="1" applyAlignment="1">
      <alignment wrapText="1"/>
    </xf>
    <xf numFmtId="4" fontId="16" fillId="0" borderId="0" xfId="0" applyNumberFormat="1" applyFont="1" applyAlignment="1">
      <alignment horizontal="right" wrapText="1"/>
    </xf>
    <xf numFmtId="4" fontId="0" fillId="0" borderId="38" xfId="0" applyNumberFormat="1" applyBorder="1"/>
    <xf numFmtId="2" fontId="0" fillId="0" borderId="26" xfId="0" applyNumberFormat="1" applyBorder="1"/>
    <xf numFmtId="4" fontId="0" fillId="0" borderId="30" xfId="0" applyNumberFormat="1" applyBorder="1"/>
    <xf numFmtId="2" fontId="0" fillId="0" borderId="27" xfId="0" applyNumberFormat="1" applyBorder="1"/>
    <xf numFmtId="4" fontId="0" fillId="0" borderId="39" xfId="0" applyNumberFormat="1" applyBorder="1"/>
    <xf numFmtId="4" fontId="0" fillId="0" borderId="26" xfId="0" applyNumberFormat="1" applyBorder="1" applyAlignment="1">
      <alignment horizontal="right"/>
    </xf>
    <xf numFmtId="0" fontId="0" fillId="0" borderId="40" xfId="0" applyBorder="1"/>
    <xf numFmtId="4" fontId="0" fillId="0" borderId="27" xfId="0" applyNumberFormat="1" applyBorder="1" applyAlignment="1">
      <alignment horizontal="right"/>
    </xf>
    <xf numFmtId="2" fontId="0" fillId="0" borderId="41" xfId="0" applyNumberFormat="1" applyBorder="1"/>
    <xf numFmtId="2" fontId="0" fillId="0" borderId="42" xfId="0" applyNumberFormat="1" applyBorder="1"/>
    <xf numFmtId="4" fontId="0" fillId="0" borderId="32" xfId="0" applyNumberFormat="1" applyBorder="1"/>
    <xf numFmtId="0" fontId="0" fillId="0" borderId="47" xfId="0" applyBorder="1" applyAlignment="1">
      <alignment horizontal="right"/>
    </xf>
    <xf numFmtId="166" fontId="0" fillId="0" borderId="0" xfId="0" applyNumberFormat="1"/>
    <xf numFmtId="166" fontId="0" fillId="0" borderId="47" xfId="0" applyNumberFormat="1" applyBorder="1"/>
    <xf numFmtId="166" fontId="0" fillId="0" borderId="31" xfId="0" applyNumberFormat="1" applyBorder="1"/>
    <xf numFmtId="166" fontId="0" fillId="0" borderId="35" xfId="0" applyNumberFormat="1" applyBorder="1"/>
    <xf numFmtId="4" fontId="0" fillId="0" borderId="35" xfId="0" applyNumberFormat="1" applyBorder="1" applyAlignment="1">
      <alignment horizontal="right"/>
    </xf>
    <xf numFmtId="3" fontId="0" fillId="0" borderId="34" xfId="0" applyNumberFormat="1" applyBorder="1"/>
    <xf numFmtId="3" fontId="0" fillId="0" borderId="26" xfId="0" applyNumberFormat="1" applyBorder="1"/>
    <xf numFmtId="3" fontId="0" fillId="0" borderId="27" xfId="0" applyNumberFormat="1" applyBorder="1"/>
    <xf numFmtId="0" fontId="0" fillId="7" borderId="13" xfId="0" quotePrefix="1" applyFill="1" applyBorder="1" applyAlignment="1">
      <alignment vertical="top" wrapText="1"/>
    </xf>
    <xf numFmtId="168" fontId="9" fillId="0" borderId="0" xfId="8" applyNumberFormat="1" applyProtection="1"/>
    <xf numFmtId="178" fontId="0" fillId="0" borderId="0" xfId="0" applyNumberFormat="1"/>
    <xf numFmtId="0" fontId="61" fillId="0" borderId="0" xfId="0" applyFont="1"/>
    <xf numFmtId="0" fontId="62" fillId="0" borderId="0" xfId="0" applyFont="1"/>
    <xf numFmtId="0" fontId="0" fillId="7" borderId="4" xfId="0" quotePrefix="1" applyFill="1" applyBorder="1" applyAlignment="1">
      <alignment vertical="top" wrapText="1"/>
    </xf>
    <xf numFmtId="4" fontId="0" fillId="7" borderId="4" xfId="0" quotePrefix="1" applyNumberFormat="1" applyFill="1" applyBorder="1" applyAlignment="1">
      <alignment vertical="top" wrapText="1"/>
    </xf>
    <xf numFmtId="182" fontId="10" fillId="14" borderId="0" xfId="9" applyNumberFormat="1" applyFill="1" applyBorder="1"/>
    <xf numFmtId="165" fontId="5" fillId="3" borderId="35" xfId="7" applyBorder="1" applyAlignment="1">
      <alignment horizontal="right"/>
      <protection locked="0"/>
    </xf>
    <xf numFmtId="0" fontId="0" fillId="0" borderId="0" xfId="0" applyAlignment="1">
      <alignment horizontal="center" wrapText="1"/>
    </xf>
    <xf numFmtId="3" fontId="5" fillId="7" borderId="35" xfId="6" quotePrefix="1" applyNumberFormat="1" applyFill="1" applyBorder="1" applyAlignment="1">
      <alignment horizontal="right"/>
      <protection locked="0"/>
    </xf>
    <xf numFmtId="0" fontId="0" fillId="7" borderId="10" xfId="0" applyFill="1" applyBorder="1" applyAlignment="1">
      <alignment horizontal="center"/>
    </xf>
    <xf numFmtId="168" fontId="9" fillId="0" borderId="0" xfId="8" applyNumberFormat="1" applyBorder="1" applyProtection="1"/>
    <xf numFmtId="0" fontId="22" fillId="15" borderId="0" xfId="14" applyFill="1" applyBorder="1"/>
    <xf numFmtId="0" fontId="0" fillId="12" borderId="39" xfId="0" applyFill="1" applyBorder="1"/>
    <xf numFmtId="0" fontId="0" fillId="13" borderId="101" xfId="0" applyFill="1" applyBorder="1"/>
    <xf numFmtId="0" fontId="0" fillId="0" borderId="39" xfId="0" applyBorder="1"/>
    <xf numFmtId="0" fontId="0" fillId="12" borderId="101" xfId="0" applyFill="1" applyBorder="1"/>
    <xf numFmtId="4" fontId="0" fillId="0" borderId="37" xfId="0" applyNumberFormat="1" applyBorder="1"/>
    <xf numFmtId="0" fontId="0" fillId="12" borderId="39" xfId="0" quotePrefix="1" applyFill="1" applyBorder="1"/>
    <xf numFmtId="0" fontId="16" fillId="0" borderId="0" xfId="0" applyFont="1" applyAlignment="1">
      <alignment horizontal="left"/>
    </xf>
    <xf numFmtId="4" fontId="0" fillId="0" borderId="61" xfId="0" applyNumberFormat="1" applyBorder="1"/>
    <xf numFmtId="4" fontId="0" fillId="0" borderId="78" xfId="0" applyNumberFormat="1" applyBorder="1"/>
    <xf numFmtId="4" fontId="0" fillId="0" borderId="91" xfId="0" applyNumberFormat="1" applyBorder="1"/>
    <xf numFmtId="4" fontId="0" fillId="0" borderId="63" xfId="0" applyNumberFormat="1" applyBorder="1"/>
    <xf numFmtId="4" fontId="0" fillId="0" borderId="81" xfId="0" applyNumberFormat="1" applyBorder="1"/>
    <xf numFmtId="4" fontId="0" fillId="0" borderId="70" xfId="0" applyNumberFormat="1" applyBorder="1"/>
    <xf numFmtId="4" fontId="5" fillId="7" borderId="26" xfId="6" applyFill="1" applyBorder="1" applyAlignment="1">
      <protection locked="0"/>
    </xf>
    <xf numFmtId="0" fontId="22" fillId="7" borderId="35" xfId="14" applyFill="1" applyBorder="1"/>
    <xf numFmtId="0" fontId="0" fillId="0" borderId="34" xfId="0" applyBorder="1" applyAlignment="1">
      <alignment horizontal="left" indent="1"/>
    </xf>
    <xf numFmtId="0" fontId="0" fillId="12" borderId="0" xfId="0" applyFill="1"/>
    <xf numFmtId="2" fontId="0" fillId="0" borderId="0" xfId="0" applyNumberFormat="1" applyAlignment="1">
      <alignment horizontal="right"/>
    </xf>
    <xf numFmtId="0" fontId="0" fillId="11" borderId="0" xfId="21" applyFont="1">
      <alignment vertical="top"/>
    </xf>
    <xf numFmtId="4" fontId="0" fillId="7" borderId="0" xfId="0" applyNumberFormat="1" applyFill="1"/>
    <xf numFmtId="0" fontId="0" fillId="11" borderId="2" xfId="21" applyFont="1" applyBorder="1">
      <alignment vertical="top"/>
    </xf>
    <xf numFmtId="0" fontId="0" fillId="0" borderId="0" xfId="0" quotePrefix="1" applyAlignment="1">
      <alignment horizontal="left" vertical="top"/>
    </xf>
    <xf numFmtId="0" fontId="22" fillId="8" borderId="0" xfId="14" applyAlignment="1">
      <alignment horizontal="left" vertical="top"/>
    </xf>
    <xf numFmtId="0" fontId="10" fillId="4" borderId="0" xfId="9" applyNumberFormat="1" applyAlignment="1">
      <alignment horizontal="left" vertical="top"/>
    </xf>
    <xf numFmtId="0" fontId="10" fillId="4" borderId="0" xfId="9" applyNumberFormat="1" applyAlignment="1">
      <alignment horizontal="center" vertical="top"/>
    </xf>
    <xf numFmtId="0" fontId="0" fillId="9" borderId="0" xfId="0" applyFill="1" applyAlignment="1">
      <alignment horizontal="left" vertical="top"/>
    </xf>
    <xf numFmtId="0" fontId="0" fillId="9" borderId="0" xfId="0" applyFill="1" applyAlignment="1">
      <alignment horizontal="center" vertical="top"/>
    </xf>
    <xf numFmtId="0" fontId="16" fillId="9" borderId="0" xfId="0" applyFont="1" applyFill="1" applyAlignment="1">
      <alignment horizontal="left" vertical="top"/>
    </xf>
    <xf numFmtId="4" fontId="5" fillId="3" borderId="0" xfId="6" applyAlignment="1">
      <alignment horizontal="left" vertical="top"/>
      <protection locked="0"/>
    </xf>
    <xf numFmtId="4" fontId="16" fillId="3" borderId="0" xfId="6" quotePrefix="1" applyFont="1" applyAlignment="1">
      <alignment horizontal="left" vertical="top"/>
      <protection locked="0"/>
    </xf>
    <xf numFmtId="0" fontId="0" fillId="19" borderId="0" xfId="0" applyFill="1" applyAlignment="1">
      <alignment horizontal="left" vertical="top"/>
    </xf>
    <xf numFmtId="0" fontId="0" fillId="19" borderId="0" xfId="0" applyFill="1" applyAlignment="1">
      <alignment horizontal="center" vertical="top"/>
    </xf>
    <xf numFmtId="166" fontId="5" fillId="19" borderId="0" xfId="16" applyFill="1" applyBorder="1" applyAlignment="1">
      <protection locked="0"/>
    </xf>
    <xf numFmtId="166" fontId="0" fillId="19" borderId="0" xfId="16" applyFont="1" applyFill="1" applyBorder="1" applyAlignment="1">
      <protection locked="0"/>
    </xf>
    <xf numFmtId="166" fontId="5" fillId="9" borderId="0" xfId="16" applyFill="1" applyBorder="1" applyAlignment="1">
      <protection locked="0"/>
    </xf>
    <xf numFmtId="166" fontId="0" fillId="9" borderId="0" xfId="16" applyFont="1" applyFill="1" applyBorder="1" applyAlignment="1">
      <protection locked="0"/>
    </xf>
    <xf numFmtId="3" fontId="5" fillId="3" borderId="0" xfId="6" applyNumberFormat="1" applyBorder="1" applyAlignment="1">
      <alignment horizontal="right" wrapText="1"/>
      <protection locked="0"/>
    </xf>
    <xf numFmtId="3" fontId="5" fillId="3" borderId="35" xfId="6" applyNumberFormat="1" applyBorder="1" applyAlignment="1">
      <alignment horizontal="right" wrapText="1"/>
      <protection locked="0"/>
    </xf>
    <xf numFmtId="3" fontId="5" fillId="3" borderId="34" xfId="6" applyNumberFormat="1" applyBorder="1" applyAlignment="1">
      <alignment horizontal="left" wrapText="1"/>
      <protection locked="0"/>
    </xf>
    <xf numFmtId="3" fontId="5" fillId="3" borderId="0" xfId="6" applyNumberFormat="1" applyBorder="1" applyAlignment="1">
      <alignment horizontal="left" wrapText="1"/>
      <protection locked="0"/>
    </xf>
    <xf numFmtId="3" fontId="0" fillId="7" borderId="0" xfId="0" applyNumberFormat="1" applyFill="1"/>
    <xf numFmtId="0" fontId="5" fillId="11" borderId="0" xfId="21" quotePrefix="1">
      <alignment vertical="top"/>
    </xf>
    <xf numFmtId="165" fontId="0" fillId="0" borderId="0" xfId="0" applyNumberFormat="1"/>
    <xf numFmtId="3" fontId="0" fillId="0" borderId="36" xfId="0" applyNumberFormat="1" applyBorder="1"/>
    <xf numFmtId="3" fontId="29" fillId="0" borderId="1" xfId="4" applyNumberFormat="1" applyBorder="1" applyAlignment="1"/>
    <xf numFmtId="178" fontId="10" fillId="4" borderId="0" xfId="9" applyNumberFormat="1" applyBorder="1"/>
    <xf numFmtId="0" fontId="31" fillId="7" borderId="0" xfId="0" applyFont="1" applyFill="1" applyAlignment="1">
      <alignment vertical="top" wrapText="1"/>
    </xf>
    <xf numFmtId="0" fontId="31" fillId="0" borderId="0" xfId="0" applyFont="1" applyAlignment="1">
      <alignment vertical="top" wrapText="1"/>
    </xf>
    <xf numFmtId="0" fontId="16" fillId="0" borderId="17" xfId="0" applyFont="1" applyBorder="1" applyAlignment="1">
      <alignment horizontal="center" vertical="top" wrapText="1"/>
    </xf>
    <xf numFmtId="0" fontId="16" fillId="0" borderId="12" xfId="0" applyFont="1" applyBorder="1" applyAlignment="1">
      <alignment horizontal="center" vertical="top" wrapText="1"/>
    </xf>
    <xf numFmtId="0" fontId="16" fillId="0" borderId="18" xfId="0" applyFont="1" applyBorder="1" applyAlignment="1">
      <alignment horizontal="center" vertical="top" wrapText="1"/>
    </xf>
  </cellXfs>
  <cellStyles count="29">
    <cellStyle name="Change in Formula" xfId="3" xr:uid="{00000000-0005-0000-0000-000000000000}"/>
    <cellStyle name="Comma" xfId="1" builtinId="3" customBuiltin="1"/>
    <cellStyle name="Comma [0]" xfId="2" builtinId="6" customBuiltin="1"/>
    <cellStyle name="Error checks" xfId="4" xr:uid="{00000000-0005-0000-0000-000003000000}"/>
    <cellStyle name="Error Warning" xfId="5" xr:uid="{00000000-0005-0000-0000-000004000000}"/>
    <cellStyle name="Hyperlink" xfId="11" builtinId="8"/>
    <cellStyle name="Info/Default #" xfId="16" xr:uid="{00000000-0005-0000-0000-000006000000}"/>
    <cellStyle name="Info/default %" xfId="13" xr:uid="{00000000-0005-0000-0000-000007000000}"/>
    <cellStyle name="Info/import #" xfId="12" xr:uid="{00000000-0005-0000-0000-000008000000}"/>
    <cellStyle name="Info/import %" xfId="15" xr:uid="{00000000-0005-0000-0000-000009000000}"/>
    <cellStyle name="Input #" xfId="6" xr:uid="{00000000-0005-0000-0000-00000A000000}"/>
    <cellStyle name="Input # 2" xfId="26" xr:uid="{805C5569-F429-4B9B-AA8F-8B4256FB3622}"/>
    <cellStyle name="Input %" xfId="7" xr:uid="{00000000-0005-0000-0000-00000B000000}"/>
    <cellStyle name="Input2" xfId="8" xr:uid="{00000000-0005-0000-0000-00000C000000}"/>
    <cellStyle name="Input2 #" xfId="22" xr:uid="{BEE155F4-9726-4C8D-A43C-7CF00D722E8E}"/>
    <cellStyle name="Input2 # 2" xfId="25" xr:uid="{349976E0-4DF0-4661-BF03-C71CA62ADD3F}"/>
    <cellStyle name="Key Outputs" xfId="9" xr:uid="{00000000-0005-0000-0000-00000D000000}"/>
    <cellStyle name="Key Outputs 2" xfId="27" xr:uid="{6CC89C9E-BC99-4400-8AC8-7052C2634FBC}"/>
    <cellStyle name="Links from other files (green) style" xfId="10" xr:uid="{00000000-0005-0000-0000-00000E000000}"/>
    <cellStyle name="Normal" xfId="0" builtinId="0" customBuiltin="1"/>
    <cellStyle name="Normal 2" xfId="19" xr:uid="{00000000-0005-0000-0000-000010000000}"/>
    <cellStyle name="Normal 3" xfId="20" xr:uid="{00000000-0005-0000-0000-000011000000}"/>
    <cellStyle name="Normal 31" xfId="23" xr:uid="{79EA6015-1D9F-48C8-8461-848F29FEE787}"/>
    <cellStyle name="Percent" xfId="24" builtinId="5"/>
    <cellStyle name="Percent 2" xfId="17" xr:uid="{00000000-0005-0000-0000-000012000000}"/>
    <cellStyle name="Percent 2 2" xfId="18" xr:uid="{00000000-0005-0000-0000-000013000000}"/>
    <cellStyle name="Percent 3" xfId="28" xr:uid="{6D072D15-35DF-4987-8E20-702262212894}"/>
    <cellStyle name="QA" xfId="14" xr:uid="{00000000-0005-0000-0000-000014000000}"/>
    <cellStyle name="Source" xfId="21" xr:uid="{FF3C3CBD-6D4A-4CD3-A42D-05188F4B9C0E}"/>
  </cellStyles>
  <dxfs count="18">
    <dxf>
      <font>
        <color theme="0" tint="-4.9989318521683403E-2"/>
      </font>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ont>
        <color theme="0" tint="-0.499984740745262"/>
      </font>
      <fill>
        <patternFill>
          <bgColor theme="0" tint="-0.24994659260841701"/>
        </patternFill>
      </fill>
    </dxf>
    <dxf>
      <fill>
        <patternFill>
          <bgColor rgb="FF99CCFF"/>
        </patternFill>
      </fill>
    </dxf>
    <dxf>
      <fill>
        <patternFill>
          <bgColor rgb="FF99CCFF"/>
        </patternFill>
      </fill>
    </dxf>
    <dxf>
      <fill>
        <patternFill>
          <bgColor rgb="FF99CCFF"/>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fill>
        <patternFill>
          <bgColor theme="4" tint="-0.499984740745262"/>
        </patternFill>
      </fill>
    </dxf>
    <dxf>
      <font>
        <color auto="1"/>
      </font>
      <fill>
        <patternFill>
          <bgColor rgb="FFFF7979"/>
        </patternFill>
      </fill>
    </dxf>
    <dxf>
      <fill>
        <patternFill>
          <bgColor rgb="FFFFCC66"/>
        </patternFill>
      </fill>
    </dxf>
    <dxf>
      <font>
        <color auto="1"/>
      </font>
      <fill>
        <patternFill>
          <bgColor rgb="FFFF7979"/>
        </patternFill>
      </fill>
    </dxf>
    <dxf>
      <fill>
        <patternFill>
          <bgColor rgb="FFFFCC66"/>
        </patternFill>
      </fill>
    </dxf>
  </dxfs>
  <tableStyles count="0" defaultTableStyle="TableStyleMedium2" defaultPivotStyle="PivotStyleLight16"/>
  <colors>
    <mruColors>
      <color rgb="FF48B749"/>
      <color rgb="FF99CCFF"/>
      <color rgb="FF012D76"/>
      <color rgb="FFFFD85B"/>
      <color rgb="FFCCCCFF"/>
      <color rgb="FFFFFFCC"/>
      <color rgb="FFFFCB05"/>
      <color rgb="FFF78D1E"/>
      <color rgb="FFCC1F26"/>
      <color rgb="FF8E4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932046590436367E-2"/>
          <c:y val="7.7865181992337149E-2"/>
          <c:w val="0.90013590681912725"/>
          <c:h val="0.63401061621966792"/>
        </c:manualLayout>
      </c:layout>
      <c:lineChart>
        <c:grouping val="standard"/>
        <c:varyColors val="0"/>
        <c:ser>
          <c:idx val="0"/>
          <c:order val="0"/>
          <c:tx>
            <c:strRef>
              <c:f>Examples!$B$35</c:f>
              <c:strCache>
                <c:ptCount val="1"/>
                <c:pt idx="0">
                  <c:v>Data 1</c:v>
                </c:pt>
              </c:strCache>
            </c:strRef>
          </c:tx>
          <c:spPr>
            <a:ln w="25400" cap="rnd" cmpd="sng" algn="ctr">
              <a:solidFill>
                <a:srgbClr val="0352A1"/>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A5DE-4167-9689-743C987B5753}"/>
            </c:ext>
          </c:extLst>
        </c:ser>
        <c:ser>
          <c:idx val="1"/>
          <c:order val="1"/>
          <c:tx>
            <c:strRef>
              <c:f>Examples!$C$35</c:f>
              <c:strCache>
                <c:ptCount val="1"/>
                <c:pt idx="0">
                  <c:v>Data 2</c:v>
                </c:pt>
              </c:strCache>
            </c:strRef>
          </c:tx>
          <c:spPr>
            <a:ln w="25400" cap="rnd" cmpd="sng" algn="ctr">
              <a:solidFill>
                <a:srgbClr val="3373B3"/>
              </a:solidFill>
              <a:prstDash val="sys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A5DE-4167-9689-743C987B5753}"/>
            </c:ext>
          </c:extLst>
        </c:ser>
        <c:ser>
          <c:idx val="2"/>
          <c:order val="2"/>
          <c:tx>
            <c:strRef>
              <c:f>Examples!$D$35</c:f>
              <c:strCache>
                <c:ptCount val="1"/>
                <c:pt idx="0">
                  <c:v>Data 3</c:v>
                </c:pt>
              </c:strCache>
            </c:strRef>
          </c:tx>
          <c:spPr>
            <a:ln w="25400" cap="rnd" cmpd="sng" algn="ctr">
              <a:solidFill>
                <a:srgbClr val="66C5EA"/>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5DE-4167-9689-743C987B5753}"/>
            </c:ext>
          </c:extLst>
        </c:ser>
        <c:ser>
          <c:idx val="3"/>
          <c:order val="3"/>
          <c:tx>
            <c:strRef>
              <c:f>Examples!$E$35</c:f>
              <c:strCache>
                <c:ptCount val="1"/>
                <c:pt idx="0">
                  <c:v>Data 4</c:v>
                </c:pt>
              </c:strCache>
            </c:strRef>
          </c:tx>
          <c:spPr>
            <a:ln w="25400" cap="rnd" cmpd="sng" algn="ctr">
              <a:solidFill>
                <a:srgbClr val="009DDB"/>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5DE-4167-9689-743C987B5753}"/>
            </c:ext>
          </c:extLst>
        </c:ser>
        <c:ser>
          <c:idx val="4"/>
          <c:order val="4"/>
          <c:tx>
            <c:strRef>
              <c:f>Examples!$F$35</c:f>
              <c:strCache>
                <c:ptCount val="1"/>
                <c:pt idx="0">
                  <c:v>Data 5</c:v>
                </c:pt>
              </c:strCache>
            </c:strRef>
          </c:tx>
          <c:spPr>
            <a:ln w="25400" cap="rnd" cmpd="sng" algn="ctr">
              <a:solidFill>
                <a:srgbClr val="177DA6"/>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A5DE-4167-9689-743C987B5753}"/>
            </c:ext>
          </c:extLst>
        </c:ser>
        <c:ser>
          <c:idx val="5"/>
          <c:order val="5"/>
          <c:tx>
            <c:strRef>
              <c:f>Examples!$G$35</c:f>
              <c:strCache>
                <c:ptCount val="1"/>
                <c:pt idx="0">
                  <c:v>Data 6</c:v>
                </c:pt>
              </c:strCache>
            </c:strRef>
          </c:tx>
          <c:spPr>
            <a:ln w="25400" cap="rnd" cmpd="sng" algn="ctr">
              <a:solidFill>
                <a:srgbClr val="5DA4C1"/>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smooth val="0"/>
          <c:extLst>
            <c:ext xmlns:c16="http://schemas.microsoft.com/office/drawing/2014/chart" uri="{C3380CC4-5D6E-409C-BE32-E72D297353CC}">
              <c16:uniqueId val="{00000005-A5DE-4167-9689-743C987B5753}"/>
            </c:ext>
          </c:extLst>
        </c:ser>
        <c:ser>
          <c:idx val="6"/>
          <c:order val="6"/>
          <c:tx>
            <c:strRef>
              <c:f>Examples!$H$35</c:f>
              <c:strCache>
                <c:ptCount val="1"/>
                <c:pt idx="0">
                  <c:v>Data 7</c:v>
                </c:pt>
              </c:strCache>
            </c:strRef>
          </c:tx>
          <c:spPr>
            <a:ln w="25400" cap="rnd" cmpd="sng" algn="ctr">
              <a:solidFill>
                <a:srgbClr val="77869F"/>
              </a:solidFill>
              <a:prstDash val="lg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smooth val="0"/>
          <c:extLst>
            <c:ext xmlns:c16="http://schemas.microsoft.com/office/drawing/2014/chart" uri="{C3380CC4-5D6E-409C-BE32-E72D297353CC}">
              <c16:uniqueId val="{00000000-6ADB-4ED3-8566-60005565942E}"/>
            </c:ext>
          </c:extLst>
        </c:ser>
        <c:ser>
          <c:idx val="7"/>
          <c:order val="7"/>
          <c:tx>
            <c:strRef>
              <c:f>Examples!$I$35</c:f>
              <c:strCache>
                <c:ptCount val="1"/>
                <c:pt idx="0">
                  <c:v>Data 8</c:v>
                </c:pt>
              </c:strCache>
            </c:strRef>
          </c:tx>
          <c:spPr>
            <a:ln w="28575" cap="rnd" cmpd="sng" algn="ctr">
              <a:solidFill>
                <a:srgbClr val="99A4B7"/>
              </a:solidFill>
              <a:prstDash val="sysDot"/>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smooth val="0"/>
          <c:extLst>
            <c:ext xmlns:c16="http://schemas.microsoft.com/office/drawing/2014/chart" uri="{C3380CC4-5D6E-409C-BE32-E72D297353CC}">
              <c16:uniqueId val="{00000001-6ADB-4ED3-8566-60005565942E}"/>
            </c:ext>
          </c:extLst>
        </c:ser>
        <c:dLbls>
          <c:showLegendKey val="0"/>
          <c:showVal val="0"/>
          <c:showCatName val="0"/>
          <c:showSerName val="0"/>
          <c:showPercent val="0"/>
          <c:showBubbleSize val="0"/>
        </c:dLbls>
        <c:smooth val="0"/>
        <c:axId val="509221768"/>
        <c:axId val="509211184"/>
      </c:lineChart>
      <c:catAx>
        <c:axId val="509221768"/>
        <c:scaling>
          <c:orientation val="minMax"/>
        </c:scaling>
        <c:delete val="0"/>
        <c:axPos val="b"/>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09211184"/>
        <c:crosses val="autoZero"/>
        <c:auto val="1"/>
        <c:lblAlgn val="ctr"/>
        <c:lblOffset val="100"/>
        <c:tickLblSkip val="1"/>
        <c:tickMarkSkip val="1"/>
        <c:noMultiLvlLbl val="0"/>
      </c:catAx>
      <c:valAx>
        <c:axId val="509211184"/>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09221768"/>
        <c:crosses val="autoZero"/>
        <c:crossBetween val="midCat"/>
      </c:valAx>
      <c:spPr>
        <a:noFill/>
        <a:ln w="25400">
          <a:noFill/>
        </a:ln>
        <a:effectLst/>
      </c:spPr>
    </c:plotArea>
    <c:legend>
      <c:legendPos val="b"/>
      <c:layout>
        <c:manualLayout>
          <c:xMode val="edge"/>
          <c:yMode val="edge"/>
          <c:x val="2.3932179693131585E-2"/>
          <c:y val="0.84084929757343552"/>
          <c:w val="0.95879326899735273"/>
          <c:h val="0.128738825031928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89131944444444"/>
          <c:y val="3.8609514687100895E-2"/>
          <c:w val="0.55679843749999991"/>
          <c:h val="0.91935584291187744"/>
        </c:manualLayout>
      </c:layout>
      <c:ofPieChart>
        <c:ofPieType val="bar"/>
        <c:varyColors val="1"/>
        <c:ser>
          <c:idx val="0"/>
          <c:order val="0"/>
          <c:tx>
            <c:strRef>
              <c:f>Examples!$A$36</c:f>
              <c:strCache>
                <c:ptCount val="1"/>
                <c:pt idx="0">
                  <c:v>1975-76</c:v>
                </c:pt>
              </c:strCache>
            </c:strRef>
          </c:tx>
          <c:spPr>
            <a:ln>
              <a:solidFill>
                <a:schemeClr val="bg1"/>
              </a:solidFill>
            </a:ln>
          </c:spPr>
          <c:dPt>
            <c:idx val="0"/>
            <c:bubble3D val="0"/>
            <c:spPr>
              <a:solidFill>
                <a:schemeClr val="accent6"/>
              </a:solidFill>
              <a:ln>
                <a:solidFill>
                  <a:schemeClr val="bg1"/>
                </a:solidFill>
              </a:ln>
              <a:effectLst/>
            </c:spPr>
            <c:extLst>
              <c:ext xmlns:c16="http://schemas.microsoft.com/office/drawing/2014/chart" uri="{C3380CC4-5D6E-409C-BE32-E72D297353CC}">
                <c16:uniqueId val="{00000001-77A7-45A0-938D-284B6467E980}"/>
              </c:ext>
            </c:extLst>
          </c:dPt>
          <c:dPt>
            <c:idx val="1"/>
            <c:bubble3D val="0"/>
            <c:spPr>
              <a:solidFill>
                <a:schemeClr val="accent5"/>
              </a:solidFill>
              <a:ln>
                <a:solidFill>
                  <a:schemeClr val="bg1"/>
                </a:solidFill>
              </a:ln>
              <a:effectLst/>
            </c:spPr>
            <c:extLst>
              <c:ext xmlns:c16="http://schemas.microsoft.com/office/drawing/2014/chart" uri="{C3380CC4-5D6E-409C-BE32-E72D297353CC}">
                <c16:uniqueId val="{00000003-77A7-45A0-938D-284B6467E980}"/>
              </c:ext>
            </c:extLst>
          </c:dPt>
          <c:dPt>
            <c:idx val="2"/>
            <c:bubble3D val="0"/>
            <c:spPr>
              <a:solidFill>
                <a:srgbClr val="66C5EA"/>
              </a:solidFill>
              <a:ln>
                <a:solidFill>
                  <a:schemeClr val="bg1"/>
                </a:solidFill>
              </a:ln>
              <a:effectLst/>
            </c:spPr>
            <c:extLst>
              <c:ext xmlns:c16="http://schemas.microsoft.com/office/drawing/2014/chart" uri="{C3380CC4-5D6E-409C-BE32-E72D297353CC}">
                <c16:uniqueId val="{00000005-77A7-45A0-938D-284B6467E980}"/>
              </c:ext>
            </c:extLst>
          </c:dPt>
          <c:dPt>
            <c:idx val="3"/>
            <c:bubble3D val="0"/>
            <c:spPr>
              <a:solidFill>
                <a:schemeClr val="accent5"/>
              </a:solidFill>
              <a:ln>
                <a:solidFill>
                  <a:schemeClr val="bg1"/>
                </a:solidFill>
              </a:ln>
              <a:effectLst/>
            </c:spPr>
            <c:extLst>
              <c:ext xmlns:c16="http://schemas.microsoft.com/office/drawing/2014/chart" uri="{C3380CC4-5D6E-409C-BE32-E72D297353CC}">
                <c16:uniqueId val="{00000007-77A7-45A0-938D-284B6467E980}"/>
              </c:ext>
            </c:extLst>
          </c:dPt>
          <c:dPt>
            <c:idx val="4"/>
            <c:bubble3D val="0"/>
            <c:spPr>
              <a:solidFill>
                <a:srgbClr val="BAD8E4"/>
              </a:solidFill>
              <a:ln>
                <a:solidFill>
                  <a:schemeClr val="bg1"/>
                </a:solidFill>
              </a:ln>
              <a:effectLst/>
            </c:spPr>
            <c:extLst>
              <c:ext xmlns:c16="http://schemas.microsoft.com/office/drawing/2014/chart" uri="{C3380CC4-5D6E-409C-BE32-E72D297353CC}">
                <c16:uniqueId val="{00000009-77A7-45A0-938D-284B6467E980}"/>
              </c:ext>
            </c:extLst>
          </c:dPt>
          <c:dPt>
            <c:idx val="5"/>
            <c:bubble3D val="0"/>
            <c:spPr>
              <a:solidFill>
                <a:srgbClr val="8ABDD2"/>
              </a:solidFill>
              <a:ln>
                <a:solidFill>
                  <a:schemeClr val="bg1"/>
                </a:solidFill>
              </a:ln>
              <a:effectLst/>
            </c:spPr>
            <c:extLst>
              <c:ext xmlns:c16="http://schemas.microsoft.com/office/drawing/2014/chart" uri="{C3380CC4-5D6E-409C-BE32-E72D297353CC}">
                <c16:uniqueId val="{0000000B-77A7-45A0-938D-284B6467E980}"/>
              </c:ext>
            </c:extLst>
          </c:dPt>
          <c:dPt>
            <c:idx val="6"/>
            <c:bubble3D val="0"/>
            <c:spPr>
              <a:solidFill>
                <a:srgbClr val="5DA4C1"/>
              </a:solidFill>
              <a:ln>
                <a:solidFill>
                  <a:schemeClr val="bg1"/>
                </a:solidFill>
              </a:ln>
              <a:effectLst/>
            </c:spPr>
            <c:extLst>
              <c:ext xmlns:c16="http://schemas.microsoft.com/office/drawing/2014/chart" uri="{C3380CC4-5D6E-409C-BE32-E72D297353CC}">
                <c16:uniqueId val="{0000000D-77A7-45A0-938D-284B6467E980}"/>
              </c:ext>
            </c:extLst>
          </c:dPt>
          <c:dPt>
            <c:idx val="7"/>
            <c:bubble3D val="0"/>
            <c:spPr>
              <a:solidFill>
                <a:srgbClr val="5DA4C1"/>
              </a:solidFill>
              <a:ln>
                <a:solidFill>
                  <a:schemeClr val="accent4"/>
                </a:solidFill>
              </a:ln>
              <a:effectLst/>
            </c:spPr>
            <c:extLst>
              <c:ext xmlns:c16="http://schemas.microsoft.com/office/drawing/2014/chart" uri="{C3380CC4-5D6E-409C-BE32-E72D297353CC}">
                <c16:uniqueId val="{0000000F-77A7-45A0-938D-284B6467E980}"/>
              </c:ext>
            </c:extLst>
          </c:dPt>
          <c:dLbls>
            <c:dLbl>
              <c:idx val="0"/>
              <c:layout>
                <c:manualLayout>
                  <c:x val="7.5372381106498201E-2"/>
                  <c:y val="-1.1138084179359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A7-45A0-938D-284B6467E980}"/>
                </c:ext>
              </c:extLst>
            </c:dLbl>
            <c:dLbl>
              <c:idx val="7"/>
              <c:tx>
                <c:rich>
                  <a:bodyPr/>
                  <a:lstStyle/>
                  <a:p>
                    <a:r>
                      <a:rPr lang="en-US" baseline="0">
                        <a:solidFill>
                          <a:sysClr val="windowText" lastClr="000000"/>
                        </a:solidFill>
                      </a:rPr>
                      <a:t>Other
</a:t>
                    </a:r>
                    <a:fld id="{F35C814D-E096-49C3-98DE-C86C2EF63930}" type="PERCENTAGE">
                      <a:rPr lang="en-US" baseline="0">
                        <a:solidFill>
                          <a:sysClr val="windowText" lastClr="000000"/>
                        </a:solidFill>
                      </a:rPr>
                      <a:pPr/>
                      <a:t>[PERCENTAGE]</a:t>
                    </a:fld>
                    <a:endParaRPr lang="en-US" baseline="0">
                      <a:solidFill>
                        <a:sysClr val="windowText" lastClr="000000"/>
                      </a:solidFill>
                    </a:endParaRPr>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77A7-45A0-938D-284B6467E980}"/>
                </c:ext>
              </c:extLst>
            </c:dLbl>
            <c:numFmt formatCode="0%" sourceLinked="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dLblPos val="outEnd"/>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Examples!$B$35:$H$35</c:f>
              <c:strCache>
                <c:ptCount val="7"/>
                <c:pt idx="0">
                  <c:v>Data 1</c:v>
                </c:pt>
                <c:pt idx="1">
                  <c:v>Data 2</c:v>
                </c:pt>
                <c:pt idx="2">
                  <c:v>Data 3</c:v>
                </c:pt>
                <c:pt idx="3">
                  <c:v>Data 4</c:v>
                </c:pt>
                <c:pt idx="4">
                  <c:v>Data 5</c:v>
                </c:pt>
                <c:pt idx="5">
                  <c:v>Data 6</c:v>
                </c:pt>
                <c:pt idx="6">
                  <c:v>Data 7</c:v>
                </c:pt>
              </c:strCache>
            </c:strRef>
          </c:cat>
          <c:val>
            <c:numRef>
              <c:f>Examples!$B$36:$H$36</c:f>
              <c:numCache>
                <c:formatCode>General</c:formatCode>
                <c:ptCount val="7"/>
                <c:pt idx="0">
                  <c:v>36.19</c:v>
                </c:pt>
                <c:pt idx="1">
                  <c:v>36.880000000000003</c:v>
                </c:pt>
                <c:pt idx="2">
                  <c:v>21.56</c:v>
                </c:pt>
                <c:pt idx="3">
                  <c:v>5.36</c:v>
                </c:pt>
                <c:pt idx="4">
                  <c:v>3.01</c:v>
                </c:pt>
                <c:pt idx="5">
                  <c:v>10</c:v>
                </c:pt>
                <c:pt idx="6">
                  <c:v>5.2</c:v>
                </c:pt>
              </c:numCache>
            </c:numRef>
          </c:val>
          <c:extLst>
            <c:ext xmlns:c16="http://schemas.microsoft.com/office/drawing/2014/chart" uri="{C3380CC4-5D6E-409C-BE32-E72D297353CC}">
              <c16:uniqueId val="{00000010-77A7-45A0-938D-284B6467E980}"/>
            </c:ext>
          </c:extLst>
        </c:ser>
        <c:dLbls>
          <c:showLegendKey val="0"/>
          <c:showVal val="0"/>
          <c:showCatName val="1"/>
          <c:showSerName val="0"/>
          <c:showPercent val="1"/>
          <c:showBubbleSize val="0"/>
          <c:showLeaderLines val="1"/>
        </c:dLbls>
        <c:gapWidth val="100"/>
        <c:splitType val="pos"/>
        <c:splitPos val="3"/>
        <c:secondPieSize val="70"/>
        <c:serLines>
          <c:spPr>
            <a:ln w="3175" cap="flat" cmpd="sng" algn="ctr">
              <a:solidFill>
                <a:srgbClr val="000000"/>
              </a:solidFill>
              <a:prstDash val="solid"/>
              <a:round/>
            </a:ln>
            <a:effectLst/>
          </c:spPr>
        </c:serLines>
      </c:of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40981624977272"/>
          <c:y val="3.0428478987278431E-2"/>
          <c:w val="0.85662801786288922"/>
          <c:h val="0.71246367609784866"/>
        </c:manualLayout>
      </c:layout>
      <c:barChart>
        <c:barDir val="bar"/>
        <c:grouping val="percent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D3D8-4F19-A219-1BA2EEA19E76}"/>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D3D8-4F19-A219-1BA2EEA19E76}"/>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D3D8-4F19-A219-1BA2EEA19E76}"/>
            </c:ext>
          </c:extLst>
        </c:ser>
        <c:ser>
          <c:idx val="3"/>
          <c:order val="3"/>
          <c:tx>
            <c:strRef>
              <c:f>Examples!$E$35</c:f>
              <c:strCache>
                <c:ptCount val="1"/>
                <c:pt idx="0">
                  <c:v>Data 4</c:v>
                </c:pt>
              </c:strCache>
            </c:strRef>
          </c:tx>
          <c:spPr>
            <a:solidFill>
              <a:srgbClr val="115F7E"/>
            </a:solidFill>
            <a:ln>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D3D8-4F19-A219-1BA2EEA19E76}"/>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D3D8-4F19-A219-1BA2EEA19E76}"/>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Examples!$A$36:$A$38</c:f>
              <c:strCache>
                <c:ptCount val="3"/>
                <c:pt idx="0">
                  <c:v>1975-76</c:v>
                </c:pt>
                <c:pt idx="1">
                  <c:v>1983-84</c:v>
                </c:pt>
                <c:pt idx="2">
                  <c:v>1988-89</c:v>
                </c:pt>
              </c:strCache>
            </c:strRef>
          </c:cat>
          <c:val>
            <c:numRef>
              <c:f>Examples!$G$36:$G$38</c:f>
              <c:numCache>
                <c:formatCode>General</c:formatCode>
                <c:ptCount val="3"/>
                <c:pt idx="0">
                  <c:v>10</c:v>
                </c:pt>
                <c:pt idx="1">
                  <c:v>12</c:v>
                </c:pt>
                <c:pt idx="2">
                  <c:v>14</c:v>
                </c:pt>
              </c:numCache>
            </c:numRef>
          </c:val>
          <c:extLst>
            <c:ext xmlns:c16="http://schemas.microsoft.com/office/drawing/2014/chart" uri="{C3380CC4-5D6E-409C-BE32-E72D297353CC}">
              <c16:uniqueId val="{00000005-D3D8-4F19-A219-1BA2EEA19E76}"/>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Examples!$A$36:$A$38</c:f>
              <c:strCache>
                <c:ptCount val="3"/>
                <c:pt idx="0">
                  <c:v>1975-76</c:v>
                </c:pt>
                <c:pt idx="1">
                  <c:v>1983-84</c:v>
                </c:pt>
                <c:pt idx="2">
                  <c:v>1988-89</c:v>
                </c:pt>
              </c:strCache>
            </c:strRef>
          </c:cat>
          <c:val>
            <c:numRef>
              <c:f>Examples!$H$36:$H$38</c:f>
              <c:numCache>
                <c:formatCode>General</c:formatCode>
                <c:ptCount val="3"/>
                <c:pt idx="0">
                  <c:v>5.2</c:v>
                </c:pt>
                <c:pt idx="1">
                  <c:v>6.6</c:v>
                </c:pt>
                <c:pt idx="2">
                  <c:v>5.7</c:v>
                </c:pt>
              </c:numCache>
            </c:numRef>
          </c:val>
          <c:extLst>
            <c:ext xmlns:c16="http://schemas.microsoft.com/office/drawing/2014/chart" uri="{C3380CC4-5D6E-409C-BE32-E72D297353CC}">
              <c16:uniqueId val="{00000006-D3D8-4F19-A219-1BA2EEA19E76}"/>
            </c:ext>
          </c:extLst>
        </c:ser>
        <c:ser>
          <c:idx val="7"/>
          <c:order val="7"/>
          <c:tx>
            <c:strRef>
              <c:f>Examples!$I$35</c:f>
              <c:strCache>
                <c:ptCount val="1"/>
                <c:pt idx="0">
                  <c:v>Data 8</c:v>
                </c:pt>
              </c:strCache>
            </c:strRef>
          </c:tx>
          <c:spPr>
            <a:solidFill>
              <a:srgbClr val="3373B3"/>
            </a:solidFill>
            <a:ln>
              <a:solidFill>
                <a:sysClr val="window" lastClr="FFFFFF"/>
              </a:solidFill>
            </a:ln>
            <a:effectLst/>
          </c:spPr>
          <c:invertIfNegative val="0"/>
          <c:cat>
            <c:strRef>
              <c:f>Examples!$A$36:$A$38</c:f>
              <c:strCache>
                <c:ptCount val="3"/>
                <c:pt idx="0">
                  <c:v>1975-76</c:v>
                </c:pt>
                <c:pt idx="1">
                  <c:v>1983-84</c:v>
                </c:pt>
                <c:pt idx="2">
                  <c:v>1988-89</c:v>
                </c:pt>
              </c:strCache>
            </c:strRef>
          </c:cat>
          <c:val>
            <c:numRef>
              <c:f>Examples!$I$36:$I$38</c:f>
              <c:numCache>
                <c:formatCode>General</c:formatCode>
                <c:ptCount val="3"/>
                <c:pt idx="0">
                  <c:v>13</c:v>
                </c:pt>
                <c:pt idx="1">
                  <c:v>15</c:v>
                </c:pt>
                <c:pt idx="2">
                  <c:v>16</c:v>
                </c:pt>
              </c:numCache>
            </c:numRef>
          </c:val>
          <c:extLst>
            <c:ext xmlns:c16="http://schemas.microsoft.com/office/drawing/2014/chart" uri="{C3380CC4-5D6E-409C-BE32-E72D297353CC}">
              <c16:uniqueId val="{00000007-D3D8-4F19-A219-1BA2EEA19E76}"/>
            </c:ext>
          </c:extLst>
        </c:ser>
        <c:dLbls>
          <c:showLegendKey val="0"/>
          <c:showVal val="0"/>
          <c:showCatName val="0"/>
          <c:showSerName val="0"/>
          <c:showPercent val="0"/>
          <c:showBubbleSize val="0"/>
        </c:dLbls>
        <c:gapWidth val="150"/>
        <c:overlap val="100"/>
        <c:axId val="671094256"/>
        <c:axId val="671093864"/>
      </c:barChart>
      <c:catAx>
        <c:axId val="671094256"/>
        <c:scaling>
          <c:orientation val="minMax"/>
        </c:scaling>
        <c:delete val="0"/>
        <c:axPos val="l"/>
        <c:numFmt formatCode="General" sourceLinked="1"/>
        <c:majorTickMark val="none"/>
        <c:minorTickMark val="none"/>
        <c:tickLblPos val="nextTo"/>
        <c:spPr>
          <a:noFill/>
          <a:ln w="12700" cap="flat" cmpd="sng" algn="ctr">
            <a:solidFill>
              <a:srgbClr val="C6CDD7"/>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093864"/>
        <c:crosses val="autoZero"/>
        <c:auto val="1"/>
        <c:lblAlgn val="ctr"/>
        <c:lblOffset val="100"/>
        <c:tickLblSkip val="1"/>
        <c:tickMarkSkip val="1"/>
        <c:noMultiLvlLbl val="0"/>
      </c:catAx>
      <c:valAx>
        <c:axId val="671093864"/>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09425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64253472222224"/>
          <c:y val="0.10737507982120051"/>
          <c:w val="0.36163333333333331"/>
          <c:h val="0.83134099616858237"/>
        </c:manualLayout>
      </c:layout>
      <c:doughnutChart>
        <c:varyColors val="1"/>
        <c:ser>
          <c:idx val="2"/>
          <c:order val="0"/>
          <c:tx>
            <c:strRef>
              <c:f>Examples!$A$36</c:f>
              <c:strCache>
                <c:ptCount val="1"/>
                <c:pt idx="0">
                  <c:v>1975-76</c:v>
                </c:pt>
              </c:strCache>
            </c:strRef>
          </c:tx>
          <c:spPr>
            <a:ln>
              <a:solidFill>
                <a:schemeClr val="bg1"/>
              </a:solidFill>
            </a:ln>
          </c:spPr>
          <c:dPt>
            <c:idx val="0"/>
            <c:bubble3D val="0"/>
            <c:spPr>
              <a:solidFill>
                <a:srgbClr val="0352A1"/>
              </a:solidFill>
              <a:ln>
                <a:solidFill>
                  <a:schemeClr val="bg1"/>
                </a:solidFill>
              </a:ln>
              <a:effectLst/>
            </c:spPr>
            <c:extLst>
              <c:ext xmlns:c16="http://schemas.microsoft.com/office/drawing/2014/chart" uri="{C3380CC4-5D6E-409C-BE32-E72D297353CC}">
                <c16:uniqueId val="{00000001-94C7-49F8-8048-F1AD0EF1CDDE}"/>
              </c:ext>
            </c:extLst>
          </c:dPt>
          <c:dPt>
            <c:idx val="1"/>
            <c:bubble3D val="0"/>
            <c:spPr>
              <a:solidFill>
                <a:srgbClr val="427EB9"/>
              </a:solidFill>
              <a:ln>
                <a:solidFill>
                  <a:schemeClr val="bg1"/>
                </a:solidFill>
              </a:ln>
              <a:effectLst/>
            </c:spPr>
            <c:extLst>
              <c:ext xmlns:c16="http://schemas.microsoft.com/office/drawing/2014/chart" uri="{C3380CC4-5D6E-409C-BE32-E72D297353CC}">
                <c16:uniqueId val="{00000003-94C7-49F8-8048-F1AD0EF1CDDE}"/>
              </c:ext>
            </c:extLst>
          </c:dPt>
          <c:dPt>
            <c:idx val="2"/>
            <c:bubble3D val="0"/>
            <c:spPr>
              <a:solidFill>
                <a:srgbClr val="66C5EA"/>
              </a:solidFill>
              <a:ln>
                <a:solidFill>
                  <a:schemeClr val="bg1"/>
                </a:solidFill>
              </a:ln>
              <a:effectLst/>
            </c:spPr>
            <c:extLst>
              <c:ext xmlns:c16="http://schemas.microsoft.com/office/drawing/2014/chart" uri="{C3380CC4-5D6E-409C-BE32-E72D297353CC}">
                <c16:uniqueId val="{00000005-94C7-49F8-8048-F1AD0EF1CDDE}"/>
              </c:ext>
            </c:extLst>
          </c:dPt>
          <c:dPt>
            <c:idx val="3"/>
            <c:bubble3D val="0"/>
            <c:spPr>
              <a:solidFill>
                <a:schemeClr val="accent5"/>
              </a:solidFill>
              <a:ln>
                <a:solidFill>
                  <a:schemeClr val="bg1"/>
                </a:solidFill>
              </a:ln>
              <a:effectLst/>
            </c:spPr>
            <c:extLst>
              <c:ext xmlns:c16="http://schemas.microsoft.com/office/drawing/2014/chart" uri="{C3380CC4-5D6E-409C-BE32-E72D297353CC}">
                <c16:uniqueId val="{00000007-94C7-49F8-8048-F1AD0EF1CDDE}"/>
              </c:ext>
            </c:extLst>
          </c:dPt>
          <c:dPt>
            <c:idx val="4"/>
            <c:bubble3D val="0"/>
            <c:spPr>
              <a:solidFill>
                <a:schemeClr val="accent6"/>
              </a:solidFill>
              <a:ln>
                <a:solidFill>
                  <a:schemeClr val="bg1"/>
                </a:solidFill>
              </a:ln>
              <a:effectLst/>
            </c:spPr>
            <c:extLst>
              <c:ext xmlns:c16="http://schemas.microsoft.com/office/drawing/2014/chart" uri="{C3380CC4-5D6E-409C-BE32-E72D297353CC}">
                <c16:uniqueId val="{00000009-94C7-49F8-8048-F1AD0EF1CDDE}"/>
              </c:ext>
            </c:extLst>
          </c:dPt>
          <c:dPt>
            <c:idx val="5"/>
            <c:bubble3D val="0"/>
            <c:spPr>
              <a:solidFill>
                <a:srgbClr val="5DA4C1"/>
              </a:solidFill>
              <a:ln>
                <a:solidFill>
                  <a:schemeClr val="bg1"/>
                </a:solidFill>
              </a:ln>
              <a:effectLst/>
            </c:spPr>
            <c:extLst>
              <c:ext xmlns:c16="http://schemas.microsoft.com/office/drawing/2014/chart" uri="{C3380CC4-5D6E-409C-BE32-E72D297353CC}">
                <c16:uniqueId val="{0000000B-94C7-49F8-8048-F1AD0EF1CDDE}"/>
              </c:ext>
            </c:extLst>
          </c:dPt>
          <c:dPt>
            <c:idx val="6"/>
            <c:bubble3D val="0"/>
            <c:spPr>
              <a:solidFill>
                <a:srgbClr val="8B869F"/>
              </a:solidFill>
              <a:ln>
                <a:solidFill>
                  <a:schemeClr val="bg1"/>
                </a:solidFill>
              </a:ln>
              <a:effectLst/>
            </c:spPr>
            <c:extLst>
              <c:ext xmlns:c16="http://schemas.microsoft.com/office/drawing/2014/chart" uri="{C3380CC4-5D6E-409C-BE32-E72D297353CC}">
                <c16:uniqueId val="{0000000D-94C7-49F8-8048-F1AD0EF1CDDE}"/>
              </c:ext>
            </c:extLst>
          </c:dPt>
          <c:dPt>
            <c:idx val="7"/>
            <c:bubble3D val="0"/>
            <c:spPr>
              <a:solidFill>
                <a:srgbClr val="99A4B7"/>
              </a:solidFill>
              <a:ln>
                <a:solidFill>
                  <a:schemeClr val="bg1"/>
                </a:solidFill>
              </a:ln>
              <a:effectLst/>
            </c:spPr>
            <c:extLst>
              <c:ext xmlns:c16="http://schemas.microsoft.com/office/drawing/2014/chart" uri="{C3380CC4-5D6E-409C-BE32-E72D297353CC}">
                <c16:uniqueId val="{0000000F-94C7-49F8-8048-F1AD0EF1CDDE}"/>
              </c:ext>
            </c:extLst>
          </c:dPt>
          <c:dLbls>
            <c:dLbl>
              <c:idx val="4"/>
              <c:layout>
                <c:manualLayout>
                  <c:x val="-2.5341173000995487E-3"/>
                  <c:y val="-5.4023748329304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7-49F8-8048-F1AD0EF1CDDE}"/>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Raleway" panose="020B0503030101060003" pitchFamily="34" charset="0"/>
                    <a:ea typeface="Myriad Pro"/>
                    <a:cs typeface="Myriad Pro"/>
                  </a:defRPr>
                </a:pPr>
                <a:endParaRPr lang="en-US"/>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Examples!$B$36:$I$36</c:f>
              <c:numCache>
                <c:formatCode>General</c:formatCode>
                <c:ptCount val="8"/>
                <c:pt idx="0">
                  <c:v>36.19</c:v>
                </c:pt>
                <c:pt idx="1">
                  <c:v>36.880000000000003</c:v>
                </c:pt>
                <c:pt idx="2">
                  <c:v>21.56</c:v>
                </c:pt>
                <c:pt idx="3">
                  <c:v>5.36</c:v>
                </c:pt>
                <c:pt idx="4">
                  <c:v>3.01</c:v>
                </c:pt>
                <c:pt idx="5">
                  <c:v>10</c:v>
                </c:pt>
                <c:pt idx="6">
                  <c:v>5.2</c:v>
                </c:pt>
                <c:pt idx="7">
                  <c:v>13</c:v>
                </c:pt>
              </c:numCache>
            </c:numRef>
          </c:val>
          <c:extLst>
            <c:ext xmlns:c16="http://schemas.microsoft.com/office/drawing/2014/chart" uri="{C3380CC4-5D6E-409C-BE32-E72D297353CC}">
              <c16:uniqueId val="{00000010-94C7-49F8-8048-F1AD0EF1CDDE}"/>
            </c:ext>
          </c:extLst>
        </c:ser>
        <c:dLbls>
          <c:showLegendKey val="0"/>
          <c:showVal val="1"/>
          <c:showCatName val="0"/>
          <c:showSerName val="0"/>
          <c:showPercent val="0"/>
          <c:showBubbleSize val="0"/>
          <c:showLeaderLines val="1"/>
        </c:dLbls>
        <c:firstSliceAng val="0"/>
        <c:holeSize val="7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chemeClr val="bg1"/>
          </a:solidFill>
          <a:latin typeface="Raleway" panose="020B0503030101060003" pitchFamily="34" charset="0"/>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4457780226019"/>
          <c:y val="5.4769194088260899E-2"/>
          <c:w val="0.82542694497153701"/>
          <c:h val="0.73764258555133078"/>
        </c:manualLayout>
      </c:layout>
      <c:areaChart>
        <c:grouping val="percentStacked"/>
        <c:varyColors val="0"/>
        <c:ser>
          <c:idx val="0"/>
          <c:order val="0"/>
          <c:tx>
            <c:strRef>
              <c:f>Examples!$B$35</c:f>
              <c:strCache>
                <c:ptCount val="1"/>
                <c:pt idx="0">
                  <c:v>Data 1</c:v>
                </c:pt>
              </c:strCache>
            </c:strRef>
          </c:tx>
          <c:spPr>
            <a:solidFill>
              <a:srgbClr val="99A4B7"/>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7B92-4065-AC29-829B7F809D24}"/>
            </c:ext>
          </c:extLst>
        </c:ser>
        <c:ser>
          <c:idx val="1"/>
          <c:order val="1"/>
          <c:tx>
            <c:strRef>
              <c:f>Examples!$C$35</c:f>
              <c:strCache>
                <c:ptCount val="1"/>
                <c:pt idx="0">
                  <c:v>Data 2</c:v>
                </c:pt>
              </c:strCache>
            </c:strRef>
          </c:tx>
          <c:spPr>
            <a:solidFill>
              <a:srgbClr val="77869F"/>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7B92-4065-AC29-829B7F809D24}"/>
            </c:ext>
          </c:extLst>
        </c:ser>
        <c:ser>
          <c:idx val="2"/>
          <c:order val="2"/>
          <c:tx>
            <c:strRef>
              <c:f>Examples!$D$35</c:f>
              <c:strCache>
                <c:ptCount val="1"/>
                <c:pt idx="0">
                  <c:v>Data 3</c:v>
                </c:pt>
              </c:strCache>
            </c:strRef>
          </c:tx>
          <c:spPr>
            <a:solidFill>
              <a:srgbClr val="5DA4C1"/>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7B92-4065-AC29-829B7F809D24}"/>
            </c:ext>
          </c:extLst>
        </c:ser>
        <c:ser>
          <c:idx val="3"/>
          <c:order val="3"/>
          <c:tx>
            <c:strRef>
              <c:f>Examples!$E$35</c:f>
              <c:strCache>
                <c:ptCount val="1"/>
                <c:pt idx="0">
                  <c:v>Data 4</c:v>
                </c:pt>
              </c:strCache>
            </c:strRef>
          </c:tx>
          <c:spPr>
            <a:solidFill>
              <a:schemeClr val="accent6"/>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7B92-4065-AC29-829B7F809D24}"/>
            </c:ext>
          </c:extLst>
        </c:ser>
        <c:ser>
          <c:idx val="4"/>
          <c:order val="4"/>
          <c:tx>
            <c:strRef>
              <c:f>Examples!$F$35</c:f>
              <c:strCache>
                <c:ptCount val="1"/>
                <c:pt idx="0">
                  <c:v>Data 5</c:v>
                </c:pt>
              </c:strCache>
            </c:strRef>
          </c:tx>
          <c:spPr>
            <a:solidFill>
              <a:schemeClr val="accent5"/>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7B92-4065-AC29-829B7F809D24}"/>
            </c:ext>
          </c:extLst>
        </c:ser>
        <c:ser>
          <c:idx val="5"/>
          <c:order val="5"/>
          <c:tx>
            <c:strRef>
              <c:f>Examples!$G$35</c:f>
              <c:strCache>
                <c:ptCount val="1"/>
                <c:pt idx="0">
                  <c:v>Data 6</c:v>
                </c:pt>
              </c:strCache>
            </c:strRef>
          </c:tx>
          <c:spPr>
            <a:solidFill>
              <a:srgbClr val="66C5EA"/>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7B92-4065-AC29-829B7F809D24}"/>
            </c:ext>
          </c:extLst>
        </c:ser>
        <c:ser>
          <c:idx val="6"/>
          <c:order val="6"/>
          <c:tx>
            <c:strRef>
              <c:f>Examples!$H$35</c:f>
              <c:strCache>
                <c:ptCount val="1"/>
                <c:pt idx="0">
                  <c:v>Data 7</c:v>
                </c:pt>
              </c:strCache>
            </c:strRef>
          </c:tx>
          <c:spPr>
            <a:solidFill>
              <a:srgbClr val="0352A1"/>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7B92-4065-AC29-829B7F809D24}"/>
            </c:ext>
          </c:extLst>
        </c:ser>
        <c:ser>
          <c:idx val="7"/>
          <c:order val="7"/>
          <c:tx>
            <c:strRef>
              <c:f>Examples!$I$35</c:f>
              <c:strCache>
                <c:ptCount val="1"/>
                <c:pt idx="0">
                  <c:v>Data 8</c:v>
                </c:pt>
              </c:strCache>
            </c:strRef>
          </c:tx>
          <c:spPr>
            <a:solidFill>
              <a:srgbClr val="3373B3"/>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7B92-4065-AC29-829B7F809D24}"/>
            </c:ext>
          </c:extLst>
        </c:ser>
        <c:dLbls>
          <c:showLegendKey val="0"/>
          <c:showVal val="0"/>
          <c:showCatName val="0"/>
          <c:showSerName val="0"/>
          <c:showPercent val="0"/>
          <c:showBubbleSize val="0"/>
        </c:dLbls>
        <c:axId val="671085240"/>
        <c:axId val="671088768"/>
      </c:areaChart>
      <c:catAx>
        <c:axId val="671085240"/>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crossAx val="671088768"/>
        <c:crosses val="autoZero"/>
        <c:auto val="1"/>
        <c:lblAlgn val="ctr"/>
        <c:lblOffset val="100"/>
        <c:tickLblSkip val="1"/>
        <c:tickMarkSkip val="1"/>
        <c:noMultiLvlLbl val="0"/>
      </c:catAx>
      <c:valAx>
        <c:axId val="671088768"/>
        <c:scaling>
          <c:orientation val="minMax"/>
        </c:scaling>
        <c:delete val="0"/>
        <c:axPos val="l"/>
        <c:majorGridlines>
          <c:spPr>
            <a:ln w="3175" cap="flat" cmpd="sng" algn="ctr">
              <a:solidFill>
                <a:srgbClr val="000000"/>
              </a:solidFill>
              <a:prstDash val="solid"/>
              <a:round/>
            </a:ln>
            <a:effectLst/>
          </c:spPr>
        </c:majorGridlines>
        <c:numFmt formatCode="0%"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crossAx val="671085240"/>
        <c:crosses val="autoZero"/>
        <c:crossBetween val="midCat"/>
      </c:valAx>
      <c:spPr>
        <a:solidFill>
          <a:srgbClr val="FFFFFF"/>
        </a:solidFill>
        <a:ln w="3175">
          <a:noFill/>
          <a:prstDash val="solid"/>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legend>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Myriad Pro"/>
        </a:defRPr>
      </a:pPr>
      <a:endParaRPr lang="en-US"/>
    </a:p>
  </c:txPr>
  <c:printSettings>
    <c:headerFooter alignWithMargins="0"/>
    <c:pageMargins b="1" l="0.75" r="0.75" t="1" header="0.5" footer="0.5"/>
    <c:pageSetup paperSize="9" orientation="landscape" horizontalDpi="-3"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06035578705488E-2"/>
          <c:y val="6.7307981985161358E-2"/>
          <c:w val="0.89397748137027266"/>
          <c:h val="0.75216655152046552"/>
        </c:manualLayout>
      </c:layout>
      <c:areaChart>
        <c:grouping val="stacked"/>
        <c:varyColors val="0"/>
        <c:ser>
          <c:idx val="0"/>
          <c:order val="0"/>
          <c:tx>
            <c:strRef>
              <c:f>Examples!$B$35</c:f>
              <c:strCache>
                <c:ptCount val="1"/>
                <c:pt idx="0">
                  <c:v>Data 1</c:v>
                </c:pt>
              </c:strCache>
            </c:strRef>
          </c:tx>
          <c:spPr>
            <a:solidFill>
              <a:srgbClr val="99A4B7"/>
            </a:solidFill>
            <a:ln>
              <a:solidFill>
                <a:srgbClr val="8B869F"/>
              </a:solid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29DD-4BEA-A64C-BD771B1640A0}"/>
            </c:ext>
          </c:extLst>
        </c:ser>
        <c:ser>
          <c:idx val="1"/>
          <c:order val="1"/>
          <c:tx>
            <c:strRef>
              <c:f>Examples!$C$35</c:f>
              <c:strCache>
                <c:ptCount val="1"/>
                <c:pt idx="0">
                  <c:v>Data 2</c:v>
                </c:pt>
              </c:strCache>
            </c:strRef>
          </c:tx>
          <c:spPr>
            <a:solidFill>
              <a:srgbClr val="8B869F"/>
            </a:solidFill>
            <a:ln>
              <a:solidFill>
                <a:srgbClr val="8B869F"/>
              </a:solid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29DD-4BEA-A64C-BD771B1640A0}"/>
            </c:ext>
          </c:extLst>
        </c:ser>
        <c:ser>
          <c:idx val="2"/>
          <c:order val="2"/>
          <c:tx>
            <c:strRef>
              <c:f>Examples!$D$35</c:f>
              <c:strCache>
                <c:ptCount val="1"/>
                <c:pt idx="0">
                  <c:v>Data 3</c:v>
                </c:pt>
              </c:strCache>
            </c:strRef>
          </c:tx>
          <c:spPr>
            <a:solidFill>
              <a:srgbClr val="5DA4C1"/>
            </a:solidFill>
            <a:ln>
              <a:solidFill>
                <a:srgbClr val="8B869F"/>
              </a:solid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29DD-4BEA-A64C-BD771B1640A0}"/>
            </c:ext>
          </c:extLst>
        </c:ser>
        <c:ser>
          <c:idx val="3"/>
          <c:order val="3"/>
          <c:tx>
            <c:strRef>
              <c:f>Examples!$E$35</c:f>
              <c:strCache>
                <c:ptCount val="1"/>
                <c:pt idx="0">
                  <c:v>Data 4</c:v>
                </c:pt>
              </c:strCache>
            </c:strRef>
          </c:tx>
          <c:spPr>
            <a:solidFill>
              <a:srgbClr val="115F7E"/>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29DD-4BEA-A64C-BD771B1640A0}"/>
            </c:ext>
          </c:extLst>
        </c:ser>
        <c:ser>
          <c:idx val="4"/>
          <c:order val="4"/>
          <c:tx>
            <c:strRef>
              <c:f>Examples!$F$35</c:f>
              <c:strCache>
                <c:ptCount val="1"/>
                <c:pt idx="0">
                  <c:v>Data 5</c:v>
                </c:pt>
              </c:strCache>
            </c:strRef>
          </c:tx>
          <c:spPr>
            <a:solidFill>
              <a:srgbClr val="009DDB"/>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29DD-4BEA-A64C-BD771B1640A0}"/>
            </c:ext>
          </c:extLst>
        </c:ser>
        <c:ser>
          <c:idx val="5"/>
          <c:order val="5"/>
          <c:tx>
            <c:strRef>
              <c:f>Examples!$G$35</c:f>
              <c:strCache>
                <c:ptCount val="1"/>
                <c:pt idx="0">
                  <c:v>Data 6</c:v>
                </c:pt>
              </c:strCache>
            </c:strRef>
          </c:tx>
          <c:spPr>
            <a:solidFill>
              <a:srgbClr val="66C5EA"/>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29DD-4BEA-A64C-BD771B1640A0}"/>
            </c:ext>
          </c:extLst>
        </c:ser>
        <c:ser>
          <c:idx val="6"/>
          <c:order val="6"/>
          <c:tx>
            <c:strRef>
              <c:f>Examples!$H$35</c:f>
              <c:strCache>
                <c:ptCount val="1"/>
                <c:pt idx="0">
                  <c:v>Data 7</c:v>
                </c:pt>
              </c:strCache>
            </c:strRef>
          </c:tx>
          <c:spPr>
            <a:solidFill>
              <a:srgbClr val="0352A1"/>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29DD-4BEA-A64C-BD771B1640A0}"/>
            </c:ext>
          </c:extLst>
        </c:ser>
        <c:ser>
          <c:idx val="7"/>
          <c:order val="7"/>
          <c:tx>
            <c:strRef>
              <c:f>Examples!$I$35</c:f>
              <c:strCache>
                <c:ptCount val="1"/>
                <c:pt idx="0">
                  <c:v>Data 8</c:v>
                </c:pt>
              </c:strCache>
            </c:strRef>
          </c:tx>
          <c:spPr>
            <a:solidFill>
              <a:srgbClr val="3373B3"/>
            </a:solidFill>
            <a:ln>
              <a:noFill/>
            </a:ln>
            <a:effectLst/>
          </c:spP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29DD-4BEA-A64C-BD771B1640A0}"/>
            </c:ext>
          </c:extLst>
        </c:ser>
        <c:dLbls>
          <c:showLegendKey val="0"/>
          <c:showVal val="0"/>
          <c:showCatName val="0"/>
          <c:showSerName val="0"/>
          <c:showPercent val="0"/>
          <c:showBubbleSize val="0"/>
        </c:dLbls>
        <c:axId val="671089944"/>
        <c:axId val="671085632"/>
      </c:areaChart>
      <c:catAx>
        <c:axId val="671089944"/>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5632"/>
        <c:crosses val="autoZero"/>
        <c:auto val="1"/>
        <c:lblAlgn val="ctr"/>
        <c:lblOffset val="100"/>
        <c:tickLblSkip val="1"/>
        <c:tickMarkSkip val="1"/>
        <c:noMultiLvlLbl val="0"/>
      </c:catAx>
      <c:valAx>
        <c:axId val="671085632"/>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9944"/>
        <c:crosses val="autoZero"/>
        <c:crossBetween val="midCat"/>
      </c:valAx>
      <c:spPr>
        <a:noFill/>
        <a:ln w="6350">
          <a:solidFill>
            <a:schemeClr val="bg2">
              <a:lumMod val="20000"/>
              <a:lumOff val="80000"/>
            </a:schemeClr>
          </a:solidFill>
          <a:prstDash val="solid"/>
        </a:ln>
        <a:effectLst/>
      </c:spPr>
    </c:plotArea>
    <c:legend>
      <c:legendPos val="b"/>
      <c:layout>
        <c:manualLayout>
          <c:xMode val="edge"/>
          <c:yMode val="edge"/>
          <c:x val="0.1331555196543045"/>
          <c:y val="0.91150502873563233"/>
          <c:w val="0.76474911361022324"/>
          <c:h val="8.3426325031928483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90533680582334E-2"/>
          <c:y val="4.1268203825159673E-2"/>
          <c:w val="0.87831480312524091"/>
          <c:h val="0.76462565357380363"/>
        </c:manualLayout>
      </c:layout>
      <c:barChart>
        <c:barDir val="bar"/>
        <c:grouping val="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9268-41EE-BF1F-F77DAFBBC574}"/>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9268-41EE-BF1F-F77DAFBBC574}"/>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9268-41EE-BF1F-F77DAFBBC574}"/>
            </c:ext>
          </c:extLst>
        </c:ser>
        <c:ser>
          <c:idx val="3"/>
          <c:order val="3"/>
          <c:tx>
            <c:strRef>
              <c:f>Examples!$E$35</c:f>
              <c:strCache>
                <c:ptCount val="1"/>
                <c:pt idx="0">
                  <c:v>Data 4</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9268-41EE-BF1F-F77DAFBBC574}"/>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9268-41EE-BF1F-F77DAFBBC574}"/>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9268-41EE-BF1F-F77DAFBBC574}"/>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9268-41EE-BF1F-F77DAFBBC574}"/>
            </c:ext>
          </c:extLst>
        </c:ser>
        <c:ser>
          <c:idx val="7"/>
          <c:order val="7"/>
          <c:tx>
            <c:strRef>
              <c:f>Examples!$I$35</c:f>
              <c:strCache>
                <c:ptCount val="1"/>
                <c:pt idx="0">
                  <c:v>Data 8</c:v>
                </c:pt>
              </c:strCache>
            </c:strRef>
          </c:tx>
          <c:spPr>
            <a:solidFill>
              <a:srgbClr val="3373B3"/>
            </a:solidFill>
            <a:ln w="9525">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9268-41EE-BF1F-F77DAFBBC574}"/>
            </c:ext>
          </c:extLst>
        </c:ser>
        <c:dLbls>
          <c:showLegendKey val="0"/>
          <c:showVal val="0"/>
          <c:showCatName val="0"/>
          <c:showSerName val="0"/>
          <c:showPercent val="0"/>
          <c:showBubbleSize val="0"/>
        </c:dLbls>
        <c:gapWidth val="150"/>
        <c:overlap val="100"/>
        <c:axId val="671087592"/>
        <c:axId val="671104056"/>
      </c:barChart>
      <c:catAx>
        <c:axId val="671087592"/>
        <c:scaling>
          <c:orientation val="minMax"/>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104056"/>
        <c:crosses val="autoZero"/>
        <c:auto val="1"/>
        <c:lblAlgn val="ctr"/>
        <c:lblOffset val="100"/>
        <c:tickLblSkip val="1"/>
        <c:tickMarkSkip val="1"/>
        <c:noMultiLvlLbl val="0"/>
      </c:catAx>
      <c:valAx>
        <c:axId val="671104056"/>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710875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1449140158855933E-2"/>
          <c:y val="7.7865354600398076E-2"/>
          <c:w val="0.90120640979105648"/>
          <c:h val="0.69990297219855535"/>
        </c:manualLayout>
      </c:layout>
      <c:lineChart>
        <c:grouping val="standard"/>
        <c:varyColors val="0"/>
        <c:ser>
          <c:idx val="0"/>
          <c:order val="0"/>
          <c:tx>
            <c:strRef>
              <c:f>Examples!$L$35</c:f>
              <c:strCache>
                <c:ptCount val="1"/>
                <c:pt idx="0">
                  <c:v>Data 1</c:v>
                </c:pt>
              </c:strCache>
            </c:strRef>
          </c:tx>
          <c:spPr>
            <a:ln w="25400" cap="rnd" cmpd="sng" algn="ctr">
              <a:solidFill>
                <a:srgbClr val="0352A1"/>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Examples!$L$36:$L$43</c:f>
              <c:numCache>
                <c:formatCode>General</c:formatCode>
                <c:ptCount val="8"/>
                <c:pt idx="0">
                  <c:v>33.19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A5DE-4167-9689-743C987B5753}"/>
            </c:ext>
          </c:extLst>
        </c:ser>
        <c:ser>
          <c:idx val="1"/>
          <c:order val="1"/>
          <c:tx>
            <c:strRef>
              <c:f>Examples!$M$35</c:f>
              <c:strCache>
                <c:ptCount val="1"/>
                <c:pt idx="0">
                  <c:v>Data 2</c:v>
                </c:pt>
              </c:strCache>
            </c:strRef>
          </c:tx>
          <c:spPr>
            <a:ln w="25400" cap="rnd" cmpd="sng" algn="ctr">
              <a:solidFill>
                <a:srgbClr val="3373B3"/>
              </a:solidFill>
              <a:prstDash val="sysDash"/>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Examples!$M$36:$M$43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A5DE-4167-9689-743C987B5753}"/>
            </c:ext>
          </c:extLst>
        </c:ser>
        <c:ser>
          <c:idx val="2"/>
          <c:order val="2"/>
          <c:tx>
            <c:strRef>
              <c:f>Examples!$N$35</c:f>
              <c:strCache>
                <c:ptCount val="1"/>
                <c:pt idx="0">
                  <c:v>Data 3</c:v>
                </c:pt>
              </c:strCache>
            </c:strRef>
          </c:tx>
          <c:spPr>
            <a:ln w="25400" cap="rnd" cmpd="sng" algn="ctr">
              <a:solidFill>
                <a:srgbClr val="520F9A"/>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Examples!$N$36:$N$43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5DE-4167-9689-743C987B5753}"/>
            </c:ext>
          </c:extLst>
        </c:ser>
        <c:ser>
          <c:idx val="3"/>
          <c:order val="3"/>
          <c:tx>
            <c:strRef>
              <c:f>Examples!$O$35</c:f>
              <c:strCache>
                <c:ptCount val="1"/>
                <c:pt idx="0">
                  <c:v>Data 4</c:v>
                </c:pt>
              </c:strCache>
            </c:strRef>
          </c:tx>
          <c:spPr>
            <a:ln w="25400" cap="rnd" cmpd="sng" algn="ctr">
              <a:solidFill>
                <a:srgbClr val="009DDB"/>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Examples!$O$36:$O$43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5DE-4167-9689-743C987B5753}"/>
            </c:ext>
          </c:extLst>
        </c:ser>
        <c:ser>
          <c:idx val="4"/>
          <c:order val="4"/>
          <c:tx>
            <c:strRef>
              <c:f>Examples!$P$35</c:f>
              <c:strCache>
                <c:ptCount val="1"/>
                <c:pt idx="0">
                  <c:v>Data 5</c:v>
                </c:pt>
              </c:strCache>
            </c:strRef>
          </c:tx>
          <c:spPr>
            <a:ln w="25400" cap="rnd" cmpd="sng" algn="ctr">
              <a:solidFill>
                <a:srgbClr val="115F7E"/>
              </a:solidFill>
              <a:prstDash val="solid"/>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Examples!$P$36:$P$43</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A5DE-4167-9689-743C987B5753}"/>
            </c:ext>
          </c:extLst>
        </c:ser>
        <c:ser>
          <c:idx val="5"/>
          <c:order val="5"/>
          <c:tx>
            <c:strRef>
              <c:f>Examples!$Q$35</c:f>
              <c:strCache>
                <c:ptCount val="1"/>
                <c:pt idx="0">
                  <c:v>Data 6</c:v>
                </c:pt>
              </c:strCache>
            </c:strRef>
          </c:tx>
          <c:spPr>
            <a:ln w="25400" cap="rnd" cmpd="sng" algn="ctr">
              <a:solidFill>
                <a:srgbClr val="5DA4C1"/>
              </a:solidFill>
              <a:prstDash val="sysDot"/>
              <a:round/>
            </a:ln>
            <a:effectLst/>
          </c:spPr>
          <c:marker>
            <c:symbol val="none"/>
          </c:marker>
          <c:cat>
            <c:strRef>
              <c:f>Examples!$K$36:$K$43</c:f>
              <c:strCache>
                <c:ptCount val="8"/>
                <c:pt idx="0">
                  <c:v>1975-76</c:v>
                </c:pt>
                <c:pt idx="1">
                  <c:v>1983-84</c:v>
                </c:pt>
                <c:pt idx="2">
                  <c:v>1988-89</c:v>
                </c:pt>
                <c:pt idx="3">
                  <c:v>1993-94</c:v>
                </c:pt>
                <c:pt idx="4">
                  <c:v>1996-97</c:v>
                </c:pt>
                <c:pt idx="5">
                  <c:v>1997-98</c:v>
                </c:pt>
                <c:pt idx="6">
                  <c:v>1998-99</c:v>
                </c:pt>
                <c:pt idx="7">
                  <c:v>1999-00</c:v>
                </c:pt>
              </c:strCache>
            </c:strRef>
          </c:cat>
          <c:val>
            <c:numRef>
              <c:f>Examples!$Q$36:$Q$43</c:f>
              <c:numCache>
                <c:formatCode>General</c:formatCode>
                <c:ptCount val="8"/>
                <c:pt idx="0">
                  <c:v>10</c:v>
                </c:pt>
                <c:pt idx="1">
                  <c:v>12</c:v>
                </c:pt>
                <c:pt idx="2">
                  <c:v>14</c:v>
                </c:pt>
                <c:pt idx="3">
                  <c:v>16</c:v>
                </c:pt>
                <c:pt idx="4">
                  <c:v>18</c:v>
                </c:pt>
                <c:pt idx="5">
                  <c:v>12</c:v>
                </c:pt>
                <c:pt idx="6">
                  <c:v>16</c:v>
                </c:pt>
                <c:pt idx="7">
                  <c:v>20</c:v>
                </c:pt>
              </c:numCache>
            </c:numRef>
          </c:val>
          <c:smooth val="0"/>
          <c:extLst>
            <c:ext xmlns:c16="http://schemas.microsoft.com/office/drawing/2014/chart" uri="{C3380CC4-5D6E-409C-BE32-E72D297353CC}">
              <c16:uniqueId val="{00000005-A5DE-4167-9689-743C987B5753}"/>
            </c:ext>
          </c:extLst>
        </c:ser>
        <c:dLbls>
          <c:showLegendKey val="0"/>
          <c:showVal val="0"/>
          <c:showCatName val="0"/>
          <c:showSerName val="0"/>
          <c:showPercent val="0"/>
          <c:showBubbleSize val="0"/>
        </c:dLbls>
        <c:smooth val="0"/>
        <c:axId val="671124440"/>
        <c:axId val="671125616"/>
      </c:lineChart>
      <c:catAx>
        <c:axId val="671124440"/>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125616"/>
        <c:crosses val="autoZero"/>
        <c:auto val="1"/>
        <c:lblAlgn val="ctr"/>
        <c:lblOffset val="100"/>
        <c:tickLblSkip val="1"/>
        <c:tickMarkSkip val="1"/>
        <c:noMultiLvlLbl val="0"/>
      </c:catAx>
      <c:valAx>
        <c:axId val="671125616"/>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124440"/>
        <c:crosses val="autoZero"/>
        <c:crossBetween val="midCat"/>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337392349972381"/>
          <c:y val="0.16025709996466989"/>
          <c:w val="0.42891641963317667"/>
          <c:h val="0.71154152384313429"/>
        </c:manualLayout>
      </c:layout>
      <c:ofPieChart>
        <c:ofPieType val="bar"/>
        <c:varyColors val="1"/>
        <c:ser>
          <c:idx val="0"/>
          <c:order val="0"/>
          <c:tx>
            <c:strRef>
              <c:f>Examples!$A$36</c:f>
              <c:strCache>
                <c:ptCount val="1"/>
                <c:pt idx="0">
                  <c:v>1975-76</c:v>
                </c:pt>
              </c:strCache>
            </c:strRef>
          </c:tx>
          <c:dPt>
            <c:idx val="0"/>
            <c:bubble3D val="0"/>
            <c:spPr>
              <a:solidFill>
                <a:srgbClr val="0352A1"/>
              </a:solidFill>
              <a:ln>
                <a:noFill/>
              </a:ln>
              <a:effectLst/>
            </c:spPr>
            <c:extLst>
              <c:ext xmlns:c16="http://schemas.microsoft.com/office/drawing/2014/chart" uri="{C3380CC4-5D6E-409C-BE32-E72D297353CC}">
                <c16:uniqueId val="{00000001-314D-4FF1-83E5-0D5C3E47A88E}"/>
              </c:ext>
            </c:extLst>
          </c:dPt>
          <c:dPt>
            <c:idx val="1"/>
            <c:bubble3D val="0"/>
            <c:spPr>
              <a:solidFill>
                <a:srgbClr val="66C5EA"/>
              </a:solidFill>
              <a:ln>
                <a:noFill/>
              </a:ln>
              <a:effectLst/>
            </c:spPr>
            <c:extLst>
              <c:ext xmlns:c16="http://schemas.microsoft.com/office/drawing/2014/chart" uri="{C3380CC4-5D6E-409C-BE32-E72D297353CC}">
                <c16:uniqueId val="{00000003-314D-4FF1-83E5-0D5C3E47A88E}"/>
              </c:ext>
            </c:extLst>
          </c:dPt>
          <c:dPt>
            <c:idx val="2"/>
            <c:bubble3D val="0"/>
            <c:spPr>
              <a:solidFill>
                <a:schemeClr val="accent5"/>
              </a:solidFill>
              <a:ln>
                <a:noFill/>
              </a:ln>
              <a:effectLst/>
            </c:spPr>
            <c:extLst>
              <c:ext xmlns:c16="http://schemas.microsoft.com/office/drawing/2014/chart" uri="{C3380CC4-5D6E-409C-BE32-E72D297353CC}">
                <c16:uniqueId val="{00000005-314D-4FF1-83E5-0D5C3E47A88E}"/>
              </c:ext>
            </c:extLst>
          </c:dPt>
          <c:dPt>
            <c:idx val="3"/>
            <c:bubble3D val="0"/>
            <c:spPr>
              <a:solidFill>
                <a:srgbClr val="177DA6"/>
              </a:solidFill>
              <a:ln>
                <a:noFill/>
              </a:ln>
              <a:effectLst/>
            </c:spPr>
            <c:extLst>
              <c:ext xmlns:c16="http://schemas.microsoft.com/office/drawing/2014/chart" uri="{C3380CC4-5D6E-409C-BE32-E72D297353CC}">
                <c16:uniqueId val="{00000007-314D-4FF1-83E5-0D5C3E47A88E}"/>
              </c:ext>
            </c:extLst>
          </c:dPt>
          <c:dPt>
            <c:idx val="4"/>
            <c:bubble3D val="0"/>
            <c:spPr>
              <a:solidFill>
                <a:srgbClr val="D1FFF0"/>
              </a:solidFill>
              <a:ln>
                <a:noFill/>
              </a:ln>
              <a:effectLst/>
            </c:spPr>
            <c:extLst>
              <c:ext xmlns:c16="http://schemas.microsoft.com/office/drawing/2014/chart" uri="{C3380CC4-5D6E-409C-BE32-E72D297353CC}">
                <c16:uniqueId val="{00000009-314D-4FF1-83E5-0D5C3E47A88E}"/>
              </c:ext>
            </c:extLst>
          </c:dPt>
          <c:dPt>
            <c:idx val="5"/>
            <c:bubble3D val="0"/>
            <c:spPr>
              <a:solidFill>
                <a:srgbClr val="00A46D"/>
              </a:solidFill>
              <a:ln>
                <a:noFill/>
              </a:ln>
              <a:effectLst/>
            </c:spPr>
            <c:extLst>
              <c:ext xmlns:c16="http://schemas.microsoft.com/office/drawing/2014/chart" uri="{C3380CC4-5D6E-409C-BE32-E72D297353CC}">
                <c16:uniqueId val="{0000000B-314D-4FF1-83E5-0D5C3E47A88E}"/>
              </c:ext>
            </c:extLst>
          </c:dPt>
          <c:dPt>
            <c:idx val="6"/>
            <c:bubble3D val="0"/>
            <c:spPr>
              <a:solidFill>
                <a:srgbClr val="006C49"/>
              </a:solidFill>
              <a:ln>
                <a:noFill/>
              </a:ln>
              <a:effectLst/>
            </c:spPr>
            <c:extLst>
              <c:ext xmlns:c16="http://schemas.microsoft.com/office/drawing/2014/chart" uri="{C3380CC4-5D6E-409C-BE32-E72D297353CC}">
                <c16:uniqueId val="{0000000D-314D-4FF1-83E5-0D5C3E47A88E}"/>
              </c:ext>
            </c:extLst>
          </c:dPt>
          <c:dPt>
            <c:idx val="7"/>
            <c:bubble3D val="0"/>
            <c:spPr>
              <a:solidFill>
                <a:srgbClr val="006C49"/>
              </a:solidFill>
              <a:ln>
                <a:noFill/>
              </a:ln>
              <a:effectLst/>
            </c:spPr>
            <c:extLst>
              <c:ext xmlns:c16="http://schemas.microsoft.com/office/drawing/2014/chart" uri="{C3380CC4-5D6E-409C-BE32-E72D297353CC}">
                <c16:uniqueId val="{0000000F-314D-4FF1-83E5-0D5C3E47A88E}"/>
              </c:ext>
            </c:extLst>
          </c:dPt>
          <c:dLbls>
            <c:dLbl>
              <c:idx val="0"/>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1-314D-4FF1-83E5-0D5C3E47A88E}"/>
                </c:ext>
              </c:extLst>
            </c:dLbl>
            <c:dLbl>
              <c:idx val="1"/>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3-314D-4FF1-83E5-0D5C3E47A88E}"/>
                </c:ext>
              </c:extLst>
            </c:dLbl>
            <c:dLbl>
              <c:idx val="2"/>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5-314D-4FF1-83E5-0D5C3E47A88E}"/>
                </c:ext>
              </c:extLst>
            </c:dLbl>
            <c:dLbl>
              <c:idx val="7"/>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bg1"/>
                      </a:solidFill>
                      <a:latin typeface="Arial" pitchFamily="34" charset="0"/>
                      <a:ea typeface="Myriad Pro"/>
                      <a:cs typeface="Arial" pitchFamily="34" charset="0"/>
                    </a:defRPr>
                  </a:pPr>
                  <a:endParaRPr lang="en-US"/>
                </a:p>
              </c:txPr>
              <c:showLegendKey val="0"/>
              <c:showVal val="0"/>
              <c:showCatName val="1"/>
              <c:showSerName val="0"/>
              <c:showPercent val="1"/>
              <c:showBubbleSize val="0"/>
              <c:extLst>
                <c:ext xmlns:c16="http://schemas.microsoft.com/office/drawing/2014/chart" uri="{C3380CC4-5D6E-409C-BE32-E72D297353CC}">
                  <c16:uniqueId val="{0000000F-314D-4FF1-83E5-0D5C3E47A88E}"/>
                </c:ext>
              </c:extLst>
            </c:dLbl>
            <c:numFmt formatCode="0%" sourceLinked="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Arial" pitchFamily="34" charset="0"/>
                    <a:ea typeface="Myriad Pro"/>
                    <a:cs typeface="Arial" pitchFamily="34" charset="0"/>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Examples!$B$35:$H$35</c:f>
              <c:strCache>
                <c:ptCount val="7"/>
                <c:pt idx="0">
                  <c:v>Data 1</c:v>
                </c:pt>
                <c:pt idx="1">
                  <c:v>Data 2</c:v>
                </c:pt>
                <c:pt idx="2">
                  <c:v>Data 3</c:v>
                </c:pt>
                <c:pt idx="3">
                  <c:v>Data 4</c:v>
                </c:pt>
                <c:pt idx="4">
                  <c:v>Data 5</c:v>
                </c:pt>
                <c:pt idx="5">
                  <c:v>Data 6</c:v>
                </c:pt>
                <c:pt idx="6">
                  <c:v>Data 7</c:v>
                </c:pt>
              </c:strCache>
            </c:strRef>
          </c:cat>
          <c:val>
            <c:numRef>
              <c:f>Examples!$B$36:$H$36</c:f>
              <c:numCache>
                <c:formatCode>General</c:formatCode>
                <c:ptCount val="7"/>
                <c:pt idx="0">
                  <c:v>36.19</c:v>
                </c:pt>
                <c:pt idx="1">
                  <c:v>36.880000000000003</c:v>
                </c:pt>
                <c:pt idx="2">
                  <c:v>21.56</c:v>
                </c:pt>
                <c:pt idx="3">
                  <c:v>5.36</c:v>
                </c:pt>
                <c:pt idx="4">
                  <c:v>3.01</c:v>
                </c:pt>
                <c:pt idx="5">
                  <c:v>10</c:v>
                </c:pt>
                <c:pt idx="6">
                  <c:v>5.2</c:v>
                </c:pt>
              </c:numCache>
            </c:numRef>
          </c:val>
          <c:extLst>
            <c:ext xmlns:c16="http://schemas.microsoft.com/office/drawing/2014/chart" uri="{C3380CC4-5D6E-409C-BE32-E72D297353CC}">
              <c16:uniqueId val="{00000010-314D-4FF1-83E5-0D5C3E47A88E}"/>
            </c:ext>
          </c:extLst>
        </c:ser>
        <c:dLbls>
          <c:showLegendKey val="0"/>
          <c:showVal val="0"/>
          <c:showCatName val="1"/>
          <c:showSerName val="0"/>
          <c:showPercent val="1"/>
          <c:showBubbleSize val="0"/>
          <c:showLeaderLines val="1"/>
        </c:dLbls>
        <c:gapWidth val="100"/>
        <c:splitType val="pos"/>
        <c:splitPos val="3"/>
        <c:secondPieSize val="70"/>
        <c:serLines>
          <c:spPr>
            <a:ln w="3175" cap="flat" cmpd="sng" algn="ctr">
              <a:solidFill>
                <a:srgbClr val="000000"/>
              </a:solidFill>
              <a:prstDash val="solid"/>
              <a:round/>
            </a:ln>
            <a:effectLst/>
          </c:spPr>
        </c:serLines>
      </c:of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1784559343046E-2"/>
          <c:y val="7.987260942800993E-2"/>
          <c:w val="0.93132694487765588"/>
          <c:h val="0.67906765614718934"/>
        </c:manualLayout>
      </c:layout>
      <c:barChart>
        <c:barDir val="col"/>
        <c:grouping val="clustered"/>
        <c:varyColors val="0"/>
        <c:ser>
          <c:idx val="0"/>
          <c:order val="0"/>
          <c:tx>
            <c:strRef>
              <c:f>Examples!$A$36</c:f>
              <c:strCache>
                <c:ptCount val="1"/>
                <c:pt idx="0">
                  <c:v>1975-76</c:v>
                </c:pt>
              </c:strCache>
            </c:strRef>
          </c:tx>
          <c:spPr>
            <a:solidFill>
              <a:srgbClr val="5DA4C1"/>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Examples!$B$36:$D$36</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3558-4AC7-90CB-BB3DD48DCFFB}"/>
            </c:ext>
          </c:extLst>
        </c:ser>
        <c:ser>
          <c:idx val="1"/>
          <c:order val="1"/>
          <c:tx>
            <c:strRef>
              <c:f>Examples!$A$37</c:f>
              <c:strCache>
                <c:ptCount val="1"/>
                <c:pt idx="0">
                  <c:v>1983-84</c:v>
                </c:pt>
              </c:strCache>
            </c:strRef>
          </c:tx>
          <c:spPr>
            <a:solidFill>
              <a:schemeClr val="accent6"/>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Examples!$B$37:$D$37</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3558-4AC7-90CB-BB3DD48DCFFB}"/>
            </c:ext>
          </c:extLst>
        </c:ser>
        <c:ser>
          <c:idx val="2"/>
          <c:order val="2"/>
          <c:tx>
            <c:strRef>
              <c:f>Examples!$A$38</c:f>
              <c:strCache>
                <c:ptCount val="1"/>
                <c:pt idx="0">
                  <c:v>1988-89</c:v>
                </c:pt>
              </c:strCache>
            </c:strRef>
          </c:tx>
          <c:spPr>
            <a:solidFill>
              <a:schemeClr val="accent5"/>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Examples!$B$38:$D$38</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3558-4AC7-90CB-BB3DD48DCFFB}"/>
            </c:ext>
          </c:extLst>
        </c:ser>
        <c:ser>
          <c:idx val="3"/>
          <c:order val="3"/>
          <c:tx>
            <c:strRef>
              <c:f>Examples!$A$39</c:f>
              <c:strCache>
                <c:ptCount val="1"/>
                <c:pt idx="0">
                  <c:v>1993-94</c:v>
                </c:pt>
              </c:strCache>
            </c:strRef>
          </c:tx>
          <c:spPr>
            <a:solidFill>
              <a:srgbClr val="66C5EA"/>
            </a:solidFill>
            <a:ln>
              <a:solidFill>
                <a:schemeClr val="bg1"/>
              </a:solidFill>
            </a:ln>
            <a:effectLst/>
          </c:spPr>
          <c:invertIfNegative val="0"/>
          <c:cat>
            <c:strRef>
              <c:f>Examples!$B$35:$D$35</c:f>
              <c:strCache>
                <c:ptCount val="3"/>
                <c:pt idx="0">
                  <c:v>Data 1</c:v>
                </c:pt>
                <c:pt idx="1">
                  <c:v>Data 2</c:v>
                </c:pt>
                <c:pt idx="2">
                  <c:v>Data 3</c:v>
                </c:pt>
              </c:strCache>
            </c:strRef>
          </c:cat>
          <c:val>
            <c:numRef>
              <c:f>Examples!$B$39:$D$39</c:f>
              <c:numCache>
                <c:formatCode>General</c:formatCode>
                <c:ptCount val="3"/>
                <c:pt idx="0">
                  <c:v>42.13</c:v>
                </c:pt>
                <c:pt idx="1">
                  <c:v>26.53</c:v>
                </c:pt>
                <c:pt idx="2">
                  <c:v>21.6</c:v>
                </c:pt>
              </c:numCache>
            </c:numRef>
          </c:val>
          <c:extLst>
            <c:ext xmlns:c16="http://schemas.microsoft.com/office/drawing/2014/chart" uri="{C3380CC4-5D6E-409C-BE32-E72D297353CC}">
              <c16:uniqueId val="{00000003-3558-4AC7-90CB-BB3DD48DCFFB}"/>
            </c:ext>
          </c:extLst>
        </c:ser>
        <c:ser>
          <c:idx val="4"/>
          <c:order val="4"/>
          <c:tx>
            <c:strRef>
              <c:f>Examples!$A$40</c:f>
              <c:strCache>
                <c:ptCount val="1"/>
                <c:pt idx="0">
                  <c:v>1996-97</c:v>
                </c:pt>
              </c:strCache>
            </c:strRef>
          </c:tx>
          <c:spPr>
            <a:solidFill>
              <a:srgbClr val="0352A1"/>
            </a:solidFill>
            <a:ln>
              <a:solidFill>
                <a:schemeClr val="bg1"/>
              </a:solidFill>
            </a:ln>
            <a:effectLst/>
          </c:spPr>
          <c:invertIfNegative val="0"/>
          <c:cat>
            <c:strRef>
              <c:f>Examples!$B$35:$D$35</c:f>
              <c:strCache>
                <c:ptCount val="3"/>
                <c:pt idx="0">
                  <c:v>Data 1</c:v>
                </c:pt>
                <c:pt idx="1">
                  <c:v>Data 2</c:v>
                </c:pt>
                <c:pt idx="2">
                  <c:v>Data 3</c:v>
                </c:pt>
              </c:strCache>
            </c:strRef>
          </c:cat>
          <c:val>
            <c:numRef>
              <c:f>Examples!$B$40:$D$40</c:f>
              <c:numCache>
                <c:formatCode>General</c:formatCode>
                <c:ptCount val="3"/>
                <c:pt idx="0">
                  <c:v>41.69</c:v>
                </c:pt>
                <c:pt idx="1">
                  <c:v>24.76</c:v>
                </c:pt>
                <c:pt idx="2">
                  <c:v>23.98</c:v>
                </c:pt>
              </c:numCache>
            </c:numRef>
          </c:val>
          <c:extLst>
            <c:ext xmlns:c16="http://schemas.microsoft.com/office/drawing/2014/chart" uri="{C3380CC4-5D6E-409C-BE32-E72D297353CC}">
              <c16:uniqueId val="{00000004-3558-4AC7-90CB-BB3DD48DCFFB}"/>
            </c:ext>
          </c:extLst>
        </c:ser>
        <c:dLbls>
          <c:showLegendKey val="0"/>
          <c:showVal val="0"/>
          <c:showCatName val="0"/>
          <c:showSerName val="0"/>
          <c:showPercent val="0"/>
          <c:showBubbleSize val="0"/>
        </c:dLbls>
        <c:gapWidth val="150"/>
        <c:axId val="662859112"/>
        <c:axId val="662828144"/>
      </c:barChart>
      <c:catAx>
        <c:axId val="662859112"/>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28144"/>
        <c:crosses val="autoZero"/>
        <c:auto val="1"/>
        <c:lblAlgn val="ctr"/>
        <c:lblOffset val="100"/>
        <c:tickLblSkip val="1"/>
        <c:tickMarkSkip val="1"/>
        <c:noMultiLvlLbl val="0"/>
      </c:catAx>
      <c:valAx>
        <c:axId val="662828144"/>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59112"/>
        <c:crosses val="autoZero"/>
        <c:crossBetween val="between"/>
      </c:valAx>
      <c:spPr>
        <a:noFill/>
        <a:ln w="25400">
          <a:noFill/>
        </a:ln>
        <a:effectLst/>
      </c:spPr>
    </c:plotArea>
    <c:legend>
      <c:legendPos val="b"/>
      <c:layout>
        <c:manualLayout>
          <c:xMode val="edge"/>
          <c:yMode val="edge"/>
          <c:x val="8.4658526065817929E-3"/>
          <c:y val="0.87755852641399212"/>
          <c:w val="0.97804529931266793"/>
          <c:h val="0.119978170507525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8861480075907E-2"/>
          <c:y val="6.0836501901140684E-2"/>
          <c:w val="0.91285951671683474"/>
          <c:h val="0.68295269983258788"/>
        </c:manualLayout>
      </c:layout>
      <c:barChart>
        <c:barDir val="col"/>
        <c:grouping val="stacked"/>
        <c:varyColors val="0"/>
        <c:ser>
          <c:idx val="0"/>
          <c:order val="0"/>
          <c:tx>
            <c:strRef>
              <c:f>Examples!$B$35</c:f>
              <c:strCache>
                <c:ptCount val="1"/>
                <c:pt idx="0">
                  <c:v>Data 1</c:v>
                </c:pt>
              </c:strCache>
            </c:strRef>
          </c:tx>
          <c:spPr>
            <a:solidFill>
              <a:srgbClr val="5DA4C1"/>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FDC1-49B5-B902-0884651ACB29}"/>
            </c:ext>
          </c:extLst>
        </c:ser>
        <c:ser>
          <c:idx val="1"/>
          <c:order val="1"/>
          <c:tx>
            <c:strRef>
              <c:f>Examples!$C$35</c:f>
              <c:strCache>
                <c:ptCount val="1"/>
                <c:pt idx="0">
                  <c:v>Data 2</c:v>
                </c:pt>
              </c:strCache>
            </c:strRef>
          </c:tx>
          <c:spPr>
            <a:solidFill>
              <a:schemeClr val="accent6"/>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FDC1-49B5-B902-0884651ACB29}"/>
            </c:ext>
          </c:extLst>
        </c:ser>
        <c:ser>
          <c:idx val="2"/>
          <c:order val="2"/>
          <c:tx>
            <c:strRef>
              <c:f>Examples!$D$35</c:f>
              <c:strCache>
                <c:ptCount val="1"/>
                <c:pt idx="0">
                  <c:v>Data 3</c:v>
                </c:pt>
              </c:strCache>
            </c:strRef>
          </c:tx>
          <c:spPr>
            <a:solidFill>
              <a:schemeClr val="accent5"/>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FDC1-49B5-B902-0884651ACB29}"/>
            </c:ext>
          </c:extLst>
        </c:ser>
        <c:ser>
          <c:idx val="3"/>
          <c:order val="3"/>
          <c:tx>
            <c:strRef>
              <c:f>Examples!$E$35</c:f>
              <c:strCache>
                <c:ptCount val="1"/>
                <c:pt idx="0">
                  <c:v>Data 4</c:v>
                </c:pt>
              </c:strCache>
            </c:strRef>
          </c:tx>
          <c:spPr>
            <a:solidFill>
              <a:srgbClr val="66C5EA"/>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FDC1-49B5-B902-0884651ACB29}"/>
            </c:ext>
          </c:extLst>
        </c:ser>
        <c:ser>
          <c:idx val="4"/>
          <c:order val="4"/>
          <c:tx>
            <c:strRef>
              <c:f>Examples!$F$35</c:f>
              <c:strCache>
                <c:ptCount val="1"/>
                <c:pt idx="0">
                  <c:v>Data 5</c:v>
                </c:pt>
              </c:strCache>
            </c:strRef>
          </c:tx>
          <c:spPr>
            <a:solidFill>
              <a:srgbClr val="0352A1"/>
            </a:solidFill>
            <a:ln w="12700">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FDC1-49B5-B902-0884651ACB29}"/>
            </c:ext>
          </c:extLst>
        </c:ser>
        <c:dLbls>
          <c:showLegendKey val="0"/>
          <c:showVal val="0"/>
          <c:showCatName val="0"/>
          <c:showSerName val="0"/>
          <c:showPercent val="0"/>
          <c:showBubbleSize val="0"/>
        </c:dLbls>
        <c:gapWidth val="150"/>
        <c:overlap val="100"/>
        <c:axId val="662839512"/>
        <c:axId val="662835592"/>
      </c:barChart>
      <c:catAx>
        <c:axId val="662839512"/>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5592"/>
        <c:crosses val="autoZero"/>
        <c:auto val="1"/>
        <c:lblAlgn val="ctr"/>
        <c:lblOffset val="100"/>
        <c:tickLblSkip val="1"/>
        <c:tickMarkSkip val="1"/>
        <c:noMultiLvlLbl val="0"/>
      </c:catAx>
      <c:valAx>
        <c:axId val="662835592"/>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95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98861480075907E-2"/>
          <c:y val="6.0836501901140684E-2"/>
          <c:w val="0.91285951671683474"/>
          <c:h val="0.74776763158512527"/>
        </c:manualLayout>
      </c:layout>
      <c:barChart>
        <c:barDir val="col"/>
        <c:grouping val="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FDC1-49B5-B902-0884651ACB29}"/>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FDC1-49B5-B902-0884651ACB29}"/>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FDC1-49B5-B902-0884651ACB29}"/>
            </c:ext>
          </c:extLst>
        </c:ser>
        <c:ser>
          <c:idx val="3"/>
          <c:order val="3"/>
          <c:tx>
            <c:strRef>
              <c:f>Examples!$E$35</c:f>
              <c:strCache>
                <c:ptCount val="1"/>
                <c:pt idx="0">
                  <c:v>Data 4</c:v>
                </c:pt>
              </c:strCache>
            </c:strRef>
          </c:tx>
          <c:spPr>
            <a:solidFill>
              <a:schemeClr val="accent6"/>
            </a:solidFill>
            <a:ln>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FDC1-49B5-B902-0884651ACB29}"/>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FDC1-49B5-B902-0884651ACB29}"/>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Examples!$A$36:$A$38</c:f>
              <c:strCache>
                <c:ptCount val="3"/>
                <c:pt idx="0">
                  <c:v>1975-76</c:v>
                </c:pt>
                <c:pt idx="1">
                  <c:v>1983-84</c:v>
                </c:pt>
                <c:pt idx="2">
                  <c:v>1988-89</c:v>
                </c:pt>
              </c:strCache>
            </c:strRef>
          </c:cat>
          <c:val>
            <c:numRef>
              <c:f>Examples!$G$36:$G$38</c:f>
              <c:numCache>
                <c:formatCode>General</c:formatCode>
                <c:ptCount val="3"/>
                <c:pt idx="0">
                  <c:v>10</c:v>
                </c:pt>
                <c:pt idx="1">
                  <c:v>12</c:v>
                </c:pt>
                <c:pt idx="2">
                  <c:v>14</c:v>
                </c:pt>
              </c:numCache>
            </c:numRef>
          </c:val>
          <c:extLst>
            <c:ext xmlns:c16="http://schemas.microsoft.com/office/drawing/2014/chart" uri="{C3380CC4-5D6E-409C-BE32-E72D297353CC}">
              <c16:uniqueId val="{00000005-FDC1-49B5-B902-0884651ACB29}"/>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Examples!$A$36:$A$38</c:f>
              <c:strCache>
                <c:ptCount val="3"/>
                <c:pt idx="0">
                  <c:v>1975-76</c:v>
                </c:pt>
                <c:pt idx="1">
                  <c:v>1983-84</c:v>
                </c:pt>
                <c:pt idx="2">
                  <c:v>1988-89</c:v>
                </c:pt>
              </c:strCache>
            </c:strRef>
          </c:cat>
          <c:val>
            <c:numRef>
              <c:f>Examples!$H$36:$H$38</c:f>
              <c:numCache>
                <c:formatCode>General</c:formatCode>
                <c:ptCount val="3"/>
                <c:pt idx="0">
                  <c:v>5.2</c:v>
                </c:pt>
                <c:pt idx="1">
                  <c:v>6.6</c:v>
                </c:pt>
                <c:pt idx="2">
                  <c:v>5.7</c:v>
                </c:pt>
              </c:numCache>
            </c:numRef>
          </c:val>
          <c:extLst>
            <c:ext xmlns:c16="http://schemas.microsoft.com/office/drawing/2014/chart" uri="{C3380CC4-5D6E-409C-BE32-E72D297353CC}">
              <c16:uniqueId val="{00000006-FDC1-49B5-B902-0884651ACB29}"/>
            </c:ext>
          </c:extLst>
        </c:ser>
        <c:ser>
          <c:idx val="7"/>
          <c:order val="7"/>
          <c:tx>
            <c:strRef>
              <c:f>Examples!$I$35</c:f>
              <c:strCache>
                <c:ptCount val="1"/>
                <c:pt idx="0">
                  <c:v>Data 8</c:v>
                </c:pt>
              </c:strCache>
            </c:strRef>
          </c:tx>
          <c:spPr>
            <a:solidFill>
              <a:srgbClr val="3373B3"/>
            </a:solidFill>
            <a:ln>
              <a:solidFill>
                <a:schemeClr val="bg1"/>
              </a:solidFill>
            </a:ln>
            <a:effectLst/>
          </c:spPr>
          <c:invertIfNegative val="0"/>
          <c:cat>
            <c:strRef>
              <c:f>Examples!$A$36:$A$38</c:f>
              <c:strCache>
                <c:ptCount val="3"/>
                <c:pt idx="0">
                  <c:v>1975-76</c:v>
                </c:pt>
                <c:pt idx="1">
                  <c:v>1983-84</c:v>
                </c:pt>
                <c:pt idx="2">
                  <c:v>1988-89</c:v>
                </c:pt>
              </c:strCache>
            </c:strRef>
          </c:cat>
          <c:val>
            <c:numRef>
              <c:f>Examples!$I$36:$I$38</c:f>
              <c:numCache>
                <c:formatCode>General</c:formatCode>
                <c:ptCount val="3"/>
                <c:pt idx="0">
                  <c:v>13</c:v>
                </c:pt>
                <c:pt idx="1">
                  <c:v>15</c:v>
                </c:pt>
                <c:pt idx="2">
                  <c:v>16</c:v>
                </c:pt>
              </c:numCache>
            </c:numRef>
          </c:val>
          <c:extLst>
            <c:ext xmlns:c16="http://schemas.microsoft.com/office/drawing/2014/chart" uri="{C3380CC4-5D6E-409C-BE32-E72D297353CC}">
              <c16:uniqueId val="{00000007-FDC1-49B5-B902-0884651ACB29}"/>
            </c:ext>
          </c:extLst>
        </c:ser>
        <c:dLbls>
          <c:showLegendKey val="0"/>
          <c:showVal val="0"/>
          <c:showCatName val="0"/>
          <c:showSerName val="0"/>
          <c:showPercent val="0"/>
          <c:showBubbleSize val="0"/>
        </c:dLbls>
        <c:gapWidth val="150"/>
        <c:overlap val="100"/>
        <c:axId val="509211968"/>
        <c:axId val="509223336"/>
      </c:barChart>
      <c:catAx>
        <c:axId val="509211968"/>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23336"/>
        <c:crosses val="autoZero"/>
        <c:auto val="1"/>
        <c:lblAlgn val="ctr"/>
        <c:lblOffset val="100"/>
        <c:tickLblSkip val="1"/>
        <c:tickMarkSkip val="1"/>
        <c:noMultiLvlLbl val="0"/>
      </c:catAx>
      <c:valAx>
        <c:axId val="509223336"/>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11968"/>
        <c:crosses val="autoZero"/>
        <c:crossBetween val="between"/>
      </c:valAx>
      <c:spPr>
        <a:noFill/>
        <a:ln w="25400">
          <a:noFill/>
        </a:ln>
        <a:effectLst/>
      </c:spPr>
    </c:plotArea>
    <c:legend>
      <c:legendPos val="b"/>
      <c:layout>
        <c:manualLayout>
          <c:xMode val="edge"/>
          <c:yMode val="edge"/>
          <c:x val="0.15093631999570062"/>
          <c:y val="0.9029536841181256"/>
          <c:w val="0.74878340224990547"/>
          <c:h val="7.1120391216078979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590533680582334E-2"/>
          <c:y val="4.1268203825159673E-2"/>
          <c:w val="0.87831480312524091"/>
          <c:h val="0.76462565357380363"/>
        </c:manualLayout>
      </c:layout>
      <c:barChart>
        <c:barDir val="bar"/>
        <c:grouping val="stacked"/>
        <c:varyColors val="0"/>
        <c:ser>
          <c:idx val="0"/>
          <c:order val="0"/>
          <c:tx>
            <c:strRef>
              <c:f>Examples!$B$35</c:f>
              <c:strCache>
                <c:ptCount val="1"/>
                <c:pt idx="0">
                  <c:v>Data 1</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9268-41EE-BF1F-F77DAFBBC574}"/>
            </c:ext>
          </c:extLst>
        </c:ser>
        <c:ser>
          <c:idx val="1"/>
          <c:order val="1"/>
          <c:tx>
            <c:strRef>
              <c:f>Examples!$C$35</c:f>
              <c:strCache>
                <c:ptCount val="1"/>
                <c:pt idx="0">
                  <c:v>Data 2</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9268-41EE-BF1F-F77DAFBBC574}"/>
            </c:ext>
          </c:extLst>
        </c:ser>
        <c:ser>
          <c:idx val="2"/>
          <c:order val="2"/>
          <c:tx>
            <c:strRef>
              <c:f>Examples!$D$35</c:f>
              <c:strCache>
                <c:ptCount val="1"/>
                <c:pt idx="0">
                  <c:v>Data 3</c:v>
                </c:pt>
              </c:strCache>
            </c:strRef>
          </c:tx>
          <c:spPr>
            <a:solidFill>
              <a:schemeClr val="accent5"/>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9268-41EE-BF1F-F77DAFBBC574}"/>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9268-41EE-BF1F-F77DAFBBC574}"/>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9268-41EE-BF1F-F77DAFBBC574}"/>
            </c:ext>
          </c:extLst>
        </c:ser>
        <c:dLbls>
          <c:showLegendKey val="0"/>
          <c:showVal val="0"/>
          <c:showCatName val="0"/>
          <c:showSerName val="0"/>
          <c:showPercent val="0"/>
          <c:showBubbleSize val="0"/>
        </c:dLbls>
        <c:gapWidth val="150"/>
        <c:overlap val="100"/>
        <c:axId val="662839904"/>
        <c:axId val="662828536"/>
      </c:barChart>
      <c:catAx>
        <c:axId val="662839904"/>
        <c:scaling>
          <c:orientation val="minMax"/>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28536"/>
        <c:crosses val="autoZero"/>
        <c:auto val="1"/>
        <c:lblAlgn val="ctr"/>
        <c:lblOffset val="100"/>
        <c:tickLblSkip val="1"/>
        <c:tickMarkSkip val="1"/>
        <c:noMultiLvlLbl val="0"/>
      </c:catAx>
      <c:valAx>
        <c:axId val="662828536"/>
        <c:scaling>
          <c:orientation val="minMax"/>
        </c:scaling>
        <c:delete val="0"/>
        <c:axPos val="b"/>
        <c:majorGridlines>
          <c:spPr>
            <a:ln w="6350" cap="flat" cmpd="sng" algn="ctr">
              <a:noFill/>
              <a:prstDash val="solid"/>
              <a:round/>
            </a:ln>
            <a:effectLst/>
          </c:spPr>
        </c:majorGridlines>
        <c:numFmt formatCode="General"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9904"/>
        <c:crosses val="autoZero"/>
        <c:crossBetween val="between"/>
      </c:valAx>
      <c:spPr>
        <a:noFill/>
        <a:ln w="25400">
          <a:noFill/>
        </a:ln>
        <a:effectLst/>
      </c:spPr>
    </c:plotArea>
    <c:legend>
      <c:legendPos val="b"/>
      <c:layout>
        <c:manualLayout>
          <c:xMode val="edge"/>
          <c:yMode val="edge"/>
          <c:x val="0.25108442036032619"/>
          <c:y val="0.92783724032412185"/>
          <c:w val="0.49783115927934762"/>
          <c:h val="7.21627596758781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7248576850095"/>
          <c:y val="4.5627376425855515E-2"/>
          <c:w val="0.84060721062618593"/>
          <c:h val="0.74016008038712222"/>
        </c:manualLayout>
      </c:layout>
      <c:barChart>
        <c:barDir val="bar"/>
        <c:grouping val="clustered"/>
        <c:varyColors val="0"/>
        <c:ser>
          <c:idx val="2"/>
          <c:order val="0"/>
          <c:tx>
            <c:strRef>
              <c:f>Examples!$B$35</c:f>
              <c:strCache>
                <c:ptCount val="1"/>
                <c:pt idx="0">
                  <c:v>Data 1</c:v>
                </c:pt>
              </c:strCache>
            </c:strRef>
          </c:tx>
          <c:spPr>
            <a:solidFill>
              <a:srgbClr val="5DA4C1"/>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Examples!$B$36:$B$41</c:f>
              <c:numCache>
                <c:formatCode>General</c:formatCode>
                <c:ptCount val="6"/>
                <c:pt idx="0">
                  <c:v>36.19</c:v>
                </c:pt>
                <c:pt idx="1">
                  <c:v>39.39</c:v>
                </c:pt>
                <c:pt idx="2">
                  <c:v>42.78</c:v>
                </c:pt>
                <c:pt idx="3">
                  <c:v>42.13</c:v>
                </c:pt>
                <c:pt idx="4">
                  <c:v>41.69</c:v>
                </c:pt>
                <c:pt idx="5">
                  <c:v>39.39</c:v>
                </c:pt>
              </c:numCache>
            </c:numRef>
          </c:val>
          <c:extLst>
            <c:ext xmlns:c16="http://schemas.microsoft.com/office/drawing/2014/chart" uri="{C3380CC4-5D6E-409C-BE32-E72D297353CC}">
              <c16:uniqueId val="{00000000-7A43-4CDD-8234-77D40EA04216}"/>
            </c:ext>
          </c:extLst>
        </c:ser>
        <c:ser>
          <c:idx val="1"/>
          <c:order val="1"/>
          <c:tx>
            <c:strRef>
              <c:f>Examples!$C$35</c:f>
              <c:strCache>
                <c:ptCount val="1"/>
                <c:pt idx="0">
                  <c:v>Data 2</c:v>
                </c:pt>
              </c:strCache>
            </c:strRef>
          </c:tx>
          <c:spPr>
            <a:solidFill>
              <a:schemeClr val="accent6"/>
            </a:solidFill>
            <a:ln>
              <a:noFill/>
            </a:ln>
            <a:effectLst/>
          </c:spPr>
          <c:invertIfNegative val="0"/>
          <c:dPt>
            <c:idx val="0"/>
            <c:invertIfNegative val="0"/>
            <c:bubble3D val="0"/>
            <c:spPr>
              <a:solidFill>
                <a:schemeClr val="accent6"/>
              </a:solidFill>
              <a:ln>
                <a:solidFill>
                  <a:schemeClr val="bg1"/>
                </a:solidFill>
              </a:ln>
              <a:effectLst/>
            </c:spPr>
            <c:extLst>
              <c:ext xmlns:c16="http://schemas.microsoft.com/office/drawing/2014/chart" uri="{C3380CC4-5D6E-409C-BE32-E72D297353CC}">
                <c16:uniqueId val="{00000001-3F1E-4340-A02A-B90D4C81EB5B}"/>
              </c:ext>
            </c:extLst>
          </c:dPt>
          <c:cat>
            <c:strRef>
              <c:f>Examples!$A$36:$A$41</c:f>
              <c:strCache>
                <c:ptCount val="6"/>
                <c:pt idx="0">
                  <c:v>1975-76</c:v>
                </c:pt>
                <c:pt idx="1">
                  <c:v>1983-84</c:v>
                </c:pt>
                <c:pt idx="2">
                  <c:v>1988-89</c:v>
                </c:pt>
                <c:pt idx="3">
                  <c:v>1993-94</c:v>
                </c:pt>
                <c:pt idx="4">
                  <c:v>1996-97</c:v>
                </c:pt>
                <c:pt idx="5">
                  <c:v>1997-98</c:v>
                </c:pt>
              </c:strCache>
            </c:strRef>
          </c:cat>
          <c:val>
            <c:numRef>
              <c:f>Examples!$C$36:$C$41</c:f>
              <c:numCache>
                <c:formatCode>General</c:formatCode>
                <c:ptCount val="6"/>
                <c:pt idx="0">
                  <c:v>36.880000000000003</c:v>
                </c:pt>
                <c:pt idx="1">
                  <c:v>32.020000000000003</c:v>
                </c:pt>
                <c:pt idx="2">
                  <c:v>29.91</c:v>
                </c:pt>
                <c:pt idx="3">
                  <c:v>26.53</c:v>
                </c:pt>
                <c:pt idx="4">
                  <c:v>24.76</c:v>
                </c:pt>
                <c:pt idx="5">
                  <c:v>32.020000000000003</c:v>
                </c:pt>
              </c:numCache>
            </c:numRef>
          </c:val>
          <c:extLst>
            <c:ext xmlns:c16="http://schemas.microsoft.com/office/drawing/2014/chart" uri="{C3380CC4-5D6E-409C-BE32-E72D297353CC}">
              <c16:uniqueId val="{00000001-7A43-4CDD-8234-77D40EA04216}"/>
            </c:ext>
          </c:extLst>
        </c:ser>
        <c:ser>
          <c:idx val="0"/>
          <c:order val="2"/>
          <c:tx>
            <c:strRef>
              <c:f>Examples!$D$35</c:f>
              <c:strCache>
                <c:ptCount val="1"/>
                <c:pt idx="0">
                  <c:v>Data 3</c:v>
                </c:pt>
              </c:strCache>
            </c:strRef>
          </c:tx>
          <c:spPr>
            <a:solidFill>
              <a:schemeClr val="accent5"/>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Examples!$D$36:$D$41</c:f>
              <c:numCache>
                <c:formatCode>General</c:formatCode>
                <c:ptCount val="6"/>
                <c:pt idx="0">
                  <c:v>21.56</c:v>
                </c:pt>
                <c:pt idx="1">
                  <c:v>21.6</c:v>
                </c:pt>
                <c:pt idx="2">
                  <c:v>18.350000000000001</c:v>
                </c:pt>
                <c:pt idx="3">
                  <c:v>21.6</c:v>
                </c:pt>
                <c:pt idx="4">
                  <c:v>23.98</c:v>
                </c:pt>
                <c:pt idx="5">
                  <c:v>21.6</c:v>
                </c:pt>
              </c:numCache>
            </c:numRef>
          </c:val>
          <c:extLst>
            <c:ext xmlns:c16="http://schemas.microsoft.com/office/drawing/2014/chart" uri="{C3380CC4-5D6E-409C-BE32-E72D297353CC}">
              <c16:uniqueId val="{00000002-7A43-4CDD-8234-77D40EA04216}"/>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Examples!$E$36:$E$41</c:f>
              <c:numCache>
                <c:formatCode>General</c:formatCode>
                <c:ptCount val="6"/>
                <c:pt idx="0">
                  <c:v>5.36</c:v>
                </c:pt>
                <c:pt idx="1">
                  <c:v>7.01</c:v>
                </c:pt>
                <c:pt idx="2">
                  <c:v>6.33</c:v>
                </c:pt>
                <c:pt idx="3">
                  <c:v>7.01</c:v>
                </c:pt>
                <c:pt idx="4">
                  <c:v>7</c:v>
                </c:pt>
                <c:pt idx="5">
                  <c:v>7.01</c:v>
                </c:pt>
              </c:numCache>
            </c:numRef>
          </c:val>
          <c:extLst>
            <c:ext xmlns:c16="http://schemas.microsoft.com/office/drawing/2014/chart" uri="{C3380CC4-5D6E-409C-BE32-E72D297353CC}">
              <c16:uniqueId val="{00000003-7A43-4CDD-8234-77D40EA04216}"/>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Examples!$F$36:$F$41</c:f>
              <c:numCache>
                <c:formatCode>General</c:formatCode>
                <c:ptCount val="6"/>
                <c:pt idx="0">
                  <c:v>3.01</c:v>
                </c:pt>
                <c:pt idx="1">
                  <c:v>3.36</c:v>
                </c:pt>
                <c:pt idx="2">
                  <c:v>2.63</c:v>
                </c:pt>
                <c:pt idx="3">
                  <c:v>2.72</c:v>
                </c:pt>
                <c:pt idx="4">
                  <c:v>2.57</c:v>
                </c:pt>
                <c:pt idx="5">
                  <c:v>3.36</c:v>
                </c:pt>
              </c:numCache>
            </c:numRef>
          </c:val>
          <c:extLst>
            <c:ext xmlns:c16="http://schemas.microsoft.com/office/drawing/2014/chart" uri="{C3380CC4-5D6E-409C-BE32-E72D297353CC}">
              <c16:uniqueId val="{00000004-7A43-4CDD-8234-77D40EA04216}"/>
            </c:ext>
          </c:extLst>
        </c:ser>
        <c:dLbls>
          <c:showLegendKey val="0"/>
          <c:showVal val="0"/>
          <c:showCatName val="0"/>
          <c:showSerName val="0"/>
          <c:showPercent val="0"/>
          <c:showBubbleSize val="0"/>
        </c:dLbls>
        <c:gapWidth val="150"/>
        <c:axId val="662833240"/>
        <c:axId val="662836376"/>
      </c:barChart>
      <c:catAx>
        <c:axId val="662833240"/>
        <c:scaling>
          <c:orientation val="maxMin"/>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62836376"/>
        <c:crosses val="autoZero"/>
        <c:auto val="1"/>
        <c:lblAlgn val="ctr"/>
        <c:lblOffset val="100"/>
        <c:tickLblSkip val="1"/>
        <c:tickMarkSkip val="1"/>
        <c:noMultiLvlLbl val="0"/>
      </c:catAx>
      <c:valAx>
        <c:axId val="662836376"/>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62833240"/>
        <c:crosses val="max"/>
        <c:crossBetween val="between"/>
      </c:valAx>
      <c:spPr>
        <a:noFill/>
        <a:ln w="25400">
          <a:noFill/>
        </a:ln>
        <a:effectLst/>
      </c:spPr>
    </c:plotArea>
    <c:legend>
      <c:legendPos val="b"/>
      <c:layout>
        <c:manualLayout>
          <c:xMode val="edge"/>
          <c:yMode val="edge"/>
          <c:x val="1.1524143121614105E-2"/>
          <c:y val="0.90375718390804594"/>
          <c:w val="0.98372745631183645"/>
          <c:h val="8.46668837408769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590427788076153"/>
          <c:y val="0.23397536594841806"/>
          <c:w val="0.24819320911357973"/>
          <c:h val="0.6602592518544399"/>
        </c:manualLayout>
      </c:layout>
      <c:pieChart>
        <c:varyColors val="1"/>
        <c:ser>
          <c:idx val="2"/>
          <c:order val="0"/>
          <c:tx>
            <c:strRef>
              <c:f>Examples!$A$36</c:f>
              <c:strCache>
                <c:ptCount val="1"/>
                <c:pt idx="0">
                  <c:v>1975-76</c:v>
                </c:pt>
              </c:strCache>
            </c:strRef>
          </c:tx>
          <c:spPr>
            <a:ln>
              <a:solidFill>
                <a:schemeClr val="bg1"/>
              </a:solidFill>
            </a:ln>
          </c:spPr>
          <c:dPt>
            <c:idx val="0"/>
            <c:bubble3D val="0"/>
            <c:spPr>
              <a:solidFill>
                <a:srgbClr val="5DA4C1"/>
              </a:solidFill>
              <a:ln>
                <a:solidFill>
                  <a:schemeClr val="bg1"/>
                </a:solidFill>
              </a:ln>
              <a:effectLst/>
            </c:spPr>
            <c:extLst>
              <c:ext xmlns:c16="http://schemas.microsoft.com/office/drawing/2014/chart" uri="{C3380CC4-5D6E-409C-BE32-E72D297353CC}">
                <c16:uniqueId val="{00000001-4EA1-4D42-ABAE-EE028EFC6472}"/>
              </c:ext>
            </c:extLst>
          </c:dPt>
          <c:dPt>
            <c:idx val="1"/>
            <c:bubble3D val="0"/>
            <c:spPr>
              <a:solidFill>
                <a:schemeClr val="accent6"/>
              </a:solidFill>
              <a:ln>
                <a:solidFill>
                  <a:schemeClr val="bg1"/>
                </a:solidFill>
              </a:ln>
              <a:effectLst/>
            </c:spPr>
            <c:extLst>
              <c:ext xmlns:c16="http://schemas.microsoft.com/office/drawing/2014/chart" uri="{C3380CC4-5D6E-409C-BE32-E72D297353CC}">
                <c16:uniqueId val="{00000003-4EA1-4D42-ABAE-EE028EFC6472}"/>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4EA1-4D42-ABAE-EE028EFC6472}"/>
              </c:ext>
            </c:extLst>
          </c:dPt>
          <c:dPt>
            <c:idx val="3"/>
            <c:bubble3D val="0"/>
            <c:spPr>
              <a:solidFill>
                <a:srgbClr val="66C5EA"/>
              </a:solidFill>
              <a:ln>
                <a:solidFill>
                  <a:schemeClr val="bg1"/>
                </a:solidFill>
              </a:ln>
              <a:effectLst/>
            </c:spPr>
            <c:extLst>
              <c:ext xmlns:c16="http://schemas.microsoft.com/office/drawing/2014/chart" uri="{C3380CC4-5D6E-409C-BE32-E72D297353CC}">
                <c16:uniqueId val="{00000007-4EA1-4D42-ABAE-EE028EFC6472}"/>
              </c:ext>
            </c:extLst>
          </c:dPt>
          <c:dPt>
            <c:idx val="4"/>
            <c:bubble3D val="0"/>
            <c:spPr>
              <a:solidFill>
                <a:srgbClr val="0352A1"/>
              </a:solidFill>
              <a:ln>
                <a:solidFill>
                  <a:schemeClr val="bg1"/>
                </a:solidFill>
              </a:ln>
              <a:effectLst/>
            </c:spPr>
            <c:extLst>
              <c:ext xmlns:c16="http://schemas.microsoft.com/office/drawing/2014/chart" uri="{C3380CC4-5D6E-409C-BE32-E72D297353CC}">
                <c16:uniqueId val="{00000009-4EA1-4D42-ABAE-EE028EFC6472}"/>
              </c:ext>
            </c:extLst>
          </c:dPt>
          <c:dPt>
            <c:idx val="5"/>
            <c:bubble3D val="0"/>
            <c:spPr>
              <a:solidFill>
                <a:srgbClr val="AED2E0"/>
              </a:solidFill>
              <a:ln>
                <a:solidFill>
                  <a:schemeClr val="bg1"/>
                </a:solidFill>
              </a:ln>
              <a:effectLst/>
            </c:spPr>
            <c:extLst>
              <c:ext xmlns:c16="http://schemas.microsoft.com/office/drawing/2014/chart" uri="{C3380CC4-5D6E-409C-BE32-E72D297353CC}">
                <c16:uniqueId val="{0000000B-4EA1-4D42-ABAE-EE028EFC6472}"/>
              </c:ext>
            </c:extLst>
          </c:dPt>
          <c:dPt>
            <c:idx val="6"/>
            <c:bubble3D val="0"/>
            <c:spPr>
              <a:solidFill>
                <a:srgbClr val="D8DDE4"/>
              </a:solidFill>
              <a:ln>
                <a:solidFill>
                  <a:schemeClr val="bg1"/>
                </a:solidFill>
              </a:ln>
              <a:effectLst/>
            </c:spPr>
            <c:extLst>
              <c:ext xmlns:c16="http://schemas.microsoft.com/office/drawing/2014/chart" uri="{C3380CC4-5D6E-409C-BE32-E72D297353CC}">
                <c16:uniqueId val="{0000000D-4EA1-4D42-ABAE-EE028EFC6472}"/>
              </c:ext>
            </c:extLst>
          </c:dPt>
          <c:dPt>
            <c:idx val="7"/>
            <c:bubble3D val="0"/>
            <c:spPr>
              <a:solidFill>
                <a:srgbClr val="FFFFFF"/>
              </a:solidFill>
              <a:ln>
                <a:solidFill>
                  <a:schemeClr val="bg1"/>
                </a:solidFill>
              </a:ln>
              <a:effectLst/>
            </c:spPr>
            <c:extLst>
              <c:ext xmlns:c16="http://schemas.microsoft.com/office/drawing/2014/chart" uri="{C3380CC4-5D6E-409C-BE32-E72D297353CC}">
                <c16:uniqueId val="{0000000F-4EA1-4D42-ABAE-EE028EFC6472}"/>
              </c:ext>
            </c:extLst>
          </c:dPt>
          <c:dLbls>
            <c:dLbl>
              <c:idx val="0"/>
              <c:layout>
                <c:manualLayout>
                  <c:x val="4.4341647261246378E-3"/>
                  <c:y val="1.814435144257395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A1-4D42-ABAE-EE028EFC6472}"/>
                </c:ext>
              </c:extLst>
            </c:dLbl>
            <c:dLbl>
              <c:idx val="1"/>
              <c:layout>
                <c:manualLayout>
                  <c:x val="0.10935570702679882"/>
                  <c:y val="-4.21332769931464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A1-4D42-ABAE-EE028EFC6472}"/>
                </c:ext>
              </c:extLst>
            </c:dLbl>
            <c:dLbl>
              <c:idx val="2"/>
              <c:layout>
                <c:manualLayout>
                  <c:x val="-2.5373162064614652E-2"/>
                  <c:y val="-1.8941450620186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A1-4D42-ABAE-EE028EFC64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Examples!$B$36:$F$36</c:f>
              <c:numCache>
                <c:formatCode>General</c:formatCode>
                <c:ptCount val="5"/>
                <c:pt idx="0">
                  <c:v>36.19</c:v>
                </c:pt>
                <c:pt idx="1">
                  <c:v>36.880000000000003</c:v>
                </c:pt>
                <c:pt idx="2">
                  <c:v>21.56</c:v>
                </c:pt>
                <c:pt idx="3">
                  <c:v>5.36</c:v>
                </c:pt>
                <c:pt idx="4">
                  <c:v>3.01</c:v>
                </c:pt>
              </c:numCache>
            </c:numRef>
          </c:val>
          <c:extLst>
            <c:ext xmlns:c16="http://schemas.microsoft.com/office/drawing/2014/chart" uri="{C3380CC4-5D6E-409C-BE32-E72D297353CC}">
              <c16:uniqueId val="{00000010-4EA1-4D42-ABAE-EE028EFC6472}"/>
            </c:ext>
          </c:extLst>
        </c:ser>
        <c:ser>
          <c:idx val="3"/>
          <c:order val="1"/>
          <c:tx>
            <c:strRef>
              <c:f>Examples!$A$37</c:f>
              <c:strCache>
                <c:ptCount val="1"/>
                <c:pt idx="0">
                  <c:v>1983-84</c:v>
                </c:pt>
              </c:strCache>
            </c:strRef>
          </c:tx>
          <c:dPt>
            <c:idx val="0"/>
            <c:bubble3D val="0"/>
            <c:spPr>
              <a:solidFill>
                <a:srgbClr val="1C355E"/>
              </a:solidFill>
              <a:ln>
                <a:noFill/>
              </a:ln>
              <a:effectLst/>
            </c:spPr>
            <c:extLst>
              <c:ext xmlns:c16="http://schemas.microsoft.com/office/drawing/2014/chart" uri="{C3380CC4-5D6E-409C-BE32-E72D297353CC}">
                <c16:uniqueId val="{00000012-4EA1-4D42-ABAE-EE028EFC6472}"/>
              </c:ext>
            </c:extLst>
          </c:dPt>
          <c:dPt>
            <c:idx val="1"/>
            <c:bubble3D val="0"/>
            <c:spPr>
              <a:solidFill>
                <a:srgbClr val="77869F"/>
              </a:solidFill>
              <a:ln>
                <a:noFill/>
              </a:ln>
              <a:effectLst/>
            </c:spPr>
            <c:extLst>
              <c:ext xmlns:c16="http://schemas.microsoft.com/office/drawing/2014/chart" uri="{C3380CC4-5D6E-409C-BE32-E72D297353CC}">
                <c16:uniqueId val="{00000014-4EA1-4D42-ABAE-EE028EFC6472}"/>
              </c:ext>
            </c:extLst>
          </c:dPt>
          <c:dPt>
            <c:idx val="2"/>
            <c:bubble3D val="0"/>
            <c:spPr>
              <a:solidFill>
                <a:srgbClr val="009DDB"/>
              </a:solidFill>
              <a:ln>
                <a:noFill/>
              </a:ln>
              <a:effectLst/>
            </c:spPr>
            <c:extLst>
              <c:ext xmlns:c16="http://schemas.microsoft.com/office/drawing/2014/chart" uri="{C3380CC4-5D6E-409C-BE32-E72D297353CC}">
                <c16:uniqueId val="{00000016-4EA1-4D42-ABAE-EE028EFC6472}"/>
              </c:ext>
            </c:extLst>
          </c:dPt>
          <c:dPt>
            <c:idx val="3"/>
            <c:bubble3D val="0"/>
            <c:spPr>
              <a:solidFill>
                <a:srgbClr val="66C5EA"/>
              </a:solidFill>
              <a:ln>
                <a:noFill/>
              </a:ln>
              <a:effectLst/>
            </c:spPr>
            <c:extLst>
              <c:ext xmlns:c16="http://schemas.microsoft.com/office/drawing/2014/chart" uri="{C3380CC4-5D6E-409C-BE32-E72D297353CC}">
                <c16:uniqueId val="{00000018-4EA1-4D42-ABAE-EE028EFC6472}"/>
              </c:ext>
            </c:extLst>
          </c:dPt>
          <c:dPt>
            <c:idx val="4"/>
            <c:bubble3D val="0"/>
            <c:spPr>
              <a:solidFill>
                <a:srgbClr val="115F7E"/>
              </a:solidFill>
              <a:ln>
                <a:noFill/>
              </a:ln>
              <a:effectLst/>
            </c:spPr>
            <c:extLst>
              <c:ext xmlns:c16="http://schemas.microsoft.com/office/drawing/2014/chart" uri="{C3380CC4-5D6E-409C-BE32-E72D297353CC}">
                <c16:uniqueId val="{0000001A-4EA1-4D42-ABAE-EE028EFC6472}"/>
              </c:ext>
            </c:extLst>
          </c:dPt>
          <c:dPt>
            <c:idx val="5"/>
            <c:bubble3D val="0"/>
            <c:spPr>
              <a:solidFill>
                <a:srgbClr val="AED2E0"/>
              </a:solidFill>
              <a:ln>
                <a:noFill/>
              </a:ln>
              <a:effectLst/>
            </c:spPr>
            <c:extLst>
              <c:ext xmlns:c16="http://schemas.microsoft.com/office/drawing/2014/chart" uri="{C3380CC4-5D6E-409C-BE32-E72D297353CC}">
                <c16:uniqueId val="{0000001C-4EA1-4D42-ABAE-EE028EFC6472}"/>
              </c:ext>
            </c:extLst>
          </c:dPt>
          <c:dPt>
            <c:idx val="6"/>
            <c:bubble3D val="0"/>
            <c:spPr>
              <a:solidFill>
                <a:srgbClr val="D8DDE4"/>
              </a:solidFill>
              <a:ln>
                <a:noFill/>
              </a:ln>
              <a:effectLst/>
            </c:spPr>
            <c:extLst>
              <c:ext xmlns:c16="http://schemas.microsoft.com/office/drawing/2014/chart" uri="{C3380CC4-5D6E-409C-BE32-E72D297353CC}">
                <c16:uniqueId val="{0000001E-4EA1-4D42-ABAE-EE028EFC6472}"/>
              </c:ext>
            </c:extLst>
          </c:dPt>
          <c:dPt>
            <c:idx val="7"/>
            <c:bubble3D val="0"/>
            <c:spPr>
              <a:solidFill>
                <a:srgbClr val="FFFFFF"/>
              </a:solidFill>
              <a:ln>
                <a:noFill/>
              </a:ln>
              <a:effectLst/>
            </c:spPr>
            <c:extLst>
              <c:ext xmlns:c16="http://schemas.microsoft.com/office/drawing/2014/chart" uri="{C3380CC4-5D6E-409C-BE32-E72D297353CC}">
                <c16:uniqueId val="{00000020-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Examples!$B$37:$F$37</c:f>
              <c:numCache>
                <c:formatCode>General</c:formatCode>
                <c:ptCount val="5"/>
                <c:pt idx="0">
                  <c:v>39.39</c:v>
                </c:pt>
                <c:pt idx="1">
                  <c:v>32.020000000000003</c:v>
                </c:pt>
                <c:pt idx="2">
                  <c:v>21.6</c:v>
                </c:pt>
                <c:pt idx="3">
                  <c:v>7.01</c:v>
                </c:pt>
                <c:pt idx="4">
                  <c:v>3.36</c:v>
                </c:pt>
              </c:numCache>
            </c:numRef>
          </c:val>
          <c:extLst>
            <c:ext xmlns:c16="http://schemas.microsoft.com/office/drawing/2014/chart" uri="{C3380CC4-5D6E-409C-BE32-E72D297353CC}">
              <c16:uniqueId val="{00000021-4EA1-4D42-ABAE-EE028EFC6472}"/>
            </c:ext>
          </c:extLst>
        </c:ser>
        <c:ser>
          <c:idx val="1"/>
          <c:order val="2"/>
          <c:tx>
            <c:strRef>
              <c:f>Examples!$A$38</c:f>
              <c:strCache>
                <c:ptCount val="1"/>
                <c:pt idx="0">
                  <c:v>1988-89</c:v>
                </c:pt>
              </c:strCache>
            </c:strRef>
          </c:tx>
          <c:dPt>
            <c:idx val="0"/>
            <c:bubble3D val="0"/>
            <c:spPr>
              <a:solidFill>
                <a:srgbClr val="1C355E"/>
              </a:solidFill>
              <a:ln>
                <a:noFill/>
              </a:ln>
              <a:effectLst/>
            </c:spPr>
            <c:extLst>
              <c:ext xmlns:c16="http://schemas.microsoft.com/office/drawing/2014/chart" uri="{C3380CC4-5D6E-409C-BE32-E72D297353CC}">
                <c16:uniqueId val="{00000023-4EA1-4D42-ABAE-EE028EFC6472}"/>
              </c:ext>
            </c:extLst>
          </c:dPt>
          <c:dPt>
            <c:idx val="1"/>
            <c:bubble3D val="0"/>
            <c:spPr>
              <a:solidFill>
                <a:srgbClr val="77869F"/>
              </a:solidFill>
              <a:ln>
                <a:noFill/>
              </a:ln>
              <a:effectLst/>
            </c:spPr>
            <c:extLst>
              <c:ext xmlns:c16="http://schemas.microsoft.com/office/drawing/2014/chart" uri="{C3380CC4-5D6E-409C-BE32-E72D297353CC}">
                <c16:uniqueId val="{00000025-4EA1-4D42-ABAE-EE028EFC6472}"/>
              </c:ext>
            </c:extLst>
          </c:dPt>
          <c:dPt>
            <c:idx val="2"/>
            <c:bubble3D val="0"/>
            <c:spPr>
              <a:solidFill>
                <a:srgbClr val="009DDB"/>
              </a:solidFill>
              <a:ln>
                <a:noFill/>
              </a:ln>
              <a:effectLst/>
            </c:spPr>
            <c:extLst>
              <c:ext xmlns:c16="http://schemas.microsoft.com/office/drawing/2014/chart" uri="{C3380CC4-5D6E-409C-BE32-E72D297353CC}">
                <c16:uniqueId val="{00000027-4EA1-4D42-ABAE-EE028EFC6472}"/>
              </c:ext>
            </c:extLst>
          </c:dPt>
          <c:dPt>
            <c:idx val="3"/>
            <c:bubble3D val="0"/>
            <c:spPr>
              <a:solidFill>
                <a:srgbClr val="66C5EA"/>
              </a:solidFill>
              <a:ln>
                <a:noFill/>
              </a:ln>
              <a:effectLst/>
            </c:spPr>
            <c:extLst>
              <c:ext xmlns:c16="http://schemas.microsoft.com/office/drawing/2014/chart" uri="{C3380CC4-5D6E-409C-BE32-E72D297353CC}">
                <c16:uniqueId val="{00000029-4EA1-4D42-ABAE-EE028EFC6472}"/>
              </c:ext>
            </c:extLst>
          </c:dPt>
          <c:dPt>
            <c:idx val="4"/>
            <c:bubble3D val="0"/>
            <c:spPr>
              <a:solidFill>
                <a:srgbClr val="115F7E"/>
              </a:solidFill>
              <a:ln>
                <a:noFill/>
              </a:ln>
              <a:effectLst/>
            </c:spPr>
            <c:extLst>
              <c:ext xmlns:c16="http://schemas.microsoft.com/office/drawing/2014/chart" uri="{C3380CC4-5D6E-409C-BE32-E72D297353CC}">
                <c16:uniqueId val="{0000002B-4EA1-4D42-ABAE-EE028EFC6472}"/>
              </c:ext>
            </c:extLst>
          </c:dPt>
          <c:dPt>
            <c:idx val="5"/>
            <c:bubble3D val="0"/>
            <c:spPr>
              <a:solidFill>
                <a:srgbClr val="AED2E0"/>
              </a:solidFill>
              <a:ln>
                <a:noFill/>
              </a:ln>
              <a:effectLst/>
            </c:spPr>
            <c:extLst>
              <c:ext xmlns:c16="http://schemas.microsoft.com/office/drawing/2014/chart" uri="{C3380CC4-5D6E-409C-BE32-E72D297353CC}">
                <c16:uniqueId val="{0000002D-4EA1-4D42-ABAE-EE028EFC6472}"/>
              </c:ext>
            </c:extLst>
          </c:dPt>
          <c:dPt>
            <c:idx val="6"/>
            <c:bubble3D val="0"/>
            <c:spPr>
              <a:solidFill>
                <a:srgbClr val="D8DDE4"/>
              </a:solidFill>
              <a:ln>
                <a:noFill/>
              </a:ln>
              <a:effectLst/>
            </c:spPr>
            <c:extLst>
              <c:ext xmlns:c16="http://schemas.microsoft.com/office/drawing/2014/chart" uri="{C3380CC4-5D6E-409C-BE32-E72D297353CC}">
                <c16:uniqueId val="{0000002F-4EA1-4D42-ABAE-EE028EFC6472}"/>
              </c:ext>
            </c:extLst>
          </c:dPt>
          <c:dPt>
            <c:idx val="7"/>
            <c:bubble3D val="0"/>
            <c:spPr>
              <a:solidFill>
                <a:srgbClr val="FFFFFF"/>
              </a:solidFill>
              <a:ln>
                <a:noFill/>
              </a:ln>
              <a:effectLst/>
            </c:spPr>
            <c:extLst>
              <c:ext xmlns:c16="http://schemas.microsoft.com/office/drawing/2014/chart" uri="{C3380CC4-5D6E-409C-BE32-E72D297353CC}">
                <c16:uniqueId val="{00000031-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Examples!$B$38:$F$38</c:f>
              <c:numCache>
                <c:formatCode>General</c:formatCode>
                <c:ptCount val="5"/>
                <c:pt idx="0">
                  <c:v>42.78</c:v>
                </c:pt>
                <c:pt idx="1">
                  <c:v>29.91</c:v>
                </c:pt>
                <c:pt idx="2">
                  <c:v>18.350000000000001</c:v>
                </c:pt>
                <c:pt idx="3">
                  <c:v>6.33</c:v>
                </c:pt>
                <c:pt idx="4">
                  <c:v>2.63</c:v>
                </c:pt>
              </c:numCache>
            </c:numRef>
          </c:val>
          <c:extLst>
            <c:ext xmlns:c16="http://schemas.microsoft.com/office/drawing/2014/chart" uri="{C3380CC4-5D6E-409C-BE32-E72D297353CC}">
              <c16:uniqueId val="{00000032-4EA1-4D42-ABAE-EE028EFC6472}"/>
            </c:ext>
          </c:extLst>
        </c:ser>
        <c:ser>
          <c:idx val="0"/>
          <c:order val="3"/>
          <c:tx>
            <c:strRef>
              <c:f>Examples!$A$39</c:f>
              <c:strCache>
                <c:ptCount val="1"/>
                <c:pt idx="0">
                  <c:v>1993-94</c:v>
                </c:pt>
              </c:strCache>
            </c:strRef>
          </c:tx>
          <c:dPt>
            <c:idx val="0"/>
            <c:bubble3D val="0"/>
            <c:spPr>
              <a:solidFill>
                <a:srgbClr val="1C355E"/>
              </a:solidFill>
              <a:ln>
                <a:noFill/>
              </a:ln>
              <a:effectLst/>
            </c:spPr>
            <c:extLst>
              <c:ext xmlns:c16="http://schemas.microsoft.com/office/drawing/2014/chart" uri="{C3380CC4-5D6E-409C-BE32-E72D297353CC}">
                <c16:uniqueId val="{00000034-4EA1-4D42-ABAE-EE028EFC6472}"/>
              </c:ext>
            </c:extLst>
          </c:dPt>
          <c:dPt>
            <c:idx val="1"/>
            <c:bubble3D val="0"/>
            <c:spPr>
              <a:solidFill>
                <a:srgbClr val="77869F"/>
              </a:solidFill>
              <a:ln>
                <a:noFill/>
              </a:ln>
              <a:effectLst/>
            </c:spPr>
            <c:extLst>
              <c:ext xmlns:c16="http://schemas.microsoft.com/office/drawing/2014/chart" uri="{C3380CC4-5D6E-409C-BE32-E72D297353CC}">
                <c16:uniqueId val="{00000036-4EA1-4D42-ABAE-EE028EFC6472}"/>
              </c:ext>
            </c:extLst>
          </c:dPt>
          <c:dPt>
            <c:idx val="2"/>
            <c:bubble3D val="0"/>
            <c:spPr>
              <a:solidFill>
                <a:srgbClr val="009DDB"/>
              </a:solidFill>
              <a:ln>
                <a:noFill/>
              </a:ln>
              <a:effectLst/>
            </c:spPr>
            <c:extLst>
              <c:ext xmlns:c16="http://schemas.microsoft.com/office/drawing/2014/chart" uri="{C3380CC4-5D6E-409C-BE32-E72D297353CC}">
                <c16:uniqueId val="{00000038-4EA1-4D42-ABAE-EE028EFC6472}"/>
              </c:ext>
            </c:extLst>
          </c:dPt>
          <c:dPt>
            <c:idx val="3"/>
            <c:bubble3D val="0"/>
            <c:spPr>
              <a:solidFill>
                <a:srgbClr val="66C5EA"/>
              </a:solidFill>
              <a:ln>
                <a:noFill/>
              </a:ln>
              <a:effectLst/>
            </c:spPr>
            <c:extLst>
              <c:ext xmlns:c16="http://schemas.microsoft.com/office/drawing/2014/chart" uri="{C3380CC4-5D6E-409C-BE32-E72D297353CC}">
                <c16:uniqueId val="{0000003A-4EA1-4D42-ABAE-EE028EFC6472}"/>
              </c:ext>
            </c:extLst>
          </c:dPt>
          <c:dPt>
            <c:idx val="4"/>
            <c:bubble3D val="0"/>
            <c:spPr>
              <a:solidFill>
                <a:srgbClr val="115F7E"/>
              </a:solidFill>
              <a:ln>
                <a:noFill/>
              </a:ln>
              <a:effectLst/>
            </c:spPr>
            <c:extLst>
              <c:ext xmlns:c16="http://schemas.microsoft.com/office/drawing/2014/chart" uri="{C3380CC4-5D6E-409C-BE32-E72D297353CC}">
                <c16:uniqueId val="{0000003C-4EA1-4D42-ABAE-EE028EFC6472}"/>
              </c:ext>
            </c:extLst>
          </c:dPt>
          <c:dPt>
            <c:idx val="5"/>
            <c:bubble3D val="0"/>
            <c:spPr>
              <a:solidFill>
                <a:srgbClr val="AED2E0"/>
              </a:solidFill>
              <a:ln>
                <a:noFill/>
              </a:ln>
              <a:effectLst/>
            </c:spPr>
            <c:extLst>
              <c:ext xmlns:c16="http://schemas.microsoft.com/office/drawing/2014/chart" uri="{C3380CC4-5D6E-409C-BE32-E72D297353CC}">
                <c16:uniqueId val="{0000003E-4EA1-4D42-ABAE-EE028EFC6472}"/>
              </c:ext>
            </c:extLst>
          </c:dPt>
          <c:dPt>
            <c:idx val="6"/>
            <c:bubble3D val="0"/>
            <c:spPr>
              <a:solidFill>
                <a:srgbClr val="D8DDE4"/>
              </a:solidFill>
              <a:ln>
                <a:noFill/>
              </a:ln>
              <a:effectLst/>
            </c:spPr>
            <c:extLst>
              <c:ext xmlns:c16="http://schemas.microsoft.com/office/drawing/2014/chart" uri="{C3380CC4-5D6E-409C-BE32-E72D297353CC}">
                <c16:uniqueId val="{00000040-4EA1-4D42-ABAE-EE028EFC6472}"/>
              </c:ext>
            </c:extLst>
          </c:dPt>
          <c:dPt>
            <c:idx val="7"/>
            <c:bubble3D val="0"/>
            <c:spPr>
              <a:solidFill>
                <a:srgbClr val="FFFFFF"/>
              </a:solidFill>
              <a:ln>
                <a:noFill/>
              </a:ln>
              <a:effectLst/>
            </c:spPr>
            <c:extLst>
              <c:ext xmlns:c16="http://schemas.microsoft.com/office/drawing/2014/chart" uri="{C3380CC4-5D6E-409C-BE32-E72D297353CC}">
                <c16:uniqueId val="{00000042-4EA1-4D42-ABAE-EE028EFC6472}"/>
              </c:ext>
            </c:extLst>
          </c:dPt>
          <c:dLbls>
            <c:dLbl>
              <c:idx val="1"/>
              <c:layout>
                <c:manualLayout>
                  <c:x val="2.779921010822416E-2"/>
                  <c:y val="-5.10012674271229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6-4EA1-4D42-ABAE-EE028EFC6472}"/>
                </c:ext>
              </c:extLst>
            </c:dLbl>
            <c:dLbl>
              <c:idx val="7"/>
              <c:layout>
                <c:manualLayout>
                  <c:x val="1.9893319786639576E-2"/>
                  <c:y val="-1.7927606957875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4EA1-4D42-ABAE-EE028EFC6472}"/>
                </c:ext>
              </c:extLst>
            </c:dLbl>
            <c:numFmt formatCode="0.0%" sourceLinked="0"/>
            <c:spPr>
              <a:noFill/>
              <a:ln w="25400">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Examples!$B$39:$F$39</c:f>
              <c:numCache>
                <c:formatCode>General</c:formatCode>
                <c:ptCount val="5"/>
                <c:pt idx="0">
                  <c:v>42.13</c:v>
                </c:pt>
                <c:pt idx="1">
                  <c:v>26.53</c:v>
                </c:pt>
                <c:pt idx="2">
                  <c:v>21.6</c:v>
                </c:pt>
                <c:pt idx="3">
                  <c:v>7.01</c:v>
                </c:pt>
                <c:pt idx="4">
                  <c:v>2.72</c:v>
                </c:pt>
              </c:numCache>
            </c:numRef>
          </c:val>
          <c:extLst>
            <c:ext xmlns:c16="http://schemas.microsoft.com/office/drawing/2014/chart" uri="{C3380CC4-5D6E-409C-BE32-E72D297353CC}">
              <c16:uniqueId val="{00000043-4EA1-4D42-ABAE-EE028EFC6472}"/>
            </c:ext>
          </c:extLst>
        </c:ser>
        <c:ser>
          <c:idx val="4"/>
          <c:order val="4"/>
          <c:tx>
            <c:strRef>
              <c:f>Examples!$A$40</c:f>
              <c:strCache>
                <c:ptCount val="1"/>
                <c:pt idx="0">
                  <c:v>1996-97</c:v>
                </c:pt>
              </c:strCache>
            </c:strRef>
          </c:tx>
          <c:dPt>
            <c:idx val="0"/>
            <c:bubble3D val="0"/>
            <c:spPr>
              <a:solidFill>
                <a:srgbClr val="1C355E"/>
              </a:solidFill>
              <a:ln>
                <a:noFill/>
              </a:ln>
              <a:effectLst/>
            </c:spPr>
            <c:extLst>
              <c:ext xmlns:c16="http://schemas.microsoft.com/office/drawing/2014/chart" uri="{C3380CC4-5D6E-409C-BE32-E72D297353CC}">
                <c16:uniqueId val="{00000045-4EA1-4D42-ABAE-EE028EFC6472}"/>
              </c:ext>
            </c:extLst>
          </c:dPt>
          <c:dPt>
            <c:idx val="1"/>
            <c:bubble3D val="0"/>
            <c:spPr>
              <a:solidFill>
                <a:srgbClr val="77869F"/>
              </a:solidFill>
              <a:ln>
                <a:noFill/>
              </a:ln>
              <a:effectLst/>
            </c:spPr>
            <c:extLst>
              <c:ext xmlns:c16="http://schemas.microsoft.com/office/drawing/2014/chart" uri="{C3380CC4-5D6E-409C-BE32-E72D297353CC}">
                <c16:uniqueId val="{00000047-4EA1-4D42-ABAE-EE028EFC6472}"/>
              </c:ext>
            </c:extLst>
          </c:dPt>
          <c:dPt>
            <c:idx val="2"/>
            <c:bubble3D val="0"/>
            <c:spPr>
              <a:solidFill>
                <a:srgbClr val="009DDB"/>
              </a:solidFill>
              <a:ln>
                <a:noFill/>
              </a:ln>
              <a:effectLst/>
            </c:spPr>
            <c:extLst>
              <c:ext xmlns:c16="http://schemas.microsoft.com/office/drawing/2014/chart" uri="{C3380CC4-5D6E-409C-BE32-E72D297353CC}">
                <c16:uniqueId val="{00000049-4EA1-4D42-ABAE-EE028EFC6472}"/>
              </c:ext>
            </c:extLst>
          </c:dPt>
          <c:dPt>
            <c:idx val="3"/>
            <c:bubble3D val="0"/>
            <c:spPr>
              <a:solidFill>
                <a:srgbClr val="66C5EA"/>
              </a:solidFill>
              <a:ln>
                <a:noFill/>
              </a:ln>
              <a:effectLst/>
            </c:spPr>
            <c:extLst>
              <c:ext xmlns:c16="http://schemas.microsoft.com/office/drawing/2014/chart" uri="{C3380CC4-5D6E-409C-BE32-E72D297353CC}">
                <c16:uniqueId val="{0000004B-4EA1-4D42-ABAE-EE028EFC6472}"/>
              </c:ext>
            </c:extLst>
          </c:dPt>
          <c:dPt>
            <c:idx val="4"/>
            <c:bubble3D val="0"/>
            <c:spPr>
              <a:solidFill>
                <a:srgbClr val="115F7E"/>
              </a:solidFill>
              <a:ln>
                <a:noFill/>
              </a:ln>
              <a:effectLst/>
            </c:spPr>
            <c:extLst>
              <c:ext xmlns:c16="http://schemas.microsoft.com/office/drawing/2014/chart" uri="{C3380CC4-5D6E-409C-BE32-E72D297353CC}">
                <c16:uniqueId val="{0000004D-4EA1-4D42-ABAE-EE028EFC6472}"/>
              </c:ext>
            </c:extLst>
          </c:dPt>
          <c:dPt>
            <c:idx val="5"/>
            <c:bubble3D val="0"/>
            <c:spPr>
              <a:solidFill>
                <a:srgbClr val="AED2E0"/>
              </a:solidFill>
              <a:ln>
                <a:noFill/>
              </a:ln>
              <a:effectLst/>
            </c:spPr>
            <c:extLst>
              <c:ext xmlns:c16="http://schemas.microsoft.com/office/drawing/2014/chart" uri="{C3380CC4-5D6E-409C-BE32-E72D297353CC}">
                <c16:uniqueId val="{0000004F-4EA1-4D42-ABAE-EE028EFC6472}"/>
              </c:ext>
            </c:extLst>
          </c:dPt>
          <c:dPt>
            <c:idx val="6"/>
            <c:bubble3D val="0"/>
            <c:spPr>
              <a:solidFill>
                <a:srgbClr val="D8DDE4"/>
              </a:solidFill>
              <a:ln>
                <a:noFill/>
              </a:ln>
              <a:effectLst/>
            </c:spPr>
            <c:extLst>
              <c:ext xmlns:c16="http://schemas.microsoft.com/office/drawing/2014/chart" uri="{C3380CC4-5D6E-409C-BE32-E72D297353CC}">
                <c16:uniqueId val="{00000051-4EA1-4D42-ABAE-EE028EFC6472}"/>
              </c:ext>
            </c:extLst>
          </c:dPt>
          <c:dPt>
            <c:idx val="7"/>
            <c:bubble3D val="0"/>
            <c:spPr>
              <a:solidFill>
                <a:srgbClr val="FFFFFF"/>
              </a:solidFill>
              <a:ln>
                <a:noFill/>
              </a:ln>
              <a:effectLst/>
            </c:spPr>
            <c:extLst>
              <c:ext xmlns:c16="http://schemas.microsoft.com/office/drawing/2014/chart" uri="{C3380CC4-5D6E-409C-BE32-E72D297353CC}">
                <c16:uniqueId val="{00000053-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Examples!$B$40:$F$40</c:f>
              <c:numCache>
                <c:formatCode>General</c:formatCode>
                <c:ptCount val="5"/>
                <c:pt idx="0">
                  <c:v>41.69</c:v>
                </c:pt>
                <c:pt idx="1">
                  <c:v>24.76</c:v>
                </c:pt>
                <c:pt idx="2">
                  <c:v>23.98</c:v>
                </c:pt>
                <c:pt idx="3">
                  <c:v>7</c:v>
                </c:pt>
                <c:pt idx="4">
                  <c:v>2.57</c:v>
                </c:pt>
              </c:numCache>
            </c:numRef>
          </c:val>
          <c:extLst>
            <c:ext xmlns:c16="http://schemas.microsoft.com/office/drawing/2014/chart" uri="{C3380CC4-5D6E-409C-BE32-E72D297353CC}">
              <c16:uniqueId val="{00000054-4EA1-4D42-ABAE-EE028EFC6472}"/>
            </c:ext>
          </c:extLst>
        </c:ser>
        <c:ser>
          <c:idx val="5"/>
          <c:order val="5"/>
          <c:tx>
            <c:strRef>
              <c:f>Examples!$A$41</c:f>
              <c:strCache>
                <c:ptCount val="1"/>
                <c:pt idx="0">
                  <c:v>1997-98</c:v>
                </c:pt>
              </c:strCache>
            </c:strRef>
          </c:tx>
          <c:dPt>
            <c:idx val="0"/>
            <c:bubble3D val="0"/>
            <c:spPr>
              <a:solidFill>
                <a:srgbClr val="1C355E"/>
              </a:solidFill>
              <a:ln>
                <a:noFill/>
              </a:ln>
              <a:effectLst/>
            </c:spPr>
            <c:extLst>
              <c:ext xmlns:c16="http://schemas.microsoft.com/office/drawing/2014/chart" uri="{C3380CC4-5D6E-409C-BE32-E72D297353CC}">
                <c16:uniqueId val="{00000056-4EA1-4D42-ABAE-EE028EFC6472}"/>
              </c:ext>
            </c:extLst>
          </c:dPt>
          <c:dPt>
            <c:idx val="1"/>
            <c:bubble3D val="0"/>
            <c:spPr>
              <a:solidFill>
                <a:srgbClr val="77869F"/>
              </a:solidFill>
              <a:ln>
                <a:noFill/>
              </a:ln>
              <a:effectLst/>
            </c:spPr>
            <c:extLst>
              <c:ext xmlns:c16="http://schemas.microsoft.com/office/drawing/2014/chart" uri="{C3380CC4-5D6E-409C-BE32-E72D297353CC}">
                <c16:uniqueId val="{00000058-4EA1-4D42-ABAE-EE028EFC6472}"/>
              </c:ext>
            </c:extLst>
          </c:dPt>
          <c:dPt>
            <c:idx val="2"/>
            <c:bubble3D val="0"/>
            <c:spPr>
              <a:solidFill>
                <a:srgbClr val="009DDB"/>
              </a:solidFill>
              <a:ln>
                <a:noFill/>
              </a:ln>
              <a:effectLst/>
            </c:spPr>
            <c:extLst>
              <c:ext xmlns:c16="http://schemas.microsoft.com/office/drawing/2014/chart" uri="{C3380CC4-5D6E-409C-BE32-E72D297353CC}">
                <c16:uniqueId val="{0000005A-4EA1-4D42-ABAE-EE028EFC6472}"/>
              </c:ext>
            </c:extLst>
          </c:dPt>
          <c:dPt>
            <c:idx val="3"/>
            <c:bubble3D val="0"/>
            <c:spPr>
              <a:solidFill>
                <a:srgbClr val="66C5EA"/>
              </a:solidFill>
              <a:ln>
                <a:noFill/>
              </a:ln>
              <a:effectLst/>
            </c:spPr>
            <c:extLst>
              <c:ext xmlns:c16="http://schemas.microsoft.com/office/drawing/2014/chart" uri="{C3380CC4-5D6E-409C-BE32-E72D297353CC}">
                <c16:uniqueId val="{0000005C-4EA1-4D42-ABAE-EE028EFC6472}"/>
              </c:ext>
            </c:extLst>
          </c:dPt>
          <c:dPt>
            <c:idx val="4"/>
            <c:bubble3D val="0"/>
            <c:spPr>
              <a:solidFill>
                <a:srgbClr val="115F7E"/>
              </a:solidFill>
              <a:ln>
                <a:noFill/>
              </a:ln>
              <a:effectLst/>
            </c:spPr>
            <c:extLst>
              <c:ext xmlns:c16="http://schemas.microsoft.com/office/drawing/2014/chart" uri="{C3380CC4-5D6E-409C-BE32-E72D297353CC}">
                <c16:uniqueId val="{0000005E-4EA1-4D42-ABAE-EE028EFC6472}"/>
              </c:ext>
            </c:extLst>
          </c:dPt>
          <c:dPt>
            <c:idx val="5"/>
            <c:bubble3D val="0"/>
            <c:spPr>
              <a:solidFill>
                <a:srgbClr val="AED2E0"/>
              </a:solidFill>
              <a:ln>
                <a:noFill/>
              </a:ln>
              <a:effectLst/>
            </c:spPr>
            <c:extLst>
              <c:ext xmlns:c16="http://schemas.microsoft.com/office/drawing/2014/chart" uri="{C3380CC4-5D6E-409C-BE32-E72D297353CC}">
                <c16:uniqueId val="{00000060-4EA1-4D42-ABAE-EE028EFC6472}"/>
              </c:ext>
            </c:extLst>
          </c:dPt>
          <c:dPt>
            <c:idx val="6"/>
            <c:bubble3D val="0"/>
            <c:spPr>
              <a:solidFill>
                <a:srgbClr val="D8DDE4"/>
              </a:solidFill>
              <a:ln>
                <a:noFill/>
              </a:ln>
              <a:effectLst/>
            </c:spPr>
            <c:extLst>
              <c:ext xmlns:c16="http://schemas.microsoft.com/office/drawing/2014/chart" uri="{C3380CC4-5D6E-409C-BE32-E72D297353CC}">
                <c16:uniqueId val="{00000062-4EA1-4D42-ABAE-EE028EFC6472}"/>
              </c:ext>
            </c:extLst>
          </c:dPt>
          <c:dPt>
            <c:idx val="7"/>
            <c:bubble3D val="0"/>
            <c:spPr>
              <a:solidFill>
                <a:srgbClr val="FFFFFF"/>
              </a:solidFill>
              <a:ln>
                <a:noFill/>
              </a:ln>
              <a:effectLst/>
            </c:spPr>
            <c:extLst>
              <c:ext xmlns:c16="http://schemas.microsoft.com/office/drawing/2014/chart" uri="{C3380CC4-5D6E-409C-BE32-E72D297353CC}">
                <c16:uniqueId val="{00000064-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Examples!$B$41:$F$41</c:f>
              <c:numCache>
                <c:formatCode>General</c:formatCode>
                <c:ptCount val="5"/>
                <c:pt idx="0">
                  <c:v>39.39</c:v>
                </c:pt>
                <c:pt idx="1">
                  <c:v>32.020000000000003</c:v>
                </c:pt>
                <c:pt idx="2">
                  <c:v>21.6</c:v>
                </c:pt>
                <c:pt idx="3">
                  <c:v>7.01</c:v>
                </c:pt>
                <c:pt idx="4">
                  <c:v>3.36</c:v>
                </c:pt>
              </c:numCache>
            </c:numRef>
          </c:val>
          <c:extLst>
            <c:ext xmlns:c16="http://schemas.microsoft.com/office/drawing/2014/chart" uri="{C3380CC4-5D6E-409C-BE32-E72D297353CC}">
              <c16:uniqueId val="{00000065-4EA1-4D42-ABAE-EE028EFC6472}"/>
            </c:ext>
          </c:extLst>
        </c:ser>
        <c:ser>
          <c:idx val="6"/>
          <c:order val="6"/>
          <c:tx>
            <c:strRef>
              <c:f>Examples!$A$42</c:f>
              <c:strCache>
                <c:ptCount val="1"/>
                <c:pt idx="0">
                  <c:v>1998-99</c:v>
                </c:pt>
              </c:strCache>
            </c:strRef>
          </c:tx>
          <c:dPt>
            <c:idx val="0"/>
            <c:bubble3D val="0"/>
            <c:spPr>
              <a:solidFill>
                <a:srgbClr val="1C355E"/>
              </a:solidFill>
              <a:ln>
                <a:noFill/>
              </a:ln>
              <a:effectLst/>
            </c:spPr>
            <c:extLst>
              <c:ext xmlns:c16="http://schemas.microsoft.com/office/drawing/2014/chart" uri="{C3380CC4-5D6E-409C-BE32-E72D297353CC}">
                <c16:uniqueId val="{00000067-4EA1-4D42-ABAE-EE028EFC6472}"/>
              </c:ext>
            </c:extLst>
          </c:dPt>
          <c:dPt>
            <c:idx val="1"/>
            <c:bubble3D val="0"/>
            <c:spPr>
              <a:solidFill>
                <a:srgbClr val="77869F"/>
              </a:solidFill>
              <a:ln>
                <a:noFill/>
              </a:ln>
              <a:effectLst/>
            </c:spPr>
            <c:extLst>
              <c:ext xmlns:c16="http://schemas.microsoft.com/office/drawing/2014/chart" uri="{C3380CC4-5D6E-409C-BE32-E72D297353CC}">
                <c16:uniqueId val="{00000069-4EA1-4D42-ABAE-EE028EFC6472}"/>
              </c:ext>
            </c:extLst>
          </c:dPt>
          <c:dPt>
            <c:idx val="2"/>
            <c:bubble3D val="0"/>
            <c:spPr>
              <a:solidFill>
                <a:srgbClr val="009DDB"/>
              </a:solidFill>
              <a:ln>
                <a:noFill/>
              </a:ln>
              <a:effectLst/>
            </c:spPr>
            <c:extLst>
              <c:ext xmlns:c16="http://schemas.microsoft.com/office/drawing/2014/chart" uri="{C3380CC4-5D6E-409C-BE32-E72D297353CC}">
                <c16:uniqueId val="{0000006B-4EA1-4D42-ABAE-EE028EFC6472}"/>
              </c:ext>
            </c:extLst>
          </c:dPt>
          <c:dPt>
            <c:idx val="3"/>
            <c:bubble3D val="0"/>
            <c:spPr>
              <a:solidFill>
                <a:srgbClr val="66C5EA"/>
              </a:solidFill>
              <a:ln>
                <a:noFill/>
              </a:ln>
              <a:effectLst/>
            </c:spPr>
            <c:extLst>
              <c:ext xmlns:c16="http://schemas.microsoft.com/office/drawing/2014/chart" uri="{C3380CC4-5D6E-409C-BE32-E72D297353CC}">
                <c16:uniqueId val="{0000006D-4EA1-4D42-ABAE-EE028EFC6472}"/>
              </c:ext>
            </c:extLst>
          </c:dPt>
          <c:dPt>
            <c:idx val="4"/>
            <c:bubble3D val="0"/>
            <c:spPr>
              <a:solidFill>
                <a:srgbClr val="115F7E"/>
              </a:solidFill>
              <a:ln>
                <a:noFill/>
              </a:ln>
              <a:effectLst/>
            </c:spPr>
            <c:extLst>
              <c:ext xmlns:c16="http://schemas.microsoft.com/office/drawing/2014/chart" uri="{C3380CC4-5D6E-409C-BE32-E72D297353CC}">
                <c16:uniqueId val="{0000006F-4EA1-4D42-ABAE-EE028EFC6472}"/>
              </c:ext>
            </c:extLst>
          </c:dPt>
          <c:dPt>
            <c:idx val="5"/>
            <c:bubble3D val="0"/>
            <c:spPr>
              <a:solidFill>
                <a:srgbClr val="AED2E0"/>
              </a:solidFill>
              <a:ln>
                <a:noFill/>
              </a:ln>
              <a:effectLst/>
            </c:spPr>
            <c:extLst>
              <c:ext xmlns:c16="http://schemas.microsoft.com/office/drawing/2014/chart" uri="{C3380CC4-5D6E-409C-BE32-E72D297353CC}">
                <c16:uniqueId val="{00000071-4EA1-4D42-ABAE-EE028EFC6472}"/>
              </c:ext>
            </c:extLst>
          </c:dPt>
          <c:dPt>
            <c:idx val="6"/>
            <c:bubble3D val="0"/>
            <c:spPr>
              <a:solidFill>
                <a:srgbClr val="D8DDE4"/>
              </a:solidFill>
              <a:ln>
                <a:noFill/>
              </a:ln>
              <a:effectLst/>
            </c:spPr>
            <c:extLst>
              <c:ext xmlns:c16="http://schemas.microsoft.com/office/drawing/2014/chart" uri="{C3380CC4-5D6E-409C-BE32-E72D297353CC}">
                <c16:uniqueId val="{00000073-4EA1-4D42-ABAE-EE028EFC6472}"/>
              </c:ext>
            </c:extLst>
          </c:dPt>
          <c:dPt>
            <c:idx val="7"/>
            <c:bubble3D val="0"/>
            <c:spPr>
              <a:solidFill>
                <a:srgbClr val="FFFFFF"/>
              </a:solidFill>
              <a:ln>
                <a:noFill/>
              </a:ln>
              <a:effectLst/>
            </c:spPr>
            <c:extLst>
              <c:ext xmlns:c16="http://schemas.microsoft.com/office/drawing/2014/chart" uri="{C3380CC4-5D6E-409C-BE32-E72D297353CC}">
                <c16:uniqueId val="{00000075-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Examples!$B$42:$F$42</c:f>
              <c:numCache>
                <c:formatCode>General</c:formatCode>
                <c:ptCount val="5"/>
                <c:pt idx="0">
                  <c:v>42.13</c:v>
                </c:pt>
                <c:pt idx="1">
                  <c:v>26.53</c:v>
                </c:pt>
                <c:pt idx="2">
                  <c:v>21.6</c:v>
                </c:pt>
                <c:pt idx="3">
                  <c:v>7.01</c:v>
                </c:pt>
                <c:pt idx="4">
                  <c:v>2.72</c:v>
                </c:pt>
              </c:numCache>
            </c:numRef>
          </c:val>
          <c:extLst>
            <c:ext xmlns:c16="http://schemas.microsoft.com/office/drawing/2014/chart" uri="{C3380CC4-5D6E-409C-BE32-E72D297353CC}">
              <c16:uniqueId val="{00000076-4EA1-4D42-ABAE-EE028EFC6472}"/>
            </c:ext>
          </c:extLst>
        </c:ser>
        <c:ser>
          <c:idx val="7"/>
          <c:order val="7"/>
          <c:tx>
            <c:strRef>
              <c:f>Examples!$A$43</c:f>
              <c:strCache>
                <c:ptCount val="1"/>
                <c:pt idx="0">
                  <c:v>1999-00</c:v>
                </c:pt>
              </c:strCache>
            </c:strRef>
          </c:tx>
          <c:dPt>
            <c:idx val="0"/>
            <c:bubble3D val="0"/>
            <c:spPr>
              <a:solidFill>
                <a:srgbClr val="1C355E"/>
              </a:solidFill>
              <a:ln>
                <a:noFill/>
              </a:ln>
              <a:effectLst/>
            </c:spPr>
            <c:extLst>
              <c:ext xmlns:c16="http://schemas.microsoft.com/office/drawing/2014/chart" uri="{C3380CC4-5D6E-409C-BE32-E72D297353CC}">
                <c16:uniqueId val="{00000078-4EA1-4D42-ABAE-EE028EFC6472}"/>
              </c:ext>
            </c:extLst>
          </c:dPt>
          <c:dPt>
            <c:idx val="1"/>
            <c:bubble3D val="0"/>
            <c:spPr>
              <a:solidFill>
                <a:srgbClr val="77869F"/>
              </a:solidFill>
              <a:ln>
                <a:noFill/>
              </a:ln>
              <a:effectLst/>
            </c:spPr>
            <c:extLst>
              <c:ext xmlns:c16="http://schemas.microsoft.com/office/drawing/2014/chart" uri="{C3380CC4-5D6E-409C-BE32-E72D297353CC}">
                <c16:uniqueId val="{0000007A-4EA1-4D42-ABAE-EE028EFC6472}"/>
              </c:ext>
            </c:extLst>
          </c:dPt>
          <c:dPt>
            <c:idx val="2"/>
            <c:bubble3D val="0"/>
            <c:spPr>
              <a:solidFill>
                <a:srgbClr val="009DDB"/>
              </a:solidFill>
              <a:ln>
                <a:noFill/>
              </a:ln>
              <a:effectLst/>
            </c:spPr>
            <c:extLst>
              <c:ext xmlns:c16="http://schemas.microsoft.com/office/drawing/2014/chart" uri="{C3380CC4-5D6E-409C-BE32-E72D297353CC}">
                <c16:uniqueId val="{0000007C-4EA1-4D42-ABAE-EE028EFC6472}"/>
              </c:ext>
            </c:extLst>
          </c:dPt>
          <c:dPt>
            <c:idx val="3"/>
            <c:bubble3D val="0"/>
            <c:spPr>
              <a:solidFill>
                <a:srgbClr val="66C5EA"/>
              </a:solidFill>
              <a:ln>
                <a:noFill/>
              </a:ln>
              <a:effectLst/>
            </c:spPr>
            <c:extLst>
              <c:ext xmlns:c16="http://schemas.microsoft.com/office/drawing/2014/chart" uri="{C3380CC4-5D6E-409C-BE32-E72D297353CC}">
                <c16:uniqueId val="{0000007E-4EA1-4D42-ABAE-EE028EFC6472}"/>
              </c:ext>
            </c:extLst>
          </c:dPt>
          <c:dPt>
            <c:idx val="4"/>
            <c:bubble3D val="0"/>
            <c:spPr>
              <a:solidFill>
                <a:srgbClr val="115F7E"/>
              </a:solidFill>
              <a:ln>
                <a:noFill/>
              </a:ln>
              <a:effectLst/>
            </c:spPr>
            <c:extLst>
              <c:ext xmlns:c16="http://schemas.microsoft.com/office/drawing/2014/chart" uri="{C3380CC4-5D6E-409C-BE32-E72D297353CC}">
                <c16:uniqueId val="{00000080-4EA1-4D42-ABAE-EE028EFC6472}"/>
              </c:ext>
            </c:extLst>
          </c:dPt>
          <c:dPt>
            <c:idx val="5"/>
            <c:bubble3D val="0"/>
            <c:spPr>
              <a:solidFill>
                <a:srgbClr val="AED2E0"/>
              </a:solidFill>
              <a:ln>
                <a:noFill/>
              </a:ln>
              <a:effectLst/>
            </c:spPr>
            <c:extLst>
              <c:ext xmlns:c16="http://schemas.microsoft.com/office/drawing/2014/chart" uri="{C3380CC4-5D6E-409C-BE32-E72D297353CC}">
                <c16:uniqueId val="{00000082-4EA1-4D42-ABAE-EE028EFC6472}"/>
              </c:ext>
            </c:extLst>
          </c:dPt>
          <c:dPt>
            <c:idx val="6"/>
            <c:bubble3D val="0"/>
            <c:spPr>
              <a:solidFill>
                <a:srgbClr val="D8DDE4"/>
              </a:solidFill>
              <a:ln>
                <a:noFill/>
              </a:ln>
              <a:effectLst/>
            </c:spPr>
            <c:extLst>
              <c:ext xmlns:c16="http://schemas.microsoft.com/office/drawing/2014/chart" uri="{C3380CC4-5D6E-409C-BE32-E72D297353CC}">
                <c16:uniqueId val="{00000084-4EA1-4D42-ABAE-EE028EFC6472}"/>
              </c:ext>
            </c:extLst>
          </c:dPt>
          <c:dPt>
            <c:idx val="7"/>
            <c:bubble3D val="0"/>
            <c:spPr>
              <a:solidFill>
                <a:srgbClr val="FFFFFF"/>
              </a:solidFill>
              <a:ln>
                <a:noFill/>
              </a:ln>
              <a:effectLst/>
            </c:spPr>
            <c:extLst>
              <c:ext xmlns:c16="http://schemas.microsoft.com/office/drawing/2014/chart" uri="{C3380CC4-5D6E-409C-BE32-E72D297353CC}">
                <c16:uniqueId val="{00000086-4EA1-4D42-ABAE-EE028EFC64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Examples!$B$43:$F$43</c:f>
              <c:numCache>
                <c:formatCode>General</c:formatCode>
                <c:ptCount val="5"/>
                <c:pt idx="0">
                  <c:v>45</c:v>
                </c:pt>
                <c:pt idx="1">
                  <c:v>22</c:v>
                </c:pt>
                <c:pt idx="2">
                  <c:v>26</c:v>
                </c:pt>
                <c:pt idx="3">
                  <c:v>8</c:v>
                </c:pt>
                <c:pt idx="4">
                  <c:v>2</c:v>
                </c:pt>
              </c:numCache>
            </c:numRef>
          </c:val>
          <c:extLst>
            <c:ext xmlns:c16="http://schemas.microsoft.com/office/drawing/2014/chart" uri="{C3380CC4-5D6E-409C-BE32-E72D297353CC}">
              <c16:uniqueId val="{00000087-4EA1-4D42-ABAE-EE028EFC6472}"/>
            </c:ext>
          </c:extLst>
        </c:ser>
        <c:dLbls>
          <c:showLegendKey val="0"/>
          <c:showVal val="0"/>
          <c:showCatName val="1"/>
          <c:showSerName val="0"/>
          <c:showPercent val="1"/>
          <c:showBubbleSize val="0"/>
          <c:showLeaderLines val="0"/>
        </c:dLbls>
        <c:firstSliceAng val="0"/>
      </c: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n-lt"/>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64245670586037"/>
          <c:y val="5.5339240102171137E-2"/>
          <c:w val="0.38809166666666667"/>
          <c:h val="0.89216475095785441"/>
        </c:manualLayout>
      </c:layout>
      <c:doughnutChart>
        <c:varyColors val="1"/>
        <c:ser>
          <c:idx val="2"/>
          <c:order val="0"/>
          <c:tx>
            <c:strRef>
              <c:f>Examples!$A$36</c:f>
              <c:strCache>
                <c:ptCount val="1"/>
                <c:pt idx="0">
                  <c:v>1975-76</c:v>
                </c:pt>
              </c:strCache>
            </c:strRef>
          </c:tx>
          <c:spPr>
            <a:ln>
              <a:solidFill>
                <a:schemeClr val="bg1"/>
              </a:solidFill>
            </a:ln>
          </c:spPr>
          <c:dPt>
            <c:idx val="0"/>
            <c:bubble3D val="0"/>
            <c:spPr>
              <a:solidFill>
                <a:srgbClr val="0352A1"/>
              </a:solidFill>
              <a:ln>
                <a:solidFill>
                  <a:schemeClr val="bg1"/>
                </a:solidFill>
              </a:ln>
              <a:effectLst/>
            </c:spPr>
            <c:extLst>
              <c:ext xmlns:c16="http://schemas.microsoft.com/office/drawing/2014/chart" uri="{C3380CC4-5D6E-409C-BE32-E72D297353CC}">
                <c16:uniqueId val="{00000001-94C7-49F8-8048-F1AD0EF1CDDE}"/>
              </c:ext>
            </c:extLst>
          </c:dPt>
          <c:dPt>
            <c:idx val="1"/>
            <c:bubble3D val="0"/>
            <c:spPr>
              <a:solidFill>
                <a:srgbClr val="66C5EA"/>
              </a:solidFill>
              <a:ln>
                <a:solidFill>
                  <a:schemeClr val="bg1"/>
                </a:solidFill>
              </a:ln>
              <a:effectLst/>
            </c:spPr>
            <c:extLst>
              <c:ext xmlns:c16="http://schemas.microsoft.com/office/drawing/2014/chart" uri="{C3380CC4-5D6E-409C-BE32-E72D297353CC}">
                <c16:uniqueId val="{00000003-94C7-49F8-8048-F1AD0EF1CDDE}"/>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94C7-49F8-8048-F1AD0EF1CDDE}"/>
              </c:ext>
            </c:extLst>
          </c:dPt>
          <c:dPt>
            <c:idx val="3"/>
            <c:bubble3D val="0"/>
            <c:spPr>
              <a:solidFill>
                <a:schemeClr val="accent6"/>
              </a:solidFill>
              <a:ln>
                <a:solidFill>
                  <a:schemeClr val="bg1"/>
                </a:solidFill>
              </a:ln>
              <a:effectLst/>
            </c:spPr>
            <c:extLst>
              <c:ext xmlns:c16="http://schemas.microsoft.com/office/drawing/2014/chart" uri="{C3380CC4-5D6E-409C-BE32-E72D297353CC}">
                <c16:uniqueId val="{00000007-94C7-49F8-8048-F1AD0EF1CDDE}"/>
              </c:ext>
            </c:extLst>
          </c:dPt>
          <c:dPt>
            <c:idx val="4"/>
            <c:bubble3D val="0"/>
            <c:spPr>
              <a:solidFill>
                <a:srgbClr val="66C5EA"/>
              </a:solidFill>
              <a:ln>
                <a:solidFill>
                  <a:schemeClr val="bg1"/>
                </a:solidFill>
              </a:ln>
              <a:effectLst/>
            </c:spPr>
            <c:extLst>
              <c:ext xmlns:c16="http://schemas.microsoft.com/office/drawing/2014/chart" uri="{C3380CC4-5D6E-409C-BE32-E72D297353CC}">
                <c16:uniqueId val="{00000009-94C7-49F8-8048-F1AD0EF1CDDE}"/>
              </c:ext>
            </c:extLst>
          </c:dPt>
          <c:dPt>
            <c:idx val="5"/>
            <c:bubble3D val="0"/>
            <c:spPr>
              <a:solidFill>
                <a:srgbClr val="AED2E0"/>
              </a:solidFill>
              <a:ln>
                <a:solidFill>
                  <a:schemeClr val="bg1"/>
                </a:solidFill>
              </a:ln>
              <a:effectLst/>
            </c:spPr>
            <c:extLst>
              <c:ext xmlns:c16="http://schemas.microsoft.com/office/drawing/2014/chart" uri="{C3380CC4-5D6E-409C-BE32-E72D297353CC}">
                <c16:uniqueId val="{0000000B-94C7-49F8-8048-F1AD0EF1CDDE}"/>
              </c:ext>
            </c:extLst>
          </c:dPt>
          <c:dPt>
            <c:idx val="6"/>
            <c:bubble3D val="0"/>
            <c:spPr>
              <a:solidFill>
                <a:srgbClr val="D8DDE4"/>
              </a:solidFill>
              <a:ln>
                <a:solidFill>
                  <a:schemeClr val="bg1"/>
                </a:solidFill>
              </a:ln>
              <a:effectLst/>
            </c:spPr>
            <c:extLst>
              <c:ext xmlns:c16="http://schemas.microsoft.com/office/drawing/2014/chart" uri="{C3380CC4-5D6E-409C-BE32-E72D297353CC}">
                <c16:uniqueId val="{0000000D-94C7-49F8-8048-F1AD0EF1CDDE}"/>
              </c:ext>
            </c:extLst>
          </c:dPt>
          <c:dPt>
            <c:idx val="7"/>
            <c:bubble3D val="0"/>
            <c:spPr>
              <a:solidFill>
                <a:schemeClr val="accent6"/>
              </a:solidFill>
              <a:ln>
                <a:solidFill>
                  <a:schemeClr val="bg1"/>
                </a:solidFill>
              </a:ln>
              <a:effectLst/>
            </c:spPr>
            <c:extLst>
              <c:ext xmlns:c16="http://schemas.microsoft.com/office/drawing/2014/chart" uri="{C3380CC4-5D6E-409C-BE32-E72D297353CC}">
                <c16:uniqueId val="{0000000F-94C7-49F8-8048-F1AD0EF1CDDE}"/>
              </c:ext>
            </c:extLst>
          </c:dPt>
          <c:dLbls>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Raleway" panose="020B0503030101060003" pitchFamily="34" charset="0"/>
                    <a:ea typeface="Myriad Pro"/>
                    <a:cs typeface="Myriad Pro"/>
                  </a:defRPr>
                </a:pPr>
                <a:endParaRPr lang="en-US"/>
              </a:p>
            </c:txPr>
            <c:showLegendKey val="0"/>
            <c:showVal val="1"/>
            <c:showCatName val="0"/>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Examples!$B$35:$F$35</c:f>
              <c:strCache>
                <c:ptCount val="5"/>
                <c:pt idx="0">
                  <c:v>Data 1</c:v>
                </c:pt>
                <c:pt idx="1">
                  <c:v>Data 2</c:v>
                </c:pt>
                <c:pt idx="2">
                  <c:v>Data 3</c:v>
                </c:pt>
                <c:pt idx="3">
                  <c:v>Data 4</c:v>
                </c:pt>
                <c:pt idx="4">
                  <c:v>Data 5</c:v>
                </c:pt>
              </c:strCache>
            </c:strRef>
          </c:cat>
          <c:val>
            <c:numRef>
              <c:f>Examples!$B$36:$F$36</c:f>
              <c:numCache>
                <c:formatCode>General</c:formatCode>
                <c:ptCount val="5"/>
                <c:pt idx="0">
                  <c:v>36.19</c:v>
                </c:pt>
                <c:pt idx="1">
                  <c:v>36.880000000000003</c:v>
                </c:pt>
                <c:pt idx="2">
                  <c:v>21.56</c:v>
                </c:pt>
                <c:pt idx="3">
                  <c:v>5.36</c:v>
                </c:pt>
                <c:pt idx="4">
                  <c:v>3.01</c:v>
                </c:pt>
              </c:numCache>
            </c:numRef>
          </c:val>
          <c:extLst>
            <c:ext xmlns:c16="http://schemas.microsoft.com/office/drawing/2014/chart" uri="{C3380CC4-5D6E-409C-BE32-E72D297353CC}">
              <c16:uniqueId val="{00000010-94C7-49F8-8048-F1AD0EF1CDDE}"/>
            </c:ext>
          </c:extLst>
        </c:ser>
        <c:dLbls>
          <c:showLegendKey val="0"/>
          <c:showVal val="1"/>
          <c:showCatName val="0"/>
          <c:showSerName val="0"/>
          <c:showPercent val="0"/>
          <c:showBubbleSize val="0"/>
          <c:showLeaderLines val="1"/>
        </c:dLbls>
        <c:firstSliceAng val="0"/>
        <c:holeSize val="70"/>
      </c:doughnut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chemeClr val="bg1"/>
          </a:solidFill>
          <a:latin typeface="Raleway" panose="020B0503030101060003" pitchFamily="34" charset="0"/>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0989583333333"/>
          <c:y val="5.0661318646232432E-2"/>
          <c:w val="0.85662801786288922"/>
          <c:h val="0.71246367609784866"/>
        </c:manualLayout>
      </c:layout>
      <c:barChart>
        <c:barDir val="bar"/>
        <c:grouping val="percentStacked"/>
        <c:varyColors val="0"/>
        <c:ser>
          <c:idx val="0"/>
          <c:order val="0"/>
          <c:tx>
            <c:strRef>
              <c:f>Examples!$B$35</c:f>
              <c:strCache>
                <c:ptCount val="1"/>
                <c:pt idx="0">
                  <c:v>Data 1</c:v>
                </c:pt>
              </c:strCache>
            </c:strRef>
          </c:tx>
          <c:spPr>
            <a:solidFill>
              <a:srgbClr val="5DA4C1"/>
            </a:solidFill>
            <a:ln>
              <a:solidFill>
                <a:schemeClr val="bg1"/>
              </a:solidFill>
            </a:ln>
            <a:effectLst/>
          </c:spPr>
          <c:invertIfNegative val="0"/>
          <c:cat>
            <c:strRef>
              <c:f>Examples!$A$36:$A$38</c:f>
              <c:strCache>
                <c:ptCount val="3"/>
                <c:pt idx="0">
                  <c:v>1975-76</c:v>
                </c:pt>
                <c:pt idx="1">
                  <c:v>1983-84</c:v>
                </c:pt>
                <c:pt idx="2">
                  <c:v>1988-89</c:v>
                </c:pt>
              </c:strCache>
            </c:strRef>
          </c:cat>
          <c:val>
            <c:numRef>
              <c:f>Examples!$B$36:$B$38</c:f>
              <c:numCache>
                <c:formatCode>General</c:formatCode>
                <c:ptCount val="3"/>
                <c:pt idx="0">
                  <c:v>36.19</c:v>
                </c:pt>
                <c:pt idx="1">
                  <c:v>39.39</c:v>
                </c:pt>
                <c:pt idx="2">
                  <c:v>42.78</c:v>
                </c:pt>
              </c:numCache>
            </c:numRef>
          </c:val>
          <c:extLst>
            <c:ext xmlns:c16="http://schemas.microsoft.com/office/drawing/2014/chart" uri="{C3380CC4-5D6E-409C-BE32-E72D297353CC}">
              <c16:uniqueId val="{00000000-D3D8-4F19-A219-1BA2EEA19E76}"/>
            </c:ext>
          </c:extLst>
        </c:ser>
        <c:ser>
          <c:idx val="1"/>
          <c:order val="1"/>
          <c:tx>
            <c:strRef>
              <c:f>Examples!$C$35</c:f>
              <c:strCache>
                <c:ptCount val="1"/>
                <c:pt idx="0">
                  <c:v>Data 2</c:v>
                </c:pt>
              </c:strCache>
            </c:strRef>
          </c:tx>
          <c:spPr>
            <a:solidFill>
              <a:schemeClr val="accent6"/>
            </a:solidFill>
            <a:ln>
              <a:solidFill>
                <a:schemeClr val="bg1"/>
              </a:solidFill>
            </a:ln>
            <a:effectLst/>
          </c:spPr>
          <c:invertIfNegative val="0"/>
          <c:cat>
            <c:strRef>
              <c:f>Examples!$A$36:$A$38</c:f>
              <c:strCache>
                <c:ptCount val="3"/>
                <c:pt idx="0">
                  <c:v>1975-76</c:v>
                </c:pt>
                <c:pt idx="1">
                  <c:v>1983-84</c:v>
                </c:pt>
                <c:pt idx="2">
                  <c:v>1988-89</c:v>
                </c:pt>
              </c:strCache>
            </c:strRef>
          </c:cat>
          <c:val>
            <c:numRef>
              <c:f>Examples!$C$36:$C$38</c:f>
              <c:numCache>
                <c:formatCode>General</c:formatCode>
                <c:ptCount val="3"/>
                <c:pt idx="0">
                  <c:v>36.880000000000003</c:v>
                </c:pt>
                <c:pt idx="1">
                  <c:v>32.020000000000003</c:v>
                </c:pt>
                <c:pt idx="2">
                  <c:v>29.91</c:v>
                </c:pt>
              </c:numCache>
            </c:numRef>
          </c:val>
          <c:extLst>
            <c:ext xmlns:c16="http://schemas.microsoft.com/office/drawing/2014/chart" uri="{C3380CC4-5D6E-409C-BE32-E72D297353CC}">
              <c16:uniqueId val="{00000001-D3D8-4F19-A219-1BA2EEA19E76}"/>
            </c:ext>
          </c:extLst>
        </c:ser>
        <c:ser>
          <c:idx val="2"/>
          <c:order val="2"/>
          <c:tx>
            <c:strRef>
              <c:f>Examples!$D$35</c:f>
              <c:strCache>
                <c:ptCount val="1"/>
                <c:pt idx="0">
                  <c:v>Data 3</c:v>
                </c:pt>
              </c:strCache>
            </c:strRef>
          </c:tx>
          <c:spPr>
            <a:solidFill>
              <a:schemeClr val="accent5"/>
            </a:solidFill>
            <a:ln>
              <a:solidFill>
                <a:schemeClr val="bg1"/>
              </a:solidFill>
            </a:ln>
            <a:effectLst/>
          </c:spPr>
          <c:invertIfNegative val="0"/>
          <c:cat>
            <c:strRef>
              <c:f>Examples!$A$36:$A$38</c:f>
              <c:strCache>
                <c:ptCount val="3"/>
                <c:pt idx="0">
                  <c:v>1975-76</c:v>
                </c:pt>
                <c:pt idx="1">
                  <c:v>1983-84</c:v>
                </c:pt>
                <c:pt idx="2">
                  <c:v>1988-89</c:v>
                </c:pt>
              </c:strCache>
            </c:strRef>
          </c:cat>
          <c:val>
            <c:numRef>
              <c:f>Examples!$D$36:$D$38</c:f>
              <c:numCache>
                <c:formatCode>General</c:formatCode>
                <c:ptCount val="3"/>
                <c:pt idx="0">
                  <c:v>21.56</c:v>
                </c:pt>
                <c:pt idx="1">
                  <c:v>21.6</c:v>
                </c:pt>
                <c:pt idx="2">
                  <c:v>18.350000000000001</c:v>
                </c:pt>
              </c:numCache>
            </c:numRef>
          </c:val>
          <c:extLst>
            <c:ext xmlns:c16="http://schemas.microsoft.com/office/drawing/2014/chart" uri="{C3380CC4-5D6E-409C-BE32-E72D297353CC}">
              <c16:uniqueId val="{00000002-D3D8-4F19-A219-1BA2EEA19E76}"/>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Examples!$A$36:$A$38</c:f>
              <c:strCache>
                <c:ptCount val="3"/>
                <c:pt idx="0">
                  <c:v>1975-76</c:v>
                </c:pt>
                <c:pt idx="1">
                  <c:v>1983-84</c:v>
                </c:pt>
                <c:pt idx="2">
                  <c:v>1988-89</c:v>
                </c:pt>
              </c:strCache>
            </c:strRef>
          </c:cat>
          <c:val>
            <c:numRef>
              <c:f>Examples!$E$36:$E$38</c:f>
              <c:numCache>
                <c:formatCode>General</c:formatCode>
                <c:ptCount val="3"/>
                <c:pt idx="0">
                  <c:v>5.36</c:v>
                </c:pt>
                <c:pt idx="1">
                  <c:v>7.01</c:v>
                </c:pt>
                <c:pt idx="2">
                  <c:v>6.33</c:v>
                </c:pt>
              </c:numCache>
            </c:numRef>
          </c:val>
          <c:extLst>
            <c:ext xmlns:c16="http://schemas.microsoft.com/office/drawing/2014/chart" uri="{C3380CC4-5D6E-409C-BE32-E72D297353CC}">
              <c16:uniqueId val="{00000003-D3D8-4F19-A219-1BA2EEA19E76}"/>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Examples!$A$36:$A$38</c:f>
              <c:strCache>
                <c:ptCount val="3"/>
                <c:pt idx="0">
                  <c:v>1975-76</c:v>
                </c:pt>
                <c:pt idx="1">
                  <c:v>1983-84</c:v>
                </c:pt>
                <c:pt idx="2">
                  <c:v>1988-89</c:v>
                </c:pt>
              </c:strCache>
            </c:strRef>
          </c:cat>
          <c:val>
            <c:numRef>
              <c:f>Examples!$F$36:$F$38</c:f>
              <c:numCache>
                <c:formatCode>General</c:formatCode>
                <c:ptCount val="3"/>
                <c:pt idx="0">
                  <c:v>3.01</c:v>
                </c:pt>
                <c:pt idx="1">
                  <c:v>3.36</c:v>
                </c:pt>
                <c:pt idx="2">
                  <c:v>2.63</c:v>
                </c:pt>
              </c:numCache>
            </c:numRef>
          </c:val>
          <c:extLst>
            <c:ext xmlns:c16="http://schemas.microsoft.com/office/drawing/2014/chart" uri="{C3380CC4-5D6E-409C-BE32-E72D297353CC}">
              <c16:uniqueId val="{00000004-D3D8-4F19-A219-1BA2EEA19E76}"/>
            </c:ext>
          </c:extLst>
        </c:ser>
        <c:dLbls>
          <c:showLegendKey val="0"/>
          <c:showVal val="0"/>
          <c:showCatName val="0"/>
          <c:showSerName val="0"/>
          <c:showPercent val="0"/>
          <c:showBubbleSize val="0"/>
        </c:dLbls>
        <c:gapWidth val="150"/>
        <c:overlap val="100"/>
        <c:axId val="662834416"/>
        <c:axId val="662836768"/>
      </c:barChart>
      <c:catAx>
        <c:axId val="662834416"/>
        <c:scaling>
          <c:orientation val="minMax"/>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6768"/>
        <c:crosses val="autoZero"/>
        <c:auto val="1"/>
        <c:lblAlgn val="ctr"/>
        <c:lblOffset val="100"/>
        <c:tickLblSkip val="1"/>
        <c:tickMarkSkip val="1"/>
        <c:noMultiLvlLbl val="0"/>
      </c:catAx>
      <c:valAx>
        <c:axId val="662836768"/>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44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277939910925902E-2"/>
          <c:y val="6.0836501901140684E-2"/>
          <c:w val="0.92789382162936673"/>
          <c:h val="0.69840922846451958"/>
        </c:manualLayout>
      </c:layout>
      <c:barChart>
        <c:barDir val="col"/>
        <c:grouping val="percentStacked"/>
        <c:varyColors val="0"/>
        <c:ser>
          <c:idx val="0"/>
          <c:order val="0"/>
          <c:tx>
            <c:strRef>
              <c:f>Examples!$B$35</c:f>
              <c:strCache>
                <c:ptCount val="1"/>
                <c:pt idx="0">
                  <c:v>Data 1</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AD81-4723-9E25-438731FF5873}"/>
            </c:ext>
          </c:extLst>
        </c:ser>
        <c:ser>
          <c:idx val="1"/>
          <c:order val="1"/>
          <c:tx>
            <c:strRef>
              <c:f>Examples!$C$35</c:f>
              <c:strCache>
                <c:ptCount val="1"/>
                <c:pt idx="0">
                  <c:v>Data 2</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AD81-4723-9E25-438731FF5873}"/>
            </c:ext>
          </c:extLst>
        </c:ser>
        <c:ser>
          <c:idx val="2"/>
          <c:order val="2"/>
          <c:tx>
            <c:strRef>
              <c:f>Examples!$D$35</c:f>
              <c:strCache>
                <c:ptCount val="1"/>
                <c:pt idx="0">
                  <c:v>Data 3</c:v>
                </c:pt>
              </c:strCache>
            </c:strRef>
          </c:tx>
          <c:spPr>
            <a:solidFill>
              <a:schemeClr val="accent5"/>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AD81-4723-9E25-438731FF5873}"/>
            </c:ext>
          </c:extLst>
        </c:ser>
        <c:ser>
          <c:idx val="3"/>
          <c:order val="3"/>
          <c:tx>
            <c:strRef>
              <c:f>Examples!$E$35</c:f>
              <c:strCache>
                <c:ptCount val="1"/>
                <c:pt idx="0">
                  <c:v>Data 4</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AD81-4723-9E25-438731FF5873}"/>
            </c:ext>
          </c:extLst>
        </c:ser>
        <c:ser>
          <c:idx val="4"/>
          <c:order val="4"/>
          <c:tx>
            <c:strRef>
              <c:f>Examples!$F$35</c:f>
              <c:strCache>
                <c:ptCount val="1"/>
                <c:pt idx="0">
                  <c:v>Data 5</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AD81-4723-9E25-438731FF5873}"/>
            </c:ext>
          </c:extLst>
        </c:ser>
        <c:dLbls>
          <c:showLegendKey val="0"/>
          <c:showVal val="0"/>
          <c:showCatName val="0"/>
          <c:showSerName val="0"/>
          <c:showPercent val="0"/>
          <c:showBubbleSize val="0"/>
        </c:dLbls>
        <c:gapWidth val="150"/>
        <c:overlap val="100"/>
        <c:axId val="662837552"/>
        <c:axId val="662842648"/>
      </c:barChart>
      <c:catAx>
        <c:axId val="662837552"/>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42648"/>
        <c:crosses val="autoZero"/>
        <c:auto val="1"/>
        <c:lblAlgn val="ctr"/>
        <c:lblOffset val="100"/>
        <c:tickLblSkip val="1"/>
        <c:tickMarkSkip val="1"/>
        <c:noMultiLvlLbl val="0"/>
      </c:catAx>
      <c:valAx>
        <c:axId val="662842648"/>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6628375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449140158855933E-2"/>
          <c:y val="7.7865354600398076E-2"/>
          <c:w val="0.90120640979105648"/>
          <c:h val="0.69990297219855535"/>
        </c:manualLayout>
      </c:layout>
      <c:lineChart>
        <c:grouping val="standard"/>
        <c:varyColors val="0"/>
        <c:ser>
          <c:idx val="0"/>
          <c:order val="0"/>
          <c:tx>
            <c:strRef>
              <c:f>Examples!$B$35</c:f>
              <c:strCache>
                <c:ptCount val="1"/>
                <c:pt idx="0">
                  <c:v>Data 1</c:v>
                </c:pt>
              </c:strCache>
            </c:strRef>
          </c:tx>
          <c:spPr>
            <a:ln w="25400" cap="rnd" cmpd="sng" algn="ctr">
              <a:solidFill>
                <a:srgbClr val="0352A1"/>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smooth val="0"/>
          <c:extLst>
            <c:ext xmlns:c16="http://schemas.microsoft.com/office/drawing/2014/chart" uri="{C3380CC4-5D6E-409C-BE32-E72D297353CC}">
              <c16:uniqueId val="{00000000-A5DE-4167-9689-743C987B5753}"/>
            </c:ext>
          </c:extLst>
        </c:ser>
        <c:ser>
          <c:idx val="1"/>
          <c:order val="1"/>
          <c:tx>
            <c:strRef>
              <c:f>Examples!$C$35</c:f>
              <c:strCache>
                <c:ptCount val="1"/>
                <c:pt idx="0">
                  <c:v>Data 2</c:v>
                </c:pt>
              </c:strCache>
            </c:strRef>
          </c:tx>
          <c:spPr>
            <a:ln w="25400" cap="rnd" cmpd="sng" algn="ctr">
              <a:solidFill>
                <a:srgbClr val="3373B3"/>
              </a:solidFill>
              <a:prstDash val="sys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smooth val="0"/>
          <c:extLst>
            <c:ext xmlns:c16="http://schemas.microsoft.com/office/drawing/2014/chart" uri="{C3380CC4-5D6E-409C-BE32-E72D297353CC}">
              <c16:uniqueId val="{00000001-A5DE-4167-9689-743C987B5753}"/>
            </c:ext>
          </c:extLst>
        </c:ser>
        <c:ser>
          <c:idx val="2"/>
          <c:order val="2"/>
          <c:tx>
            <c:strRef>
              <c:f>Examples!$D$35</c:f>
              <c:strCache>
                <c:ptCount val="1"/>
                <c:pt idx="0">
                  <c:v>Data 3</c:v>
                </c:pt>
              </c:strCache>
            </c:strRef>
          </c:tx>
          <c:spPr>
            <a:ln w="25400" cap="rnd" cmpd="sng" algn="ctr">
              <a:solidFill>
                <a:srgbClr val="66C5EA"/>
              </a:solidFill>
              <a:prstDash val="sysDash"/>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5DE-4167-9689-743C987B5753}"/>
            </c:ext>
          </c:extLst>
        </c:ser>
        <c:ser>
          <c:idx val="3"/>
          <c:order val="3"/>
          <c:tx>
            <c:strRef>
              <c:f>Examples!$E$35</c:f>
              <c:strCache>
                <c:ptCount val="1"/>
                <c:pt idx="0">
                  <c:v>Data 4</c:v>
                </c:pt>
              </c:strCache>
            </c:strRef>
          </c:tx>
          <c:spPr>
            <a:ln w="25400" cap="rnd" cmpd="sng" algn="ctr">
              <a:solidFill>
                <a:srgbClr val="009DDB"/>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5DE-4167-9689-743C987B5753}"/>
            </c:ext>
          </c:extLst>
        </c:ser>
        <c:ser>
          <c:idx val="4"/>
          <c:order val="4"/>
          <c:tx>
            <c:strRef>
              <c:f>Examples!$F$35</c:f>
              <c:strCache>
                <c:ptCount val="1"/>
                <c:pt idx="0">
                  <c:v>Data 5</c:v>
                </c:pt>
              </c:strCache>
            </c:strRef>
          </c:tx>
          <c:spPr>
            <a:ln w="25400" cap="rnd" cmpd="sng" algn="ctr">
              <a:solidFill>
                <a:schemeClr val="accent6"/>
              </a:solidFill>
              <a:prstDash val="solid"/>
              <a:round/>
            </a:ln>
            <a:effectLst/>
          </c:spPr>
          <c:marker>
            <c:symbol val="none"/>
          </c:marker>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smooth val="0"/>
          <c:extLst>
            <c:ext xmlns:c16="http://schemas.microsoft.com/office/drawing/2014/chart" uri="{C3380CC4-5D6E-409C-BE32-E72D297353CC}">
              <c16:uniqueId val="{00000004-A5DE-4167-9689-743C987B5753}"/>
            </c:ext>
          </c:extLst>
        </c:ser>
        <c:dLbls>
          <c:showLegendKey val="0"/>
          <c:showVal val="0"/>
          <c:showCatName val="0"/>
          <c:showSerName val="0"/>
          <c:showPercent val="0"/>
          <c:showBubbleSize val="0"/>
        </c:dLbls>
        <c:smooth val="0"/>
        <c:axId val="662846960"/>
        <c:axId val="511151000"/>
      </c:lineChart>
      <c:catAx>
        <c:axId val="662846960"/>
        <c:scaling>
          <c:orientation val="minMax"/>
        </c:scaling>
        <c:delete val="0"/>
        <c:axPos val="b"/>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11151000"/>
        <c:crosses val="autoZero"/>
        <c:auto val="1"/>
        <c:lblAlgn val="ctr"/>
        <c:lblOffset val="100"/>
        <c:tickLblSkip val="1"/>
        <c:tickMarkSkip val="1"/>
        <c:noMultiLvlLbl val="0"/>
      </c:catAx>
      <c:valAx>
        <c:axId val="51115100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62846960"/>
        <c:crosses val="autoZero"/>
        <c:crossBetween val="midCat"/>
      </c:valAx>
      <c:spPr>
        <a:noFill/>
        <a:ln w="25400">
          <a:noFill/>
        </a:ln>
        <a:effectLst/>
      </c:spPr>
    </c:plotArea>
    <c:legend>
      <c:legendPos val="b"/>
      <c:layout>
        <c:manualLayout>
          <c:xMode val="edge"/>
          <c:yMode val="edge"/>
          <c:x val="2.3932179693131585E-2"/>
          <c:y val="0.88139846743295014"/>
          <c:w val="0.94992150911688389"/>
          <c:h val="8.818965517241381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oddHeader>&amp;A</c:oddHeader>
      <c:oddFooter>Page &amp;P</c:oddFooter>
    </c:headerFooter>
    <c:pageMargins b="0.98425196850393704" l="0.74803149606299213" r="0.74803149606299213" t="0.98425196850393704" header="0.51181102362204722" footer="0.51181102362204722"/>
    <c:pageSetup paperSize="9" orientation="landscape" horizontalDpi="-3"/>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1784559343046E-2"/>
          <c:y val="7.987260942800993E-2"/>
          <c:w val="0.93132694487765588"/>
          <c:h val="0.67906765614718934"/>
        </c:manualLayout>
      </c:layout>
      <c:barChart>
        <c:barDir val="col"/>
        <c:grouping val="clustered"/>
        <c:varyColors val="0"/>
        <c:ser>
          <c:idx val="0"/>
          <c:order val="0"/>
          <c:tx>
            <c:strRef>
              <c:f>Examples!$A$36</c:f>
              <c:strCache>
                <c:ptCount val="1"/>
                <c:pt idx="0">
                  <c:v>1975-76</c:v>
                </c:pt>
              </c:strCache>
            </c:strRef>
          </c:tx>
          <c:spPr>
            <a:solidFill>
              <a:schemeClr val="accent6"/>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Examples!$B$36:$D$36</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3558-4AC7-90CB-BB3DD48DCFFB}"/>
            </c:ext>
          </c:extLst>
        </c:ser>
        <c:ser>
          <c:idx val="1"/>
          <c:order val="1"/>
          <c:tx>
            <c:strRef>
              <c:f>Examples!$A$37</c:f>
              <c:strCache>
                <c:ptCount val="1"/>
                <c:pt idx="0">
                  <c:v>1983-84</c:v>
                </c:pt>
              </c:strCache>
            </c:strRef>
          </c:tx>
          <c:spPr>
            <a:solidFill>
              <a:schemeClr val="accent5"/>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Examples!$B$37:$D$37</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3558-4AC7-90CB-BB3DD48DCFFB}"/>
            </c:ext>
          </c:extLst>
        </c:ser>
        <c:ser>
          <c:idx val="2"/>
          <c:order val="2"/>
          <c:tx>
            <c:strRef>
              <c:f>Examples!$A$38</c:f>
              <c:strCache>
                <c:ptCount val="1"/>
                <c:pt idx="0">
                  <c:v>1988-89</c:v>
                </c:pt>
              </c:strCache>
            </c:strRef>
          </c:tx>
          <c:spPr>
            <a:solidFill>
              <a:srgbClr val="0352A1"/>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Examples!$B$38:$D$38</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3558-4AC7-90CB-BB3DD48DCFFB}"/>
            </c:ext>
          </c:extLst>
        </c:ser>
        <c:dLbls>
          <c:showLegendKey val="0"/>
          <c:showVal val="0"/>
          <c:showCatName val="0"/>
          <c:showSerName val="0"/>
          <c:showPercent val="0"/>
          <c:showBubbleSize val="0"/>
        </c:dLbls>
        <c:gapWidth val="150"/>
        <c:axId val="511146296"/>
        <c:axId val="511139632"/>
        <c:extLst>
          <c:ext xmlns:c15="http://schemas.microsoft.com/office/drawing/2012/chart" uri="{02D57815-91ED-43cb-92C2-25804820EDAC}">
            <c15:filteredBarSeries>
              <c15:ser>
                <c:idx val="3"/>
                <c:order val="3"/>
                <c:tx>
                  <c:strRef>
                    <c:extLst>
                      <c:ext uri="{02D57815-91ED-43cb-92C2-25804820EDAC}">
                        <c15:formulaRef>
                          <c15:sqref>Examples!$A$39</c15:sqref>
                        </c15:formulaRef>
                      </c:ext>
                    </c:extLst>
                    <c:strCache>
                      <c:ptCount val="1"/>
                      <c:pt idx="0">
                        <c:v>1993-94</c:v>
                      </c:pt>
                    </c:strCache>
                  </c:strRef>
                </c:tx>
                <c:spPr>
                  <a:solidFill>
                    <a:srgbClr val="66C5EA"/>
                  </a:solidFill>
                  <a:ln>
                    <a:solidFill>
                      <a:schemeClr val="bg1"/>
                    </a:solidFill>
                  </a:ln>
                  <a:effectLst/>
                </c:spPr>
                <c:invertIfNegative val="0"/>
                <c:cat>
                  <c:strRef>
                    <c:extLst>
                      <c:ext uri="{02D57815-91ED-43cb-92C2-25804820EDAC}">
                        <c15:formulaRef>
                          <c15:sqref>Examples!$B$35:$D$35</c15:sqref>
                        </c15:formulaRef>
                      </c:ext>
                    </c:extLst>
                    <c:strCache>
                      <c:ptCount val="3"/>
                      <c:pt idx="0">
                        <c:v>Data 1</c:v>
                      </c:pt>
                      <c:pt idx="1">
                        <c:v>Data 2</c:v>
                      </c:pt>
                      <c:pt idx="2">
                        <c:v>Data 3</c:v>
                      </c:pt>
                    </c:strCache>
                  </c:strRef>
                </c:cat>
                <c:val>
                  <c:numRef>
                    <c:extLst>
                      <c:ext uri="{02D57815-91ED-43cb-92C2-25804820EDAC}">
                        <c15:formulaRef>
                          <c15:sqref>Examples!$B$39:$D$39</c15:sqref>
                        </c15:formulaRef>
                      </c:ext>
                    </c:extLst>
                    <c:numCache>
                      <c:formatCode>General</c:formatCode>
                      <c:ptCount val="3"/>
                      <c:pt idx="0">
                        <c:v>42.13</c:v>
                      </c:pt>
                      <c:pt idx="1">
                        <c:v>26.53</c:v>
                      </c:pt>
                      <c:pt idx="2">
                        <c:v>21.6</c:v>
                      </c:pt>
                    </c:numCache>
                  </c:numRef>
                </c:val>
                <c:extLst>
                  <c:ext xmlns:c16="http://schemas.microsoft.com/office/drawing/2014/chart" uri="{C3380CC4-5D6E-409C-BE32-E72D297353CC}">
                    <c16:uniqueId val="{00000003-3558-4AC7-90CB-BB3DD48DCFF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Examples!$A$40</c15:sqref>
                        </c15:formulaRef>
                      </c:ext>
                    </c:extLst>
                    <c:strCache>
                      <c:ptCount val="1"/>
                      <c:pt idx="0">
                        <c:v>1996-97</c:v>
                      </c:pt>
                    </c:strCache>
                  </c:strRef>
                </c:tx>
                <c:spPr>
                  <a:solidFill>
                    <a:srgbClr val="0352A1"/>
                  </a:solidFill>
                  <a:ln>
                    <a:solidFill>
                      <a:schemeClr val="bg1"/>
                    </a:solidFill>
                  </a:ln>
                  <a:effectLst/>
                </c:spPr>
                <c:invertIfNegative val="0"/>
                <c:cat>
                  <c:strRef>
                    <c:extLst xmlns:c15="http://schemas.microsoft.com/office/drawing/2012/chart">
                      <c:ext xmlns:c15="http://schemas.microsoft.com/office/drawing/2012/chart" uri="{02D57815-91ED-43cb-92C2-25804820EDAC}">
                        <c15:formulaRef>
                          <c15:sqref>Examples!$B$35:$D$35</c15:sqref>
                        </c15:formulaRef>
                      </c:ext>
                    </c:extLst>
                    <c:strCache>
                      <c:ptCount val="3"/>
                      <c:pt idx="0">
                        <c:v>Data 1</c:v>
                      </c:pt>
                      <c:pt idx="1">
                        <c:v>Data 2</c:v>
                      </c:pt>
                      <c:pt idx="2">
                        <c:v>Data 3</c:v>
                      </c:pt>
                    </c:strCache>
                  </c:strRef>
                </c:cat>
                <c:val>
                  <c:numRef>
                    <c:extLst xmlns:c15="http://schemas.microsoft.com/office/drawing/2012/chart">
                      <c:ext xmlns:c15="http://schemas.microsoft.com/office/drawing/2012/chart" uri="{02D57815-91ED-43cb-92C2-25804820EDAC}">
                        <c15:formulaRef>
                          <c15:sqref>Examples!$B$40:$D$40</c15:sqref>
                        </c15:formulaRef>
                      </c:ext>
                    </c:extLst>
                    <c:numCache>
                      <c:formatCode>General</c:formatCode>
                      <c:ptCount val="3"/>
                      <c:pt idx="0">
                        <c:v>41.69</c:v>
                      </c:pt>
                      <c:pt idx="1">
                        <c:v>24.76</c:v>
                      </c:pt>
                      <c:pt idx="2">
                        <c:v>23.98</c:v>
                      </c:pt>
                    </c:numCache>
                  </c:numRef>
                </c:val>
                <c:extLst xmlns:c15="http://schemas.microsoft.com/office/drawing/2012/chart">
                  <c:ext xmlns:c16="http://schemas.microsoft.com/office/drawing/2014/chart" uri="{C3380CC4-5D6E-409C-BE32-E72D297353CC}">
                    <c16:uniqueId val="{00000004-3558-4AC7-90CB-BB3DD48DCFFB}"/>
                  </c:ext>
                </c:extLst>
              </c15:ser>
            </c15:filteredBarSeries>
          </c:ext>
        </c:extLst>
      </c:barChart>
      <c:catAx>
        <c:axId val="511146296"/>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11139632"/>
        <c:crosses val="autoZero"/>
        <c:auto val="1"/>
        <c:lblAlgn val="ctr"/>
        <c:lblOffset val="100"/>
        <c:tickLblSkip val="1"/>
        <c:tickMarkSkip val="1"/>
        <c:noMultiLvlLbl val="0"/>
      </c:catAx>
      <c:valAx>
        <c:axId val="511139632"/>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11146296"/>
        <c:crosses val="autoZero"/>
        <c:crossBetween val="between"/>
      </c:valAx>
      <c:spPr>
        <a:noFill/>
        <a:ln w="25400">
          <a:noFill/>
        </a:ln>
        <a:effectLst/>
      </c:spPr>
    </c:plotArea>
    <c:legend>
      <c:legendPos val="b"/>
      <c:layout>
        <c:manualLayout>
          <c:xMode val="edge"/>
          <c:yMode val="edge"/>
          <c:x val="8.4658526065817929E-3"/>
          <c:y val="0.87755852641399212"/>
          <c:w val="0.97804529931266793"/>
          <c:h val="0.11997817050752549"/>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7248576850095"/>
          <c:y val="4.5627376425855515E-2"/>
          <c:w val="0.84060721062618593"/>
          <c:h val="0.74016008038712222"/>
        </c:manualLayout>
      </c:layout>
      <c:barChart>
        <c:barDir val="bar"/>
        <c:grouping val="clustered"/>
        <c:varyColors val="0"/>
        <c:ser>
          <c:idx val="2"/>
          <c:order val="0"/>
          <c:tx>
            <c:strRef>
              <c:f>Examples!$B$35</c:f>
              <c:strCache>
                <c:ptCount val="1"/>
                <c:pt idx="0">
                  <c:v>Data 1</c:v>
                </c:pt>
              </c:strCache>
            </c:strRef>
          </c:tx>
          <c:spPr>
            <a:solidFill>
              <a:schemeClr val="accent6"/>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Examples!$B$36:$B$41</c:f>
              <c:numCache>
                <c:formatCode>General</c:formatCode>
                <c:ptCount val="6"/>
                <c:pt idx="0">
                  <c:v>36.19</c:v>
                </c:pt>
                <c:pt idx="1">
                  <c:v>39.39</c:v>
                </c:pt>
                <c:pt idx="2">
                  <c:v>42.78</c:v>
                </c:pt>
                <c:pt idx="3">
                  <c:v>42.13</c:v>
                </c:pt>
                <c:pt idx="4">
                  <c:v>41.69</c:v>
                </c:pt>
                <c:pt idx="5">
                  <c:v>39.39</c:v>
                </c:pt>
              </c:numCache>
            </c:numRef>
          </c:val>
          <c:extLst>
            <c:ext xmlns:c16="http://schemas.microsoft.com/office/drawing/2014/chart" uri="{C3380CC4-5D6E-409C-BE32-E72D297353CC}">
              <c16:uniqueId val="{00000000-7A43-4CDD-8234-77D40EA04216}"/>
            </c:ext>
          </c:extLst>
        </c:ser>
        <c:ser>
          <c:idx val="1"/>
          <c:order val="1"/>
          <c:tx>
            <c:strRef>
              <c:f>Examples!$C$35</c:f>
              <c:strCache>
                <c:ptCount val="1"/>
                <c:pt idx="0">
                  <c:v>Data 2</c:v>
                </c:pt>
              </c:strCache>
            </c:strRef>
          </c:tx>
          <c:spPr>
            <a:solidFill>
              <a:schemeClr val="accent5"/>
            </a:solidFill>
            <a:ln>
              <a:noFill/>
            </a:ln>
            <a:effectLst/>
          </c:spPr>
          <c:invertIfNegative val="0"/>
          <c:dPt>
            <c:idx val="0"/>
            <c:invertIfNegative val="0"/>
            <c:bubble3D val="0"/>
            <c:spPr>
              <a:solidFill>
                <a:schemeClr val="accent5"/>
              </a:solidFill>
              <a:ln>
                <a:solidFill>
                  <a:schemeClr val="bg1"/>
                </a:solidFill>
              </a:ln>
              <a:effectLst/>
            </c:spPr>
            <c:extLst>
              <c:ext xmlns:c16="http://schemas.microsoft.com/office/drawing/2014/chart" uri="{C3380CC4-5D6E-409C-BE32-E72D297353CC}">
                <c16:uniqueId val="{00000001-38B5-4C10-BC02-8006E6041757}"/>
              </c:ext>
            </c:extLst>
          </c:dPt>
          <c:cat>
            <c:strRef>
              <c:f>Examples!$A$36:$A$41</c:f>
              <c:strCache>
                <c:ptCount val="6"/>
                <c:pt idx="0">
                  <c:v>1975-76</c:v>
                </c:pt>
                <c:pt idx="1">
                  <c:v>1983-84</c:v>
                </c:pt>
                <c:pt idx="2">
                  <c:v>1988-89</c:v>
                </c:pt>
                <c:pt idx="3">
                  <c:v>1993-94</c:v>
                </c:pt>
                <c:pt idx="4">
                  <c:v>1996-97</c:v>
                </c:pt>
                <c:pt idx="5">
                  <c:v>1997-98</c:v>
                </c:pt>
              </c:strCache>
            </c:strRef>
          </c:cat>
          <c:val>
            <c:numRef>
              <c:f>Examples!$C$36:$C$41</c:f>
              <c:numCache>
                <c:formatCode>General</c:formatCode>
                <c:ptCount val="6"/>
                <c:pt idx="0">
                  <c:v>36.880000000000003</c:v>
                </c:pt>
                <c:pt idx="1">
                  <c:v>32.020000000000003</c:v>
                </c:pt>
                <c:pt idx="2">
                  <c:v>29.91</c:v>
                </c:pt>
                <c:pt idx="3">
                  <c:v>26.53</c:v>
                </c:pt>
                <c:pt idx="4">
                  <c:v>24.76</c:v>
                </c:pt>
                <c:pt idx="5">
                  <c:v>32.020000000000003</c:v>
                </c:pt>
              </c:numCache>
            </c:numRef>
          </c:val>
          <c:extLst>
            <c:ext xmlns:c16="http://schemas.microsoft.com/office/drawing/2014/chart" uri="{C3380CC4-5D6E-409C-BE32-E72D297353CC}">
              <c16:uniqueId val="{00000001-7A43-4CDD-8234-77D40EA04216}"/>
            </c:ext>
          </c:extLst>
        </c:ser>
        <c:ser>
          <c:idx val="0"/>
          <c:order val="2"/>
          <c:tx>
            <c:strRef>
              <c:f>Examples!$D$35</c:f>
              <c:strCache>
                <c:ptCount val="1"/>
                <c:pt idx="0">
                  <c:v>Data 3</c:v>
                </c:pt>
              </c:strCache>
            </c:strRef>
          </c:tx>
          <c:spPr>
            <a:solidFill>
              <a:srgbClr val="0352A1"/>
            </a:solidFill>
            <a:ln>
              <a:solidFill>
                <a:schemeClr val="bg1"/>
              </a:solidFill>
            </a:ln>
            <a:effectLst/>
          </c:spPr>
          <c:invertIfNegative val="0"/>
          <c:cat>
            <c:strRef>
              <c:f>Examples!$A$36:$A$41</c:f>
              <c:strCache>
                <c:ptCount val="6"/>
                <c:pt idx="0">
                  <c:v>1975-76</c:v>
                </c:pt>
                <c:pt idx="1">
                  <c:v>1983-84</c:v>
                </c:pt>
                <c:pt idx="2">
                  <c:v>1988-89</c:v>
                </c:pt>
                <c:pt idx="3">
                  <c:v>1993-94</c:v>
                </c:pt>
                <c:pt idx="4">
                  <c:v>1996-97</c:v>
                </c:pt>
                <c:pt idx="5">
                  <c:v>1997-98</c:v>
                </c:pt>
              </c:strCache>
            </c:strRef>
          </c:cat>
          <c:val>
            <c:numRef>
              <c:f>Examples!$D$36:$D$41</c:f>
              <c:numCache>
                <c:formatCode>General</c:formatCode>
                <c:ptCount val="6"/>
                <c:pt idx="0">
                  <c:v>21.56</c:v>
                </c:pt>
                <c:pt idx="1">
                  <c:v>21.6</c:v>
                </c:pt>
                <c:pt idx="2">
                  <c:v>18.350000000000001</c:v>
                </c:pt>
                <c:pt idx="3">
                  <c:v>21.6</c:v>
                </c:pt>
                <c:pt idx="4">
                  <c:v>23.98</c:v>
                </c:pt>
                <c:pt idx="5">
                  <c:v>21.6</c:v>
                </c:pt>
              </c:numCache>
            </c:numRef>
          </c:val>
          <c:extLst>
            <c:ext xmlns:c16="http://schemas.microsoft.com/office/drawing/2014/chart" uri="{C3380CC4-5D6E-409C-BE32-E72D297353CC}">
              <c16:uniqueId val="{00000002-7A43-4CDD-8234-77D40EA04216}"/>
            </c:ext>
          </c:extLst>
        </c:ser>
        <c:dLbls>
          <c:showLegendKey val="0"/>
          <c:showVal val="0"/>
          <c:showCatName val="0"/>
          <c:showSerName val="0"/>
          <c:showPercent val="0"/>
          <c:showBubbleSize val="0"/>
        </c:dLbls>
        <c:gapWidth val="150"/>
        <c:axId val="511144336"/>
        <c:axId val="511146688"/>
        <c:extLst>
          <c:ext xmlns:c15="http://schemas.microsoft.com/office/drawing/2012/chart" uri="{02D57815-91ED-43cb-92C2-25804820EDAC}">
            <c15:filteredBarSeries>
              <c15:ser>
                <c:idx val="3"/>
                <c:order val="3"/>
                <c:tx>
                  <c:strRef>
                    <c:extLst>
                      <c:ext uri="{02D57815-91ED-43cb-92C2-25804820EDAC}">
                        <c15:formulaRef>
                          <c15:sqref>Examples!$E$35</c15:sqref>
                        </c15:formulaRef>
                      </c:ext>
                    </c:extLst>
                    <c:strCache>
                      <c:ptCount val="1"/>
                      <c:pt idx="0">
                        <c:v>Data 4</c:v>
                      </c:pt>
                    </c:strCache>
                  </c:strRef>
                </c:tx>
                <c:spPr>
                  <a:solidFill>
                    <a:srgbClr val="66C5EA"/>
                  </a:solidFill>
                  <a:ln>
                    <a:solidFill>
                      <a:schemeClr val="bg1"/>
                    </a:solidFill>
                  </a:ln>
                  <a:effectLst/>
                </c:spPr>
                <c:invertIfNegative val="0"/>
                <c:cat>
                  <c:strRef>
                    <c:extLst>
                      <c:ext uri="{02D57815-91ED-43cb-92C2-25804820EDAC}">
                        <c15:formulaRef>
                          <c15:sqref>Examples!$A$36:$A$41</c15:sqref>
                        </c15:formulaRef>
                      </c:ext>
                    </c:extLst>
                    <c:strCache>
                      <c:ptCount val="6"/>
                      <c:pt idx="0">
                        <c:v>1975-76</c:v>
                      </c:pt>
                      <c:pt idx="1">
                        <c:v>1983-84</c:v>
                      </c:pt>
                      <c:pt idx="2">
                        <c:v>1988-89</c:v>
                      </c:pt>
                      <c:pt idx="3">
                        <c:v>1993-94</c:v>
                      </c:pt>
                      <c:pt idx="4">
                        <c:v>1996-97</c:v>
                      </c:pt>
                      <c:pt idx="5">
                        <c:v>1997-98</c:v>
                      </c:pt>
                    </c:strCache>
                  </c:strRef>
                </c:cat>
                <c:val>
                  <c:numRef>
                    <c:extLst>
                      <c:ext uri="{02D57815-91ED-43cb-92C2-25804820EDAC}">
                        <c15:formulaRef>
                          <c15:sqref>Examples!$E$36:$E$41</c15:sqref>
                        </c15:formulaRef>
                      </c:ext>
                    </c:extLst>
                    <c:numCache>
                      <c:formatCode>General</c:formatCode>
                      <c:ptCount val="6"/>
                      <c:pt idx="0">
                        <c:v>5.36</c:v>
                      </c:pt>
                      <c:pt idx="1">
                        <c:v>7.01</c:v>
                      </c:pt>
                      <c:pt idx="2">
                        <c:v>6.33</c:v>
                      </c:pt>
                      <c:pt idx="3">
                        <c:v>7.01</c:v>
                      </c:pt>
                      <c:pt idx="4">
                        <c:v>7</c:v>
                      </c:pt>
                      <c:pt idx="5">
                        <c:v>7.01</c:v>
                      </c:pt>
                    </c:numCache>
                  </c:numRef>
                </c:val>
                <c:extLst>
                  <c:ext xmlns:c16="http://schemas.microsoft.com/office/drawing/2014/chart" uri="{C3380CC4-5D6E-409C-BE32-E72D297353CC}">
                    <c16:uniqueId val="{00000003-7A43-4CDD-8234-77D40EA0421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Examples!$F$35</c15:sqref>
                        </c15:formulaRef>
                      </c:ext>
                    </c:extLst>
                    <c:strCache>
                      <c:ptCount val="1"/>
                      <c:pt idx="0">
                        <c:v>Data 5</c:v>
                      </c:pt>
                    </c:strCache>
                  </c:strRef>
                </c:tx>
                <c:spPr>
                  <a:solidFill>
                    <a:srgbClr val="0352A1"/>
                  </a:solidFill>
                  <a:ln>
                    <a:solidFill>
                      <a:schemeClr val="bg1"/>
                    </a:solidFill>
                  </a:ln>
                  <a:effectLst/>
                </c:spPr>
                <c:invertIfNegative val="0"/>
                <c:cat>
                  <c:strRef>
                    <c:extLst xmlns:c15="http://schemas.microsoft.com/office/drawing/2012/chart">
                      <c:ext xmlns:c15="http://schemas.microsoft.com/office/drawing/2012/chart" uri="{02D57815-91ED-43cb-92C2-25804820EDAC}">
                        <c15:formulaRef>
                          <c15:sqref>Examples!$A$36:$A$41</c15:sqref>
                        </c15:formulaRef>
                      </c:ext>
                    </c:extLst>
                    <c:strCache>
                      <c:ptCount val="6"/>
                      <c:pt idx="0">
                        <c:v>1975-76</c:v>
                      </c:pt>
                      <c:pt idx="1">
                        <c:v>1983-84</c:v>
                      </c:pt>
                      <c:pt idx="2">
                        <c:v>1988-89</c:v>
                      </c:pt>
                      <c:pt idx="3">
                        <c:v>1993-94</c:v>
                      </c:pt>
                      <c:pt idx="4">
                        <c:v>1996-97</c:v>
                      </c:pt>
                      <c:pt idx="5">
                        <c:v>1997-98</c:v>
                      </c:pt>
                    </c:strCache>
                  </c:strRef>
                </c:cat>
                <c:val>
                  <c:numRef>
                    <c:extLst xmlns:c15="http://schemas.microsoft.com/office/drawing/2012/chart">
                      <c:ext xmlns:c15="http://schemas.microsoft.com/office/drawing/2012/chart" uri="{02D57815-91ED-43cb-92C2-25804820EDAC}">
                        <c15:formulaRef>
                          <c15:sqref>Examples!$F$36:$F$41</c15:sqref>
                        </c15:formulaRef>
                      </c:ext>
                    </c:extLst>
                    <c:numCache>
                      <c:formatCode>General</c:formatCode>
                      <c:ptCount val="6"/>
                      <c:pt idx="0">
                        <c:v>3.01</c:v>
                      </c:pt>
                      <c:pt idx="1">
                        <c:v>3.36</c:v>
                      </c:pt>
                      <c:pt idx="2">
                        <c:v>2.63</c:v>
                      </c:pt>
                      <c:pt idx="3">
                        <c:v>2.72</c:v>
                      </c:pt>
                      <c:pt idx="4">
                        <c:v>2.57</c:v>
                      </c:pt>
                      <c:pt idx="5">
                        <c:v>3.36</c:v>
                      </c:pt>
                    </c:numCache>
                  </c:numRef>
                </c:val>
                <c:extLst xmlns:c15="http://schemas.microsoft.com/office/drawing/2012/chart">
                  <c:ext xmlns:c16="http://schemas.microsoft.com/office/drawing/2014/chart" uri="{C3380CC4-5D6E-409C-BE32-E72D297353CC}">
                    <c16:uniqueId val="{00000004-7A43-4CDD-8234-77D40EA04216}"/>
                  </c:ext>
                </c:extLst>
              </c15:ser>
            </c15:filteredBarSeries>
          </c:ext>
        </c:extLst>
      </c:barChart>
      <c:catAx>
        <c:axId val="511144336"/>
        <c:scaling>
          <c:orientation val="maxMin"/>
        </c:scaling>
        <c:delete val="0"/>
        <c:axPos val="l"/>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11146688"/>
        <c:crosses val="autoZero"/>
        <c:auto val="1"/>
        <c:lblAlgn val="ctr"/>
        <c:lblOffset val="100"/>
        <c:tickLblSkip val="1"/>
        <c:tickMarkSkip val="1"/>
        <c:noMultiLvlLbl val="0"/>
      </c:catAx>
      <c:valAx>
        <c:axId val="511146688"/>
        <c:scaling>
          <c:orientation val="minMax"/>
        </c:scaling>
        <c:delete val="0"/>
        <c:axPos val="b"/>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511144336"/>
        <c:crosses val="max"/>
        <c:crossBetween val="between"/>
      </c:valAx>
      <c:spPr>
        <a:noFill/>
        <a:ln w="25400">
          <a:noFill/>
        </a:ln>
        <a:effectLst/>
      </c:spPr>
    </c:plotArea>
    <c:legend>
      <c:legendPos val="b"/>
      <c:layout>
        <c:manualLayout>
          <c:xMode val="edge"/>
          <c:yMode val="edge"/>
          <c:x val="1.5945286408875391E-2"/>
          <c:y val="0.88348256140323012"/>
          <c:w val="0.98372745631183645"/>
          <c:h val="8.4666883740876928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Current</a:t>
            </a:r>
            <a:r>
              <a:rPr lang="en-AU" baseline="0"/>
              <a:t> v Estimates Prices ($2024-25)(excluding GST)</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'Fare optimisation'!$S$24</c:f>
              <c:strCache>
                <c:ptCount val="1"/>
                <c:pt idx="0">
                  <c:v>Current price (p) ($, $2024-25)</c:v>
                </c:pt>
              </c:strCache>
            </c:strRef>
          </c:tx>
          <c:spPr>
            <a:solidFill>
              <a:srgbClr val="99CCFF"/>
            </a:solidFill>
            <a:ln>
              <a:noFill/>
            </a:ln>
            <a:effectLst/>
          </c:spPr>
          <c:invertIfNegative val="0"/>
          <c:cat>
            <c:strRef>
              <c:f>'Fare optimisation'!$R$25:$R$56</c:f>
              <c:strCache>
                <c:ptCount val="24"/>
                <c:pt idx="0">
                  <c:v>Rail Peak 2km</c:v>
                </c:pt>
                <c:pt idx="1">
                  <c:v>Rail Peak 5km</c:v>
                </c:pt>
                <c:pt idx="2">
                  <c:v>Rail Peak 15km</c:v>
                </c:pt>
                <c:pt idx="3">
                  <c:v>Rail Peak 25km</c:v>
                </c:pt>
                <c:pt idx="4">
                  <c:v>Rail Off-peak 2km</c:v>
                </c:pt>
                <c:pt idx="5">
                  <c:v>Rail Off-peak 5km</c:v>
                </c:pt>
                <c:pt idx="6">
                  <c:v>Rail Off-peak 15km</c:v>
                </c:pt>
                <c:pt idx="7">
                  <c:v>Rail Off-peak 25km</c:v>
                </c:pt>
                <c:pt idx="8">
                  <c:v>Bus Peak 2km</c:v>
                </c:pt>
                <c:pt idx="9">
                  <c:v>Bus Peak 5km</c:v>
                </c:pt>
                <c:pt idx="10">
                  <c:v>Bus Peak 15km</c:v>
                </c:pt>
                <c:pt idx="11">
                  <c:v>Bus Peak 25km</c:v>
                </c:pt>
                <c:pt idx="12">
                  <c:v>Bus Off-peak 2km</c:v>
                </c:pt>
                <c:pt idx="13">
                  <c:v>Bus Off-peak 5km</c:v>
                </c:pt>
                <c:pt idx="14">
                  <c:v>Bus Off-peak 15km</c:v>
                </c:pt>
                <c:pt idx="15">
                  <c:v>Bus Off-peak 25km</c:v>
                </c:pt>
                <c:pt idx="16">
                  <c:v>Ferry Peak 2km</c:v>
                </c:pt>
                <c:pt idx="17">
                  <c:v>Ferry Peak 5km</c:v>
                </c:pt>
                <c:pt idx="18">
                  <c:v>Ferry Off-peak 2km</c:v>
                </c:pt>
                <c:pt idx="19">
                  <c:v>Ferry Off-peak 5km</c:v>
                </c:pt>
                <c:pt idx="20">
                  <c:v>Light Rail Peak 2km</c:v>
                </c:pt>
                <c:pt idx="21">
                  <c:v>Light Rail Peak 5km</c:v>
                </c:pt>
                <c:pt idx="22">
                  <c:v>Light Rail Off-peak 2km</c:v>
                </c:pt>
                <c:pt idx="23">
                  <c:v>Light Rail Off-peak 5km</c:v>
                </c:pt>
              </c:strCache>
            </c:strRef>
          </c:cat>
          <c:val>
            <c:numRef>
              <c:f>'Fare optimisation'!$S$25:$S$56</c:f>
              <c:numCache>
                <c:formatCode>0.00</c:formatCode>
                <c:ptCount val="24"/>
                <c:pt idx="0">
                  <c:v>3.82</c:v>
                </c:pt>
                <c:pt idx="1">
                  <c:v>3.82</c:v>
                </c:pt>
                <c:pt idx="2">
                  <c:v>4.75</c:v>
                </c:pt>
                <c:pt idx="3">
                  <c:v>5.46</c:v>
                </c:pt>
                <c:pt idx="4">
                  <c:v>2.6739999999999999</c:v>
                </c:pt>
                <c:pt idx="5">
                  <c:v>2.6739999999999999</c:v>
                </c:pt>
                <c:pt idx="6">
                  <c:v>3.3249999999999997</c:v>
                </c:pt>
                <c:pt idx="7">
                  <c:v>3.8219999999999996</c:v>
                </c:pt>
                <c:pt idx="8">
                  <c:v>2.91</c:v>
                </c:pt>
                <c:pt idx="9">
                  <c:v>3.96</c:v>
                </c:pt>
                <c:pt idx="10">
                  <c:v>5.09</c:v>
                </c:pt>
                <c:pt idx="11">
                  <c:v>5.09</c:v>
                </c:pt>
                <c:pt idx="12">
                  <c:v>2.0369999999999999</c:v>
                </c:pt>
                <c:pt idx="13">
                  <c:v>2.7720000000000002</c:v>
                </c:pt>
                <c:pt idx="14">
                  <c:v>3.5629999999999997</c:v>
                </c:pt>
                <c:pt idx="15">
                  <c:v>3.5629999999999997</c:v>
                </c:pt>
                <c:pt idx="16">
                  <c:v>6.48</c:v>
                </c:pt>
                <c:pt idx="17">
                  <c:v>6.48</c:v>
                </c:pt>
                <c:pt idx="18">
                  <c:v>6.48</c:v>
                </c:pt>
                <c:pt idx="19">
                  <c:v>6.48</c:v>
                </c:pt>
                <c:pt idx="20">
                  <c:v>2.91</c:v>
                </c:pt>
                <c:pt idx="21">
                  <c:v>3.96</c:v>
                </c:pt>
                <c:pt idx="22">
                  <c:v>2.0369999999999999</c:v>
                </c:pt>
                <c:pt idx="23">
                  <c:v>2.7720000000000002</c:v>
                </c:pt>
              </c:numCache>
            </c:numRef>
          </c:val>
          <c:extLst>
            <c:ext xmlns:c16="http://schemas.microsoft.com/office/drawing/2014/chart" uri="{C3380CC4-5D6E-409C-BE32-E72D297353CC}">
              <c16:uniqueId val="{00000000-32B8-4026-8E0C-DAE25A096CD1}"/>
            </c:ext>
          </c:extLst>
        </c:ser>
        <c:ser>
          <c:idx val="1"/>
          <c:order val="1"/>
          <c:tx>
            <c:strRef>
              <c:f>'Fare optimisation'!$T$24</c:f>
              <c:strCache>
                <c:ptCount val="1"/>
                <c:pt idx="0">
                  <c:v>Estimated price (p*) ($, $2024-25)</c:v>
                </c:pt>
              </c:strCache>
            </c:strRef>
          </c:tx>
          <c:spPr>
            <a:solidFill>
              <a:srgbClr val="012D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'Fare optimisation'!$R$25:$R$56</c:f>
              <c:strCache>
                <c:ptCount val="24"/>
                <c:pt idx="0">
                  <c:v>Rail Peak 2km</c:v>
                </c:pt>
                <c:pt idx="1">
                  <c:v>Rail Peak 5km</c:v>
                </c:pt>
                <c:pt idx="2">
                  <c:v>Rail Peak 15km</c:v>
                </c:pt>
                <c:pt idx="3">
                  <c:v>Rail Peak 25km</c:v>
                </c:pt>
                <c:pt idx="4">
                  <c:v>Rail Off-peak 2km</c:v>
                </c:pt>
                <c:pt idx="5">
                  <c:v>Rail Off-peak 5km</c:v>
                </c:pt>
                <c:pt idx="6">
                  <c:v>Rail Off-peak 15km</c:v>
                </c:pt>
                <c:pt idx="7">
                  <c:v>Rail Off-peak 25km</c:v>
                </c:pt>
                <c:pt idx="8">
                  <c:v>Bus Peak 2km</c:v>
                </c:pt>
                <c:pt idx="9">
                  <c:v>Bus Peak 5km</c:v>
                </c:pt>
                <c:pt idx="10">
                  <c:v>Bus Peak 15km</c:v>
                </c:pt>
                <c:pt idx="11">
                  <c:v>Bus Peak 25km</c:v>
                </c:pt>
                <c:pt idx="12">
                  <c:v>Bus Off-peak 2km</c:v>
                </c:pt>
                <c:pt idx="13">
                  <c:v>Bus Off-peak 5km</c:v>
                </c:pt>
                <c:pt idx="14">
                  <c:v>Bus Off-peak 15km</c:v>
                </c:pt>
                <c:pt idx="15">
                  <c:v>Bus Off-peak 25km</c:v>
                </c:pt>
                <c:pt idx="16">
                  <c:v>Ferry Peak 2km</c:v>
                </c:pt>
                <c:pt idx="17">
                  <c:v>Ferry Peak 5km</c:v>
                </c:pt>
                <c:pt idx="18">
                  <c:v>Ferry Off-peak 2km</c:v>
                </c:pt>
                <c:pt idx="19">
                  <c:v>Ferry Off-peak 5km</c:v>
                </c:pt>
                <c:pt idx="20">
                  <c:v>Light Rail Peak 2km</c:v>
                </c:pt>
                <c:pt idx="21">
                  <c:v>Light Rail Peak 5km</c:v>
                </c:pt>
                <c:pt idx="22">
                  <c:v>Light Rail Off-peak 2km</c:v>
                </c:pt>
                <c:pt idx="23">
                  <c:v>Light Rail Off-peak 5km</c:v>
                </c:pt>
              </c:strCache>
            </c:strRef>
          </c:cat>
          <c:val>
            <c:numRef>
              <c:f>'Fare optimisation'!$T$25:$T$56</c:f>
              <c:numCache>
                <c:formatCode>0.00</c:formatCode>
                <c:ptCount val="24"/>
                <c:pt idx="0">
                  <c:v>2.3996944023391267</c:v>
                </c:pt>
                <c:pt idx="1">
                  <c:v>3.3990049606039543</c:v>
                </c:pt>
                <c:pt idx="2">
                  <c:v>6.841872458332583</c:v>
                </c:pt>
                <c:pt idx="3">
                  <c:v>10.173059263620615</c:v>
                </c:pt>
                <c:pt idx="4">
                  <c:v>4.9792267702619131E-2</c:v>
                </c:pt>
                <c:pt idx="5">
                  <c:v>0.82327277033360469</c:v>
                </c:pt>
                <c:pt idx="6">
                  <c:v>3.494159659331149</c:v>
                </c:pt>
                <c:pt idx="7">
                  <c:v>6.1217934556489615</c:v>
                </c:pt>
                <c:pt idx="8">
                  <c:v>1.9086790048162783</c:v>
                </c:pt>
                <c:pt idx="9">
                  <c:v>5.4397413980835481</c:v>
                </c:pt>
                <c:pt idx="10">
                  <c:v>16.573350960699077</c:v>
                </c:pt>
                <c:pt idx="11">
                  <c:v>27.46468692288693</c:v>
                </c:pt>
                <c:pt idx="12">
                  <c:v>1.1338552113574578</c:v>
                </c:pt>
                <c:pt idx="13">
                  <c:v>4.2359820885625394</c:v>
                </c:pt>
                <c:pt idx="14">
                  <c:v>14.262213738698847</c:v>
                </c:pt>
                <c:pt idx="15">
                  <c:v>24.281613330001232</c:v>
                </c:pt>
                <c:pt idx="16">
                  <c:v>3.4463950935010983</c:v>
                </c:pt>
                <c:pt idx="17">
                  <c:v>9.0132739547282235</c:v>
                </c:pt>
                <c:pt idx="18">
                  <c:v>2.8962882034020976</c:v>
                </c:pt>
                <c:pt idx="19">
                  <c:v>7.2972824076545626</c:v>
                </c:pt>
                <c:pt idx="20">
                  <c:v>1.1441782857265446</c:v>
                </c:pt>
                <c:pt idx="21">
                  <c:v>4.9820443010008608</c:v>
                </c:pt>
                <c:pt idx="22">
                  <c:v>0.68541632367283911</c:v>
                </c:pt>
                <c:pt idx="23">
                  <c:v>2.8531174237430115</c:v>
                </c:pt>
              </c:numCache>
            </c:numRef>
          </c:val>
          <c:extLst>
            <c:ext xmlns:c16="http://schemas.microsoft.com/office/drawing/2014/chart" uri="{C3380CC4-5D6E-409C-BE32-E72D297353CC}">
              <c16:uniqueId val="{00000001-32B8-4026-8E0C-DAE25A096CD1}"/>
            </c:ext>
          </c:extLst>
        </c:ser>
        <c:dLbls>
          <c:showLegendKey val="0"/>
          <c:showVal val="0"/>
          <c:showCatName val="0"/>
          <c:showSerName val="0"/>
          <c:showPercent val="0"/>
          <c:showBubbleSize val="0"/>
        </c:dLbls>
        <c:gapWidth val="219"/>
        <c:overlap val="-27"/>
        <c:axId val="994377776"/>
        <c:axId val="994378136"/>
      </c:barChart>
      <c:catAx>
        <c:axId val="99437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378136"/>
        <c:crosses val="autoZero"/>
        <c:auto val="1"/>
        <c:lblAlgn val="ctr"/>
        <c:lblOffset val="100"/>
        <c:noMultiLvlLbl val="0"/>
      </c:catAx>
      <c:valAx>
        <c:axId val="9943781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37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12141752415094E-2"/>
          <c:y val="6.7524354290904406E-2"/>
          <c:w val="0.89397748137027266"/>
          <c:h val="0.70579343208079159"/>
        </c:manualLayout>
      </c:layout>
      <c:barChart>
        <c:barDir val="col"/>
        <c:grouping val="clustered"/>
        <c:varyColors val="0"/>
        <c:ser>
          <c:idx val="1"/>
          <c:order val="0"/>
          <c:tx>
            <c:strRef>
              <c:f>Examples!$X$35</c:f>
              <c:strCache>
                <c:ptCount val="1"/>
                <c:pt idx="0">
                  <c:v>Blue</c:v>
                </c:pt>
              </c:strCache>
            </c:strRef>
          </c:tx>
          <c:spPr>
            <a:solidFill>
              <a:schemeClr val="accent6"/>
            </a:solidFill>
            <a:ln>
              <a:noFill/>
            </a:ln>
            <a:effectLst/>
          </c:spPr>
          <c:invertIfNegative val="0"/>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Examples!$X$36:$X$43</c:f>
              <c:numCache>
                <c:formatCode>General</c:formatCode>
                <c:ptCount val="8"/>
                <c:pt idx="0">
                  <c:v>33.19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AAE3-42C6-9C70-8AF148809318}"/>
            </c:ext>
          </c:extLst>
        </c:ser>
        <c:ser>
          <c:idx val="0"/>
          <c:order val="1"/>
          <c:tx>
            <c:strRef>
              <c:f>Examples!$Y$35</c:f>
              <c:strCache>
                <c:ptCount val="1"/>
                <c:pt idx="0">
                  <c:v>Grey</c:v>
                </c:pt>
              </c:strCache>
            </c:strRef>
          </c:tx>
          <c:spPr>
            <a:solidFill>
              <a:schemeClr val="accent5"/>
            </a:solidFill>
            <a:ln>
              <a:noFill/>
            </a:ln>
            <a:effectLst/>
          </c:spPr>
          <c:invertIfNegative val="0"/>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Examples!$Y$36:$Y$43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AAE3-42C6-9C70-8AF148809318}"/>
            </c:ext>
          </c:extLst>
        </c:ser>
        <c:dLbls>
          <c:showLegendKey val="0"/>
          <c:showVal val="0"/>
          <c:showCatName val="0"/>
          <c:showSerName val="0"/>
          <c:showPercent val="0"/>
          <c:showBubbleSize val="0"/>
        </c:dLbls>
        <c:gapWidth val="150"/>
        <c:axId val="509225688"/>
        <c:axId val="509226080"/>
      </c:barChart>
      <c:lineChart>
        <c:grouping val="standard"/>
        <c:varyColors val="0"/>
        <c:ser>
          <c:idx val="2"/>
          <c:order val="2"/>
          <c:tx>
            <c:strRef>
              <c:f>Examples!$Z$35</c:f>
              <c:strCache>
                <c:ptCount val="1"/>
                <c:pt idx="0">
                  <c:v>Turquoise</c:v>
                </c:pt>
              </c:strCache>
            </c:strRef>
          </c:tx>
          <c:spPr>
            <a:ln w="25400" cap="rnd" cmpd="sng" algn="ctr">
              <a:solidFill>
                <a:srgbClr val="66C5EA"/>
              </a:solidFill>
              <a:prstDash val="solid"/>
              <a:round/>
            </a:ln>
            <a:effectLst/>
          </c:spPr>
          <c:marker>
            <c:symbol val="none"/>
          </c:marker>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Examples!$Z$36:$Z$43</c:f>
              <c:numCache>
                <c:formatCode>General</c:formatCode>
                <c:ptCount val="8"/>
                <c:pt idx="0">
                  <c:v>21.56</c:v>
                </c:pt>
                <c:pt idx="1">
                  <c:v>21.6</c:v>
                </c:pt>
                <c:pt idx="2">
                  <c:v>18.350000000000001</c:v>
                </c:pt>
                <c:pt idx="3">
                  <c:v>21.6</c:v>
                </c:pt>
                <c:pt idx="4">
                  <c:v>23.98</c:v>
                </c:pt>
                <c:pt idx="5">
                  <c:v>21.6</c:v>
                </c:pt>
                <c:pt idx="6">
                  <c:v>21.6</c:v>
                </c:pt>
                <c:pt idx="7">
                  <c:v>26</c:v>
                </c:pt>
              </c:numCache>
            </c:numRef>
          </c:val>
          <c:smooth val="0"/>
          <c:extLst>
            <c:ext xmlns:c16="http://schemas.microsoft.com/office/drawing/2014/chart" uri="{C3380CC4-5D6E-409C-BE32-E72D297353CC}">
              <c16:uniqueId val="{00000002-AAE3-42C6-9C70-8AF148809318}"/>
            </c:ext>
          </c:extLst>
        </c:ser>
        <c:ser>
          <c:idx val="3"/>
          <c:order val="3"/>
          <c:tx>
            <c:strRef>
              <c:f>Examples!$AA$35</c:f>
              <c:strCache>
                <c:ptCount val="1"/>
                <c:pt idx="0">
                  <c:v>Grey-80%</c:v>
                </c:pt>
              </c:strCache>
            </c:strRef>
          </c:tx>
          <c:spPr>
            <a:ln w="25400" cap="rnd" cmpd="sng" algn="ctr">
              <a:solidFill>
                <a:srgbClr val="5DA4C1"/>
              </a:solidFill>
              <a:prstDash val="solid"/>
              <a:round/>
            </a:ln>
            <a:effectLst/>
          </c:spPr>
          <c:marker>
            <c:symbol val="none"/>
          </c:marker>
          <c:cat>
            <c:strRef>
              <c:f>Examples!$W$36:$W$43</c:f>
              <c:strCache>
                <c:ptCount val="8"/>
                <c:pt idx="0">
                  <c:v>1975-76</c:v>
                </c:pt>
                <c:pt idx="1">
                  <c:v>1983-84</c:v>
                </c:pt>
                <c:pt idx="2">
                  <c:v>1988-89</c:v>
                </c:pt>
                <c:pt idx="3">
                  <c:v>1993-94</c:v>
                </c:pt>
                <c:pt idx="4">
                  <c:v>1996-97</c:v>
                </c:pt>
                <c:pt idx="5">
                  <c:v>1997-98</c:v>
                </c:pt>
                <c:pt idx="6">
                  <c:v>1998-99</c:v>
                </c:pt>
                <c:pt idx="7">
                  <c:v>1999-00</c:v>
                </c:pt>
              </c:strCache>
            </c:strRef>
          </c:cat>
          <c:val>
            <c:numRef>
              <c:f>Examples!$AA$36:$AA$43</c:f>
              <c:numCache>
                <c:formatCode>General</c:formatCode>
                <c:ptCount val="8"/>
                <c:pt idx="0">
                  <c:v>5.36</c:v>
                </c:pt>
                <c:pt idx="1">
                  <c:v>7.01</c:v>
                </c:pt>
                <c:pt idx="2">
                  <c:v>6.33</c:v>
                </c:pt>
                <c:pt idx="3">
                  <c:v>7.01</c:v>
                </c:pt>
                <c:pt idx="4">
                  <c:v>7</c:v>
                </c:pt>
                <c:pt idx="5">
                  <c:v>7.01</c:v>
                </c:pt>
                <c:pt idx="6">
                  <c:v>7.01</c:v>
                </c:pt>
                <c:pt idx="7">
                  <c:v>8</c:v>
                </c:pt>
              </c:numCache>
            </c:numRef>
          </c:val>
          <c:smooth val="0"/>
          <c:extLst>
            <c:ext xmlns:c16="http://schemas.microsoft.com/office/drawing/2014/chart" uri="{C3380CC4-5D6E-409C-BE32-E72D297353CC}">
              <c16:uniqueId val="{00000003-AAE3-42C6-9C70-8AF148809318}"/>
            </c:ext>
          </c:extLst>
        </c:ser>
        <c:dLbls>
          <c:showLegendKey val="0"/>
          <c:showVal val="0"/>
          <c:showCatName val="0"/>
          <c:showSerName val="0"/>
          <c:showPercent val="0"/>
          <c:showBubbleSize val="0"/>
        </c:dLbls>
        <c:marker val="1"/>
        <c:smooth val="0"/>
        <c:axId val="509226472"/>
        <c:axId val="509224512"/>
      </c:lineChart>
      <c:catAx>
        <c:axId val="509225688"/>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crossAx val="509226080"/>
        <c:crosses val="autoZero"/>
        <c:auto val="0"/>
        <c:lblAlgn val="ctr"/>
        <c:lblOffset val="100"/>
        <c:tickLblSkip val="1"/>
        <c:tickMarkSkip val="1"/>
        <c:noMultiLvlLbl val="0"/>
      </c:catAx>
      <c:valAx>
        <c:axId val="50922608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crossAx val="509225688"/>
        <c:crosses val="autoZero"/>
        <c:crossBetween val="between"/>
      </c:valAx>
      <c:catAx>
        <c:axId val="509226472"/>
        <c:scaling>
          <c:orientation val="minMax"/>
        </c:scaling>
        <c:delete val="1"/>
        <c:axPos val="b"/>
        <c:numFmt formatCode="General" sourceLinked="1"/>
        <c:majorTickMark val="out"/>
        <c:minorTickMark val="none"/>
        <c:tickLblPos val="nextTo"/>
        <c:crossAx val="509224512"/>
        <c:crosses val="autoZero"/>
        <c:auto val="0"/>
        <c:lblAlgn val="ctr"/>
        <c:lblOffset val="100"/>
        <c:noMultiLvlLbl val="0"/>
      </c:catAx>
      <c:valAx>
        <c:axId val="509224512"/>
        <c:scaling>
          <c:orientation val="minMax"/>
        </c:scaling>
        <c:delete val="0"/>
        <c:axPos val="r"/>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crossAx val="509226472"/>
        <c:crosses val="max"/>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Myriad Pro"/>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Myriad Pro"/>
        </a:defRPr>
      </a:pPr>
      <a:endParaRPr lang="en-US"/>
    </a:p>
  </c:txPr>
  <c:printSettings>
    <c:headerFooter alignWithMargins="0">
      <c:oddHeader>&amp;A</c:oddHeader>
      <c:oddFooter>Page &amp;P</c:oddFooter>
    </c:headerFooter>
    <c:pageMargins b="1" l="0.75" r="0.75" t="1" header="0.5" footer="0.5"/>
    <c:pageSetup paperSize="9" orientation="portrait" horizontalDpi="-3"/>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277939910925902E-2"/>
          <c:y val="6.0836501901140684E-2"/>
          <c:w val="0.92789382162936673"/>
          <c:h val="0.69840922846451958"/>
        </c:manualLayout>
      </c:layout>
      <c:barChart>
        <c:barDir val="col"/>
        <c:grouping val="percentStacked"/>
        <c:varyColors val="0"/>
        <c:ser>
          <c:idx val="0"/>
          <c:order val="0"/>
          <c:tx>
            <c:strRef>
              <c:f>Examples!$B$35</c:f>
              <c:strCache>
                <c:ptCount val="1"/>
                <c:pt idx="0">
                  <c:v>Data 1</c:v>
                </c:pt>
              </c:strCache>
            </c:strRef>
          </c:tx>
          <c:spPr>
            <a:solidFill>
              <a:srgbClr val="99A4B7"/>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Examples!$B$36:$B$43</c:f>
              <c:numCache>
                <c:formatCode>General</c:formatCode>
                <c:ptCount val="8"/>
                <c:pt idx="0">
                  <c:v>36.19</c:v>
                </c:pt>
                <c:pt idx="1">
                  <c:v>39.39</c:v>
                </c:pt>
                <c:pt idx="2">
                  <c:v>42.78</c:v>
                </c:pt>
                <c:pt idx="3">
                  <c:v>42.13</c:v>
                </c:pt>
                <c:pt idx="4">
                  <c:v>41.69</c:v>
                </c:pt>
                <c:pt idx="5">
                  <c:v>39.39</c:v>
                </c:pt>
                <c:pt idx="6">
                  <c:v>42.13</c:v>
                </c:pt>
                <c:pt idx="7">
                  <c:v>45</c:v>
                </c:pt>
              </c:numCache>
            </c:numRef>
          </c:val>
          <c:extLst>
            <c:ext xmlns:c16="http://schemas.microsoft.com/office/drawing/2014/chart" uri="{C3380CC4-5D6E-409C-BE32-E72D297353CC}">
              <c16:uniqueId val="{00000000-AD81-4723-9E25-438731FF5873}"/>
            </c:ext>
          </c:extLst>
        </c:ser>
        <c:ser>
          <c:idx val="1"/>
          <c:order val="1"/>
          <c:tx>
            <c:strRef>
              <c:f>Examples!$C$35</c:f>
              <c:strCache>
                <c:ptCount val="1"/>
                <c:pt idx="0">
                  <c:v>Data 2</c:v>
                </c:pt>
              </c:strCache>
            </c:strRef>
          </c:tx>
          <c:spPr>
            <a:solidFill>
              <a:srgbClr val="77869F"/>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Examples!$C$36:$C$43</c:f>
              <c:numCache>
                <c:formatCode>General</c:formatCode>
                <c:ptCount val="8"/>
                <c:pt idx="0">
                  <c:v>36.880000000000003</c:v>
                </c:pt>
                <c:pt idx="1">
                  <c:v>32.020000000000003</c:v>
                </c:pt>
                <c:pt idx="2">
                  <c:v>29.91</c:v>
                </c:pt>
                <c:pt idx="3">
                  <c:v>26.53</c:v>
                </c:pt>
                <c:pt idx="4">
                  <c:v>24.76</c:v>
                </c:pt>
                <c:pt idx="5">
                  <c:v>32.020000000000003</c:v>
                </c:pt>
                <c:pt idx="6">
                  <c:v>26.53</c:v>
                </c:pt>
                <c:pt idx="7">
                  <c:v>22</c:v>
                </c:pt>
              </c:numCache>
            </c:numRef>
          </c:val>
          <c:extLst>
            <c:ext xmlns:c16="http://schemas.microsoft.com/office/drawing/2014/chart" uri="{C3380CC4-5D6E-409C-BE32-E72D297353CC}">
              <c16:uniqueId val="{00000001-AD81-4723-9E25-438731FF5873}"/>
            </c:ext>
          </c:extLst>
        </c:ser>
        <c:ser>
          <c:idx val="2"/>
          <c:order val="2"/>
          <c:tx>
            <c:strRef>
              <c:f>Examples!$D$35</c:f>
              <c:strCache>
                <c:ptCount val="1"/>
                <c:pt idx="0">
                  <c:v>Data 3</c:v>
                </c:pt>
              </c:strCache>
            </c:strRef>
          </c:tx>
          <c:spPr>
            <a:solidFill>
              <a:srgbClr val="5DA4C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Examples!$D$36:$D$43</c:f>
              <c:numCache>
                <c:formatCode>General</c:formatCode>
                <c:ptCount val="8"/>
                <c:pt idx="0">
                  <c:v>21.56</c:v>
                </c:pt>
                <c:pt idx="1">
                  <c:v>21.6</c:v>
                </c:pt>
                <c:pt idx="2">
                  <c:v>18.350000000000001</c:v>
                </c:pt>
                <c:pt idx="3">
                  <c:v>21.6</c:v>
                </c:pt>
                <c:pt idx="4">
                  <c:v>23.98</c:v>
                </c:pt>
                <c:pt idx="5">
                  <c:v>21.6</c:v>
                </c:pt>
                <c:pt idx="6">
                  <c:v>21.6</c:v>
                </c:pt>
                <c:pt idx="7">
                  <c:v>26</c:v>
                </c:pt>
              </c:numCache>
            </c:numRef>
          </c:val>
          <c:extLst>
            <c:ext xmlns:c16="http://schemas.microsoft.com/office/drawing/2014/chart" uri="{C3380CC4-5D6E-409C-BE32-E72D297353CC}">
              <c16:uniqueId val="{00000002-AD81-4723-9E25-438731FF5873}"/>
            </c:ext>
          </c:extLst>
        </c:ser>
        <c:ser>
          <c:idx val="3"/>
          <c:order val="3"/>
          <c:tx>
            <c:strRef>
              <c:f>Examples!$E$35</c:f>
              <c:strCache>
                <c:ptCount val="1"/>
                <c:pt idx="0">
                  <c:v>Data 4</c:v>
                </c:pt>
              </c:strCache>
            </c:strRef>
          </c:tx>
          <c:spPr>
            <a:solidFill>
              <a:schemeClr val="accent6"/>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Examples!$E$36:$E$43</c:f>
              <c:numCache>
                <c:formatCode>General</c:formatCode>
                <c:ptCount val="8"/>
                <c:pt idx="0">
                  <c:v>5.36</c:v>
                </c:pt>
                <c:pt idx="1">
                  <c:v>7.01</c:v>
                </c:pt>
                <c:pt idx="2">
                  <c:v>6.33</c:v>
                </c:pt>
                <c:pt idx="3">
                  <c:v>7.01</c:v>
                </c:pt>
                <c:pt idx="4">
                  <c:v>7</c:v>
                </c:pt>
                <c:pt idx="5">
                  <c:v>7.01</c:v>
                </c:pt>
                <c:pt idx="6">
                  <c:v>7.01</c:v>
                </c:pt>
                <c:pt idx="7">
                  <c:v>8</c:v>
                </c:pt>
              </c:numCache>
            </c:numRef>
          </c:val>
          <c:extLst>
            <c:ext xmlns:c16="http://schemas.microsoft.com/office/drawing/2014/chart" uri="{C3380CC4-5D6E-409C-BE32-E72D297353CC}">
              <c16:uniqueId val="{00000003-AD81-4723-9E25-438731FF5873}"/>
            </c:ext>
          </c:extLst>
        </c:ser>
        <c:ser>
          <c:idx val="4"/>
          <c:order val="4"/>
          <c:tx>
            <c:strRef>
              <c:f>Examples!$F$35</c:f>
              <c:strCache>
                <c:ptCount val="1"/>
                <c:pt idx="0">
                  <c:v>Data 5</c:v>
                </c:pt>
              </c:strCache>
            </c:strRef>
          </c:tx>
          <c:spPr>
            <a:solidFill>
              <a:srgbClr val="009EDB"/>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Examples!$F$36:$F$43</c:f>
              <c:numCache>
                <c:formatCode>General</c:formatCode>
                <c:ptCount val="8"/>
                <c:pt idx="0">
                  <c:v>3.01</c:v>
                </c:pt>
                <c:pt idx="1">
                  <c:v>3.36</c:v>
                </c:pt>
                <c:pt idx="2">
                  <c:v>2.63</c:v>
                </c:pt>
                <c:pt idx="3">
                  <c:v>2.72</c:v>
                </c:pt>
                <c:pt idx="4">
                  <c:v>2.57</c:v>
                </c:pt>
                <c:pt idx="5">
                  <c:v>3.36</c:v>
                </c:pt>
                <c:pt idx="6">
                  <c:v>2.72</c:v>
                </c:pt>
                <c:pt idx="7">
                  <c:v>2</c:v>
                </c:pt>
              </c:numCache>
            </c:numRef>
          </c:val>
          <c:extLst>
            <c:ext xmlns:c16="http://schemas.microsoft.com/office/drawing/2014/chart" uri="{C3380CC4-5D6E-409C-BE32-E72D297353CC}">
              <c16:uniqueId val="{00000004-AD81-4723-9E25-438731FF5873}"/>
            </c:ext>
          </c:extLst>
        </c:ser>
        <c:ser>
          <c:idx val="5"/>
          <c:order val="5"/>
          <c:tx>
            <c:strRef>
              <c:f>Examples!$G$35</c:f>
              <c:strCache>
                <c:ptCount val="1"/>
                <c:pt idx="0">
                  <c:v>Data 6</c:v>
                </c:pt>
              </c:strCache>
            </c:strRef>
          </c:tx>
          <c:spPr>
            <a:solidFill>
              <a:srgbClr val="66C5EA"/>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Examples!$G$36:$G$43</c:f>
              <c:numCache>
                <c:formatCode>General</c:formatCode>
                <c:ptCount val="8"/>
                <c:pt idx="0">
                  <c:v>10</c:v>
                </c:pt>
                <c:pt idx="1">
                  <c:v>12</c:v>
                </c:pt>
                <c:pt idx="2">
                  <c:v>14</c:v>
                </c:pt>
                <c:pt idx="3">
                  <c:v>16</c:v>
                </c:pt>
                <c:pt idx="4">
                  <c:v>18</c:v>
                </c:pt>
                <c:pt idx="5">
                  <c:v>12</c:v>
                </c:pt>
                <c:pt idx="6">
                  <c:v>16</c:v>
                </c:pt>
                <c:pt idx="7">
                  <c:v>20</c:v>
                </c:pt>
              </c:numCache>
            </c:numRef>
          </c:val>
          <c:extLst>
            <c:ext xmlns:c16="http://schemas.microsoft.com/office/drawing/2014/chart" uri="{C3380CC4-5D6E-409C-BE32-E72D297353CC}">
              <c16:uniqueId val="{00000005-AD81-4723-9E25-438731FF5873}"/>
            </c:ext>
          </c:extLst>
        </c:ser>
        <c:ser>
          <c:idx val="6"/>
          <c:order val="6"/>
          <c:tx>
            <c:strRef>
              <c:f>Examples!$H$35</c:f>
              <c:strCache>
                <c:ptCount val="1"/>
                <c:pt idx="0">
                  <c:v>Data 7</c:v>
                </c:pt>
              </c:strCache>
            </c:strRef>
          </c:tx>
          <c:spPr>
            <a:solidFill>
              <a:srgbClr val="0352A1"/>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Examples!$H$36:$H$43</c:f>
              <c:numCache>
                <c:formatCode>General</c:formatCode>
                <c:ptCount val="8"/>
                <c:pt idx="0">
                  <c:v>5.2</c:v>
                </c:pt>
                <c:pt idx="1">
                  <c:v>6.6</c:v>
                </c:pt>
                <c:pt idx="2">
                  <c:v>5.7</c:v>
                </c:pt>
                <c:pt idx="3">
                  <c:v>3</c:v>
                </c:pt>
                <c:pt idx="4">
                  <c:v>3.5</c:v>
                </c:pt>
                <c:pt idx="5">
                  <c:v>3.8</c:v>
                </c:pt>
                <c:pt idx="6">
                  <c:v>3.2</c:v>
                </c:pt>
                <c:pt idx="7">
                  <c:v>4</c:v>
                </c:pt>
              </c:numCache>
            </c:numRef>
          </c:val>
          <c:extLst>
            <c:ext xmlns:c16="http://schemas.microsoft.com/office/drawing/2014/chart" uri="{C3380CC4-5D6E-409C-BE32-E72D297353CC}">
              <c16:uniqueId val="{00000006-AD81-4723-9E25-438731FF5873}"/>
            </c:ext>
          </c:extLst>
        </c:ser>
        <c:ser>
          <c:idx val="7"/>
          <c:order val="7"/>
          <c:tx>
            <c:strRef>
              <c:f>Examples!$I$35</c:f>
              <c:strCache>
                <c:ptCount val="1"/>
                <c:pt idx="0">
                  <c:v>Data 8</c:v>
                </c:pt>
              </c:strCache>
            </c:strRef>
          </c:tx>
          <c:spPr>
            <a:solidFill>
              <a:srgbClr val="3373B3"/>
            </a:solidFill>
            <a:ln>
              <a:solidFill>
                <a:schemeClr val="bg1"/>
              </a:solidFill>
            </a:ln>
            <a:effectLst/>
          </c:spPr>
          <c:invertIfNegative val="0"/>
          <c:cat>
            <c:strRef>
              <c:f>Examples!$A$36:$A$43</c:f>
              <c:strCache>
                <c:ptCount val="8"/>
                <c:pt idx="0">
                  <c:v>1975-76</c:v>
                </c:pt>
                <c:pt idx="1">
                  <c:v>1983-84</c:v>
                </c:pt>
                <c:pt idx="2">
                  <c:v>1988-89</c:v>
                </c:pt>
                <c:pt idx="3">
                  <c:v>1993-94</c:v>
                </c:pt>
                <c:pt idx="4">
                  <c:v>1996-97</c:v>
                </c:pt>
                <c:pt idx="5">
                  <c:v>1997-98</c:v>
                </c:pt>
                <c:pt idx="6">
                  <c:v>1998-99</c:v>
                </c:pt>
                <c:pt idx="7">
                  <c:v>1999-00</c:v>
                </c:pt>
              </c:strCache>
            </c:strRef>
          </c:cat>
          <c:val>
            <c:numRef>
              <c:f>Examples!$I$36:$I$43</c:f>
              <c:numCache>
                <c:formatCode>General</c:formatCode>
                <c:ptCount val="8"/>
                <c:pt idx="0">
                  <c:v>13</c:v>
                </c:pt>
                <c:pt idx="1">
                  <c:v>15</c:v>
                </c:pt>
                <c:pt idx="2">
                  <c:v>16</c:v>
                </c:pt>
                <c:pt idx="3">
                  <c:v>17</c:v>
                </c:pt>
                <c:pt idx="4">
                  <c:v>19</c:v>
                </c:pt>
                <c:pt idx="5">
                  <c:v>13</c:v>
                </c:pt>
                <c:pt idx="6">
                  <c:v>18</c:v>
                </c:pt>
                <c:pt idx="7">
                  <c:v>22</c:v>
                </c:pt>
              </c:numCache>
            </c:numRef>
          </c:val>
          <c:extLst>
            <c:ext xmlns:c16="http://schemas.microsoft.com/office/drawing/2014/chart" uri="{C3380CC4-5D6E-409C-BE32-E72D297353CC}">
              <c16:uniqueId val="{00000007-AD81-4723-9E25-438731FF5873}"/>
            </c:ext>
          </c:extLst>
        </c:ser>
        <c:dLbls>
          <c:showLegendKey val="0"/>
          <c:showVal val="0"/>
          <c:showCatName val="0"/>
          <c:showSerName val="0"/>
          <c:showPercent val="0"/>
          <c:showBubbleSize val="0"/>
        </c:dLbls>
        <c:gapWidth val="150"/>
        <c:overlap val="100"/>
        <c:axId val="509223728"/>
        <c:axId val="509224120"/>
      </c:barChart>
      <c:catAx>
        <c:axId val="509223728"/>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24120"/>
        <c:crosses val="autoZero"/>
        <c:auto val="1"/>
        <c:lblAlgn val="ctr"/>
        <c:lblOffset val="100"/>
        <c:tickLblSkip val="1"/>
        <c:tickMarkSkip val="1"/>
        <c:noMultiLvlLbl val="0"/>
      </c:catAx>
      <c:valAx>
        <c:axId val="50922412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0%" sourceLinked="1"/>
        <c:majorTickMark val="out"/>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crossAx val="5092237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Raleway" panose="020B0503030101060003" pitchFamily="34" charset="0"/>
          <a:ea typeface="Myriad Pro"/>
          <a:cs typeface="Arial" pitchFamily="34" charset="0"/>
        </a:defRPr>
      </a:pPr>
      <a:endParaRPr lang="en-US"/>
    </a:p>
  </c:txPr>
  <c:printSettings>
    <c:headerFooter alignWithMargins="0"/>
    <c:pageMargins b="0.98425196850393704" l="0.74803149606299213" r="0.74803149606299213" t="0.98425196850393704" header="0.51181102362204722" footer="0.51181102362204722"/>
    <c:pageSetup paperSize="9" orientation="portrait"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421784559343046E-2"/>
          <c:y val="7.987260942800993E-2"/>
          <c:w val="0.93132694487765588"/>
          <c:h val="0.70067261102981382"/>
        </c:manualLayout>
      </c:layout>
      <c:barChart>
        <c:barDir val="col"/>
        <c:grouping val="clustered"/>
        <c:varyColors val="0"/>
        <c:ser>
          <c:idx val="0"/>
          <c:order val="0"/>
          <c:tx>
            <c:strRef>
              <c:f>Examples!$A$36</c:f>
              <c:strCache>
                <c:ptCount val="1"/>
                <c:pt idx="0">
                  <c:v>1975-76</c:v>
                </c:pt>
              </c:strCache>
            </c:strRef>
          </c:tx>
          <c:spPr>
            <a:solidFill>
              <a:srgbClr val="99A4B7"/>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Examples!$B$36:$D$36</c:f>
              <c:numCache>
                <c:formatCode>General</c:formatCode>
                <c:ptCount val="3"/>
                <c:pt idx="0">
                  <c:v>36.19</c:v>
                </c:pt>
                <c:pt idx="1">
                  <c:v>36.880000000000003</c:v>
                </c:pt>
                <c:pt idx="2">
                  <c:v>21.56</c:v>
                </c:pt>
              </c:numCache>
            </c:numRef>
          </c:val>
          <c:extLst>
            <c:ext xmlns:c16="http://schemas.microsoft.com/office/drawing/2014/chart" uri="{C3380CC4-5D6E-409C-BE32-E72D297353CC}">
              <c16:uniqueId val="{00000000-3558-4AC7-90CB-BB3DD48DCFFB}"/>
            </c:ext>
          </c:extLst>
        </c:ser>
        <c:ser>
          <c:idx val="1"/>
          <c:order val="1"/>
          <c:tx>
            <c:strRef>
              <c:f>Examples!$A$37</c:f>
              <c:strCache>
                <c:ptCount val="1"/>
                <c:pt idx="0">
                  <c:v>1983-84</c:v>
                </c:pt>
              </c:strCache>
            </c:strRef>
          </c:tx>
          <c:spPr>
            <a:solidFill>
              <a:srgbClr val="77869F"/>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Examples!$B$37:$D$37</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1-3558-4AC7-90CB-BB3DD48DCFFB}"/>
            </c:ext>
          </c:extLst>
        </c:ser>
        <c:ser>
          <c:idx val="2"/>
          <c:order val="2"/>
          <c:tx>
            <c:strRef>
              <c:f>Examples!$A$38</c:f>
              <c:strCache>
                <c:ptCount val="1"/>
                <c:pt idx="0">
                  <c:v>1988-89</c:v>
                </c:pt>
              </c:strCache>
            </c:strRef>
          </c:tx>
          <c:spPr>
            <a:solidFill>
              <a:srgbClr val="5DA4C1"/>
            </a:solidFill>
            <a:ln w="9525">
              <a:solidFill>
                <a:schemeClr val="bg1"/>
              </a:solidFill>
            </a:ln>
            <a:effectLst/>
          </c:spPr>
          <c:invertIfNegative val="0"/>
          <c:cat>
            <c:strRef>
              <c:f>Examples!$B$35:$D$35</c:f>
              <c:strCache>
                <c:ptCount val="3"/>
                <c:pt idx="0">
                  <c:v>Data 1</c:v>
                </c:pt>
                <c:pt idx="1">
                  <c:v>Data 2</c:v>
                </c:pt>
                <c:pt idx="2">
                  <c:v>Data 3</c:v>
                </c:pt>
              </c:strCache>
            </c:strRef>
          </c:cat>
          <c:val>
            <c:numRef>
              <c:f>Examples!$B$38:$D$38</c:f>
              <c:numCache>
                <c:formatCode>General</c:formatCode>
                <c:ptCount val="3"/>
                <c:pt idx="0">
                  <c:v>42.78</c:v>
                </c:pt>
                <c:pt idx="1">
                  <c:v>29.91</c:v>
                </c:pt>
                <c:pt idx="2">
                  <c:v>18.350000000000001</c:v>
                </c:pt>
              </c:numCache>
            </c:numRef>
          </c:val>
          <c:extLst>
            <c:ext xmlns:c16="http://schemas.microsoft.com/office/drawing/2014/chart" uri="{C3380CC4-5D6E-409C-BE32-E72D297353CC}">
              <c16:uniqueId val="{00000002-3558-4AC7-90CB-BB3DD48DCFFB}"/>
            </c:ext>
          </c:extLst>
        </c:ser>
        <c:ser>
          <c:idx val="3"/>
          <c:order val="3"/>
          <c:tx>
            <c:strRef>
              <c:f>Examples!$A$39</c:f>
              <c:strCache>
                <c:ptCount val="1"/>
                <c:pt idx="0">
                  <c:v>1993-94</c:v>
                </c:pt>
              </c:strCache>
            </c:strRef>
          </c:tx>
          <c:spPr>
            <a:solidFill>
              <a:schemeClr val="accent6"/>
            </a:solidFill>
            <a:ln>
              <a:solidFill>
                <a:schemeClr val="bg1"/>
              </a:solidFill>
            </a:ln>
            <a:effectLst/>
          </c:spPr>
          <c:invertIfNegative val="0"/>
          <c:cat>
            <c:strRef>
              <c:f>Examples!$B$35:$D$35</c:f>
              <c:strCache>
                <c:ptCount val="3"/>
                <c:pt idx="0">
                  <c:v>Data 1</c:v>
                </c:pt>
                <c:pt idx="1">
                  <c:v>Data 2</c:v>
                </c:pt>
                <c:pt idx="2">
                  <c:v>Data 3</c:v>
                </c:pt>
              </c:strCache>
            </c:strRef>
          </c:cat>
          <c:val>
            <c:numRef>
              <c:f>Examples!$B$39:$D$39</c:f>
              <c:numCache>
                <c:formatCode>General</c:formatCode>
                <c:ptCount val="3"/>
                <c:pt idx="0">
                  <c:v>42.13</c:v>
                </c:pt>
                <c:pt idx="1">
                  <c:v>26.53</c:v>
                </c:pt>
                <c:pt idx="2">
                  <c:v>21.6</c:v>
                </c:pt>
              </c:numCache>
            </c:numRef>
          </c:val>
          <c:extLst>
            <c:ext xmlns:c16="http://schemas.microsoft.com/office/drawing/2014/chart" uri="{C3380CC4-5D6E-409C-BE32-E72D297353CC}">
              <c16:uniqueId val="{00000003-3558-4AC7-90CB-BB3DD48DCFFB}"/>
            </c:ext>
          </c:extLst>
        </c:ser>
        <c:ser>
          <c:idx val="4"/>
          <c:order val="4"/>
          <c:tx>
            <c:strRef>
              <c:f>Examples!$A$40</c:f>
              <c:strCache>
                <c:ptCount val="1"/>
                <c:pt idx="0">
                  <c:v>1996-97</c:v>
                </c:pt>
              </c:strCache>
            </c:strRef>
          </c:tx>
          <c:spPr>
            <a:solidFill>
              <a:srgbClr val="009EDB"/>
            </a:solidFill>
            <a:ln>
              <a:solidFill>
                <a:schemeClr val="bg1"/>
              </a:solidFill>
            </a:ln>
            <a:effectLst/>
          </c:spPr>
          <c:invertIfNegative val="0"/>
          <c:cat>
            <c:strRef>
              <c:f>Examples!$B$35:$D$35</c:f>
              <c:strCache>
                <c:ptCount val="3"/>
                <c:pt idx="0">
                  <c:v>Data 1</c:v>
                </c:pt>
                <c:pt idx="1">
                  <c:v>Data 2</c:v>
                </c:pt>
                <c:pt idx="2">
                  <c:v>Data 3</c:v>
                </c:pt>
              </c:strCache>
            </c:strRef>
          </c:cat>
          <c:val>
            <c:numRef>
              <c:f>Examples!$B$40:$D$40</c:f>
              <c:numCache>
                <c:formatCode>General</c:formatCode>
                <c:ptCount val="3"/>
                <c:pt idx="0">
                  <c:v>41.69</c:v>
                </c:pt>
                <c:pt idx="1">
                  <c:v>24.76</c:v>
                </c:pt>
                <c:pt idx="2">
                  <c:v>23.98</c:v>
                </c:pt>
              </c:numCache>
            </c:numRef>
          </c:val>
          <c:extLst>
            <c:ext xmlns:c16="http://schemas.microsoft.com/office/drawing/2014/chart" uri="{C3380CC4-5D6E-409C-BE32-E72D297353CC}">
              <c16:uniqueId val="{00000004-3558-4AC7-90CB-BB3DD48DCFFB}"/>
            </c:ext>
          </c:extLst>
        </c:ser>
        <c:ser>
          <c:idx val="5"/>
          <c:order val="5"/>
          <c:tx>
            <c:strRef>
              <c:f>Examples!$A$41</c:f>
              <c:strCache>
                <c:ptCount val="1"/>
                <c:pt idx="0">
                  <c:v>1997-98</c:v>
                </c:pt>
              </c:strCache>
            </c:strRef>
          </c:tx>
          <c:spPr>
            <a:solidFill>
              <a:srgbClr val="66C5EA"/>
            </a:solidFill>
            <a:ln>
              <a:solidFill>
                <a:schemeClr val="bg1"/>
              </a:solidFill>
            </a:ln>
            <a:effectLst/>
          </c:spPr>
          <c:invertIfNegative val="0"/>
          <c:cat>
            <c:strRef>
              <c:f>Examples!$B$35:$D$35</c:f>
              <c:strCache>
                <c:ptCount val="3"/>
                <c:pt idx="0">
                  <c:v>Data 1</c:v>
                </c:pt>
                <c:pt idx="1">
                  <c:v>Data 2</c:v>
                </c:pt>
                <c:pt idx="2">
                  <c:v>Data 3</c:v>
                </c:pt>
              </c:strCache>
            </c:strRef>
          </c:cat>
          <c:val>
            <c:numRef>
              <c:f>Examples!$B$41:$D$41</c:f>
              <c:numCache>
                <c:formatCode>General</c:formatCode>
                <c:ptCount val="3"/>
                <c:pt idx="0">
                  <c:v>39.39</c:v>
                </c:pt>
                <c:pt idx="1">
                  <c:v>32.020000000000003</c:v>
                </c:pt>
                <c:pt idx="2">
                  <c:v>21.6</c:v>
                </c:pt>
              </c:numCache>
            </c:numRef>
          </c:val>
          <c:extLst>
            <c:ext xmlns:c16="http://schemas.microsoft.com/office/drawing/2014/chart" uri="{C3380CC4-5D6E-409C-BE32-E72D297353CC}">
              <c16:uniqueId val="{00000005-3558-4AC7-90CB-BB3DD48DCFFB}"/>
            </c:ext>
          </c:extLst>
        </c:ser>
        <c:ser>
          <c:idx val="6"/>
          <c:order val="6"/>
          <c:tx>
            <c:strRef>
              <c:f>Examples!$A$42</c:f>
              <c:strCache>
                <c:ptCount val="1"/>
                <c:pt idx="0">
                  <c:v>1998-99</c:v>
                </c:pt>
              </c:strCache>
            </c:strRef>
          </c:tx>
          <c:spPr>
            <a:solidFill>
              <a:srgbClr val="0352A1"/>
            </a:solidFill>
            <a:ln>
              <a:solidFill>
                <a:schemeClr val="bg1"/>
              </a:solidFill>
            </a:ln>
            <a:effectLst/>
          </c:spPr>
          <c:invertIfNegative val="0"/>
          <c:cat>
            <c:strRef>
              <c:f>Examples!$B$35:$D$35</c:f>
              <c:strCache>
                <c:ptCount val="3"/>
                <c:pt idx="0">
                  <c:v>Data 1</c:v>
                </c:pt>
                <c:pt idx="1">
                  <c:v>Data 2</c:v>
                </c:pt>
                <c:pt idx="2">
                  <c:v>Data 3</c:v>
                </c:pt>
              </c:strCache>
            </c:strRef>
          </c:cat>
          <c:val>
            <c:numRef>
              <c:f>Examples!$B$42:$D$42</c:f>
              <c:numCache>
                <c:formatCode>General</c:formatCode>
                <c:ptCount val="3"/>
                <c:pt idx="0">
                  <c:v>42.13</c:v>
                </c:pt>
                <c:pt idx="1">
                  <c:v>26.53</c:v>
                </c:pt>
                <c:pt idx="2">
                  <c:v>21.6</c:v>
                </c:pt>
              </c:numCache>
            </c:numRef>
          </c:val>
          <c:extLst>
            <c:ext xmlns:c16="http://schemas.microsoft.com/office/drawing/2014/chart" uri="{C3380CC4-5D6E-409C-BE32-E72D297353CC}">
              <c16:uniqueId val="{00000006-3558-4AC7-90CB-BB3DD48DCFFB}"/>
            </c:ext>
          </c:extLst>
        </c:ser>
        <c:ser>
          <c:idx val="7"/>
          <c:order val="7"/>
          <c:tx>
            <c:strRef>
              <c:f>Examples!$A$43</c:f>
              <c:strCache>
                <c:ptCount val="1"/>
                <c:pt idx="0">
                  <c:v>1999-00</c:v>
                </c:pt>
              </c:strCache>
            </c:strRef>
          </c:tx>
          <c:spPr>
            <a:solidFill>
              <a:srgbClr val="3373B3"/>
            </a:solidFill>
            <a:ln>
              <a:solidFill>
                <a:schemeClr val="bg1"/>
              </a:solidFill>
            </a:ln>
            <a:effectLst/>
          </c:spPr>
          <c:invertIfNegative val="0"/>
          <c:cat>
            <c:strRef>
              <c:f>Examples!$B$35:$D$35</c:f>
              <c:strCache>
                <c:ptCount val="3"/>
                <c:pt idx="0">
                  <c:v>Data 1</c:v>
                </c:pt>
                <c:pt idx="1">
                  <c:v>Data 2</c:v>
                </c:pt>
                <c:pt idx="2">
                  <c:v>Data 3</c:v>
                </c:pt>
              </c:strCache>
            </c:strRef>
          </c:cat>
          <c:val>
            <c:numRef>
              <c:f>Examples!$B$43:$D$43</c:f>
              <c:numCache>
                <c:formatCode>General</c:formatCode>
                <c:ptCount val="3"/>
                <c:pt idx="0">
                  <c:v>45</c:v>
                </c:pt>
                <c:pt idx="1">
                  <c:v>22</c:v>
                </c:pt>
                <c:pt idx="2">
                  <c:v>26</c:v>
                </c:pt>
              </c:numCache>
            </c:numRef>
          </c:val>
          <c:extLst>
            <c:ext xmlns:c16="http://schemas.microsoft.com/office/drawing/2014/chart" uri="{C3380CC4-5D6E-409C-BE32-E72D297353CC}">
              <c16:uniqueId val="{00000007-3558-4AC7-90CB-BB3DD48DCFFB}"/>
            </c:ext>
          </c:extLst>
        </c:ser>
        <c:dLbls>
          <c:showLegendKey val="0"/>
          <c:showVal val="0"/>
          <c:showCatName val="0"/>
          <c:showSerName val="0"/>
          <c:showPercent val="0"/>
          <c:showBubbleSize val="0"/>
        </c:dLbls>
        <c:gapWidth val="150"/>
        <c:axId val="671083280"/>
        <c:axId val="671079360"/>
      </c:barChart>
      <c:catAx>
        <c:axId val="671083280"/>
        <c:scaling>
          <c:orientation val="minMax"/>
        </c:scaling>
        <c:delete val="0"/>
        <c:axPos val="b"/>
        <c:numFmt formatCode="General" sourceLinked="1"/>
        <c:majorTickMark val="none"/>
        <c:minorTickMark val="none"/>
        <c:tickLblPos val="nextTo"/>
        <c:spPr>
          <a:noFill/>
          <a:ln w="12700" cap="flat" cmpd="sng" algn="ctr">
            <a:solidFill>
              <a:schemeClr val="accent4"/>
            </a:solidFill>
            <a:prstDash val="solid"/>
            <a:round/>
          </a:ln>
          <a:effectLst/>
        </c:spPr>
        <c:txPr>
          <a:bodyPr rot="0" spcFirstLastPara="1" vertOverflow="ellipsis" wrap="square" anchor="ctr" anchorCtr="1"/>
          <a:lstStyle/>
          <a:p>
            <a:pPr>
              <a:defRPr sz="900" b="0" i="0" u="none" strike="noStrike" kern="1200" baseline="0">
                <a:solidFill>
                  <a:schemeClr val="tx1"/>
                </a:solidFill>
                <a:latin typeface="+mn-lt"/>
                <a:ea typeface="Myriad Pro"/>
                <a:cs typeface="Arial" pitchFamily="34" charset="0"/>
              </a:defRPr>
            </a:pPr>
            <a:endParaRPr lang="en-US"/>
          </a:p>
        </c:txPr>
        <c:crossAx val="671079360"/>
        <c:crosses val="autoZero"/>
        <c:auto val="1"/>
        <c:lblAlgn val="ctr"/>
        <c:lblOffset val="100"/>
        <c:tickLblSkip val="1"/>
        <c:tickMarkSkip val="1"/>
        <c:noMultiLvlLbl val="0"/>
      </c:catAx>
      <c:valAx>
        <c:axId val="67107936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chemeClr val="tx1"/>
                </a:solidFill>
                <a:latin typeface="+mj-lt"/>
                <a:ea typeface="Myriad Pro"/>
                <a:cs typeface="Arial" pitchFamily="34" charset="0"/>
              </a:defRPr>
            </a:pPr>
            <a:endParaRPr lang="en-US"/>
          </a:p>
        </c:txPr>
        <c:crossAx val="671083280"/>
        <c:crosses val="autoZero"/>
        <c:crossBetween val="between"/>
      </c:valAx>
      <c:spPr>
        <a:noFill/>
        <a:ln w="25400">
          <a:noFill/>
        </a:ln>
        <a:effectLst/>
      </c:spPr>
    </c:plotArea>
    <c:legend>
      <c:legendPos val="b"/>
      <c:layout>
        <c:manualLayout>
          <c:xMode val="edge"/>
          <c:yMode val="edge"/>
          <c:x val="5.7997398755681093E-3"/>
          <c:y val="0.89916346363548827"/>
          <c:w val="0.97804529931266793"/>
          <c:h val="8.9731333570575861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chemeClr val="tx1"/>
          </a:solidFill>
          <a:latin typeface="Arial"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19073732526914E-2"/>
          <c:y val="3.6681034482758626E-2"/>
          <c:w val="0.92650765926379997"/>
          <c:h val="0.77206178160919547"/>
        </c:manualLayout>
      </c:layout>
      <c:scatterChart>
        <c:scatterStyle val="lineMarker"/>
        <c:varyColors val="0"/>
        <c:ser>
          <c:idx val="0"/>
          <c:order val="0"/>
          <c:tx>
            <c:strRef>
              <c:f>Examples!$T$35</c:f>
              <c:strCache>
                <c:ptCount val="1"/>
                <c:pt idx="0">
                  <c:v>1st Y value</c:v>
                </c:pt>
              </c:strCache>
            </c:strRef>
          </c:tx>
          <c:spPr>
            <a:ln w="28575" cap="rnd" cmpd="sng" algn="ctr">
              <a:noFill/>
              <a:prstDash val="solid"/>
              <a:round/>
            </a:ln>
            <a:effectLst/>
          </c:spPr>
          <c:marker>
            <c:symbol val="diamond"/>
            <c:size val="7"/>
            <c:spPr>
              <a:solidFill>
                <a:schemeClr val="accent6"/>
              </a:solidFill>
              <a:ln w="9525" cap="flat" cmpd="sng" algn="ctr">
                <a:solidFill>
                  <a:schemeClr val="accent6"/>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Examples!$T$36:$T$40</c:f>
              <c:numCache>
                <c:formatCode>General</c:formatCode>
                <c:ptCount val="5"/>
                <c:pt idx="0">
                  <c:v>10</c:v>
                </c:pt>
                <c:pt idx="1">
                  <c:v>12</c:v>
                </c:pt>
                <c:pt idx="2">
                  <c:v>16</c:v>
                </c:pt>
                <c:pt idx="3">
                  <c:v>8</c:v>
                </c:pt>
                <c:pt idx="4">
                  <c:v>14</c:v>
                </c:pt>
              </c:numCache>
            </c:numRef>
          </c:yVal>
          <c:smooth val="0"/>
          <c:extLst>
            <c:ext xmlns:c16="http://schemas.microsoft.com/office/drawing/2014/chart" uri="{C3380CC4-5D6E-409C-BE32-E72D297353CC}">
              <c16:uniqueId val="{00000000-53EA-4C3E-A319-F64C11CCCF2E}"/>
            </c:ext>
          </c:extLst>
        </c:ser>
        <c:ser>
          <c:idx val="1"/>
          <c:order val="1"/>
          <c:tx>
            <c:strRef>
              <c:f>Examples!$U$35</c:f>
              <c:strCache>
                <c:ptCount val="1"/>
                <c:pt idx="0">
                  <c:v>2nd Y value</c:v>
                </c:pt>
              </c:strCache>
            </c:strRef>
          </c:tx>
          <c:spPr>
            <a:ln w="28575" cap="rnd" cmpd="sng" algn="ctr">
              <a:noFill/>
              <a:prstDash val="solid"/>
              <a:round/>
            </a:ln>
            <a:effectLst/>
          </c:spPr>
          <c:marker>
            <c:symbol val="square"/>
            <c:size val="6"/>
            <c:spPr>
              <a:solidFill>
                <a:schemeClr val="accent5"/>
              </a:solidFill>
              <a:ln w="9525" cap="flat" cmpd="sng" algn="ctr">
                <a:solidFill>
                  <a:schemeClr val="accent5"/>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Examples!$U$36:$U$40</c:f>
              <c:numCache>
                <c:formatCode>General</c:formatCode>
                <c:ptCount val="5"/>
                <c:pt idx="0">
                  <c:v>17</c:v>
                </c:pt>
                <c:pt idx="1">
                  <c:v>9</c:v>
                </c:pt>
                <c:pt idx="2">
                  <c:v>14</c:v>
                </c:pt>
                <c:pt idx="3">
                  <c:v>23</c:v>
                </c:pt>
                <c:pt idx="4">
                  <c:v>27</c:v>
                </c:pt>
              </c:numCache>
            </c:numRef>
          </c:yVal>
          <c:smooth val="0"/>
          <c:extLst>
            <c:ext xmlns:c16="http://schemas.microsoft.com/office/drawing/2014/chart" uri="{C3380CC4-5D6E-409C-BE32-E72D297353CC}">
              <c16:uniqueId val="{00000001-53EA-4C3E-A319-F64C11CCCF2E}"/>
            </c:ext>
          </c:extLst>
        </c:ser>
        <c:dLbls>
          <c:showLegendKey val="0"/>
          <c:showVal val="0"/>
          <c:showCatName val="0"/>
          <c:showSerName val="0"/>
          <c:showPercent val="0"/>
          <c:showBubbleSize val="0"/>
        </c:dLbls>
        <c:axId val="671083672"/>
        <c:axId val="671075440"/>
      </c:scatterChart>
      <c:valAx>
        <c:axId val="671083672"/>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75440"/>
        <c:crosses val="autoZero"/>
        <c:crossBetween val="midCat"/>
      </c:valAx>
      <c:valAx>
        <c:axId val="671075440"/>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3672"/>
        <c:crosses val="autoZero"/>
        <c:crossBetween val="midCat"/>
      </c:valAx>
      <c:spPr>
        <a:noFill/>
        <a:ln w="25400">
          <a:noFill/>
        </a:ln>
        <a:effectLst/>
      </c:spPr>
    </c:plotArea>
    <c:legend>
      <c:legendPos val="b"/>
      <c:layout>
        <c:manualLayout>
          <c:xMode val="edge"/>
          <c:yMode val="edge"/>
          <c:x val="0.38976601822857532"/>
          <c:y val="0.92588282247765008"/>
          <c:w val="0.3299749945672566"/>
          <c:h val="6.9744300623659536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626605962807025E-2"/>
          <c:y val="3.219370275276031E-2"/>
          <c:w val="0.92771248066726397"/>
          <c:h val="0.77850214088987335"/>
        </c:manualLayout>
      </c:layout>
      <c:scatterChart>
        <c:scatterStyle val="lineMarker"/>
        <c:varyColors val="0"/>
        <c:ser>
          <c:idx val="0"/>
          <c:order val="0"/>
          <c:tx>
            <c:strRef>
              <c:f>Examples!$T$35</c:f>
              <c:strCache>
                <c:ptCount val="1"/>
                <c:pt idx="0">
                  <c:v>1st Y value</c:v>
                </c:pt>
              </c:strCache>
            </c:strRef>
          </c:tx>
          <c:spPr>
            <a:ln w="25400" cap="rnd" cmpd="sng" algn="ctr">
              <a:solidFill>
                <a:schemeClr val="accent6"/>
              </a:solidFill>
              <a:prstDash val="solid"/>
              <a:round/>
            </a:ln>
            <a:effectLst/>
          </c:spPr>
          <c:marker>
            <c:symbol val="diamond"/>
            <c:size val="7"/>
            <c:spPr>
              <a:solidFill>
                <a:schemeClr val="accent6"/>
              </a:solidFill>
              <a:ln w="3175" cap="flat" cmpd="sng" algn="ctr">
                <a:solidFill>
                  <a:srgbClr val="0352A1"/>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Examples!$T$36:$T$40</c:f>
              <c:numCache>
                <c:formatCode>General</c:formatCode>
                <c:ptCount val="5"/>
                <c:pt idx="0">
                  <c:v>10</c:v>
                </c:pt>
                <c:pt idx="1">
                  <c:v>12</c:v>
                </c:pt>
                <c:pt idx="2">
                  <c:v>16</c:v>
                </c:pt>
                <c:pt idx="3">
                  <c:v>8</c:v>
                </c:pt>
                <c:pt idx="4">
                  <c:v>14</c:v>
                </c:pt>
              </c:numCache>
            </c:numRef>
          </c:yVal>
          <c:smooth val="0"/>
          <c:extLst>
            <c:ext xmlns:c16="http://schemas.microsoft.com/office/drawing/2014/chart" uri="{C3380CC4-5D6E-409C-BE32-E72D297353CC}">
              <c16:uniqueId val="{00000000-3D97-45B0-8D93-CE41D2E54883}"/>
            </c:ext>
          </c:extLst>
        </c:ser>
        <c:ser>
          <c:idx val="1"/>
          <c:order val="1"/>
          <c:tx>
            <c:strRef>
              <c:f>Examples!$U$35</c:f>
              <c:strCache>
                <c:ptCount val="1"/>
                <c:pt idx="0">
                  <c:v>2nd Y value</c:v>
                </c:pt>
              </c:strCache>
            </c:strRef>
          </c:tx>
          <c:spPr>
            <a:ln w="25400" cap="rnd" cmpd="sng" algn="ctr">
              <a:solidFill>
                <a:schemeClr val="accent5"/>
              </a:solidFill>
              <a:prstDash val="solid"/>
              <a:round/>
            </a:ln>
            <a:effectLst/>
          </c:spPr>
          <c:marker>
            <c:symbol val="square"/>
            <c:size val="5"/>
            <c:spPr>
              <a:solidFill>
                <a:schemeClr val="accent5"/>
              </a:solidFill>
              <a:ln w="3175" cap="flat" cmpd="sng" algn="ctr">
                <a:solidFill>
                  <a:schemeClr val="accent5"/>
                </a:solidFill>
                <a:prstDash val="solid"/>
                <a:round/>
              </a:ln>
              <a:effectLst/>
            </c:spPr>
          </c:marker>
          <c:xVal>
            <c:numRef>
              <c:f>Examples!$S$36:$S$40</c:f>
              <c:numCache>
                <c:formatCode>General</c:formatCode>
                <c:ptCount val="5"/>
                <c:pt idx="0">
                  <c:v>1.8</c:v>
                </c:pt>
                <c:pt idx="1">
                  <c:v>2.2999999999999998</c:v>
                </c:pt>
                <c:pt idx="2">
                  <c:v>3.7</c:v>
                </c:pt>
                <c:pt idx="3">
                  <c:v>4.0999999999999996</c:v>
                </c:pt>
                <c:pt idx="4">
                  <c:v>5.5</c:v>
                </c:pt>
              </c:numCache>
            </c:numRef>
          </c:xVal>
          <c:yVal>
            <c:numRef>
              <c:f>Examples!$U$36:$U$40</c:f>
              <c:numCache>
                <c:formatCode>General</c:formatCode>
                <c:ptCount val="5"/>
                <c:pt idx="0">
                  <c:v>17</c:v>
                </c:pt>
                <c:pt idx="1">
                  <c:v>9</c:v>
                </c:pt>
                <c:pt idx="2">
                  <c:v>14</c:v>
                </c:pt>
                <c:pt idx="3">
                  <c:v>23</c:v>
                </c:pt>
                <c:pt idx="4">
                  <c:v>27</c:v>
                </c:pt>
              </c:numCache>
            </c:numRef>
          </c:yVal>
          <c:smooth val="0"/>
          <c:extLst>
            <c:ext xmlns:c16="http://schemas.microsoft.com/office/drawing/2014/chart" uri="{C3380CC4-5D6E-409C-BE32-E72D297353CC}">
              <c16:uniqueId val="{00000001-3D97-45B0-8D93-CE41D2E54883}"/>
            </c:ext>
          </c:extLst>
        </c:ser>
        <c:dLbls>
          <c:showLegendKey val="0"/>
          <c:showVal val="0"/>
          <c:showCatName val="0"/>
          <c:showSerName val="0"/>
          <c:showPercent val="0"/>
          <c:showBubbleSize val="0"/>
        </c:dLbls>
        <c:axId val="671077792"/>
        <c:axId val="671084064"/>
      </c:scatterChart>
      <c:valAx>
        <c:axId val="671077792"/>
        <c:scaling>
          <c:orientation val="minMax"/>
        </c:scaling>
        <c:delete val="0"/>
        <c:axPos val="b"/>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84064"/>
        <c:crosses val="autoZero"/>
        <c:crossBetween val="midCat"/>
      </c:valAx>
      <c:valAx>
        <c:axId val="671084064"/>
        <c:scaling>
          <c:orientation val="minMax"/>
        </c:scaling>
        <c:delete val="0"/>
        <c:axPos val="l"/>
        <c:majorGridlines>
          <c:spPr>
            <a:ln w="6350" cap="flat" cmpd="sng" algn="ctr">
              <a:solidFill>
                <a:schemeClr val="bg2">
                  <a:lumMod val="20000"/>
                  <a:lumOff val="80000"/>
                </a:schemeClr>
              </a:solidFill>
              <a:prstDash val="solid"/>
              <a:round/>
            </a:ln>
            <a:effectLst/>
          </c:spPr>
        </c:majorGridlines>
        <c:numFmt formatCode="General" sourceLinked="1"/>
        <c:majorTickMark val="out"/>
        <c:minorTickMark val="none"/>
        <c:tickLblPos val="nextTo"/>
        <c:spPr>
          <a:noFill/>
          <a:ln w="12700" cap="flat" cmpd="sng" algn="ctr">
            <a:solidFill>
              <a:schemeClr val="bg2">
                <a:lumMod val="20000"/>
                <a:lumOff val="80000"/>
              </a:scheme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crossAx val="671077792"/>
        <c:crosses val="autoZero"/>
        <c:crossBetween val="midCat"/>
      </c:valAx>
      <c:spPr>
        <a:noFill/>
        <a:ln w="25400">
          <a:noFill/>
        </a:ln>
        <a:effectLst/>
      </c:spPr>
    </c:plotArea>
    <c:legend>
      <c:legendPos val="r"/>
      <c:layout>
        <c:manualLayout>
          <c:xMode val="edge"/>
          <c:yMode val="edge"/>
          <c:x val="0.32959049714296068"/>
          <c:y val="0.91053641309964006"/>
          <c:w val="0.37981962697125554"/>
          <c:h val="7.6923407983041536E-2"/>
        </c:manualLayout>
      </c:layout>
      <c:overlay val="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Arial"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900" b="0" i="0" u="none" strike="noStrike" baseline="0">
          <a:solidFill>
            <a:srgbClr val="000000"/>
          </a:solidFill>
          <a:latin typeface="Raleway" panose="020B0503030101060003" pitchFamily="34" charset="0"/>
          <a:ea typeface="Myriad Pro"/>
          <a:cs typeface="Arial" pitchFamily="34" charset="0"/>
        </a:defRPr>
      </a:pPr>
      <a:endParaRPr lang="en-US"/>
    </a:p>
  </c:txPr>
  <c:printSettings>
    <c:headerFooter alignWithMargins="0"/>
    <c:pageMargins b="1" l="0.75" r="0.75" t="1" header="0.5" footer="0.5"/>
    <c:pageSetup paperSize="9" orientation="landscape" horizontalDpi="-3"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7590427788076153"/>
          <c:y val="0.23397536594841806"/>
          <c:w val="0.24819320911357973"/>
          <c:h val="0.6602592518544399"/>
        </c:manualLayout>
      </c:layout>
      <c:pieChart>
        <c:varyColors val="1"/>
        <c:ser>
          <c:idx val="2"/>
          <c:order val="0"/>
          <c:tx>
            <c:strRef>
              <c:f>Examples!$A$36</c:f>
              <c:strCache>
                <c:ptCount val="1"/>
                <c:pt idx="0">
                  <c:v>1975-76</c:v>
                </c:pt>
              </c:strCache>
            </c:strRef>
          </c:tx>
          <c:spPr>
            <a:ln>
              <a:solidFill>
                <a:schemeClr val="bg1"/>
              </a:solidFill>
            </a:ln>
          </c:spPr>
          <c:dPt>
            <c:idx val="0"/>
            <c:bubble3D val="0"/>
            <c:spPr>
              <a:solidFill>
                <a:srgbClr val="99A4B7"/>
              </a:solidFill>
              <a:ln>
                <a:solidFill>
                  <a:schemeClr val="bg1"/>
                </a:solidFill>
              </a:ln>
              <a:effectLst/>
            </c:spPr>
            <c:extLst>
              <c:ext xmlns:c16="http://schemas.microsoft.com/office/drawing/2014/chart" uri="{C3380CC4-5D6E-409C-BE32-E72D297353CC}">
                <c16:uniqueId val="{00000001-4EA1-4D42-ABAE-EE028EFC6472}"/>
              </c:ext>
            </c:extLst>
          </c:dPt>
          <c:dPt>
            <c:idx val="1"/>
            <c:bubble3D val="0"/>
            <c:spPr>
              <a:solidFill>
                <a:srgbClr val="77869F"/>
              </a:solidFill>
              <a:ln>
                <a:solidFill>
                  <a:schemeClr val="bg1"/>
                </a:solidFill>
              </a:ln>
              <a:effectLst/>
            </c:spPr>
            <c:extLst>
              <c:ext xmlns:c16="http://schemas.microsoft.com/office/drawing/2014/chart" uri="{C3380CC4-5D6E-409C-BE32-E72D297353CC}">
                <c16:uniqueId val="{00000003-4EA1-4D42-ABAE-EE028EFC6472}"/>
              </c:ext>
            </c:extLst>
          </c:dPt>
          <c:dPt>
            <c:idx val="2"/>
            <c:bubble3D val="0"/>
            <c:spPr>
              <a:solidFill>
                <a:srgbClr val="5DA4C1"/>
              </a:solidFill>
              <a:ln>
                <a:solidFill>
                  <a:schemeClr val="bg1"/>
                </a:solidFill>
              </a:ln>
              <a:effectLst/>
            </c:spPr>
            <c:extLst>
              <c:ext xmlns:c16="http://schemas.microsoft.com/office/drawing/2014/chart" uri="{C3380CC4-5D6E-409C-BE32-E72D297353CC}">
                <c16:uniqueId val="{00000005-4EA1-4D42-ABAE-EE028EFC6472}"/>
              </c:ext>
            </c:extLst>
          </c:dPt>
          <c:dPt>
            <c:idx val="3"/>
            <c:bubble3D val="0"/>
            <c:spPr>
              <a:solidFill>
                <a:schemeClr val="accent6"/>
              </a:solidFill>
              <a:ln>
                <a:solidFill>
                  <a:schemeClr val="bg1"/>
                </a:solidFill>
              </a:ln>
              <a:effectLst/>
            </c:spPr>
            <c:extLst>
              <c:ext xmlns:c16="http://schemas.microsoft.com/office/drawing/2014/chart" uri="{C3380CC4-5D6E-409C-BE32-E72D297353CC}">
                <c16:uniqueId val="{00000007-4EA1-4D42-ABAE-EE028EFC6472}"/>
              </c:ext>
            </c:extLst>
          </c:dPt>
          <c:dPt>
            <c:idx val="4"/>
            <c:bubble3D val="0"/>
            <c:spPr>
              <a:solidFill>
                <a:srgbClr val="009EDB"/>
              </a:solidFill>
              <a:ln>
                <a:solidFill>
                  <a:schemeClr val="bg1"/>
                </a:solidFill>
              </a:ln>
              <a:effectLst/>
            </c:spPr>
            <c:extLst>
              <c:ext xmlns:c16="http://schemas.microsoft.com/office/drawing/2014/chart" uri="{C3380CC4-5D6E-409C-BE32-E72D297353CC}">
                <c16:uniqueId val="{00000009-4EA1-4D42-ABAE-EE028EFC6472}"/>
              </c:ext>
            </c:extLst>
          </c:dPt>
          <c:dPt>
            <c:idx val="5"/>
            <c:bubble3D val="0"/>
            <c:spPr>
              <a:solidFill>
                <a:srgbClr val="66C5EA"/>
              </a:solidFill>
              <a:ln>
                <a:solidFill>
                  <a:schemeClr val="bg1"/>
                </a:solidFill>
              </a:ln>
              <a:effectLst/>
            </c:spPr>
            <c:extLst>
              <c:ext xmlns:c16="http://schemas.microsoft.com/office/drawing/2014/chart" uri="{C3380CC4-5D6E-409C-BE32-E72D297353CC}">
                <c16:uniqueId val="{0000000B-4EA1-4D42-ABAE-EE028EFC6472}"/>
              </c:ext>
            </c:extLst>
          </c:dPt>
          <c:dPt>
            <c:idx val="6"/>
            <c:bubble3D val="0"/>
            <c:spPr>
              <a:solidFill>
                <a:srgbClr val="0352A1"/>
              </a:solidFill>
              <a:ln>
                <a:solidFill>
                  <a:schemeClr val="bg1"/>
                </a:solidFill>
              </a:ln>
              <a:effectLst/>
            </c:spPr>
            <c:extLst>
              <c:ext xmlns:c16="http://schemas.microsoft.com/office/drawing/2014/chart" uri="{C3380CC4-5D6E-409C-BE32-E72D297353CC}">
                <c16:uniqueId val="{0000000D-4EA1-4D42-ABAE-EE028EFC6472}"/>
              </c:ext>
            </c:extLst>
          </c:dPt>
          <c:dPt>
            <c:idx val="7"/>
            <c:bubble3D val="0"/>
            <c:spPr>
              <a:solidFill>
                <a:srgbClr val="3373B3"/>
              </a:solidFill>
              <a:ln>
                <a:solidFill>
                  <a:schemeClr val="bg1"/>
                </a:solidFill>
              </a:ln>
              <a:effectLst/>
            </c:spPr>
            <c:extLst>
              <c:ext xmlns:c16="http://schemas.microsoft.com/office/drawing/2014/chart" uri="{C3380CC4-5D6E-409C-BE32-E72D297353CC}">
                <c16:uniqueId val="{0000000F-4EA1-4D42-ABAE-EE028EFC6472}"/>
              </c:ext>
            </c:extLst>
          </c:dPt>
          <c:dLbls>
            <c:dLbl>
              <c:idx val="0"/>
              <c:layout>
                <c:manualLayout>
                  <c:x val="4.4341647261246378E-3"/>
                  <c:y val="1.814435144257395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A1-4D42-ABAE-EE028EFC6472}"/>
                </c:ext>
              </c:extLst>
            </c:dLbl>
            <c:dLbl>
              <c:idx val="1"/>
              <c:layout>
                <c:manualLayout>
                  <c:x val="5.4371159168353965E-2"/>
                  <c:y val="-0.103513798760671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A1-4D42-ABAE-EE028EFC6472}"/>
                </c:ext>
              </c:extLst>
            </c:dLbl>
            <c:dLbl>
              <c:idx val="2"/>
              <c:layout>
                <c:manualLayout>
                  <c:x val="-2.5373162064614652E-2"/>
                  <c:y val="-1.8941450620186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A1-4D42-ABAE-EE028EFC6472}"/>
                </c:ext>
              </c:extLst>
            </c:dLbl>
            <c:dLbl>
              <c:idx val="7"/>
              <c:layout>
                <c:manualLayout>
                  <c:x val="2.5304284483772636E-2"/>
                  <c:y val="-1.81759243053016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EA1-4D42-ABAE-EE028EFC6472}"/>
                </c:ext>
              </c:extLst>
            </c:dLbl>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Raleway" panose="020B0503030101060003" pitchFamily="34" charset="0"/>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Examples!$B$36:$I$36</c:f>
              <c:numCache>
                <c:formatCode>General</c:formatCode>
                <c:ptCount val="8"/>
                <c:pt idx="0">
                  <c:v>36.19</c:v>
                </c:pt>
                <c:pt idx="1">
                  <c:v>36.880000000000003</c:v>
                </c:pt>
                <c:pt idx="2">
                  <c:v>21.56</c:v>
                </c:pt>
                <c:pt idx="3">
                  <c:v>5.36</c:v>
                </c:pt>
                <c:pt idx="4">
                  <c:v>3.01</c:v>
                </c:pt>
                <c:pt idx="5">
                  <c:v>10</c:v>
                </c:pt>
                <c:pt idx="6">
                  <c:v>5.2</c:v>
                </c:pt>
                <c:pt idx="7">
                  <c:v>13</c:v>
                </c:pt>
              </c:numCache>
            </c:numRef>
          </c:val>
          <c:extLst>
            <c:ext xmlns:c16="http://schemas.microsoft.com/office/drawing/2014/chart" uri="{C3380CC4-5D6E-409C-BE32-E72D297353CC}">
              <c16:uniqueId val="{00000010-4EA1-4D42-ABAE-EE028EFC6472}"/>
            </c:ext>
          </c:extLst>
        </c:ser>
        <c:ser>
          <c:idx val="3"/>
          <c:order val="1"/>
          <c:tx>
            <c:strRef>
              <c:f>Examples!$A$37</c:f>
              <c:strCache>
                <c:ptCount val="1"/>
                <c:pt idx="0">
                  <c:v>1983-84</c:v>
                </c:pt>
              </c:strCache>
            </c:strRef>
          </c:tx>
          <c:dPt>
            <c:idx val="0"/>
            <c:bubble3D val="0"/>
            <c:spPr>
              <a:solidFill>
                <a:srgbClr val="1C355E"/>
              </a:solidFill>
              <a:ln>
                <a:noFill/>
              </a:ln>
              <a:effectLst/>
            </c:spPr>
            <c:extLst>
              <c:ext xmlns:c16="http://schemas.microsoft.com/office/drawing/2014/chart" uri="{C3380CC4-5D6E-409C-BE32-E72D297353CC}">
                <c16:uniqueId val="{00000012-4EA1-4D42-ABAE-EE028EFC6472}"/>
              </c:ext>
            </c:extLst>
          </c:dPt>
          <c:dPt>
            <c:idx val="1"/>
            <c:bubble3D val="0"/>
            <c:spPr>
              <a:solidFill>
                <a:srgbClr val="77869F"/>
              </a:solidFill>
              <a:ln>
                <a:noFill/>
              </a:ln>
              <a:effectLst/>
            </c:spPr>
            <c:extLst>
              <c:ext xmlns:c16="http://schemas.microsoft.com/office/drawing/2014/chart" uri="{C3380CC4-5D6E-409C-BE32-E72D297353CC}">
                <c16:uniqueId val="{00000014-4EA1-4D42-ABAE-EE028EFC6472}"/>
              </c:ext>
            </c:extLst>
          </c:dPt>
          <c:dPt>
            <c:idx val="2"/>
            <c:bubble3D val="0"/>
            <c:spPr>
              <a:solidFill>
                <a:srgbClr val="009DDB"/>
              </a:solidFill>
              <a:ln>
                <a:noFill/>
              </a:ln>
              <a:effectLst/>
            </c:spPr>
            <c:extLst>
              <c:ext xmlns:c16="http://schemas.microsoft.com/office/drawing/2014/chart" uri="{C3380CC4-5D6E-409C-BE32-E72D297353CC}">
                <c16:uniqueId val="{00000016-4EA1-4D42-ABAE-EE028EFC6472}"/>
              </c:ext>
            </c:extLst>
          </c:dPt>
          <c:dPt>
            <c:idx val="3"/>
            <c:bubble3D val="0"/>
            <c:spPr>
              <a:solidFill>
                <a:srgbClr val="66C5EA"/>
              </a:solidFill>
              <a:ln>
                <a:noFill/>
              </a:ln>
              <a:effectLst/>
            </c:spPr>
            <c:extLst>
              <c:ext xmlns:c16="http://schemas.microsoft.com/office/drawing/2014/chart" uri="{C3380CC4-5D6E-409C-BE32-E72D297353CC}">
                <c16:uniqueId val="{00000018-4EA1-4D42-ABAE-EE028EFC6472}"/>
              </c:ext>
            </c:extLst>
          </c:dPt>
          <c:dPt>
            <c:idx val="4"/>
            <c:bubble3D val="0"/>
            <c:spPr>
              <a:solidFill>
                <a:srgbClr val="115F7E"/>
              </a:solidFill>
              <a:ln>
                <a:noFill/>
              </a:ln>
              <a:effectLst/>
            </c:spPr>
            <c:extLst>
              <c:ext xmlns:c16="http://schemas.microsoft.com/office/drawing/2014/chart" uri="{C3380CC4-5D6E-409C-BE32-E72D297353CC}">
                <c16:uniqueId val="{0000001A-4EA1-4D42-ABAE-EE028EFC6472}"/>
              </c:ext>
            </c:extLst>
          </c:dPt>
          <c:dPt>
            <c:idx val="5"/>
            <c:bubble3D val="0"/>
            <c:spPr>
              <a:solidFill>
                <a:srgbClr val="AED2E0"/>
              </a:solidFill>
              <a:ln>
                <a:noFill/>
              </a:ln>
              <a:effectLst/>
            </c:spPr>
            <c:extLst>
              <c:ext xmlns:c16="http://schemas.microsoft.com/office/drawing/2014/chart" uri="{C3380CC4-5D6E-409C-BE32-E72D297353CC}">
                <c16:uniqueId val="{0000001C-4EA1-4D42-ABAE-EE028EFC6472}"/>
              </c:ext>
            </c:extLst>
          </c:dPt>
          <c:dPt>
            <c:idx val="6"/>
            <c:bubble3D val="0"/>
            <c:spPr>
              <a:solidFill>
                <a:srgbClr val="D8DDE4"/>
              </a:solidFill>
              <a:ln>
                <a:noFill/>
              </a:ln>
              <a:effectLst/>
            </c:spPr>
            <c:extLst>
              <c:ext xmlns:c16="http://schemas.microsoft.com/office/drawing/2014/chart" uri="{C3380CC4-5D6E-409C-BE32-E72D297353CC}">
                <c16:uniqueId val="{0000001E-4EA1-4D42-ABAE-EE028EFC6472}"/>
              </c:ext>
            </c:extLst>
          </c:dPt>
          <c:dPt>
            <c:idx val="7"/>
            <c:bubble3D val="0"/>
            <c:spPr>
              <a:solidFill>
                <a:srgbClr val="FFFFFF"/>
              </a:solidFill>
              <a:ln>
                <a:noFill/>
              </a:ln>
              <a:effectLst/>
            </c:spPr>
            <c:extLst>
              <c:ext xmlns:c16="http://schemas.microsoft.com/office/drawing/2014/chart" uri="{C3380CC4-5D6E-409C-BE32-E72D297353CC}">
                <c16:uniqueId val="{00000020-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Examples!$B$37:$I$37</c:f>
              <c:numCache>
                <c:formatCode>General</c:formatCode>
                <c:ptCount val="8"/>
                <c:pt idx="0">
                  <c:v>39.39</c:v>
                </c:pt>
                <c:pt idx="1">
                  <c:v>32.020000000000003</c:v>
                </c:pt>
                <c:pt idx="2">
                  <c:v>21.6</c:v>
                </c:pt>
                <c:pt idx="3">
                  <c:v>7.01</c:v>
                </c:pt>
                <c:pt idx="4">
                  <c:v>3.36</c:v>
                </c:pt>
                <c:pt idx="5">
                  <c:v>12</c:v>
                </c:pt>
                <c:pt idx="6">
                  <c:v>6.6</c:v>
                </c:pt>
                <c:pt idx="7">
                  <c:v>15</c:v>
                </c:pt>
              </c:numCache>
            </c:numRef>
          </c:val>
          <c:extLst>
            <c:ext xmlns:c16="http://schemas.microsoft.com/office/drawing/2014/chart" uri="{C3380CC4-5D6E-409C-BE32-E72D297353CC}">
              <c16:uniqueId val="{00000021-4EA1-4D42-ABAE-EE028EFC6472}"/>
            </c:ext>
          </c:extLst>
        </c:ser>
        <c:ser>
          <c:idx val="1"/>
          <c:order val="2"/>
          <c:tx>
            <c:strRef>
              <c:f>Examples!$A$38</c:f>
              <c:strCache>
                <c:ptCount val="1"/>
                <c:pt idx="0">
                  <c:v>1988-89</c:v>
                </c:pt>
              </c:strCache>
            </c:strRef>
          </c:tx>
          <c:dPt>
            <c:idx val="0"/>
            <c:bubble3D val="0"/>
            <c:spPr>
              <a:solidFill>
                <a:srgbClr val="1C355E"/>
              </a:solidFill>
              <a:ln>
                <a:noFill/>
              </a:ln>
              <a:effectLst/>
            </c:spPr>
            <c:extLst>
              <c:ext xmlns:c16="http://schemas.microsoft.com/office/drawing/2014/chart" uri="{C3380CC4-5D6E-409C-BE32-E72D297353CC}">
                <c16:uniqueId val="{00000023-4EA1-4D42-ABAE-EE028EFC6472}"/>
              </c:ext>
            </c:extLst>
          </c:dPt>
          <c:dPt>
            <c:idx val="1"/>
            <c:bubble3D val="0"/>
            <c:spPr>
              <a:solidFill>
                <a:srgbClr val="77869F"/>
              </a:solidFill>
              <a:ln>
                <a:noFill/>
              </a:ln>
              <a:effectLst/>
            </c:spPr>
            <c:extLst>
              <c:ext xmlns:c16="http://schemas.microsoft.com/office/drawing/2014/chart" uri="{C3380CC4-5D6E-409C-BE32-E72D297353CC}">
                <c16:uniqueId val="{00000025-4EA1-4D42-ABAE-EE028EFC6472}"/>
              </c:ext>
            </c:extLst>
          </c:dPt>
          <c:dPt>
            <c:idx val="2"/>
            <c:bubble3D val="0"/>
            <c:spPr>
              <a:solidFill>
                <a:srgbClr val="009DDB"/>
              </a:solidFill>
              <a:ln>
                <a:noFill/>
              </a:ln>
              <a:effectLst/>
            </c:spPr>
            <c:extLst>
              <c:ext xmlns:c16="http://schemas.microsoft.com/office/drawing/2014/chart" uri="{C3380CC4-5D6E-409C-BE32-E72D297353CC}">
                <c16:uniqueId val="{00000027-4EA1-4D42-ABAE-EE028EFC6472}"/>
              </c:ext>
            </c:extLst>
          </c:dPt>
          <c:dPt>
            <c:idx val="3"/>
            <c:bubble3D val="0"/>
            <c:spPr>
              <a:solidFill>
                <a:srgbClr val="66C5EA"/>
              </a:solidFill>
              <a:ln>
                <a:noFill/>
              </a:ln>
              <a:effectLst/>
            </c:spPr>
            <c:extLst>
              <c:ext xmlns:c16="http://schemas.microsoft.com/office/drawing/2014/chart" uri="{C3380CC4-5D6E-409C-BE32-E72D297353CC}">
                <c16:uniqueId val="{00000029-4EA1-4D42-ABAE-EE028EFC6472}"/>
              </c:ext>
            </c:extLst>
          </c:dPt>
          <c:dPt>
            <c:idx val="4"/>
            <c:bubble3D val="0"/>
            <c:spPr>
              <a:solidFill>
                <a:srgbClr val="115F7E"/>
              </a:solidFill>
              <a:ln>
                <a:noFill/>
              </a:ln>
              <a:effectLst/>
            </c:spPr>
            <c:extLst>
              <c:ext xmlns:c16="http://schemas.microsoft.com/office/drawing/2014/chart" uri="{C3380CC4-5D6E-409C-BE32-E72D297353CC}">
                <c16:uniqueId val="{0000002B-4EA1-4D42-ABAE-EE028EFC6472}"/>
              </c:ext>
            </c:extLst>
          </c:dPt>
          <c:dPt>
            <c:idx val="5"/>
            <c:bubble3D val="0"/>
            <c:spPr>
              <a:solidFill>
                <a:srgbClr val="AED2E0"/>
              </a:solidFill>
              <a:ln>
                <a:noFill/>
              </a:ln>
              <a:effectLst/>
            </c:spPr>
            <c:extLst>
              <c:ext xmlns:c16="http://schemas.microsoft.com/office/drawing/2014/chart" uri="{C3380CC4-5D6E-409C-BE32-E72D297353CC}">
                <c16:uniqueId val="{0000002D-4EA1-4D42-ABAE-EE028EFC6472}"/>
              </c:ext>
            </c:extLst>
          </c:dPt>
          <c:dPt>
            <c:idx val="6"/>
            <c:bubble3D val="0"/>
            <c:spPr>
              <a:solidFill>
                <a:srgbClr val="D8DDE4"/>
              </a:solidFill>
              <a:ln>
                <a:noFill/>
              </a:ln>
              <a:effectLst/>
            </c:spPr>
            <c:extLst>
              <c:ext xmlns:c16="http://schemas.microsoft.com/office/drawing/2014/chart" uri="{C3380CC4-5D6E-409C-BE32-E72D297353CC}">
                <c16:uniqueId val="{0000002F-4EA1-4D42-ABAE-EE028EFC6472}"/>
              </c:ext>
            </c:extLst>
          </c:dPt>
          <c:dPt>
            <c:idx val="7"/>
            <c:bubble3D val="0"/>
            <c:spPr>
              <a:solidFill>
                <a:srgbClr val="FFFFFF"/>
              </a:solidFill>
              <a:ln>
                <a:noFill/>
              </a:ln>
              <a:effectLst/>
            </c:spPr>
            <c:extLst>
              <c:ext xmlns:c16="http://schemas.microsoft.com/office/drawing/2014/chart" uri="{C3380CC4-5D6E-409C-BE32-E72D297353CC}">
                <c16:uniqueId val="{00000031-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Examples!$B$38:$I$38</c:f>
              <c:numCache>
                <c:formatCode>General</c:formatCode>
                <c:ptCount val="8"/>
                <c:pt idx="0">
                  <c:v>42.78</c:v>
                </c:pt>
                <c:pt idx="1">
                  <c:v>29.91</c:v>
                </c:pt>
                <c:pt idx="2">
                  <c:v>18.350000000000001</c:v>
                </c:pt>
                <c:pt idx="3">
                  <c:v>6.33</c:v>
                </c:pt>
                <c:pt idx="4">
                  <c:v>2.63</c:v>
                </c:pt>
                <c:pt idx="5">
                  <c:v>14</c:v>
                </c:pt>
                <c:pt idx="6">
                  <c:v>5.7</c:v>
                </c:pt>
                <c:pt idx="7">
                  <c:v>16</c:v>
                </c:pt>
              </c:numCache>
            </c:numRef>
          </c:val>
          <c:extLst>
            <c:ext xmlns:c16="http://schemas.microsoft.com/office/drawing/2014/chart" uri="{C3380CC4-5D6E-409C-BE32-E72D297353CC}">
              <c16:uniqueId val="{00000032-4EA1-4D42-ABAE-EE028EFC6472}"/>
            </c:ext>
          </c:extLst>
        </c:ser>
        <c:ser>
          <c:idx val="0"/>
          <c:order val="3"/>
          <c:tx>
            <c:strRef>
              <c:f>Examples!$A$39</c:f>
              <c:strCache>
                <c:ptCount val="1"/>
                <c:pt idx="0">
                  <c:v>1993-94</c:v>
                </c:pt>
              </c:strCache>
            </c:strRef>
          </c:tx>
          <c:dPt>
            <c:idx val="0"/>
            <c:bubble3D val="0"/>
            <c:spPr>
              <a:solidFill>
                <a:srgbClr val="1C355E"/>
              </a:solidFill>
              <a:ln>
                <a:noFill/>
              </a:ln>
              <a:effectLst/>
            </c:spPr>
            <c:extLst>
              <c:ext xmlns:c16="http://schemas.microsoft.com/office/drawing/2014/chart" uri="{C3380CC4-5D6E-409C-BE32-E72D297353CC}">
                <c16:uniqueId val="{00000034-4EA1-4D42-ABAE-EE028EFC6472}"/>
              </c:ext>
            </c:extLst>
          </c:dPt>
          <c:dPt>
            <c:idx val="1"/>
            <c:bubble3D val="0"/>
            <c:spPr>
              <a:solidFill>
                <a:srgbClr val="77869F"/>
              </a:solidFill>
              <a:ln>
                <a:noFill/>
              </a:ln>
              <a:effectLst/>
            </c:spPr>
            <c:extLst>
              <c:ext xmlns:c16="http://schemas.microsoft.com/office/drawing/2014/chart" uri="{C3380CC4-5D6E-409C-BE32-E72D297353CC}">
                <c16:uniqueId val="{00000036-4EA1-4D42-ABAE-EE028EFC6472}"/>
              </c:ext>
            </c:extLst>
          </c:dPt>
          <c:dPt>
            <c:idx val="2"/>
            <c:bubble3D val="0"/>
            <c:spPr>
              <a:solidFill>
                <a:srgbClr val="009DDB"/>
              </a:solidFill>
              <a:ln>
                <a:noFill/>
              </a:ln>
              <a:effectLst/>
            </c:spPr>
            <c:extLst>
              <c:ext xmlns:c16="http://schemas.microsoft.com/office/drawing/2014/chart" uri="{C3380CC4-5D6E-409C-BE32-E72D297353CC}">
                <c16:uniqueId val="{00000038-4EA1-4D42-ABAE-EE028EFC6472}"/>
              </c:ext>
            </c:extLst>
          </c:dPt>
          <c:dPt>
            <c:idx val="3"/>
            <c:bubble3D val="0"/>
            <c:spPr>
              <a:solidFill>
                <a:srgbClr val="66C5EA"/>
              </a:solidFill>
              <a:ln>
                <a:noFill/>
              </a:ln>
              <a:effectLst/>
            </c:spPr>
            <c:extLst>
              <c:ext xmlns:c16="http://schemas.microsoft.com/office/drawing/2014/chart" uri="{C3380CC4-5D6E-409C-BE32-E72D297353CC}">
                <c16:uniqueId val="{0000003A-4EA1-4D42-ABAE-EE028EFC6472}"/>
              </c:ext>
            </c:extLst>
          </c:dPt>
          <c:dPt>
            <c:idx val="4"/>
            <c:bubble3D val="0"/>
            <c:spPr>
              <a:solidFill>
                <a:srgbClr val="115F7E"/>
              </a:solidFill>
              <a:ln>
                <a:noFill/>
              </a:ln>
              <a:effectLst/>
            </c:spPr>
            <c:extLst>
              <c:ext xmlns:c16="http://schemas.microsoft.com/office/drawing/2014/chart" uri="{C3380CC4-5D6E-409C-BE32-E72D297353CC}">
                <c16:uniqueId val="{0000003C-4EA1-4D42-ABAE-EE028EFC6472}"/>
              </c:ext>
            </c:extLst>
          </c:dPt>
          <c:dPt>
            <c:idx val="5"/>
            <c:bubble3D val="0"/>
            <c:spPr>
              <a:solidFill>
                <a:srgbClr val="AED2E0"/>
              </a:solidFill>
              <a:ln>
                <a:noFill/>
              </a:ln>
              <a:effectLst/>
            </c:spPr>
            <c:extLst>
              <c:ext xmlns:c16="http://schemas.microsoft.com/office/drawing/2014/chart" uri="{C3380CC4-5D6E-409C-BE32-E72D297353CC}">
                <c16:uniqueId val="{0000003E-4EA1-4D42-ABAE-EE028EFC6472}"/>
              </c:ext>
            </c:extLst>
          </c:dPt>
          <c:dPt>
            <c:idx val="6"/>
            <c:bubble3D val="0"/>
            <c:spPr>
              <a:solidFill>
                <a:srgbClr val="D8DDE4"/>
              </a:solidFill>
              <a:ln>
                <a:noFill/>
              </a:ln>
              <a:effectLst/>
            </c:spPr>
            <c:extLst>
              <c:ext xmlns:c16="http://schemas.microsoft.com/office/drawing/2014/chart" uri="{C3380CC4-5D6E-409C-BE32-E72D297353CC}">
                <c16:uniqueId val="{00000040-4EA1-4D42-ABAE-EE028EFC6472}"/>
              </c:ext>
            </c:extLst>
          </c:dPt>
          <c:dPt>
            <c:idx val="7"/>
            <c:bubble3D val="0"/>
            <c:spPr>
              <a:solidFill>
                <a:srgbClr val="FFFFFF"/>
              </a:solidFill>
              <a:ln>
                <a:noFill/>
              </a:ln>
              <a:effectLst/>
            </c:spPr>
            <c:extLst>
              <c:ext xmlns:c16="http://schemas.microsoft.com/office/drawing/2014/chart" uri="{C3380CC4-5D6E-409C-BE32-E72D297353CC}">
                <c16:uniqueId val="{00000042-4EA1-4D42-ABAE-EE028EFC6472}"/>
              </c:ext>
            </c:extLst>
          </c:dPt>
          <c:dLbls>
            <c:dLbl>
              <c:idx val="1"/>
              <c:layout>
                <c:manualLayout>
                  <c:x val="2.779921010822416E-2"/>
                  <c:y val="-5.10012674271229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6-4EA1-4D42-ABAE-EE028EFC6472}"/>
                </c:ext>
              </c:extLst>
            </c:dLbl>
            <c:dLbl>
              <c:idx val="7"/>
              <c:layout>
                <c:manualLayout>
                  <c:x val="1.9893319786639576E-2"/>
                  <c:y val="-1.7927606957875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4EA1-4D42-ABAE-EE028EFC6472}"/>
                </c:ext>
              </c:extLst>
            </c:dLbl>
            <c:numFmt formatCode="0.0%" sourceLinked="0"/>
            <c:spPr>
              <a:noFill/>
              <a:ln w="25400">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Examples!$B$39:$I$39</c:f>
              <c:numCache>
                <c:formatCode>General</c:formatCode>
                <c:ptCount val="8"/>
                <c:pt idx="0">
                  <c:v>42.13</c:v>
                </c:pt>
                <c:pt idx="1">
                  <c:v>26.53</c:v>
                </c:pt>
                <c:pt idx="2">
                  <c:v>21.6</c:v>
                </c:pt>
                <c:pt idx="3">
                  <c:v>7.01</c:v>
                </c:pt>
                <c:pt idx="4">
                  <c:v>2.72</c:v>
                </c:pt>
                <c:pt idx="5">
                  <c:v>16</c:v>
                </c:pt>
                <c:pt idx="6">
                  <c:v>3</c:v>
                </c:pt>
                <c:pt idx="7">
                  <c:v>17</c:v>
                </c:pt>
              </c:numCache>
            </c:numRef>
          </c:val>
          <c:extLst>
            <c:ext xmlns:c16="http://schemas.microsoft.com/office/drawing/2014/chart" uri="{C3380CC4-5D6E-409C-BE32-E72D297353CC}">
              <c16:uniqueId val="{00000043-4EA1-4D42-ABAE-EE028EFC6472}"/>
            </c:ext>
          </c:extLst>
        </c:ser>
        <c:ser>
          <c:idx val="4"/>
          <c:order val="4"/>
          <c:tx>
            <c:strRef>
              <c:f>Examples!$A$40</c:f>
              <c:strCache>
                <c:ptCount val="1"/>
                <c:pt idx="0">
                  <c:v>1996-97</c:v>
                </c:pt>
              </c:strCache>
            </c:strRef>
          </c:tx>
          <c:dPt>
            <c:idx val="0"/>
            <c:bubble3D val="0"/>
            <c:spPr>
              <a:solidFill>
                <a:srgbClr val="1C355E"/>
              </a:solidFill>
              <a:ln>
                <a:noFill/>
              </a:ln>
              <a:effectLst/>
            </c:spPr>
            <c:extLst>
              <c:ext xmlns:c16="http://schemas.microsoft.com/office/drawing/2014/chart" uri="{C3380CC4-5D6E-409C-BE32-E72D297353CC}">
                <c16:uniqueId val="{00000045-4EA1-4D42-ABAE-EE028EFC6472}"/>
              </c:ext>
            </c:extLst>
          </c:dPt>
          <c:dPt>
            <c:idx val="1"/>
            <c:bubble3D val="0"/>
            <c:spPr>
              <a:solidFill>
                <a:srgbClr val="77869F"/>
              </a:solidFill>
              <a:ln>
                <a:noFill/>
              </a:ln>
              <a:effectLst/>
            </c:spPr>
            <c:extLst>
              <c:ext xmlns:c16="http://schemas.microsoft.com/office/drawing/2014/chart" uri="{C3380CC4-5D6E-409C-BE32-E72D297353CC}">
                <c16:uniqueId val="{00000047-4EA1-4D42-ABAE-EE028EFC6472}"/>
              </c:ext>
            </c:extLst>
          </c:dPt>
          <c:dPt>
            <c:idx val="2"/>
            <c:bubble3D val="0"/>
            <c:spPr>
              <a:solidFill>
                <a:srgbClr val="009DDB"/>
              </a:solidFill>
              <a:ln>
                <a:noFill/>
              </a:ln>
              <a:effectLst/>
            </c:spPr>
            <c:extLst>
              <c:ext xmlns:c16="http://schemas.microsoft.com/office/drawing/2014/chart" uri="{C3380CC4-5D6E-409C-BE32-E72D297353CC}">
                <c16:uniqueId val="{00000049-4EA1-4D42-ABAE-EE028EFC6472}"/>
              </c:ext>
            </c:extLst>
          </c:dPt>
          <c:dPt>
            <c:idx val="3"/>
            <c:bubble3D val="0"/>
            <c:spPr>
              <a:solidFill>
                <a:srgbClr val="66C5EA"/>
              </a:solidFill>
              <a:ln>
                <a:noFill/>
              </a:ln>
              <a:effectLst/>
            </c:spPr>
            <c:extLst>
              <c:ext xmlns:c16="http://schemas.microsoft.com/office/drawing/2014/chart" uri="{C3380CC4-5D6E-409C-BE32-E72D297353CC}">
                <c16:uniqueId val="{0000004B-4EA1-4D42-ABAE-EE028EFC6472}"/>
              </c:ext>
            </c:extLst>
          </c:dPt>
          <c:dPt>
            <c:idx val="4"/>
            <c:bubble3D val="0"/>
            <c:spPr>
              <a:solidFill>
                <a:srgbClr val="115F7E"/>
              </a:solidFill>
              <a:ln>
                <a:noFill/>
              </a:ln>
              <a:effectLst/>
            </c:spPr>
            <c:extLst>
              <c:ext xmlns:c16="http://schemas.microsoft.com/office/drawing/2014/chart" uri="{C3380CC4-5D6E-409C-BE32-E72D297353CC}">
                <c16:uniqueId val="{0000004D-4EA1-4D42-ABAE-EE028EFC6472}"/>
              </c:ext>
            </c:extLst>
          </c:dPt>
          <c:dPt>
            <c:idx val="5"/>
            <c:bubble3D val="0"/>
            <c:spPr>
              <a:solidFill>
                <a:srgbClr val="AED2E0"/>
              </a:solidFill>
              <a:ln>
                <a:noFill/>
              </a:ln>
              <a:effectLst/>
            </c:spPr>
            <c:extLst>
              <c:ext xmlns:c16="http://schemas.microsoft.com/office/drawing/2014/chart" uri="{C3380CC4-5D6E-409C-BE32-E72D297353CC}">
                <c16:uniqueId val="{0000004F-4EA1-4D42-ABAE-EE028EFC6472}"/>
              </c:ext>
            </c:extLst>
          </c:dPt>
          <c:dPt>
            <c:idx val="6"/>
            <c:bubble3D val="0"/>
            <c:spPr>
              <a:solidFill>
                <a:srgbClr val="D8DDE4"/>
              </a:solidFill>
              <a:ln>
                <a:noFill/>
              </a:ln>
              <a:effectLst/>
            </c:spPr>
            <c:extLst>
              <c:ext xmlns:c16="http://schemas.microsoft.com/office/drawing/2014/chart" uri="{C3380CC4-5D6E-409C-BE32-E72D297353CC}">
                <c16:uniqueId val="{00000051-4EA1-4D42-ABAE-EE028EFC6472}"/>
              </c:ext>
            </c:extLst>
          </c:dPt>
          <c:dPt>
            <c:idx val="7"/>
            <c:bubble3D val="0"/>
            <c:spPr>
              <a:solidFill>
                <a:srgbClr val="FFFFFF"/>
              </a:solidFill>
              <a:ln>
                <a:noFill/>
              </a:ln>
              <a:effectLst/>
            </c:spPr>
            <c:extLst>
              <c:ext xmlns:c16="http://schemas.microsoft.com/office/drawing/2014/chart" uri="{C3380CC4-5D6E-409C-BE32-E72D297353CC}">
                <c16:uniqueId val="{00000053-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Examples!$B$40:$I$40</c:f>
              <c:numCache>
                <c:formatCode>General</c:formatCode>
                <c:ptCount val="8"/>
                <c:pt idx="0">
                  <c:v>41.69</c:v>
                </c:pt>
                <c:pt idx="1">
                  <c:v>24.76</c:v>
                </c:pt>
                <c:pt idx="2">
                  <c:v>23.98</c:v>
                </c:pt>
                <c:pt idx="3">
                  <c:v>7</c:v>
                </c:pt>
                <c:pt idx="4">
                  <c:v>2.57</c:v>
                </c:pt>
                <c:pt idx="5">
                  <c:v>18</c:v>
                </c:pt>
                <c:pt idx="6">
                  <c:v>3.5</c:v>
                </c:pt>
                <c:pt idx="7">
                  <c:v>19</c:v>
                </c:pt>
              </c:numCache>
            </c:numRef>
          </c:val>
          <c:extLst>
            <c:ext xmlns:c16="http://schemas.microsoft.com/office/drawing/2014/chart" uri="{C3380CC4-5D6E-409C-BE32-E72D297353CC}">
              <c16:uniqueId val="{00000054-4EA1-4D42-ABAE-EE028EFC6472}"/>
            </c:ext>
          </c:extLst>
        </c:ser>
        <c:ser>
          <c:idx val="5"/>
          <c:order val="5"/>
          <c:tx>
            <c:strRef>
              <c:f>Examples!$A$41</c:f>
              <c:strCache>
                <c:ptCount val="1"/>
                <c:pt idx="0">
                  <c:v>1997-98</c:v>
                </c:pt>
              </c:strCache>
            </c:strRef>
          </c:tx>
          <c:dPt>
            <c:idx val="0"/>
            <c:bubble3D val="0"/>
            <c:spPr>
              <a:solidFill>
                <a:srgbClr val="1C355E"/>
              </a:solidFill>
              <a:ln>
                <a:noFill/>
              </a:ln>
              <a:effectLst/>
            </c:spPr>
            <c:extLst>
              <c:ext xmlns:c16="http://schemas.microsoft.com/office/drawing/2014/chart" uri="{C3380CC4-5D6E-409C-BE32-E72D297353CC}">
                <c16:uniqueId val="{00000056-4EA1-4D42-ABAE-EE028EFC6472}"/>
              </c:ext>
            </c:extLst>
          </c:dPt>
          <c:dPt>
            <c:idx val="1"/>
            <c:bubble3D val="0"/>
            <c:spPr>
              <a:solidFill>
                <a:srgbClr val="77869F"/>
              </a:solidFill>
              <a:ln>
                <a:noFill/>
              </a:ln>
              <a:effectLst/>
            </c:spPr>
            <c:extLst>
              <c:ext xmlns:c16="http://schemas.microsoft.com/office/drawing/2014/chart" uri="{C3380CC4-5D6E-409C-BE32-E72D297353CC}">
                <c16:uniqueId val="{00000058-4EA1-4D42-ABAE-EE028EFC6472}"/>
              </c:ext>
            </c:extLst>
          </c:dPt>
          <c:dPt>
            <c:idx val="2"/>
            <c:bubble3D val="0"/>
            <c:spPr>
              <a:solidFill>
                <a:srgbClr val="009DDB"/>
              </a:solidFill>
              <a:ln>
                <a:noFill/>
              </a:ln>
              <a:effectLst/>
            </c:spPr>
            <c:extLst>
              <c:ext xmlns:c16="http://schemas.microsoft.com/office/drawing/2014/chart" uri="{C3380CC4-5D6E-409C-BE32-E72D297353CC}">
                <c16:uniqueId val="{0000005A-4EA1-4D42-ABAE-EE028EFC6472}"/>
              </c:ext>
            </c:extLst>
          </c:dPt>
          <c:dPt>
            <c:idx val="3"/>
            <c:bubble3D val="0"/>
            <c:spPr>
              <a:solidFill>
                <a:srgbClr val="66C5EA"/>
              </a:solidFill>
              <a:ln>
                <a:noFill/>
              </a:ln>
              <a:effectLst/>
            </c:spPr>
            <c:extLst>
              <c:ext xmlns:c16="http://schemas.microsoft.com/office/drawing/2014/chart" uri="{C3380CC4-5D6E-409C-BE32-E72D297353CC}">
                <c16:uniqueId val="{0000005C-4EA1-4D42-ABAE-EE028EFC6472}"/>
              </c:ext>
            </c:extLst>
          </c:dPt>
          <c:dPt>
            <c:idx val="4"/>
            <c:bubble3D val="0"/>
            <c:spPr>
              <a:solidFill>
                <a:srgbClr val="115F7E"/>
              </a:solidFill>
              <a:ln>
                <a:noFill/>
              </a:ln>
              <a:effectLst/>
            </c:spPr>
            <c:extLst>
              <c:ext xmlns:c16="http://schemas.microsoft.com/office/drawing/2014/chart" uri="{C3380CC4-5D6E-409C-BE32-E72D297353CC}">
                <c16:uniqueId val="{0000005E-4EA1-4D42-ABAE-EE028EFC6472}"/>
              </c:ext>
            </c:extLst>
          </c:dPt>
          <c:dPt>
            <c:idx val="5"/>
            <c:bubble3D val="0"/>
            <c:spPr>
              <a:solidFill>
                <a:srgbClr val="AED2E0"/>
              </a:solidFill>
              <a:ln>
                <a:noFill/>
              </a:ln>
              <a:effectLst/>
            </c:spPr>
            <c:extLst>
              <c:ext xmlns:c16="http://schemas.microsoft.com/office/drawing/2014/chart" uri="{C3380CC4-5D6E-409C-BE32-E72D297353CC}">
                <c16:uniqueId val="{00000060-4EA1-4D42-ABAE-EE028EFC6472}"/>
              </c:ext>
            </c:extLst>
          </c:dPt>
          <c:dPt>
            <c:idx val="6"/>
            <c:bubble3D val="0"/>
            <c:spPr>
              <a:solidFill>
                <a:srgbClr val="D8DDE4"/>
              </a:solidFill>
              <a:ln>
                <a:noFill/>
              </a:ln>
              <a:effectLst/>
            </c:spPr>
            <c:extLst>
              <c:ext xmlns:c16="http://schemas.microsoft.com/office/drawing/2014/chart" uri="{C3380CC4-5D6E-409C-BE32-E72D297353CC}">
                <c16:uniqueId val="{00000062-4EA1-4D42-ABAE-EE028EFC6472}"/>
              </c:ext>
            </c:extLst>
          </c:dPt>
          <c:dPt>
            <c:idx val="7"/>
            <c:bubble3D val="0"/>
            <c:spPr>
              <a:solidFill>
                <a:srgbClr val="FFFFFF"/>
              </a:solidFill>
              <a:ln>
                <a:noFill/>
              </a:ln>
              <a:effectLst/>
            </c:spPr>
            <c:extLst>
              <c:ext xmlns:c16="http://schemas.microsoft.com/office/drawing/2014/chart" uri="{C3380CC4-5D6E-409C-BE32-E72D297353CC}">
                <c16:uniqueId val="{00000064-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Examples!$B$41:$I$41</c:f>
              <c:numCache>
                <c:formatCode>General</c:formatCode>
                <c:ptCount val="8"/>
                <c:pt idx="0">
                  <c:v>39.39</c:v>
                </c:pt>
                <c:pt idx="1">
                  <c:v>32.020000000000003</c:v>
                </c:pt>
                <c:pt idx="2">
                  <c:v>21.6</c:v>
                </c:pt>
                <c:pt idx="3">
                  <c:v>7.01</c:v>
                </c:pt>
                <c:pt idx="4">
                  <c:v>3.36</c:v>
                </c:pt>
                <c:pt idx="5">
                  <c:v>12</c:v>
                </c:pt>
                <c:pt idx="6">
                  <c:v>3.8</c:v>
                </c:pt>
                <c:pt idx="7">
                  <c:v>13</c:v>
                </c:pt>
              </c:numCache>
            </c:numRef>
          </c:val>
          <c:extLst>
            <c:ext xmlns:c16="http://schemas.microsoft.com/office/drawing/2014/chart" uri="{C3380CC4-5D6E-409C-BE32-E72D297353CC}">
              <c16:uniqueId val="{00000065-4EA1-4D42-ABAE-EE028EFC6472}"/>
            </c:ext>
          </c:extLst>
        </c:ser>
        <c:ser>
          <c:idx val="6"/>
          <c:order val="6"/>
          <c:tx>
            <c:strRef>
              <c:f>Examples!$A$42</c:f>
              <c:strCache>
                <c:ptCount val="1"/>
                <c:pt idx="0">
                  <c:v>1998-99</c:v>
                </c:pt>
              </c:strCache>
            </c:strRef>
          </c:tx>
          <c:dPt>
            <c:idx val="0"/>
            <c:bubble3D val="0"/>
            <c:spPr>
              <a:solidFill>
                <a:srgbClr val="1C355E"/>
              </a:solidFill>
              <a:ln>
                <a:noFill/>
              </a:ln>
              <a:effectLst/>
            </c:spPr>
            <c:extLst>
              <c:ext xmlns:c16="http://schemas.microsoft.com/office/drawing/2014/chart" uri="{C3380CC4-5D6E-409C-BE32-E72D297353CC}">
                <c16:uniqueId val="{00000067-4EA1-4D42-ABAE-EE028EFC6472}"/>
              </c:ext>
            </c:extLst>
          </c:dPt>
          <c:dPt>
            <c:idx val="1"/>
            <c:bubble3D val="0"/>
            <c:spPr>
              <a:solidFill>
                <a:srgbClr val="77869F"/>
              </a:solidFill>
              <a:ln>
                <a:noFill/>
              </a:ln>
              <a:effectLst/>
            </c:spPr>
            <c:extLst>
              <c:ext xmlns:c16="http://schemas.microsoft.com/office/drawing/2014/chart" uri="{C3380CC4-5D6E-409C-BE32-E72D297353CC}">
                <c16:uniqueId val="{00000069-4EA1-4D42-ABAE-EE028EFC6472}"/>
              </c:ext>
            </c:extLst>
          </c:dPt>
          <c:dPt>
            <c:idx val="2"/>
            <c:bubble3D val="0"/>
            <c:spPr>
              <a:solidFill>
                <a:srgbClr val="009DDB"/>
              </a:solidFill>
              <a:ln>
                <a:noFill/>
              </a:ln>
              <a:effectLst/>
            </c:spPr>
            <c:extLst>
              <c:ext xmlns:c16="http://schemas.microsoft.com/office/drawing/2014/chart" uri="{C3380CC4-5D6E-409C-BE32-E72D297353CC}">
                <c16:uniqueId val="{0000006B-4EA1-4D42-ABAE-EE028EFC6472}"/>
              </c:ext>
            </c:extLst>
          </c:dPt>
          <c:dPt>
            <c:idx val="3"/>
            <c:bubble3D val="0"/>
            <c:spPr>
              <a:solidFill>
                <a:srgbClr val="66C5EA"/>
              </a:solidFill>
              <a:ln>
                <a:noFill/>
              </a:ln>
              <a:effectLst/>
            </c:spPr>
            <c:extLst>
              <c:ext xmlns:c16="http://schemas.microsoft.com/office/drawing/2014/chart" uri="{C3380CC4-5D6E-409C-BE32-E72D297353CC}">
                <c16:uniqueId val="{0000006D-4EA1-4D42-ABAE-EE028EFC6472}"/>
              </c:ext>
            </c:extLst>
          </c:dPt>
          <c:dPt>
            <c:idx val="4"/>
            <c:bubble3D val="0"/>
            <c:spPr>
              <a:solidFill>
                <a:srgbClr val="115F7E"/>
              </a:solidFill>
              <a:ln>
                <a:noFill/>
              </a:ln>
              <a:effectLst/>
            </c:spPr>
            <c:extLst>
              <c:ext xmlns:c16="http://schemas.microsoft.com/office/drawing/2014/chart" uri="{C3380CC4-5D6E-409C-BE32-E72D297353CC}">
                <c16:uniqueId val="{0000006F-4EA1-4D42-ABAE-EE028EFC6472}"/>
              </c:ext>
            </c:extLst>
          </c:dPt>
          <c:dPt>
            <c:idx val="5"/>
            <c:bubble3D val="0"/>
            <c:spPr>
              <a:solidFill>
                <a:srgbClr val="AED2E0"/>
              </a:solidFill>
              <a:ln>
                <a:noFill/>
              </a:ln>
              <a:effectLst/>
            </c:spPr>
            <c:extLst>
              <c:ext xmlns:c16="http://schemas.microsoft.com/office/drawing/2014/chart" uri="{C3380CC4-5D6E-409C-BE32-E72D297353CC}">
                <c16:uniqueId val="{00000071-4EA1-4D42-ABAE-EE028EFC6472}"/>
              </c:ext>
            </c:extLst>
          </c:dPt>
          <c:dPt>
            <c:idx val="6"/>
            <c:bubble3D val="0"/>
            <c:spPr>
              <a:solidFill>
                <a:srgbClr val="D8DDE4"/>
              </a:solidFill>
              <a:ln>
                <a:noFill/>
              </a:ln>
              <a:effectLst/>
            </c:spPr>
            <c:extLst>
              <c:ext xmlns:c16="http://schemas.microsoft.com/office/drawing/2014/chart" uri="{C3380CC4-5D6E-409C-BE32-E72D297353CC}">
                <c16:uniqueId val="{00000073-4EA1-4D42-ABAE-EE028EFC6472}"/>
              </c:ext>
            </c:extLst>
          </c:dPt>
          <c:dPt>
            <c:idx val="7"/>
            <c:bubble3D val="0"/>
            <c:spPr>
              <a:solidFill>
                <a:srgbClr val="FFFFFF"/>
              </a:solidFill>
              <a:ln>
                <a:noFill/>
              </a:ln>
              <a:effectLst/>
            </c:spPr>
            <c:extLst>
              <c:ext xmlns:c16="http://schemas.microsoft.com/office/drawing/2014/chart" uri="{C3380CC4-5D6E-409C-BE32-E72D297353CC}">
                <c16:uniqueId val="{00000075-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Examples!$B$42:$I$42</c:f>
              <c:numCache>
                <c:formatCode>General</c:formatCode>
                <c:ptCount val="8"/>
                <c:pt idx="0">
                  <c:v>42.13</c:v>
                </c:pt>
                <c:pt idx="1">
                  <c:v>26.53</c:v>
                </c:pt>
                <c:pt idx="2">
                  <c:v>21.6</c:v>
                </c:pt>
                <c:pt idx="3">
                  <c:v>7.01</c:v>
                </c:pt>
                <c:pt idx="4">
                  <c:v>2.72</c:v>
                </c:pt>
                <c:pt idx="5">
                  <c:v>16</c:v>
                </c:pt>
                <c:pt idx="6">
                  <c:v>3.2</c:v>
                </c:pt>
                <c:pt idx="7">
                  <c:v>18</c:v>
                </c:pt>
              </c:numCache>
            </c:numRef>
          </c:val>
          <c:extLst>
            <c:ext xmlns:c16="http://schemas.microsoft.com/office/drawing/2014/chart" uri="{C3380CC4-5D6E-409C-BE32-E72D297353CC}">
              <c16:uniqueId val="{00000076-4EA1-4D42-ABAE-EE028EFC6472}"/>
            </c:ext>
          </c:extLst>
        </c:ser>
        <c:ser>
          <c:idx val="7"/>
          <c:order val="7"/>
          <c:tx>
            <c:strRef>
              <c:f>Examples!$A$43</c:f>
              <c:strCache>
                <c:ptCount val="1"/>
                <c:pt idx="0">
                  <c:v>1999-00</c:v>
                </c:pt>
              </c:strCache>
            </c:strRef>
          </c:tx>
          <c:dPt>
            <c:idx val="0"/>
            <c:bubble3D val="0"/>
            <c:spPr>
              <a:solidFill>
                <a:srgbClr val="1C355E"/>
              </a:solidFill>
              <a:ln>
                <a:noFill/>
              </a:ln>
              <a:effectLst/>
            </c:spPr>
            <c:extLst>
              <c:ext xmlns:c16="http://schemas.microsoft.com/office/drawing/2014/chart" uri="{C3380CC4-5D6E-409C-BE32-E72D297353CC}">
                <c16:uniqueId val="{00000078-4EA1-4D42-ABAE-EE028EFC6472}"/>
              </c:ext>
            </c:extLst>
          </c:dPt>
          <c:dPt>
            <c:idx val="1"/>
            <c:bubble3D val="0"/>
            <c:spPr>
              <a:solidFill>
                <a:srgbClr val="77869F"/>
              </a:solidFill>
              <a:ln>
                <a:noFill/>
              </a:ln>
              <a:effectLst/>
            </c:spPr>
            <c:extLst>
              <c:ext xmlns:c16="http://schemas.microsoft.com/office/drawing/2014/chart" uri="{C3380CC4-5D6E-409C-BE32-E72D297353CC}">
                <c16:uniqueId val="{0000007A-4EA1-4D42-ABAE-EE028EFC6472}"/>
              </c:ext>
            </c:extLst>
          </c:dPt>
          <c:dPt>
            <c:idx val="2"/>
            <c:bubble3D val="0"/>
            <c:spPr>
              <a:solidFill>
                <a:srgbClr val="009DDB"/>
              </a:solidFill>
              <a:ln>
                <a:noFill/>
              </a:ln>
              <a:effectLst/>
            </c:spPr>
            <c:extLst>
              <c:ext xmlns:c16="http://schemas.microsoft.com/office/drawing/2014/chart" uri="{C3380CC4-5D6E-409C-BE32-E72D297353CC}">
                <c16:uniqueId val="{0000007C-4EA1-4D42-ABAE-EE028EFC6472}"/>
              </c:ext>
            </c:extLst>
          </c:dPt>
          <c:dPt>
            <c:idx val="3"/>
            <c:bubble3D val="0"/>
            <c:spPr>
              <a:solidFill>
                <a:srgbClr val="66C5EA"/>
              </a:solidFill>
              <a:ln>
                <a:noFill/>
              </a:ln>
              <a:effectLst/>
            </c:spPr>
            <c:extLst>
              <c:ext xmlns:c16="http://schemas.microsoft.com/office/drawing/2014/chart" uri="{C3380CC4-5D6E-409C-BE32-E72D297353CC}">
                <c16:uniqueId val="{0000007E-4EA1-4D42-ABAE-EE028EFC6472}"/>
              </c:ext>
            </c:extLst>
          </c:dPt>
          <c:dPt>
            <c:idx val="4"/>
            <c:bubble3D val="0"/>
            <c:spPr>
              <a:solidFill>
                <a:srgbClr val="115F7E"/>
              </a:solidFill>
              <a:ln>
                <a:noFill/>
              </a:ln>
              <a:effectLst/>
            </c:spPr>
            <c:extLst>
              <c:ext xmlns:c16="http://schemas.microsoft.com/office/drawing/2014/chart" uri="{C3380CC4-5D6E-409C-BE32-E72D297353CC}">
                <c16:uniqueId val="{00000080-4EA1-4D42-ABAE-EE028EFC6472}"/>
              </c:ext>
            </c:extLst>
          </c:dPt>
          <c:dPt>
            <c:idx val="5"/>
            <c:bubble3D val="0"/>
            <c:spPr>
              <a:solidFill>
                <a:srgbClr val="AED2E0"/>
              </a:solidFill>
              <a:ln>
                <a:noFill/>
              </a:ln>
              <a:effectLst/>
            </c:spPr>
            <c:extLst>
              <c:ext xmlns:c16="http://schemas.microsoft.com/office/drawing/2014/chart" uri="{C3380CC4-5D6E-409C-BE32-E72D297353CC}">
                <c16:uniqueId val="{00000082-4EA1-4D42-ABAE-EE028EFC6472}"/>
              </c:ext>
            </c:extLst>
          </c:dPt>
          <c:dPt>
            <c:idx val="6"/>
            <c:bubble3D val="0"/>
            <c:spPr>
              <a:solidFill>
                <a:srgbClr val="D8DDE4"/>
              </a:solidFill>
              <a:ln>
                <a:noFill/>
              </a:ln>
              <a:effectLst/>
            </c:spPr>
            <c:extLst>
              <c:ext xmlns:c16="http://schemas.microsoft.com/office/drawing/2014/chart" uri="{C3380CC4-5D6E-409C-BE32-E72D297353CC}">
                <c16:uniqueId val="{00000084-4EA1-4D42-ABAE-EE028EFC6472}"/>
              </c:ext>
            </c:extLst>
          </c:dPt>
          <c:dPt>
            <c:idx val="7"/>
            <c:bubble3D val="0"/>
            <c:spPr>
              <a:solidFill>
                <a:srgbClr val="FFFFFF"/>
              </a:solidFill>
              <a:ln>
                <a:noFill/>
              </a:ln>
              <a:effectLst/>
            </c:spPr>
            <c:extLst>
              <c:ext xmlns:c16="http://schemas.microsoft.com/office/drawing/2014/chart" uri="{C3380CC4-5D6E-409C-BE32-E72D297353CC}">
                <c16:uniqueId val="{00000086-4EA1-4D42-ABAE-EE028EFC6472}"/>
              </c:ext>
            </c:extLst>
          </c:dPt>
          <c:dLbls>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Examples!$B$43:$I$43</c:f>
              <c:numCache>
                <c:formatCode>General</c:formatCode>
                <c:ptCount val="8"/>
                <c:pt idx="0">
                  <c:v>45</c:v>
                </c:pt>
                <c:pt idx="1">
                  <c:v>22</c:v>
                </c:pt>
                <c:pt idx="2">
                  <c:v>26</c:v>
                </c:pt>
                <c:pt idx="3">
                  <c:v>8</c:v>
                </c:pt>
                <c:pt idx="4">
                  <c:v>2</c:v>
                </c:pt>
                <c:pt idx="5">
                  <c:v>20</c:v>
                </c:pt>
                <c:pt idx="6">
                  <c:v>4</c:v>
                </c:pt>
                <c:pt idx="7">
                  <c:v>22</c:v>
                </c:pt>
              </c:numCache>
            </c:numRef>
          </c:val>
          <c:extLst>
            <c:ext xmlns:c16="http://schemas.microsoft.com/office/drawing/2014/chart" uri="{C3380CC4-5D6E-409C-BE32-E72D297353CC}">
              <c16:uniqueId val="{00000087-4EA1-4D42-ABAE-EE028EFC6472}"/>
            </c:ext>
          </c:extLst>
        </c:ser>
        <c:dLbls>
          <c:showLegendKey val="0"/>
          <c:showVal val="0"/>
          <c:showCatName val="1"/>
          <c:showSerName val="0"/>
          <c:showPercent val="1"/>
          <c:showBubbleSize val="0"/>
          <c:showLeaderLines val="0"/>
        </c:dLbls>
        <c:firstSliceAng val="0"/>
      </c: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n-lt"/>
          <a:ea typeface="Myriad Pro"/>
          <a:cs typeface="Myriad Pro"/>
        </a:defRPr>
      </a:pPr>
      <a:endParaRPr lang="en-US"/>
    </a:p>
  </c:txPr>
  <c:printSettings>
    <c:headerFooter alignWithMargins="0"/>
    <c:pageMargins b="1" l="0.75" r="0.75" t="1" header="0.5" footer="0.5"/>
    <c:pageSetup paperSize="9" orientation="portrait" horizontalDpi="-3"/>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38411260844425"/>
          <c:y val="4.4274026181353773E-2"/>
          <c:w val="0.75496944444444447"/>
          <c:h val="0.91309586526181374"/>
        </c:manualLayout>
      </c:layout>
      <c:ofPieChart>
        <c:ofPieType val="pie"/>
        <c:varyColors val="1"/>
        <c:ser>
          <c:idx val="0"/>
          <c:order val="0"/>
          <c:tx>
            <c:strRef>
              <c:f>Examples!$A$36</c:f>
              <c:strCache>
                <c:ptCount val="1"/>
                <c:pt idx="0">
                  <c:v>1975-76</c:v>
                </c:pt>
              </c:strCache>
            </c:strRef>
          </c:tx>
          <c:spPr>
            <a:ln>
              <a:solidFill>
                <a:schemeClr val="bg1"/>
              </a:solidFill>
            </a:ln>
          </c:spPr>
          <c:dPt>
            <c:idx val="0"/>
            <c:bubble3D val="0"/>
            <c:spPr>
              <a:solidFill>
                <a:srgbClr val="3373B3"/>
              </a:solidFill>
              <a:ln>
                <a:solidFill>
                  <a:schemeClr val="bg1"/>
                </a:solidFill>
              </a:ln>
              <a:effectLst/>
            </c:spPr>
            <c:extLst>
              <c:ext xmlns:c16="http://schemas.microsoft.com/office/drawing/2014/chart" uri="{C3380CC4-5D6E-409C-BE32-E72D297353CC}">
                <c16:uniqueId val="{00000001-BE62-44FA-B32F-D173B289F6C6}"/>
              </c:ext>
            </c:extLst>
          </c:dPt>
          <c:dPt>
            <c:idx val="1"/>
            <c:bubble3D val="0"/>
            <c:spPr>
              <a:solidFill>
                <a:srgbClr val="66C5EA"/>
              </a:solidFill>
              <a:ln>
                <a:solidFill>
                  <a:schemeClr val="bg1"/>
                </a:solidFill>
              </a:ln>
              <a:effectLst/>
            </c:spPr>
            <c:extLst>
              <c:ext xmlns:c16="http://schemas.microsoft.com/office/drawing/2014/chart" uri="{C3380CC4-5D6E-409C-BE32-E72D297353CC}">
                <c16:uniqueId val="{00000003-BE62-44FA-B32F-D173B289F6C6}"/>
              </c:ext>
            </c:extLst>
          </c:dPt>
          <c:dPt>
            <c:idx val="2"/>
            <c:bubble3D val="0"/>
            <c:spPr>
              <a:solidFill>
                <a:schemeClr val="accent5"/>
              </a:solidFill>
              <a:ln>
                <a:solidFill>
                  <a:schemeClr val="bg1"/>
                </a:solidFill>
              </a:ln>
              <a:effectLst/>
            </c:spPr>
            <c:extLst>
              <c:ext xmlns:c16="http://schemas.microsoft.com/office/drawing/2014/chart" uri="{C3380CC4-5D6E-409C-BE32-E72D297353CC}">
                <c16:uniqueId val="{00000005-BE62-44FA-B32F-D173B289F6C6}"/>
              </c:ext>
            </c:extLst>
          </c:dPt>
          <c:dPt>
            <c:idx val="3"/>
            <c:bubble3D val="0"/>
            <c:spPr>
              <a:solidFill>
                <a:schemeClr val="accent6"/>
              </a:solidFill>
              <a:ln>
                <a:solidFill>
                  <a:schemeClr val="bg1"/>
                </a:solidFill>
              </a:ln>
              <a:effectLst/>
            </c:spPr>
            <c:extLst>
              <c:ext xmlns:c16="http://schemas.microsoft.com/office/drawing/2014/chart" uri="{C3380CC4-5D6E-409C-BE32-E72D297353CC}">
                <c16:uniqueId val="{00000007-BE62-44FA-B32F-D173B289F6C6}"/>
              </c:ext>
            </c:extLst>
          </c:dPt>
          <c:dPt>
            <c:idx val="4"/>
            <c:bubble3D val="0"/>
            <c:spPr>
              <a:solidFill>
                <a:srgbClr val="66C5EA"/>
              </a:solidFill>
              <a:ln>
                <a:solidFill>
                  <a:schemeClr val="bg1"/>
                </a:solidFill>
              </a:ln>
              <a:effectLst/>
            </c:spPr>
            <c:extLst>
              <c:ext xmlns:c16="http://schemas.microsoft.com/office/drawing/2014/chart" uri="{C3380CC4-5D6E-409C-BE32-E72D297353CC}">
                <c16:uniqueId val="{00000009-BE62-44FA-B32F-D173B289F6C6}"/>
              </c:ext>
            </c:extLst>
          </c:dPt>
          <c:dPt>
            <c:idx val="5"/>
            <c:bubble3D val="0"/>
            <c:spPr>
              <a:solidFill>
                <a:srgbClr val="427EB9"/>
              </a:solidFill>
              <a:ln>
                <a:solidFill>
                  <a:schemeClr val="bg1"/>
                </a:solidFill>
              </a:ln>
              <a:effectLst/>
            </c:spPr>
            <c:extLst>
              <c:ext xmlns:c16="http://schemas.microsoft.com/office/drawing/2014/chart" uri="{C3380CC4-5D6E-409C-BE32-E72D297353CC}">
                <c16:uniqueId val="{0000000B-BE62-44FA-B32F-D173B289F6C6}"/>
              </c:ext>
            </c:extLst>
          </c:dPt>
          <c:dPt>
            <c:idx val="6"/>
            <c:bubble3D val="0"/>
            <c:spPr>
              <a:solidFill>
                <a:srgbClr val="81A8D0"/>
              </a:solidFill>
              <a:ln>
                <a:solidFill>
                  <a:schemeClr val="bg1"/>
                </a:solidFill>
              </a:ln>
              <a:effectLst/>
            </c:spPr>
            <c:extLst>
              <c:ext xmlns:c16="http://schemas.microsoft.com/office/drawing/2014/chart" uri="{C3380CC4-5D6E-409C-BE32-E72D297353CC}">
                <c16:uniqueId val="{0000000D-BE62-44FA-B32F-D173B289F6C6}"/>
              </c:ext>
            </c:extLst>
          </c:dPt>
          <c:dPt>
            <c:idx val="7"/>
            <c:bubble3D val="0"/>
            <c:spPr>
              <a:solidFill>
                <a:srgbClr val="C1D4E7"/>
              </a:solidFill>
              <a:ln>
                <a:solidFill>
                  <a:schemeClr val="bg1"/>
                </a:solidFill>
              </a:ln>
              <a:effectLst/>
            </c:spPr>
            <c:extLst>
              <c:ext xmlns:c16="http://schemas.microsoft.com/office/drawing/2014/chart" uri="{C3380CC4-5D6E-409C-BE32-E72D297353CC}">
                <c16:uniqueId val="{0000000F-BE62-44FA-B32F-D173B289F6C6}"/>
              </c:ext>
            </c:extLst>
          </c:dPt>
          <c:dPt>
            <c:idx val="8"/>
            <c:bubble3D val="0"/>
            <c:spPr>
              <a:solidFill>
                <a:srgbClr val="0352A1"/>
              </a:solidFill>
              <a:ln>
                <a:solidFill>
                  <a:schemeClr val="bg1"/>
                </a:solidFill>
              </a:ln>
              <a:effectLst/>
            </c:spPr>
            <c:extLst>
              <c:ext xmlns:c16="http://schemas.microsoft.com/office/drawing/2014/chart" uri="{C3380CC4-5D6E-409C-BE32-E72D297353CC}">
                <c16:uniqueId val="{00000011-BE62-44FA-B32F-D173B289F6C6}"/>
              </c:ext>
            </c:extLst>
          </c:dPt>
          <c:dLbls>
            <c:dLbl>
              <c:idx val="3"/>
              <c:layout>
                <c:manualLayout>
                  <c:x val="-1.7742956255928952E-2"/>
                  <c:y val="-2.5343231162196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E62-44FA-B32F-D173B289F6C6}"/>
                </c:ext>
              </c:extLst>
            </c:dLbl>
            <c:dLbl>
              <c:idx val="4"/>
              <c:layout>
                <c:manualLayout>
                  <c:x val="8.8714781279644363E-3"/>
                  <c:y val="-5.068646232439335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E62-44FA-B32F-D173B289F6C6}"/>
                </c:ext>
              </c:extLst>
            </c:dLbl>
            <c:numFmt formatCode="0%" sourceLinked="0"/>
            <c:spPr>
              <a:noFill/>
              <a:ln w="25400">
                <a:noFill/>
              </a:ln>
              <a:effectLst/>
            </c:spPr>
            <c:txPr>
              <a:bodyPr rot="0" spcFirstLastPara="1" vertOverflow="ellipsis" vert="horz" wrap="square" anchor="ctr" anchorCtr="1"/>
              <a:lstStyle/>
              <a:p>
                <a:pPr>
                  <a:defRPr sz="900" b="0" i="0" u="none" strike="noStrike" kern="1200" baseline="0">
                    <a:solidFill>
                      <a:schemeClr val="tx1"/>
                    </a:solidFill>
                    <a:latin typeface="Raleway" panose="020B0503030101060003" pitchFamily="34" charset="0"/>
                    <a:ea typeface="Myriad Pro"/>
                    <a:cs typeface="Arial" pitchFamily="34" charset="0"/>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Examples!$B$36:$I$36</c:f>
              <c:numCache>
                <c:formatCode>General</c:formatCode>
                <c:ptCount val="8"/>
                <c:pt idx="0">
                  <c:v>36.19</c:v>
                </c:pt>
                <c:pt idx="1">
                  <c:v>36.880000000000003</c:v>
                </c:pt>
                <c:pt idx="2">
                  <c:v>21.56</c:v>
                </c:pt>
                <c:pt idx="3">
                  <c:v>5.36</c:v>
                </c:pt>
                <c:pt idx="4">
                  <c:v>3.01</c:v>
                </c:pt>
                <c:pt idx="5">
                  <c:v>10</c:v>
                </c:pt>
                <c:pt idx="6">
                  <c:v>5.2</c:v>
                </c:pt>
                <c:pt idx="7">
                  <c:v>13</c:v>
                </c:pt>
              </c:numCache>
            </c:numRef>
          </c:val>
          <c:extLst>
            <c:ext xmlns:c16="http://schemas.microsoft.com/office/drawing/2014/chart" uri="{C3380CC4-5D6E-409C-BE32-E72D297353CC}">
              <c16:uniqueId val="{00000012-BE62-44FA-B32F-D173B289F6C6}"/>
            </c:ext>
          </c:extLst>
        </c:ser>
        <c:ser>
          <c:idx val="1"/>
          <c:order val="1"/>
          <c:tx>
            <c:strRef>
              <c:f>Examples!$A$37</c:f>
              <c:strCache>
                <c:ptCount val="1"/>
                <c:pt idx="0">
                  <c:v>1983-84</c:v>
                </c:pt>
              </c:strCache>
            </c:strRef>
          </c:tx>
          <c:dPt>
            <c:idx val="0"/>
            <c:bubble3D val="0"/>
            <c:spPr>
              <a:solidFill>
                <a:srgbClr val="1C355E"/>
              </a:solidFill>
              <a:ln>
                <a:noFill/>
              </a:ln>
              <a:effectLst/>
            </c:spPr>
            <c:extLst>
              <c:ext xmlns:c16="http://schemas.microsoft.com/office/drawing/2014/chart" uri="{C3380CC4-5D6E-409C-BE32-E72D297353CC}">
                <c16:uniqueId val="{00000014-BE62-44FA-B32F-D173B289F6C6}"/>
              </c:ext>
            </c:extLst>
          </c:dPt>
          <c:dPt>
            <c:idx val="1"/>
            <c:bubble3D val="0"/>
            <c:spPr>
              <a:solidFill>
                <a:srgbClr val="177DA6"/>
              </a:solidFill>
              <a:ln>
                <a:noFill/>
              </a:ln>
              <a:effectLst/>
            </c:spPr>
            <c:extLst>
              <c:ext xmlns:c16="http://schemas.microsoft.com/office/drawing/2014/chart" uri="{C3380CC4-5D6E-409C-BE32-E72D297353CC}">
                <c16:uniqueId val="{00000016-BE62-44FA-B32F-D173B289F6C6}"/>
              </c:ext>
            </c:extLst>
          </c:dPt>
          <c:dPt>
            <c:idx val="2"/>
            <c:bubble3D val="0"/>
            <c:spPr>
              <a:solidFill>
                <a:srgbClr val="77869F"/>
              </a:solidFill>
              <a:ln>
                <a:noFill/>
              </a:ln>
              <a:effectLst/>
            </c:spPr>
            <c:extLst>
              <c:ext xmlns:c16="http://schemas.microsoft.com/office/drawing/2014/chart" uri="{C3380CC4-5D6E-409C-BE32-E72D297353CC}">
                <c16:uniqueId val="{00000018-BE62-44FA-B32F-D173B289F6C6}"/>
              </c:ext>
            </c:extLst>
          </c:dPt>
          <c:dPt>
            <c:idx val="3"/>
            <c:bubble3D val="0"/>
            <c:spPr>
              <a:solidFill>
                <a:srgbClr val="009DDB"/>
              </a:solidFill>
              <a:ln>
                <a:noFill/>
              </a:ln>
              <a:effectLst/>
            </c:spPr>
            <c:extLst>
              <c:ext xmlns:c16="http://schemas.microsoft.com/office/drawing/2014/chart" uri="{C3380CC4-5D6E-409C-BE32-E72D297353CC}">
                <c16:uniqueId val="{0000001A-BE62-44FA-B32F-D173B289F6C6}"/>
              </c:ext>
            </c:extLst>
          </c:dPt>
          <c:dPt>
            <c:idx val="4"/>
            <c:bubble3D val="0"/>
            <c:spPr>
              <a:solidFill>
                <a:srgbClr val="66C5EA"/>
              </a:solidFill>
              <a:ln>
                <a:noFill/>
              </a:ln>
              <a:effectLst/>
            </c:spPr>
            <c:extLst>
              <c:ext xmlns:c16="http://schemas.microsoft.com/office/drawing/2014/chart" uri="{C3380CC4-5D6E-409C-BE32-E72D297353CC}">
                <c16:uniqueId val="{0000001C-BE62-44FA-B32F-D173B289F6C6}"/>
              </c:ext>
            </c:extLst>
          </c:dPt>
          <c:dPt>
            <c:idx val="5"/>
            <c:bubble3D val="0"/>
            <c:spPr>
              <a:solidFill>
                <a:srgbClr val="AED2E0"/>
              </a:solidFill>
              <a:ln>
                <a:noFill/>
              </a:ln>
              <a:effectLst/>
            </c:spPr>
            <c:extLst>
              <c:ext xmlns:c16="http://schemas.microsoft.com/office/drawing/2014/chart" uri="{C3380CC4-5D6E-409C-BE32-E72D297353CC}">
                <c16:uniqueId val="{0000001E-BE62-44FA-B32F-D173B289F6C6}"/>
              </c:ext>
            </c:extLst>
          </c:dPt>
          <c:dPt>
            <c:idx val="6"/>
            <c:bubble3D val="0"/>
            <c:spPr>
              <a:solidFill>
                <a:srgbClr val="D8DDE4"/>
              </a:solidFill>
              <a:ln>
                <a:noFill/>
              </a:ln>
              <a:effectLst/>
            </c:spPr>
            <c:extLst>
              <c:ext xmlns:c16="http://schemas.microsoft.com/office/drawing/2014/chart" uri="{C3380CC4-5D6E-409C-BE32-E72D297353CC}">
                <c16:uniqueId val="{00000020-BE62-44FA-B32F-D173B289F6C6}"/>
              </c:ext>
            </c:extLst>
          </c:dPt>
          <c:dPt>
            <c:idx val="7"/>
            <c:bubble3D val="0"/>
            <c:spPr>
              <a:solidFill>
                <a:srgbClr val="FFFFFF"/>
              </a:solidFill>
              <a:ln>
                <a:noFill/>
              </a:ln>
              <a:effectLst/>
            </c:spPr>
            <c:extLst>
              <c:ext xmlns:c16="http://schemas.microsoft.com/office/drawing/2014/chart" uri="{C3380CC4-5D6E-409C-BE32-E72D297353CC}">
                <c16:uniqueId val="{00000022-BE62-44FA-B32F-D173B289F6C6}"/>
              </c:ext>
            </c:extLst>
          </c:dPt>
          <c:dPt>
            <c:idx val="8"/>
            <c:bubble3D val="0"/>
            <c:spPr>
              <a:solidFill>
                <a:srgbClr val="115F7E"/>
              </a:solidFill>
              <a:ln>
                <a:noFill/>
              </a:ln>
              <a:effectLst/>
            </c:spPr>
            <c:extLst>
              <c:ext xmlns:c16="http://schemas.microsoft.com/office/drawing/2014/chart" uri="{C3380CC4-5D6E-409C-BE32-E72D297353CC}">
                <c16:uniqueId val="{00000024-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Examples!$B$37:$I$37</c:f>
              <c:numCache>
                <c:formatCode>General</c:formatCode>
                <c:ptCount val="8"/>
                <c:pt idx="0">
                  <c:v>39.39</c:v>
                </c:pt>
                <c:pt idx="1">
                  <c:v>32.020000000000003</c:v>
                </c:pt>
                <c:pt idx="2">
                  <c:v>21.6</c:v>
                </c:pt>
                <c:pt idx="3">
                  <c:v>7.01</c:v>
                </c:pt>
                <c:pt idx="4">
                  <c:v>3.36</c:v>
                </c:pt>
                <c:pt idx="5">
                  <c:v>12</c:v>
                </c:pt>
                <c:pt idx="6">
                  <c:v>6.6</c:v>
                </c:pt>
                <c:pt idx="7">
                  <c:v>15</c:v>
                </c:pt>
              </c:numCache>
            </c:numRef>
          </c:val>
          <c:extLst>
            <c:ext xmlns:c16="http://schemas.microsoft.com/office/drawing/2014/chart" uri="{C3380CC4-5D6E-409C-BE32-E72D297353CC}">
              <c16:uniqueId val="{00000025-BE62-44FA-B32F-D173B289F6C6}"/>
            </c:ext>
          </c:extLst>
        </c:ser>
        <c:ser>
          <c:idx val="2"/>
          <c:order val="2"/>
          <c:tx>
            <c:strRef>
              <c:f>Examples!$A$38</c:f>
              <c:strCache>
                <c:ptCount val="1"/>
                <c:pt idx="0">
                  <c:v>1988-89</c:v>
                </c:pt>
              </c:strCache>
            </c:strRef>
          </c:tx>
          <c:dPt>
            <c:idx val="0"/>
            <c:bubble3D val="0"/>
            <c:spPr>
              <a:solidFill>
                <a:srgbClr val="1C355E"/>
              </a:solidFill>
              <a:ln>
                <a:noFill/>
              </a:ln>
              <a:effectLst/>
            </c:spPr>
            <c:extLst>
              <c:ext xmlns:c16="http://schemas.microsoft.com/office/drawing/2014/chart" uri="{C3380CC4-5D6E-409C-BE32-E72D297353CC}">
                <c16:uniqueId val="{00000027-BE62-44FA-B32F-D173B289F6C6}"/>
              </c:ext>
            </c:extLst>
          </c:dPt>
          <c:dPt>
            <c:idx val="1"/>
            <c:bubble3D val="0"/>
            <c:spPr>
              <a:solidFill>
                <a:srgbClr val="177DA6"/>
              </a:solidFill>
              <a:ln>
                <a:noFill/>
              </a:ln>
              <a:effectLst/>
            </c:spPr>
            <c:extLst>
              <c:ext xmlns:c16="http://schemas.microsoft.com/office/drawing/2014/chart" uri="{C3380CC4-5D6E-409C-BE32-E72D297353CC}">
                <c16:uniqueId val="{00000029-BE62-44FA-B32F-D173B289F6C6}"/>
              </c:ext>
            </c:extLst>
          </c:dPt>
          <c:dPt>
            <c:idx val="2"/>
            <c:bubble3D val="0"/>
            <c:spPr>
              <a:solidFill>
                <a:srgbClr val="77869F"/>
              </a:solidFill>
              <a:ln>
                <a:noFill/>
              </a:ln>
              <a:effectLst/>
            </c:spPr>
            <c:extLst>
              <c:ext xmlns:c16="http://schemas.microsoft.com/office/drawing/2014/chart" uri="{C3380CC4-5D6E-409C-BE32-E72D297353CC}">
                <c16:uniqueId val="{0000002B-BE62-44FA-B32F-D173B289F6C6}"/>
              </c:ext>
            </c:extLst>
          </c:dPt>
          <c:dPt>
            <c:idx val="3"/>
            <c:bubble3D val="0"/>
            <c:spPr>
              <a:solidFill>
                <a:srgbClr val="009DDB"/>
              </a:solidFill>
              <a:ln>
                <a:noFill/>
              </a:ln>
              <a:effectLst/>
            </c:spPr>
            <c:extLst>
              <c:ext xmlns:c16="http://schemas.microsoft.com/office/drawing/2014/chart" uri="{C3380CC4-5D6E-409C-BE32-E72D297353CC}">
                <c16:uniqueId val="{0000002D-BE62-44FA-B32F-D173B289F6C6}"/>
              </c:ext>
            </c:extLst>
          </c:dPt>
          <c:dPt>
            <c:idx val="4"/>
            <c:bubble3D val="0"/>
            <c:spPr>
              <a:solidFill>
                <a:srgbClr val="66C5EA"/>
              </a:solidFill>
              <a:ln>
                <a:noFill/>
              </a:ln>
              <a:effectLst/>
            </c:spPr>
            <c:extLst>
              <c:ext xmlns:c16="http://schemas.microsoft.com/office/drawing/2014/chart" uri="{C3380CC4-5D6E-409C-BE32-E72D297353CC}">
                <c16:uniqueId val="{0000002F-BE62-44FA-B32F-D173B289F6C6}"/>
              </c:ext>
            </c:extLst>
          </c:dPt>
          <c:dPt>
            <c:idx val="5"/>
            <c:bubble3D val="0"/>
            <c:spPr>
              <a:solidFill>
                <a:srgbClr val="AED2E0"/>
              </a:solidFill>
              <a:ln>
                <a:noFill/>
              </a:ln>
              <a:effectLst/>
            </c:spPr>
            <c:extLst>
              <c:ext xmlns:c16="http://schemas.microsoft.com/office/drawing/2014/chart" uri="{C3380CC4-5D6E-409C-BE32-E72D297353CC}">
                <c16:uniqueId val="{00000031-BE62-44FA-B32F-D173B289F6C6}"/>
              </c:ext>
            </c:extLst>
          </c:dPt>
          <c:dPt>
            <c:idx val="6"/>
            <c:bubble3D val="0"/>
            <c:spPr>
              <a:solidFill>
                <a:srgbClr val="D8DDE4"/>
              </a:solidFill>
              <a:ln>
                <a:noFill/>
              </a:ln>
              <a:effectLst/>
            </c:spPr>
            <c:extLst>
              <c:ext xmlns:c16="http://schemas.microsoft.com/office/drawing/2014/chart" uri="{C3380CC4-5D6E-409C-BE32-E72D297353CC}">
                <c16:uniqueId val="{00000033-BE62-44FA-B32F-D173B289F6C6}"/>
              </c:ext>
            </c:extLst>
          </c:dPt>
          <c:dPt>
            <c:idx val="7"/>
            <c:bubble3D val="0"/>
            <c:spPr>
              <a:solidFill>
                <a:srgbClr val="FFFFFF"/>
              </a:solidFill>
              <a:ln>
                <a:noFill/>
              </a:ln>
              <a:effectLst/>
            </c:spPr>
            <c:extLst>
              <c:ext xmlns:c16="http://schemas.microsoft.com/office/drawing/2014/chart" uri="{C3380CC4-5D6E-409C-BE32-E72D297353CC}">
                <c16:uniqueId val="{00000035-BE62-44FA-B32F-D173B289F6C6}"/>
              </c:ext>
            </c:extLst>
          </c:dPt>
          <c:dPt>
            <c:idx val="8"/>
            <c:bubble3D val="0"/>
            <c:spPr>
              <a:solidFill>
                <a:srgbClr val="115F7E"/>
              </a:solidFill>
              <a:ln>
                <a:noFill/>
              </a:ln>
              <a:effectLst/>
            </c:spPr>
            <c:extLst>
              <c:ext xmlns:c16="http://schemas.microsoft.com/office/drawing/2014/chart" uri="{C3380CC4-5D6E-409C-BE32-E72D297353CC}">
                <c16:uniqueId val="{00000037-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Examples!$B$38:$I$38</c:f>
              <c:numCache>
                <c:formatCode>General</c:formatCode>
                <c:ptCount val="8"/>
                <c:pt idx="0">
                  <c:v>42.78</c:v>
                </c:pt>
                <c:pt idx="1">
                  <c:v>29.91</c:v>
                </c:pt>
                <c:pt idx="2">
                  <c:v>18.350000000000001</c:v>
                </c:pt>
                <c:pt idx="3">
                  <c:v>6.33</c:v>
                </c:pt>
                <c:pt idx="4">
                  <c:v>2.63</c:v>
                </c:pt>
                <c:pt idx="5">
                  <c:v>14</c:v>
                </c:pt>
                <c:pt idx="6">
                  <c:v>5.7</c:v>
                </c:pt>
                <c:pt idx="7">
                  <c:v>16</c:v>
                </c:pt>
              </c:numCache>
            </c:numRef>
          </c:val>
          <c:extLst>
            <c:ext xmlns:c16="http://schemas.microsoft.com/office/drawing/2014/chart" uri="{C3380CC4-5D6E-409C-BE32-E72D297353CC}">
              <c16:uniqueId val="{00000038-BE62-44FA-B32F-D173B289F6C6}"/>
            </c:ext>
          </c:extLst>
        </c:ser>
        <c:ser>
          <c:idx val="3"/>
          <c:order val="3"/>
          <c:tx>
            <c:strRef>
              <c:f>Examples!$A$39</c:f>
              <c:strCache>
                <c:ptCount val="1"/>
                <c:pt idx="0">
                  <c:v>1993-94</c:v>
                </c:pt>
              </c:strCache>
            </c:strRef>
          </c:tx>
          <c:dPt>
            <c:idx val="0"/>
            <c:bubble3D val="0"/>
            <c:spPr>
              <a:solidFill>
                <a:srgbClr val="1C355E"/>
              </a:solidFill>
              <a:ln>
                <a:noFill/>
              </a:ln>
              <a:effectLst/>
            </c:spPr>
            <c:extLst>
              <c:ext xmlns:c16="http://schemas.microsoft.com/office/drawing/2014/chart" uri="{C3380CC4-5D6E-409C-BE32-E72D297353CC}">
                <c16:uniqueId val="{0000003A-BE62-44FA-B32F-D173B289F6C6}"/>
              </c:ext>
            </c:extLst>
          </c:dPt>
          <c:dPt>
            <c:idx val="1"/>
            <c:bubble3D val="0"/>
            <c:spPr>
              <a:solidFill>
                <a:srgbClr val="177DA6"/>
              </a:solidFill>
              <a:ln>
                <a:noFill/>
              </a:ln>
              <a:effectLst/>
            </c:spPr>
            <c:extLst>
              <c:ext xmlns:c16="http://schemas.microsoft.com/office/drawing/2014/chart" uri="{C3380CC4-5D6E-409C-BE32-E72D297353CC}">
                <c16:uniqueId val="{0000003C-BE62-44FA-B32F-D173B289F6C6}"/>
              </c:ext>
            </c:extLst>
          </c:dPt>
          <c:dPt>
            <c:idx val="2"/>
            <c:bubble3D val="0"/>
            <c:spPr>
              <a:solidFill>
                <a:srgbClr val="77869F"/>
              </a:solidFill>
              <a:ln>
                <a:noFill/>
              </a:ln>
              <a:effectLst/>
            </c:spPr>
            <c:extLst>
              <c:ext xmlns:c16="http://schemas.microsoft.com/office/drawing/2014/chart" uri="{C3380CC4-5D6E-409C-BE32-E72D297353CC}">
                <c16:uniqueId val="{0000003E-BE62-44FA-B32F-D173B289F6C6}"/>
              </c:ext>
            </c:extLst>
          </c:dPt>
          <c:dPt>
            <c:idx val="3"/>
            <c:bubble3D val="0"/>
            <c:spPr>
              <a:solidFill>
                <a:srgbClr val="009DDB"/>
              </a:solidFill>
              <a:ln>
                <a:noFill/>
              </a:ln>
              <a:effectLst/>
            </c:spPr>
            <c:extLst>
              <c:ext xmlns:c16="http://schemas.microsoft.com/office/drawing/2014/chart" uri="{C3380CC4-5D6E-409C-BE32-E72D297353CC}">
                <c16:uniqueId val="{00000040-BE62-44FA-B32F-D173B289F6C6}"/>
              </c:ext>
            </c:extLst>
          </c:dPt>
          <c:dPt>
            <c:idx val="4"/>
            <c:bubble3D val="0"/>
            <c:spPr>
              <a:solidFill>
                <a:srgbClr val="66C5EA"/>
              </a:solidFill>
              <a:ln>
                <a:noFill/>
              </a:ln>
              <a:effectLst/>
            </c:spPr>
            <c:extLst>
              <c:ext xmlns:c16="http://schemas.microsoft.com/office/drawing/2014/chart" uri="{C3380CC4-5D6E-409C-BE32-E72D297353CC}">
                <c16:uniqueId val="{00000042-BE62-44FA-B32F-D173B289F6C6}"/>
              </c:ext>
            </c:extLst>
          </c:dPt>
          <c:dPt>
            <c:idx val="5"/>
            <c:bubble3D val="0"/>
            <c:spPr>
              <a:solidFill>
                <a:srgbClr val="AED2E0"/>
              </a:solidFill>
              <a:ln>
                <a:noFill/>
              </a:ln>
              <a:effectLst/>
            </c:spPr>
            <c:extLst>
              <c:ext xmlns:c16="http://schemas.microsoft.com/office/drawing/2014/chart" uri="{C3380CC4-5D6E-409C-BE32-E72D297353CC}">
                <c16:uniqueId val="{00000044-BE62-44FA-B32F-D173B289F6C6}"/>
              </c:ext>
            </c:extLst>
          </c:dPt>
          <c:dPt>
            <c:idx val="6"/>
            <c:bubble3D val="0"/>
            <c:spPr>
              <a:solidFill>
                <a:srgbClr val="D8DDE4"/>
              </a:solidFill>
              <a:ln>
                <a:noFill/>
              </a:ln>
              <a:effectLst/>
            </c:spPr>
            <c:extLst>
              <c:ext xmlns:c16="http://schemas.microsoft.com/office/drawing/2014/chart" uri="{C3380CC4-5D6E-409C-BE32-E72D297353CC}">
                <c16:uniqueId val="{00000046-BE62-44FA-B32F-D173B289F6C6}"/>
              </c:ext>
            </c:extLst>
          </c:dPt>
          <c:dPt>
            <c:idx val="7"/>
            <c:bubble3D val="0"/>
            <c:spPr>
              <a:solidFill>
                <a:srgbClr val="FFFFFF"/>
              </a:solidFill>
              <a:ln>
                <a:noFill/>
              </a:ln>
              <a:effectLst/>
            </c:spPr>
            <c:extLst>
              <c:ext xmlns:c16="http://schemas.microsoft.com/office/drawing/2014/chart" uri="{C3380CC4-5D6E-409C-BE32-E72D297353CC}">
                <c16:uniqueId val="{00000048-BE62-44FA-B32F-D173B289F6C6}"/>
              </c:ext>
            </c:extLst>
          </c:dPt>
          <c:dPt>
            <c:idx val="8"/>
            <c:bubble3D val="0"/>
            <c:spPr>
              <a:solidFill>
                <a:srgbClr val="115F7E"/>
              </a:solidFill>
              <a:ln>
                <a:noFill/>
              </a:ln>
              <a:effectLst/>
            </c:spPr>
            <c:extLst>
              <c:ext xmlns:c16="http://schemas.microsoft.com/office/drawing/2014/chart" uri="{C3380CC4-5D6E-409C-BE32-E72D297353CC}">
                <c16:uniqueId val="{0000004A-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Examples!$B$39:$I$39</c:f>
              <c:numCache>
                <c:formatCode>General</c:formatCode>
                <c:ptCount val="8"/>
                <c:pt idx="0">
                  <c:v>42.13</c:v>
                </c:pt>
                <c:pt idx="1">
                  <c:v>26.53</c:v>
                </c:pt>
                <c:pt idx="2">
                  <c:v>21.6</c:v>
                </c:pt>
                <c:pt idx="3">
                  <c:v>7.01</c:v>
                </c:pt>
                <c:pt idx="4">
                  <c:v>2.72</c:v>
                </c:pt>
                <c:pt idx="5">
                  <c:v>16</c:v>
                </c:pt>
                <c:pt idx="6">
                  <c:v>3</c:v>
                </c:pt>
                <c:pt idx="7">
                  <c:v>17</c:v>
                </c:pt>
              </c:numCache>
            </c:numRef>
          </c:val>
          <c:extLst>
            <c:ext xmlns:c16="http://schemas.microsoft.com/office/drawing/2014/chart" uri="{C3380CC4-5D6E-409C-BE32-E72D297353CC}">
              <c16:uniqueId val="{0000004B-BE62-44FA-B32F-D173B289F6C6}"/>
            </c:ext>
          </c:extLst>
        </c:ser>
        <c:ser>
          <c:idx val="4"/>
          <c:order val="4"/>
          <c:tx>
            <c:strRef>
              <c:f>Examples!$A$40</c:f>
              <c:strCache>
                <c:ptCount val="1"/>
                <c:pt idx="0">
                  <c:v>1996-97</c:v>
                </c:pt>
              </c:strCache>
            </c:strRef>
          </c:tx>
          <c:dPt>
            <c:idx val="0"/>
            <c:bubble3D val="0"/>
            <c:spPr>
              <a:solidFill>
                <a:srgbClr val="1C355E"/>
              </a:solidFill>
              <a:ln>
                <a:noFill/>
              </a:ln>
              <a:effectLst/>
            </c:spPr>
            <c:extLst>
              <c:ext xmlns:c16="http://schemas.microsoft.com/office/drawing/2014/chart" uri="{C3380CC4-5D6E-409C-BE32-E72D297353CC}">
                <c16:uniqueId val="{0000004D-BE62-44FA-B32F-D173B289F6C6}"/>
              </c:ext>
            </c:extLst>
          </c:dPt>
          <c:dPt>
            <c:idx val="1"/>
            <c:bubble3D val="0"/>
            <c:spPr>
              <a:solidFill>
                <a:srgbClr val="177DA6"/>
              </a:solidFill>
              <a:ln>
                <a:noFill/>
              </a:ln>
              <a:effectLst/>
            </c:spPr>
            <c:extLst>
              <c:ext xmlns:c16="http://schemas.microsoft.com/office/drawing/2014/chart" uri="{C3380CC4-5D6E-409C-BE32-E72D297353CC}">
                <c16:uniqueId val="{0000004F-BE62-44FA-B32F-D173B289F6C6}"/>
              </c:ext>
            </c:extLst>
          </c:dPt>
          <c:dPt>
            <c:idx val="2"/>
            <c:bubble3D val="0"/>
            <c:spPr>
              <a:solidFill>
                <a:srgbClr val="77869F"/>
              </a:solidFill>
              <a:ln>
                <a:noFill/>
              </a:ln>
              <a:effectLst/>
            </c:spPr>
            <c:extLst>
              <c:ext xmlns:c16="http://schemas.microsoft.com/office/drawing/2014/chart" uri="{C3380CC4-5D6E-409C-BE32-E72D297353CC}">
                <c16:uniqueId val="{00000051-BE62-44FA-B32F-D173B289F6C6}"/>
              </c:ext>
            </c:extLst>
          </c:dPt>
          <c:dPt>
            <c:idx val="3"/>
            <c:bubble3D val="0"/>
            <c:spPr>
              <a:solidFill>
                <a:srgbClr val="009DDB"/>
              </a:solidFill>
              <a:ln>
                <a:noFill/>
              </a:ln>
              <a:effectLst/>
            </c:spPr>
            <c:extLst>
              <c:ext xmlns:c16="http://schemas.microsoft.com/office/drawing/2014/chart" uri="{C3380CC4-5D6E-409C-BE32-E72D297353CC}">
                <c16:uniqueId val="{00000053-BE62-44FA-B32F-D173B289F6C6}"/>
              </c:ext>
            </c:extLst>
          </c:dPt>
          <c:dPt>
            <c:idx val="4"/>
            <c:bubble3D val="0"/>
            <c:spPr>
              <a:solidFill>
                <a:srgbClr val="66C5EA"/>
              </a:solidFill>
              <a:ln>
                <a:noFill/>
              </a:ln>
              <a:effectLst/>
            </c:spPr>
            <c:extLst>
              <c:ext xmlns:c16="http://schemas.microsoft.com/office/drawing/2014/chart" uri="{C3380CC4-5D6E-409C-BE32-E72D297353CC}">
                <c16:uniqueId val="{00000055-BE62-44FA-B32F-D173B289F6C6}"/>
              </c:ext>
            </c:extLst>
          </c:dPt>
          <c:dPt>
            <c:idx val="5"/>
            <c:bubble3D val="0"/>
            <c:spPr>
              <a:solidFill>
                <a:srgbClr val="AED2E0"/>
              </a:solidFill>
              <a:ln>
                <a:noFill/>
              </a:ln>
              <a:effectLst/>
            </c:spPr>
            <c:extLst>
              <c:ext xmlns:c16="http://schemas.microsoft.com/office/drawing/2014/chart" uri="{C3380CC4-5D6E-409C-BE32-E72D297353CC}">
                <c16:uniqueId val="{00000057-BE62-44FA-B32F-D173B289F6C6}"/>
              </c:ext>
            </c:extLst>
          </c:dPt>
          <c:dPt>
            <c:idx val="6"/>
            <c:bubble3D val="0"/>
            <c:spPr>
              <a:solidFill>
                <a:srgbClr val="D8DDE4"/>
              </a:solidFill>
              <a:ln>
                <a:noFill/>
              </a:ln>
              <a:effectLst/>
            </c:spPr>
            <c:extLst>
              <c:ext xmlns:c16="http://schemas.microsoft.com/office/drawing/2014/chart" uri="{C3380CC4-5D6E-409C-BE32-E72D297353CC}">
                <c16:uniqueId val="{00000059-BE62-44FA-B32F-D173B289F6C6}"/>
              </c:ext>
            </c:extLst>
          </c:dPt>
          <c:dPt>
            <c:idx val="7"/>
            <c:bubble3D val="0"/>
            <c:spPr>
              <a:solidFill>
                <a:srgbClr val="FFFFFF"/>
              </a:solidFill>
              <a:ln>
                <a:noFill/>
              </a:ln>
              <a:effectLst/>
            </c:spPr>
            <c:extLst>
              <c:ext xmlns:c16="http://schemas.microsoft.com/office/drawing/2014/chart" uri="{C3380CC4-5D6E-409C-BE32-E72D297353CC}">
                <c16:uniqueId val="{0000005B-BE62-44FA-B32F-D173B289F6C6}"/>
              </c:ext>
            </c:extLst>
          </c:dPt>
          <c:dPt>
            <c:idx val="8"/>
            <c:bubble3D val="0"/>
            <c:spPr>
              <a:solidFill>
                <a:srgbClr val="115F7E"/>
              </a:solidFill>
              <a:ln>
                <a:noFill/>
              </a:ln>
              <a:effectLst/>
            </c:spPr>
            <c:extLst>
              <c:ext xmlns:c16="http://schemas.microsoft.com/office/drawing/2014/chart" uri="{C3380CC4-5D6E-409C-BE32-E72D297353CC}">
                <c16:uniqueId val="{0000005D-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Examples!$B$40:$I$40</c:f>
              <c:numCache>
                <c:formatCode>General</c:formatCode>
                <c:ptCount val="8"/>
                <c:pt idx="0">
                  <c:v>41.69</c:v>
                </c:pt>
                <c:pt idx="1">
                  <c:v>24.76</c:v>
                </c:pt>
                <c:pt idx="2">
                  <c:v>23.98</c:v>
                </c:pt>
                <c:pt idx="3">
                  <c:v>7</c:v>
                </c:pt>
                <c:pt idx="4">
                  <c:v>2.57</c:v>
                </c:pt>
                <c:pt idx="5">
                  <c:v>18</c:v>
                </c:pt>
                <c:pt idx="6">
                  <c:v>3.5</c:v>
                </c:pt>
                <c:pt idx="7">
                  <c:v>19</c:v>
                </c:pt>
              </c:numCache>
            </c:numRef>
          </c:val>
          <c:extLst>
            <c:ext xmlns:c16="http://schemas.microsoft.com/office/drawing/2014/chart" uri="{C3380CC4-5D6E-409C-BE32-E72D297353CC}">
              <c16:uniqueId val="{0000005E-BE62-44FA-B32F-D173B289F6C6}"/>
            </c:ext>
          </c:extLst>
        </c:ser>
        <c:ser>
          <c:idx val="5"/>
          <c:order val="5"/>
          <c:tx>
            <c:strRef>
              <c:f>Examples!$A$41</c:f>
              <c:strCache>
                <c:ptCount val="1"/>
                <c:pt idx="0">
                  <c:v>1997-98</c:v>
                </c:pt>
              </c:strCache>
            </c:strRef>
          </c:tx>
          <c:dPt>
            <c:idx val="0"/>
            <c:bubble3D val="0"/>
            <c:spPr>
              <a:solidFill>
                <a:srgbClr val="1C355E"/>
              </a:solidFill>
              <a:ln>
                <a:noFill/>
              </a:ln>
              <a:effectLst/>
            </c:spPr>
            <c:extLst>
              <c:ext xmlns:c16="http://schemas.microsoft.com/office/drawing/2014/chart" uri="{C3380CC4-5D6E-409C-BE32-E72D297353CC}">
                <c16:uniqueId val="{00000060-BE62-44FA-B32F-D173B289F6C6}"/>
              </c:ext>
            </c:extLst>
          </c:dPt>
          <c:dPt>
            <c:idx val="1"/>
            <c:bubble3D val="0"/>
            <c:spPr>
              <a:solidFill>
                <a:srgbClr val="177DA6"/>
              </a:solidFill>
              <a:ln>
                <a:noFill/>
              </a:ln>
              <a:effectLst/>
            </c:spPr>
            <c:extLst>
              <c:ext xmlns:c16="http://schemas.microsoft.com/office/drawing/2014/chart" uri="{C3380CC4-5D6E-409C-BE32-E72D297353CC}">
                <c16:uniqueId val="{00000062-BE62-44FA-B32F-D173B289F6C6}"/>
              </c:ext>
            </c:extLst>
          </c:dPt>
          <c:dPt>
            <c:idx val="2"/>
            <c:bubble3D val="0"/>
            <c:spPr>
              <a:solidFill>
                <a:srgbClr val="77869F"/>
              </a:solidFill>
              <a:ln>
                <a:noFill/>
              </a:ln>
              <a:effectLst/>
            </c:spPr>
            <c:extLst>
              <c:ext xmlns:c16="http://schemas.microsoft.com/office/drawing/2014/chart" uri="{C3380CC4-5D6E-409C-BE32-E72D297353CC}">
                <c16:uniqueId val="{00000064-BE62-44FA-B32F-D173B289F6C6}"/>
              </c:ext>
            </c:extLst>
          </c:dPt>
          <c:dPt>
            <c:idx val="3"/>
            <c:bubble3D val="0"/>
            <c:spPr>
              <a:solidFill>
                <a:srgbClr val="009DDB"/>
              </a:solidFill>
              <a:ln>
                <a:noFill/>
              </a:ln>
              <a:effectLst/>
            </c:spPr>
            <c:extLst>
              <c:ext xmlns:c16="http://schemas.microsoft.com/office/drawing/2014/chart" uri="{C3380CC4-5D6E-409C-BE32-E72D297353CC}">
                <c16:uniqueId val="{00000066-BE62-44FA-B32F-D173B289F6C6}"/>
              </c:ext>
            </c:extLst>
          </c:dPt>
          <c:dPt>
            <c:idx val="4"/>
            <c:bubble3D val="0"/>
            <c:spPr>
              <a:solidFill>
                <a:srgbClr val="66C5EA"/>
              </a:solidFill>
              <a:ln>
                <a:noFill/>
              </a:ln>
              <a:effectLst/>
            </c:spPr>
            <c:extLst>
              <c:ext xmlns:c16="http://schemas.microsoft.com/office/drawing/2014/chart" uri="{C3380CC4-5D6E-409C-BE32-E72D297353CC}">
                <c16:uniqueId val="{00000068-BE62-44FA-B32F-D173B289F6C6}"/>
              </c:ext>
            </c:extLst>
          </c:dPt>
          <c:dPt>
            <c:idx val="5"/>
            <c:bubble3D val="0"/>
            <c:spPr>
              <a:solidFill>
                <a:srgbClr val="AED2E0"/>
              </a:solidFill>
              <a:ln>
                <a:noFill/>
              </a:ln>
              <a:effectLst/>
            </c:spPr>
            <c:extLst>
              <c:ext xmlns:c16="http://schemas.microsoft.com/office/drawing/2014/chart" uri="{C3380CC4-5D6E-409C-BE32-E72D297353CC}">
                <c16:uniqueId val="{0000006A-BE62-44FA-B32F-D173B289F6C6}"/>
              </c:ext>
            </c:extLst>
          </c:dPt>
          <c:dPt>
            <c:idx val="6"/>
            <c:bubble3D val="0"/>
            <c:spPr>
              <a:solidFill>
                <a:srgbClr val="D8DDE4"/>
              </a:solidFill>
              <a:ln>
                <a:noFill/>
              </a:ln>
              <a:effectLst/>
            </c:spPr>
            <c:extLst>
              <c:ext xmlns:c16="http://schemas.microsoft.com/office/drawing/2014/chart" uri="{C3380CC4-5D6E-409C-BE32-E72D297353CC}">
                <c16:uniqueId val="{0000006C-BE62-44FA-B32F-D173B289F6C6}"/>
              </c:ext>
            </c:extLst>
          </c:dPt>
          <c:dPt>
            <c:idx val="7"/>
            <c:bubble3D val="0"/>
            <c:spPr>
              <a:solidFill>
                <a:srgbClr val="FFFFFF"/>
              </a:solidFill>
              <a:ln>
                <a:noFill/>
              </a:ln>
              <a:effectLst/>
            </c:spPr>
            <c:extLst>
              <c:ext xmlns:c16="http://schemas.microsoft.com/office/drawing/2014/chart" uri="{C3380CC4-5D6E-409C-BE32-E72D297353CC}">
                <c16:uniqueId val="{0000006E-BE62-44FA-B32F-D173B289F6C6}"/>
              </c:ext>
            </c:extLst>
          </c:dPt>
          <c:dPt>
            <c:idx val="8"/>
            <c:bubble3D val="0"/>
            <c:spPr>
              <a:solidFill>
                <a:srgbClr val="115F7E"/>
              </a:solidFill>
              <a:ln>
                <a:noFill/>
              </a:ln>
              <a:effectLst/>
            </c:spPr>
            <c:extLst>
              <c:ext xmlns:c16="http://schemas.microsoft.com/office/drawing/2014/chart" uri="{C3380CC4-5D6E-409C-BE32-E72D297353CC}">
                <c16:uniqueId val="{00000070-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Examples!$B$41:$I$41</c:f>
              <c:numCache>
                <c:formatCode>General</c:formatCode>
                <c:ptCount val="8"/>
                <c:pt idx="0">
                  <c:v>39.39</c:v>
                </c:pt>
                <c:pt idx="1">
                  <c:v>32.020000000000003</c:v>
                </c:pt>
                <c:pt idx="2">
                  <c:v>21.6</c:v>
                </c:pt>
                <c:pt idx="3">
                  <c:v>7.01</c:v>
                </c:pt>
                <c:pt idx="4">
                  <c:v>3.36</c:v>
                </c:pt>
                <c:pt idx="5">
                  <c:v>12</c:v>
                </c:pt>
                <c:pt idx="6">
                  <c:v>3.8</c:v>
                </c:pt>
                <c:pt idx="7">
                  <c:v>13</c:v>
                </c:pt>
              </c:numCache>
            </c:numRef>
          </c:val>
          <c:extLst>
            <c:ext xmlns:c16="http://schemas.microsoft.com/office/drawing/2014/chart" uri="{C3380CC4-5D6E-409C-BE32-E72D297353CC}">
              <c16:uniqueId val="{00000071-BE62-44FA-B32F-D173B289F6C6}"/>
            </c:ext>
          </c:extLst>
        </c:ser>
        <c:ser>
          <c:idx val="6"/>
          <c:order val="6"/>
          <c:tx>
            <c:strRef>
              <c:f>Examples!$A$42</c:f>
              <c:strCache>
                <c:ptCount val="1"/>
                <c:pt idx="0">
                  <c:v>1998-99</c:v>
                </c:pt>
              </c:strCache>
            </c:strRef>
          </c:tx>
          <c:dPt>
            <c:idx val="0"/>
            <c:bubble3D val="0"/>
            <c:spPr>
              <a:solidFill>
                <a:srgbClr val="1C355E"/>
              </a:solidFill>
              <a:ln>
                <a:noFill/>
              </a:ln>
              <a:effectLst/>
            </c:spPr>
            <c:extLst>
              <c:ext xmlns:c16="http://schemas.microsoft.com/office/drawing/2014/chart" uri="{C3380CC4-5D6E-409C-BE32-E72D297353CC}">
                <c16:uniqueId val="{00000073-BE62-44FA-B32F-D173B289F6C6}"/>
              </c:ext>
            </c:extLst>
          </c:dPt>
          <c:dPt>
            <c:idx val="1"/>
            <c:bubble3D val="0"/>
            <c:spPr>
              <a:solidFill>
                <a:srgbClr val="177DA6"/>
              </a:solidFill>
              <a:ln>
                <a:noFill/>
              </a:ln>
              <a:effectLst/>
            </c:spPr>
            <c:extLst>
              <c:ext xmlns:c16="http://schemas.microsoft.com/office/drawing/2014/chart" uri="{C3380CC4-5D6E-409C-BE32-E72D297353CC}">
                <c16:uniqueId val="{00000075-BE62-44FA-B32F-D173B289F6C6}"/>
              </c:ext>
            </c:extLst>
          </c:dPt>
          <c:dPt>
            <c:idx val="2"/>
            <c:bubble3D val="0"/>
            <c:spPr>
              <a:solidFill>
                <a:srgbClr val="77869F"/>
              </a:solidFill>
              <a:ln>
                <a:noFill/>
              </a:ln>
              <a:effectLst/>
            </c:spPr>
            <c:extLst>
              <c:ext xmlns:c16="http://schemas.microsoft.com/office/drawing/2014/chart" uri="{C3380CC4-5D6E-409C-BE32-E72D297353CC}">
                <c16:uniqueId val="{00000077-BE62-44FA-B32F-D173B289F6C6}"/>
              </c:ext>
            </c:extLst>
          </c:dPt>
          <c:dPt>
            <c:idx val="3"/>
            <c:bubble3D val="0"/>
            <c:spPr>
              <a:solidFill>
                <a:srgbClr val="009DDB"/>
              </a:solidFill>
              <a:ln>
                <a:noFill/>
              </a:ln>
              <a:effectLst/>
            </c:spPr>
            <c:extLst>
              <c:ext xmlns:c16="http://schemas.microsoft.com/office/drawing/2014/chart" uri="{C3380CC4-5D6E-409C-BE32-E72D297353CC}">
                <c16:uniqueId val="{00000079-BE62-44FA-B32F-D173B289F6C6}"/>
              </c:ext>
            </c:extLst>
          </c:dPt>
          <c:dPt>
            <c:idx val="4"/>
            <c:bubble3D val="0"/>
            <c:spPr>
              <a:solidFill>
                <a:srgbClr val="66C5EA"/>
              </a:solidFill>
              <a:ln>
                <a:noFill/>
              </a:ln>
              <a:effectLst/>
            </c:spPr>
            <c:extLst>
              <c:ext xmlns:c16="http://schemas.microsoft.com/office/drawing/2014/chart" uri="{C3380CC4-5D6E-409C-BE32-E72D297353CC}">
                <c16:uniqueId val="{0000007B-BE62-44FA-B32F-D173B289F6C6}"/>
              </c:ext>
            </c:extLst>
          </c:dPt>
          <c:dPt>
            <c:idx val="5"/>
            <c:bubble3D val="0"/>
            <c:spPr>
              <a:solidFill>
                <a:srgbClr val="AED2E0"/>
              </a:solidFill>
              <a:ln>
                <a:noFill/>
              </a:ln>
              <a:effectLst/>
            </c:spPr>
            <c:extLst>
              <c:ext xmlns:c16="http://schemas.microsoft.com/office/drawing/2014/chart" uri="{C3380CC4-5D6E-409C-BE32-E72D297353CC}">
                <c16:uniqueId val="{0000007D-BE62-44FA-B32F-D173B289F6C6}"/>
              </c:ext>
            </c:extLst>
          </c:dPt>
          <c:dPt>
            <c:idx val="6"/>
            <c:bubble3D val="0"/>
            <c:spPr>
              <a:solidFill>
                <a:srgbClr val="D8DDE4"/>
              </a:solidFill>
              <a:ln>
                <a:noFill/>
              </a:ln>
              <a:effectLst/>
            </c:spPr>
            <c:extLst>
              <c:ext xmlns:c16="http://schemas.microsoft.com/office/drawing/2014/chart" uri="{C3380CC4-5D6E-409C-BE32-E72D297353CC}">
                <c16:uniqueId val="{0000007F-BE62-44FA-B32F-D173B289F6C6}"/>
              </c:ext>
            </c:extLst>
          </c:dPt>
          <c:dPt>
            <c:idx val="7"/>
            <c:bubble3D val="0"/>
            <c:spPr>
              <a:solidFill>
                <a:srgbClr val="FFFFFF"/>
              </a:solidFill>
              <a:ln>
                <a:noFill/>
              </a:ln>
              <a:effectLst/>
            </c:spPr>
            <c:extLst>
              <c:ext xmlns:c16="http://schemas.microsoft.com/office/drawing/2014/chart" uri="{C3380CC4-5D6E-409C-BE32-E72D297353CC}">
                <c16:uniqueId val="{00000081-BE62-44FA-B32F-D173B289F6C6}"/>
              </c:ext>
            </c:extLst>
          </c:dPt>
          <c:dPt>
            <c:idx val="8"/>
            <c:bubble3D val="0"/>
            <c:spPr>
              <a:solidFill>
                <a:srgbClr val="115F7E"/>
              </a:solidFill>
              <a:ln>
                <a:noFill/>
              </a:ln>
              <a:effectLst/>
            </c:spPr>
            <c:extLst>
              <c:ext xmlns:c16="http://schemas.microsoft.com/office/drawing/2014/chart" uri="{C3380CC4-5D6E-409C-BE32-E72D297353CC}">
                <c16:uniqueId val="{00000083-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Examples!$B$42:$I$42</c:f>
              <c:numCache>
                <c:formatCode>General</c:formatCode>
                <c:ptCount val="8"/>
                <c:pt idx="0">
                  <c:v>42.13</c:v>
                </c:pt>
                <c:pt idx="1">
                  <c:v>26.53</c:v>
                </c:pt>
                <c:pt idx="2">
                  <c:v>21.6</c:v>
                </c:pt>
                <c:pt idx="3">
                  <c:v>7.01</c:v>
                </c:pt>
                <c:pt idx="4">
                  <c:v>2.72</c:v>
                </c:pt>
                <c:pt idx="5">
                  <c:v>16</c:v>
                </c:pt>
                <c:pt idx="6">
                  <c:v>3.2</c:v>
                </c:pt>
                <c:pt idx="7">
                  <c:v>18</c:v>
                </c:pt>
              </c:numCache>
            </c:numRef>
          </c:val>
          <c:extLst>
            <c:ext xmlns:c16="http://schemas.microsoft.com/office/drawing/2014/chart" uri="{C3380CC4-5D6E-409C-BE32-E72D297353CC}">
              <c16:uniqueId val="{00000084-BE62-44FA-B32F-D173B289F6C6}"/>
            </c:ext>
          </c:extLst>
        </c:ser>
        <c:ser>
          <c:idx val="7"/>
          <c:order val="7"/>
          <c:tx>
            <c:strRef>
              <c:f>Examples!$A$43</c:f>
              <c:strCache>
                <c:ptCount val="1"/>
                <c:pt idx="0">
                  <c:v>1999-00</c:v>
                </c:pt>
              </c:strCache>
            </c:strRef>
          </c:tx>
          <c:dPt>
            <c:idx val="0"/>
            <c:bubble3D val="0"/>
            <c:spPr>
              <a:solidFill>
                <a:srgbClr val="1C355E"/>
              </a:solidFill>
              <a:ln>
                <a:noFill/>
              </a:ln>
              <a:effectLst/>
            </c:spPr>
            <c:extLst>
              <c:ext xmlns:c16="http://schemas.microsoft.com/office/drawing/2014/chart" uri="{C3380CC4-5D6E-409C-BE32-E72D297353CC}">
                <c16:uniqueId val="{00000086-BE62-44FA-B32F-D173B289F6C6}"/>
              </c:ext>
            </c:extLst>
          </c:dPt>
          <c:dPt>
            <c:idx val="1"/>
            <c:bubble3D val="0"/>
            <c:spPr>
              <a:solidFill>
                <a:srgbClr val="177DA6"/>
              </a:solidFill>
              <a:ln>
                <a:noFill/>
              </a:ln>
              <a:effectLst/>
            </c:spPr>
            <c:extLst>
              <c:ext xmlns:c16="http://schemas.microsoft.com/office/drawing/2014/chart" uri="{C3380CC4-5D6E-409C-BE32-E72D297353CC}">
                <c16:uniqueId val="{00000088-BE62-44FA-B32F-D173B289F6C6}"/>
              </c:ext>
            </c:extLst>
          </c:dPt>
          <c:dPt>
            <c:idx val="2"/>
            <c:bubble3D val="0"/>
            <c:spPr>
              <a:solidFill>
                <a:srgbClr val="77869F"/>
              </a:solidFill>
              <a:ln>
                <a:noFill/>
              </a:ln>
              <a:effectLst/>
            </c:spPr>
            <c:extLst>
              <c:ext xmlns:c16="http://schemas.microsoft.com/office/drawing/2014/chart" uri="{C3380CC4-5D6E-409C-BE32-E72D297353CC}">
                <c16:uniqueId val="{0000008A-BE62-44FA-B32F-D173B289F6C6}"/>
              </c:ext>
            </c:extLst>
          </c:dPt>
          <c:dPt>
            <c:idx val="3"/>
            <c:bubble3D val="0"/>
            <c:spPr>
              <a:solidFill>
                <a:srgbClr val="009DDB"/>
              </a:solidFill>
              <a:ln>
                <a:noFill/>
              </a:ln>
              <a:effectLst/>
            </c:spPr>
            <c:extLst>
              <c:ext xmlns:c16="http://schemas.microsoft.com/office/drawing/2014/chart" uri="{C3380CC4-5D6E-409C-BE32-E72D297353CC}">
                <c16:uniqueId val="{0000008C-BE62-44FA-B32F-D173B289F6C6}"/>
              </c:ext>
            </c:extLst>
          </c:dPt>
          <c:dPt>
            <c:idx val="4"/>
            <c:bubble3D val="0"/>
            <c:spPr>
              <a:solidFill>
                <a:srgbClr val="66C5EA"/>
              </a:solidFill>
              <a:ln>
                <a:noFill/>
              </a:ln>
              <a:effectLst/>
            </c:spPr>
            <c:extLst>
              <c:ext xmlns:c16="http://schemas.microsoft.com/office/drawing/2014/chart" uri="{C3380CC4-5D6E-409C-BE32-E72D297353CC}">
                <c16:uniqueId val="{0000008E-BE62-44FA-B32F-D173B289F6C6}"/>
              </c:ext>
            </c:extLst>
          </c:dPt>
          <c:dPt>
            <c:idx val="5"/>
            <c:bubble3D val="0"/>
            <c:spPr>
              <a:solidFill>
                <a:srgbClr val="AED2E0"/>
              </a:solidFill>
              <a:ln>
                <a:noFill/>
              </a:ln>
              <a:effectLst/>
            </c:spPr>
            <c:extLst>
              <c:ext xmlns:c16="http://schemas.microsoft.com/office/drawing/2014/chart" uri="{C3380CC4-5D6E-409C-BE32-E72D297353CC}">
                <c16:uniqueId val="{00000090-BE62-44FA-B32F-D173B289F6C6}"/>
              </c:ext>
            </c:extLst>
          </c:dPt>
          <c:dPt>
            <c:idx val="6"/>
            <c:bubble3D val="0"/>
            <c:spPr>
              <a:solidFill>
                <a:srgbClr val="D8DDE4"/>
              </a:solidFill>
              <a:ln>
                <a:noFill/>
              </a:ln>
              <a:effectLst/>
            </c:spPr>
            <c:extLst>
              <c:ext xmlns:c16="http://schemas.microsoft.com/office/drawing/2014/chart" uri="{C3380CC4-5D6E-409C-BE32-E72D297353CC}">
                <c16:uniqueId val="{00000092-BE62-44FA-B32F-D173B289F6C6}"/>
              </c:ext>
            </c:extLst>
          </c:dPt>
          <c:dPt>
            <c:idx val="7"/>
            <c:bubble3D val="0"/>
            <c:spPr>
              <a:solidFill>
                <a:srgbClr val="FFFFFF"/>
              </a:solidFill>
              <a:ln>
                <a:noFill/>
              </a:ln>
              <a:effectLst/>
            </c:spPr>
            <c:extLst>
              <c:ext xmlns:c16="http://schemas.microsoft.com/office/drawing/2014/chart" uri="{C3380CC4-5D6E-409C-BE32-E72D297353CC}">
                <c16:uniqueId val="{00000094-BE62-44FA-B32F-D173B289F6C6}"/>
              </c:ext>
            </c:extLst>
          </c:dPt>
          <c:dPt>
            <c:idx val="8"/>
            <c:bubble3D val="0"/>
            <c:spPr>
              <a:solidFill>
                <a:srgbClr val="115F7E"/>
              </a:solidFill>
              <a:ln>
                <a:noFill/>
              </a:ln>
              <a:effectLst/>
            </c:spPr>
            <c:extLst>
              <c:ext xmlns:c16="http://schemas.microsoft.com/office/drawing/2014/chart" uri="{C3380CC4-5D6E-409C-BE32-E72D297353CC}">
                <c16:uniqueId val="{00000096-BE62-44FA-B32F-D173B289F6C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yriad Pro"/>
                    <a:ea typeface="Myriad Pro"/>
                    <a:cs typeface="Myriad Pro"/>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Examples!$B$35:$I$35</c:f>
              <c:strCache>
                <c:ptCount val="8"/>
                <c:pt idx="0">
                  <c:v>Data 1</c:v>
                </c:pt>
                <c:pt idx="1">
                  <c:v>Data 2</c:v>
                </c:pt>
                <c:pt idx="2">
                  <c:v>Data 3</c:v>
                </c:pt>
                <c:pt idx="3">
                  <c:v>Data 4</c:v>
                </c:pt>
                <c:pt idx="4">
                  <c:v>Data 5</c:v>
                </c:pt>
                <c:pt idx="5">
                  <c:v>Data 6</c:v>
                </c:pt>
                <c:pt idx="6">
                  <c:v>Data 7</c:v>
                </c:pt>
                <c:pt idx="7">
                  <c:v>Data 8</c:v>
                </c:pt>
              </c:strCache>
            </c:strRef>
          </c:cat>
          <c:val>
            <c:numRef>
              <c:f>Examples!$B$43:$I$43</c:f>
              <c:numCache>
                <c:formatCode>General</c:formatCode>
                <c:ptCount val="8"/>
                <c:pt idx="0">
                  <c:v>45</c:v>
                </c:pt>
                <c:pt idx="1">
                  <c:v>22</c:v>
                </c:pt>
                <c:pt idx="2">
                  <c:v>26</c:v>
                </c:pt>
                <c:pt idx="3">
                  <c:v>8</c:v>
                </c:pt>
                <c:pt idx="4">
                  <c:v>2</c:v>
                </c:pt>
                <c:pt idx="5">
                  <c:v>20</c:v>
                </c:pt>
                <c:pt idx="6">
                  <c:v>4</c:v>
                </c:pt>
                <c:pt idx="7">
                  <c:v>22</c:v>
                </c:pt>
              </c:numCache>
            </c:numRef>
          </c:val>
          <c:extLst>
            <c:ext xmlns:c16="http://schemas.microsoft.com/office/drawing/2014/chart" uri="{C3380CC4-5D6E-409C-BE32-E72D297353CC}">
              <c16:uniqueId val="{00000097-BE62-44FA-B32F-D173B289F6C6}"/>
            </c:ext>
          </c:extLst>
        </c:ser>
        <c:dLbls>
          <c:showLegendKey val="0"/>
          <c:showVal val="0"/>
          <c:showCatName val="1"/>
          <c:showSerName val="0"/>
          <c:showPercent val="1"/>
          <c:showBubbleSize val="0"/>
          <c:showLeaderLines val="0"/>
        </c:dLbls>
        <c:gapWidth val="100"/>
        <c:splitType val="pos"/>
        <c:splitPos val="3"/>
        <c:secondPieSize val="70"/>
        <c:serLines>
          <c:spPr>
            <a:ln w="3175" cap="flat" cmpd="sng" algn="ctr">
              <a:solidFill>
                <a:srgbClr val="000000"/>
              </a:solidFill>
              <a:prstDash val="solid"/>
              <a:round/>
            </a:ln>
            <a:effectLst/>
          </c:spPr>
        </c:serLines>
      </c:ofPieChart>
      <c:spPr>
        <a:noFill/>
        <a:ln w="25400">
          <a:noFill/>
        </a:ln>
        <a:effectLst/>
      </c:spPr>
    </c:plotArea>
    <c:plotVisOnly val="1"/>
    <c:dispBlanksAs val="zero"/>
    <c:showDLblsOverMax val="0"/>
  </c:chart>
  <c:spPr>
    <a:noFill/>
    <a:ln w="9525" cap="flat" cmpd="sng" algn="ctr">
      <a:noFill/>
      <a:prstDash val="solid"/>
      <a:round/>
    </a:ln>
    <a:effectLst/>
  </c:spPr>
  <c:txPr>
    <a:bodyPr/>
    <a:lstStyle/>
    <a:p>
      <a:pPr>
        <a:defRPr sz="900" b="0" i="0" u="none" strike="noStrike" baseline="0">
          <a:solidFill>
            <a:srgbClr val="000000"/>
          </a:solidFill>
          <a:latin typeface="Myriad Pro"/>
          <a:ea typeface="Myriad Pro"/>
          <a:cs typeface="Myriad Pro"/>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195579</xdr:colOff>
      <xdr:row>46</xdr:row>
      <xdr:rowOff>74491</xdr:rowOff>
    </xdr:from>
    <xdr:to>
      <xdr:col>9</xdr:col>
      <xdr:colOff>716829</xdr:colOff>
      <xdr:row>60</xdr:row>
      <xdr:rowOff>117991</xdr:rowOff>
    </xdr:to>
    <xdr:graphicFrame macro="">
      <xdr:nvGraphicFramePr>
        <xdr:cNvPr id="2" name="1. Line">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2494</xdr:colOff>
      <xdr:row>190</xdr:row>
      <xdr:rowOff>50134</xdr:rowOff>
    </xdr:from>
    <xdr:to>
      <xdr:col>8</xdr:col>
      <xdr:colOff>523744</xdr:colOff>
      <xdr:row>204</xdr:row>
      <xdr:rowOff>93634</xdr:rowOff>
    </xdr:to>
    <xdr:graphicFrame macro="">
      <xdr:nvGraphicFramePr>
        <xdr:cNvPr id="3" name="10. Stacked column">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239122</xdr:colOff>
      <xdr:row>234</xdr:row>
      <xdr:rowOff>50173</xdr:rowOff>
    </xdr:from>
    <xdr:to>
      <xdr:col>8</xdr:col>
      <xdr:colOff>24350</xdr:colOff>
      <xdr:row>247</xdr:row>
      <xdr:rowOff>79273</xdr:rowOff>
    </xdr:to>
    <xdr:graphicFrame macro="">
      <xdr:nvGraphicFramePr>
        <xdr:cNvPr id="4" name="12. Line-column on 2 axes">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7392</xdr:colOff>
      <xdr:row>213</xdr:row>
      <xdr:rowOff>61428</xdr:rowOff>
    </xdr:from>
    <xdr:to>
      <xdr:col>8</xdr:col>
      <xdr:colOff>528642</xdr:colOff>
      <xdr:row>227</xdr:row>
      <xdr:rowOff>104928</xdr:rowOff>
    </xdr:to>
    <xdr:graphicFrame macro="">
      <xdr:nvGraphicFramePr>
        <xdr:cNvPr id="5" name="11. 100% Stacked column">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299944</xdr:colOff>
      <xdr:row>171</xdr:row>
      <xdr:rowOff>30541</xdr:rowOff>
    </xdr:from>
    <xdr:to>
      <xdr:col>8</xdr:col>
      <xdr:colOff>821194</xdr:colOff>
      <xdr:row>185</xdr:row>
      <xdr:rowOff>74041</xdr:rowOff>
    </xdr:to>
    <xdr:graphicFrame macro="">
      <xdr:nvGraphicFramePr>
        <xdr:cNvPr id="6" name="9. Cluster column">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787490</xdr:colOff>
      <xdr:row>248</xdr:row>
      <xdr:rowOff>17244</xdr:rowOff>
    </xdr:from>
    <xdr:to>
      <xdr:col>9</xdr:col>
      <xdr:colOff>762452</xdr:colOff>
      <xdr:row>249</xdr:row>
      <xdr:rowOff>44458</xdr:rowOff>
    </xdr:to>
    <xdr:sp macro="" textlink="">
      <xdr:nvSpPr>
        <xdr:cNvPr id="7" name="Text Box 51">
          <a:extLst>
            <a:ext uri="{FF2B5EF4-FFF2-40B4-BE49-F238E27FC236}">
              <a16:creationId xmlns:a16="http://schemas.microsoft.com/office/drawing/2014/main" id="{00000000-0008-0000-0000-000007000000}"/>
            </a:ext>
          </a:extLst>
        </xdr:cNvPr>
        <xdr:cNvSpPr txBox="1">
          <a:spLocks noChangeArrowheads="1"/>
        </xdr:cNvSpPr>
      </xdr:nvSpPr>
      <xdr:spPr bwMode="auto">
        <a:xfrm>
          <a:off x="1835240" y="39431694"/>
          <a:ext cx="8356962" cy="20818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FF0000"/>
              </a:solidFill>
              <a:latin typeface="Arial Narrow"/>
            </a:rPr>
            <a:t>Don't forget to alter the value axes so that the grid aligns with the values on each side.</a:t>
          </a:r>
        </a:p>
      </xdr:txBody>
    </xdr:sp>
    <xdr:clientData/>
  </xdr:twoCellAnchor>
  <xdr:twoCellAnchor>
    <xdr:from>
      <xdr:col>4</xdr:col>
      <xdr:colOff>147334</xdr:colOff>
      <xdr:row>65</xdr:row>
      <xdr:rowOff>56307</xdr:rowOff>
    </xdr:from>
    <xdr:to>
      <xdr:col>9</xdr:col>
      <xdr:colOff>668584</xdr:colOff>
      <xdr:row>79</xdr:row>
      <xdr:rowOff>99807</xdr:rowOff>
    </xdr:to>
    <xdr:graphicFrame macro="">
      <xdr:nvGraphicFramePr>
        <xdr:cNvPr id="8" name="10. Stacked column">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766386</xdr:colOff>
      <xdr:row>65</xdr:row>
      <xdr:rowOff>2126</xdr:rowOff>
    </xdr:from>
    <xdr:to>
      <xdr:col>17</xdr:col>
      <xdr:colOff>239886</xdr:colOff>
      <xdr:row>79</xdr:row>
      <xdr:rowOff>45626</xdr:rowOff>
    </xdr:to>
    <xdr:graphicFrame macro="">
      <xdr:nvGraphicFramePr>
        <xdr:cNvPr id="9" name="3. Scatter connected by line">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782071</xdr:colOff>
      <xdr:row>255</xdr:row>
      <xdr:rowOff>10193</xdr:rowOff>
    </xdr:from>
    <xdr:to>
      <xdr:col>9</xdr:col>
      <xdr:colOff>749414</xdr:colOff>
      <xdr:row>270</xdr:row>
      <xdr:rowOff>49382</xdr:rowOff>
    </xdr:to>
    <xdr:graphicFrame macro="">
      <xdr:nvGraphicFramePr>
        <xdr:cNvPr id="10" name="6. Cluster bar">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187168</xdr:colOff>
      <xdr:row>283</xdr:row>
      <xdr:rowOff>94309</xdr:rowOff>
    </xdr:from>
    <xdr:to>
      <xdr:col>8</xdr:col>
      <xdr:colOff>1157453</xdr:colOff>
      <xdr:row>296</xdr:row>
      <xdr:rowOff>123409</xdr:rowOff>
    </xdr:to>
    <xdr:graphicFrame macro="">
      <xdr:nvGraphicFramePr>
        <xdr:cNvPr id="11" name="14. Pie of pie">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879994</xdr:colOff>
      <xdr:row>285</xdr:row>
      <xdr:rowOff>107568</xdr:rowOff>
    </xdr:from>
    <xdr:to>
      <xdr:col>16</xdr:col>
      <xdr:colOff>652851</xdr:colOff>
      <xdr:row>298</xdr:row>
      <xdr:rowOff>136668</xdr:rowOff>
    </xdr:to>
    <xdr:graphicFrame macro="">
      <xdr:nvGraphicFramePr>
        <xdr:cNvPr id="12" name="15. Bar of pie">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55153</xdr:colOff>
      <xdr:row>149</xdr:row>
      <xdr:rowOff>44284</xdr:rowOff>
    </xdr:from>
    <xdr:to>
      <xdr:col>8</xdr:col>
      <xdr:colOff>576403</xdr:colOff>
      <xdr:row>163</xdr:row>
      <xdr:rowOff>87784</xdr:rowOff>
    </xdr:to>
    <xdr:graphicFrame macro="">
      <xdr:nvGraphicFramePr>
        <xdr:cNvPr id="13" name="8. 100% Stacked bar">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589396</xdr:colOff>
      <xdr:row>44</xdr:row>
      <xdr:rowOff>5368</xdr:rowOff>
    </xdr:from>
    <xdr:to>
      <xdr:col>9</xdr:col>
      <xdr:colOff>261010</xdr:colOff>
      <xdr:row>45</xdr:row>
      <xdr:rowOff>136072</xdr:rowOff>
    </xdr:to>
    <xdr:sp macro="" textlink="">
      <xdr:nvSpPr>
        <xdr:cNvPr id="14" name="Text Box 121">
          <a:extLst>
            <a:ext uri="{FF2B5EF4-FFF2-40B4-BE49-F238E27FC236}">
              <a16:creationId xmlns:a16="http://schemas.microsoft.com/office/drawing/2014/main" id="{00000000-0008-0000-0000-00000E000000}"/>
            </a:ext>
          </a:extLst>
        </xdr:cNvPr>
        <xdr:cNvSpPr txBox="1">
          <a:spLocks noChangeArrowheads="1"/>
        </xdr:cNvSpPr>
      </xdr:nvSpPr>
      <xdr:spPr bwMode="auto">
        <a:xfrm>
          <a:off x="4780396" y="2500918"/>
          <a:ext cx="4910364" cy="31167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 Line 6-8 data points</a:t>
          </a:r>
        </a:p>
        <a:p>
          <a:pPr algn="ctr" rtl="0">
            <a:defRPr sz="1000"/>
          </a:pPr>
          <a:r>
            <a:rPr lang="en-AU" sz="1000" b="1" i="0" strike="noStrike">
              <a:solidFill>
                <a:srgbClr val="000000"/>
              </a:solidFill>
              <a:latin typeface="Arial"/>
              <a:cs typeface="Arial"/>
            </a:rPr>
            <a:t>Line chart 6-8 data.crtx</a:t>
          </a:r>
        </a:p>
      </xdr:txBody>
    </xdr:sp>
    <xdr:clientData/>
  </xdr:twoCellAnchor>
  <xdr:twoCellAnchor>
    <xdr:from>
      <xdr:col>4</xdr:col>
      <xdr:colOff>238125</xdr:colOff>
      <xdr:row>62</xdr:row>
      <xdr:rowOff>86591</xdr:rowOff>
    </xdr:from>
    <xdr:to>
      <xdr:col>9</xdr:col>
      <xdr:colOff>1057275</xdr:colOff>
      <xdr:row>64</xdr:row>
      <xdr:rowOff>152400</xdr:rowOff>
    </xdr:to>
    <xdr:sp macro="" textlink="">
      <xdr:nvSpPr>
        <xdr:cNvPr id="15" name="Text Box 122">
          <a:extLst>
            <a:ext uri="{FF2B5EF4-FFF2-40B4-BE49-F238E27FC236}">
              <a16:creationId xmlns:a16="http://schemas.microsoft.com/office/drawing/2014/main" id="{00000000-0008-0000-0000-00000F000000}"/>
            </a:ext>
          </a:extLst>
        </xdr:cNvPr>
        <xdr:cNvSpPr txBox="1">
          <a:spLocks noChangeArrowheads="1"/>
        </xdr:cNvSpPr>
      </xdr:nvSpPr>
      <xdr:spPr bwMode="auto">
        <a:xfrm>
          <a:off x="4429125" y="5839691"/>
          <a:ext cx="6048375" cy="42775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2. Scatter</a:t>
          </a:r>
        </a:p>
        <a:p>
          <a:pPr algn="ctr" rtl="0">
            <a:defRPr sz="1000"/>
          </a:pPr>
          <a:r>
            <a:rPr lang="en-AU" sz="1000" b="1" i="0" strike="noStrike">
              <a:solidFill>
                <a:srgbClr val="000000"/>
              </a:solidFill>
              <a:latin typeface="Arial"/>
              <a:cs typeface="Arial"/>
            </a:rPr>
            <a:t>Scatter chart.crtx</a:t>
          </a:r>
        </a:p>
      </xdr:txBody>
    </xdr:sp>
    <xdr:clientData/>
  </xdr:twoCellAnchor>
  <xdr:twoCellAnchor>
    <xdr:from>
      <xdr:col>11</xdr:col>
      <xdr:colOff>762577</xdr:colOff>
      <xdr:row>62</xdr:row>
      <xdr:rowOff>26075</xdr:rowOff>
    </xdr:from>
    <xdr:to>
      <xdr:col>16</xdr:col>
      <xdr:colOff>750795</xdr:colOff>
      <xdr:row>64</xdr:row>
      <xdr:rowOff>34637</xdr:rowOff>
    </xdr:to>
    <xdr:sp macro="" textlink="">
      <xdr:nvSpPr>
        <xdr:cNvPr id="16" name="Text Box 123">
          <a:extLst>
            <a:ext uri="{FF2B5EF4-FFF2-40B4-BE49-F238E27FC236}">
              <a16:creationId xmlns:a16="http://schemas.microsoft.com/office/drawing/2014/main" id="{00000000-0008-0000-0000-000010000000}"/>
            </a:ext>
          </a:extLst>
        </xdr:cNvPr>
        <xdr:cNvSpPr txBox="1">
          <a:spLocks noChangeArrowheads="1"/>
        </xdr:cNvSpPr>
      </xdr:nvSpPr>
      <xdr:spPr bwMode="auto">
        <a:xfrm>
          <a:off x="12287827" y="5779175"/>
          <a:ext cx="5226968" cy="3705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3. Scatter connected by line</a:t>
          </a:r>
        </a:p>
        <a:p>
          <a:pPr algn="ctr" rtl="0">
            <a:defRPr sz="1000"/>
          </a:pPr>
          <a:r>
            <a:rPr lang="en-AU" sz="1000" b="1" i="0" strike="noStrike">
              <a:solidFill>
                <a:srgbClr val="000000"/>
              </a:solidFill>
              <a:latin typeface="Arial"/>
              <a:cs typeface="Arial"/>
            </a:rPr>
            <a:t>Scatter line chart.crtx</a:t>
          </a:r>
        </a:p>
      </xdr:txBody>
    </xdr:sp>
    <xdr:clientData/>
  </xdr:twoCellAnchor>
  <xdr:twoCellAnchor>
    <xdr:from>
      <xdr:col>11</xdr:col>
      <xdr:colOff>505822</xdr:colOff>
      <xdr:row>83</xdr:row>
      <xdr:rowOff>176744</xdr:rowOff>
    </xdr:from>
    <xdr:to>
      <xdr:col>16</xdr:col>
      <xdr:colOff>86591</xdr:colOff>
      <xdr:row>85</xdr:row>
      <xdr:rowOff>128155</xdr:rowOff>
    </xdr:to>
    <xdr:sp macro="" textlink="">
      <xdr:nvSpPr>
        <xdr:cNvPr id="17" name="Text Box 124">
          <a:extLst>
            <a:ext uri="{FF2B5EF4-FFF2-40B4-BE49-F238E27FC236}">
              <a16:creationId xmlns:a16="http://schemas.microsoft.com/office/drawing/2014/main" id="{00000000-0008-0000-0000-000011000000}"/>
            </a:ext>
          </a:extLst>
        </xdr:cNvPr>
        <xdr:cNvSpPr txBox="1">
          <a:spLocks noChangeArrowheads="1"/>
        </xdr:cNvSpPr>
      </xdr:nvSpPr>
      <xdr:spPr bwMode="auto">
        <a:xfrm>
          <a:off x="12031072" y="9730319"/>
          <a:ext cx="4819519" cy="31336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5. Stacked area</a:t>
          </a:r>
        </a:p>
        <a:p>
          <a:pPr algn="ctr" rtl="0">
            <a:defRPr sz="1000"/>
          </a:pPr>
          <a:r>
            <a:rPr lang="en-AU" sz="1000" b="1" i="0" strike="noStrike">
              <a:solidFill>
                <a:srgbClr val="000000"/>
              </a:solidFill>
              <a:latin typeface="Arial"/>
              <a:cs typeface="Arial"/>
            </a:rPr>
            <a:t>Stack Area.crtx</a:t>
          </a:r>
        </a:p>
      </xdr:txBody>
    </xdr:sp>
    <xdr:clientData/>
  </xdr:twoCellAnchor>
  <xdr:twoCellAnchor>
    <xdr:from>
      <xdr:col>3</xdr:col>
      <xdr:colOff>935934</xdr:colOff>
      <xdr:row>83</xdr:row>
      <xdr:rowOff>163554</xdr:rowOff>
    </xdr:from>
    <xdr:to>
      <xdr:col>8</xdr:col>
      <xdr:colOff>182217</xdr:colOff>
      <xdr:row>85</xdr:row>
      <xdr:rowOff>173935</xdr:rowOff>
    </xdr:to>
    <xdr:sp macro="" textlink="">
      <xdr:nvSpPr>
        <xdr:cNvPr id="18" name="Text Box 125">
          <a:extLst>
            <a:ext uri="{FF2B5EF4-FFF2-40B4-BE49-F238E27FC236}">
              <a16:creationId xmlns:a16="http://schemas.microsoft.com/office/drawing/2014/main" id="{00000000-0008-0000-0000-000012000000}"/>
            </a:ext>
          </a:extLst>
        </xdr:cNvPr>
        <xdr:cNvSpPr txBox="1">
          <a:spLocks noChangeArrowheads="1"/>
        </xdr:cNvSpPr>
      </xdr:nvSpPr>
      <xdr:spPr bwMode="auto">
        <a:xfrm>
          <a:off x="4079184" y="9717129"/>
          <a:ext cx="4485033" cy="37233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4. 100% Stacked area</a:t>
          </a:r>
        </a:p>
        <a:p>
          <a:pPr algn="ctr" rtl="0">
            <a:defRPr sz="1000"/>
          </a:pPr>
          <a:r>
            <a:rPr lang="en-AU" sz="1000" b="1" i="0" strike="noStrike">
              <a:solidFill>
                <a:srgbClr val="000000"/>
              </a:solidFill>
              <a:latin typeface="Arial"/>
              <a:cs typeface="Arial"/>
            </a:rPr>
            <a:t>Stack area 100%.crtx</a:t>
          </a:r>
        </a:p>
      </xdr:txBody>
    </xdr:sp>
    <xdr:clientData/>
  </xdr:twoCellAnchor>
  <xdr:twoCellAnchor>
    <xdr:from>
      <xdr:col>3</xdr:col>
      <xdr:colOff>287020</xdr:colOff>
      <xdr:row>126</xdr:row>
      <xdr:rowOff>155046</xdr:rowOff>
    </xdr:from>
    <xdr:to>
      <xdr:col>8</xdr:col>
      <xdr:colOff>259774</xdr:colOff>
      <xdr:row>128</xdr:row>
      <xdr:rowOff>136072</xdr:rowOff>
    </xdr:to>
    <xdr:sp macro="" textlink="">
      <xdr:nvSpPr>
        <xdr:cNvPr id="19" name="Text Box 127">
          <a:extLst>
            <a:ext uri="{FF2B5EF4-FFF2-40B4-BE49-F238E27FC236}">
              <a16:creationId xmlns:a16="http://schemas.microsoft.com/office/drawing/2014/main" id="{00000000-0008-0000-0000-000013000000}"/>
            </a:ext>
          </a:extLst>
        </xdr:cNvPr>
        <xdr:cNvSpPr txBox="1">
          <a:spLocks noChangeArrowheads="1"/>
        </xdr:cNvSpPr>
      </xdr:nvSpPr>
      <xdr:spPr bwMode="auto">
        <a:xfrm>
          <a:off x="3430270" y="17490546"/>
          <a:ext cx="5211504" cy="342976"/>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7. Stacked bar - 6-8 data</a:t>
          </a:r>
        </a:p>
        <a:p>
          <a:pPr algn="ctr" rtl="0">
            <a:defRPr sz="1000"/>
          </a:pPr>
          <a:r>
            <a:rPr lang="en-AU" sz="1000" b="1" i="0" strike="noStrike">
              <a:solidFill>
                <a:srgbClr val="000000"/>
              </a:solidFill>
              <a:latin typeface="Arial"/>
              <a:cs typeface="Arial"/>
            </a:rPr>
            <a:t>Stacked Bar 6-8 data.crtx</a:t>
          </a:r>
        </a:p>
      </xdr:txBody>
    </xdr:sp>
    <xdr:clientData/>
  </xdr:twoCellAnchor>
  <xdr:twoCellAnchor>
    <xdr:from>
      <xdr:col>3</xdr:col>
      <xdr:colOff>68036</xdr:colOff>
      <xdr:row>147</xdr:row>
      <xdr:rowOff>92454</xdr:rowOff>
    </xdr:from>
    <xdr:to>
      <xdr:col>8</xdr:col>
      <xdr:colOff>81643</xdr:colOff>
      <xdr:row>149</xdr:row>
      <xdr:rowOff>81643</xdr:rowOff>
    </xdr:to>
    <xdr:sp macro="" textlink="">
      <xdr:nvSpPr>
        <xdr:cNvPr id="20" name="Text Box 128">
          <a:extLst>
            <a:ext uri="{FF2B5EF4-FFF2-40B4-BE49-F238E27FC236}">
              <a16:creationId xmlns:a16="http://schemas.microsoft.com/office/drawing/2014/main" id="{00000000-0008-0000-0000-000014000000}"/>
            </a:ext>
          </a:extLst>
        </xdr:cNvPr>
        <xdr:cNvSpPr txBox="1">
          <a:spLocks noChangeArrowheads="1"/>
        </xdr:cNvSpPr>
      </xdr:nvSpPr>
      <xdr:spPr bwMode="auto">
        <a:xfrm>
          <a:off x="3211286" y="21228429"/>
          <a:ext cx="5252357" cy="35113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8. 100% Stacked bar</a:t>
          </a:r>
        </a:p>
        <a:p>
          <a:pPr algn="ctr" rtl="0">
            <a:defRPr sz="1000"/>
          </a:pPr>
          <a:r>
            <a:rPr lang="en-AU" sz="1000" b="1" i="0" strike="noStrike">
              <a:solidFill>
                <a:srgbClr val="000000"/>
              </a:solidFill>
              <a:latin typeface="Arial"/>
              <a:cs typeface="Arial"/>
            </a:rPr>
            <a:t>Stacked Bar 100% 6-8 data.crtx</a:t>
          </a:r>
        </a:p>
      </xdr:txBody>
    </xdr:sp>
    <xdr:clientData/>
  </xdr:twoCellAnchor>
  <xdr:twoCellAnchor>
    <xdr:from>
      <xdr:col>3</xdr:col>
      <xdr:colOff>608828</xdr:colOff>
      <xdr:row>168</xdr:row>
      <xdr:rowOff>178042</xdr:rowOff>
    </xdr:from>
    <xdr:to>
      <xdr:col>8</xdr:col>
      <xdr:colOff>430481</xdr:colOff>
      <xdr:row>171</xdr:row>
      <xdr:rowOff>54429</xdr:rowOff>
    </xdr:to>
    <xdr:sp macro="" textlink="">
      <xdr:nvSpPr>
        <xdr:cNvPr id="21" name="Text Box 131">
          <a:extLst>
            <a:ext uri="{FF2B5EF4-FFF2-40B4-BE49-F238E27FC236}">
              <a16:creationId xmlns:a16="http://schemas.microsoft.com/office/drawing/2014/main" id="{00000000-0008-0000-0000-000015000000}"/>
            </a:ext>
          </a:extLst>
        </xdr:cNvPr>
        <xdr:cNvSpPr txBox="1">
          <a:spLocks noChangeArrowheads="1"/>
        </xdr:cNvSpPr>
      </xdr:nvSpPr>
      <xdr:spPr bwMode="auto">
        <a:xfrm>
          <a:off x="3752078" y="25114492"/>
          <a:ext cx="5060403" cy="41931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 Cluster column - 6-8</a:t>
          </a:r>
          <a:r>
            <a:rPr lang="en-AU" sz="1000" b="1" i="0" strike="noStrike" baseline="0">
              <a:solidFill>
                <a:srgbClr val="000000"/>
              </a:solidFill>
              <a:latin typeface="Arial"/>
              <a:cs typeface="Arial"/>
            </a:rPr>
            <a:t> data points</a:t>
          </a:r>
          <a:endParaRPr lang="en-AU" sz="1000" b="1" i="0" strike="noStrike">
            <a:solidFill>
              <a:srgbClr val="000000"/>
            </a:solidFill>
            <a:latin typeface="Arial"/>
            <a:cs typeface="Arial"/>
          </a:endParaRPr>
        </a:p>
        <a:p>
          <a:pPr algn="ctr" rtl="0">
            <a:defRPr sz="1000"/>
          </a:pPr>
          <a:r>
            <a:rPr lang="en-AU" sz="1000" b="1" i="0" strike="noStrike">
              <a:solidFill>
                <a:srgbClr val="000000"/>
              </a:solidFill>
              <a:latin typeface="Arial"/>
              <a:cs typeface="Arial"/>
            </a:rPr>
            <a:t>Cluster Bar 6-8 data.crtx</a:t>
          </a:r>
        </a:p>
        <a:p>
          <a:pPr algn="ctr" rtl="0">
            <a:defRPr sz="1000"/>
          </a:pPr>
          <a:endParaRPr lang="en-AU" sz="1000" b="1" i="0" strike="noStrike">
            <a:solidFill>
              <a:srgbClr val="000000"/>
            </a:solidFill>
            <a:latin typeface="Arial"/>
            <a:cs typeface="Arial"/>
          </a:endParaRPr>
        </a:p>
      </xdr:txBody>
    </xdr:sp>
    <xdr:clientData/>
  </xdr:twoCellAnchor>
  <xdr:twoCellAnchor>
    <xdr:from>
      <xdr:col>2</xdr:col>
      <xdr:colOff>1175974</xdr:colOff>
      <xdr:row>188</xdr:row>
      <xdr:rowOff>68036</xdr:rowOff>
    </xdr:from>
    <xdr:to>
      <xdr:col>8</xdr:col>
      <xdr:colOff>310489</xdr:colOff>
      <xdr:row>190</xdr:row>
      <xdr:rowOff>138545</xdr:rowOff>
    </xdr:to>
    <xdr:sp macro="" textlink="">
      <xdr:nvSpPr>
        <xdr:cNvPr id="22" name="Text Box 132">
          <a:extLst>
            <a:ext uri="{FF2B5EF4-FFF2-40B4-BE49-F238E27FC236}">
              <a16:creationId xmlns:a16="http://schemas.microsoft.com/office/drawing/2014/main" id="{00000000-0008-0000-0000-000016000000}"/>
            </a:ext>
          </a:extLst>
        </xdr:cNvPr>
        <xdr:cNvSpPr txBox="1">
          <a:spLocks noChangeArrowheads="1"/>
        </xdr:cNvSpPr>
      </xdr:nvSpPr>
      <xdr:spPr bwMode="auto">
        <a:xfrm>
          <a:off x="3147649" y="28623986"/>
          <a:ext cx="5544840" cy="43245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10. Stacked column </a:t>
          </a:r>
          <a:r>
            <a:rPr lang="en-AU" sz="1000" b="1" i="0">
              <a:effectLst/>
              <a:latin typeface="+mn-lt"/>
              <a:ea typeface="+mn-ea"/>
              <a:cs typeface="+mn-cs"/>
            </a:rPr>
            <a:t>6-8</a:t>
          </a:r>
          <a:r>
            <a:rPr lang="en-AU" sz="1000" b="1" i="0" baseline="0">
              <a:effectLst/>
              <a:latin typeface="+mn-lt"/>
              <a:ea typeface="+mn-ea"/>
              <a:cs typeface="+mn-cs"/>
            </a:rPr>
            <a:t> data points</a:t>
          </a:r>
        </a:p>
        <a:p>
          <a:pPr algn="ctr" rtl="0">
            <a:defRPr sz="1000"/>
          </a:pPr>
          <a:r>
            <a:rPr lang="en-AU" sz="1000" b="1" i="0" strike="noStrike">
              <a:solidFill>
                <a:srgbClr val="000000"/>
              </a:solidFill>
              <a:latin typeface="Arial"/>
              <a:cs typeface="Arial"/>
            </a:rPr>
            <a:t>Stacked Column 6-8 data.crtx</a:t>
          </a:r>
        </a:p>
      </xdr:txBody>
    </xdr:sp>
    <xdr:clientData/>
  </xdr:twoCellAnchor>
  <xdr:twoCellAnchor>
    <xdr:from>
      <xdr:col>3</xdr:col>
      <xdr:colOff>7392</xdr:colOff>
      <xdr:row>210</xdr:row>
      <xdr:rowOff>156406</xdr:rowOff>
    </xdr:from>
    <xdr:to>
      <xdr:col>7</xdr:col>
      <xdr:colOff>997033</xdr:colOff>
      <xdr:row>212</xdr:row>
      <xdr:rowOff>136071</xdr:rowOff>
    </xdr:to>
    <xdr:sp macro="" textlink="">
      <xdr:nvSpPr>
        <xdr:cNvPr id="23" name="Text Box 133">
          <a:extLst>
            <a:ext uri="{FF2B5EF4-FFF2-40B4-BE49-F238E27FC236}">
              <a16:creationId xmlns:a16="http://schemas.microsoft.com/office/drawing/2014/main" id="{00000000-0008-0000-0000-000017000000}"/>
            </a:ext>
          </a:extLst>
        </xdr:cNvPr>
        <xdr:cNvSpPr txBox="1">
          <a:spLocks noChangeArrowheads="1"/>
        </xdr:cNvSpPr>
      </xdr:nvSpPr>
      <xdr:spPr bwMode="auto">
        <a:xfrm>
          <a:off x="3150642" y="32693806"/>
          <a:ext cx="5180641" cy="34161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11. 100% Stacked column </a:t>
          </a:r>
          <a:r>
            <a:rPr lang="en-AU" sz="1000" b="1" i="0">
              <a:effectLst/>
              <a:latin typeface="+mn-lt"/>
              <a:ea typeface="+mn-ea"/>
              <a:cs typeface="+mn-cs"/>
            </a:rPr>
            <a:t>6-8</a:t>
          </a:r>
          <a:r>
            <a:rPr lang="en-AU" sz="1000" b="1" i="0" baseline="0">
              <a:effectLst/>
              <a:latin typeface="+mn-lt"/>
              <a:ea typeface="+mn-ea"/>
              <a:cs typeface="+mn-cs"/>
            </a:rPr>
            <a:t> data points</a:t>
          </a:r>
        </a:p>
        <a:p>
          <a:pPr algn="ctr" rtl="0">
            <a:defRPr sz="1000"/>
          </a:pPr>
          <a:r>
            <a:rPr lang="en-AU" sz="1000" b="1" i="0" baseline="0">
              <a:effectLst/>
              <a:latin typeface="+mn-lt"/>
              <a:ea typeface="+mn-ea"/>
              <a:cs typeface="+mn-cs"/>
            </a:rPr>
            <a:t>Stacked column 100% 6-8 data.crtx</a:t>
          </a:r>
        </a:p>
        <a:p>
          <a:pPr algn="ctr" rtl="0">
            <a:defRPr sz="1000"/>
          </a:pPr>
          <a:endParaRPr lang="en-AU" sz="1000" b="1" i="0" strike="noStrike">
            <a:solidFill>
              <a:srgbClr val="000000"/>
            </a:solidFill>
            <a:latin typeface="Arial"/>
            <a:cs typeface="Arial"/>
          </a:endParaRPr>
        </a:p>
      </xdr:txBody>
    </xdr:sp>
    <xdr:clientData/>
  </xdr:twoCellAnchor>
  <xdr:twoCellAnchor>
    <xdr:from>
      <xdr:col>3</xdr:col>
      <xdr:colOff>258172</xdr:colOff>
      <xdr:row>232</xdr:row>
      <xdr:rowOff>81643</xdr:rowOff>
    </xdr:from>
    <xdr:to>
      <xdr:col>8</xdr:col>
      <xdr:colOff>207819</xdr:colOff>
      <xdr:row>234</xdr:row>
      <xdr:rowOff>86590</xdr:rowOff>
    </xdr:to>
    <xdr:sp macro="" textlink="">
      <xdr:nvSpPr>
        <xdr:cNvPr id="24" name="Text Box 134">
          <a:extLst>
            <a:ext uri="{FF2B5EF4-FFF2-40B4-BE49-F238E27FC236}">
              <a16:creationId xmlns:a16="http://schemas.microsoft.com/office/drawing/2014/main" id="{00000000-0008-0000-0000-000018000000}"/>
            </a:ext>
          </a:extLst>
        </xdr:cNvPr>
        <xdr:cNvSpPr txBox="1">
          <a:spLocks noChangeArrowheads="1"/>
        </xdr:cNvSpPr>
      </xdr:nvSpPr>
      <xdr:spPr bwMode="auto">
        <a:xfrm>
          <a:off x="3401422" y="36600493"/>
          <a:ext cx="5188397" cy="36689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12. Line-column on 2 axes</a:t>
          </a:r>
        </a:p>
        <a:p>
          <a:pPr algn="ctr" rtl="0">
            <a:defRPr sz="1000"/>
          </a:pPr>
          <a:r>
            <a:rPr lang="en-AU" sz="1000" b="1" i="0" strike="noStrike">
              <a:solidFill>
                <a:srgbClr val="000000"/>
              </a:solidFill>
              <a:latin typeface="Arial"/>
              <a:cs typeface="Arial"/>
            </a:rPr>
            <a:t>Line column on 2 axes charts.crtx</a:t>
          </a:r>
        </a:p>
      </xdr:txBody>
    </xdr:sp>
    <xdr:clientData/>
  </xdr:twoCellAnchor>
  <xdr:twoCellAnchor>
    <xdr:from>
      <xdr:col>1</xdr:col>
      <xdr:colOff>761116</xdr:colOff>
      <xdr:row>252</xdr:row>
      <xdr:rowOff>163287</xdr:rowOff>
    </xdr:from>
    <xdr:to>
      <xdr:col>9</xdr:col>
      <xdr:colOff>728459</xdr:colOff>
      <xdr:row>255</xdr:row>
      <xdr:rowOff>19719</xdr:rowOff>
    </xdr:to>
    <xdr:sp macro="" textlink="">
      <xdr:nvSpPr>
        <xdr:cNvPr id="25" name="Text Box 135">
          <a:extLst>
            <a:ext uri="{FF2B5EF4-FFF2-40B4-BE49-F238E27FC236}">
              <a16:creationId xmlns:a16="http://schemas.microsoft.com/office/drawing/2014/main" id="{00000000-0008-0000-0000-000019000000}"/>
            </a:ext>
          </a:extLst>
        </xdr:cNvPr>
        <xdr:cNvSpPr txBox="1">
          <a:spLocks noChangeArrowheads="1"/>
        </xdr:cNvSpPr>
      </xdr:nvSpPr>
      <xdr:spPr bwMode="auto">
        <a:xfrm>
          <a:off x="1808866" y="40301637"/>
          <a:ext cx="8349343" cy="39935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13. Pie </a:t>
          </a:r>
          <a:r>
            <a:rPr lang="en-AU" sz="1000" b="1" i="0">
              <a:effectLst/>
              <a:latin typeface="+mn-lt"/>
              <a:ea typeface="+mn-ea"/>
              <a:cs typeface="+mn-cs"/>
            </a:rPr>
            <a:t>6-8</a:t>
          </a:r>
          <a:r>
            <a:rPr lang="en-AU" sz="1000" b="1" i="0" baseline="0">
              <a:effectLst/>
              <a:latin typeface="+mn-lt"/>
              <a:ea typeface="+mn-ea"/>
              <a:cs typeface="+mn-cs"/>
            </a:rPr>
            <a:t> data points</a:t>
          </a:r>
        </a:p>
        <a:p>
          <a:pPr algn="ctr" rtl="0">
            <a:defRPr sz="1000"/>
          </a:pPr>
          <a:r>
            <a:rPr lang="en-AU" sz="1000" b="1" i="0" strike="noStrike">
              <a:solidFill>
                <a:srgbClr val="000000"/>
              </a:solidFill>
              <a:latin typeface="Arial"/>
              <a:cs typeface="Arial"/>
            </a:rPr>
            <a:t>Pie Chart 6-8 data.crtx</a:t>
          </a:r>
        </a:p>
      </xdr:txBody>
    </xdr:sp>
    <xdr:clientData/>
  </xdr:twoCellAnchor>
  <xdr:twoCellAnchor>
    <xdr:from>
      <xdr:col>4</xdr:col>
      <xdr:colOff>177643</xdr:colOff>
      <xdr:row>280</xdr:row>
      <xdr:rowOff>107099</xdr:rowOff>
    </xdr:from>
    <xdr:to>
      <xdr:col>8</xdr:col>
      <xdr:colOff>244928</xdr:colOff>
      <xdr:row>282</xdr:row>
      <xdr:rowOff>54429</xdr:rowOff>
    </xdr:to>
    <xdr:sp macro="" textlink="">
      <xdr:nvSpPr>
        <xdr:cNvPr id="26" name="Text Box 136">
          <a:extLst>
            <a:ext uri="{FF2B5EF4-FFF2-40B4-BE49-F238E27FC236}">
              <a16:creationId xmlns:a16="http://schemas.microsoft.com/office/drawing/2014/main" id="{00000000-0008-0000-0000-00001A000000}"/>
            </a:ext>
          </a:extLst>
        </xdr:cNvPr>
        <xdr:cNvSpPr txBox="1">
          <a:spLocks noChangeArrowheads="1"/>
        </xdr:cNvSpPr>
      </xdr:nvSpPr>
      <xdr:spPr bwMode="auto">
        <a:xfrm>
          <a:off x="4368643" y="45312749"/>
          <a:ext cx="4258285" cy="30928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14. Pie of pie</a:t>
          </a:r>
        </a:p>
      </xdr:txBody>
    </xdr:sp>
    <xdr:clientData/>
  </xdr:twoCellAnchor>
  <xdr:twoCellAnchor>
    <xdr:from>
      <xdr:col>11</xdr:col>
      <xdr:colOff>658742</xdr:colOff>
      <xdr:row>282</xdr:row>
      <xdr:rowOff>90152</xdr:rowOff>
    </xdr:from>
    <xdr:to>
      <xdr:col>16</xdr:col>
      <xdr:colOff>680357</xdr:colOff>
      <xdr:row>283</xdr:row>
      <xdr:rowOff>136072</xdr:rowOff>
    </xdr:to>
    <xdr:sp macro="" textlink="">
      <xdr:nvSpPr>
        <xdr:cNvPr id="27" name="Text Box 137">
          <a:extLst>
            <a:ext uri="{FF2B5EF4-FFF2-40B4-BE49-F238E27FC236}">
              <a16:creationId xmlns:a16="http://schemas.microsoft.com/office/drawing/2014/main" id="{00000000-0008-0000-0000-00001B000000}"/>
            </a:ext>
          </a:extLst>
        </xdr:cNvPr>
        <xdr:cNvSpPr txBox="1">
          <a:spLocks noChangeArrowheads="1"/>
        </xdr:cNvSpPr>
      </xdr:nvSpPr>
      <xdr:spPr bwMode="auto">
        <a:xfrm>
          <a:off x="12183992" y="45657752"/>
          <a:ext cx="5260365" cy="22689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15. Bar of pie</a:t>
          </a:r>
        </a:p>
      </xdr:txBody>
    </xdr:sp>
    <xdr:clientData/>
  </xdr:twoCellAnchor>
  <xdr:twoCellAnchor>
    <xdr:from>
      <xdr:col>3</xdr:col>
      <xdr:colOff>983803</xdr:colOff>
      <xdr:row>305</xdr:row>
      <xdr:rowOff>90252</xdr:rowOff>
    </xdr:from>
    <xdr:to>
      <xdr:col>8</xdr:col>
      <xdr:colOff>756660</xdr:colOff>
      <xdr:row>318</xdr:row>
      <xdr:rowOff>119352</xdr:rowOff>
    </xdr:to>
    <xdr:graphicFrame macro="">
      <xdr:nvGraphicFramePr>
        <xdr:cNvPr id="28" name="13. Pie">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1030307</xdr:colOff>
      <xdr:row>302</xdr:row>
      <xdr:rowOff>155109</xdr:rowOff>
    </xdr:from>
    <xdr:to>
      <xdr:col>8</xdr:col>
      <xdr:colOff>450636</xdr:colOff>
      <xdr:row>305</xdr:row>
      <xdr:rowOff>22411</xdr:rowOff>
    </xdr:to>
    <xdr:sp macro="" textlink="">
      <xdr:nvSpPr>
        <xdr:cNvPr id="29" name="Text Box 136">
          <a:extLst>
            <a:ext uri="{FF2B5EF4-FFF2-40B4-BE49-F238E27FC236}">
              <a16:creationId xmlns:a16="http://schemas.microsoft.com/office/drawing/2014/main" id="{00000000-0008-0000-0000-00001D000000}"/>
            </a:ext>
          </a:extLst>
        </xdr:cNvPr>
        <xdr:cNvSpPr txBox="1">
          <a:spLocks noChangeArrowheads="1"/>
        </xdr:cNvSpPr>
      </xdr:nvSpPr>
      <xdr:spPr bwMode="auto">
        <a:xfrm>
          <a:off x="4173557" y="49342209"/>
          <a:ext cx="4659079" cy="41022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16. Doughnut - 6-8 data</a:t>
          </a:r>
          <a:r>
            <a:rPr lang="en-AU" sz="1000" b="1" i="0" strike="noStrike" baseline="0">
              <a:solidFill>
                <a:srgbClr val="000000"/>
              </a:solidFill>
              <a:latin typeface="Arial"/>
              <a:cs typeface="Arial"/>
            </a:rPr>
            <a:t> points</a:t>
          </a:r>
        </a:p>
        <a:p>
          <a:pPr algn="ctr" rtl="0">
            <a:defRPr sz="1000"/>
          </a:pPr>
          <a:r>
            <a:rPr lang="en-AU" sz="1000" b="1" i="0" strike="noStrike">
              <a:solidFill>
                <a:srgbClr val="000000"/>
              </a:solidFill>
              <a:latin typeface="Arial"/>
              <a:cs typeface="Arial"/>
            </a:rPr>
            <a:t>Doughnut 6-8 data.crtx</a:t>
          </a:r>
        </a:p>
      </xdr:txBody>
    </xdr:sp>
    <xdr:clientData/>
  </xdr:twoCellAnchor>
  <xdr:twoCellAnchor>
    <xdr:from>
      <xdr:col>3</xdr:col>
      <xdr:colOff>478606</xdr:colOff>
      <xdr:row>87</xdr:row>
      <xdr:rowOff>14644</xdr:rowOff>
    </xdr:from>
    <xdr:to>
      <xdr:col>8</xdr:col>
      <xdr:colOff>999856</xdr:colOff>
      <xdr:row>101</xdr:row>
      <xdr:rowOff>58144</xdr:rowOff>
    </xdr:to>
    <xdr:graphicFrame macro="">
      <xdr:nvGraphicFramePr>
        <xdr:cNvPr id="30" name="5. 100% Stacked area">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455022</xdr:colOff>
      <xdr:row>86</xdr:row>
      <xdr:rowOff>136814</xdr:rowOff>
    </xdr:from>
    <xdr:to>
      <xdr:col>16</xdr:col>
      <xdr:colOff>976272</xdr:colOff>
      <xdr:row>101</xdr:row>
      <xdr:rowOff>3421</xdr:rowOff>
    </xdr:to>
    <xdr:graphicFrame macro="">
      <xdr:nvGraphicFramePr>
        <xdr:cNvPr id="31" name="3. Scatter connected by line">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243840</xdr:colOff>
      <xdr:row>128</xdr:row>
      <xdr:rowOff>40821</xdr:rowOff>
    </xdr:from>
    <xdr:to>
      <xdr:col>8</xdr:col>
      <xdr:colOff>765090</xdr:colOff>
      <xdr:row>142</xdr:row>
      <xdr:rowOff>84321</xdr:rowOff>
    </xdr:to>
    <xdr:graphicFrame macro="">
      <xdr:nvGraphicFramePr>
        <xdr:cNvPr id="32" name="7. Stacked bar">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419100</xdr:colOff>
      <xdr:row>326</xdr:row>
      <xdr:rowOff>75409</xdr:rowOff>
    </xdr:from>
    <xdr:to>
      <xdr:col>8</xdr:col>
      <xdr:colOff>191957</xdr:colOff>
      <xdr:row>339</xdr:row>
      <xdr:rowOff>104509</xdr:rowOff>
    </xdr:to>
    <xdr:graphicFrame macro="">
      <xdr:nvGraphicFramePr>
        <xdr:cNvPr id="33" name="13. Pie">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422836</xdr:colOff>
      <xdr:row>323</xdr:row>
      <xdr:rowOff>157799</xdr:rowOff>
    </xdr:from>
    <xdr:to>
      <xdr:col>8</xdr:col>
      <xdr:colOff>0</xdr:colOff>
      <xdr:row>324</xdr:row>
      <xdr:rowOff>172891</xdr:rowOff>
    </xdr:to>
    <xdr:sp macro="" textlink="">
      <xdr:nvSpPr>
        <xdr:cNvPr id="34" name="Text Box 137">
          <a:extLst>
            <a:ext uri="{FF2B5EF4-FFF2-40B4-BE49-F238E27FC236}">
              <a16:creationId xmlns:a16="http://schemas.microsoft.com/office/drawing/2014/main" id="{00000000-0008-0000-0000-000022000000}"/>
            </a:ext>
          </a:extLst>
        </xdr:cNvPr>
        <xdr:cNvSpPr txBox="1">
          <a:spLocks noChangeArrowheads="1"/>
        </xdr:cNvSpPr>
      </xdr:nvSpPr>
      <xdr:spPr bwMode="auto">
        <a:xfrm>
          <a:off x="3566086" y="53145374"/>
          <a:ext cx="4815914" cy="19606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17. Line chart</a:t>
          </a:r>
          <a:r>
            <a:rPr lang="en-AU" sz="1000" b="1" i="0" strike="noStrike" baseline="0">
              <a:solidFill>
                <a:srgbClr val="000000"/>
              </a:solidFill>
              <a:latin typeface="Arial"/>
              <a:cs typeface="Arial"/>
            </a:rPr>
            <a:t> using highlight colour</a:t>
          </a:r>
          <a:endParaRPr lang="en-AU" sz="1000" b="1" i="0" strike="noStrike">
            <a:solidFill>
              <a:srgbClr val="000000"/>
            </a:solidFill>
            <a:latin typeface="Arial"/>
            <a:cs typeface="Arial"/>
          </a:endParaRPr>
        </a:p>
      </xdr:txBody>
    </xdr:sp>
    <xdr:clientData/>
  </xdr:twoCellAnchor>
  <xdr:twoCellAnchor>
    <xdr:from>
      <xdr:col>11</xdr:col>
      <xdr:colOff>614152</xdr:colOff>
      <xdr:row>326</xdr:row>
      <xdr:rowOff>86690</xdr:rowOff>
    </xdr:from>
    <xdr:to>
      <xdr:col>16</xdr:col>
      <xdr:colOff>387009</xdr:colOff>
      <xdr:row>339</xdr:row>
      <xdr:rowOff>115790</xdr:rowOff>
    </xdr:to>
    <xdr:graphicFrame macro="">
      <xdr:nvGraphicFramePr>
        <xdr:cNvPr id="35" name="15. Bar of pie">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597008</xdr:colOff>
      <xdr:row>325</xdr:row>
      <xdr:rowOff>12123</xdr:rowOff>
    </xdr:from>
    <xdr:to>
      <xdr:col>15</xdr:col>
      <xdr:colOff>1034142</xdr:colOff>
      <xdr:row>326</xdr:row>
      <xdr:rowOff>149679</xdr:rowOff>
    </xdr:to>
    <xdr:sp macro="" textlink="">
      <xdr:nvSpPr>
        <xdr:cNvPr id="36" name="Text Box 137">
          <a:extLst>
            <a:ext uri="{FF2B5EF4-FFF2-40B4-BE49-F238E27FC236}">
              <a16:creationId xmlns:a16="http://schemas.microsoft.com/office/drawing/2014/main" id="{00000000-0008-0000-0000-000024000000}"/>
            </a:ext>
          </a:extLst>
        </xdr:cNvPr>
        <xdr:cNvSpPr txBox="1">
          <a:spLocks noChangeArrowheads="1"/>
        </xdr:cNvSpPr>
      </xdr:nvSpPr>
      <xdr:spPr bwMode="auto">
        <a:xfrm>
          <a:off x="12122258" y="53361648"/>
          <a:ext cx="4628134" cy="31853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18. Pie Chart </a:t>
          </a:r>
          <a:r>
            <a:rPr lang="en-AU" sz="1000" b="1" i="0" strike="noStrike" baseline="0">
              <a:solidFill>
                <a:srgbClr val="000000"/>
              </a:solidFill>
              <a:latin typeface="Arial"/>
              <a:cs typeface="Arial"/>
            </a:rPr>
            <a:t>using highlight colour</a:t>
          </a:r>
          <a:endParaRPr lang="en-AU" sz="1000" b="1" i="0" strike="noStrike">
            <a:solidFill>
              <a:srgbClr val="000000"/>
            </a:solidFill>
            <a:latin typeface="Arial"/>
            <a:cs typeface="Arial"/>
          </a:endParaRPr>
        </a:p>
      </xdr:txBody>
    </xdr:sp>
    <xdr:clientData/>
  </xdr:twoCellAnchor>
  <xdr:twoCellAnchor>
    <xdr:from>
      <xdr:col>16</xdr:col>
      <xdr:colOff>1194771</xdr:colOff>
      <xdr:row>322</xdr:row>
      <xdr:rowOff>186975</xdr:rowOff>
    </xdr:from>
    <xdr:to>
      <xdr:col>19</xdr:col>
      <xdr:colOff>717777</xdr:colOff>
      <xdr:row>339</xdr:row>
      <xdr:rowOff>118939</xdr:rowOff>
    </xdr:to>
    <xdr:sp macro="" textlink="">
      <xdr:nvSpPr>
        <xdr:cNvPr id="37" name="Rectangular Callout 3">
          <a:extLst>
            <a:ext uri="{FF2B5EF4-FFF2-40B4-BE49-F238E27FC236}">
              <a16:creationId xmlns:a16="http://schemas.microsoft.com/office/drawing/2014/main" id="{00000000-0008-0000-0000-000025000000}"/>
            </a:ext>
          </a:extLst>
        </xdr:cNvPr>
        <xdr:cNvSpPr/>
      </xdr:nvSpPr>
      <xdr:spPr>
        <a:xfrm>
          <a:off x="17815896" y="52984050"/>
          <a:ext cx="2809131" cy="3018064"/>
        </a:xfrm>
        <a:prstGeom prst="wedgeRectCallout">
          <a:avLst>
            <a:gd name="adj1" fmla="val -116006"/>
            <a:gd name="adj2" fmla="val 12185"/>
          </a:avLst>
        </a:prstGeom>
        <a:solidFill>
          <a:sysClr val="window" lastClr="FFFFFF"/>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latin typeface="Arial" panose="020B0604020202020204" pitchFamily="34" charset="0"/>
              <a:cs typeface="Arial" panose="020B0604020202020204" pitchFamily="34" charset="0"/>
            </a:rPr>
            <a:t>Note: these are the IPART </a:t>
          </a:r>
          <a:r>
            <a:rPr lang="en-AU" sz="1100" baseline="0">
              <a:solidFill>
                <a:sysClr val="windowText" lastClr="000000"/>
              </a:solidFill>
              <a:latin typeface="Arial" panose="020B0604020202020204" pitchFamily="34" charset="0"/>
              <a:cs typeface="Arial" panose="020B0604020202020204" pitchFamily="34" charset="0"/>
            </a:rPr>
            <a:t>Secondary colours. Each team has their specific colour. Please use as an accent colour only Available under Recent Colours or right click on these examples for their RGB values </a:t>
          </a:r>
          <a:r>
            <a:rPr lang="en-AU" sz="1100">
              <a:solidFill>
                <a:sysClr val="windowText" lastClr="000000"/>
              </a:solidFill>
              <a:latin typeface="Arial" panose="020B0604020202020204" pitchFamily="34" charset="0"/>
              <a:cs typeface="Arial" panose="020B0604020202020204" pitchFamily="34" charset="0"/>
            </a:rPr>
            <a:t> </a:t>
          </a:r>
        </a:p>
      </xdr:txBody>
    </xdr:sp>
    <xdr:clientData/>
  </xdr:twoCellAnchor>
  <xdr:twoCellAnchor>
    <xdr:from>
      <xdr:col>17</xdr:col>
      <xdr:colOff>380260</xdr:colOff>
      <xdr:row>336</xdr:row>
      <xdr:rowOff>147980</xdr:rowOff>
    </xdr:from>
    <xdr:to>
      <xdr:col>18</xdr:col>
      <xdr:colOff>859059</xdr:colOff>
      <xdr:row>338</xdr:row>
      <xdr:rowOff>61055</xdr:rowOff>
    </xdr:to>
    <xdr:sp macro="" textlink="">
      <xdr:nvSpPr>
        <xdr:cNvPr id="38" name="Rectangle 37">
          <a:extLst>
            <a:ext uri="{FF2B5EF4-FFF2-40B4-BE49-F238E27FC236}">
              <a16:creationId xmlns:a16="http://schemas.microsoft.com/office/drawing/2014/main" id="{00000000-0008-0000-0000-000026000000}"/>
            </a:ext>
          </a:extLst>
        </xdr:cNvPr>
        <xdr:cNvSpPr/>
      </xdr:nvSpPr>
      <xdr:spPr>
        <a:xfrm>
          <a:off x="18192010" y="55488230"/>
          <a:ext cx="1526549" cy="275025"/>
        </a:xfrm>
        <a:prstGeom prst="rect">
          <a:avLst/>
        </a:prstGeom>
        <a:solidFill>
          <a:srgbClr val="B3610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Local</a:t>
          </a:r>
          <a:r>
            <a:rPr lang="en-AU" sz="1100" baseline="0"/>
            <a:t> Govt</a:t>
          </a:r>
          <a:endParaRPr lang="en-AU" sz="1100"/>
        </a:p>
      </xdr:txBody>
    </xdr:sp>
    <xdr:clientData/>
  </xdr:twoCellAnchor>
  <xdr:twoCellAnchor>
    <xdr:from>
      <xdr:col>17</xdr:col>
      <xdr:colOff>380260</xdr:colOff>
      <xdr:row>335</xdr:row>
      <xdr:rowOff>22955</xdr:rowOff>
    </xdr:from>
    <xdr:to>
      <xdr:col>18</xdr:col>
      <xdr:colOff>859059</xdr:colOff>
      <xdr:row>336</xdr:row>
      <xdr:rowOff>91951</xdr:rowOff>
    </xdr:to>
    <xdr:sp macro="" textlink="">
      <xdr:nvSpPr>
        <xdr:cNvPr id="39" name="Rectangle 38">
          <a:extLst>
            <a:ext uri="{FF2B5EF4-FFF2-40B4-BE49-F238E27FC236}">
              <a16:creationId xmlns:a16="http://schemas.microsoft.com/office/drawing/2014/main" id="{00000000-0008-0000-0000-000027000000}"/>
            </a:ext>
          </a:extLst>
        </xdr:cNvPr>
        <xdr:cNvSpPr/>
      </xdr:nvSpPr>
      <xdr:spPr>
        <a:xfrm>
          <a:off x="18192010" y="55182230"/>
          <a:ext cx="1526549" cy="249971"/>
        </a:xfrm>
        <a:prstGeom prst="rect">
          <a:avLst/>
        </a:prstGeom>
        <a:solidFill>
          <a:srgbClr val="A4201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Energy</a:t>
          </a:r>
        </a:p>
      </xdr:txBody>
    </xdr:sp>
    <xdr:clientData/>
  </xdr:twoCellAnchor>
  <xdr:twoCellAnchor>
    <xdr:from>
      <xdr:col>17</xdr:col>
      <xdr:colOff>385515</xdr:colOff>
      <xdr:row>333</xdr:row>
      <xdr:rowOff>52863</xdr:rowOff>
    </xdr:from>
    <xdr:to>
      <xdr:col>18</xdr:col>
      <xdr:colOff>864314</xdr:colOff>
      <xdr:row>334</xdr:row>
      <xdr:rowOff>121858</xdr:rowOff>
    </xdr:to>
    <xdr:sp macro="" textlink="">
      <xdr:nvSpPr>
        <xdr:cNvPr id="40" name="Rectangle 39">
          <a:extLst>
            <a:ext uri="{FF2B5EF4-FFF2-40B4-BE49-F238E27FC236}">
              <a16:creationId xmlns:a16="http://schemas.microsoft.com/office/drawing/2014/main" id="{00000000-0008-0000-0000-000028000000}"/>
            </a:ext>
          </a:extLst>
        </xdr:cNvPr>
        <xdr:cNvSpPr/>
      </xdr:nvSpPr>
      <xdr:spPr>
        <a:xfrm>
          <a:off x="18197265" y="54850188"/>
          <a:ext cx="1526549" cy="249970"/>
        </a:xfrm>
        <a:prstGeom prst="rect">
          <a:avLst/>
        </a:prstGeom>
        <a:solidFill>
          <a:srgbClr val="7F0C6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Transport</a:t>
          </a:r>
        </a:p>
      </xdr:txBody>
    </xdr:sp>
    <xdr:clientData/>
  </xdr:twoCellAnchor>
  <xdr:twoCellAnchor>
    <xdr:from>
      <xdr:col>17</xdr:col>
      <xdr:colOff>385515</xdr:colOff>
      <xdr:row>331</xdr:row>
      <xdr:rowOff>80051</xdr:rowOff>
    </xdr:from>
    <xdr:to>
      <xdr:col>18</xdr:col>
      <xdr:colOff>864314</xdr:colOff>
      <xdr:row>332</xdr:row>
      <xdr:rowOff>146511</xdr:rowOff>
    </xdr:to>
    <xdr:sp macro="" textlink="">
      <xdr:nvSpPr>
        <xdr:cNvPr id="41" name="Rectangle 40">
          <a:extLst>
            <a:ext uri="{FF2B5EF4-FFF2-40B4-BE49-F238E27FC236}">
              <a16:creationId xmlns:a16="http://schemas.microsoft.com/office/drawing/2014/main" id="{00000000-0008-0000-0000-000029000000}"/>
            </a:ext>
          </a:extLst>
        </xdr:cNvPr>
        <xdr:cNvSpPr/>
      </xdr:nvSpPr>
      <xdr:spPr>
        <a:xfrm>
          <a:off x="18197265" y="54515426"/>
          <a:ext cx="1526549" cy="247435"/>
        </a:xfrm>
        <a:prstGeom prst="rect">
          <a:avLst/>
        </a:prstGeom>
        <a:solidFill>
          <a:srgbClr val="520F9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Special</a:t>
          </a:r>
        </a:p>
      </xdr:txBody>
    </xdr:sp>
    <xdr:clientData/>
  </xdr:twoCellAnchor>
  <xdr:twoCellAnchor>
    <xdr:from>
      <xdr:col>17</xdr:col>
      <xdr:colOff>385515</xdr:colOff>
      <xdr:row>329</xdr:row>
      <xdr:rowOff>108411</xdr:rowOff>
    </xdr:from>
    <xdr:to>
      <xdr:col>18</xdr:col>
      <xdr:colOff>864314</xdr:colOff>
      <xdr:row>331</xdr:row>
      <xdr:rowOff>21486</xdr:rowOff>
    </xdr:to>
    <xdr:sp macro="" textlink="">
      <xdr:nvSpPr>
        <xdr:cNvPr id="42" name="Rectangle 41">
          <a:extLst>
            <a:ext uri="{FF2B5EF4-FFF2-40B4-BE49-F238E27FC236}">
              <a16:creationId xmlns:a16="http://schemas.microsoft.com/office/drawing/2014/main" id="{00000000-0008-0000-0000-00002A000000}"/>
            </a:ext>
          </a:extLst>
        </xdr:cNvPr>
        <xdr:cNvSpPr/>
      </xdr:nvSpPr>
      <xdr:spPr>
        <a:xfrm>
          <a:off x="18197265" y="54181836"/>
          <a:ext cx="1526549" cy="275025"/>
        </a:xfrm>
        <a:prstGeom prst="rect">
          <a:avLst/>
        </a:prstGeom>
        <a:solidFill>
          <a:srgbClr val="0352A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Water</a:t>
          </a:r>
        </a:p>
      </xdr:txBody>
    </xdr:sp>
    <xdr:clientData/>
  </xdr:twoCellAnchor>
  <xdr:twoCellAnchor>
    <xdr:from>
      <xdr:col>17</xdr:col>
      <xdr:colOff>385515</xdr:colOff>
      <xdr:row>327</xdr:row>
      <xdr:rowOff>162839</xdr:rowOff>
    </xdr:from>
    <xdr:to>
      <xdr:col>18</xdr:col>
      <xdr:colOff>864314</xdr:colOff>
      <xdr:row>329</xdr:row>
      <xdr:rowOff>75914</xdr:rowOff>
    </xdr:to>
    <xdr:sp macro="" textlink="">
      <xdr:nvSpPr>
        <xdr:cNvPr id="43" name="Rectangle 42">
          <a:extLst>
            <a:ext uri="{FF2B5EF4-FFF2-40B4-BE49-F238E27FC236}">
              <a16:creationId xmlns:a16="http://schemas.microsoft.com/office/drawing/2014/main" id="{00000000-0008-0000-0000-00002B000000}"/>
            </a:ext>
          </a:extLst>
        </xdr:cNvPr>
        <xdr:cNvSpPr/>
      </xdr:nvSpPr>
      <xdr:spPr>
        <a:xfrm>
          <a:off x="18197265" y="53874314"/>
          <a:ext cx="1526549" cy="275025"/>
        </a:xfrm>
        <a:prstGeom prst="rect">
          <a:avLst/>
        </a:prstGeom>
        <a:solidFill>
          <a:srgbClr val="006C4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ESS</a:t>
          </a:r>
        </a:p>
      </xdr:txBody>
    </xdr:sp>
    <xdr:clientData/>
  </xdr:twoCellAnchor>
  <xdr:twoCellAnchor>
    <xdr:from>
      <xdr:col>11</xdr:col>
      <xdr:colOff>1701</xdr:colOff>
      <xdr:row>172</xdr:row>
      <xdr:rowOff>105379</xdr:rowOff>
    </xdr:from>
    <xdr:to>
      <xdr:col>16</xdr:col>
      <xdr:colOff>522951</xdr:colOff>
      <xdr:row>186</xdr:row>
      <xdr:rowOff>148879</xdr:rowOff>
    </xdr:to>
    <xdr:graphicFrame macro="">
      <xdr:nvGraphicFramePr>
        <xdr:cNvPr id="44" name="9. Cluster column">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4720</xdr:colOff>
      <xdr:row>191</xdr:row>
      <xdr:rowOff>16364</xdr:rowOff>
    </xdr:from>
    <xdr:to>
      <xdr:col>16</xdr:col>
      <xdr:colOff>525970</xdr:colOff>
      <xdr:row>205</xdr:row>
      <xdr:rowOff>59864</xdr:rowOff>
    </xdr:to>
    <xdr:graphicFrame macro="">
      <xdr:nvGraphicFramePr>
        <xdr:cNvPr id="45" name="2. Scatter">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662939</xdr:colOff>
      <xdr:row>128</xdr:row>
      <xdr:rowOff>40821</xdr:rowOff>
    </xdr:from>
    <xdr:to>
      <xdr:col>17</xdr:col>
      <xdr:colOff>136439</xdr:colOff>
      <xdr:row>142</xdr:row>
      <xdr:rowOff>84321</xdr:rowOff>
    </xdr:to>
    <xdr:graphicFrame macro="">
      <xdr:nvGraphicFramePr>
        <xdr:cNvPr id="46" name="7. Stacked bar">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103050</xdr:colOff>
      <xdr:row>106</xdr:row>
      <xdr:rowOff>130825</xdr:rowOff>
    </xdr:from>
    <xdr:to>
      <xdr:col>8</xdr:col>
      <xdr:colOff>624300</xdr:colOff>
      <xdr:row>120</xdr:row>
      <xdr:rowOff>174325</xdr:rowOff>
    </xdr:to>
    <xdr:graphicFrame macro="">
      <xdr:nvGraphicFramePr>
        <xdr:cNvPr id="47" name="6. Cluster bar">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1092253</xdr:colOff>
      <xdr:row>254</xdr:row>
      <xdr:rowOff>98020</xdr:rowOff>
    </xdr:from>
    <xdr:to>
      <xdr:col>17</xdr:col>
      <xdr:colOff>1059596</xdr:colOff>
      <xdr:row>269</xdr:row>
      <xdr:rowOff>137209</xdr:rowOff>
    </xdr:to>
    <xdr:graphicFrame macro="">
      <xdr:nvGraphicFramePr>
        <xdr:cNvPr id="48" name="6. Cluster bar">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1071298</xdr:colOff>
      <xdr:row>252</xdr:row>
      <xdr:rowOff>0</xdr:rowOff>
    </xdr:from>
    <xdr:to>
      <xdr:col>17</xdr:col>
      <xdr:colOff>1038641</xdr:colOff>
      <xdr:row>254</xdr:row>
      <xdr:rowOff>107545</xdr:rowOff>
    </xdr:to>
    <xdr:sp macro="" textlink="">
      <xdr:nvSpPr>
        <xdr:cNvPr id="49" name="Text Box 135">
          <a:extLst>
            <a:ext uri="{FF2B5EF4-FFF2-40B4-BE49-F238E27FC236}">
              <a16:creationId xmlns:a16="http://schemas.microsoft.com/office/drawing/2014/main" id="{00000000-0008-0000-0000-000031000000}"/>
            </a:ext>
          </a:extLst>
        </xdr:cNvPr>
        <xdr:cNvSpPr txBox="1">
          <a:spLocks noChangeArrowheads="1"/>
        </xdr:cNvSpPr>
      </xdr:nvSpPr>
      <xdr:spPr bwMode="auto">
        <a:xfrm>
          <a:off x="10481998" y="40138350"/>
          <a:ext cx="8368393" cy="46949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13a. Pie 1-5 data point</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AU" sz="1000" b="1" i="0">
              <a:effectLst/>
              <a:latin typeface="+mn-lt"/>
              <a:ea typeface="+mn-ea"/>
              <a:cs typeface="+mn-cs"/>
            </a:rPr>
            <a:t>Pie Chart 1-5 data.crtx</a:t>
          </a:r>
          <a:endParaRPr lang="en-AU" sz="1000" b="1" i="0" strike="noStrike">
            <a:solidFill>
              <a:srgbClr val="000000"/>
            </a:solidFill>
            <a:latin typeface="Arial"/>
            <a:cs typeface="Arial"/>
          </a:endParaRPr>
        </a:p>
        <a:p>
          <a:pPr algn="ctr" rtl="0">
            <a:defRPr sz="1000"/>
          </a:pPr>
          <a:endParaRPr lang="en-AU" sz="1000" b="1" i="0" strike="noStrike">
            <a:solidFill>
              <a:srgbClr val="000000"/>
            </a:solidFill>
            <a:latin typeface="Arial"/>
            <a:cs typeface="Arial"/>
          </a:endParaRPr>
        </a:p>
      </xdr:txBody>
    </xdr:sp>
    <xdr:clientData/>
  </xdr:twoCellAnchor>
  <xdr:twoCellAnchor>
    <xdr:from>
      <xdr:col>11</xdr:col>
      <xdr:colOff>739185</xdr:colOff>
      <xdr:row>306</xdr:row>
      <xdr:rowOff>46957</xdr:rowOff>
    </xdr:from>
    <xdr:to>
      <xdr:col>16</xdr:col>
      <xdr:colOff>512042</xdr:colOff>
      <xdr:row>319</xdr:row>
      <xdr:rowOff>76057</xdr:rowOff>
    </xdr:to>
    <xdr:graphicFrame macro="">
      <xdr:nvGraphicFramePr>
        <xdr:cNvPr id="50" name="13. Pie">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xdr:col>
      <xdr:colOff>729660</xdr:colOff>
      <xdr:row>302</xdr:row>
      <xdr:rowOff>176893</xdr:rowOff>
    </xdr:from>
    <xdr:to>
      <xdr:col>16</xdr:col>
      <xdr:colOff>476250</xdr:colOff>
      <xdr:row>306</xdr:row>
      <xdr:rowOff>27215</xdr:rowOff>
    </xdr:to>
    <xdr:sp macro="" textlink="">
      <xdr:nvSpPr>
        <xdr:cNvPr id="51" name="Text Box 136">
          <a:extLst>
            <a:ext uri="{FF2B5EF4-FFF2-40B4-BE49-F238E27FC236}">
              <a16:creationId xmlns:a16="http://schemas.microsoft.com/office/drawing/2014/main" id="{00000000-0008-0000-0000-000033000000}"/>
            </a:ext>
          </a:extLst>
        </xdr:cNvPr>
        <xdr:cNvSpPr txBox="1">
          <a:spLocks noChangeArrowheads="1"/>
        </xdr:cNvSpPr>
      </xdr:nvSpPr>
      <xdr:spPr bwMode="auto">
        <a:xfrm>
          <a:off x="12254910" y="49363993"/>
          <a:ext cx="4985340" cy="574222"/>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16a. Doughnut</a:t>
          </a:r>
          <a:r>
            <a:rPr lang="en-AU" sz="1000" b="1" i="0" strike="noStrike" baseline="0">
              <a:solidFill>
                <a:srgbClr val="000000"/>
              </a:solidFill>
              <a:latin typeface="Arial"/>
              <a:cs typeface="Arial"/>
            </a:rPr>
            <a:t> 1-5 data points</a:t>
          </a:r>
        </a:p>
        <a:p>
          <a:pPr algn="ctr" rtl="0">
            <a:defRPr sz="1000"/>
          </a:pPr>
          <a:r>
            <a:rPr lang="en-AU" sz="1000" b="1" i="0" strike="noStrike">
              <a:solidFill>
                <a:srgbClr val="000000"/>
              </a:solidFill>
              <a:latin typeface="Arial"/>
              <a:cs typeface="Arial"/>
            </a:rPr>
            <a:t>Doughnut 1-5 data.crtx</a:t>
          </a:r>
        </a:p>
      </xdr:txBody>
    </xdr:sp>
    <xdr:clientData/>
  </xdr:twoCellAnchor>
  <xdr:twoCellAnchor>
    <xdr:from>
      <xdr:col>11</xdr:col>
      <xdr:colOff>69271</xdr:colOff>
      <xdr:row>169</xdr:row>
      <xdr:rowOff>27744</xdr:rowOff>
    </xdr:from>
    <xdr:to>
      <xdr:col>15</xdr:col>
      <xdr:colOff>987136</xdr:colOff>
      <xdr:row>171</xdr:row>
      <xdr:rowOff>40821</xdr:rowOff>
    </xdr:to>
    <xdr:sp macro="" textlink="">
      <xdr:nvSpPr>
        <xdr:cNvPr id="52" name="Text Box 132">
          <a:extLst>
            <a:ext uri="{FF2B5EF4-FFF2-40B4-BE49-F238E27FC236}">
              <a16:creationId xmlns:a16="http://schemas.microsoft.com/office/drawing/2014/main" id="{00000000-0008-0000-0000-000034000000}"/>
            </a:ext>
          </a:extLst>
        </xdr:cNvPr>
        <xdr:cNvSpPr txBox="1">
          <a:spLocks noChangeArrowheads="1"/>
        </xdr:cNvSpPr>
      </xdr:nvSpPr>
      <xdr:spPr bwMode="auto">
        <a:xfrm>
          <a:off x="11594521" y="25145169"/>
          <a:ext cx="5108865" cy="37502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9a. Cluster</a:t>
          </a:r>
          <a:r>
            <a:rPr lang="en-AU" sz="1000" b="1" i="0" strike="noStrike" baseline="0">
              <a:solidFill>
                <a:srgbClr val="000000"/>
              </a:solidFill>
              <a:latin typeface="Arial"/>
              <a:cs typeface="Arial"/>
            </a:rPr>
            <a:t> </a:t>
          </a:r>
          <a:r>
            <a:rPr lang="en-AU" sz="1000" b="1" i="0" strike="noStrike">
              <a:solidFill>
                <a:srgbClr val="000000"/>
              </a:solidFill>
              <a:latin typeface="Arial"/>
              <a:cs typeface="Arial"/>
            </a:rPr>
            <a:t>column 1-5 data points</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AU" sz="1000" b="1" i="0">
              <a:effectLst/>
              <a:latin typeface="+mn-lt"/>
              <a:ea typeface="+mn-ea"/>
              <a:cs typeface="+mn-cs"/>
            </a:rPr>
            <a:t>Cluster Bar 1-5 data.crtx</a:t>
          </a:r>
          <a:endParaRPr lang="en-AU">
            <a:effectLst/>
          </a:endParaRPr>
        </a:p>
        <a:p>
          <a:pPr algn="ctr" rtl="0">
            <a:defRPr sz="1000"/>
          </a:pPr>
          <a:endParaRPr lang="en-AU" sz="1000" b="1" i="0" strike="noStrike">
            <a:solidFill>
              <a:srgbClr val="000000"/>
            </a:solidFill>
            <a:latin typeface="Arial"/>
            <a:cs typeface="Arial"/>
          </a:endParaRPr>
        </a:p>
        <a:p>
          <a:pPr algn="ctr" rtl="0">
            <a:defRPr sz="1000"/>
          </a:pPr>
          <a:endParaRPr lang="en-AU" sz="1000" b="1" i="0" strike="noStrike">
            <a:solidFill>
              <a:srgbClr val="000000"/>
            </a:solidFill>
            <a:latin typeface="Arial"/>
            <a:cs typeface="Arial"/>
          </a:endParaRPr>
        </a:p>
      </xdr:txBody>
    </xdr:sp>
    <xdr:clientData/>
  </xdr:twoCellAnchor>
  <xdr:twoCellAnchor>
    <xdr:from>
      <xdr:col>11</xdr:col>
      <xdr:colOff>597670</xdr:colOff>
      <xdr:row>189</xdr:row>
      <xdr:rowOff>0</xdr:rowOff>
    </xdr:from>
    <xdr:to>
      <xdr:col>15</xdr:col>
      <xdr:colOff>554182</xdr:colOff>
      <xdr:row>191</xdr:row>
      <xdr:rowOff>34637</xdr:rowOff>
    </xdr:to>
    <xdr:sp macro="" textlink="">
      <xdr:nvSpPr>
        <xdr:cNvPr id="53" name="Text Box 132">
          <a:extLst>
            <a:ext uri="{FF2B5EF4-FFF2-40B4-BE49-F238E27FC236}">
              <a16:creationId xmlns:a16="http://schemas.microsoft.com/office/drawing/2014/main" id="{00000000-0008-0000-0000-000035000000}"/>
            </a:ext>
          </a:extLst>
        </xdr:cNvPr>
        <xdr:cNvSpPr txBox="1">
          <a:spLocks noChangeArrowheads="1"/>
        </xdr:cNvSpPr>
      </xdr:nvSpPr>
      <xdr:spPr bwMode="auto">
        <a:xfrm>
          <a:off x="12122920" y="28736925"/>
          <a:ext cx="4147512" cy="396587"/>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10a. Stacked column 1-5 data points</a:t>
          </a:r>
        </a:p>
        <a:p>
          <a:pPr algn="ctr" rtl="0">
            <a:defRPr sz="1000"/>
          </a:pPr>
          <a:r>
            <a:rPr lang="en-AU" sz="1000" b="1" i="0" strike="noStrike">
              <a:solidFill>
                <a:srgbClr val="000000"/>
              </a:solidFill>
              <a:latin typeface="Arial"/>
              <a:cs typeface="Arial"/>
            </a:rPr>
            <a:t>Stacked Column 1-5 data.crtx</a:t>
          </a:r>
        </a:p>
      </xdr:txBody>
    </xdr:sp>
    <xdr:clientData/>
  </xdr:twoCellAnchor>
  <xdr:twoCellAnchor>
    <xdr:from>
      <xdr:col>3</xdr:col>
      <xdr:colOff>6934</xdr:colOff>
      <xdr:row>104</xdr:row>
      <xdr:rowOff>121228</xdr:rowOff>
    </xdr:from>
    <xdr:to>
      <xdr:col>8</xdr:col>
      <xdr:colOff>123700</xdr:colOff>
      <xdr:row>107</xdr:row>
      <xdr:rowOff>17319</xdr:rowOff>
    </xdr:to>
    <xdr:sp macro="" textlink="">
      <xdr:nvSpPr>
        <xdr:cNvPr id="54" name="Text Box 126">
          <a:extLst>
            <a:ext uri="{FF2B5EF4-FFF2-40B4-BE49-F238E27FC236}">
              <a16:creationId xmlns:a16="http://schemas.microsoft.com/office/drawing/2014/main" id="{00000000-0008-0000-0000-000036000000}"/>
            </a:ext>
          </a:extLst>
        </xdr:cNvPr>
        <xdr:cNvSpPr txBox="1">
          <a:spLocks noChangeArrowheads="1"/>
        </xdr:cNvSpPr>
      </xdr:nvSpPr>
      <xdr:spPr bwMode="auto">
        <a:xfrm>
          <a:off x="3150184" y="13475278"/>
          <a:ext cx="5355516" cy="439016"/>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6. Cluster bar - 1-5 data points</a:t>
          </a:r>
        </a:p>
        <a:p>
          <a:pPr algn="ctr" rtl="0">
            <a:defRPr sz="1000"/>
          </a:pPr>
          <a:r>
            <a:rPr lang="en-AU" sz="1000" b="1" i="0" strike="noStrike">
              <a:solidFill>
                <a:srgbClr val="000000"/>
              </a:solidFill>
              <a:latin typeface="Arial"/>
              <a:cs typeface="Arial"/>
            </a:rPr>
            <a:t>Cluster Bar 1-5 data.crtx</a:t>
          </a:r>
        </a:p>
      </xdr:txBody>
    </xdr:sp>
    <xdr:clientData/>
  </xdr:twoCellAnchor>
  <xdr:twoCellAnchor>
    <xdr:from>
      <xdr:col>11</xdr:col>
      <xdr:colOff>1015683</xdr:colOff>
      <xdr:row>126</xdr:row>
      <xdr:rowOff>68036</xdr:rowOff>
    </xdr:from>
    <xdr:to>
      <xdr:col>16</xdr:col>
      <xdr:colOff>710046</xdr:colOff>
      <xdr:row>128</xdr:row>
      <xdr:rowOff>86591</xdr:rowOff>
    </xdr:to>
    <xdr:sp macro="" textlink="">
      <xdr:nvSpPr>
        <xdr:cNvPr id="55" name="Text Box 127">
          <a:extLst>
            <a:ext uri="{FF2B5EF4-FFF2-40B4-BE49-F238E27FC236}">
              <a16:creationId xmlns:a16="http://schemas.microsoft.com/office/drawing/2014/main" id="{00000000-0008-0000-0000-000037000000}"/>
            </a:ext>
          </a:extLst>
        </xdr:cNvPr>
        <xdr:cNvSpPr txBox="1">
          <a:spLocks noChangeArrowheads="1"/>
        </xdr:cNvSpPr>
      </xdr:nvSpPr>
      <xdr:spPr bwMode="auto">
        <a:xfrm>
          <a:off x="12540933" y="17403536"/>
          <a:ext cx="4933113" cy="38050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7. Stacked bar 1-5</a:t>
          </a:r>
        </a:p>
        <a:p>
          <a:pPr algn="ctr" rtl="0">
            <a:defRPr sz="1000"/>
          </a:pPr>
          <a:r>
            <a:rPr lang="en-AU" sz="1000" b="1" i="0" strike="noStrike">
              <a:solidFill>
                <a:srgbClr val="000000"/>
              </a:solidFill>
              <a:latin typeface="Arial"/>
              <a:cs typeface="Arial"/>
            </a:rPr>
            <a:t>Stacked Bar 1-5 data.crtx</a:t>
          </a:r>
        </a:p>
      </xdr:txBody>
    </xdr:sp>
    <xdr:clientData/>
  </xdr:twoCellAnchor>
  <xdr:twoCellAnchor>
    <xdr:from>
      <xdr:col>11</xdr:col>
      <xdr:colOff>186735</xdr:colOff>
      <xdr:row>146</xdr:row>
      <xdr:rowOff>78846</xdr:rowOff>
    </xdr:from>
    <xdr:to>
      <xdr:col>16</xdr:col>
      <xdr:colOff>225136</xdr:colOff>
      <xdr:row>148</xdr:row>
      <xdr:rowOff>17319</xdr:rowOff>
    </xdr:to>
    <xdr:sp macro="" textlink="">
      <xdr:nvSpPr>
        <xdr:cNvPr id="56" name="Text Box 128">
          <a:extLst>
            <a:ext uri="{FF2B5EF4-FFF2-40B4-BE49-F238E27FC236}">
              <a16:creationId xmlns:a16="http://schemas.microsoft.com/office/drawing/2014/main" id="{00000000-0008-0000-0000-000038000000}"/>
            </a:ext>
          </a:extLst>
        </xdr:cNvPr>
        <xdr:cNvSpPr txBox="1">
          <a:spLocks noChangeArrowheads="1"/>
        </xdr:cNvSpPr>
      </xdr:nvSpPr>
      <xdr:spPr bwMode="auto">
        <a:xfrm>
          <a:off x="11711985" y="21033846"/>
          <a:ext cx="5277151" cy="30042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8a. 100% Stacked bar1-5</a:t>
          </a:r>
          <a:r>
            <a:rPr lang="en-AU" sz="1000" b="1" i="0" strike="noStrike" baseline="0">
              <a:solidFill>
                <a:srgbClr val="000000"/>
              </a:solidFill>
              <a:latin typeface="Arial"/>
              <a:cs typeface="Arial"/>
            </a:rPr>
            <a:t> data</a:t>
          </a:r>
        </a:p>
        <a:p>
          <a:pPr algn="ctr" rtl="0">
            <a:defRPr sz="1000"/>
          </a:pPr>
          <a:r>
            <a:rPr lang="en-AU" sz="1000" b="1" i="0" strike="noStrike" baseline="0">
              <a:solidFill>
                <a:srgbClr val="000000"/>
              </a:solidFill>
              <a:latin typeface="Arial"/>
              <a:cs typeface="Arial"/>
            </a:rPr>
            <a:t>Stacked Bar 1-5 data.crtx</a:t>
          </a:r>
        </a:p>
        <a:p>
          <a:pPr algn="ctr" rtl="0">
            <a:defRPr sz="1000"/>
          </a:pPr>
          <a:endParaRPr lang="en-AU" sz="1000" b="1" i="0" strike="noStrike">
            <a:solidFill>
              <a:srgbClr val="000000"/>
            </a:solidFill>
            <a:latin typeface="Arial"/>
            <a:cs typeface="Arial"/>
          </a:endParaRPr>
        </a:p>
      </xdr:txBody>
    </xdr:sp>
    <xdr:clientData/>
  </xdr:twoCellAnchor>
  <xdr:twoCellAnchor>
    <xdr:from>
      <xdr:col>11</xdr:col>
      <xdr:colOff>214356</xdr:colOff>
      <xdr:row>147</xdr:row>
      <xdr:rowOff>85105</xdr:rowOff>
    </xdr:from>
    <xdr:to>
      <xdr:col>16</xdr:col>
      <xdr:colOff>735606</xdr:colOff>
      <xdr:row>161</xdr:row>
      <xdr:rowOff>128605</xdr:rowOff>
    </xdr:to>
    <xdr:graphicFrame macro="">
      <xdr:nvGraphicFramePr>
        <xdr:cNvPr id="57" name="8. 100% Stacked bar">
          <a:extLst>
            <a:ext uri="{FF2B5EF4-FFF2-40B4-BE49-F238E27FC236}">
              <a16:creationId xmlns:a16="http://schemas.microsoft.com/office/drawing/2014/main" id="{00000000-0008-0000-0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17287</xdr:colOff>
      <xdr:row>213</xdr:row>
      <xdr:rowOff>61428</xdr:rowOff>
    </xdr:from>
    <xdr:to>
      <xdr:col>16</xdr:col>
      <xdr:colOff>538537</xdr:colOff>
      <xdr:row>227</xdr:row>
      <xdr:rowOff>104928</xdr:rowOff>
    </xdr:to>
    <xdr:graphicFrame macro="">
      <xdr:nvGraphicFramePr>
        <xdr:cNvPr id="58" name="11. 100% Stacked column">
          <a:extLst>
            <a:ext uri="{FF2B5EF4-FFF2-40B4-BE49-F238E27FC236}">
              <a16:creationId xmlns:a16="http://schemas.microsoft.com/office/drawing/2014/main" id="{00000000-0008-0000-0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11</xdr:col>
      <xdr:colOff>17287</xdr:colOff>
      <xdr:row>210</xdr:row>
      <xdr:rowOff>108858</xdr:rowOff>
    </xdr:from>
    <xdr:to>
      <xdr:col>15</xdr:col>
      <xdr:colOff>1004454</xdr:colOff>
      <xdr:row>213</xdr:row>
      <xdr:rowOff>138546</xdr:rowOff>
    </xdr:to>
    <xdr:sp macro="" textlink="">
      <xdr:nvSpPr>
        <xdr:cNvPr id="59" name="Text Box 133">
          <a:extLst>
            <a:ext uri="{FF2B5EF4-FFF2-40B4-BE49-F238E27FC236}">
              <a16:creationId xmlns:a16="http://schemas.microsoft.com/office/drawing/2014/main" id="{00000000-0008-0000-0000-00003B000000}"/>
            </a:ext>
          </a:extLst>
        </xdr:cNvPr>
        <xdr:cNvSpPr txBox="1">
          <a:spLocks noChangeArrowheads="1"/>
        </xdr:cNvSpPr>
      </xdr:nvSpPr>
      <xdr:spPr bwMode="auto">
        <a:xfrm>
          <a:off x="11542537" y="32646258"/>
          <a:ext cx="5178167" cy="572613"/>
        </a:xfrm>
        <a:prstGeom prst="rect">
          <a:avLst/>
        </a:prstGeom>
        <a:noFill/>
        <a:ln w="9525">
          <a:noFill/>
          <a:miter lim="800000"/>
          <a:headEnd/>
          <a:tailEnd/>
        </a:ln>
      </xdr:spPr>
      <xdr:txBody>
        <a:bodyPr vertOverflow="clip" wrap="square" lIns="27432" tIns="22860" rIns="27432"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AU" sz="1000" b="1" i="0" strike="noStrike">
              <a:solidFill>
                <a:srgbClr val="000000"/>
              </a:solidFill>
              <a:latin typeface="Arial"/>
              <a:cs typeface="Arial"/>
            </a:rPr>
            <a:t>11a. 100% Stacked column </a:t>
          </a:r>
          <a:r>
            <a:rPr lang="en-AU" sz="1000" b="1" i="0">
              <a:effectLst/>
              <a:latin typeface="+mn-lt"/>
              <a:ea typeface="+mn-ea"/>
              <a:cs typeface="+mn-cs"/>
            </a:rPr>
            <a:t>1-5 data points</a:t>
          </a:r>
          <a:endParaRPr lang="en-AU">
            <a:effectLst/>
          </a:endParaRPr>
        </a:p>
        <a:p>
          <a:pPr algn="ctr" rtl="0">
            <a:defRPr sz="1000"/>
          </a:pPr>
          <a:r>
            <a:rPr lang="en-AU" sz="1000" b="1" i="0" strike="noStrike">
              <a:solidFill>
                <a:srgbClr val="000000"/>
              </a:solidFill>
              <a:latin typeface="Arial"/>
              <a:cs typeface="Arial"/>
            </a:rPr>
            <a:t>Stacked column 100% 1-5 data.crtx</a:t>
          </a:r>
        </a:p>
      </xdr:txBody>
    </xdr:sp>
    <xdr:clientData/>
  </xdr:twoCellAnchor>
  <xdr:twoCellAnchor>
    <xdr:from>
      <xdr:col>11</xdr:col>
      <xdr:colOff>738336</xdr:colOff>
      <xdr:row>47</xdr:row>
      <xdr:rowOff>31356</xdr:rowOff>
    </xdr:from>
    <xdr:to>
      <xdr:col>17</xdr:col>
      <xdr:colOff>211836</xdr:colOff>
      <xdr:row>61</xdr:row>
      <xdr:rowOff>74856</xdr:rowOff>
    </xdr:to>
    <xdr:graphicFrame macro="">
      <xdr:nvGraphicFramePr>
        <xdr:cNvPr id="60" name="1. Line">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316026</xdr:colOff>
      <xdr:row>172</xdr:row>
      <xdr:rowOff>105379</xdr:rowOff>
    </xdr:from>
    <xdr:to>
      <xdr:col>22</xdr:col>
      <xdr:colOff>837276</xdr:colOff>
      <xdr:row>186</xdr:row>
      <xdr:rowOff>148879</xdr:rowOff>
    </xdr:to>
    <xdr:graphicFrame macro="">
      <xdr:nvGraphicFramePr>
        <xdr:cNvPr id="61" name="9. Cluster column">
          <a:extLst>
            <a:ext uri="{FF2B5EF4-FFF2-40B4-BE49-F238E27FC236}">
              <a16:creationId xmlns:a16="http://schemas.microsoft.com/office/drawing/2014/main" id="{00000000-0008-0000-0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483889</xdr:colOff>
      <xdr:row>170</xdr:row>
      <xdr:rowOff>54959</xdr:rowOff>
    </xdr:from>
    <xdr:to>
      <xdr:col>22</xdr:col>
      <xdr:colOff>213930</xdr:colOff>
      <xdr:row>172</xdr:row>
      <xdr:rowOff>54429</xdr:rowOff>
    </xdr:to>
    <xdr:sp macro="" textlink="">
      <xdr:nvSpPr>
        <xdr:cNvPr id="62" name="Text Box 132">
          <a:extLst>
            <a:ext uri="{FF2B5EF4-FFF2-40B4-BE49-F238E27FC236}">
              <a16:creationId xmlns:a16="http://schemas.microsoft.com/office/drawing/2014/main" id="{00000000-0008-0000-0000-00003E000000}"/>
            </a:ext>
          </a:extLst>
        </xdr:cNvPr>
        <xdr:cNvSpPr txBox="1">
          <a:spLocks noChangeArrowheads="1"/>
        </xdr:cNvSpPr>
      </xdr:nvSpPr>
      <xdr:spPr bwMode="auto">
        <a:xfrm>
          <a:off x="18295639" y="25353359"/>
          <a:ext cx="4968791" cy="36142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9a. Cluster</a:t>
          </a:r>
          <a:r>
            <a:rPr lang="en-AU" sz="1000" b="1" i="0" strike="noStrike" baseline="0">
              <a:solidFill>
                <a:srgbClr val="000000"/>
              </a:solidFill>
              <a:latin typeface="Arial"/>
              <a:cs typeface="Arial"/>
            </a:rPr>
            <a:t> </a:t>
          </a:r>
          <a:r>
            <a:rPr lang="en-AU" sz="1000" b="1" i="0" strike="noStrike">
              <a:solidFill>
                <a:srgbClr val="000000"/>
              </a:solidFill>
              <a:latin typeface="Arial"/>
              <a:cs typeface="Arial"/>
            </a:rPr>
            <a:t>column Comparison</a:t>
          </a:r>
        </a:p>
        <a:p>
          <a:pPr algn="ctr" rtl="0">
            <a:defRPr sz="1000"/>
          </a:pPr>
          <a:r>
            <a:rPr lang="en-AU" sz="1000" b="1" i="0" strike="noStrike">
              <a:solidFill>
                <a:srgbClr val="000000"/>
              </a:solidFill>
              <a:latin typeface="Arial"/>
              <a:cs typeface="Arial"/>
            </a:rPr>
            <a:t>Comparison - cluster column.crtx</a:t>
          </a:r>
        </a:p>
      </xdr:txBody>
    </xdr:sp>
    <xdr:clientData/>
  </xdr:twoCellAnchor>
  <xdr:twoCellAnchor>
    <xdr:from>
      <xdr:col>11</xdr:col>
      <xdr:colOff>375192</xdr:colOff>
      <xdr:row>106</xdr:row>
      <xdr:rowOff>130825</xdr:rowOff>
    </xdr:from>
    <xdr:to>
      <xdr:col>16</xdr:col>
      <xdr:colOff>896442</xdr:colOff>
      <xdr:row>120</xdr:row>
      <xdr:rowOff>174325</xdr:rowOff>
    </xdr:to>
    <xdr:graphicFrame macro="">
      <xdr:nvGraphicFramePr>
        <xdr:cNvPr id="63" name="6. Cluster bar">
          <a:extLst>
            <a:ext uri="{FF2B5EF4-FFF2-40B4-BE49-F238E27FC236}">
              <a16:creationId xmlns:a16="http://schemas.microsoft.com/office/drawing/2014/main" id="{00000000-0008-0000-0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279077</xdr:colOff>
      <xdr:row>104</xdr:row>
      <xdr:rowOff>86591</xdr:rowOff>
    </xdr:from>
    <xdr:to>
      <xdr:col>16</xdr:col>
      <xdr:colOff>395843</xdr:colOff>
      <xdr:row>107</xdr:row>
      <xdr:rowOff>17319</xdr:rowOff>
    </xdr:to>
    <xdr:sp macro="" textlink="">
      <xdr:nvSpPr>
        <xdr:cNvPr id="64" name="Text Box 126">
          <a:extLst>
            <a:ext uri="{FF2B5EF4-FFF2-40B4-BE49-F238E27FC236}">
              <a16:creationId xmlns:a16="http://schemas.microsoft.com/office/drawing/2014/main" id="{00000000-0008-0000-0000-000040000000}"/>
            </a:ext>
          </a:extLst>
        </xdr:cNvPr>
        <xdr:cNvSpPr txBox="1">
          <a:spLocks noChangeArrowheads="1"/>
        </xdr:cNvSpPr>
      </xdr:nvSpPr>
      <xdr:spPr bwMode="auto">
        <a:xfrm>
          <a:off x="11804327" y="13440641"/>
          <a:ext cx="5355516" cy="47365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6a. Cluster bar - Comparison</a:t>
          </a:r>
        </a:p>
        <a:p>
          <a:pPr algn="ctr" rtl="0">
            <a:defRPr sz="1000"/>
          </a:pPr>
          <a:r>
            <a:rPr lang="en-AU" sz="1000" b="1" i="0" strike="noStrike">
              <a:solidFill>
                <a:srgbClr val="000000"/>
              </a:solidFill>
              <a:latin typeface="Arial"/>
              <a:cs typeface="Arial"/>
            </a:rPr>
            <a:t>Cluster bar - Comparison.crtx</a:t>
          </a:r>
        </a:p>
      </xdr:txBody>
    </xdr:sp>
    <xdr:clientData/>
  </xdr:twoCellAnchor>
  <xdr:twoCellAnchor>
    <xdr:from>
      <xdr:col>11</xdr:col>
      <xdr:colOff>804636</xdr:colOff>
      <xdr:row>45</xdr:row>
      <xdr:rowOff>18976</xdr:rowOff>
    </xdr:from>
    <xdr:to>
      <xdr:col>16</xdr:col>
      <xdr:colOff>476251</xdr:colOff>
      <xdr:row>46</xdr:row>
      <xdr:rowOff>149680</xdr:rowOff>
    </xdr:to>
    <xdr:sp macro="" textlink="">
      <xdr:nvSpPr>
        <xdr:cNvPr id="65" name="Text Box 121">
          <a:extLst>
            <a:ext uri="{FF2B5EF4-FFF2-40B4-BE49-F238E27FC236}">
              <a16:creationId xmlns:a16="http://schemas.microsoft.com/office/drawing/2014/main" id="{00000000-0008-0000-0000-000041000000}"/>
            </a:ext>
          </a:extLst>
        </xdr:cNvPr>
        <xdr:cNvSpPr txBox="1">
          <a:spLocks noChangeArrowheads="1"/>
        </xdr:cNvSpPr>
      </xdr:nvSpPr>
      <xdr:spPr bwMode="auto">
        <a:xfrm>
          <a:off x="12329886" y="2695501"/>
          <a:ext cx="4910365" cy="311679"/>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AU" sz="1000" b="1" i="0" strike="noStrike">
              <a:solidFill>
                <a:srgbClr val="000000"/>
              </a:solidFill>
              <a:latin typeface="Arial"/>
              <a:cs typeface="Arial"/>
            </a:rPr>
            <a:t>1a. Line 1-5 data points</a:t>
          </a:r>
        </a:p>
        <a:p>
          <a:pPr algn="ctr" rtl="0">
            <a:defRPr sz="1000"/>
          </a:pPr>
          <a:r>
            <a:rPr lang="en-AU" sz="1000" b="1" i="0" strike="noStrike">
              <a:solidFill>
                <a:srgbClr val="000000"/>
              </a:solidFill>
              <a:latin typeface="Arial"/>
              <a:cs typeface="Arial"/>
            </a:rPr>
            <a:t>Line chart 1-5 data.crtx</a:t>
          </a:r>
        </a:p>
      </xdr:txBody>
    </xdr:sp>
    <xdr:clientData/>
  </xdr:twoCellAnchor>
  <xdr:twoCellAnchor>
    <xdr:from>
      <xdr:col>7</xdr:col>
      <xdr:colOff>480060</xdr:colOff>
      <xdr:row>5</xdr:row>
      <xdr:rowOff>144780</xdr:rowOff>
    </xdr:from>
    <xdr:to>
      <xdr:col>8</xdr:col>
      <xdr:colOff>38100</xdr:colOff>
      <xdr:row>8</xdr:row>
      <xdr:rowOff>7620</xdr:rowOff>
    </xdr:to>
    <xdr:sp macro="" textlink="">
      <xdr:nvSpPr>
        <xdr:cNvPr id="66" name="Line 141">
          <a:extLst>
            <a:ext uri="{FF2B5EF4-FFF2-40B4-BE49-F238E27FC236}">
              <a16:creationId xmlns:a16="http://schemas.microsoft.com/office/drawing/2014/main" id="{00000000-0008-0000-0000-000042000000}"/>
            </a:ext>
          </a:extLst>
        </xdr:cNvPr>
        <xdr:cNvSpPr>
          <a:spLocks noChangeShapeType="1"/>
        </xdr:cNvSpPr>
      </xdr:nvSpPr>
      <xdr:spPr bwMode="auto">
        <a:xfrm flipH="1">
          <a:off x="6947535" y="1049655"/>
          <a:ext cx="481965" cy="46291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5</xdr:row>
      <xdr:rowOff>7620</xdr:rowOff>
    </xdr:from>
    <xdr:to>
      <xdr:col>7</xdr:col>
      <xdr:colOff>198120</xdr:colOff>
      <xdr:row>8</xdr:row>
      <xdr:rowOff>30480</xdr:rowOff>
    </xdr:to>
    <xdr:sp macro="" textlink="">
      <xdr:nvSpPr>
        <xdr:cNvPr id="67" name="Line 142">
          <a:extLst>
            <a:ext uri="{FF2B5EF4-FFF2-40B4-BE49-F238E27FC236}">
              <a16:creationId xmlns:a16="http://schemas.microsoft.com/office/drawing/2014/main" id="{00000000-0008-0000-0000-000043000000}"/>
            </a:ext>
          </a:extLst>
        </xdr:cNvPr>
        <xdr:cNvSpPr>
          <a:spLocks noChangeShapeType="1"/>
        </xdr:cNvSpPr>
      </xdr:nvSpPr>
      <xdr:spPr bwMode="auto">
        <a:xfrm flipH="1">
          <a:off x="6115050" y="912495"/>
          <a:ext cx="550545" cy="62293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690880</xdr:colOff>
      <xdr:row>19</xdr:row>
      <xdr:rowOff>5715</xdr:rowOff>
    </xdr:from>
    <xdr:to>
      <xdr:col>7</xdr:col>
      <xdr:colOff>386080</xdr:colOff>
      <xdr:row>21</xdr:row>
      <xdr:rowOff>137160</xdr:rowOff>
    </xdr:to>
    <xdr:sp macro="" textlink="">
      <xdr:nvSpPr>
        <xdr:cNvPr id="68" name="Line 143">
          <a:extLst>
            <a:ext uri="{FF2B5EF4-FFF2-40B4-BE49-F238E27FC236}">
              <a16:creationId xmlns:a16="http://schemas.microsoft.com/office/drawing/2014/main" id="{00000000-0008-0000-0000-000044000000}"/>
            </a:ext>
          </a:extLst>
        </xdr:cNvPr>
        <xdr:cNvSpPr>
          <a:spLocks noChangeShapeType="1"/>
        </xdr:cNvSpPr>
      </xdr:nvSpPr>
      <xdr:spPr bwMode="auto">
        <a:xfrm flipH="1">
          <a:off x="6234430" y="3215640"/>
          <a:ext cx="619125" cy="5314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7620</xdr:colOff>
      <xdr:row>20</xdr:row>
      <xdr:rowOff>205740</xdr:rowOff>
    </xdr:from>
    <xdr:to>
      <xdr:col>8</xdr:col>
      <xdr:colOff>137160</xdr:colOff>
      <xdr:row>22</xdr:row>
      <xdr:rowOff>30480</xdr:rowOff>
    </xdr:to>
    <xdr:sp macro="" textlink="">
      <xdr:nvSpPr>
        <xdr:cNvPr id="69" name="Line 144">
          <a:extLst>
            <a:ext uri="{FF2B5EF4-FFF2-40B4-BE49-F238E27FC236}">
              <a16:creationId xmlns:a16="http://schemas.microsoft.com/office/drawing/2014/main" id="{00000000-0008-0000-0000-000045000000}"/>
            </a:ext>
          </a:extLst>
        </xdr:cNvPr>
        <xdr:cNvSpPr>
          <a:spLocks noChangeShapeType="1"/>
        </xdr:cNvSpPr>
      </xdr:nvSpPr>
      <xdr:spPr bwMode="auto">
        <a:xfrm flipH="1">
          <a:off x="7399020" y="3577590"/>
          <a:ext cx="129540" cy="2914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203200</xdr:colOff>
          <xdr:row>38</xdr:row>
          <xdr:rowOff>69850</xdr:rowOff>
        </xdr:from>
        <xdr:to>
          <xdr:col>3</xdr:col>
          <xdr:colOff>952500</xdr:colOff>
          <xdr:row>40</xdr:row>
          <xdr:rowOff>69850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Logic of entire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40</xdr:row>
          <xdr:rowOff>76200</xdr:rowOff>
        </xdr:from>
        <xdr:to>
          <xdr:col>3</xdr:col>
          <xdr:colOff>952500</xdr:colOff>
          <xdr:row>42</xdr:row>
          <xdr:rowOff>76200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Logic of changes to model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1143000</xdr:colOff>
          <xdr:row>38</xdr:row>
          <xdr:rowOff>114300</xdr:rowOff>
        </xdr:from>
        <xdr:to>
          <xdr:col>5</xdr:col>
          <xdr:colOff>419100</xdr:colOff>
          <xdr:row>40</xdr:row>
          <xdr:rowOff>114300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All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1136650</xdr:colOff>
          <xdr:row>40</xdr:row>
          <xdr:rowOff>69850</xdr:rowOff>
        </xdr:from>
        <xdr:to>
          <xdr:col>5</xdr:col>
          <xdr:colOff>450850</xdr:colOff>
          <xdr:row>42</xdr:row>
          <xdr:rowOff>69850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Specific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298450</xdr:colOff>
          <xdr:row>26</xdr:row>
          <xdr:rowOff>38100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Information request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4</xdr:col>
          <xdr:colOff>228600</xdr:colOff>
          <xdr:row>30</xdr:row>
          <xdr:rowOff>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Draft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228600</xdr:colOff>
          <xdr:row>32</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Final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12700</xdr:rowOff>
        </xdr:from>
        <xdr:to>
          <xdr:col>4</xdr:col>
          <xdr:colOff>298450</xdr:colOff>
          <xdr:row>28</xdr:row>
          <xdr:rowOff>12700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Issues Paper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533400</xdr:colOff>
          <xdr:row>34</xdr:row>
          <xdr:rowOff>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Other - Please describe</a:t>
              </a:r>
            </a:p>
          </xdr:txBody>
        </xdr:sp>
        <xdr:clientData/>
      </xdr:twoCellAnchor>
    </mc:Choice>
    <mc:Fallback/>
  </mc:AlternateContent>
  <xdr:twoCellAnchor>
    <xdr:from>
      <xdr:col>2</xdr:col>
      <xdr:colOff>247650</xdr:colOff>
      <xdr:row>63</xdr:row>
      <xdr:rowOff>85725</xdr:rowOff>
    </xdr:from>
    <xdr:to>
      <xdr:col>2</xdr:col>
      <xdr:colOff>257175</xdr:colOff>
      <xdr:row>64</xdr:row>
      <xdr:rowOff>76200</xdr:rowOff>
    </xdr:to>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790575" y="10944225"/>
          <a:ext cx="9525"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3126960</xdr:colOff>
      <xdr:row>46</xdr:row>
      <xdr:rowOff>27609</xdr:rowOff>
    </xdr:from>
    <xdr:to>
      <xdr:col>6</xdr:col>
      <xdr:colOff>3278533</xdr:colOff>
      <xdr:row>49</xdr:row>
      <xdr:rowOff>82550</xdr:rowOff>
    </xdr:to>
    <xdr:sp macro="" textlink="">
      <xdr:nvSpPr>
        <xdr:cNvPr id="12" name="Right Brace 11">
          <a:extLst>
            <a:ext uri="{FF2B5EF4-FFF2-40B4-BE49-F238E27FC236}">
              <a16:creationId xmlns:a16="http://schemas.microsoft.com/office/drawing/2014/main" id="{00000000-0008-0000-0100-00000C000000}"/>
            </a:ext>
          </a:extLst>
        </xdr:cNvPr>
        <xdr:cNvSpPr/>
      </xdr:nvSpPr>
      <xdr:spPr>
        <a:xfrm>
          <a:off x="8756235" y="8228634"/>
          <a:ext cx="151573" cy="512141"/>
        </a:xfrm>
        <a:prstGeom prst="rightBrace">
          <a:avLst>
            <a:gd name="adj1" fmla="val 6217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203200</xdr:colOff>
          <xdr:row>38</xdr:row>
          <xdr:rowOff>69850</xdr:rowOff>
        </xdr:from>
        <xdr:to>
          <xdr:col>3</xdr:col>
          <xdr:colOff>1403350</xdr:colOff>
          <xdr:row>40</xdr:row>
          <xdr:rowOff>69850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Logic of entire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44</xdr:row>
          <xdr:rowOff>146050</xdr:rowOff>
        </xdr:from>
        <xdr:to>
          <xdr:col>3</xdr:col>
          <xdr:colOff>1403350</xdr:colOff>
          <xdr:row>46</xdr:row>
          <xdr:rowOff>146050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3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Logic of specified sections of model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1860550</xdr:colOff>
          <xdr:row>38</xdr:row>
          <xdr:rowOff>114300</xdr:rowOff>
        </xdr:from>
        <xdr:to>
          <xdr:col>5</xdr:col>
          <xdr:colOff>1136650</xdr:colOff>
          <xdr:row>40</xdr:row>
          <xdr:rowOff>114300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All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1879600</xdr:colOff>
          <xdr:row>44</xdr:row>
          <xdr:rowOff>146050</xdr:rowOff>
        </xdr:from>
        <xdr:to>
          <xdr:col>5</xdr:col>
          <xdr:colOff>1193800</xdr:colOff>
          <xdr:row>46</xdr:row>
          <xdr:rowOff>146050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3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Specific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127000</xdr:colOff>
          <xdr:row>26</xdr:row>
          <xdr:rowOff>31750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3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Information request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4</xdr:col>
          <xdr:colOff>69850</xdr:colOff>
          <xdr:row>30</xdr:row>
          <xdr:rowOff>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3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Draft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69850</xdr:colOff>
          <xdr:row>32</xdr:row>
          <xdr:rowOff>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3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Final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12700</xdr:rowOff>
        </xdr:from>
        <xdr:to>
          <xdr:col>4</xdr:col>
          <xdr:colOff>146050</xdr:colOff>
          <xdr:row>28</xdr:row>
          <xdr:rowOff>12700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3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Issues Paper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1022350</xdr:colOff>
          <xdr:row>34</xdr:row>
          <xdr:rowOff>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3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Other - Please describe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40</xdr:row>
          <xdr:rowOff>50800</xdr:rowOff>
        </xdr:from>
        <xdr:to>
          <xdr:col>4</xdr:col>
          <xdr:colOff>869950</xdr:colOff>
          <xdr:row>42</xdr:row>
          <xdr:rowOff>31750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3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42</xdr:row>
          <xdr:rowOff>31750</xdr:rowOff>
        </xdr:from>
        <xdr:to>
          <xdr:col>4</xdr:col>
          <xdr:colOff>723900</xdr:colOff>
          <xdr:row>44</xdr:row>
          <xdr:rowOff>50800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3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42</xdr:row>
          <xdr:rowOff>31750</xdr:rowOff>
        </xdr:from>
        <xdr:to>
          <xdr:col>6</xdr:col>
          <xdr:colOff>641350</xdr:colOff>
          <xdr:row>43</xdr:row>
          <xdr:rowOff>146050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3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40</xdr:row>
          <xdr:rowOff>50800</xdr:rowOff>
        </xdr:from>
        <xdr:to>
          <xdr:col>5</xdr:col>
          <xdr:colOff>2508250</xdr:colOff>
          <xdr:row>41</xdr:row>
          <xdr:rowOff>127000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3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46</xdr:row>
          <xdr:rowOff>69850</xdr:rowOff>
        </xdr:from>
        <xdr:to>
          <xdr:col>4</xdr:col>
          <xdr:colOff>717550</xdr:colOff>
          <xdr:row>48</xdr:row>
          <xdr:rowOff>69850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3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48</xdr:row>
          <xdr:rowOff>31750</xdr:rowOff>
        </xdr:from>
        <xdr:to>
          <xdr:col>4</xdr:col>
          <xdr:colOff>1098550</xdr:colOff>
          <xdr:row>51</xdr:row>
          <xdr:rowOff>69850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3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46</xdr:row>
          <xdr:rowOff>38100</xdr:rowOff>
        </xdr:from>
        <xdr:to>
          <xdr:col>5</xdr:col>
          <xdr:colOff>2794000</xdr:colOff>
          <xdr:row>48</xdr:row>
          <xdr:rowOff>76200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3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48</xdr:row>
          <xdr:rowOff>31750</xdr:rowOff>
        </xdr:from>
        <xdr:to>
          <xdr:col>6</xdr:col>
          <xdr:colOff>831850</xdr:colOff>
          <xdr:row>50</xdr:row>
          <xdr:rowOff>76200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300-00001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203200</xdr:colOff>
          <xdr:row>38</xdr:row>
          <xdr:rowOff>69850</xdr:rowOff>
        </xdr:from>
        <xdr:to>
          <xdr:col>3</xdr:col>
          <xdr:colOff>1403350</xdr:colOff>
          <xdr:row>40</xdr:row>
          <xdr:rowOff>69850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Logic of entire model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203200</xdr:colOff>
          <xdr:row>44</xdr:row>
          <xdr:rowOff>146050</xdr:rowOff>
        </xdr:from>
        <xdr:to>
          <xdr:col>3</xdr:col>
          <xdr:colOff>1403350</xdr:colOff>
          <xdr:row>47</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4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Logic of specified sections of model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1860550</xdr:colOff>
          <xdr:row>38</xdr:row>
          <xdr:rowOff>114300</xdr:rowOff>
        </xdr:from>
        <xdr:to>
          <xdr:col>5</xdr:col>
          <xdr:colOff>1136650</xdr:colOff>
          <xdr:row>40</xdr:row>
          <xdr:rowOff>114300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4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All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1879600</xdr:colOff>
          <xdr:row>44</xdr:row>
          <xdr:rowOff>146050</xdr:rowOff>
        </xdr:from>
        <xdr:to>
          <xdr:col>5</xdr:col>
          <xdr:colOff>1193800</xdr:colOff>
          <xdr:row>47</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4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Specific inputs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127000</xdr:colOff>
          <xdr:row>26</xdr:row>
          <xdr:rowOff>31750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4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Information request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0</xdr:rowOff>
        </xdr:from>
        <xdr:to>
          <xdr:col>4</xdr:col>
          <xdr:colOff>69850</xdr:colOff>
          <xdr:row>30</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4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Draft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0</xdr:rowOff>
        </xdr:from>
        <xdr:to>
          <xdr:col>4</xdr:col>
          <xdr:colOff>69850</xdr:colOff>
          <xdr:row>32</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4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Final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26</xdr:row>
          <xdr:rowOff>12700</xdr:rowOff>
        </xdr:from>
        <xdr:to>
          <xdr:col>4</xdr:col>
          <xdr:colOff>146050</xdr:colOff>
          <xdr:row>28</xdr:row>
          <xdr:rowOff>12700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4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Issues Paper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0</xdr:rowOff>
        </xdr:from>
        <xdr:to>
          <xdr:col>3</xdr:col>
          <xdr:colOff>1022350</xdr:colOff>
          <xdr:row>34</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4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Other - Please describe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40</xdr:row>
          <xdr:rowOff>50800</xdr:rowOff>
        </xdr:from>
        <xdr:to>
          <xdr:col>4</xdr:col>
          <xdr:colOff>869950</xdr:colOff>
          <xdr:row>42</xdr:row>
          <xdr:rowOff>31750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4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298450</xdr:colOff>
          <xdr:row>42</xdr:row>
          <xdr:rowOff>31750</xdr:rowOff>
        </xdr:from>
        <xdr:to>
          <xdr:col>4</xdr:col>
          <xdr:colOff>723900</xdr:colOff>
          <xdr:row>44</xdr:row>
          <xdr:rowOff>50800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4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 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42</xdr:row>
          <xdr:rowOff>31750</xdr:rowOff>
        </xdr:from>
        <xdr:to>
          <xdr:col>6</xdr:col>
          <xdr:colOff>641350</xdr:colOff>
          <xdr:row>44</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4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40</xdr:row>
          <xdr:rowOff>50800</xdr:rowOff>
        </xdr:from>
        <xdr:to>
          <xdr:col>5</xdr:col>
          <xdr:colOff>2508250</xdr:colOff>
          <xdr:row>41</xdr:row>
          <xdr:rowOff>127000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4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46</xdr:row>
          <xdr:rowOff>69850</xdr:rowOff>
        </xdr:from>
        <xdr:to>
          <xdr:col>4</xdr:col>
          <xdr:colOff>717550</xdr:colOff>
          <xdr:row>48</xdr:row>
          <xdr:rowOff>69850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04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Comprehensive model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48</xdr:row>
          <xdr:rowOff>31750</xdr:rowOff>
        </xdr:from>
        <xdr:to>
          <xdr:col>4</xdr:col>
          <xdr:colOff>1098550</xdr:colOff>
          <xdr:row>51</xdr:row>
          <xdr:rowOff>69850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04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simplified duplication of analysis* (required for medium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46</xdr:row>
          <xdr:rowOff>38100</xdr:rowOff>
        </xdr:from>
        <xdr:to>
          <xdr:col>5</xdr:col>
          <xdr:colOff>2794000</xdr:colOff>
          <xdr:row>48</xdr:row>
          <xdr:rowOff>76200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04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Comprehensive check (required for high risk)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48</xdr:row>
          <xdr:rowOff>31750</xdr:rowOff>
        </xdr:from>
        <xdr:to>
          <xdr:col>6</xdr:col>
          <xdr:colOff>831850</xdr:colOff>
          <xdr:row>50</xdr:row>
          <xdr:rowOff>76200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04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AU" sz="800" b="0" i="0" u="none" strike="noStrike" baseline="0">
                  <a:solidFill>
                    <a:srgbClr val="000000"/>
                  </a:solidFill>
                  <a:latin typeface="Tahoma"/>
                  <a:ea typeface="Tahoma"/>
                  <a:cs typeface="Tahoma"/>
                </a:rPr>
                <a:t>Moderate check e.g. sampling of inputs* (required for medium risk)</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12</xdr:col>
      <xdr:colOff>596900</xdr:colOff>
      <xdr:row>41</xdr:row>
      <xdr:rowOff>111125</xdr:rowOff>
    </xdr:from>
    <xdr:to>
      <xdr:col>29</xdr:col>
      <xdr:colOff>130175</xdr:colOff>
      <xdr:row>76</xdr:row>
      <xdr:rowOff>139700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88899</xdr:colOff>
      <xdr:row>107</xdr:row>
      <xdr:rowOff>19051</xdr:rowOff>
    </xdr:from>
    <xdr:to>
      <xdr:col>7</xdr:col>
      <xdr:colOff>352424</xdr:colOff>
      <xdr:row>116</xdr:row>
      <xdr:rowOff>123826</xdr:rowOff>
    </xdr:to>
    <xdr:sp macro="" textlink="">
      <xdr:nvSpPr>
        <xdr:cNvPr id="2" name="Right Brace 1">
          <a:extLst>
            <a:ext uri="{FF2B5EF4-FFF2-40B4-BE49-F238E27FC236}">
              <a16:creationId xmlns:a16="http://schemas.microsoft.com/office/drawing/2014/main" id="{00000000-0008-0000-0C00-000002000000}"/>
            </a:ext>
          </a:extLst>
        </xdr:cNvPr>
        <xdr:cNvSpPr/>
      </xdr:nvSpPr>
      <xdr:spPr>
        <a:xfrm>
          <a:off x="5734049" y="14859001"/>
          <a:ext cx="269875" cy="13874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7</xdr:col>
      <xdr:colOff>85725</xdr:colOff>
      <xdr:row>117</xdr:row>
      <xdr:rowOff>0</xdr:rowOff>
    </xdr:from>
    <xdr:to>
      <xdr:col>7</xdr:col>
      <xdr:colOff>352425</xdr:colOff>
      <xdr:row>134</xdr:row>
      <xdr:rowOff>0</xdr:rowOff>
    </xdr:to>
    <xdr:sp macro="" textlink="">
      <xdr:nvSpPr>
        <xdr:cNvPr id="3" name="Right Brace 2">
          <a:extLst>
            <a:ext uri="{FF2B5EF4-FFF2-40B4-BE49-F238E27FC236}">
              <a16:creationId xmlns:a16="http://schemas.microsoft.com/office/drawing/2014/main" id="{00000000-0008-0000-0C00-000003000000}"/>
            </a:ext>
          </a:extLst>
        </xdr:cNvPr>
        <xdr:cNvSpPr/>
      </xdr:nvSpPr>
      <xdr:spPr>
        <a:xfrm>
          <a:off x="5730875" y="16268700"/>
          <a:ext cx="266700" cy="24288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wsDr>
</file>

<file path=xl/theme/theme1.xml><?xml version="1.0" encoding="utf-8"?>
<a:theme xmlns:a="http://schemas.openxmlformats.org/drawingml/2006/main" name="iPart">
  <a:themeElements>
    <a:clrScheme name="IPART Colours">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Aria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iPart" id="{5B29015D-EA79-45B6-9D51-0920F8122064}" vid="{EB9EA9A6-3ABD-45FF-A322-72402604B089}"/>
    </a:ext>
  </a:extLst>
</a:theme>
</file>

<file path=xl/theme/themeOverride1.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IPART Branding 2020">
    <a:dk1>
      <a:srgbClr val="2E2E2F"/>
    </a:dk1>
    <a:lt1>
      <a:sysClr val="window" lastClr="FFFFFF"/>
    </a:lt1>
    <a:dk2>
      <a:srgbClr val="011D4B"/>
    </a:dk2>
    <a:lt2>
      <a:srgbClr val="ECE9E7"/>
    </a:lt2>
    <a:accent1>
      <a:srgbClr val="1C355E"/>
    </a:accent1>
    <a:accent2>
      <a:srgbClr val="3E5376"/>
    </a:accent2>
    <a:accent3>
      <a:srgbClr val="7287A6"/>
    </a:accent3>
    <a:accent4>
      <a:srgbClr val="C6CDD7"/>
    </a:accent4>
    <a:accent5>
      <a:srgbClr val="009DDB"/>
    </a:accent5>
    <a:accent6>
      <a:srgbClr val="115F7E"/>
    </a:accent6>
    <a:hlink>
      <a:srgbClr val="00AEEF"/>
    </a:hlink>
    <a:folHlink>
      <a:srgbClr val="520F9A"/>
    </a:folHlink>
  </a:clrScheme>
  <a:fontScheme name="Raleway">
    <a:majorFont>
      <a:latin typeface="Raleway"/>
      <a:ea typeface=""/>
      <a:cs typeface=""/>
    </a:majorFont>
    <a:minorFont>
      <a:latin typeface="Raleway"/>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hyperlink" Target="https://oia.pmc.gov.au/sites/default/files/2023-10/value-of-statistical-life.pdf" TargetMode="External"/><Relationship Id="rId1" Type="http://schemas.openxmlformats.org/officeDocument/2006/relationships/hyperlink" Target="https://www.transport.nsw.gov.au/system/files/media/documents/2021/PSL%20Rev%20and%20Exp%20.pdf"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gov.stage.cds.transport.nsw.gov.au/data-and-research/passenger-travel/bus-patronage/bus-patronage-monthly-figure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drawing" Target="../drawings/drawing3.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3.v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 Type="http://schemas.openxmlformats.org/officeDocument/2006/relationships/drawing" Target="../drawings/drawing4.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5.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mike.smart@ipart.nsw.gov.au"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ato.gov.au/businesses-and-organisations/preparing-lodging-and-paying/business-activity-statements-bas/goods-and-services-tax-g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M205"/>
  <sheetViews>
    <sheetView workbookViewId="0"/>
  </sheetViews>
  <sheetFormatPr defaultColWidth="15.69921875" defaultRowHeight="14" x14ac:dyDescent="0.3"/>
  <cols>
    <col min="1" max="16384" width="15.69921875" style="71"/>
  </cols>
  <sheetData>
    <row r="1" spans="1:11" x14ac:dyDescent="0.3">
      <c r="A1" s="69"/>
      <c r="B1" s="69"/>
      <c r="C1" s="70"/>
      <c r="D1" s="70"/>
      <c r="E1" s="69"/>
      <c r="F1" s="69"/>
      <c r="G1" s="69"/>
      <c r="H1" s="69"/>
      <c r="I1" s="69"/>
      <c r="J1" s="69"/>
    </row>
    <row r="2" spans="1:11" ht="18" x14ac:dyDescent="0.4">
      <c r="A2" s="69"/>
      <c r="B2" s="43" t="s">
        <v>146</v>
      </c>
      <c r="C2" s="110"/>
      <c r="D2" s="110"/>
      <c r="E2"/>
      <c r="F2"/>
      <c r="G2"/>
      <c r="H2"/>
      <c r="I2"/>
      <c r="J2"/>
      <c r="K2" s="111"/>
    </row>
    <row r="3" spans="1:11" x14ac:dyDescent="0.3">
      <c r="A3" s="69"/>
      <c r="B3" s="112" t="s">
        <v>147</v>
      </c>
      <c r="C3" s="112"/>
      <c r="D3" s="112"/>
      <c r="E3" s="113"/>
      <c r="F3" s="113"/>
      <c r="G3" s="113"/>
      <c r="H3" s="113"/>
      <c r="I3" s="113"/>
      <c r="J3" s="113"/>
      <c r="K3" s="114"/>
    </row>
    <row r="4" spans="1:11" ht="15.5" x14ac:dyDescent="0.35">
      <c r="A4" s="69"/>
      <c r="B4" s="28" t="s">
        <v>148</v>
      </c>
      <c r="C4" s="115"/>
      <c r="D4" s="115"/>
      <c r="E4"/>
      <c r="F4"/>
      <c r="G4"/>
      <c r="H4"/>
      <c r="I4"/>
      <c r="J4"/>
      <c r="K4" s="111"/>
    </row>
    <row r="5" spans="1:11" x14ac:dyDescent="0.3">
      <c r="A5" s="69"/>
      <c r="B5"/>
      <c r="C5" s="32"/>
      <c r="D5" s="32"/>
      <c r="E5"/>
      <c r="F5" s="111"/>
      <c r="G5"/>
      <c r="H5" s="36" t="s">
        <v>149</v>
      </c>
      <c r="I5"/>
      <c r="J5"/>
      <c r="K5" s="111"/>
    </row>
    <row r="6" spans="1:11" x14ac:dyDescent="0.3">
      <c r="A6" s="69"/>
      <c r="B6"/>
      <c r="C6"/>
      <c r="D6"/>
      <c r="E6"/>
      <c r="F6" s="111"/>
      <c r="G6"/>
      <c r="H6"/>
      <c r="I6" s="36" t="s">
        <v>150</v>
      </c>
      <c r="J6"/>
      <c r="K6" s="111"/>
    </row>
    <row r="7" spans="1:11" ht="18.5" thickBot="1" x14ac:dyDescent="0.45">
      <c r="A7" s="69"/>
      <c r="B7" s="27" t="s">
        <v>151</v>
      </c>
      <c r="C7" s="110"/>
      <c r="D7" s="110"/>
      <c r="E7"/>
      <c r="F7"/>
      <c r="G7"/>
      <c r="H7"/>
      <c r="I7"/>
      <c r="J7"/>
      <c r="K7"/>
    </row>
    <row r="8" spans="1:11" ht="15.5" x14ac:dyDescent="0.35">
      <c r="A8" s="69"/>
      <c r="B8" s="116"/>
      <c r="C8" s="117"/>
      <c r="D8" s="118"/>
      <c r="E8" s="118"/>
      <c r="F8" s="118"/>
      <c r="G8" s="119" t="s">
        <v>152</v>
      </c>
      <c r="H8" s="120" t="s">
        <v>153</v>
      </c>
      <c r="I8"/>
      <c r="J8" s="36"/>
      <c r="K8"/>
    </row>
    <row r="9" spans="1:11" x14ac:dyDescent="0.3">
      <c r="A9" s="69"/>
      <c r="B9" s="121" t="s">
        <v>154</v>
      </c>
      <c r="C9" s="122"/>
      <c r="D9" s="123"/>
      <c r="E9" s="123"/>
      <c r="F9" s="6"/>
      <c r="G9" s="123">
        <v>4232</v>
      </c>
      <c r="H9" s="124">
        <v>0.08</v>
      </c>
      <c r="I9"/>
      <c r="J9"/>
      <c r="K9"/>
    </row>
    <row r="10" spans="1:11" x14ac:dyDescent="0.3">
      <c r="A10" s="69"/>
      <c r="B10" s="125" t="s">
        <v>155</v>
      </c>
      <c r="C10" s="5"/>
      <c r="D10" s="126"/>
      <c r="E10" s="127"/>
      <c r="F10" s="6"/>
      <c r="G10" s="127">
        <v>34345</v>
      </c>
      <c r="H10" s="128">
        <v>0.08</v>
      </c>
      <c r="I10"/>
      <c r="J10"/>
      <c r="K10"/>
    </row>
    <row r="11" spans="1:11" x14ac:dyDescent="0.3">
      <c r="A11" s="69"/>
      <c r="B11" s="129" t="s">
        <v>156</v>
      </c>
      <c r="C11" s="130"/>
      <c r="D11" s="6"/>
      <c r="E11" s="6"/>
      <c r="F11" s="6"/>
      <c r="G11" s="6"/>
      <c r="H11" s="131"/>
      <c r="I11"/>
      <c r="J11"/>
      <c r="K11"/>
    </row>
    <row r="12" spans="1:11" x14ac:dyDescent="0.3">
      <c r="A12" s="69"/>
      <c r="B12" s="132" t="s">
        <v>0</v>
      </c>
      <c r="C12"/>
      <c r="D12"/>
      <c r="E12"/>
      <c r="F12" s="6"/>
      <c r="G12" s="6"/>
      <c r="H12" s="131"/>
      <c r="I12"/>
      <c r="J12"/>
      <c r="K12"/>
    </row>
    <row r="13" spans="1:11" x14ac:dyDescent="0.3">
      <c r="A13" s="69"/>
      <c r="B13" s="133" t="s">
        <v>157</v>
      </c>
      <c r="C13" s="130"/>
      <c r="D13"/>
      <c r="E13"/>
      <c r="F13" s="6"/>
      <c r="G13" s="6"/>
      <c r="H13" s="131"/>
      <c r="I13"/>
      <c r="J13"/>
      <c r="K13"/>
    </row>
    <row r="14" spans="1:11" x14ac:dyDescent="0.3">
      <c r="A14" s="69"/>
      <c r="B14" s="134" t="s">
        <v>158</v>
      </c>
      <c r="C14" s="135"/>
      <c r="D14" s="135"/>
      <c r="E14"/>
      <c r="F14" s="6"/>
      <c r="G14" s="6"/>
      <c r="H14" s="131"/>
      <c r="I14"/>
      <c r="J14"/>
      <c r="K14"/>
    </row>
    <row r="15" spans="1:11" x14ac:dyDescent="0.3">
      <c r="A15" s="69"/>
      <c r="B15" s="136" t="s">
        <v>159</v>
      </c>
      <c r="C15" s="137"/>
      <c r="D15"/>
      <c r="E15"/>
      <c r="F15" s="6"/>
      <c r="G15" s="6"/>
      <c r="H15" s="131"/>
      <c r="I15"/>
      <c r="J15"/>
      <c r="K15"/>
    </row>
    <row r="16" spans="1:11" ht="14.5" thickBot="1" x14ac:dyDescent="0.35">
      <c r="A16" s="69"/>
      <c r="B16" s="138" t="s">
        <v>160</v>
      </c>
      <c r="C16" s="139"/>
      <c r="D16" s="140"/>
      <c r="E16" s="141"/>
      <c r="F16" s="142"/>
      <c r="G16" s="143"/>
      <c r="H16" s="144"/>
      <c r="I16"/>
      <c r="J16"/>
      <c r="K16"/>
    </row>
    <row r="17" spans="1:11" x14ac:dyDescent="0.3">
      <c r="A17" s="69"/>
      <c r="B17" t="s">
        <v>161</v>
      </c>
      <c r="C17" s="42"/>
      <c r="D17" s="6"/>
      <c r="E17" s="145" t="s">
        <v>162</v>
      </c>
      <c r="F17" s="146"/>
      <c r="G17" s="146"/>
      <c r="H17" s="122"/>
      <c r="I17"/>
      <c r="J17"/>
      <c r="K17"/>
    </row>
    <row r="18" spans="1:11" x14ac:dyDescent="0.3">
      <c r="A18" s="69"/>
      <c r="B18"/>
      <c r="C18"/>
      <c r="D18"/>
      <c r="E18" s="147" t="s">
        <v>163</v>
      </c>
      <c r="F18" s="146"/>
      <c r="G18" s="146"/>
      <c r="H18" s="123"/>
      <c r="I18"/>
      <c r="J18"/>
      <c r="K18"/>
    </row>
    <row r="19" spans="1:11" x14ac:dyDescent="0.3">
      <c r="A19" s="69"/>
      <c r="B19"/>
      <c r="C19"/>
      <c r="D19"/>
      <c r="E19"/>
      <c r="F19"/>
      <c r="G19" s="6"/>
      <c r="H19" s="6"/>
      <c r="I19"/>
      <c r="J19"/>
      <c r="K19"/>
    </row>
    <row r="20" spans="1:11" x14ac:dyDescent="0.3">
      <c r="A20" s="69"/>
      <c r="B20"/>
      <c r="C20"/>
      <c r="D20"/>
      <c r="E20"/>
      <c r="F20"/>
      <c r="G20"/>
      <c r="H20" s="36" t="s">
        <v>149</v>
      </c>
      <c r="I20"/>
      <c r="J20"/>
      <c r="K20"/>
    </row>
    <row r="21" spans="1:11" ht="18.5" thickBot="1" x14ac:dyDescent="0.45">
      <c r="A21" s="69"/>
      <c r="B21" s="27" t="s">
        <v>164</v>
      </c>
      <c r="C21" s="110"/>
      <c r="D21" s="110"/>
      <c r="E21"/>
      <c r="F21"/>
      <c r="G21"/>
      <c r="H21"/>
      <c r="I21" s="36" t="s">
        <v>150</v>
      </c>
      <c r="J21"/>
      <c r="K21"/>
    </row>
    <row r="22" spans="1:11" ht="18" x14ac:dyDescent="0.4">
      <c r="A22" s="69"/>
      <c r="B22" s="148"/>
      <c r="C22" s="149"/>
      <c r="D22" s="118"/>
      <c r="E22" s="118"/>
      <c r="F22" s="118"/>
      <c r="G22" s="119" t="s">
        <v>152</v>
      </c>
      <c r="H22" s="120" t="s">
        <v>153</v>
      </c>
      <c r="I22" s="150"/>
      <c r="J22"/>
      <c r="K22"/>
    </row>
    <row r="23" spans="1:11" x14ac:dyDescent="0.3">
      <c r="A23" s="69"/>
      <c r="B23" s="125" t="s">
        <v>165</v>
      </c>
      <c r="C23" s="126"/>
      <c r="D23" s="126"/>
      <c r="E23" s="126"/>
      <c r="F23" s="127"/>
      <c r="G23" s="151">
        <v>234</v>
      </c>
      <c r="H23" s="128">
        <v>0.24</v>
      </c>
      <c r="I23"/>
      <c r="J23"/>
      <c r="K23"/>
    </row>
    <row r="24" spans="1:11" x14ac:dyDescent="0.3">
      <c r="A24" s="69"/>
      <c r="B24" s="152" t="s">
        <v>166</v>
      </c>
      <c r="C24" s="153"/>
      <c r="D24" s="153"/>
      <c r="E24" s="153"/>
      <c r="F24" s="153"/>
      <c r="G24" s="153">
        <v>6667</v>
      </c>
      <c r="H24" s="154">
        <v>0.05</v>
      </c>
      <c r="I24"/>
      <c r="J24"/>
      <c r="K24"/>
    </row>
    <row r="25" spans="1:11" x14ac:dyDescent="0.3">
      <c r="A25" s="69"/>
      <c r="B25" s="136" t="s">
        <v>167</v>
      </c>
      <c r="C25" s="137"/>
      <c r="D25" s="137"/>
      <c r="E25"/>
      <c r="F25" s="6"/>
      <c r="G25"/>
      <c r="H25" s="155"/>
      <c r="I25"/>
      <c r="J25"/>
      <c r="K25"/>
    </row>
    <row r="26" spans="1:11" ht="14.5" thickBot="1" x14ac:dyDescent="0.35">
      <c r="A26" s="69"/>
      <c r="B26" s="156" t="s">
        <v>158</v>
      </c>
      <c r="C26" s="157"/>
      <c r="D26" s="157"/>
      <c r="E26" s="139"/>
      <c r="F26" s="139"/>
      <c r="G26" s="139"/>
      <c r="H26" s="158"/>
      <c r="I26"/>
      <c r="J26"/>
      <c r="K26"/>
    </row>
    <row r="27" spans="1:11" x14ac:dyDescent="0.3">
      <c r="A27" s="69"/>
      <c r="B27" s="135"/>
      <c r="C27" s="135"/>
      <c r="D27" s="135"/>
      <c r="E27"/>
      <c r="F27"/>
      <c r="G27"/>
      <c r="H27"/>
      <c r="I27"/>
      <c r="J27"/>
      <c r="K27"/>
    </row>
    <row r="28" spans="1:11" x14ac:dyDescent="0.3">
      <c r="A28" s="69"/>
      <c r="B28" s="159" t="s">
        <v>168</v>
      </c>
      <c r="C28" s="160"/>
      <c r="D28" s="160"/>
      <c r="E28" s="161"/>
      <c r="F28"/>
      <c r="G28"/>
      <c r="H28"/>
      <c r="I28"/>
      <c r="J28"/>
      <c r="K28"/>
    </row>
    <row r="29" spans="1:11" x14ac:dyDescent="0.3">
      <c r="A29" s="69"/>
      <c r="B29" s="78"/>
      <c r="C29" s="78"/>
      <c r="D29" s="78"/>
      <c r="E29" s="78"/>
      <c r="F29" s="78"/>
      <c r="G29" s="78"/>
      <c r="H29" s="78"/>
      <c r="I29" s="78"/>
      <c r="J29" s="78"/>
      <c r="K29" s="78"/>
    </row>
    <row r="30" spans="1:11" x14ac:dyDescent="0.3">
      <c r="A30" s="69"/>
      <c r="B30" s="69"/>
      <c r="C30" s="70"/>
      <c r="D30" s="70"/>
      <c r="E30" s="69"/>
      <c r="F30" s="69"/>
      <c r="G30" s="69"/>
      <c r="H30" s="69"/>
      <c r="I30" s="69"/>
      <c r="J30" s="69"/>
    </row>
    <row r="31" spans="1:11" x14ac:dyDescent="0.3">
      <c r="A31" s="69"/>
      <c r="B31" s="69"/>
      <c r="C31" s="70"/>
      <c r="D31" s="70"/>
      <c r="E31" s="69"/>
      <c r="F31" s="69"/>
      <c r="G31" s="69"/>
      <c r="H31" s="69"/>
      <c r="I31" s="69"/>
      <c r="J31" s="69"/>
    </row>
    <row r="32" spans="1:11" s="72" customFormat="1" x14ac:dyDescent="0.3"/>
    <row r="33" spans="1:39" ht="18" x14ac:dyDescent="0.4">
      <c r="A33" s="73" t="s">
        <v>1</v>
      </c>
    </row>
    <row r="34" spans="1:39" ht="7.5" customHeight="1" x14ac:dyDescent="0.4">
      <c r="A34" s="73"/>
    </row>
    <row r="35" spans="1:39" x14ac:dyDescent="0.3">
      <c r="A35" s="74"/>
      <c r="B35" s="75" t="s">
        <v>96</v>
      </c>
      <c r="C35" s="75" t="s">
        <v>97</v>
      </c>
      <c r="D35" s="75" t="s">
        <v>98</v>
      </c>
      <c r="E35" s="75" t="s">
        <v>99</v>
      </c>
      <c r="F35" s="75" t="s">
        <v>100</v>
      </c>
      <c r="G35" s="75" t="s">
        <v>101</v>
      </c>
      <c r="H35" s="75" t="s">
        <v>102</v>
      </c>
      <c r="I35" s="75" t="s">
        <v>103</v>
      </c>
      <c r="K35" s="74"/>
      <c r="L35" s="75" t="s">
        <v>96</v>
      </c>
      <c r="M35" s="75" t="s">
        <v>97</v>
      </c>
      <c r="N35" s="75" t="s">
        <v>98</v>
      </c>
      <c r="O35" s="75" t="s">
        <v>99</v>
      </c>
      <c r="P35" s="75" t="s">
        <v>100</v>
      </c>
      <c r="Q35" s="75" t="s">
        <v>101</v>
      </c>
      <c r="S35" s="74" t="s">
        <v>3</v>
      </c>
      <c r="T35" s="74" t="s">
        <v>4</v>
      </c>
      <c r="U35" s="74" t="s">
        <v>5</v>
      </c>
      <c r="W35" s="74"/>
      <c r="X35" s="74" t="s">
        <v>2</v>
      </c>
      <c r="Y35" s="74" t="s">
        <v>93</v>
      </c>
      <c r="Z35" s="74" t="s">
        <v>94</v>
      </c>
      <c r="AA35" s="74" t="s">
        <v>95</v>
      </c>
    </row>
    <row r="36" spans="1:39" x14ac:dyDescent="0.3">
      <c r="A36" s="74" t="s">
        <v>6</v>
      </c>
      <c r="B36" s="74">
        <v>36.19</v>
      </c>
      <c r="C36" s="74">
        <v>36.880000000000003</v>
      </c>
      <c r="D36" s="74">
        <v>21.56</v>
      </c>
      <c r="E36" s="74">
        <v>5.36</v>
      </c>
      <c r="F36" s="74">
        <v>3.01</v>
      </c>
      <c r="G36" s="74">
        <v>10</v>
      </c>
      <c r="H36" s="74">
        <v>5.2</v>
      </c>
      <c r="I36" s="74">
        <v>13</v>
      </c>
      <c r="K36" s="74" t="s">
        <v>6</v>
      </c>
      <c r="L36" s="74">
        <v>33.19</v>
      </c>
      <c r="M36" s="74">
        <v>36.880000000000003</v>
      </c>
      <c r="N36" s="74">
        <v>21.56</v>
      </c>
      <c r="O36" s="74">
        <v>5.36</v>
      </c>
      <c r="P36" s="74">
        <v>3.01</v>
      </c>
      <c r="Q36" s="74">
        <v>10</v>
      </c>
      <c r="S36" s="74">
        <v>1.8</v>
      </c>
      <c r="T36" s="74">
        <v>10</v>
      </c>
      <c r="U36" s="74">
        <v>17</v>
      </c>
      <c r="W36" s="74" t="s">
        <v>6</v>
      </c>
      <c r="X36" s="74">
        <v>33.19</v>
      </c>
      <c r="Y36" s="74">
        <v>36.880000000000003</v>
      </c>
      <c r="Z36" s="74">
        <v>21.56</v>
      </c>
      <c r="AA36" s="74">
        <v>5.36</v>
      </c>
    </row>
    <row r="37" spans="1:39" x14ac:dyDescent="0.3">
      <c r="A37" s="74" t="s">
        <v>7</v>
      </c>
      <c r="B37" s="74">
        <v>39.39</v>
      </c>
      <c r="C37" s="74">
        <v>32.020000000000003</v>
      </c>
      <c r="D37" s="74">
        <v>21.6</v>
      </c>
      <c r="E37" s="74">
        <v>7.01</v>
      </c>
      <c r="F37" s="74">
        <v>3.36</v>
      </c>
      <c r="G37" s="74">
        <v>12</v>
      </c>
      <c r="H37" s="74">
        <v>6.6</v>
      </c>
      <c r="I37" s="74">
        <v>15</v>
      </c>
      <c r="K37" s="74" t="s">
        <v>7</v>
      </c>
      <c r="L37" s="74">
        <v>39.39</v>
      </c>
      <c r="M37" s="74">
        <v>32.020000000000003</v>
      </c>
      <c r="N37" s="74">
        <v>21.6</v>
      </c>
      <c r="O37" s="74">
        <v>7.01</v>
      </c>
      <c r="P37" s="74">
        <v>3.36</v>
      </c>
      <c r="Q37" s="74">
        <v>12</v>
      </c>
      <c r="S37" s="74">
        <v>2.2999999999999998</v>
      </c>
      <c r="T37" s="74">
        <v>12</v>
      </c>
      <c r="U37" s="74">
        <v>9</v>
      </c>
      <c r="W37" s="74" t="s">
        <v>7</v>
      </c>
      <c r="X37" s="74">
        <v>39.39</v>
      </c>
      <c r="Y37" s="74">
        <v>32.020000000000003</v>
      </c>
      <c r="Z37" s="74">
        <v>21.6</v>
      </c>
      <c r="AA37" s="74">
        <v>7.01</v>
      </c>
    </row>
    <row r="38" spans="1:39" x14ac:dyDescent="0.3">
      <c r="A38" s="74" t="s">
        <v>8</v>
      </c>
      <c r="B38" s="74">
        <v>42.78</v>
      </c>
      <c r="C38" s="74">
        <v>29.91</v>
      </c>
      <c r="D38" s="74">
        <v>18.350000000000001</v>
      </c>
      <c r="E38" s="74">
        <v>6.33</v>
      </c>
      <c r="F38" s="74">
        <v>2.63</v>
      </c>
      <c r="G38" s="74">
        <v>14</v>
      </c>
      <c r="H38" s="74">
        <v>5.7</v>
      </c>
      <c r="I38" s="74">
        <v>16</v>
      </c>
      <c r="K38" s="74" t="s">
        <v>8</v>
      </c>
      <c r="L38" s="74">
        <v>42.78</v>
      </c>
      <c r="M38" s="74">
        <v>29.91</v>
      </c>
      <c r="N38" s="74">
        <v>18.350000000000001</v>
      </c>
      <c r="O38" s="74">
        <v>6.33</v>
      </c>
      <c r="P38" s="74">
        <v>2.63</v>
      </c>
      <c r="Q38" s="74">
        <v>14</v>
      </c>
      <c r="S38" s="74">
        <v>3.7</v>
      </c>
      <c r="T38" s="74">
        <v>16</v>
      </c>
      <c r="U38" s="74">
        <v>14</v>
      </c>
      <c r="W38" s="74" t="s">
        <v>8</v>
      </c>
      <c r="X38" s="74">
        <v>42.78</v>
      </c>
      <c r="Y38" s="74">
        <v>29.91</v>
      </c>
      <c r="Z38" s="74">
        <v>18.350000000000001</v>
      </c>
      <c r="AA38" s="74">
        <v>6.33</v>
      </c>
    </row>
    <row r="39" spans="1:39" x14ac:dyDescent="0.3">
      <c r="A39" s="76" t="s">
        <v>9</v>
      </c>
      <c r="B39" s="74">
        <v>42.13</v>
      </c>
      <c r="C39" s="74">
        <v>26.53</v>
      </c>
      <c r="D39" s="74">
        <v>21.6</v>
      </c>
      <c r="E39" s="74">
        <v>7.01</v>
      </c>
      <c r="F39" s="74">
        <v>2.72</v>
      </c>
      <c r="G39" s="74">
        <v>16</v>
      </c>
      <c r="H39" s="74">
        <v>3</v>
      </c>
      <c r="I39" s="74">
        <v>17</v>
      </c>
      <c r="K39" s="76" t="s">
        <v>9</v>
      </c>
      <c r="L39" s="74">
        <v>42.13</v>
      </c>
      <c r="M39" s="74">
        <v>26.53</v>
      </c>
      <c r="N39" s="74">
        <v>21.6</v>
      </c>
      <c r="O39" s="74">
        <v>7.01</v>
      </c>
      <c r="P39" s="74">
        <v>2.72</v>
      </c>
      <c r="Q39" s="74">
        <v>16</v>
      </c>
      <c r="S39" s="74">
        <v>4.0999999999999996</v>
      </c>
      <c r="T39" s="74">
        <v>8</v>
      </c>
      <c r="U39" s="74">
        <v>23</v>
      </c>
      <c r="W39" s="76" t="s">
        <v>9</v>
      </c>
      <c r="X39" s="74">
        <v>42.13</v>
      </c>
      <c r="Y39" s="74">
        <v>26.53</v>
      </c>
      <c r="Z39" s="74">
        <v>21.6</v>
      </c>
      <c r="AA39" s="74">
        <v>7.01</v>
      </c>
    </row>
    <row r="40" spans="1:39" x14ac:dyDescent="0.3">
      <c r="A40" s="74" t="s">
        <v>10</v>
      </c>
      <c r="B40" s="74">
        <v>41.69</v>
      </c>
      <c r="C40" s="74">
        <v>24.76</v>
      </c>
      <c r="D40" s="74">
        <v>23.98</v>
      </c>
      <c r="E40" s="74">
        <v>7</v>
      </c>
      <c r="F40" s="74">
        <v>2.57</v>
      </c>
      <c r="G40" s="74">
        <v>18</v>
      </c>
      <c r="H40" s="74">
        <v>3.5</v>
      </c>
      <c r="I40" s="74">
        <v>19</v>
      </c>
      <c r="K40" s="74" t="s">
        <v>10</v>
      </c>
      <c r="L40" s="74">
        <v>41.69</v>
      </c>
      <c r="M40" s="74">
        <v>24.76</v>
      </c>
      <c r="N40" s="74">
        <v>23.98</v>
      </c>
      <c r="O40" s="74">
        <v>7</v>
      </c>
      <c r="P40" s="74">
        <v>2.57</v>
      </c>
      <c r="Q40" s="74">
        <v>18</v>
      </c>
      <c r="S40" s="74">
        <v>5.5</v>
      </c>
      <c r="T40" s="74">
        <v>14</v>
      </c>
      <c r="U40" s="74">
        <v>27</v>
      </c>
      <c r="W40" s="74" t="s">
        <v>10</v>
      </c>
      <c r="X40" s="74">
        <v>41.69</v>
      </c>
      <c r="Y40" s="74">
        <v>24.76</v>
      </c>
      <c r="Z40" s="74">
        <v>23.98</v>
      </c>
      <c r="AA40" s="74">
        <v>7</v>
      </c>
    </row>
    <row r="41" spans="1:39" x14ac:dyDescent="0.3">
      <c r="A41" s="74" t="s">
        <v>11</v>
      </c>
      <c r="B41" s="74">
        <v>39.39</v>
      </c>
      <c r="C41" s="74">
        <v>32.020000000000003</v>
      </c>
      <c r="D41" s="74">
        <v>21.6</v>
      </c>
      <c r="E41" s="74">
        <v>7.01</v>
      </c>
      <c r="F41" s="74">
        <v>3.36</v>
      </c>
      <c r="G41" s="74">
        <v>12</v>
      </c>
      <c r="H41" s="74">
        <v>3.8</v>
      </c>
      <c r="I41" s="74">
        <v>13</v>
      </c>
      <c r="K41" s="74" t="s">
        <v>11</v>
      </c>
      <c r="L41" s="74">
        <v>39.39</v>
      </c>
      <c r="M41" s="74">
        <v>32.020000000000003</v>
      </c>
      <c r="N41" s="74">
        <v>21.6</v>
      </c>
      <c r="O41" s="74">
        <v>7.01</v>
      </c>
      <c r="P41" s="74">
        <v>3.36</v>
      </c>
      <c r="Q41" s="74">
        <v>12</v>
      </c>
      <c r="W41" s="74" t="s">
        <v>11</v>
      </c>
      <c r="X41" s="74">
        <v>39.39</v>
      </c>
      <c r="Y41" s="74">
        <v>32.020000000000003</v>
      </c>
      <c r="Z41" s="74">
        <v>21.6</v>
      </c>
      <c r="AA41" s="74">
        <v>7.01</v>
      </c>
    </row>
    <row r="42" spans="1:39" x14ac:dyDescent="0.3">
      <c r="A42" s="74" t="s">
        <v>12</v>
      </c>
      <c r="B42" s="74">
        <v>42.13</v>
      </c>
      <c r="C42" s="74">
        <v>26.53</v>
      </c>
      <c r="D42" s="74">
        <v>21.6</v>
      </c>
      <c r="E42" s="74">
        <v>7.01</v>
      </c>
      <c r="F42" s="74">
        <v>2.72</v>
      </c>
      <c r="G42" s="74">
        <v>16</v>
      </c>
      <c r="H42" s="74">
        <v>3.2</v>
      </c>
      <c r="I42" s="74">
        <v>18</v>
      </c>
      <c r="K42" s="74" t="s">
        <v>12</v>
      </c>
      <c r="L42" s="74">
        <v>42.13</v>
      </c>
      <c r="M42" s="74">
        <v>26.53</v>
      </c>
      <c r="N42" s="74">
        <v>21.6</v>
      </c>
      <c r="O42" s="74">
        <v>7.01</v>
      </c>
      <c r="P42" s="74">
        <v>2.72</v>
      </c>
      <c r="Q42" s="74">
        <v>16</v>
      </c>
      <c r="W42" s="74" t="s">
        <v>12</v>
      </c>
      <c r="X42" s="74">
        <v>42.13</v>
      </c>
      <c r="Y42" s="74">
        <v>26.53</v>
      </c>
      <c r="Z42" s="74">
        <v>21.6</v>
      </c>
      <c r="AA42" s="74">
        <v>7.01</v>
      </c>
    </row>
    <row r="43" spans="1:39" x14ac:dyDescent="0.3">
      <c r="A43" s="74" t="s">
        <v>13</v>
      </c>
      <c r="B43" s="74">
        <v>45</v>
      </c>
      <c r="C43" s="74">
        <v>22</v>
      </c>
      <c r="D43" s="74">
        <v>26</v>
      </c>
      <c r="E43" s="74">
        <v>8</v>
      </c>
      <c r="F43" s="74">
        <v>2</v>
      </c>
      <c r="G43" s="74">
        <v>20</v>
      </c>
      <c r="H43" s="74">
        <v>4</v>
      </c>
      <c r="I43" s="74">
        <v>22</v>
      </c>
      <c r="K43" s="74" t="s">
        <v>13</v>
      </c>
      <c r="L43" s="74">
        <v>45</v>
      </c>
      <c r="M43" s="74">
        <v>22</v>
      </c>
      <c r="N43" s="74">
        <v>26</v>
      </c>
      <c r="O43" s="74">
        <v>8</v>
      </c>
      <c r="P43" s="74">
        <v>2</v>
      </c>
      <c r="Q43" s="74">
        <v>20</v>
      </c>
      <c r="W43" s="74" t="s">
        <v>13</v>
      </c>
      <c r="X43" s="74">
        <v>45</v>
      </c>
      <c r="Y43" s="74">
        <v>22</v>
      </c>
      <c r="Z43" s="74">
        <v>26</v>
      </c>
      <c r="AA43" s="74">
        <v>8</v>
      </c>
    </row>
    <row r="44" spans="1:39" x14ac:dyDescent="0.3">
      <c r="A44" s="77" t="s">
        <v>14</v>
      </c>
    </row>
    <row r="47" spans="1:39" x14ac:dyDescent="0.3">
      <c r="C47" s="78"/>
      <c r="D47" s="78"/>
      <c r="E47" s="78"/>
      <c r="F47" s="78"/>
      <c r="G47" s="78"/>
      <c r="H47" s="78"/>
      <c r="I47" s="78"/>
      <c r="J47" s="78"/>
      <c r="K47" s="78"/>
      <c r="L47" s="78"/>
      <c r="M47" s="78"/>
      <c r="N47" s="78"/>
      <c r="O47" s="78"/>
      <c r="P47" s="78"/>
      <c r="Q47" s="78"/>
      <c r="R47" s="78"/>
      <c r="S47" s="78"/>
      <c r="T47" s="78"/>
      <c r="U47" s="78"/>
      <c r="V47" s="78"/>
      <c r="AG47" s="111"/>
      <c r="AH47" s="111"/>
      <c r="AI47" s="78"/>
      <c r="AJ47" s="78"/>
      <c r="AK47" s="78"/>
      <c r="AL47" s="78"/>
      <c r="AM47" s="78"/>
    </row>
    <row r="48" spans="1:39" x14ac:dyDescent="0.3">
      <c r="C48" s="78"/>
      <c r="D48" s="78"/>
      <c r="E48" s="78"/>
      <c r="F48" s="78"/>
      <c r="G48" s="78"/>
      <c r="H48" s="78"/>
      <c r="I48" s="78"/>
      <c r="J48" s="78"/>
      <c r="K48" s="78"/>
      <c r="L48" s="78"/>
      <c r="M48" s="78"/>
      <c r="N48" s="78"/>
      <c r="O48" s="78"/>
      <c r="P48" s="78"/>
      <c r="Q48" s="78"/>
      <c r="R48" s="78"/>
      <c r="S48" s="78"/>
      <c r="T48" s="78"/>
      <c r="U48" s="78"/>
      <c r="V48" s="78"/>
      <c r="AG48" s="114"/>
      <c r="AH48" s="114"/>
      <c r="AI48" s="78"/>
      <c r="AJ48" s="78"/>
      <c r="AK48" s="78"/>
      <c r="AL48" s="78"/>
      <c r="AM48" s="78"/>
    </row>
    <row r="49" spans="3:39" x14ac:dyDescent="0.3">
      <c r="C49" s="78"/>
      <c r="D49" s="78"/>
      <c r="E49" s="78"/>
      <c r="F49" s="78"/>
      <c r="G49" s="78"/>
      <c r="H49" s="78"/>
      <c r="I49" s="78"/>
      <c r="J49" s="78"/>
      <c r="K49" s="78"/>
      <c r="L49" s="78"/>
      <c r="M49" s="78"/>
      <c r="N49" s="78"/>
      <c r="O49" s="78"/>
      <c r="P49" s="78"/>
      <c r="Q49" s="78"/>
      <c r="R49" s="78"/>
      <c r="S49" s="78"/>
      <c r="T49" s="78"/>
      <c r="U49" s="78"/>
      <c r="V49" s="78"/>
      <c r="AG49" s="111"/>
      <c r="AH49" s="111"/>
      <c r="AI49" s="78"/>
      <c r="AJ49" s="78"/>
      <c r="AK49" s="78"/>
      <c r="AL49" s="78"/>
      <c r="AM49" s="78"/>
    </row>
    <row r="50" spans="3:39" x14ac:dyDescent="0.3">
      <c r="C50" s="78"/>
      <c r="D50" s="78"/>
      <c r="E50" s="78"/>
      <c r="F50" s="78"/>
      <c r="G50" s="78"/>
      <c r="H50" s="78"/>
      <c r="I50" s="78"/>
      <c r="J50" s="78"/>
      <c r="K50" s="78"/>
      <c r="L50" s="78"/>
      <c r="M50" s="78"/>
      <c r="N50" s="78"/>
      <c r="O50" s="78"/>
      <c r="P50" s="78"/>
      <c r="Q50" s="78"/>
      <c r="R50" s="78"/>
      <c r="S50" s="78"/>
      <c r="T50" s="78"/>
      <c r="U50" s="78"/>
      <c r="V50" s="78"/>
      <c r="AG50" s="111"/>
      <c r="AH50" s="111"/>
      <c r="AI50" s="78"/>
      <c r="AJ50" s="78"/>
      <c r="AK50" s="78"/>
      <c r="AL50" s="78"/>
      <c r="AM50" s="78"/>
    </row>
    <row r="51" spans="3:39" x14ac:dyDescent="0.3">
      <c r="C51" s="78"/>
      <c r="D51" s="78"/>
      <c r="E51" s="78"/>
      <c r="F51" s="78"/>
      <c r="G51" s="78"/>
      <c r="H51" s="78"/>
      <c r="I51" s="78"/>
      <c r="J51" s="78"/>
      <c r="K51" s="78"/>
      <c r="L51" s="78"/>
      <c r="M51" s="78"/>
      <c r="N51" s="78"/>
      <c r="O51" s="78"/>
      <c r="P51" s="78"/>
      <c r="Q51" s="78"/>
      <c r="R51" s="78"/>
      <c r="S51" s="78"/>
      <c r="T51" s="78"/>
      <c r="U51" s="78"/>
      <c r="V51" s="78"/>
      <c r="AG51" s="111"/>
      <c r="AH51" s="111"/>
      <c r="AI51" s="78"/>
      <c r="AJ51" s="78"/>
      <c r="AK51" s="78"/>
      <c r="AL51" s="78"/>
      <c r="AM51" s="78"/>
    </row>
    <row r="52" spans="3:39" x14ac:dyDescent="0.3">
      <c r="C52" s="78"/>
      <c r="D52" s="78"/>
      <c r="E52" s="78"/>
      <c r="F52" s="78"/>
      <c r="G52" s="78"/>
      <c r="H52" s="78"/>
      <c r="I52" s="78"/>
      <c r="J52" s="78"/>
      <c r="K52" s="78"/>
      <c r="L52" s="78"/>
      <c r="M52" s="78"/>
      <c r="N52" s="78"/>
      <c r="O52" s="78"/>
      <c r="P52" s="78"/>
      <c r="Q52" s="78"/>
      <c r="R52" s="78"/>
      <c r="S52" s="78"/>
      <c r="T52" s="78"/>
      <c r="U52" s="78"/>
      <c r="V52" s="78"/>
      <c r="AG52"/>
      <c r="AH52"/>
      <c r="AI52" s="78"/>
      <c r="AJ52" s="78"/>
      <c r="AK52" s="78"/>
      <c r="AL52" s="78"/>
      <c r="AM52" s="78"/>
    </row>
    <row r="53" spans="3:39" x14ac:dyDescent="0.3">
      <c r="C53" s="78"/>
      <c r="D53" s="78"/>
      <c r="E53" s="78"/>
      <c r="F53" s="78"/>
      <c r="G53" s="78"/>
      <c r="H53" s="78"/>
      <c r="I53" s="78"/>
      <c r="J53" s="78"/>
      <c r="K53" s="78"/>
      <c r="L53" s="78"/>
      <c r="M53" s="78"/>
      <c r="N53" s="78"/>
      <c r="O53" s="78"/>
      <c r="P53" s="78"/>
      <c r="Q53" s="78"/>
      <c r="R53" s="78"/>
      <c r="S53" s="78"/>
      <c r="T53" s="78"/>
      <c r="U53" s="78"/>
      <c r="V53" s="78"/>
      <c r="AG53"/>
      <c r="AH53"/>
      <c r="AI53" s="78"/>
      <c r="AJ53" s="78"/>
      <c r="AK53" s="78"/>
      <c r="AL53" s="78"/>
      <c r="AM53" s="78"/>
    </row>
    <row r="54" spans="3:39" x14ac:dyDescent="0.3">
      <c r="C54" s="78"/>
      <c r="D54" s="78"/>
      <c r="E54" s="78"/>
      <c r="F54" s="78"/>
      <c r="G54" s="78"/>
      <c r="H54" s="78"/>
      <c r="I54" s="78"/>
      <c r="J54" s="78"/>
      <c r="K54" s="78"/>
      <c r="L54" s="78"/>
      <c r="M54" s="78"/>
      <c r="N54" s="78"/>
      <c r="O54" s="78"/>
      <c r="P54" s="78"/>
      <c r="Q54" s="78"/>
      <c r="R54" s="78"/>
      <c r="S54" s="78"/>
      <c r="T54" s="78"/>
      <c r="U54" s="78"/>
      <c r="V54" s="78"/>
      <c r="AG54"/>
      <c r="AH54"/>
      <c r="AI54" s="78"/>
      <c r="AJ54" s="78"/>
      <c r="AK54" s="78"/>
      <c r="AL54" s="78"/>
      <c r="AM54" s="78"/>
    </row>
    <row r="55" spans="3:39" x14ac:dyDescent="0.3">
      <c r="C55" s="78"/>
      <c r="D55" s="78"/>
      <c r="E55" s="78"/>
      <c r="F55" s="78"/>
      <c r="G55" s="78"/>
      <c r="H55" s="78"/>
      <c r="I55" s="78"/>
      <c r="J55" s="78"/>
      <c r="K55" s="78"/>
      <c r="L55" s="78"/>
      <c r="M55" s="78"/>
      <c r="N55" s="78"/>
      <c r="O55" s="78"/>
      <c r="P55" s="78"/>
      <c r="Q55" s="78"/>
      <c r="R55" s="78"/>
      <c r="S55" s="78"/>
      <c r="T55" s="78"/>
      <c r="U55" s="78"/>
      <c r="V55" s="78"/>
      <c r="AG55"/>
      <c r="AH55"/>
      <c r="AI55" s="78"/>
      <c r="AJ55" s="78"/>
      <c r="AK55" s="78"/>
      <c r="AL55" s="78"/>
      <c r="AM55" s="78"/>
    </row>
    <row r="56" spans="3:39" x14ac:dyDescent="0.3">
      <c r="C56" s="78"/>
      <c r="D56" s="78"/>
      <c r="E56" s="78"/>
      <c r="F56" s="78"/>
      <c r="G56" s="78"/>
      <c r="H56" s="78"/>
      <c r="I56" s="78"/>
      <c r="J56" s="78"/>
      <c r="K56" s="78"/>
      <c r="L56" s="78"/>
      <c r="M56" s="78"/>
      <c r="N56" s="78"/>
      <c r="O56" s="78"/>
      <c r="P56" s="78"/>
      <c r="Q56" s="78"/>
      <c r="R56" s="78"/>
      <c r="S56" s="78"/>
      <c r="T56" s="78"/>
      <c r="U56" s="78"/>
      <c r="V56" s="78"/>
      <c r="AG56"/>
      <c r="AH56"/>
      <c r="AI56" s="78"/>
      <c r="AJ56" s="78"/>
      <c r="AK56" s="78"/>
      <c r="AL56" s="78"/>
      <c r="AM56" s="78"/>
    </row>
    <row r="57" spans="3:39" x14ac:dyDescent="0.3">
      <c r="C57" s="78"/>
      <c r="D57" s="78"/>
      <c r="E57" s="78"/>
      <c r="F57" s="78"/>
      <c r="G57" s="78"/>
      <c r="H57" s="78"/>
      <c r="I57" s="78"/>
      <c r="J57" s="78"/>
      <c r="K57" s="78"/>
      <c r="L57" s="78"/>
      <c r="M57" s="78"/>
      <c r="N57" s="78"/>
      <c r="O57" s="78"/>
      <c r="P57" s="78"/>
      <c r="Q57" s="78"/>
      <c r="R57" s="78"/>
      <c r="S57" s="78"/>
      <c r="T57" s="78"/>
      <c r="U57" s="78"/>
      <c r="V57" s="78"/>
      <c r="AG57"/>
      <c r="AH57"/>
      <c r="AI57" s="78"/>
      <c r="AJ57" s="78"/>
      <c r="AK57" s="78"/>
      <c r="AL57" s="78"/>
      <c r="AM57" s="78"/>
    </row>
    <row r="58" spans="3:39" x14ac:dyDescent="0.3">
      <c r="C58" s="78"/>
      <c r="D58" s="78"/>
      <c r="E58" s="78"/>
      <c r="F58" s="78"/>
      <c r="G58" s="78"/>
      <c r="H58" s="78"/>
      <c r="I58" s="78"/>
      <c r="J58" s="78"/>
      <c r="K58" s="78"/>
      <c r="L58" s="78"/>
      <c r="M58" s="78"/>
      <c r="N58" s="78"/>
      <c r="O58" s="78"/>
      <c r="P58" s="78"/>
      <c r="Q58" s="78"/>
      <c r="R58" s="78"/>
      <c r="S58" s="78"/>
      <c r="T58" s="78"/>
      <c r="U58" s="78"/>
      <c r="V58" s="78"/>
      <c r="AG58"/>
      <c r="AH58"/>
      <c r="AI58" s="78"/>
      <c r="AJ58" s="78"/>
      <c r="AK58" s="78"/>
      <c r="AL58" s="78"/>
      <c r="AM58" s="78"/>
    </row>
    <row r="59" spans="3:39" x14ac:dyDescent="0.3">
      <c r="C59" s="78"/>
      <c r="D59" s="78"/>
      <c r="E59" s="78"/>
      <c r="F59" s="78"/>
      <c r="G59" s="78"/>
      <c r="H59" s="78"/>
      <c r="I59" s="78"/>
      <c r="J59" s="78"/>
      <c r="K59" s="78"/>
      <c r="L59" s="78"/>
      <c r="M59" s="78"/>
      <c r="N59" s="78"/>
      <c r="O59" s="78"/>
      <c r="P59" s="78"/>
      <c r="Q59" s="78"/>
      <c r="R59" s="78"/>
      <c r="S59" s="78"/>
      <c r="T59" s="78"/>
      <c r="U59" s="78"/>
      <c r="V59" s="78"/>
      <c r="AG59"/>
      <c r="AH59"/>
      <c r="AI59" s="78"/>
      <c r="AJ59" s="78"/>
      <c r="AK59" s="78"/>
      <c r="AL59" s="78"/>
      <c r="AM59" s="78"/>
    </row>
    <row r="60" spans="3:39" x14ac:dyDescent="0.3">
      <c r="C60" s="78"/>
      <c r="D60" s="78"/>
      <c r="E60" s="78"/>
      <c r="F60" s="78"/>
      <c r="G60" s="78"/>
      <c r="H60" s="78"/>
      <c r="I60" s="78"/>
      <c r="J60" s="78"/>
      <c r="K60" s="78"/>
      <c r="L60" s="78"/>
      <c r="M60" s="78"/>
      <c r="N60" s="78"/>
      <c r="O60" s="78"/>
      <c r="P60" s="78"/>
      <c r="Q60" s="78"/>
      <c r="R60" s="78"/>
      <c r="S60" s="78"/>
      <c r="T60" s="78"/>
      <c r="U60" s="78"/>
      <c r="V60" s="78"/>
      <c r="AG60"/>
      <c r="AH60"/>
      <c r="AI60" s="78"/>
      <c r="AJ60" s="78"/>
      <c r="AK60" s="78"/>
      <c r="AL60" s="78"/>
      <c r="AM60" s="78"/>
    </row>
    <row r="61" spans="3:39" x14ac:dyDescent="0.3">
      <c r="C61" s="78"/>
      <c r="D61" s="78"/>
      <c r="E61" s="78"/>
      <c r="F61" s="78"/>
      <c r="G61" s="78"/>
      <c r="H61" s="78"/>
      <c r="I61" s="78"/>
      <c r="J61" s="78"/>
      <c r="K61" s="78"/>
      <c r="L61" s="78"/>
      <c r="M61" s="78"/>
      <c r="N61" s="78"/>
      <c r="O61" s="78"/>
      <c r="P61" s="78"/>
      <c r="Q61" s="78"/>
      <c r="R61" s="78"/>
      <c r="S61" s="78"/>
      <c r="T61" s="78"/>
      <c r="U61" s="78"/>
      <c r="V61" s="78"/>
      <c r="AG61"/>
      <c r="AH61"/>
      <c r="AI61" s="78"/>
      <c r="AJ61" s="78"/>
      <c r="AK61" s="78"/>
      <c r="AL61" s="78"/>
      <c r="AM61" s="78"/>
    </row>
    <row r="62" spans="3:39" x14ac:dyDescent="0.3">
      <c r="C62" s="78"/>
      <c r="D62" s="78"/>
      <c r="E62" s="78"/>
      <c r="F62" s="78"/>
      <c r="G62" s="78"/>
      <c r="H62" s="78"/>
      <c r="I62" s="78"/>
      <c r="J62" s="78"/>
      <c r="K62" s="78"/>
      <c r="L62" s="78"/>
      <c r="M62" s="78"/>
      <c r="N62" s="78"/>
      <c r="O62" s="78"/>
      <c r="P62" s="78"/>
      <c r="Q62" s="78"/>
      <c r="R62" s="78"/>
      <c r="S62" s="78"/>
      <c r="T62" s="78"/>
      <c r="U62" s="78"/>
      <c r="V62" s="78"/>
      <c r="AG62"/>
      <c r="AH62"/>
      <c r="AI62" s="78"/>
      <c r="AJ62" s="78"/>
      <c r="AK62" s="78"/>
      <c r="AL62" s="78"/>
      <c r="AM62" s="78"/>
    </row>
    <row r="63" spans="3:39" x14ac:dyDescent="0.3">
      <c r="C63" s="78"/>
      <c r="D63" s="78"/>
      <c r="E63" s="78"/>
      <c r="F63" s="78"/>
      <c r="G63" s="78"/>
      <c r="H63" s="78"/>
      <c r="I63" s="78"/>
      <c r="J63" s="78"/>
      <c r="K63" s="78"/>
      <c r="L63" s="78"/>
      <c r="M63" s="78"/>
      <c r="N63" s="78"/>
      <c r="O63" s="78"/>
      <c r="P63" s="78"/>
      <c r="Q63" s="78"/>
      <c r="R63" s="78"/>
      <c r="S63" s="78"/>
      <c r="T63" s="78"/>
      <c r="U63" s="78"/>
      <c r="V63" s="78"/>
      <c r="AG63"/>
      <c r="AH63"/>
      <c r="AI63" s="78"/>
      <c r="AJ63" s="78"/>
      <c r="AK63" s="78"/>
      <c r="AL63" s="78"/>
      <c r="AM63" s="78"/>
    </row>
    <row r="64" spans="3:39" x14ac:dyDescent="0.3">
      <c r="C64" s="78"/>
      <c r="D64" s="78"/>
      <c r="E64" s="78"/>
      <c r="F64" s="78"/>
      <c r="G64" s="78"/>
      <c r="H64" s="78"/>
      <c r="I64" s="78"/>
      <c r="J64" s="78"/>
      <c r="K64" s="78"/>
      <c r="L64" s="78"/>
      <c r="M64" s="78"/>
      <c r="N64" s="78"/>
      <c r="O64" s="78"/>
      <c r="P64" s="78"/>
      <c r="Q64" s="78"/>
      <c r="R64" s="78"/>
      <c r="S64" s="78"/>
      <c r="T64" s="78"/>
      <c r="U64" s="78"/>
      <c r="V64" s="78"/>
      <c r="AG64"/>
      <c r="AH64"/>
      <c r="AI64" s="78"/>
      <c r="AJ64" s="78"/>
      <c r="AK64" s="78"/>
      <c r="AL64" s="78"/>
      <c r="AM64" s="78"/>
    </row>
    <row r="65" spans="3:39" x14ac:dyDescent="0.3">
      <c r="C65" s="78"/>
      <c r="D65" s="78"/>
      <c r="E65" s="78"/>
      <c r="F65" s="78"/>
      <c r="G65" s="78"/>
      <c r="H65" s="78"/>
      <c r="I65" s="78"/>
      <c r="J65" s="78"/>
      <c r="K65" s="78"/>
      <c r="L65" s="78"/>
      <c r="M65" s="78"/>
      <c r="N65" s="78"/>
      <c r="O65" s="78"/>
      <c r="P65" s="78"/>
      <c r="Q65" s="78"/>
      <c r="R65" s="78"/>
      <c r="S65" s="78"/>
      <c r="T65" s="78"/>
      <c r="U65" s="78"/>
      <c r="V65" s="78"/>
      <c r="AG65"/>
      <c r="AH65"/>
      <c r="AI65" s="78"/>
      <c r="AJ65" s="78"/>
      <c r="AK65" s="78"/>
      <c r="AL65" s="78"/>
      <c r="AM65" s="78"/>
    </row>
    <row r="66" spans="3:39" x14ac:dyDescent="0.3">
      <c r="C66" s="78"/>
      <c r="D66" s="78"/>
      <c r="E66" s="78"/>
      <c r="F66" s="78"/>
      <c r="G66" s="78"/>
      <c r="H66" s="78"/>
      <c r="I66" s="78"/>
      <c r="J66" s="78"/>
      <c r="K66" s="78"/>
      <c r="L66" s="78"/>
      <c r="M66" s="78"/>
      <c r="N66" s="78"/>
      <c r="O66" s="78"/>
      <c r="P66" s="78"/>
      <c r="Q66" s="78"/>
      <c r="R66" s="78"/>
      <c r="S66" s="78"/>
      <c r="T66" s="78"/>
      <c r="U66" s="78"/>
      <c r="V66" s="78"/>
      <c r="AG66"/>
      <c r="AH66"/>
      <c r="AI66" s="78"/>
      <c r="AJ66" s="78"/>
      <c r="AK66" s="78"/>
      <c r="AL66" s="78"/>
      <c r="AM66" s="78"/>
    </row>
    <row r="67" spans="3:39" x14ac:dyDescent="0.3">
      <c r="C67" s="78"/>
      <c r="D67" s="78"/>
      <c r="E67" s="78"/>
      <c r="F67" s="78"/>
      <c r="G67" s="78"/>
      <c r="H67" s="78"/>
      <c r="I67" s="78"/>
      <c r="J67" s="78"/>
      <c r="K67" s="78"/>
      <c r="L67" s="78"/>
      <c r="M67" s="78"/>
      <c r="N67" s="78"/>
      <c r="O67" s="78"/>
      <c r="P67" s="78"/>
      <c r="Q67" s="78"/>
      <c r="R67" s="78"/>
      <c r="S67" s="78"/>
      <c r="T67" s="78"/>
      <c r="U67" s="78"/>
      <c r="V67" s="78"/>
      <c r="AG67"/>
      <c r="AH67"/>
      <c r="AI67" s="78"/>
      <c r="AJ67" s="78"/>
      <c r="AK67" s="78"/>
      <c r="AL67" s="78"/>
      <c r="AM67" s="78"/>
    </row>
    <row r="68" spans="3:39" x14ac:dyDescent="0.3">
      <c r="C68" s="78"/>
      <c r="D68" s="78"/>
      <c r="E68" s="78"/>
      <c r="F68" s="78"/>
      <c r="G68" s="78"/>
      <c r="H68" s="78"/>
      <c r="I68" s="78"/>
      <c r="J68" s="78"/>
      <c r="K68" s="78"/>
      <c r="L68" s="78"/>
      <c r="M68" s="78"/>
      <c r="N68" s="78"/>
      <c r="O68" s="78"/>
      <c r="P68" s="78"/>
      <c r="Q68" s="78"/>
      <c r="R68" s="78"/>
      <c r="S68" s="78"/>
      <c r="T68" s="78"/>
      <c r="U68" s="78"/>
      <c r="V68" s="78"/>
      <c r="AG68"/>
      <c r="AH68"/>
      <c r="AI68" s="78"/>
      <c r="AJ68" s="78"/>
      <c r="AK68" s="78"/>
      <c r="AL68" s="78"/>
      <c r="AM68" s="78"/>
    </row>
    <row r="69" spans="3:39" x14ac:dyDescent="0.3">
      <c r="C69" s="78"/>
      <c r="D69" s="78"/>
      <c r="E69" s="78"/>
      <c r="F69" s="78"/>
      <c r="G69" s="78"/>
      <c r="H69" s="78"/>
      <c r="I69" s="78"/>
      <c r="J69" s="78"/>
      <c r="K69" s="78"/>
      <c r="L69" s="78"/>
      <c r="M69" s="78"/>
      <c r="N69" s="78"/>
      <c r="O69" s="78"/>
      <c r="P69" s="78"/>
      <c r="Q69" s="78"/>
      <c r="R69" s="78"/>
      <c r="S69" s="78"/>
      <c r="T69" s="78"/>
      <c r="U69" s="78"/>
      <c r="V69" s="78"/>
      <c r="AG69"/>
      <c r="AH69"/>
      <c r="AI69" s="78"/>
      <c r="AJ69" s="78"/>
      <c r="AK69" s="78"/>
      <c r="AL69" s="78"/>
      <c r="AM69" s="78"/>
    </row>
    <row r="70" spans="3:39" x14ac:dyDescent="0.3">
      <c r="C70" s="78"/>
      <c r="D70" s="78"/>
      <c r="E70" s="78"/>
      <c r="F70" s="78"/>
      <c r="G70" s="78"/>
      <c r="H70" s="78"/>
      <c r="I70" s="78"/>
      <c r="J70" s="78"/>
      <c r="K70" s="78"/>
      <c r="L70" s="78"/>
      <c r="M70" s="78"/>
      <c r="N70" s="78"/>
      <c r="O70" s="78"/>
      <c r="P70" s="78"/>
      <c r="Q70" s="78"/>
      <c r="R70" s="78"/>
      <c r="S70" s="78"/>
      <c r="T70" s="78"/>
      <c r="U70" s="78"/>
      <c r="V70" s="78"/>
      <c r="AG70"/>
      <c r="AH70"/>
      <c r="AI70" s="78"/>
      <c r="AJ70" s="78"/>
      <c r="AK70" s="78"/>
      <c r="AL70" s="78"/>
      <c r="AM70" s="78"/>
    </row>
    <row r="71" spans="3:39" x14ac:dyDescent="0.3">
      <c r="C71" s="78"/>
      <c r="D71" s="78"/>
      <c r="E71" s="78"/>
      <c r="F71" s="78"/>
      <c r="G71" s="78"/>
      <c r="H71" s="78"/>
      <c r="I71" s="78"/>
      <c r="J71" s="78"/>
      <c r="K71" s="78"/>
      <c r="L71" s="78"/>
      <c r="M71" s="78"/>
      <c r="N71" s="78"/>
      <c r="O71" s="78"/>
      <c r="P71" s="78"/>
      <c r="Q71" s="78"/>
      <c r="R71" s="78"/>
      <c r="S71" s="78"/>
      <c r="T71" s="78"/>
      <c r="U71" s="78"/>
      <c r="V71" s="78"/>
      <c r="AG71"/>
      <c r="AH71"/>
      <c r="AI71" s="78"/>
      <c r="AJ71" s="78"/>
      <c r="AK71" s="78"/>
      <c r="AL71" s="78"/>
      <c r="AM71" s="78"/>
    </row>
    <row r="72" spans="3:39" x14ac:dyDescent="0.3">
      <c r="C72" s="78"/>
      <c r="D72" s="78"/>
      <c r="E72" s="78"/>
      <c r="F72" s="78"/>
      <c r="G72" s="78"/>
      <c r="H72" s="78"/>
      <c r="I72" s="78"/>
      <c r="J72" s="78"/>
      <c r="K72" s="78"/>
      <c r="L72" s="78"/>
      <c r="M72" s="78"/>
      <c r="N72" s="78"/>
      <c r="O72" s="78"/>
      <c r="P72" s="78"/>
      <c r="Q72" s="78"/>
      <c r="R72" s="78"/>
      <c r="S72" s="78"/>
      <c r="T72" s="78"/>
      <c r="U72" s="78"/>
      <c r="V72" s="78"/>
      <c r="AG72"/>
      <c r="AH72"/>
      <c r="AI72" s="78"/>
      <c r="AJ72" s="78"/>
      <c r="AK72" s="78"/>
      <c r="AL72" s="78"/>
      <c r="AM72" s="78"/>
    </row>
    <row r="73" spans="3:39" x14ac:dyDescent="0.3">
      <c r="C73" s="78"/>
      <c r="D73" s="78"/>
      <c r="E73" s="78"/>
      <c r="F73" s="78"/>
      <c r="G73" s="78"/>
      <c r="H73" s="78"/>
      <c r="I73" s="78"/>
      <c r="J73" s="78"/>
      <c r="K73" s="78"/>
      <c r="L73" s="78"/>
      <c r="M73" s="78"/>
      <c r="N73" s="78"/>
      <c r="O73" s="78"/>
      <c r="P73" s="78"/>
      <c r="Q73" s="78"/>
      <c r="R73" s="78"/>
      <c r="S73" s="78"/>
      <c r="T73" s="78"/>
      <c r="U73" s="78"/>
      <c r="V73" s="78"/>
      <c r="AG73"/>
      <c r="AH73"/>
      <c r="AI73" s="78"/>
      <c r="AJ73" s="78"/>
      <c r="AK73" s="78"/>
      <c r="AL73" s="78"/>
      <c r="AM73" s="78"/>
    </row>
    <row r="74" spans="3:39" x14ac:dyDescent="0.3">
      <c r="C74" s="78"/>
      <c r="D74" s="78"/>
      <c r="E74" s="78"/>
      <c r="F74" s="78"/>
      <c r="G74" s="78"/>
      <c r="H74" s="78"/>
      <c r="I74" s="78"/>
      <c r="J74" s="78"/>
      <c r="K74" s="78"/>
      <c r="L74" s="78"/>
      <c r="M74" s="78"/>
      <c r="N74" s="78"/>
      <c r="O74" s="78"/>
      <c r="P74" s="78"/>
      <c r="Q74" s="78"/>
      <c r="R74" s="78"/>
      <c r="S74" s="78"/>
      <c r="T74" s="78"/>
      <c r="U74" s="78"/>
      <c r="V74" s="78"/>
      <c r="AG74" s="78"/>
      <c r="AH74" s="78"/>
      <c r="AI74" s="78"/>
      <c r="AJ74" s="78"/>
      <c r="AK74" s="78"/>
      <c r="AL74" s="78"/>
      <c r="AM74" s="78"/>
    </row>
    <row r="75" spans="3:39" x14ac:dyDescent="0.3">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row>
    <row r="76" spans="3:39" x14ac:dyDescent="0.3">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row>
    <row r="77" spans="3:39" x14ac:dyDescent="0.3">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row>
    <row r="78" spans="3:39" x14ac:dyDescent="0.3">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row>
    <row r="79" spans="3:39" x14ac:dyDescent="0.3">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row>
    <row r="80" spans="3:39" x14ac:dyDescent="0.3">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row>
    <row r="81" spans="3:39" x14ac:dyDescent="0.3">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row>
    <row r="82" spans="3:39" x14ac:dyDescent="0.3">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row>
    <row r="83" spans="3:39" x14ac:dyDescent="0.3">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row>
    <row r="84" spans="3:39" x14ac:dyDescent="0.3">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row>
    <row r="85" spans="3:39" x14ac:dyDescent="0.3">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row>
    <row r="86" spans="3:39" x14ac:dyDescent="0.3">
      <c r="C86" s="78"/>
      <c r="D86" s="78"/>
      <c r="E86" s="78"/>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row>
    <row r="87" spans="3:39" x14ac:dyDescent="0.3">
      <c r="C87" s="78"/>
      <c r="D87" s="78"/>
      <c r="E87" s="78"/>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row>
    <row r="88" spans="3:39" x14ac:dyDescent="0.3">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row>
    <row r="89" spans="3:39" x14ac:dyDescent="0.3">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row>
    <row r="90" spans="3:39" x14ac:dyDescent="0.3">
      <c r="C90" s="78"/>
      <c r="D90" s="78"/>
      <c r="E90" s="78"/>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row>
    <row r="91" spans="3:39" x14ac:dyDescent="0.3">
      <c r="C91" s="78"/>
      <c r="D91" s="78"/>
      <c r="E91" s="78"/>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row>
    <row r="92" spans="3:39" x14ac:dyDescent="0.3">
      <c r="C92" s="78"/>
      <c r="D92" s="78"/>
      <c r="E92" s="78"/>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row>
    <row r="93" spans="3:39" x14ac:dyDescent="0.3">
      <c r="C93" s="78"/>
      <c r="D93" s="78"/>
      <c r="E93" s="78"/>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row>
    <row r="94" spans="3:39" x14ac:dyDescent="0.3">
      <c r="C94" s="78"/>
      <c r="D94" s="78"/>
      <c r="E94" s="78"/>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row>
    <row r="95" spans="3:39" x14ac:dyDescent="0.3">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row>
    <row r="96" spans="3:39" x14ac:dyDescent="0.3">
      <c r="C96" s="78"/>
      <c r="D96" s="78"/>
      <c r="E96" s="78"/>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row>
    <row r="97" spans="3:39" x14ac:dyDescent="0.3">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row>
    <row r="98" spans="3:39" x14ac:dyDescent="0.3">
      <c r="C98" s="78"/>
      <c r="D98" s="78"/>
      <c r="E98" s="78"/>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row>
    <row r="99" spans="3:39" x14ac:dyDescent="0.3">
      <c r="C99" s="78"/>
      <c r="D99" s="78"/>
      <c r="E99" s="78"/>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row>
    <row r="100" spans="3:39" x14ac:dyDescent="0.3">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row>
    <row r="101" spans="3:39" x14ac:dyDescent="0.3">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row>
    <row r="102" spans="3:39" x14ac:dyDescent="0.3">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row>
    <row r="103" spans="3:39" x14ac:dyDescent="0.3">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row>
    <row r="104" spans="3:39" x14ac:dyDescent="0.3">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row>
    <row r="105" spans="3:39" x14ac:dyDescent="0.3">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row>
    <row r="106" spans="3:39" x14ac:dyDescent="0.3">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row>
    <row r="107" spans="3:39" x14ac:dyDescent="0.3">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row>
    <row r="108" spans="3:39" x14ac:dyDescent="0.3">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row>
    <row r="109" spans="3:39" x14ac:dyDescent="0.3">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row>
    <row r="110" spans="3:39" x14ac:dyDescent="0.3">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row>
    <row r="111" spans="3:39" x14ac:dyDescent="0.3">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row>
    <row r="112" spans="3:39" x14ac:dyDescent="0.3">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row>
    <row r="113" spans="3:39" x14ac:dyDescent="0.3">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row>
    <row r="114" spans="3:39" x14ac:dyDescent="0.3">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row>
    <row r="115" spans="3:39" x14ac:dyDescent="0.3">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row>
    <row r="116" spans="3:39" x14ac:dyDescent="0.3">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row>
    <row r="117" spans="3:39" x14ac:dyDescent="0.3">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row>
    <row r="118" spans="3:39" x14ac:dyDescent="0.3">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78"/>
      <c r="AI118" s="78"/>
      <c r="AJ118" s="78"/>
      <c r="AK118" s="78"/>
      <c r="AL118" s="78"/>
      <c r="AM118" s="78"/>
    </row>
    <row r="119" spans="3:39" x14ac:dyDescent="0.3">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78"/>
      <c r="AI119" s="78"/>
      <c r="AJ119" s="78"/>
      <c r="AK119" s="78"/>
      <c r="AL119" s="78"/>
      <c r="AM119" s="78"/>
    </row>
    <row r="120" spans="3:39" x14ac:dyDescent="0.3">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78"/>
      <c r="AI120" s="78"/>
      <c r="AJ120" s="78"/>
      <c r="AK120" s="78"/>
      <c r="AL120" s="78"/>
      <c r="AM120" s="78"/>
    </row>
    <row r="121" spans="3:39" x14ac:dyDescent="0.3">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78"/>
      <c r="AI121" s="78"/>
      <c r="AJ121" s="78"/>
      <c r="AK121" s="78"/>
      <c r="AL121" s="78"/>
      <c r="AM121" s="78"/>
    </row>
    <row r="122" spans="3:39" x14ac:dyDescent="0.3">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78"/>
      <c r="AI122" s="78"/>
      <c r="AJ122" s="78"/>
      <c r="AK122" s="78"/>
      <c r="AL122" s="78"/>
      <c r="AM122" s="78"/>
    </row>
    <row r="123" spans="3:39" x14ac:dyDescent="0.3">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78"/>
      <c r="AI123" s="78"/>
      <c r="AJ123" s="78"/>
      <c r="AK123" s="78"/>
      <c r="AL123" s="78"/>
      <c r="AM123" s="78"/>
    </row>
    <row r="124" spans="3:39" x14ac:dyDescent="0.3">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row>
    <row r="125" spans="3:39" x14ac:dyDescent="0.3">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row>
    <row r="126" spans="3:39" x14ac:dyDescent="0.3">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78"/>
      <c r="AI126" s="78"/>
      <c r="AJ126" s="78"/>
      <c r="AK126" s="78"/>
      <c r="AL126" s="78"/>
      <c r="AM126" s="78"/>
    </row>
    <row r="127" spans="3:39" x14ac:dyDescent="0.3">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78"/>
      <c r="AI127" s="78"/>
      <c r="AJ127" s="78"/>
      <c r="AK127" s="78"/>
      <c r="AL127" s="78"/>
      <c r="AM127" s="78"/>
    </row>
    <row r="128" spans="3:39" x14ac:dyDescent="0.3">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78"/>
      <c r="AI128" s="78"/>
      <c r="AJ128" s="78"/>
      <c r="AK128" s="78"/>
      <c r="AL128" s="78"/>
      <c r="AM128" s="78"/>
    </row>
    <row r="129" spans="3:39" x14ac:dyDescent="0.3">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78"/>
      <c r="AI129" s="78"/>
      <c r="AJ129" s="78"/>
      <c r="AK129" s="78"/>
      <c r="AL129" s="78"/>
      <c r="AM129" s="78"/>
    </row>
    <row r="130" spans="3:39" x14ac:dyDescent="0.3">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78"/>
      <c r="AI130" s="78"/>
      <c r="AJ130" s="78"/>
      <c r="AK130" s="78"/>
      <c r="AL130" s="78"/>
      <c r="AM130" s="78"/>
    </row>
    <row r="131" spans="3:39" x14ac:dyDescent="0.3">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row>
    <row r="132" spans="3:39" x14ac:dyDescent="0.3">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78"/>
      <c r="AI132" s="78"/>
      <c r="AJ132" s="78"/>
      <c r="AK132" s="78"/>
      <c r="AL132" s="78"/>
      <c r="AM132" s="78"/>
    </row>
    <row r="133" spans="3:39" x14ac:dyDescent="0.3">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78"/>
      <c r="AI133" s="78"/>
      <c r="AJ133" s="78"/>
      <c r="AK133" s="78"/>
      <c r="AL133" s="78"/>
      <c r="AM133" s="78"/>
    </row>
    <row r="134" spans="3:39" x14ac:dyDescent="0.3">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row>
    <row r="135" spans="3:39" x14ac:dyDescent="0.3">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78"/>
      <c r="AI135" s="78"/>
      <c r="AJ135" s="78"/>
      <c r="AK135" s="78"/>
      <c r="AL135" s="78"/>
      <c r="AM135" s="78"/>
    </row>
    <row r="136" spans="3:39" x14ac:dyDescent="0.3">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row>
    <row r="137" spans="3:39" x14ac:dyDescent="0.3">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row>
    <row r="138" spans="3:39" x14ac:dyDescent="0.3">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row>
    <row r="139" spans="3:39" x14ac:dyDescent="0.3">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row>
    <row r="140" spans="3:39" x14ac:dyDescent="0.3">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78"/>
      <c r="AI140" s="78"/>
      <c r="AJ140" s="78"/>
      <c r="AK140" s="78"/>
      <c r="AL140" s="78"/>
      <c r="AM140" s="78"/>
    </row>
    <row r="141" spans="3:39" x14ac:dyDescent="0.3">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row>
    <row r="142" spans="3:39" x14ac:dyDescent="0.3">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c r="AE142" s="78"/>
      <c r="AF142" s="78"/>
      <c r="AG142" s="78"/>
      <c r="AH142" s="78"/>
      <c r="AI142" s="78"/>
      <c r="AJ142" s="78"/>
      <c r="AK142" s="78"/>
      <c r="AL142" s="78"/>
      <c r="AM142" s="78"/>
    </row>
    <row r="143" spans="3:39" x14ac:dyDescent="0.3">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c r="AF143" s="78"/>
      <c r="AG143" s="78"/>
      <c r="AH143" s="78"/>
      <c r="AI143" s="78"/>
      <c r="AJ143" s="78"/>
      <c r="AK143" s="78"/>
      <c r="AL143" s="78"/>
      <c r="AM143" s="78"/>
    </row>
    <row r="144" spans="3:39" x14ac:dyDescent="0.3">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c r="AE144" s="78"/>
      <c r="AF144" s="78"/>
      <c r="AG144" s="78"/>
      <c r="AH144" s="78"/>
      <c r="AI144" s="78"/>
      <c r="AJ144" s="78"/>
      <c r="AK144" s="78"/>
      <c r="AL144" s="78"/>
      <c r="AM144" s="78"/>
    </row>
    <row r="145" spans="3:39" x14ac:dyDescent="0.3">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c r="AE145" s="78"/>
      <c r="AF145" s="78"/>
      <c r="AG145" s="78"/>
      <c r="AH145" s="78"/>
      <c r="AI145" s="78"/>
      <c r="AJ145" s="78"/>
      <c r="AK145" s="78"/>
      <c r="AL145" s="78"/>
      <c r="AM145" s="78"/>
    </row>
    <row r="146" spans="3:39" x14ac:dyDescent="0.3">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c r="AE146" s="78"/>
      <c r="AF146" s="78"/>
      <c r="AG146" s="78"/>
      <c r="AH146" s="78"/>
      <c r="AI146" s="78"/>
      <c r="AJ146" s="78"/>
      <c r="AK146" s="78"/>
      <c r="AL146" s="78"/>
      <c r="AM146" s="78"/>
    </row>
    <row r="147" spans="3:39" x14ac:dyDescent="0.3">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row>
    <row r="148" spans="3:39" x14ac:dyDescent="0.3">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c r="AI148" s="78"/>
      <c r="AJ148" s="78"/>
      <c r="AK148" s="78"/>
      <c r="AL148" s="78"/>
      <c r="AM148" s="78"/>
    </row>
    <row r="149" spans="3:39" x14ac:dyDescent="0.3">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row>
    <row r="150" spans="3:39" x14ac:dyDescent="0.3">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c r="AE150" s="78"/>
      <c r="AF150" s="78"/>
      <c r="AG150" s="78"/>
      <c r="AH150" s="78"/>
      <c r="AI150" s="78"/>
      <c r="AJ150" s="78"/>
      <c r="AK150" s="78"/>
      <c r="AL150" s="78"/>
      <c r="AM150" s="78"/>
    </row>
    <row r="151" spans="3:39" x14ac:dyDescent="0.3">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c r="AE151" s="78"/>
      <c r="AF151" s="78"/>
      <c r="AG151" s="78"/>
      <c r="AH151" s="78"/>
      <c r="AI151" s="78"/>
      <c r="AJ151" s="78"/>
      <c r="AK151" s="78"/>
      <c r="AL151" s="78"/>
      <c r="AM151" s="78"/>
    </row>
    <row r="152" spans="3:39" x14ac:dyDescent="0.3">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c r="AE152" s="78"/>
      <c r="AF152" s="78"/>
      <c r="AG152" s="78"/>
      <c r="AH152" s="78"/>
      <c r="AI152" s="78"/>
      <c r="AJ152" s="78"/>
      <c r="AK152" s="78"/>
      <c r="AL152" s="78"/>
      <c r="AM152" s="78"/>
    </row>
    <row r="153" spans="3:39" x14ac:dyDescent="0.3">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row>
    <row r="154" spans="3:39" x14ac:dyDescent="0.3">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c r="AE154" s="78"/>
      <c r="AF154" s="78"/>
      <c r="AG154" s="78"/>
      <c r="AH154" s="78"/>
      <c r="AI154" s="78"/>
      <c r="AJ154" s="78"/>
      <c r="AK154" s="78"/>
      <c r="AL154" s="78"/>
      <c r="AM154" s="78"/>
    </row>
    <row r="155" spans="3:39" x14ac:dyDescent="0.3">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c r="AE155" s="78"/>
      <c r="AF155" s="78"/>
      <c r="AG155" s="78"/>
      <c r="AH155" s="78"/>
      <c r="AI155" s="78"/>
      <c r="AJ155" s="78"/>
      <c r="AK155" s="78"/>
      <c r="AL155" s="78"/>
      <c r="AM155" s="78"/>
    </row>
    <row r="156" spans="3:39" x14ac:dyDescent="0.3">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c r="AE156" s="78"/>
      <c r="AF156" s="78"/>
      <c r="AG156" s="78"/>
      <c r="AH156" s="78"/>
      <c r="AI156" s="78"/>
      <c r="AJ156" s="78"/>
      <c r="AK156" s="78"/>
      <c r="AL156" s="78"/>
      <c r="AM156" s="78"/>
    </row>
    <row r="157" spans="3:39" x14ac:dyDescent="0.3">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c r="AE157" s="78"/>
      <c r="AF157" s="78"/>
      <c r="AG157" s="78"/>
      <c r="AH157" s="78"/>
      <c r="AI157" s="78"/>
      <c r="AJ157" s="78"/>
      <c r="AK157" s="78"/>
      <c r="AL157" s="78"/>
      <c r="AM157" s="78"/>
    </row>
    <row r="158" spans="3:39" x14ac:dyDescent="0.3">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c r="AE158" s="78"/>
      <c r="AF158" s="78"/>
      <c r="AG158" s="78"/>
      <c r="AH158" s="78"/>
      <c r="AI158" s="78"/>
      <c r="AJ158" s="78"/>
      <c r="AK158" s="78"/>
      <c r="AL158" s="78"/>
      <c r="AM158" s="78"/>
    </row>
    <row r="159" spans="3:39" x14ac:dyDescent="0.3">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c r="AE159" s="78"/>
      <c r="AF159" s="78"/>
      <c r="AG159" s="78"/>
      <c r="AH159" s="78"/>
      <c r="AI159" s="78"/>
      <c r="AJ159" s="78"/>
      <c r="AK159" s="78"/>
      <c r="AL159" s="78"/>
      <c r="AM159" s="78"/>
    </row>
    <row r="160" spans="3:39" x14ac:dyDescent="0.3">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c r="AE160" s="78"/>
      <c r="AF160" s="78"/>
      <c r="AG160" s="78"/>
      <c r="AH160" s="78"/>
      <c r="AI160" s="78"/>
      <c r="AJ160" s="78"/>
      <c r="AK160" s="78"/>
      <c r="AL160" s="78"/>
      <c r="AM160" s="78"/>
    </row>
    <row r="161" spans="3:39" x14ac:dyDescent="0.3">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c r="AF161" s="78"/>
      <c r="AG161" s="78"/>
      <c r="AH161" s="78"/>
      <c r="AI161" s="78"/>
      <c r="AJ161" s="78"/>
      <c r="AK161" s="78"/>
      <c r="AL161" s="78"/>
      <c r="AM161" s="78"/>
    </row>
    <row r="162" spans="3:39" x14ac:dyDescent="0.3">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row>
    <row r="163" spans="3:39" x14ac:dyDescent="0.3">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c r="AE163" s="78"/>
      <c r="AF163" s="78"/>
      <c r="AG163" s="78"/>
      <c r="AH163" s="78"/>
      <c r="AI163" s="78"/>
      <c r="AJ163" s="78"/>
      <c r="AK163" s="78"/>
      <c r="AL163" s="78"/>
      <c r="AM163" s="78"/>
    </row>
    <row r="164" spans="3:39" x14ac:dyDescent="0.3">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c r="AE164" s="78"/>
      <c r="AF164" s="78"/>
      <c r="AG164" s="78"/>
      <c r="AH164" s="78"/>
      <c r="AI164" s="78"/>
      <c r="AJ164" s="78"/>
      <c r="AK164" s="78"/>
      <c r="AL164" s="78"/>
      <c r="AM164" s="78"/>
    </row>
    <row r="165" spans="3:39" x14ac:dyDescent="0.3">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c r="AE165" s="78"/>
      <c r="AF165" s="78"/>
      <c r="AG165" s="78"/>
      <c r="AH165" s="78"/>
      <c r="AI165" s="78"/>
      <c r="AJ165" s="78"/>
      <c r="AK165" s="78"/>
      <c r="AL165" s="78"/>
      <c r="AM165" s="78"/>
    </row>
    <row r="166" spans="3:39" x14ac:dyDescent="0.3">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c r="AE166" s="78"/>
      <c r="AF166" s="78"/>
      <c r="AG166" s="78"/>
      <c r="AH166" s="78"/>
      <c r="AI166" s="78"/>
      <c r="AJ166" s="78"/>
      <c r="AK166" s="78"/>
      <c r="AL166" s="78"/>
      <c r="AM166" s="78"/>
    </row>
    <row r="167" spans="3:39" x14ac:dyDescent="0.3">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row>
    <row r="168" spans="3:39" x14ac:dyDescent="0.3">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c r="AC168" s="78"/>
      <c r="AD168" s="78"/>
      <c r="AE168" s="78"/>
      <c r="AF168" s="78"/>
      <c r="AG168" s="78"/>
      <c r="AH168" s="78"/>
      <c r="AI168" s="78"/>
      <c r="AJ168" s="78"/>
      <c r="AK168" s="78"/>
      <c r="AL168" s="78"/>
      <c r="AM168" s="78"/>
    </row>
    <row r="169" spans="3:39" x14ac:dyDescent="0.3">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c r="AA169" s="78"/>
      <c r="AB169" s="78"/>
      <c r="AC169" s="78"/>
      <c r="AD169" s="78"/>
      <c r="AE169" s="78"/>
      <c r="AF169" s="78"/>
      <c r="AG169" s="78"/>
      <c r="AH169" s="78"/>
      <c r="AI169" s="78"/>
      <c r="AJ169" s="78"/>
      <c r="AK169" s="78"/>
      <c r="AL169" s="78"/>
      <c r="AM169" s="78"/>
    </row>
    <row r="170" spans="3:39" x14ac:dyDescent="0.3">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c r="AA170" s="78"/>
      <c r="AB170" s="78"/>
      <c r="AC170" s="78"/>
      <c r="AD170" s="78"/>
      <c r="AE170" s="78"/>
      <c r="AF170" s="78"/>
      <c r="AG170" s="78"/>
      <c r="AH170" s="78"/>
      <c r="AI170" s="78"/>
      <c r="AJ170" s="78"/>
      <c r="AK170" s="78"/>
      <c r="AL170" s="78"/>
      <c r="AM170" s="78"/>
    </row>
    <row r="171" spans="3:39" x14ac:dyDescent="0.3">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c r="AA171" s="78"/>
      <c r="AB171" s="78"/>
      <c r="AC171" s="78"/>
      <c r="AD171" s="78"/>
      <c r="AE171" s="78"/>
      <c r="AF171" s="78"/>
      <c r="AG171" s="78"/>
      <c r="AH171" s="78"/>
      <c r="AI171" s="78"/>
      <c r="AJ171" s="78"/>
      <c r="AK171" s="78"/>
      <c r="AL171" s="78"/>
      <c r="AM171" s="78"/>
    </row>
    <row r="172" spans="3:39" x14ac:dyDescent="0.3">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row>
    <row r="173" spans="3:39" x14ac:dyDescent="0.3">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row>
    <row r="174" spans="3:39" x14ac:dyDescent="0.3">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row>
    <row r="175" spans="3:39" x14ac:dyDescent="0.3">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row>
    <row r="176" spans="3:39" x14ac:dyDescent="0.3">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row>
    <row r="177" spans="3:39" x14ac:dyDescent="0.3">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row>
    <row r="178" spans="3:39" x14ac:dyDescent="0.3">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c r="AJ178" s="78"/>
      <c r="AK178" s="78"/>
      <c r="AL178" s="78"/>
      <c r="AM178" s="78"/>
    </row>
    <row r="179" spans="3:39" x14ac:dyDescent="0.3">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8"/>
      <c r="AC179" s="78"/>
      <c r="AD179" s="78"/>
      <c r="AE179" s="78"/>
      <c r="AF179" s="78"/>
      <c r="AG179" s="78"/>
      <c r="AH179" s="78"/>
      <c r="AI179" s="78"/>
      <c r="AJ179" s="78"/>
      <c r="AK179" s="78"/>
      <c r="AL179" s="78"/>
      <c r="AM179" s="78"/>
    </row>
    <row r="180" spans="3:39" x14ac:dyDescent="0.3">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row>
    <row r="181" spans="3:39" x14ac:dyDescent="0.3">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78"/>
      <c r="AC181" s="78"/>
      <c r="AD181" s="78"/>
      <c r="AE181" s="78"/>
      <c r="AF181" s="78"/>
      <c r="AG181" s="78"/>
      <c r="AH181" s="78"/>
      <c r="AI181" s="78"/>
      <c r="AJ181" s="78"/>
      <c r="AK181" s="78"/>
      <c r="AL181" s="78"/>
      <c r="AM181" s="78"/>
    </row>
    <row r="182" spans="3:39" x14ac:dyDescent="0.3">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c r="AA182" s="78"/>
      <c r="AB182" s="78"/>
      <c r="AC182" s="78"/>
      <c r="AD182" s="78"/>
      <c r="AE182" s="78"/>
      <c r="AF182" s="78"/>
      <c r="AG182" s="78"/>
      <c r="AH182" s="78"/>
      <c r="AI182" s="78"/>
      <c r="AJ182" s="78"/>
      <c r="AK182" s="78"/>
      <c r="AL182" s="78"/>
      <c r="AM182" s="78"/>
    </row>
    <row r="183" spans="3:39" x14ac:dyDescent="0.3">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row>
    <row r="184" spans="3:39" x14ac:dyDescent="0.3">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c r="AA184" s="78"/>
      <c r="AB184" s="78"/>
      <c r="AC184" s="78"/>
      <c r="AD184" s="78"/>
      <c r="AE184" s="78"/>
      <c r="AF184" s="78"/>
      <c r="AG184" s="78"/>
      <c r="AH184" s="78"/>
      <c r="AI184" s="78"/>
      <c r="AJ184" s="78"/>
      <c r="AK184" s="78"/>
      <c r="AL184" s="78"/>
      <c r="AM184" s="78"/>
    </row>
    <row r="185" spans="3:39" x14ac:dyDescent="0.3">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c r="AA185" s="78"/>
      <c r="AB185" s="78"/>
      <c r="AC185" s="78"/>
      <c r="AD185" s="78"/>
      <c r="AE185" s="78"/>
      <c r="AF185" s="78"/>
      <c r="AG185" s="78"/>
      <c r="AH185" s="78"/>
      <c r="AI185" s="78"/>
      <c r="AJ185" s="78"/>
      <c r="AK185" s="78"/>
      <c r="AL185" s="78"/>
      <c r="AM185" s="78"/>
    </row>
    <row r="186" spans="3:39" x14ac:dyDescent="0.3">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c r="AA186" s="78"/>
      <c r="AB186" s="78"/>
      <c r="AC186" s="78"/>
      <c r="AD186" s="78"/>
      <c r="AE186" s="78"/>
      <c r="AF186" s="78"/>
      <c r="AG186" s="78"/>
      <c r="AH186" s="78"/>
      <c r="AI186" s="78"/>
      <c r="AJ186" s="78"/>
      <c r="AK186" s="78"/>
      <c r="AL186" s="78"/>
      <c r="AM186" s="78"/>
    </row>
    <row r="187" spans="3:39" x14ac:dyDescent="0.3">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row>
    <row r="188" spans="3:39" x14ac:dyDescent="0.3">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c r="AA188" s="78"/>
      <c r="AB188" s="78"/>
      <c r="AC188" s="78"/>
      <c r="AD188" s="78"/>
      <c r="AE188" s="78"/>
      <c r="AF188" s="78"/>
      <c r="AG188" s="78"/>
      <c r="AH188" s="78"/>
      <c r="AI188" s="78"/>
      <c r="AJ188" s="78"/>
      <c r="AK188" s="78"/>
      <c r="AL188" s="78"/>
      <c r="AM188" s="78"/>
    </row>
    <row r="189" spans="3:39" x14ac:dyDescent="0.3">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c r="AA189" s="78"/>
      <c r="AB189" s="78"/>
      <c r="AC189" s="78"/>
      <c r="AD189" s="78"/>
      <c r="AE189" s="78"/>
      <c r="AF189" s="78"/>
      <c r="AG189" s="78"/>
      <c r="AH189" s="78"/>
      <c r="AI189" s="78"/>
      <c r="AJ189" s="78"/>
      <c r="AK189" s="78"/>
      <c r="AL189" s="78"/>
      <c r="AM189" s="78"/>
    </row>
    <row r="190" spans="3:39" x14ac:dyDescent="0.3">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c r="AA190" s="78"/>
      <c r="AB190" s="78"/>
      <c r="AC190" s="78"/>
      <c r="AD190" s="78"/>
      <c r="AE190" s="78"/>
      <c r="AF190" s="78"/>
      <c r="AG190" s="78"/>
      <c r="AH190" s="78"/>
      <c r="AI190" s="78"/>
      <c r="AJ190" s="78"/>
      <c r="AK190" s="78"/>
      <c r="AL190" s="78"/>
      <c r="AM190" s="78"/>
    </row>
    <row r="191" spans="3:39" x14ac:dyDescent="0.3">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row>
    <row r="192" spans="3:39" x14ac:dyDescent="0.3">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row>
    <row r="193" spans="3:39" x14ac:dyDescent="0.3">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row>
    <row r="194" spans="3:39" x14ac:dyDescent="0.3">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row>
    <row r="195" spans="3:39" x14ac:dyDescent="0.3">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row>
    <row r="196" spans="3:39" x14ac:dyDescent="0.3">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c r="AA196" s="78"/>
      <c r="AB196" s="78"/>
      <c r="AC196" s="78"/>
      <c r="AD196" s="78"/>
      <c r="AE196" s="78"/>
      <c r="AF196" s="78"/>
      <c r="AG196" s="78"/>
      <c r="AH196" s="78"/>
      <c r="AI196" s="78"/>
      <c r="AJ196" s="78"/>
      <c r="AK196" s="78"/>
      <c r="AL196" s="78"/>
      <c r="AM196" s="78"/>
    </row>
    <row r="197" spans="3:39" x14ac:dyDescent="0.3">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c r="AA197" s="78"/>
      <c r="AB197" s="78"/>
      <c r="AC197" s="78"/>
      <c r="AD197" s="78"/>
      <c r="AE197" s="78"/>
      <c r="AF197" s="78"/>
      <c r="AG197" s="78"/>
      <c r="AH197" s="78"/>
      <c r="AI197" s="78"/>
      <c r="AJ197" s="78"/>
      <c r="AK197" s="78"/>
      <c r="AL197" s="78"/>
      <c r="AM197" s="78"/>
    </row>
    <row r="198" spans="3:39" x14ac:dyDescent="0.3">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c r="AA198" s="78"/>
      <c r="AB198" s="78"/>
      <c r="AC198" s="78"/>
      <c r="AD198" s="78"/>
      <c r="AE198" s="78"/>
      <c r="AF198" s="78"/>
      <c r="AG198" s="78"/>
      <c r="AH198" s="78"/>
      <c r="AI198" s="78"/>
      <c r="AJ198" s="78"/>
      <c r="AK198" s="78"/>
      <c r="AL198" s="78"/>
      <c r="AM198" s="78"/>
    </row>
    <row r="199" spans="3:39" x14ac:dyDescent="0.3">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c r="AA199" s="78"/>
      <c r="AB199" s="78"/>
      <c r="AC199" s="78"/>
      <c r="AD199" s="78"/>
      <c r="AE199" s="78"/>
      <c r="AF199" s="78"/>
      <c r="AG199" s="78"/>
      <c r="AH199" s="78"/>
      <c r="AI199" s="78"/>
      <c r="AJ199" s="78"/>
      <c r="AK199" s="78"/>
      <c r="AL199" s="78"/>
      <c r="AM199" s="78"/>
    </row>
    <row r="200" spans="3:39" x14ac:dyDescent="0.3">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c r="AA200" s="78"/>
      <c r="AB200" s="78"/>
      <c r="AC200" s="78"/>
      <c r="AD200" s="78"/>
      <c r="AE200" s="78"/>
      <c r="AF200" s="78"/>
      <c r="AG200" s="78"/>
      <c r="AH200" s="78"/>
      <c r="AI200" s="78"/>
      <c r="AJ200" s="78"/>
      <c r="AK200" s="78"/>
      <c r="AL200" s="78"/>
      <c r="AM200" s="78"/>
    </row>
    <row r="201" spans="3:39" x14ac:dyDescent="0.3">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c r="AA201" s="78"/>
      <c r="AB201" s="78"/>
      <c r="AC201" s="78"/>
      <c r="AD201" s="78"/>
      <c r="AE201" s="78"/>
      <c r="AF201" s="78"/>
      <c r="AG201" s="78"/>
      <c r="AH201" s="78"/>
      <c r="AI201" s="78"/>
      <c r="AJ201" s="78"/>
      <c r="AK201" s="78"/>
      <c r="AL201" s="78"/>
      <c r="AM201" s="78"/>
    </row>
    <row r="202" spans="3:39" x14ac:dyDescent="0.3">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c r="AA202" s="78"/>
      <c r="AB202" s="78"/>
      <c r="AC202" s="78"/>
      <c r="AD202" s="78"/>
      <c r="AE202" s="78"/>
      <c r="AF202" s="78"/>
      <c r="AG202" s="78"/>
      <c r="AH202" s="78"/>
      <c r="AI202" s="78"/>
      <c r="AJ202" s="78"/>
      <c r="AK202" s="78"/>
      <c r="AL202" s="78"/>
      <c r="AM202" s="78"/>
    </row>
    <row r="203" spans="3:39" x14ac:dyDescent="0.3">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row>
    <row r="204" spans="3:39" x14ac:dyDescent="0.3">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c r="AA204" s="78"/>
      <c r="AB204" s="78"/>
      <c r="AC204" s="78"/>
      <c r="AD204" s="78"/>
      <c r="AE204" s="78"/>
      <c r="AF204" s="78"/>
      <c r="AG204" s="78"/>
      <c r="AH204" s="78"/>
      <c r="AI204" s="78"/>
      <c r="AJ204" s="78"/>
      <c r="AK204" s="78"/>
      <c r="AL204" s="78"/>
      <c r="AM204" s="78"/>
    </row>
    <row r="205" spans="3:39" x14ac:dyDescent="0.3">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row>
  </sheetData>
  <pageMargins left="0" right="0"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83769-29FD-493B-B409-45E220D45C2A}">
  <sheetPr codeName="Sheet3">
    <tabColor rgb="FF012D76"/>
  </sheetPr>
  <dimension ref="B1:P185"/>
  <sheetViews>
    <sheetView showGridLines="0" zoomScaleNormal="100" workbookViewId="0"/>
  </sheetViews>
  <sheetFormatPr defaultRowHeight="11.5" x14ac:dyDescent="0.25"/>
  <cols>
    <col min="1" max="1" width="3.69921875" customWidth="1"/>
    <col min="2" max="2" width="6" customWidth="1"/>
    <col min="3" max="14" width="10.69921875" customWidth="1"/>
  </cols>
  <sheetData>
    <row r="1" spans="2:11" x14ac:dyDescent="0.25">
      <c r="C1" s="42" t="str">
        <f>'Fare optimisation'!$C$1</f>
        <v>Fare Optimisation Model for the 2025 Opal Review - Independent Pricing and Regulatory Tribunal of NSW</v>
      </c>
    </row>
    <row r="4" spans="2:11" ht="23" x14ac:dyDescent="0.5">
      <c r="C4" s="184" t="s">
        <v>1332</v>
      </c>
      <c r="D4" s="184"/>
      <c r="E4" s="184"/>
    </row>
    <row r="7" spans="2:11" x14ac:dyDescent="0.25">
      <c r="C7" s="11" t="s">
        <v>225</v>
      </c>
      <c r="D7" s="11"/>
      <c r="E7" s="11"/>
      <c r="F7" s="11"/>
      <c r="G7" s="11"/>
      <c r="H7" s="11"/>
      <c r="I7" s="11"/>
      <c r="J7" s="11"/>
      <c r="K7" s="185" t="s">
        <v>226</v>
      </c>
    </row>
    <row r="8" spans="2:11" x14ac:dyDescent="0.25">
      <c r="B8" s="186">
        <v>1</v>
      </c>
      <c r="C8" s="187" t="str">
        <f>"Table "&amp;B8&amp;" - Marginal cost sensitivity parameters/options"</f>
        <v>Table 1 - Marginal cost sensitivity parameters/options</v>
      </c>
      <c r="D8" s="187"/>
      <c r="E8" s="187"/>
      <c r="F8" s="187"/>
      <c r="G8" s="187"/>
      <c r="H8" s="187"/>
      <c r="I8" s="187"/>
      <c r="J8" s="187"/>
      <c r="K8" s="187">
        <f>ROW(C14)</f>
        <v>14</v>
      </c>
    </row>
    <row r="9" spans="2:11" x14ac:dyDescent="0.25">
      <c r="B9" s="211">
        <f>B8+1</f>
        <v>2</v>
      </c>
      <c r="C9" s="11" t="str">
        <f>"Table "&amp;B9&amp;" - Marginal external cost sensitivity parameters"</f>
        <v>Table 2 - Marginal external cost sensitivity parameters</v>
      </c>
      <c r="D9" s="11"/>
      <c r="E9" s="11"/>
      <c r="F9" s="11"/>
      <c r="G9" s="11"/>
      <c r="H9" s="11"/>
      <c r="I9" s="11"/>
      <c r="J9" s="11"/>
      <c r="K9" s="11">
        <f>ROW(C78)</f>
        <v>78</v>
      </c>
    </row>
    <row r="10" spans="2:11" x14ac:dyDescent="0.25">
      <c r="B10" s="211">
        <f>B9+1</f>
        <v>3</v>
      </c>
      <c r="C10" s="209" t="str">
        <f>"Table "&amp;B10&amp;" - Comparison tables for alternate scenarios"</f>
        <v>Table 3 - Comparison tables for alternate scenarios</v>
      </c>
      <c r="D10" s="209"/>
      <c r="E10" s="209"/>
      <c r="F10" s="209"/>
      <c r="G10" s="209"/>
      <c r="H10" s="209"/>
      <c r="I10" s="209"/>
      <c r="J10" s="209"/>
      <c r="K10" s="209">
        <f>ROW(C106)</f>
        <v>106</v>
      </c>
    </row>
    <row r="11" spans="2:11" x14ac:dyDescent="0.25">
      <c r="B11" s="211"/>
    </row>
    <row r="12" spans="2:11" x14ac:dyDescent="0.25">
      <c r="B12" s="211"/>
    </row>
    <row r="13" spans="2:11" x14ac:dyDescent="0.25">
      <c r="B13" s="211"/>
    </row>
    <row r="14" spans="2:11" ht="15.5" x14ac:dyDescent="0.35">
      <c r="B14" s="211"/>
      <c r="C14" s="43" t="str">
        <f>C8</f>
        <v>Table 1 - Marginal cost sensitivity parameters/options</v>
      </c>
    </row>
    <row r="15" spans="2:11" x14ac:dyDescent="0.25">
      <c r="C15" s="188"/>
      <c r="D15" s="189"/>
      <c r="E15" s="189"/>
      <c r="F15" s="189"/>
      <c r="G15" s="189"/>
      <c r="H15" s="189"/>
      <c r="I15" s="189"/>
      <c r="J15" s="190"/>
    </row>
    <row r="16" spans="2:11" x14ac:dyDescent="0.25">
      <c r="C16" s="191"/>
      <c r="H16" s="202" t="s">
        <v>1144</v>
      </c>
      <c r="I16" s="202" t="s">
        <v>1145</v>
      </c>
      <c r="J16" s="195"/>
    </row>
    <row r="17" spans="3:14" x14ac:dyDescent="0.25">
      <c r="C17" s="220" t="s">
        <v>181</v>
      </c>
      <c r="H17" s="122">
        <v>0.65</v>
      </c>
      <c r="I17" s="122">
        <v>0.65</v>
      </c>
      <c r="J17" s="385"/>
      <c r="K17" s="332" t="s">
        <v>1164</v>
      </c>
    </row>
    <row r="18" spans="3:14" x14ac:dyDescent="0.25">
      <c r="C18" s="220"/>
      <c r="J18" s="385"/>
      <c r="K18" s="332"/>
    </row>
    <row r="19" spans="3:14" x14ac:dyDescent="0.25">
      <c r="C19" s="220" t="s">
        <v>525</v>
      </c>
      <c r="I19" s="285">
        <v>0.5</v>
      </c>
      <c r="J19" s="385"/>
      <c r="K19" s="332" t="s">
        <v>1157</v>
      </c>
    </row>
    <row r="20" spans="3:14" x14ac:dyDescent="0.25">
      <c r="C20" s="191"/>
      <c r="J20" s="195"/>
    </row>
    <row r="21" spans="3:14" x14ac:dyDescent="0.25">
      <c r="C21" s="220" t="s">
        <v>526</v>
      </c>
      <c r="I21" s="285">
        <v>1</v>
      </c>
      <c r="J21" s="385"/>
      <c r="K21" s="332" t="s">
        <v>1411</v>
      </c>
    </row>
    <row r="22" spans="3:14" x14ac:dyDescent="0.25">
      <c r="C22" s="220"/>
      <c r="J22" s="385"/>
      <c r="K22" s="332"/>
    </row>
    <row r="23" spans="3:14" x14ac:dyDescent="0.25">
      <c r="C23" s="220" t="s">
        <v>1177</v>
      </c>
      <c r="I23" s="303" t="s">
        <v>1180</v>
      </c>
      <c r="J23" s="385"/>
      <c r="K23" s="393" t="s">
        <v>1138</v>
      </c>
      <c r="L23" s="336">
        <f>MATCH($I$23,$K$24:$K$25,0)</f>
        <v>1</v>
      </c>
      <c r="M23" s="393" t="s">
        <v>1138</v>
      </c>
      <c r="N23" s="336">
        <f>MATCH($I$25,$M$24:$M$25,0)</f>
        <v>2</v>
      </c>
    </row>
    <row r="24" spans="3:14" x14ac:dyDescent="0.25">
      <c r="C24" s="220"/>
      <c r="J24" s="385"/>
      <c r="K24" s="204" t="s">
        <v>1180</v>
      </c>
      <c r="L24" s="195"/>
      <c r="M24" s="204" t="s">
        <v>1172</v>
      </c>
      <c r="N24" s="195"/>
    </row>
    <row r="25" spans="3:14" x14ac:dyDescent="0.25">
      <c r="C25" s="220" t="s">
        <v>1171</v>
      </c>
      <c r="I25" s="303" t="s">
        <v>1173</v>
      </c>
      <c r="J25" s="385"/>
      <c r="K25" s="392" t="s">
        <v>1168</v>
      </c>
      <c r="L25" s="198"/>
      <c r="M25" s="392" t="s">
        <v>1173</v>
      </c>
      <c r="N25" s="198"/>
    </row>
    <row r="26" spans="3:14" x14ac:dyDescent="0.25">
      <c r="C26" s="220"/>
      <c r="J26" s="385"/>
    </row>
    <row r="27" spans="3:14" x14ac:dyDescent="0.25">
      <c r="C27" s="220" t="s">
        <v>1170</v>
      </c>
      <c r="J27" s="385"/>
    </row>
    <row r="28" spans="3:14" x14ac:dyDescent="0.25">
      <c r="C28" s="220"/>
      <c r="J28" s="385"/>
    </row>
    <row r="29" spans="3:14" ht="23" x14ac:dyDescent="0.25">
      <c r="C29" s="220" t="s">
        <v>1243</v>
      </c>
      <c r="G29" s="202" t="s">
        <v>702</v>
      </c>
      <c r="H29" s="202" t="s">
        <v>1244</v>
      </c>
      <c r="I29" s="202" t="s">
        <v>703</v>
      </c>
      <c r="J29" s="219" t="s">
        <v>701</v>
      </c>
      <c r="K29" s="482" t="s">
        <v>1242</v>
      </c>
    </row>
    <row r="30" spans="3:14" x14ac:dyDescent="0.25">
      <c r="C30" s="191" t="s">
        <v>534</v>
      </c>
      <c r="G30" s="486"/>
      <c r="H30" s="487"/>
      <c r="I30" s="487"/>
      <c r="J30" s="488">
        <v>1</v>
      </c>
      <c r="K30" s="483">
        <f>SUM(G30:J30)-1</f>
        <v>0</v>
      </c>
    </row>
    <row r="31" spans="3:14" x14ac:dyDescent="0.25">
      <c r="C31" s="191" t="s">
        <v>617</v>
      </c>
      <c r="G31" s="489"/>
      <c r="H31" s="490"/>
      <c r="I31" s="490"/>
      <c r="J31" s="491">
        <v>1</v>
      </c>
      <c r="K31" s="483">
        <f t="shared" ref="K31:K41" si="0">SUM(G31:J31)-1</f>
        <v>0</v>
      </c>
    </row>
    <row r="32" spans="3:14" x14ac:dyDescent="0.25">
      <c r="C32" s="191" t="s">
        <v>536</v>
      </c>
      <c r="G32" s="489"/>
      <c r="H32" s="490"/>
      <c r="I32" s="490"/>
      <c r="J32" s="491">
        <v>1</v>
      </c>
      <c r="K32" s="483">
        <f t="shared" si="0"/>
        <v>0</v>
      </c>
    </row>
    <row r="33" spans="3:11" x14ac:dyDescent="0.25">
      <c r="C33" s="191" t="s">
        <v>538</v>
      </c>
      <c r="G33" s="489"/>
      <c r="H33" s="490"/>
      <c r="I33" s="490"/>
      <c r="J33" s="491">
        <v>1</v>
      </c>
      <c r="K33" s="483">
        <f t="shared" si="0"/>
        <v>0</v>
      </c>
    </row>
    <row r="34" spans="3:11" x14ac:dyDescent="0.25">
      <c r="C34" s="191" t="s">
        <v>546</v>
      </c>
      <c r="G34" s="489"/>
      <c r="H34" s="490"/>
      <c r="I34" s="490"/>
      <c r="J34" s="491">
        <v>1</v>
      </c>
      <c r="K34" s="483">
        <f t="shared" si="0"/>
        <v>0</v>
      </c>
    </row>
    <row r="35" spans="3:11" x14ac:dyDescent="0.25">
      <c r="C35" s="191" t="s">
        <v>530</v>
      </c>
      <c r="G35" s="489">
        <v>1</v>
      </c>
      <c r="H35" s="490"/>
      <c r="I35" s="490"/>
      <c r="J35" s="491"/>
      <c r="K35" s="483">
        <f t="shared" si="0"/>
        <v>0</v>
      </c>
    </row>
    <row r="36" spans="3:11" x14ac:dyDescent="0.25">
      <c r="C36" s="191" t="s">
        <v>540</v>
      </c>
      <c r="G36" s="489"/>
      <c r="H36" s="490"/>
      <c r="I36" s="490">
        <v>1</v>
      </c>
      <c r="J36" s="491"/>
      <c r="K36" s="483">
        <f t="shared" si="0"/>
        <v>0</v>
      </c>
    </row>
    <row r="37" spans="3:11" x14ac:dyDescent="0.25">
      <c r="C37" s="191" t="s">
        <v>542</v>
      </c>
      <c r="G37" s="489">
        <v>1</v>
      </c>
      <c r="H37" s="490"/>
      <c r="I37" s="490"/>
      <c r="J37" s="491"/>
      <c r="K37" s="483">
        <f t="shared" si="0"/>
        <v>0</v>
      </c>
    </row>
    <row r="38" spans="3:11" x14ac:dyDescent="0.25">
      <c r="C38" s="191" t="s">
        <v>558</v>
      </c>
      <c r="G38" s="489">
        <v>1</v>
      </c>
      <c r="H38" s="490"/>
      <c r="I38" s="490"/>
      <c r="J38" s="491"/>
      <c r="K38" s="483">
        <f t="shared" si="0"/>
        <v>0</v>
      </c>
    </row>
    <row r="39" spans="3:11" x14ac:dyDescent="0.25">
      <c r="C39" s="191" t="s">
        <v>532</v>
      </c>
      <c r="G39" s="489">
        <v>1</v>
      </c>
      <c r="H39" s="490"/>
      <c r="I39" s="490"/>
      <c r="J39" s="491"/>
      <c r="K39" s="483">
        <f t="shared" si="0"/>
        <v>0</v>
      </c>
    </row>
    <row r="40" spans="3:11" x14ac:dyDescent="0.25">
      <c r="C40" s="191" t="s">
        <v>619</v>
      </c>
      <c r="G40" s="489">
        <v>1</v>
      </c>
      <c r="H40" s="490"/>
      <c r="I40" s="490"/>
      <c r="J40" s="491"/>
      <c r="K40" s="483">
        <f t="shared" si="0"/>
        <v>0</v>
      </c>
    </row>
    <row r="41" spans="3:11" x14ac:dyDescent="0.25">
      <c r="C41" s="191" t="s">
        <v>1512</v>
      </c>
      <c r="G41" s="492">
        <v>1</v>
      </c>
      <c r="H41" s="493"/>
      <c r="I41" s="493"/>
      <c r="J41" s="494"/>
      <c r="K41" s="483">
        <f t="shared" si="0"/>
        <v>0</v>
      </c>
    </row>
    <row r="42" spans="3:11" x14ac:dyDescent="0.25">
      <c r="C42" s="191" t="s">
        <v>544</v>
      </c>
      <c r="G42" s="492">
        <v>1</v>
      </c>
      <c r="H42" s="493"/>
      <c r="I42" s="493"/>
      <c r="J42" s="494"/>
      <c r="K42" s="332"/>
    </row>
    <row r="43" spans="3:11" x14ac:dyDescent="0.25">
      <c r="C43" s="191"/>
      <c r="G43" s="495"/>
      <c r="H43" s="496"/>
      <c r="I43" s="496"/>
      <c r="J43" s="497"/>
      <c r="K43" s="332"/>
    </row>
    <row r="44" spans="3:11" x14ac:dyDescent="0.25">
      <c r="C44" s="191"/>
      <c r="G44" s="495"/>
      <c r="H44" s="496"/>
      <c r="I44" s="496"/>
      <c r="J44" s="497"/>
      <c r="K44" s="332"/>
    </row>
    <row r="45" spans="3:11" ht="23" x14ac:dyDescent="0.25">
      <c r="C45" s="220" t="s">
        <v>1245</v>
      </c>
      <c r="G45" s="202" t="s">
        <v>702</v>
      </c>
      <c r="H45" s="202" t="s">
        <v>1244</v>
      </c>
      <c r="I45" s="202" t="s">
        <v>703</v>
      </c>
      <c r="J45" s="219" t="s">
        <v>701</v>
      </c>
      <c r="K45" s="482" t="s">
        <v>1397</v>
      </c>
    </row>
    <row r="46" spans="3:11" x14ac:dyDescent="0.25">
      <c r="C46" s="191" t="s">
        <v>534</v>
      </c>
      <c r="G46" s="517"/>
      <c r="H46" s="518"/>
      <c r="I46" s="518"/>
      <c r="J46" s="519">
        <v>1</v>
      </c>
      <c r="K46" s="482" t="str">
        <f>IF(SUM(G46:J46)&lt;=1,"OK","Check inputs")</f>
        <v>OK</v>
      </c>
    </row>
    <row r="47" spans="3:11" x14ac:dyDescent="0.25">
      <c r="C47" s="191" t="s">
        <v>617</v>
      </c>
      <c r="G47" s="520"/>
      <c r="H47" s="521"/>
      <c r="I47" s="521"/>
      <c r="J47" s="522">
        <v>1</v>
      </c>
      <c r="K47" s="482" t="str">
        <f t="shared" ref="K47:K58" si="1">IF(SUM(G47:J47)&lt;=1,"OK","Check inputs")</f>
        <v>OK</v>
      </c>
    </row>
    <row r="48" spans="3:11" x14ac:dyDescent="0.25">
      <c r="C48" s="191" t="s">
        <v>536</v>
      </c>
      <c r="G48" s="520"/>
      <c r="H48" s="521"/>
      <c r="I48" s="521"/>
      <c r="J48" s="522">
        <v>1</v>
      </c>
      <c r="K48" s="482" t="str">
        <f t="shared" si="1"/>
        <v>OK</v>
      </c>
    </row>
    <row r="49" spans="3:11" x14ac:dyDescent="0.25">
      <c r="C49" s="191" t="s">
        <v>538</v>
      </c>
      <c r="G49" s="520"/>
      <c r="H49" s="521"/>
      <c r="I49" s="521"/>
      <c r="J49" s="522">
        <v>1</v>
      </c>
      <c r="K49" s="482" t="str">
        <f t="shared" si="1"/>
        <v>OK</v>
      </c>
    </row>
    <row r="50" spans="3:11" x14ac:dyDescent="0.25">
      <c r="C50" s="191" t="s">
        <v>546</v>
      </c>
      <c r="G50" s="520"/>
      <c r="H50" s="521"/>
      <c r="I50" s="521"/>
      <c r="J50" s="522">
        <v>1</v>
      </c>
      <c r="K50" s="482" t="str">
        <f t="shared" si="1"/>
        <v>OK</v>
      </c>
    </row>
    <row r="51" spans="3:11" x14ac:dyDescent="0.25">
      <c r="C51" s="191" t="s">
        <v>530</v>
      </c>
      <c r="G51" s="520">
        <v>1</v>
      </c>
      <c r="H51" s="521"/>
      <c r="I51" s="521"/>
      <c r="J51" s="522"/>
      <c r="K51" s="482" t="str">
        <f t="shared" si="1"/>
        <v>OK</v>
      </c>
    </row>
    <row r="52" spans="3:11" x14ac:dyDescent="0.25">
      <c r="C52" s="191" t="s">
        <v>540</v>
      </c>
      <c r="G52" s="520"/>
      <c r="H52" s="521"/>
      <c r="I52" s="521">
        <v>1</v>
      </c>
      <c r="J52" s="522"/>
      <c r="K52" s="482" t="str">
        <f t="shared" si="1"/>
        <v>OK</v>
      </c>
    </row>
    <row r="53" spans="3:11" x14ac:dyDescent="0.25">
      <c r="C53" s="191" t="s">
        <v>542</v>
      </c>
      <c r="G53" s="520">
        <v>1</v>
      </c>
      <c r="H53" s="521"/>
      <c r="I53" s="521"/>
      <c r="J53" s="522"/>
      <c r="K53" s="482" t="str">
        <f t="shared" si="1"/>
        <v>OK</v>
      </c>
    </row>
    <row r="54" spans="3:11" x14ac:dyDescent="0.25">
      <c r="C54" s="191" t="s">
        <v>558</v>
      </c>
      <c r="G54" s="520">
        <v>1</v>
      </c>
      <c r="H54" s="521"/>
      <c r="I54" s="521"/>
      <c r="J54" s="522"/>
      <c r="K54" s="482" t="str">
        <f t="shared" si="1"/>
        <v>OK</v>
      </c>
    </row>
    <row r="55" spans="3:11" x14ac:dyDescent="0.25">
      <c r="C55" s="191" t="s">
        <v>532</v>
      </c>
      <c r="G55" s="520">
        <v>0.5</v>
      </c>
      <c r="H55" s="521"/>
      <c r="I55" s="521"/>
      <c r="J55" s="522"/>
      <c r="K55" s="482" t="str">
        <f t="shared" si="1"/>
        <v>OK</v>
      </c>
    </row>
    <row r="56" spans="3:11" x14ac:dyDescent="0.25">
      <c r="C56" s="191" t="s">
        <v>619</v>
      </c>
      <c r="G56" s="520">
        <v>1</v>
      </c>
      <c r="H56" s="521"/>
      <c r="I56" s="521"/>
      <c r="J56" s="522"/>
      <c r="K56" s="482" t="str">
        <f t="shared" si="1"/>
        <v>OK</v>
      </c>
    </row>
    <row r="57" spans="3:11" x14ac:dyDescent="0.25">
      <c r="C57" s="191" t="s">
        <v>1512</v>
      </c>
      <c r="G57" s="523">
        <v>0.5</v>
      </c>
      <c r="H57" s="524"/>
      <c r="I57" s="524"/>
      <c r="J57" s="525"/>
      <c r="K57" s="482" t="str">
        <f t="shared" si="1"/>
        <v>OK</v>
      </c>
    </row>
    <row r="58" spans="3:11" x14ac:dyDescent="0.25">
      <c r="C58" s="191" t="s">
        <v>544</v>
      </c>
      <c r="G58" s="523">
        <v>0</v>
      </c>
      <c r="H58" s="524"/>
      <c r="I58" s="524"/>
      <c r="J58" s="525"/>
      <c r="K58" s="482" t="str">
        <f t="shared" si="1"/>
        <v>OK</v>
      </c>
    </row>
    <row r="59" spans="3:11" x14ac:dyDescent="0.25">
      <c r="C59" s="191"/>
      <c r="G59" s="498"/>
      <c r="H59" s="498"/>
      <c r="I59" s="498"/>
      <c r="J59" s="499"/>
      <c r="K59" s="332"/>
    </row>
    <row r="60" spans="3:11" x14ac:dyDescent="0.25">
      <c r="C60" s="191"/>
      <c r="G60" s="498"/>
      <c r="H60" s="498"/>
      <c r="I60" s="498"/>
      <c r="J60" s="499"/>
      <c r="K60" s="332"/>
    </row>
    <row r="61" spans="3:11" ht="23" x14ac:dyDescent="0.25">
      <c r="C61" s="220" t="s">
        <v>1246</v>
      </c>
      <c r="G61" s="202" t="s">
        <v>702</v>
      </c>
      <c r="H61" s="202" t="s">
        <v>1244</v>
      </c>
      <c r="I61" s="202" t="s">
        <v>703</v>
      </c>
      <c r="J61" s="219" t="s">
        <v>701</v>
      </c>
      <c r="K61" s="482" t="s">
        <v>1397</v>
      </c>
    </row>
    <row r="62" spans="3:11" x14ac:dyDescent="0.25">
      <c r="C62" s="191" t="s">
        <v>534</v>
      </c>
      <c r="G62" s="517"/>
      <c r="H62" s="518"/>
      <c r="I62" s="518"/>
      <c r="J62" s="526">
        <v>1</v>
      </c>
      <c r="K62" s="482" t="str">
        <f>IF(SUM(G62:J62)&lt;=1,"OK","Check inputs")</f>
        <v>OK</v>
      </c>
    </row>
    <row r="63" spans="3:11" x14ac:dyDescent="0.25">
      <c r="C63" s="191" t="s">
        <v>617</v>
      </c>
      <c r="G63" s="520"/>
      <c r="H63" s="521"/>
      <c r="I63" s="521"/>
      <c r="J63" s="527">
        <v>1</v>
      </c>
      <c r="K63" s="482" t="str">
        <f t="shared" ref="K63:K74" si="2">IF(SUM(G63:J63)&lt;=1,"OK","Check inputs")</f>
        <v>OK</v>
      </c>
    </row>
    <row r="64" spans="3:11" x14ac:dyDescent="0.25">
      <c r="C64" s="191" t="s">
        <v>536</v>
      </c>
      <c r="G64" s="520"/>
      <c r="H64" s="521"/>
      <c r="I64" s="521"/>
      <c r="J64" s="527">
        <v>1</v>
      </c>
      <c r="K64" s="482" t="str">
        <f t="shared" si="2"/>
        <v>OK</v>
      </c>
    </row>
    <row r="65" spans="3:11" x14ac:dyDescent="0.25">
      <c r="C65" s="191" t="s">
        <v>538</v>
      </c>
      <c r="G65" s="520"/>
      <c r="H65" s="521"/>
      <c r="I65" s="521"/>
      <c r="J65" s="527">
        <v>1</v>
      </c>
      <c r="K65" s="482" t="str">
        <f t="shared" si="2"/>
        <v>OK</v>
      </c>
    </row>
    <row r="66" spans="3:11" x14ac:dyDescent="0.25">
      <c r="C66" s="191" t="s">
        <v>546</v>
      </c>
      <c r="G66" s="520"/>
      <c r="H66" s="521"/>
      <c r="I66" s="521"/>
      <c r="J66" s="527">
        <v>1</v>
      </c>
      <c r="K66" s="482" t="str">
        <f t="shared" si="2"/>
        <v>OK</v>
      </c>
    </row>
    <row r="67" spans="3:11" x14ac:dyDescent="0.25">
      <c r="C67" s="191" t="s">
        <v>530</v>
      </c>
      <c r="G67" s="520">
        <v>1</v>
      </c>
      <c r="H67" s="521"/>
      <c r="I67" s="521"/>
      <c r="J67" s="527"/>
      <c r="K67" s="482" t="str">
        <f t="shared" si="2"/>
        <v>OK</v>
      </c>
    </row>
    <row r="68" spans="3:11" x14ac:dyDescent="0.25">
      <c r="C68" s="191" t="s">
        <v>540</v>
      </c>
      <c r="G68" s="520"/>
      <c r="H68" s="521"/>
      <c r="I68" s="521">
        <v>1</v>
      </c>
      <c r="J68" s="527"/>
      <c r="K68" s="482" t="str">
        <f t="shared" si="2"/>
        <v>OK</v>
      </c>
    </row>
    <row r="69" spans="3:11" x14ac:dyDescent="0.25">
      <c r="C69" s="191" t="s">
        <v>542</v>
      </c>
      <c r="G69" s="520">
        <v>1</v>
      </c>
      <c r="H69" s="521"/>
      <c r="I69" s="521"/>
      <c r="J69" s="527"/>
      <c r="K69" s="482" t="str">
        <f t="shared" si="2"/>
        <v>OK</v>
      </c>
    </row>
    <row r="70" spans="3:11" x14ac:dyDescent="0.25">
      <c r="C70" s="191" t="s">
        <v>558</v>
      </c>
      <c r="G70" s="520">
        <v>1</v>
      </c>
      <c r="H70" s="521"/>
      <c r="I70" s="521"/>
      <c r="J70" s="527"/>
      <c r="K70" s="482" t="str">
        <f t="shared" si="2"/>
        <v>OK</v>
      </c>
    </row>
    <row r="71" spans="3:11" x14ac:dyDescent="0.25">
      <c r="C71" s="191" t="s">
        <v>532</v>
      </c>
      <c r="G71" s="520">
        <v>0.5</v>
      </c>
      <c r="H71" s="521"/>
      <c r="I71" s="521"/>
      <c r="J71" s="527"/>
      <c r="K71" s="482" t="str">
        <f t="shared" si="2"/>
        <v>OK</v>
      </c>
    </row>
    <row r="72" spans="3:11" x14ac:dyDescent="0.25">
      <c r="C72" s="191" t="s">
        <v>619</v>
      </c>
      <c r="G72" s="520">
        <v>1</v>
      </c>
      <c r="H72" s="521"/>
      <c r="I72" s="521" t="s">
        <v>1247</v>
      </c>
      <c r="J72" s="527"/>
      <c r="K72" s="482" t="str">
        <f t="shared" si="2"/>
        <v>OK</v>
      </c>
    </row>
    <row r="73" spans="3:11" x14ac:dyDescent="0.25">
      <c r="C73" s="191" t="s">
        <v>1512</v>
      </c>
      <c r="G73" s="523">
        <v>1</v>
      </c>
      <c r="H73" s="524"/>
      <c r="I73" s="524"/>
      <c r="J73" s="528"/>
      <c r="K73" s="482"/>
    </row>
    <row r="74" spans="3:11" x14ac:dyDescent="0.25">
      <c r="C74" s="191" t="s">
        <v>544</v>
      </c>
      <c r="G74" s="523">
        <v>0</v>
      </c>
      <c r="H74" s="524"/>
      <c r="I74" s="524"/>
      <c r="J74" s="528"/>
      <c r="K74" s="482" t="str">
        <f t="shared" si="2"/>
        <v>OK</v>
      </c>
    </row>
    <row r="75" spans="3:11" x14ac:dyDescent="0.25">
      <c r="C75" s="196"/>
      <c r="D75" s="197"/>
      <c r="E75" s="197"/>
      <c r="F75" s="197"/>
      <c r="G75" s="197"/>
      <c r="H75" s="197"/>
      <c r="I75" s="197"/>
      <c r="J75" s="198"/>
    </row>
    <row r="78" spans="3:11" ht="15.5" x14ac:dyDescent="0.35">
      <c r="C78" s="43" t="str">
        <f>C9</f>
        <v>Table 2 - Marginal external cost sensitivity parameters</v>
      </c>
    </row>
    <row r="79" spans="3:11" x14ac:dyDescent="0.25">
      <c r="C79" s="188"/>
      <c r="D79" s="189"/>
      <c r="E79" s="189"/>
      <c r="F79" s="189"/>
      <c r="G79" s="189"/>
      <c r="H79" s="189"/>
      <c r="I79" s="189"/>
      <c r="J79" s="190"/>
    </row>
    <row r="80" spans="3:11" x14ac:dyDescent="0.25">
      <c r="C80" s="191"/>
      <c r="H80" s="202" t="s">
        <v>1144</v>
      </c>
      <c r="I80" s="202" t="s">
        <v>1145</v>
      </c>
      <c r="J80" s="195"/>
    </row>
    <row r="81" spans="3:13" x14ac:dyDescent="0.25">
      <c r="C81" s="220" t="s">
        <v>182</v>
      </c>
      <c r="H81" s="122">
        <v>1</v>
      </c>
      <c r="I81" s="122">
        <v>1</v>
      </c>
      <c r="J81" s="385"/>
      <c r="K81" s="332" t="s">
        <v>1140</v>
      </c>
    </row>
    <row r="82" spans="3:13" x14ac:dyDescent="0.25">
      <c r="C82" s="191"/>
      <c r="J82" s="195"/>
    </row>
    <row r="83" spans="3:13" x14ac:dyDescent="0.25">
      <c r="C83" s="191" t="s">
        <v>1163</v>
      </c>
      <c r="I83" s="285">
        <v>4.2999999999999997E-2</v>
      </c>
      <c r="J83" s="385"/>
      <c r="K83" s="332" t="s">
        <v>1162</v>
      </c>
      <c r="M83" s="162"/>
    </row>
    <row r="84" spans="3:13" x14ac:dyDescent="0.25">
      <c r="C84" s="191"/>
      <c r="J84" s="195"/>
    </row>
    <row r="85" spans="3:13" x14ac:dyDescent="0.25">
      <c r="C85" s="529" t="s">
        <v>1167</v>
      </c>
      <c r="I85" s="122">
        <v>2.61</v>
      </c>
      <c r="J85" s="385"/>
      <c r="K85" s="332" t="s">
        <v>1234</v>
      </c>
      <c r="M85" s="162" t="s">
        <v>1448</v>
      </c>
    </row>
    <row r="86" spans="3:13" x14ac:dyDescent="0.25">
      <c r="C86" s="529"/>
      <c r="J86" s="195"/>
    </row>
    <row r="87" spans="3:13" x14ac:dyDescent="0.25">
      <c r="C87" s="529" t="s">
        <v>281</v>
      </c>
      <c r="I87" s="122">
        <v>1.44</v>
      </c>
      <c r="J87" s="385"/>
      <c r="M87" s="162"/>
    </row>
    <row r="88" spans="3:13" x14ac:dyDescent="0.25">
      <c r="C88" s="529"/>
      <c r="J88" s="195"/>
    </row>
    <row r="89" spans="3:13" x14ac:dyDescent="0.25">
      <c r="C89" s="529" t="s">
        <v>1143</v>
      </c>
      <c r="I89" s="122">
        <v>1.2</v>
      </c>
      <c r="J89" s="385"/>
      <c r="K89" s="332" t="s">
        <v>1141</v>
      </c>
      <c r="M89" s="162"/>
    </row>
    <row r="90" spans="3:13" x14ac:dyDescent="0.25">
      <c r="C90" s="529"/>
      <c r="J90" s="385"/>
      <c r="K90" s="332"/>
    </row>
    <row r="91" spans="3:13" x14ac:dyDescent="0.25">
      <c r="C91" s="529" t="s">
        <v>1165</v>
      </c>
      <c r="I91" s="283">
        <v>20</v>
      </c>
      <c r="J91" s="385"/>
      <c r="K91" s="332" t="s">
        <v>1166</v>
      </c>
      <c r="M91" s="162"/>
    </row>
    <row r="92" spans="3:13" x14ac:dyDescent="0.25">
      <c r="C92" s="191"/>
      <c r="J92" s="195"/>
    </row>
    <row r="93" spans="3:13" x14ac:dyDescent="0.25">
      <c r="C93" s="337"/>
      <c r="D93" s="338"/>
      <c r="E93" s="338"/>
      <c r="F93" s="338"/>
      <c r="G93" s="338"/>
      <c r="H93" s="338"/>
      <c r="I93" s="338"/>
      <c r="J93" s="339"/>
    </row>
    <row r="94" spans="3:13" x14ac:dyDescent="0.25">
      <c r="C94" s="340"/>
      <c r="D94" s="341"/>
      <c r="E94" s="341"/>
      <c r="F94" s="341"/>
      <c r="G94" s="341"/>
      <c r="H94" s="341"/>
      <c r="I94" s="341"/>
      <c r="J94" s="342"/>
    </row>
    <row r="95" spans="3:13" x14ac:dyDescent="0.25">
      <c r="C95" s="191" t="s">
        <v>1285</v>
      </c>
      <c r="I95" s="343" t="s">
        <v>1121</v>
      </c>
      <c r="J95" s="385"/>
      <c r="K95" s="332" t="s">
        <v>1138</v>
      </c>
    </row>
    <row r="96" spans="3:13" x14ac:dyDescent="0.25">
      <c r="C96" s="191"/>
      <c r="J96" s="195"/>
      <c r="K96" s="334" t="s">
        <v>1121</v>
      </c>
    </row>
    <row r="97" spans="2:16" x14ac:dyDescent="0.25">
      <c r="C97" s="191" t="s">
        <v>1139</v>
      </c>
      <c r="F97" t="str">
        <f>K96</f>
        <v>Pre covid</v>
      </c>
      <c r="I97" s="390">
        <f>'MEC - traffic congestion'!$H$23</f>
        <v>1.9453093355060793</v>
      </c>
      <c r="J97" s="195"/>
      <c r="K97" s="335" t="s">
        <v>1122</v>
      </c>
    </row>
    <row r="98" spans="2:16" x14ac:dyDescent="0.25">
      <c r="C98" s="191"/>
      <c r="F98" t="str">
        <f>K97</f>
        <v>Post covid</v>
      </c>
      <c r="I98" s="391">
        <f>'MEC - traffic congestion'!$H$30</f>
        <v>1.6903748036288193</v>
      </c>
      <c r="J98" s="195"/>
      <c r="K98" s="336">
        <f>MATCH(I95,$K$96:$K$97,0)</f>
        <v>1</v>
      </c>
    </row>
    <row r="99" spans="2:16" x14ac:dyDescent="0.25">
      <c r="C99" s="191"/>
      <c r="J99" s="195"/>
    </row>
    <row r="100" spans="2:16" x14ac:dyDescent="0.25">
      <c r="C100" s="191" t="s">
        <v>1286</v>
      </c>
      <c r="F100" t="str">
        <f>K96</f>
        <v>Pre covid</v>
      </c>
      <c r="I100" s="391">
        <f>'MEC - traffic congestion'!$H$24</f>
        <v>0.25638831343622914</v>
      </c>
      <c r="J100" s="195"/>
    </row>
    <row r="101" spans="2:16" x14ac:dyDescent="0.25">
      <c r="C101" s="191"/>
      <c r="F101" t="str">
        <f>K97</f>
        <v>Post covid</v>
      </c>
      <c r="I101" s="391">
        <f>'MEC - traffic congestion'!$H$31</f>
        <v>0.18520065429508178</v>
      </c>
      <c r="J101" s="195"/>
    </row>
    <row r="102" spans="2:16" x14ac:dyDescent="0.25">
      <c r="C102" s="196"/>
      <c r="D102" s="197"/>
      <c r="E102" s="197"/>
      <c r="F102" s="197"/>
      <c r="G102" s="197"/>
      <c r="H102" s="197"/>
      <c r="I102" s="197"/>
      <c r="J102" s="198"/>
    </row>
    <row r="106" spans="2:16" ht="15.5" x14ac:dyDescent="0.35">
      <c r="C106" s="271" t="str">
        <f>C10</f>
        <v>Table 3 - Comparison tables for alternate scenarios</v>
      </c>
      <c r="D106" s="197"/>
      <c r="E106" s="197"/>
      <c r="F106" s="197"/>
      <c r="G106" s="197"/>
      <c r="H106" s="197"/>
      <c r="I106" s="197"/>
      <c r="J106" s="197"/>
      <c r="K106" s="197"/>
      <c r="L106" s="197"/>
      <c r="M106" s="197"/>
      <c r="N106" s="197"/>
      <c r="O106" s="197"/>
    </row>
    <row r="107" spans="2:16" x14ac:dyDescent="0.25">
      <c r="C107" s="189"/>
      <c r="D107" s="189"/>
      <c r="E107" s="189"/>
      <c r="F107" s="189"/>
      <c r="G107" s="189"/>
      <c r="H107" s="189"/>
      <c r="I107" s="189"/>
      <c r="J107" s="189"/>
      <c r="K107" s="189"/>
      <c r="L107" s="189"/>
      <c r="M107" s="189"/>
      <c r="N107" s="189"/>
      <c r="O107" s="189"/>
    </row>
    <row r="108" spans="2:16" ht="15.5" x14ac:dyDescent="0.35">
      <c r="C108" s="43" t="s">
        <v>1174</v>
      </c>
      <c r="J108" s="631" t="str">
        <f>"HARDCODED TO ENABLE COMPARISON (copy-paste-value range H"&amp;ROW(B111)&amp;":H"&amp;ROW(H144)&amp;" to update)"</f>
        <v>HARDCODED TO ENABLE COMPARISON (copy-paste-value range H111:H144 to update)</v>
      </c>
    </row>
    <row r="109" spans="2:16" x14ac:dyDescent="0.25">
      <c r="C109" s="42" t="s">
        <v>1147</v>
      </c>
      <c r="J109" s="42" t="s">
        <v>1147</v>
      </c>
    </row>
    <row r="110" spans="2:16" x14ac:dyDescent="0.25">
      <c r="C110" s="31" t="s">
        <v>1125</v>
      </c>
      <c r="D110" s="31"/>
      <c r="E110" s="31"/>
      <c r="F110" s="31"/>
      <c r="G110" s="31"/>
      <c r="H110" s="331" t="s">
        <v>1126</v>
      </c>
      <c r="J110" s="31" t="s">
        <v>1125</v>
      </c>
      <c r="K110" s="31"/>
      <c r="L110" s="31"/>
      <c r="M110" s="31"/>
      <c r="N110" s="31"/>
      <c r="O110" s="331" t="s">
        <v>1126</v>
      </c>
    </row>
    <row r="111" spans="2:16" x14ac:dyDescent="0.25">
      <c r="B111" s="619">
        <v>5</v>
      </c>
      <c r="C111" t="s">
        <v>1127</v>
      </c>
      <c r="H111" s="164">
        <f>B111*'Fare optimisation'!$L$25+'Fare optimisation'!$M$25</f>
        <v>3.0781970282655049</v>
      </c>
      <c r="J111" t="s">
        <v>1127</v>
      </c>
      <c r="O111" s="396">
        <v>3.7117476793823498</v>
      </c>
      <c r="P111" s="395"/>
    </row>
    <row r="112" spans="2:16" x14ac:dyDescent="0.25">
      <c r="B112" s="619">
        <v>15</v>
      </c>
      <c r="C112" t="s">
        <v>1130</v>
      </c>
      <c r="H112" s="164">
        <f>B112*'Fare optimisation'!$L$25+'Fare optimisation'!$M$25</f>
        <v>6.1300609853550725</v>
      </c>
      <c r="J112" t="s">
        <v>1130</v>
      </c>
      <c r="O112" s="396">
        <v>6.6944764794565721</v>
      </c>
      <c r="P112" s="395"/>
    </row>
    <row r="113" spans="2:16" x14ac:dyDescent="0.25">
      <c r="B113" s="619">
        <v>27.5</v>
      </c>
      <c r="C113" t="s">
        <v>1128</v>
      </c>
      <c r="H113" s="164">
        <f>B113*'Fare optimisation'!$L$25+'Fare optimisation'!$M$25</f>
        <v>9.9448909317170333</v>
      </c>
      <c r="J113" t="s">
        <v>1128</v>
      </c>
      <c r="O113" s="396">
        <v>10.422887479549349</v>
      </c>
      <c r="P113" s="395"/>
    </row>
    <row r="114" spans="2:16" x14ac:dyDescent="0.25">
      <c r="B114" s="619">
        <v>50</v>
      </c>
      <c r="C114" t="s">
        <v>1129</v>
      </c>
      <c r="H114" s="164">
        <f>B114*'Fare optimisation'!$L$25+'Fare optimisation'!$M$25</f>
        <v>16.811584835168564</v>
      </c>
      <c r="J114" t="s">
        <v>1129</v>
      </c>
      <c r="O114" s="396">
        <v>17.134027279716349</v>
      </c>
      <c r="P114" s="395"/>
    </row>
    <row r="115" spans="2:16" x14ac:dyDescent="0.25">
      <c r="B115" s="619">
        <v>65</v>
      </c>
      <c r="C115" s="197" t="s">
        <v>1131</v>
      </c>
      <c r="D115" s="197"/>
      <c r="E115" s="197"/>
      <c r="F115" s="197"/>
      <c r="G115" s="197"/>
      <c r="H115" s="225">
        <f>B115*'Fare optimisation'!$L$25+'Fare optimisation'!$M$25</f>
        <v>21.389380770802916</v>
      </c>
      <c r="J115" s="197" t="s">
        <v>1131</v>
      </c>
      <c r="K115" s="197"/>
      <c r="L115" s="197"/>
      <c r="M115" s="197"/>
      <c r="N115" s="197"/>
      <c r="O115" s="397">
        <v>21.608120479827679</v>
      </c>
      <c r="P115" s="395"/>
    </row>
    <row r="118" spans="2:16" x14ac:dyDescent="0.25">
      <c r="C118" s="42" t="s">
        <v>1149</v>
      </c>
      <c r="J118" s="42" t="s">
        <v>1149</v>
      </c>
    </row>
    <row r="119" spans="2:16" x14ac:dyDescent="0.25">
      <c r="C119" s="31" t="s">
        <v>1125</v>
      </c>
      <c r="D119" s="31"/>
      <c r="E119" s="31"/>
      <c r="F119" s="31"/>
      <c r="G119" s="31"/>
      <c r="H119" s="331" t="s">
        <v>1126</v>
      </c>
      <c r="J119" s="31" t="s">
        <v>1125</v>
      </c>
      <c r="K119" s="31"/>
      <c r="L119" s="31"/>
      <c r="M119" s="31"/>
      <c r="N119" s="31"/>
      <c r="O119" s="331" t="s">
        <v>1126</v>
      </c>
    </row>
    <row r="120" spans="2:16" x14ac:dyDescent="0.25">
      <c r="B120" s="619">
        <v>1.5</v>
      </c>
      <c r="C120" t="s">
        <v>1134</v>
      </c>
      <c r="H120" s="164">
        <f>B120*'Fare optimisation'!$L$49+'Fare optimisation'!$M$49</f>
        <v>0.70379232277587422</v>
      </c>
      <c r="J120" t="s">
        <v>1134</v>
      </c>
      <c r="O120" s="396">
        <v>0.70329802287555809</v>
      </c>
      <c r="P120" s="348"/>
    </row>
    <row r="121" spans="2:16" x14ac:dyDescent="0.25">
      <c r="B121" s="619">
        <v>5.5</v>
      </c>
      <c r="C121" t="s">
        <v>1135</v>
      </c>
      <c r="H121" s="164">
        <f>B121*'Fare optimisation'!$L$49+'Fare optimisation'!$M$49</f>
        <v>4.9025518593965183</v>
      </c>
      <c r="J121" t="s">
        <v>1135</v>
      </c>
      <c r="O121" s="396">
        <v>4.9069242512895173</v>
      </c>
      <c r="P121" s="348"/>
    </row>
    <row r="122" spans="2:16" x14ac:dyDescent="0.25">
      <c r="B122" s="619">
        <v>14</v>
      </c>
      <c r="C122" t="s">
        <v>1136</v>
      </c>
      <c r="H122" s="164">
        <f>B122*'Fare optimisation'!$L$49+'Fare optimisation'!$M$49</f>
        <v>13.824915874715387</v>
      </c>
      <c r="J122" t="s">
        <v>1136</v>
      </c>
      <c r="O122" s="396">
        <v>13.839629986669179</v>
      </c>
      <c r="P122" s="348"/>
    </row>
    <row r="123" spans="2:16" x14ac:dyDescent="0.25">
      <c r="B123" s="619">
        <v>27.5</v>
      </c>
      <c r="C123" t="s">
        <v>1128</v>
      </c>
      <c r="H123" s="164">
        <f>B123*'Fare optimisation'!$L$49+'Fare optimisation'!$M$49</f>
        <v>27.995729310810059</v>
      </c>
      <c r="J123" t="s">
        <v>1128</v>
      </c>
      <c r="O123" s="396">
        <v>28.026868507566292</v>
      </c>
      <c r="P123" s="348"/>
    </row>
    <row r="124" spans="2:16" ht="14.5" customHeight="1" x14ac:dyDescent="0.25">
      <c r="B124" s="619">
        <v>50</v>
      </c>
      <c r="C124" t="s">
        <v>1129</v>
      </c>
      <c r="H124" s="164">
        <f>B124*'Fare optimisation'!$L$49+'Fare optimisation'!$M$49</f>
        <v>51.61375170430118</v>
      </c>
      <c r="J124" t="s">
        <v>1129</v>
      </c>
      <c r="O124" s="396">
        <v>51.67226604239481</v>
      </c>
      <c r="P124" s="348"/>
    </row>
    <row r="125" spans="2:16" x14ac:dyDescent="0.25">
      <c r="B125" s="619">
        <v>65</v>
      </c>
      <c r="C125" s="197" t="s">
        <v>1131</v>
      </c>
      <c r="D125" s="197"/>
      <c r="E125" s="197"/>
      <c r="F125" s="197"/>
      <c r="G125" s="197"/>
      <c r="H125" s="225">
        <f>B125*'Fare optimisation'!$L$49+'Fare optimisation'!$M$49</f>
        <v>67.359099966628591</v>
      </c>
      <c r="J125" s="197" t="s">
        <v>1131</v>
      </c>
      <c r="K125" s="197"/>
      <c r="L125" s="197"/>
      <c r="M125" s="197"/>
      <c r="N125" s="197"/>
      <c r="O125" s="397">
        <v>67.435864398947146</v>
      </c>
      <c r="P125" s="348"/>
    </row>
    <row r="127" spans="2:16" x14ac:dyDescent="0.25">
      <c r="I127" s="348"/>
    </row>
    <row r="128" spans="2:16" x14ac:dyDescent="0.25">
      <c r="C128" s="42" t="s">
        <v>1151</v>
      </c>
      <c r="H128" s="163"/>
      <c r="I128" s="348"/>
      <c r="J128" s="42" t="s">
        <v>1151</v>
      </c>
      <c r="O128" s="163"/>
    </row>
    <row r="129" spans="2:15" x14ac:dyDescent="0.25">
      <c r="C129" s="31" t="s">
        <v>1125</v>
      </c>
      <c r="D129" s="31"/>
      <c r="E129" s="31"/>
      <c r="F129" s="31"/>
      <c r="G129" s="31"/>
      <c r="H129" s="331" t="s">
        <v>1126</v>
      </c>
      <c r="I129" s="348"/>
      <c r="J129" s="31" t="s">
        <v>1125</v>
      </c>
      <c r="K129" s="31"/>
      <c r="L129" s="31"/>
      <c r="M129" s="31"/>
      <c r="N129" s="31"/>
      <c r="O129" s="331" t="s">
        <v>1126</v>
      </c>
    </row>
    <row r="130" spans="2:15" x14ac:dyDescent="0.25">
      <c r="B130" s="630">
        <v>1.5</v>
      </c>
      <c r="C130" t="s">
        <v>1134</v>
      </c>
      <c r="H130" s="164">
        <f>B130*'Fare optimisation'!$L$33+'Fare optimisation'!$M$33</f>
        <v>1.330588530802749</v>
      </c>
      <c r="I130" s="348"/>
      <c r="J130" t="s">
        <v>1134</v>
      </c>
      <c r="O130" s="396">
        <v>1.3291482077120347</v>
      </c>
    </row>
    <row r="131" spans="2:15" x14ac:dyDescent="0.25">
      <c r="B131" s="630">
        <v>5.5</v>
      </c>
      <c r="C131" t="s">
        <v>1135</v>
      </c>
      <c r="H131" s="164">
        <f>B131*'Fare optimisation'!$L$33+'Fare optimisation'!$M$33</f>
        <v>5.327832671406715</v>
      </c>
      <c r="I131" s="348"/>
      <c r="J131" t="s">
        <v>1135</v>
      </c>
      <c r="O131" s="396">
        <v>5.337319603131033</v>
      </c>
    </row>
    <row r="132" spans="2:15" x14ac:dyDescent="0.25">
      <c r="B132" s="630">
        <v>14</v>
      </c>
      <c r="C132" t="s">
        <v>1136</v>
      </c>
      <c r="H132" s="164">
        <f>B132*'Fare optimisation'!$L$33+'Fare optimisation'!$M$33</f>
        <v>13.821976470190142</v>
      </c>
      <c r="I132" s="348"/>
      <c r="J132" t="s">
        <v>1136</v>
      </c>
      <c r="O132" s="396">
        <v>13.854683818396406</v>
      </c>
    </row>
    <row r="133" spans="2:15" x14ac:dyDescent="0.25">
      <c r="B133" s="630">
        <v>20</v>
      </c>
      <c r="C133" s="197" t="s">
        <v>1137</v>
      </c>
      <c r="D133" s="197"/>
      <c r="E133" s="197"/>
      <c r="F133" s="197"/>
      <c r="G133" s="197"/>
      <c r="H133" s="225">
        <f>B133*'Fare optimisation'!$L$33+'Fare optimisation'!$M$33</f>
        <v>19.817842681096089</v>
      </c>
      <c r="I133" s="348"/>
      <c r="J133" s="197" t="s">
        <v>1137</v>
      </c>
      <c r="K133" s="197"/>
      <c r="L133" s="197"/>
      <c r="M133" s="197"/>
      <c r="N133" s="197"/>
      <c r="O133" s="397">
        <v>19.866940911524903</v>
      </c>
    </row>
    <row r="134" spans="2:15" x14ac:dyDescent="0.25">
      <c r="I134" s="348"/>
    </row>
    <row r="135" spans="2:15" x14ac:dyDescent="0.25">
      <c r="I135" s="348"/>
    </row>
    <row r="136" spans="2:15" x14ac:dyDescent="0.25">
      <c r="C136" s="42" t="s">
        <v>1150</v>
      </c>
      <c r="I136" s="348"/>
      <c r="J136" s="42" t="s">
        <v>1150</v>
      </c>
    </row>
    <row r="137" spans="2:15" x14ac:dyDescent="0.25">
      <c r="C137" s="31" t="s">
        <v>1125</v>
      </c>
      <c r="D137" s="31"/>
      <c r="E137" s="31"/>
      <c r="F137" s="31"/>
      <c r="G137" s="31"/>
      <c r="H137" s="331" t="s">
        <v>1126</v>
      </c>
      <c r="I137" s="348"/>
      <c r="J137" s="31" t="s">
        <v>1125</v>
      </c>
      <c r="K137" s="31"/>
      <c r="L137" s="31"/>
      <c r="M137" s="31"/>
      <c r="N137" s="31"/>
      <c r="O137" s="331" t="s">
        <v>1126</v>
      </c>
    </row>
    <row r="138" spans="2:15" x14ac:dyDescent="0.25">
      <c r="B138" s="630">
        <v>4.5</v>
      </c>
      <c r="C138" t="s">
        <v>1132</v>
      </c>
      <c r="H138" s="164">
        <f>B138*'Fare optimisation'!$L$41+'Fare optimisation'!$M$41</f>
        <v>7.2993491090110947</v>
      </c>
      <c r="I138" s="348"/>
      <c r="J138" t="s">
        <v>1132</v>
      </c>
      <c r="O138" s="396">
        <v>7.3051270177573091</v>
      </c>
    </row>
    <row r="139" spans="2:15" x14ac:dyDescent="0.25">
      <c r="B139" s="630">
        <v>9</v>
      </c>
      <c r="C139" s="197" t="s">
        <v>1133</v>
      </c>
      <c r="D139" s="197"/>
      <c r="E139" s="197"/>
      <c r="F139" s="197"/>
      <c r="G139" s="197"/>
      <c r="H139" s="225">
        <f>B139*'Fare optimisation'!$L$41+'Fare optimisation'!$M$41</f>
        <v>14.685889552303657</v>
      </c>
      <c r="I139" s="348"/>
      <c r="J139" s="197" t="s">
        <v>1133</v>
      </c>
      <c r="K139" s="197"/>
      <c r="L139" s="197"/>
      <c r="M139" s="197"/>
      <c r="N139" s="197"/>
      <c r="O139" s="397">
        <v>14.701662024267122</v>
      </c>
    </row>
    <row r="140" spans="2:15" x14ac:dyDescent="0.25">
      <c r="I140" s="348"/>
    </row>
    <row r="141" spans="2:15" x14ac:dyDescent="0.25">
      <c r="I141" s="348"/>
    </row>
    <row r="142" spans="2:15" x14ac:dyDescent="0.25">
      <c r="C142" s="42" t="s">
        <v>1148</v>
      </c>
      <c r="I142" s="348"/>
      <c r="J142" s="42" t="s">
        <v>1148</v>
      </c>
    </row>
    <row r="143" spans="2:15" x14ac:dyDescent="0.25">
      <c r="C143" s="31" t="s">
        <v>1125</v>
      </c>
      <c r="D143" s="31"/>
      <c r="E143" s="31"/>
      <c r="F143" s="31"/>
      <c r="G143" s="31"/>
      <c r="H143" s="331" t="s">
        <v>1126</v>
      </c>
      <c r="I143" s="348"/>
      <c r="J143" s="31" t="s">
        <v>1125</v>
      </c>
      <c r="K143" s="31"/>
      <c r="L143" s="31"/>
      <c r="M143" s="31"/>
      <c r="N143" s="31"/>
      <c r="O143" s="331" t="s">
        <v>1126</v>
      </c>
    </row>
    <row r="144" spans="2:15" x14ac:dyDescent="0.25">
      <c r="B144" s="630">
        <v>1</v>
      </c>
      <c r="C144" s="345" t="s">
        <v>1132</v>
      </c>
      <c r="D144" s="345"/>
      <c r="E144" s="345"/>
      <c r="F144" s="345"/>
      <c r="G144" s="345"/>
      <c r="H144" s="346">
        <f>B144*'Fare optimisation'!$L$41+'Fare optimisation'!$M$41</f>
        <v>1.5542620975613244</v>
      </c>
      <c r="I144" s="348"/>
      <c r="J144" s="345" t="s">
        <v>1132</v>
      </c>
      <c r="K144" s="345"/>
      <c r="L144" s="345"/>
      <c r="M144" s="345"/>
      <c r="N144" s="345"/>
      <c r="O144" s="398">
        <v>3.1959409030296353</v>
      </c>
    </row>
    <row r="145" spans="2:15" x14ac:dyDescent="0.25">
      <c r="B145" s="348"/>
      <c r="I145" s="348"/>
    </row>
    <row r="147" spans="2:15" ht="18" x14ac:dyDescent="0.4">
      <c r="C147" s="110" t="s">
        <v>1154</v>
      </c>
      <c r="J147" s="110" t="s">
        <v>1155</v>
      </c>
    </row>
    <row r="148" spans="2:15" x14ac:dyDescent="0.25">
      <c r="C148" s="42" t="s">
        <v>1147</v>
      </c>
      <c r="J148" s="42" t="s">
        <v>1147</v>
      </c>
    </row>
    <row r="149" spans="2:15" x14ac:dyDescent="0.25">
      <c r="C149" s="31" t="s">
        <v>1125</v>
      </c>
      <c r="D149" s="31"/>
      <c r="E149" s="31"/>
      <c r="F149" s="31"/>
      <c r="G149" s="31"/>
      <c r="H149" s="331" t="s">
        <v>1126</v>
      </c>
      <c r="J149" s="31" t="s">
        <v>1125</v>
      </c>
      <c r="K149" s="31"/>
      <c r="L149" s="31"/>
      <c r="M149" s="31"/>
      <c r="N149" s="31"/>
      <c r="O149" s="331" t="s">
        <v>1126</v>
      </c>
    </row>
    <row r="150" spans="2:15" x14ac:dyDescent="0.25">
      <c r="C150" t="s">
        <v>1127</v>
      </c>
      <c r="H150" s="351">
        <f>H111/O111-1</f>
        <v>-0.17068796314901191</v>
      </c>
      <c r="J150" t="s">
        <v>1127</v>
      </c>
      <c r="O150" s="356">
        <f>H111-O111</f>
        <v>-0.63355065111684494</v>
      </c>
    </row>
    <row r="151" spans="2:15" x14ac:dyDescent="0.25">
      <c r="C151" t="s">
        <v>1130</v>
      </c>
      <c r="H151" s="351">
        <f>H112/O112-1</f>
        <v>-8.4310624711809612E-2</v>
      </c>
      <c r="J151" t="s">
        <v>1130</v>
      </c>
      <c r="O151" s="356">
        <f>H112-O112</f>
        <v>-0.5644154941014996</v>
      </c>
    </row>
    <row r="152" spans="2:15" x14ac:dyDescent="0.25">
      <c r="C152" t="s">
        <v>1128</v>
      </c>
      <c r="H152" s="351">
        <f>H113/O113-1</f>
        <v>-4.5860280922171315E-2</v>
      </c>
      <c r="J152" t="s">
        <v>1128</v>
      </c>
      <c r="O152" s="356">
        <f>H113-O113</f>
        <v>-0.4779965478323156</v>
      </c>
    </row>
    <row r="153" spans="2:15" x14ac:dyDescent="0.25">
      <c r="C153" t="s">
        <v>1129</v>
      </c>
      <c r="H153" s="351">
        <f>H114/O114-1</f>
        <v>-1.881883571701215E-2</v>
      </c>
      <c r="J153" t="s">
        <v>1129</v>
      </c>
      <c r="O153" s="356">
        <f>H114-O114</f>
        <v>-0.32244244454778581</v>
      </c>
    </row>
    <row r="154" spans="2:15" x14ac:dyDescent="0.25">
      <c r="C154" s="197" t="s">
        <v>1131</v>
      </c>
      <c r="D154" s="197"/>
      <c r="E154" s="197"/>
      <c r="F154" s="197"/>
      <c r="G154" s="197"/>
      <c r="H154" s="349">
        <f>H115/O115-1</f>
        <v>-1.012303264548009E-2</v>
      </c>
      <c r="J154" s="197" t="s">
        <v>1131</v>
      </c>
      <c r="K154" s="197"/>
      <c r="L154" s="197"/>
      <c r="M154" s="197"/>
      <c r="N154" s="197"/>
      <c r="O154" s="353">
        <f>H115-O115</f>
        <v>-0.21873970902476358</v>
      </c>
    </row>
    <row r="157" spans="2:15" x14ac:dyDescent="0.25">
      <c r="C157" s="42" t="s">
        <v>1149</v>
      </c>
      <c r="J157" s="42" t="s">
        <v>1149</v>
      </c>
    </row>
    <row r="158" spans="2:15" x14ac:dyDescent="0.25">
      <c r="C158" s="31" t="s">
        <v>1125</v>
      </c>
      <c r="D158" s="31"/>
      <c r="E158" s="31"/>
      <c r="F158" s="31"/>
      <c r="G158" s="31"/>
      <c r="H158" s="331" t="s">
        <v>1126</v>
      </c>
      <c r="J158" s="31" t="s">
        <v>1125</v>
      </c>
      <c r="K158" s="31"/>
      <c r="L158" s="31"/>
      <c r="M158" s="31"/>
      <c r="N158" s="31"/>
      <c r="O158" s="331" t="s">
        <v>1126</v>
      </c>
    </row>
    <row r="159" spans="2:15" x14ac:dyDescent="0.25">
      <c r="C159" t="s">
        <v>1134</v>
      </c>
      <c r="H159" s="350">
        <f t="shared" ref="H159:H164" si="3">H120/O120-1</f>
        <v>7.0283135205628788E-4</v>
      </c>
      <c r="J159" t="s">
        <v>1134</v>
      </c>
      <c r="O159" s="355">
        <f t="shared" ref="O159:O164" si="4">H120-O120</f>
        <v>4.942999003161308E-4</v>
      </c>
    </row>
    <row r="160" spans="2:15" x14ac:dyDescent="0.25">
      <c r="C160" t="s">
        <v>1135</v>
      </c>
      <c r="H160" s="351">
        <f t="shared" si="3"/>
        <v>-8.9106570003605334E-4</v>
      </c>
      <c r="J160" t="s">
        <v>1135</v>
      </c>
      <c r="O160" s="356">
        <f t="shared" si="4"/>
        <v>-4.3723918929989836E-3</v>
      </c>
    </row>
    <row r="161" spans="3:15" x14ac:dyDescent="0.25">
      <c r="C161" t="s">
        <v>1136</v>
      </c>
      <c r="H161" s="351">
        <f t="shared" si="3"/>
        <v>-1.0631868025348101E-3</v>
      </c>
      <c r="J161" t="s">
        <v>1136</v>
      </c>
      <c r="O161" s="356">
        <f t="shared" si="4"/>
        <v>-1.4714111953791686E-2</v>
      </c>
    </row>
    <row r="162" spans="3:15" x14ac:dyDescent="0.25">
      <c r="C162" t="s">
        <v>1128</v>
      </c>
      <c r="H162" s="351">
        <f t="shared" si="3"/>
        <v>-1.1110480197894512E-3</v>
      </c>
      <c r="J162" t="s">
        <v>1128</v>
      </c>
      <c r="O162" s="356">
        <f t="shared" si="4"/>
        <v>-3.1139196756232224E-2</v>
      </c>
    </row>
    <row r="163" spans="3:15" x14ac:dyDescent="0.25">
      <c r="C163" t="s">
        <v>1129</v>
      </c>
      <c r="H163" s="351">
        <f t="shared" si="3"/>
        <v>-1.1324128507470554E-3</v>
      </c>
      <c r="J163" t="s">
        <v>1129</v>
      </c>
      <c r="O163" s="356">
        <f t="shared" si="4"/>
        <v>-5.8514338093630158E-2</v>
      </c>
    </row>
    <row r="164" spans="3:15" x14ac:dyDescent="0.25">
      <c r="C164" s="197" t="s">
        <v>1131</v>
      </c>
      <c r="D164" s="197"/>
      <c r="E164" s="197"/>
      <c r="F164" s="197"/>
      <c r="G164" s="197"/>
      <c r="H164" s="349">
        <f t="shared" si="3"/>
        <v>-1.1383324437634901E-3</v>
      </c>
      <c r="J164" s="197" t="s">
        <v>1131</v>
      </c>
      <c r="K164" s="197"/>
      <c r="L164" s="197"/>
      <c r="M164" s="197"/>
      <c r="N164" s="197"/>
      <c r="O164" s="353">
        <f t="shared" si="4"/>
        <v>-7.6764432318555009E-2</v>
      </c>
    </row>
    <row r="167" spans="3:15" x14ac:dyDescent="0.25">
      <c r="C167" s="42" t="s">
        <v>1151</v>
      </c>
      <c r="H167" s="163"/>
      <c r="J167" s="42" t="s">
        <v>1151</v>
      </c>
      <c r="O167" s="163"/>
    </row>
    <row r="168" spans="3:15" x14ac:dyDescent="0.25">
      <c r="C168" s="31" t="s">
        <v>1125</v>
      </c>
      <c r="D168" s="31"/>
      <c r="E168" s="31"/>
      <c r="F168" s="31"/>
      <c r="G168" s="31"/>
      <c r="H168" s="331" t="s">
        <v>1126</v>
      </c>
      <c r="J168" s="31" t="s">
        <v>1125</v>
      </c>
      <c r="K168" s="31"/>
      <c r="L168" s="31"/>
      <c r="M168" s="31"/>
      <c r="N168" s="31"/>
      <c r="O168" s="331" t="s">
        <v>1126</v>
      </c>
    </row>
    <row r="169" spans="3:15" x14ac:dyDescent="0.25">
      <c r="C169" t="s">
        <v>1134</v>
      </c>
      <c r="H169" s="351">
        <f>H130/O130-1</f>
        <v>1.0836437068171278E-3</v>
      </c>
      <c r="J169" t="s">
        <v>1134</v>
      </c>
      <c r="O169" s="356">
        <f>H130-O130</f>
        <v>1.4403230907142905E-3</v>
      </c>
    </row>
    <row r="170" spans="3:15" x14ac:dyDescent="0.25">
      <c r="C170" t="s">
        <v>1135</v>
      </c>
      <c r="H170" s="351">
        <f>H131/O131-1</f>
        <v>-1.7774711708762325E-3</v>
      </c>
      <c r="J170" t="s">
        <v>1135</v>
      </c>
      <c r="O170" s="356">
        <f>H131-O131</f>
        <v>-9.4869317243180262E-3</v>
      </c>
    </row>
    <row r="171" spans="3:15" x14ac:dyDescent="0.25">
      <c r="C171" t="s">
        <v>1136</v>
      </c>
      <c r="H171" s="351">
        <f>H132/O132-1</f>
        <v>-2.3607430263283824E-3</v>
      </c>
      <c r="J171" t="s">
        <v>1136</v>
      </c>
      <c r="O171" s="356">
        <f>H132-O132</f>
        <v>-3.2707348206264086E-2</v>
      </c>
    </row>
    <row r="172" spans="3:15" x14ac:dyDescent="0.25">
      <c r="C172" s="197" t="s">
        <v>1137</v>
      </c>
      <c r="D172" s="197"/>
      <c r="E172" s="197"/>
      <c r="F172" s="197"/>
      <c r="G172" s="197"/>
      <c r="H172" s="349">
        <f>H133/O133-1</f>
        <v>-2.4713533224600681E-3</v>
      </c>
      <c r="J172" s="197" t="s">
        <v>1137</v>
      </c>
      <c r="K172" s="197"/>
      <c r="L172" s="197"/>
      <c r="M172" s="197"/>
      <c r="N172" s="197"/>
      <c r="O172" s="353">
        <f>H133-O133</f>
        <v>-4.909823042881456E-2</v>
      </c>
    </row>
    <row r="175" spans="3:15" x14ac:dyDescent="0.25">
      <c r="C175" s="42" t="s">
        <v>1150</v>
      </c>
      <c r="J175" s="42" t="s">
        <v>1150</v>
      </c>
    </row>
    <row r="176" spans="3:15" x14ac:dyDescent="0.25">
      <c r="C176" s="31" t="s">
        <v>1125</v>
      </c>
      <c r="D176" s="31"/>
      <c r="E176" s="31"/>
      <c r="F176" s="31"/>
      <c r="G176" s="31"/>
      <c r="H176" s="331" t="s">
        <v>1126</v>
      </c>
      <c r="J176" s="31" t="s">
        <v>1125</v>
      </c>
      <c r="K176" s="31"/>
      <c r="L176" s="31"/>
      <c r="M176" s="31"/>
      <c r="N176" s="31"/>
      <c r="O176" s="331" t="s">
        <v>1126</v>
      </c>
    </row>
    <row r="177" spans="3:15" x14ac:dyDescent="0.25">
      <c r="C177" t="s">
        <v>1132</v>
      </c>
      <c r="H177" s="351">
        <f>H138/O138-1</f>
        <v>-7.9093884776670897E-4</v>
      </c>
      <c r="J177" t="s">
        <v>1132</v>
      </c>
      <c r="O177" s="356">
        <f>H138-O138</f>
        <v>-5.7779087462144219E-3</v>
      </c>
    </row>
    <row r="178" spans="3:15" x14ac:dyDescent="0.25">
      <c r="C178" s="197" t="s">
        <v>1133</v>
      </c>
      <c r="D178" s="197"/>
      <c r="E178" s="197"/>
      <c r="F178" s="197"/>
      <c r="G178" s="197"/>
      <c r="H178" s="349">
        <f>H139/O139-1</f>
        <v>-1.0728359785058261E-3</v>
      </c>
      <c r="J178" s="197" t="s">
        <v>1133</v>
      </c>
      <c r="K178" s="197"/>
      <c r="L178" s="197"/>
      <c r="M178" s="197"/>
      <c r="N178" s="197"/>
      <c r="O178" s="353">
        <f>H139-O139</f>
        <v>-1.5772471963465762E-2</v>
      </c>
    </row>
    <row r="181" spans="3:15" x14ac:dyDescent="0.25">
      <c r="C181" s="42" t="s">
        <v>1148</v>
      </c>
      <c r="J181" s="42" t="s">
        <v>1148</v>
      </c>
    </row>
    <row r="182" spans="3:15" x14ac:dyDescent="0.25">
      <c r="C182" s="31" t="s">
        <v>1125</v>
      </c>
      <c r="D182" s="31"/>
      <c r="E182" s="31"/>
      <c r="F182" s="31"/>
      <c r="G182" s="31"/>
      <c r="H182" s="331" t="s">
        <v>1126</v>
      </c>
      <c r="J182" s="31" t="s">
        <v>1125</v>
      </c>
      <c r="K182" s="31"/>
      <c r="L182" s="31"/>
      <c r="M182" s="31"/>
      <c r="N182" s="31"/>
      <c r="O182" s="331" t="s">
        <v>1126</v>
      </c>
    </row>
    <row r="183" spans="3:15" x14ac:dyDescent="0.25">
      <c r="C183" s="345" t="s">
        <v>1132</v>
      </c>
      <c r="D183" s="345"/>
      <c r="E183" s="345"/>
      <c r="F183" s="345"/>
      <c r="G183" s="345"/>
      <c r="H183" s="352">
        <f>H144/O144-1</f>
        <v>-0.51367620844054385</v>
      </c>
      <c r="J183" s="345" t="s">
        <v>1132</v>
      </c>
      <c r="K183" s="345"/>
      <c r="L183" s="345"/>
      <c r="M183" s="345"/>
      <c r="N183" s="345"/>
      <c r="O183" s="354">
        <f>H144-O144</f>
        <v>-1.6416788054683109</v>
      </c>
    </row>
    <row r="184" spans="3:15" x14ac:dyDescent="0.25">
      <c r="C184" s="197"/>
      <c r="D184" s="197"/>
      <c r="E184" s="197"/>
      <c r="F184" s="197"/>
      <c r="G184" s="197"/>
      <c r="H184" s="197"/>
      <c r="I184" s="197"/>
      <c r="J184" s="197"/>
      <c r="K184" s="197"/>
      <c r="L184" s="197"/>
      <c r="M184" s="197"/>
      <c r="N184" s="197"/>
      <c r="O184" s="197"/>
    </row>
    <row r="185" spans="3:15" x14ac:dyDescent="0.25">
      <c r="C185" s="189"/>
      <c r="D185" s="189"/>
      <c r="E185" s="189"/>
      <c r="F185" s="189"/>
      <c r="G185" s="189"/>
      <c r="H185" s="189"/>
      <c r="I185" s="189"/>
      <c r="J185" s="189"/>
      <c r="K185" s="189"/>
      <c r="L185" s="189"/>
      <c r="M185" s="189"/>
      <c r="N185" s="189"/>
      <c r="O185" s="189"/>
    </row>
  </sheetData>
  <conditionalFormatting sqref="G46">
    <cfRule type="expression" dxfId="8" priority="3">
      <formula>$G$30&gt;0</formula>
    </cfRule>
  </conditionalFormatting>
  <conditionalFormatting sqref="G46:J58">
    <cfRule type="expression" dxfId="7" priority="2">
      <formula>G30&gt;0</formula>
    </cfRule>
  </conditionalFormatting>
  <conditionalFormatting sqref="G62:J74">
    <cfRule type="expression" dxfId="6" priority="1">
      <formula>G30&gt;0</formula>
    </cfRule>
  </conditionalFormatting>
  <dataValidations count="11">
    <dataValidation type="decimal" allowBlank="1" showInputMessage="1" showErrorMessage="1" sqref="H17:I17" xr:uid="{66BF09A1-6365-4526-9B5A-2595B922A9E3}">
      <formula1>0.6</formula1>
      <formula2>1.1</formula2>
    </dataValidation>
    <dataValidation type="decimal" allowBlank="1" showInputMessage="1" showErrorMessage="1" sqref="I21" xr:uid="{B19015DF-DAA1-4DC4-8BE5-D7A23BC04A25}">
      <formula1>0.0001</formula1>
      <formula2>1</formula2>
    </dataValidation>
    <dataValidation type="list" allowBlank="1" showInputMessage="1" showErrorMessage="1" sqref="I95" xr:uid="{B653BB53-69C0-494C-AA1F-300474E4C87D}">
      <formula1>$K$96:$K$97</formula1>
    </dataValidation>
    <dataValidation type="decimal" allowBlank="1" showInputMessage="1" showErrorMessage="1" sqref="I85" xr:uid="{05EEB5AB-4FA7-4F38-8CDD-78928FEACDDE}">
      <formula1>0</formula1>
      <formula2>20</formula2>
    </dataValidation>
    <dataValidation type="decimal" allowBlank="1" showInputMessage="1" showErrorMessage="1" sqref="I83" xr:uid="{6B1C63EC-A03B-4720-948F-A7BC060775F9}">
      <formula1>0.03</formula1>
      <formula2>0.07</formula2>
    </dataValidation>
    <dataValidation type="decimal" allowBlank="1" showInputMessage="1" showErrorMessage="1" sqref="I91" xr:uid="{1BE70FDB-487C-45FB-880D-FB3903B85D04}">
      <formula1>10</formula1>
      <formula2>30</formula2>
    </dataValidation>
    <dataValidation type="decimal" allowBlank="1" showInputMessage="1" showErrorMessage="1" sqref="I89" xr:uid="{93D9F251-99B7-498F-96D9-783397647219}">
      <formula1>1</formula1>
      <formula2>2</formula2>
    </dataValidation>
    <dataValidation type="decimal" allowBlank="1" showInputMessage="1" showErrorMessage="1" sqref="H81:I81" xr:uid="{4E3D110D-2D12-4A2D-A04B-532762813E48}">
      <formula1>0</formula1>
      <formula2>2</formula2>
    </dataValidation>
    <dataValidation type="decimal" allowBlank="1" showInputMessage="1" showErrorMessage="1" sqref="I19 G30:J42 G46:J58 G62:J74" xr:uid="{7313474B-CAD3-4C43-852B-9CF1B9161AF4}">
      <formula1>0</formula1>
      <formula2>1</formula2>
    </dataValidation>
    <dataValidation type="list" allowBlank="1" showInputMessage="1" showErrorMessage="1" sqref="I23" xr:uid="{DF5B33B8-17F4-4EC3-B69F-07C3886FAC5A}">
      <formula1>$K$24:$K$25</formula1>
    </dataValidation>
    <dataValidation type="list" allowBlank="1" showInputMessage="1" showErrorMessage="1" sqref="I25" xr:uid="{4F8F9FF7-E69D-4373-A0F9-30B80F6893B4}">
      <formula1>$M$24:$M$25</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5D2C-D57E-4D85-8727-F39ED26894D3}">
  <sheetPr codeName="Sheet6"/>
  <dimension ref="A1:AJ255"/>
  <sheetViews>
    <sheetView showGridLines="0" zoomScaleNormal="100" workbookViewId="0"/>
  </sheetViews>
  <sheetFormatPr defaultRowHeight="11.5" x14ac:dyDescent="0.25"/>
  <cols>
    <col min="1" max="2" width="3.69921875" customWidth="1"/>
    <col min="3" max="17" width="12.69921875" customWidth="1"/>
    <col min="18" max="18" width="21.59765625" bestFit="1" customWidth="1"/>
    <col min="19" max="23" width="12.69921875" customWidth="1"/>
  </cols>
  <sheetData>
    <row r="1" spans="1:11" x14ac:dyDescent="0.25">
      <c r="A1" s="347"/>
      <c r="C1" s="42" t="str">
        <f>Cover!B3&amp;" - Independent Pricing and Regulatory Tribunal of NSW"</f>
        <v>Fare Optimisation Model for the 2025 Opal Review - Independent Pricing and Regulatory Tribunal of NSW</v>
      </c>
      <c r="D1" s="42"/>
      <c r="E1" s="42"/>
    </row>
    <row r="4" spans="1:11" ht="23" x14ac:dyDescent="0.5">
      <c r="C4" s="184" t="s">
        <v>1225</v>
      </c>
      <c r="D4" s="184"/>
      <c r="E4" s="184"/>
    </row>
    <row r="7" spans="1:11" x14ac:dyDescent="0.25">
      <c r="C7" s="11" t="s">
        <v>225</v>
      </c>
      <c r="D7" s="11"/>
      <c r="E7" s="11"/>
      <c r="F7" s="11"/>
      <c r="G7" s="11"/>
      <c r="H7" s="11"/>
      <c r="I7" s="11"/>
      <c r="J7" s="11"/>
      <c r="K7" s="185" t="s">
        <v>226</v>
      </c>
    </row>
    <row r="8" spans="1:11" x14ac:dyDescent="0.25">
      <c r="B8" s="186">
        <v>1</v>
      </c>
      <c r="C8" s="187" t="str">
        <f>"Table "&amp;B8&amp;" - Results - Price by mode, by distance, by time-of-day (ToD)(Excluding GST)"</f>
        <v>Table 1 - Results - Price by mode, by distance, by time-of-day (ToD)(Excluding GST)</v>
      </c>
      <c r="D8" s="187"/>
      <c r="E8" s="187"/>
      <c r="F8" s="187"/>
      <c r="G8" s="187"/>
      <c r="H8" s="187"/>
      <c r="I8" s="187"/>
      <c r="J8" s="187"/>
      <c r="K8" s="187">
        <f>ROW(C22)</f>
        <v>22</v>
      </c>
    </row>
    <row r="9" spans="1:11" x14ac:dyDescent="0.25">
      <c r="B9" s="211">
        <f t="shared" ref="B9:B14" si="0">B8+1</f>
        <v>2</v>
      </c>
      <c r="C9" s="11" t="str">
        <f>"Table "&amp;B9&amp;" - Marginal external costs and marginal costs (by mode of transport)"</f>
        <v>Table 2 - Marginal external costs and marginal costs (by mode of transport)</v>
      </c>
      <c r="D9" s="11"/>
      <c r="E9" s="11"/>
      <c r="F9" s="11"/>
      <c r="G9" s="11"/>
      <c r="H9" s="11"/>
      <c r="I9" s="11"/>
      <c r="J9" s="11"/>
      <c r="K9" s="11">
        <f>ROW(C65)</f>
        <v>65</v>
      </c>
    </row>
    <row r="10" spans="1:11" x14ac:dyDescent="0.25">
      <c r="B10" s="211">
        <f t="shared" si="0"/>
        <v>3</v>
      </c>
      <c r="C10" s="11" t="str">
        <f>"Table "&amp;B10&amp;" - Marginal external costs and marginal costs (by mode, by distance, by time-of-day (ToD))"</f>
        <v>Table 3 - Marginal external costs and marginal costs (by mode, by distance, by time-of-day (ToD))</v>
      </c>
      <c r="D10" s="11"/>
      <c r="E10" s="11"/>
      <c r="F10" s="11"/>
      <c r="G10" s="11"/>
      <c r="H10" s="11"/>
      <c r="I10" s="11"/>
      <c r="J10" s="11"/>
      <c r="K10" s="11">
        <f>ROW(C81)</f>
        <v>81</v>
      </c>
    </row>
    <row r="11" spans="1:11" x14ac:dyDescent="0.25">
      <c r="B11" s="211">
        <f t="shared" si="0"/>
        <v>4</v>
      </c>
      <c r="C11" s="11" t="str">
        <f>"Table "&amp;B11&amp;" - RHS (by mode, by distance, by time-of-day (ToD))"</f>
        <v>Table 4 - RHS (by mode, by distance, by time-of-day (ToD))</v>
      </c>
      <c r="D11" s="11"/>
      <c r="E11" s="11"/>
      <c r="F11" s="11"/>
      <c r="G11" s="11"/>
      <c r="H11" s="11"/>
      <c r="I11" s="11"/>
      <c r="J11" s="11"/>
      <c r="K11" s="11">
        <f>ROW(C127)</f>
        <v>127</v>
      </c>
    </row>
    <row r="12" spans="1:11" x14ac:dyDescent="0.25">
      <c r="B12" s="211">
        <f t="shared" si="0"/>
        <v>5</v>
      </c>
      <c r="C12" s="11" t="str">
        <f>"Table "&amp;B12&amp;" - Derivation of 'Part RHS' (by mode, by distance, by time-of-day (ToD))"</f>
        <v>Table 5 - Derivation of 'Part RHS' (by mode, by distance, by time-of-day (ToD))</v>
      </c>
      <c r="D12" s="11"/>
      <c r="E12" s="11"/>
      <c r="F12" s="11"/>
      <c r="G12" s="11"/>
      <c r="H12" s="11"/>
      <c r="I12" s="11"/>
      <c r="J12" s="11"/>
      <c r="K12" s="11">
        <f>ROW(C165)</f>
        <v>165</v>
      </c>
    </row>
    <row r="13" spans="1:11" x14ac:dyDescent="0.25">
      <c r="B13" s="211">
        <f t="shared" si="0"/>
        <v>6</v>
      </c>
      <c r="C13" s="11" t="str">
        <f>"Table "&amp;B13&amp;" - Weekday passenger journey calculations"</f>
        <v>Table 6 - Weekday passenger journey calculations</v>
      </c>
      <c r="D13" s="11"/>
      <c r="E13" s="11"/>
      <c r="F13" s="11"/>
      <c r="G13" s="11"/>
      <c r="H13" s="11"/>
      <c r="I13" s="11"/>
      <c r="J13" s="11"/>
      <c r="K13" s="11">
        <f>ROW(C188)</f>
        <v>188</v>
      </c>
    </row>
    <row r="14" spans="1:11" x14ac:dyDescent="0.25">
      <c r="B14" s="211">
        <f t="shared" si="0"/>
        <v>7</v>
      </c>
      <c r="C14" s="209" t="str">
        <f>"Table "&amp;B14&amp;" - Revenue, variable costs and change in subsidy (by mode, by distance, by time-of-day (ToD)"</f>
        <v>Table 7 - Revenue, variable costs and change in subsidy (by mode, by distance, by time-of-day (ToD)</v>
      </c>
      <c r="D14" s="209"/>
      <c r="E14" s="209"/>
      <c r="F14" s="209"/>
      <c r="G14" s="209"/>
      <c r="H14" s="209"/>
      <c r="I14" s="209"/>
      <c r="J14" s="209"/>
      <c r="K14" s="209">
        <f>ROW(C211)</f>
        <v>211</v>
      </c>
    </row>
    <row r="15" spans="1:11" x14ac:dyDescent="0.25">
      <c r="B15" s="211"/>
      <c r="C15" s="11"/>
      <c r="D15" s="11"/>
      <c r="E15" s="11"/>
      <c r="F15" s="11"/>
      <c r="G15" s="11"/>
      <c r="H15" s="11"/>
      <c r="I15" s="11"/>
      <c r="J15" s="11"/>
      <c r="K15" s="11"/>
    </row>
    <row r="16" spans="1:11" x14ac:dyDescent="0.25">
      <c r="B16" s="211"/>
      <c r="C16" s="11"/>
      <c r="D16" s="11"/>
      <c r="E16" s="11"/>
      <c r="F16" s="11"/>
      <c r="G16" s="11"/>
      <c r="H16" s="11"/>
      <c r="I16" s="11"/>
      <c r="J16" s="11"/>
      <c r="K16" s="11"/>
    </row>
    <row r="17" spans="2:36" x14ac:dyDescent="0.25">
      <c r="B17" s="563"/>
      <c r="C17" s="563"/>
      <c r="D17" s="563"/>
      <c r="E17" s="563"/>
      <c r="F17" s="563"/>
      <c r="G17" s="563"/>
      <c r="H17" s="563"/>
      <c r="I17" s="563"/>
      <c r="J17" s="563"/>
      <c r="K17" s="563"/>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row>
    <row r="18" spans="2:36" x14ac:dyDescent="0.25">
      <c r="B18" s="211"/>
    </row>
    <row r="19" spans="2:36" ht="20" x14ac:dyDescent="0.4">
      <c r="B19" s="211"/>
      <c r="C19" s="26" t="s">
        <v>257</v>
      </c>
    </row>
    <row r="20" spans="2:36" x14ac:dyDescent="0.25">
      <c r="B20" s="211"/>
      <c r="C20" s="11"/>
      <c r="D20" s="11"/>
      <c r="E20" s="11"/>
      <c r="F20" s="11"/>
      <c r="G20" s="11"/>
      <c r="H20" s="11"/>
      <c r="I20" s="11"/>
      <c r="J20" s="11"/>
      <c r="K20" s="11"/>
    </row>
    <row r="21" spans="2:36" x14ac:dyDescent="0.25">
      <c r="B21" s="211"/>
      <c r="C21" s="11"/>
      <c r="D21" s="11"/>
      <c r="E21" s="11"/>
      <c r="F21" s="11"/>
      <c r="G21" s="11"/>
      <c r="H21" s="11"/>
      <c r="I21" s="11"/>
      <c r="J21" s="11"/>
      <c r="K21" s="11"/>
    </row>
    <row r="22" spans="2:36" ht="15.5" x14ac:dyDescent="0.35">
      <c r="B22" s="211"/>
      <c r="C22" s="271" t="str">
        <f>C8</f>
        <v>Table 1 - Results - Price by mode, by distance, by time-of-day (ToD)(Excluding GST)</v>
      </c>
      <c r="D22" s="197"/>
      <c r="E22" s="197"/>
      <c r="F22" s="197"/>
      <c r="G22" s="197"/>
      <c r="H22" s="197"/>
      <c r="I22" s="197"/>
      <c r="J22" s="197"/>
      <c r="K22" s="197"/>
      <c r="L22" s="581" t="s">
        <v>1156</v>
      </c>
      <c r="M22" s="301"/>
      <c r="O22" s="42" t="s">
        <v>1159</v>
      </c>
      <c r="R22" s="42" t="s">
        <v>1160</v>
      </c>
    </row>
    <row r="23" spans="2:36" x14ac:dyDescent="0.25">
      <c r="B23" s="211"/>
      <c r="C23" s="188"/>
      <c r="D23" s="189"/>
      <c r="E23" s="189"/>
      <c r="F23" s="189"/>
      <c r="G23" s="189"/>
      <c r="H23" s="189"/>
      <c r="I23" s="189"/>
      <c r="J23" s="189"/>
      <c r="K23" s="190"/>
      <c r="L23" s="188"/>
      <c r="M23" s="190"/>
      <c r="O23" s="188"/>
      <c r="P23" s="190"/>
      <c r="R23" s="188"/>
      <c r="S23" s="189"/>
      <c r="T23" s="190"/>
    </row>
    <row r="24" spans="2:36" ht="34.5" x14ac:dyDescent="0.25">
      <c r="B24" s="211"/>
      <c r="C24" s="220" t="s">
        <v>173</v>
      </c>
      <c r="D24" s="192" t="s">
        <v>174</v>
      </c>
      <c r="E24" s="192" t="s">
        <v>229</v>
      </c>
      <c r="F24" s="192" t="s">
        <v>204</v>
      </c>
      <c r="G24" s="163"/>
      <c r="H24" s="202" t="s">
        <v>1184</v>
      </c>
      <c r="I24" s="202" t="s">
        <v>1185</v>
      </c>
      <c r="J24" s="202" t="s">
        <v>227</v>
      </c>
      <c r="K24" s="193"/>
      <c r="L24" s="582" t="s">
        <v>1142</v>
      </c>
      <c r="M24" s="219" t="s">
        <v>1146</v>
      </c>
      <c r="O24" s="582" t="s">
        <v>1161</v>
      </c>
      <c r="P24" s="219" t="s">
        <v>1158</v>
      </c>
      <c r="R24" s="191"/>
      <c r="S24" s="202" t="s">
        <v>1186</v>
      </c>
      <c r="T24" s="219" t="s">
        <v>1187</v>
      </c>
    </row>
    <row r="25" spans="2:36" x14ac:dyDescent="0.25">
      <c r="B25" s="211"/>
      <c r="C25" s="583" t="str">
        <f>'General inputs'!D29</f>
        <v>Rail</v>
      </c>
      <c r="D25" s="200">
        <f>'General inputs'!E29</f>
        <v>2</v>
      </c>
      <c r="E25" s="584" t="str">
        <f>'General inputs'!F29</f>
        <v>Peak</v>
      </c>
      <c r="F25" s="200">
        <f>'General inputs'!C29</f>
        <v>1</v>
      </c>
      <c r="G25" s="200"/>
      <c r="H25" s="585">
        <f>'General inputs'!G29</f>
        <v>3.4414414414414409</v>
      </c>
      <c r="I25" s="534">
        <f t="array" ref="I25:I56">MMULT(TRANSPOSE('Fare optimisation - matrices'!H151:AM182),'Fare optimisation'!J130:J161)</f>
        <v>2.1618868489541678</v>
      </c>
      <c r="J25" s="585">
        <f t="shared" ref="J25:J56" si="1">I25-H25</f>
        <v>-1.2795545924872731</v>
      </c>
      <c r="K25" s="590"/>
      <c r="L25" s="591" cm="1">
        <f t="array" ref="L25:M25">LINEST(I25:I28,D25:D28,TRUE,FALSE)</f>
        <v>0.30518639570895684</v>
      </c>
      <c r="M25" s="592">
        <v>1.5522650497207207</v>
      </c>
      <c r="O25" s="593">
        <f>I29-I25</f>
        <v>-2.1170289501229793</v>
      </c>
      <c r="P25" s="537">
        <f>O25/I25</f>
        <v>-0.97925057971794915</v>
      </c>
      <c r="R25" s="191" t="str">
        <f t="shared" ref="R25:R54" si="2">C25&amp;" "&amp;E25&amp;" "&amp;D25&amp;"km"</f>
        <v>Rail Peak 2km</v>
      </c>
      <c r="S25" s="183">
        <f>H25*'General inputs'!$R$29</f>
        <v>3.82</v>
      </c>
      <c r="T25" s="218">
        <f>I25*'General inputs'!$R$29</f>
        <v>2.3996944023391267</v>
      </c>
      <c r="Y25" s="594"/>
    </row>
    <row r="26" spans="2:36" x14ac:dyDescent="0.25">
      <c r="B26" s="211"/>
      <c r="C26" s="586" t="str">
        <f>'General inputs'!D30</f>
        <v>Rail</v>
      </c>
      <c r="D26" s="194">
        <f>'General inputs'!E30</f>
        <v>5</v>
      </c>
      <c r="E26" s="201" t="str">
        <f>'General inputs'!F30</f>
        <v>Peak</v>
      </c>
      <c r="F26" s="194">
        <f>'General inputs'!C30</f>
        <v>2</v>
      </c>
      <c r="G26" s="194"/>
      <c r="H26" s="183">
        <f>'General inputs'!G30</f>
        <v>3.4414414414414409</v>
      </c>
      <c r="I26" s="625">
        <v>3.0621666311747333</v>
      </c>
      <c r="J26" s="183">
        <f t="shared" si="1"/>
        <v>-0.37927481026670762</v>
      </c>
      <c r="K26" s="195"/>
      <c r="L26" s="191"/>
      <c r="M26" s="195"/>
      <c r="O26" s="586">
        <f>I30-I26</f>
        <v>-2.3204794506940085</v>
      </c>
      <c r="P26" s="538">
        <f>O26/I26</f>
        <v>-0.757790065070302</v>
      </c>
      <c r="R26" s="191" t="str">
        <f t="shared" si="2"/>
        <v>Rail Peak 5km</v>
      </c>
      <c r="S26" s="183">
        <f>H26*'General inputs'!$R$29</f>
        <v>3.82</v>
      </c>
      <c r="T26" s="218">
        <f>I26*'General inputs'!$R$29</f>
        <v>3.3990049606039543</v>
      </c>
      <c r="Y26" s="594"/>
    </row>
    <row r="27" spans="2:36" x14ac:dyDescent="0.25">
      <c r="B27" s="211"/>
      <c r="C27" s="586" t="str">
        <f>'General inputs'!D31</f>
        <v>Rail</v>
      </c>
      <c r="D27" s="194">
        <f>'General inputs'!E31</f>
        <v>15</v>
      </c>
      <c r="E27" s="201" t="str">
        <f>'General inputs'!F31</f>
        <v>Peak</v>
      </c>
      <c r="F27" s="194">
        <f>'General inputs'!C31</f>
        <v>3</v>
      </c>
      <c r="G27" s="194"/>
      <c r="H27" s="183">
        <f>'General inputs'!G31</f>
        <v>4.2792792792792786</v>
      </c>
      <c r="I27" s="535">
        <v>6.1638490615608852</v>
      </c>
      <c r="J27" s="183">
        <f t="shared" si="1"/>
        <v>1.8845697822816065</v>
      </c>
      <c r="K27" s="195"/>
      <c r="L27" s="191"/>
      <c r="M27" s="195"/>
      <c r="O27" s="586">
        <f>I31-I27</f>
        <v>-3.0159574765778685</v>
      </c>
      <c r="P27" s="538">
        <f>O27/I27</f>
        <v>-0.4892977499053377</v>
      </c>
      <c r="R27" s="191" t="str">
        <f t="shared" si="2"/>
        <v>Rail Peak 15km</v>
      </c>
      <c r="S27" s="183">
        <f>H27*'General inputs'!$R$29</f>
        <v>4.75</v>
      </c>
      <c r="T27" s="218">
        <f>I27*'General inputs'!$R$29</f>
        <v>6.841872458332583</v>
      </c>
      <c r="Y27" s="594"/>
    </row>
    <row r="28" spans="2:36" x14ac:dyDescent="0.25">
      <c r="B28" s="211"/>
      <c r="C28" s="587" t="str">
        <f>'General inputs'!D32</f>
        <v>Rail</v>
      </c>
      <c r="D28" s="199">
        <f>'General inputs'!E32</f>
        <v>25</v>
      </c>
      <c r="E28" s="588" t="str">
        <f>'General inputs'!F32</f>
        <v>Peak</v>
      </c>
      <c r="F28" s="199">
        <f>'General inputs'!C32</f>
        <v>4</v>
      </c>
      <c r="G28" s="199"/>
      <c r="H28" s="589">
        <f>'General inputs'!G32</f>
        <v>4.9189189189189184</v>
      </c>
      <c r="I28" s="536">
        <v>9.1649182555140669</v>
      </c>
      <c r="J28" s="589">
        <f t="shared" si="1"/>
        <v>4.2459993365951485</v>
      </c>
      <c r="K28" s="595"/>
      <c r="L28" s="308"/>
      <c r="M28" s="595"/>
      <c r="O28" s="586">
        <f>I32-I28</f>
        <v>-3.6497890161906783</v>
      </c>
      <c r="P28" s="538">
        <f>O28/I28</f>
        <v>-0.39823475937658093</v>
      </c>
      <c r="R28" s="191" t="str">
        <f t="shared" si="2"/>
        <v>Rail Peak 25km</v>
      </c>
      <c r="S28" s="183">
        <f>H28*'General inputs'!$R$29</f>
        <v>5.46</v>
      </c>
      <c r="T28" s="218">
        <f>I28*'General inputs'!$R$29</f>
        <v>10.173059263620615</v>
      </c>
      <c r="Y28" s="594"/>
    </row>
    <row r="29" spans="2:36" x14ac:dyDescent="0.25">
      <c r="B29" s="211"/>
      <c r="C29" s="583" t="str">
        <f>'General inputs'!D33</f>
        <v>Rail</v>
      </c>
      <c r="D29" s="200">
        <f>'General inputs'!E33</f>
        <v>2</v>
      </c>
      <c r="E29" s="584" t="str">
        <f>'General inputs'!F33</f>
        <v>Off-peak</v>
      </c>
      <c r="F29" s="200">
        <f>'General inputs'!C33</f>
        <v>5</v>
      </c>
      <c r="G29" s="200"/>
      <c r="H29" s="585">
        <f>'General inputs'!G33</f>
        <v>2.4090090090090088</v>
      </c>
      <c r="I29" s="534">
        <v>4.4857898831188403E-2</v>
      </c>
      <c r="J29" s="585">
        <f t="shared" si="1"/>
        <v>-2.3641511101778203</v>
      </c>
      <c r="K29" s="590"/>
      <c r="L29" s="591" cm="1">
        <f t="array" ref="L29:M29">LINEST(I29:I32,D29:D32,TRUE,FALSE)</f>
        <v>0.23829336523452394</v>
      </c>
      <c r="M29" s="592">
        <v>-0.43755556560107678</v>
      </c>
      <c r="O29" s="191"/>
      <c r="P29" s="195"/>
      <c r="R29" s="191" t="str">
        <f t="shared" si="2"/>
        <v>Rail Off-peak 2km</v>
      </c>
      <c r="S29" s="183">
        <f>H29*'General inputs'!$R$29</f>
        <v>2.6739999999999999</v>
      </c>
      <c r="T29" s="218">
        <f>I29*'General inputs'!$R$29</f>
        <v>4.9792267702619131E-2</v>
      </c>
      <c r="Y29" s="594"/>
    </row>
    <row r="30" spans="2:36" x14ac:dyDescent="0.25">
      <c r="B30" s="211"/>
      <c r="C30" s="586" t="str">
        <f>'General inputs'!D34</f>
        <v>Rail</v>
      </c>
      <c r="D30" s="194">
        <f>'General inputs'!E34</f>
        <v>5</v>
      </c>
      <c r="E30" s="201" t="str">
        <f>'General inputs'!F34</f>
        <v>Off-peak</v>
      </c>
      <c r="F30" s="194">
        <f>'General inputs'!C34</f>
        <v>6</v>
      </c>
      <c r="G30" s="194"/>
      <c r="H30" s="183">
        <f>'General inputs'!G34</f>
        <v>2.4090090090090088</v>
      </c>
      <c r="I30" s="535">
        <v>0.74168718048072491</v>
      </c>
      <c r="J30" s="183">
        <f t="shared" si="1"/>
        <v>-1.667321828528284</v>
      </c>
      <c r="K30" s="195"/>
      <c r="L30" s="191"/>
      <c r="M30" s="195"/>
      <c r="O30" s="191"/>
      <c r="P30" s="195"/>
      <c r="R30" s="191" t="str">
        <f t="shared" si="2"/>
        <v>Rail Off-peak 5km</v>
      </c>
      <c r="S30" s="183">
        <f>H30*'General inputs'!$R$29</f>
        <v>2.6739999999999999</v>
      </c>
      <c r="T30" s="218">
        <f>I30*'General inputs'!$R$29</f>
        <v>0.82327277033360469</v>
      </c>
      <c r="Y30" s="594"/>
    </row>
    <row r="31" spans="2:36" x14ac:dyDescent="0.25">
      <c r="B31" s="211"/>
      <c r="C31" s="586" t="str">
        <f>'General inputs'!D35</f>
        <v>Rail</v>
      </c>
      <c r="D31" s="194">
        <f>'General inputs'!E35</f>
        <v>15</v>
      </c>
      <c r="E31" s="201" t="str">
        <f>'General inputs'!F35</f>
        <v>Off-peak</v>
      </c>
      <c r="F31" s="194">
        <f>'General inputs'!C35</f>
        <v>7</v>
      </c>
      <c r="G31" s="194"/>
      <c r="H31" s="183">
        <f>'General inputs'!G35</f>
        <v>2.9954954954954949</v>
      </c>
      <c r="I31" s="535">
        <v>3.1478915849830167</v>
      </c>
      <c r="J31" s="183">
        <f t="shared" si="1"/>
        <v>0.15239608948752181</v>
      </c>
      <c r="K31" s="195"/>
      <c r="L31" s="191"/>
      <c r="M31" s="195"/>
      <c r="O31" s="191"/>
      <c r="P31" s="195"/>
      <c r="R31" s="191" t="str">
        <f t="shared" si="2"/>
        <v>Rail Off-peak 15km</v>
      </c>
      <c r="S31" s="183">
        <f>H31*'General inputs'!$R$29</f>
        <v>3.3249999999999997</v>
      </c>
      <c r="T31" s="218">
        <f>I31*'General inputs'!$R$29</f>
        <v>3.494159659331149</v>
      </c>
      <c r="Y31" s="594"/>
    </row>
    <row r="32" spans="2:36" x14ac:dyDescent="0.25">
      <c r="B32" s="211"/>
      <c r="C32" s="587" t="str">
        <f>'General inputs'!D36</f>
        <v>Rail</v>
      </c>
      <c r="D32" s="199">
        <f>'General inputs'!E36</f>
        <v>25</v>
      </c>
      <c r="E32" s="588" t="str">
        <f>'General inputs'!F36</f>
        <v>Off-peak</v>
      </c>
      <c r="F32" s="199">
        <f>'General inputs'!C36</f>
        <v>8</v>
      </c>
      <c r="G32" s="199"/>
      <c r="H32" s="589">
        <f>'General inputs'!G36</f>
        <v>3.4432432432432427</v>
      </c>
      <c r="I32" s="536">
        <v>5.5151292393233886</v>
      </c>
      <c r="J32" s="589">
        <f t="shared" si="1"/>
        <v>2.0718859960801459</v>
      </c>
      <c r="K32" s="595"/>
      <c r="L32" s="308"/>
      <c r="M32" s="595"/>
      <c r="O32" s="191"/>
      <c r="P32" s="195"/>
      <c r="R32" s="191" t="str">
        <f t="shared" si="2"/>
        <v>Rail Off-peak 25km</v>
      </c>
      <c r="S32" s="183">
        <f>H32*'General inputs'!$R$29</f>
        <v>3.8219999999999996</v>
      </c>
      <c r="T32" s="218">
        <f>I32*'General inputs'!$R$29</f>
        <v>6.1217934556489615</v>
      </c>
      <c r="Y32" s="594"/>
    </row>
    <row r="33" spans="2:25" x14ac:dyDescent="0.25">
      <c r="B33" s="211"/>
      <c r="C33" s="583" t="str">
        <f>'General inputs'!D37</f>
        <v>Bus</v>
      </c>
      <c r="D33" s="200">
        <f>'General inputs'!E37</f>
        <v>2</v>
      </c>
      <c r="E33" s="584" t="str">
        <f>'General inputs'!F37</f>
        <v>Peak</v>
      </c>
      <c r="F33" s="200">
        <f>'General inputs'!C37</f>
        <v>9</v>
      </c>
      <c r="G33" s="200"/>
      <c r="H33" s="585">
        <f>'General inputs'!G37</f>
        <v>2.6216216216216215</v>
      </c>
      <c r="I33" s="534">
        <v>1.71953063496962</v>
      </c>
      <c r="J33" s="585">
        <f t="shared" si="1"/>
        <v>-0.90209098665200149</v>
      </c>
      <c r="K33" s="590"/>
      <c r="L33" s="591" cm="1">
        <f t="array" ref="L33:M33">LINEST(I33:I36,D33:D36,TRUE,FALSE)</f>
        <v>0.9993110351509914</v>
      </c>
      <c r="M33" s="592">
        <v>-0.16837802192373807</v>
      </c>
      <c r="O33" s="593">
        <f>I37-I33</f>
        <v>-0.69803945356650487</v>
      </c>
      <c r="P33" s="537">
        <f>O33/I33</f>
        <v>-0.40594766930618692</v>
      </c>
      <c r="R33" s="191" t="str">
        <f t="shared" si="2"/>
        <v>Bus Peak 2km</v>
      </c>
      <c r="S33" s="183">
        <f>H33*'General inputs'!$R$29</f>
        <v>2.91</v>
      </c>
      <c r="T33" s="218">
        <f>I33*'General inputs'!$R$29</f>
        <v>1.9086790048162783</v>
      </c>
      <c r="Y33" s="594"/>
    </row>
    <row r="34" spans="2:25" x14ac:dyDescent="0.25">
      <c r="B34" s="211"/>
      <c r="C34" s="586" t="str">
        <f>'General inputs'!D38</f>
        <v>Bus</v>
      </c>
      <c r="D34" s="194">
        <f>'General inputs'!E38</f>
        <v>5</v>
      </c>
      <c r="E34" s="201" t="str">
        <f>'General inputs'!F38</f>
        <v>Peak</v>
      </c>
      <c r="F34" s="194">
        <f>'General inputs'!C38</f>
        <v>10</v>
      </c>
      <c r="G34" s="194"/>
      <c r="H34" s="183">
        <f>'General inputs'!G38</f>
        <v>3.5675675675675671</v>
      </c>
      <c r="I34" s="535">
        <v>4.9006679262013941</v>
      </c>
      <c r="J34" s="183">
        <f t="shared" si="1"/>
        <v>1.333100358633827</v>
      </c>
      <c r="K34" s="195"/>
      <c r="L34" s="191"/>
      <c r="M34" s="195"/>
      <c r="O34" s="586">
        <f>I38-I34</f>
        <v>-1.0844678464153228</v>
      </c>
      <c r="P34" s="538">
        <f>O34/I34</f>
        <v>-0.22128980431773829</v>
      </c>
      <c r="R34" s="191" t="str">
        <f t="shared" si="2"/>
        <v>Bus Peak 5km</v>
      </c>
      <c r="S34" s="183">
        <f>H34*'General inputs'!$R$29</f>
        <v>3.96</v>
      </c>
      <c r="T34" s="218">
        <f>I34*'General inputs'!$R$29</f>
        <v>5.4397413980835481</v>
      </c>
      <c r="Y34" s="594"/>
    </row>
    <row r="35" spans="2:25" x14ac:dyDescent="0.25">
      <c r="B35" s="211"/>
      <c r="C35" s="586" t="str">
        <f>'General inputs'!D39</f>
        <v>Bus</v>
      </c>
      <c r="D35" s="194">
        <f>'General inputs'!E39</f>
        <v>15</v>
      </c>
      <c r="E35" s="201" t="str">
        <f>'General inputs'!F39</f>
        <v>Peak</v>
      </c>
      <c r="F35" s="194">
        <f>'General inputs'!C39</f>
        <v>11</v>
      </c>
      <c r="G35" s="194"/>
      <c r="H35" s="183">
        <f>'General inputs'!G39</f>
        <v>4.5855855855855854</v>
      </c>
      <c r="I35" s="535">
        <v>14.930946811440608</v>
      </c>
      <c r="J35" s="183">
        <f t="shared" si="1"/>
        <v>10.345361225855022</v>
      </c>
      <c r="K35" s="195"/>
      <c r="L35" s="191"/>
      <c r="M35" s="195"/>
      <c r="O35" s="586">
        <f>I39-I35</f>
        <v>-2.0821056054056122</v>
      </c>
      <c r="P35" s="538">
        <f>O35/I35</f>
        <v>-0.13944900023421361</v>
      </c>
      <c r="R35" s="191" t="str">
        <f t="shared" si="2"/>
        <v>Bus Peak 15km</v>
      </c>
      <c r="S35" s="183">
        <f>H35*'General inputs'!$R$29</f>
        <v>5.09</v>
      </c>
      <c r="T35" s="218">
        <f>I35*'General inputs'!$R$29</f>
        <v>16.573350960699077</v>
      </c>
      <c r="Y35" s="594"/>
    </row>
    <row r="36" spans="2:25" x14ac:dyDescent="0.25">
      <c r="B36" s="211"/>
      <c r="C36" s="587" t="str">
        <f>'General inputs'!D40</f>
        <v>Bus</v>
      </c>
      <c r="D36" s="199">
        <f>'General inputs'!E40</f>
        <v>25</v>
      </c>
      <c r="E36" s="588" t="str">
        <f>'General inputs'!F40</f>
        <v>Peak</v>
      </c>
      <c r="F36" s="199">
        <f>'General inputs'!C40</f>
        <v>12</v>
      </c>
      <c r="G36" s="199"/>
      <c r="H36" s="589">
        <f>'General inputs'!G40</f>
        <v>4.5855855855855854</v>
      </c>
      <c r="I36" s="536">
        <v>24.742961191790023</v>
      </c>
      <c r="J36" s="589">
        <f t="shared" si="1"/>
        <v>20.15737560620444</v>
      </c>
      <c r="K36" s="595"/>
      <c r="L36" s="308"/>
      <c r="M36" s="595"/>
      <c r="O36" s="586">
        <f>I40-I36</f>
        <v>-2.8676338674645905</v>
      </c>
      <c r="P36" s="538">
        <f>O36/I36</f>
        <v>-0.11589695530929831</v>
      </c>
      <c r="R36" s="191" t="str">
        <f t="shared" si="2"/>
        <v>Bus Peak 25km</v>
      </c>
      <c r="S36" s="183">
        <f>H36*'General inputs'!$R$29</f>
        <v>5.09</v>
      </c>
      <c r="T36" s="218">
        <f>I36*'General inputs'!$R$29</f>
        <v>27.46468692288693</v>
      </c>
      <c r="Y36" s="594"/>
    </row>
    <row r="37" spans="2:25" x14ac:dyDescent="0.25">
      <c r="B37" s="211"/>
      <c r="C37" s="583" t="str">
        <f>'General inputs'!D41</f>
        <v>Bus</v>
      </c>
      <c r="D37" s="200">
        <f>'General inputs'!E41</f>
        <v>2</v>
      </c>
      <c r="E37" s="584" t="str">
        <f>'General inputs'!F41</f>
        <v>Off-peak</v>
      </c>
      <c r="F37" s="200">
        <f>'General inputs'!C41</f>
        <v>13</v>
      </c>
      <c r="G37" s="200"/>
      <c r="H37" s="585">
        <f>'General inputs'!G41</f>
        <v>1.8351351351351348</v>
      </c>
      <c r="I37" s="534">
        <v>1.0214911814031151</v>
      </c>
      <c r="J37" s="585">
        <f t="shared" si="1"/>
        <v>-0.8136439537320197</v>
      </c>
      <c r="K37" s="590"/>
      <c r="L37" s="591" cm="1">
        <f t="array" ref="L37:M37">LINEST(I37:I40,D37:D40,TRUE,FALSE)</f>
        <v>0.90554837462797055</v>
      </c>
      <c r="M37" s="592">
        <v>-0.74972845399125099</v>
      </c>
      <c r="O37" s="191"/>
      <c r="P37" s="195"/>
      <c r="R37" s="191" t="str">
        <f t="shared" si="2"/>
        <v>Bus Off-peak 2km</v>
      </c>
      <c r="S37" s="183">
        <f>H37*'General inputs'!$R$29</f>
        <v>2.0369999999999999</v>
      </c>
      <c r="T37" s="218">
        <f>I37*'General inputs'!$R$29</f>
        <v>1.1338552113574578</v>
      </c>
      <c r="Y37" s="594"/>
    </row>
    <row r="38" spans="2:25" x14ac:dyDescent="0.25">
      <c r="B38" s="211"/>
      <c r="C38" s="586" t="str">
        <f>'General inputs'!D42</f>
        <v>Bus</v>
      </c>
      <c r="D38" s="194">
        <f>'General inputs'!E42</f>
        <v>5</v>
      </c>
      <c r="E38" s="201" t="str">
        <f>'General inputs'!F42</f>
        <v>Off-peak</v>
      </c>
      <c r="F38" s="194">
        <f>'General inputs'!C42</f>
        <v>14</v>
      </c>
      <c r="G38" s="194"/>
      <c r="H38" s="183">
        <f>'General inputs'!G42</f>
        <v>2.4972972972972971</v>
      </c>
      <c r="I38" s="535">
        <v>3.8162000797860713</v>
      </c>
      <c r="J38" s="183">
        <f t="shared" si="1"/>
        <v>1.3189027824887742</v>
      </c>
      <c r="K38" s="195"/>
      <c r="L38" s="191"/>
      <c r="M38" s="195"/>
      <c r="O38" s="191"/>
      <c r="P38" s="195"/>
      <c r="R38" s="191" t="str">
        <f t="shared" si="2"/>
        <v>Bus Off-peak 5km</v>
      </c>
      <c r="S38" s="183">
        <f>H38*'General inputs'!$R$29</f>
        <v>2.7720000000000002</v>
      </c>
      <c r="T38" s="218">
        <f>I38*'General inputs'!$R$29</f>
        <v>4.2359820885625394</v>
      </c>
      <c r="Y38" s="594"/>
    </row>
    <row r="39" spans="2:25" x14ac:dyDescent="0.25">
      <c r="B39" s="211"/>
      <c r="C39" s="586" t="str">
        <f>'General inputs'!D43</f>
        <v>Bus</v>
      </c>
      <c r="D39" s="194">
        <f>'General inputs'!E43</f>
        <v>15</v>
      </c>
      <c r="E39" s="201" t="str">
        <f>'General inputs'!F43</f>
        <v>Off-peak</v>
      </c>
      <c r="F39" s="194">
        <f>'General inputs'!C43</f>
        <v>15</v>
      </c>
      <c r="G39" s="194"/>
      <c r="H39" s="183">
        <f>'General inputs'!G43</f>
        <v>3.2099099099099093</v>
      </c>
      <c r="I39" s="535">
        <v>12.848841206034995</v>
      </c>
      <c r="J39" s="183">
        <f t="shared" si="1"/>
        <v>9.6389312961250866</v>
      </c>
      <c r="K39" s="195"/>
      <c r="L39" s="191"/>
      <c r="M39" s="195"/>
      <c r="O39" s="191"/>
      <c r="P39" s="195"/>
      <c r="R39" s="191" t="str">
        <f t="shared" si="2"/>
        <v>Bus Off-peak 15km</v>
      </c>
      <c r="S39" s="183">
        <f>H39*'General inputs'!$R$29</f>
        <v>3.5629999999999997</v>
      </c>
      <c r="T39" s="218">
        <f>I39*'General inputs'!$R$29</f>
        <v>14.262213738698847</v>
      </c>
      <c r="Y39" s="594"/>
    </row>
    <row r="40" spans="2:25" x14ac:dyDescent="0.25">
      <c r="B40" s="211"/>
      <c r="C40" s="587" t="str">
        <f>'General inputs'!D44</f>
        <v>Bus</v>
      </c>
      <c r="D40" s="199">
        <f>'General inputs'!E44</f>
        <v>25</v>
      </c>
      <c r="E40" s="588" t="str">
        <f>'General inputs'!F44</f>
        <v>Off-peak</v>
      </c>
      <c r="F40" s="199">
        <f>'General inputs'!C44</f>
        <v>16</v>
      </c>
      <c r="G40" s="199"/>
      <c r="H40" s="589">
        <f>'General inputs'!G44</f>
        <v>3.2099099099099093</v>
      </c>
      <c r="I40" s="536">
        <v>21.875327324325433</v>
      </c>
      <c r="J40" s="589">
        <f t="shared" si="1"/>
        <v>18.665417414415522</v>
      </c>
      <c r="K40" s="595"/>
      <c r="L40" s="308"/>
      <c r="M40" s="595"/>
      <c r="O40" s="191"/>
      <c r="P40" s="195"/>
      <c r="R40" s="191" t="str">
        <f t="shared" si="2"/>
        <v>Bus Off-peak 25km</v>
      </c>
      <c r="S40" s="183">
        <f>H40*'General inputs'!$R$29</f>
        <v>3.5629999999999997</v>
      </c>
      <c r="T40" s="218">
        <f>I40*'General inputs'!$R$29</f>
        <v>24.281613330001232</v>
      </c>
      <c r="Y40" s="594"/>
    </row>
    <row r="41" spans="2:25" x14ac:dyDescent="0.25">
      <c r="B41" s="211"/>
      <c r="C41" s="583" t="str">
        <f>'General inputs'!D45</f>
        <v>Ferry</v>
      </c>
      <c r="D41" s="200">
        <f>'General inputs'!E45</f>
        <v>2</v>
      </c>
      <c r="E41" s="584" t="str">
        <f>'General inputs'!F45</f>
        <v>Peak</v>
      </c>
      <c r="F41" s="200">
        <f>'General inputs'!C45</f>
        <v>17</v>
      </c>
      <c r="G41" s="200"/>
      <c r="H41" s="585">
        <f>'General inputs'!G45</f>
        <v>5.8378378378378377</v>
      </c>
      <c r="I41" s="534">
        <v>3.1048604445955839</v>
      </c>
      <c r="J41" s="585">
        <f t="shared" si="1"/>
        <v>-2.7329773932422539</v>
      </c>
      <c r="K41" s="590"/>
      <c r="L41" s="591" cm="1">
        <f t="array" ref="L41:M41">LINEST(I41:I44,D41:D44,TRUE,FALSE)</f>
        <v>1.6414534318427916</v>
      </c>
      <c r="M41" s="592">
        <v>-8.7191334281467192E-2</v>
      </c>
      <c r="O41" s="593">
        <f>I45-I41</f>
        <v>-0.49559179288198285</v>
      </c>
      <c r="P41" s="537">
        <f>O41/I41</f>
        <v>-0.15961805747006286</v>
      </c>
      <c r="R41" s="191" t="str">
        <f t="shared" si="2"/>
        <v>Ferry Peak 2km</v>
      </c>
      <c r="S41" s="183">
        <f>H41*'General inputs'!$R$29</f>
        <v>6.48</v>
      </c>
      <c r="T41" s="218">
        <f>I41*'General inputs'!$R$29</f>
        <v>3.4463950935010983</v>
      </c>
      <c r="Y41" s="594"/>
    </row>
    <row r="42" spans="2:25" x14ac:dyDescent="0.25">
      <c r="B42" s="211"/>
      <c r="C42" s="586" t="str">
        <f>'General inputs'!D46</f>
        <v>Ferry</v>
      </c>
      <c r="D42" s="194">
        <f>'General inputs'!E46</f>
        <v>5</v>
      </c>
      <c r="E42" s="201" t="str">
        <f>'General inputs'!F46</f>
        <v>Peak</v>
      </c>
      <c r="F42" s="194">
        <f>'General inputs'!C46</f>
        <v>18</v>
      </c>
      <c r="G42" s="194"/>
      <c r="H42" s="183">
        <f>'General inputs'!G46</f>
        <v>5.8378378378378377</v>
      </c>
      <c r="I42" s="535">
        <v>8.1200666258812824</v>
      </c>
      <c r="J42" s="183">
        <f t="shared" si="1"/>
        <v>2.2822287880434446</v>
      </c>
      <c r="K42" s="195"/>
      <c r="L42" s="191"/>
      <c r="M42" s="195"/>
      <c r="O42" s="586">
        <f>I46-I42</f>
        <v>-1.545938330696992</v>
      </c>
      <c r="P42" s="538">
        <f>O42/I42</f>
        <v>-0.19038493178979418</v>
      </c>
      <c r="R42" s="191" t="str">
        <f t="shared" si="2"/>
        <v>Ferry Peak 5km</v>
      </c>
      <c r="S42" s="183">
        <f>H42*'General inputs'!$R$29</f>
        <v>6.48</v>
      </c>
      <c r="T42" s="218">
        <f>I42*'General inputs'!$R$29</f>
        <v>9.0132739547282235</v>
      </c>
      <c r="Y42" s="594"/>
    </row>
    <row r="43" spans="2:25" hidden="1" x14ac:dyDescent="0.25">
      <c r="B43" s="211"/>
      <c r="C43" s="586" t="str">
        <f>'General inputs'!D47</f>
        <v>Ferry</v>
      </c>
      <c r="D43" s="194">
        <f>'General inputs'!E47</f>
        <v>15</v>
      </c>
      <c r="E43" s="201" t="str">
        <f>'General inputs'!F47</f>
        <v>Peak</v>
      </c>
      <c r="F43" s="194">
        <f>'General inputs'!C47</f>
        <v>19</v>
      </c>
      <c r="G43" s="194"/>
      <c r="H43" s="183">
        <f>'General inputs'!G47</f>
        <v>7.306306306306305</v>
      </c>
      <c r="I43" s="535">
        <v>24.743595236522438</v>
      </c>
      <c r="J43" s="183">
        <f t="shared" si="1"/>
        <v>17.437288930216134</v>
      </c>
      <c r="K43" s="195"/>
      <c r="L43" s="191"/>
      <c r="M43" s="195"/>
      <c r="O43" s="586">
        <f>I47-I43</f>
        <v>-4.9269465535538401</v>
      </c>
      <c r="P43" s="538">
        <f>O43/I43</f>
        <v>-0.19912007557743627</v>
      </c>
      <c r="R43" s="191" t="str">
        <f t="shared" si="2"/>
        <v>Ferry Peak 15km</v>
      </c>
      <c r="S43" s="183">
        <f>H43*'General inputs'!$R$29</f>
        <v>8.11</v>
      </c>
      <c r="T43" s="218">
        <f>I43*'General inputs'!$R$29</f>
        <v>27.465390712539907</v>
      </c>
      <c r="Y43" s="594"/>
    </row>
    <row r="44" spans="2:25" hidden="1" x14ac:dyDescent="0.25">
      <c r="B44" s="211"/>
      <c r="C44" s="587" t="str">
        <f>'General inputs'!D48</f>
        <v>Ferry</v>
      </c>
      <c r="D44" s="199">
        <f>'General inputs'!E48</f>
        <v>25</v>
      </c>
      <c r="E44" s="588" t="str">
        <f>'General inputs'!F48</f>
        <v>Peak</v>
      </c>
      <c r="F44" s="199">
        <f>'General inputs'!C48</f>
        <v>20</v>
      </c>
      <c r="G44" s="199"/>
      <c r="H44" s="589">
        <f>'General inputs'!G48</f>
        <v>7.306306306306305</v>
      </c>
      <c r="I44" s="536">
        <v>40.831023652486024</v>
      </c>
      <c r="J44" s="589">
        <f t="shared" si="1"/>
        <v>33.52471734617972</v>
      </c>
      <c r="K44" s="595"/>
      <c r="L44" s="308"/>
      <c r="M44" s="595"/>
      <c r="O44" s="586">
        <f>I48-I44</f>
        <v>-8.1638887818630153</v>
      </c>
      <c r="P44" s="538">
        <f>O44/I44</f>
        <v>-0.1999432796822852</v>
      </c>
      <c r="R44" s="191" t="str">
        <f t="shared" si="2"/>
        <v>Ferry Peak 25km</v>
      </c>
      <c r="S44" s="183">
        <f>H44*'General inputs'!$R$29</f>
        <v>8.11</v>
      </c>
      <c r="T44" s="218">
        <f>I44*'General inputs'!$R$29</f>
        <v>45.322436254259493</v>
      </c>
      <c r="Y44" s="594"/>
    </row>
    <row r="45" spans="2:25" x14ac:dyDescent="0.25">
      <c r="B45" s="211"/>
      <c r="C45" s="583" t="str">
        <f>'General inputs'!D49</f>
        <v>Ferry</v>
      </c>
      <c r="D45" s="200">
        <f>'General inputs'!E49</f>
        <v>2</v>
      </c>
      <c r="E45" s="584" t="str">
        <f>'General inputs'!F49</f>
        <v>Off-peak</v>
      </c>
      <c r="F45" s="200">
        <f>'General inputs'!C49</f>
        <v>21</v>
      </c>
      <c r="G45" s="200"/>
      <c r="H45" s="585">
        <f>'General inputs'!G49</f>
        <v>5.8378378378378377</v>
      </c>
      <c r="I45" s="534">
        <v>2.609268651713601</v>
      </c>
      <c r="J45" s="585">
        <f t="shared" si="1"/>
        <v>-3.2285691861242367</v>
      </c>
      <c r="K45" s="590"/>
      <c r="L45" s="591" cm="1">
        <f t="array" ref="L45:M45">LINEST(I45:I48,D45:D48,TRUE,FALSE)</f>
        <v>1.3081190815874559</v>
      </c>
      <c r="M45" s="592">
        <v>4.6395916469768039E-2</v>
      </c>
      <c r="O45" s="191"/>
      <c r="P45" s="195"/>
      <c r="R45" s="191" t="str">
        <f t="shared" si="2"/>
        <v>Ferry Off-peak 2km</v>
      </c>
      <c r="S45" s="183">
        <f>H45*'General inputs'!$R$29</f>
        <v>6.48</v>
      </c>
      <c r="T45" s="218">
        <f>I45*'General inputs'!$R$29</f>
        <v>2.8962882034020976</v>
      </c>
      <c r="Y45" s="594"/>
    </row>
    <row r="46" spans="2:25" x14ac:dyDescent="0.25">
      <c r="B46" s="211"/>
      <c r="C46" s="586" t="str">
        <f>'General inputs'!D50</f>
        <v>Ferry</v>
      </c>
      <c r="D46" s="194">
        <f>'General inputs'!E50</f>
        <v>5</v>
      </c>
      <c r="E46" s="201" t="str">
        <f>'General inputs'!F50</f>
        <v>Off-peak</v>
      </c>
      <c r="F46" s="194">
        <f>'General inputs'!C50</f>
        <v>22</v>
      </c>
      <c r="G46" s="194"/>
      <c r="H46" s="183">
        <f>'General inputs'!G50</f>
        <v>5.8378378378378377</v>
      </c>
      <c r="I46" s="535">
        <v>6.5741282951842903</v>
      </c>
      <c r="J46" s="183">
        <f t="shared" si="1"/>
        <v>0.7362904573464526</v>
      </c>
      <c r="K46" s="195"/>
      <c r="L46" s="191"/>
      <c r="M46" s="195"/>
      <c r="O46" s="191"/>
      <c r="P46" s="195"/>
      <c r="R46" s="191" t="str">
        <f t="shared" si="2"/>
        <v>Ferry Off-peak 5km</v>
      </c>
      <c r="S46" s="183">
        <f>H46*'General inputs'!$R$29</f>
        <v>6.48</v>
      </c>
      <c r="T46" s="218">
        <f>I46*'General inputs'!$R$29</f>
        <v>7.2972824076545626</v>
      </c>
      <c r="Y46" s="594"/>
    </row>
    <row r="47" spans="2:25" hidden="1" x14ac:dyDescent="0.25">
      <c r="B47" s="211"/>
      <c r="C47" s="586" t="str">
        <f>'General inputs'!D51</f>
        <v>Ferry</v>
      </c>
      <c r="D47" s="194">
        <f>'General inputs'!E51</f>
        <v>15</v>
      </c>
      <c r="E47" s="201" t="str">
        <f>'General inputs'!F51</f>
        <v>Off-peak</v>
      </c>
      <c r="F47" s="194">
        <f>'General inputs'!C51</f>
        <v>23</v>
      </c>
      <c r="G47" s="194"/>
      <c r="H47" s="183">
        <f>'General inputs'!G51</f>
        <v>7.306306306306305</v>
      </c>
      <c r="I47" s="535">
        <v>19.816648682968598</v>
      </c>
      <c r="J47" s="183">
        <f t="shared" si="1"/>
        <v>12.510342376662294</v>
      </c>
      <c r="K47" s="195"/>
      <c r="L47" s="191"/>
      <c r="M47" s="195"/>
      <c r="O47" s="191"/>
      <c r="P47" s="195"/>
      <c r="R47" s="191" t="str">
        <f t="shared" si="2"/>
        <v>Ferry Off-peak 15km</v>
      </c>
      <c r="S47" s="183">
        <f>H47*'General inputs'!$R$29</f>
        <v>8.11</v>
      </c>
      <c r="T47" s="218">
        <f>I47*'General inputs'!$R$29</f>
        <v>21.996480038095147</v>
      </c>
      <c r="Y47" s="594"/>
    </row>
    <row r="48" spans="2:25" hidden="1" x14ac:dyDescent="0.25">
      <c r="B48" s="211"/>
      <c r="C48" s="587" t="str">
        <f>'General inputs'!D52</f>
        <v>Ferry</v>
      </c>
      <c r="D48" s="199">
        <f>'General inputs'!E52</f>
        <v>25</v>
      </c>
      <c r="E48" s="588" t="str">
        <f>'General inputs'!F52</f>
        <v>Off-peak</v>
      </c>
      <c r="F48" s="199">
        <f>'General inputs'!C52</f>
        <v>24</v>
      </c>
      <c r="G48" s="199"/>
      <c r="H48" s="589">
        <f>'General inputs'!G52</f>
        <v>7.306306306306305</v>
      </c>
      <c r="I48" s="536">
        <v>32.667134870623009</v>
      </c>
      <c r="J48" s="589">
        <f t="shared" si="1"/>
        <v>25.360828564316705</v>
      </c>
      <c r="K48" s="595"/>
      <c r="L48" s="308"/>
      <c r="M48" s="595"/>
      <c r="O48" s="191"/>
      <c r="P48" s="195"/>
      <c r="R48" s="191" t="str">
        <f t="shared" si="2"/>
        <v>Ferry Off-peak 25km</v>
      </c>
      <c r="S48" s="183">
        <f>H48*'General inputs'!$R$29</f>
        <v>8.11</v>
      </c>
      <c r="T48" s="218">
        <f>I48*'General inputs'!$R$29</f>
        <v>36.260519706391541</v>
      </c>
      <c r="Y48" s="594"/>
    </row>
    <row r="49" spans="2:36" x14ac:dyDescent="0.25">
      <c r="B49" s="211"/>
      <c r="C49" s="583" t="str">
        <f>'General inputs'!D53</f>
        <v>Light Rail</v>
      </c>
      <c r="D49" s="200">
        <f>'General inputs'!E53</f>
        <v>2</v>
      </c>
      <c r="E49" s="584" t="str">
        <f>'General inputs'!F53</f>
        <v>Peak</v>
      </c>
      <c r="F49" s="200">
        <f>'General inputs'!C53</f>
        <v>25</v>
      </c>
      <c r="G49" s="200"/>
      <c r="H49" s="585">
        <f>'General inputs'!G53</f>
        <v>2.6216216216216215</v>
      </c>
      <c r="I49" s="534">
        <v>1.0307912484022923</v>
      </c>
      <c r="J49" s="585">
        <f t="shared" si="1"/>
        <v>-1.5908303732193292</v>
      </c>
      <c r="K49" s="590"/>
      <c r="L49" s="591" cm="1">
        <f t="array" ref="L49:M49">LINEST(I49:I52,D49:D52,TRUE,FALSE)</f>
        <v>1.049689884155161</v>
      </c>
      <c r="M49" s="592">
        <v>-0.87074250345686721</v>
      </c>
      <c r="O49" s="593">
        <f>I53-I49</f>
        <v>-0.41329906491324808</v>
      </c>
      <c r="P49" s="537">
        <f>O49/I49</f>
        <v>-0.40095321487629443</v>
      </c>
      <c r="R49" s="191" t="str">
        <f t="shared" si="2"/>
        <v>Light Rail Peak 2km</v>
      </c>
      <c r="S49" s="183">
        <f>H49*'General inputs'!$R$29</f>
        <v>2.91</v>
      </c>
      <c r="T49" s="218">
        <f>I49*'General inputs'!$R$29</f>
        <v>1.1441782857265446</v>
      </c>
      <c r="Y49" s="594"/>
    </row>
    <row r="50" spans="2:36" x14ac:dyDescent="0.25">
      <c r="B50" s="211"/>
      <c r="C50" s="586" t="str">
        <f>'General inputs'!D54</f>
        <v>Light Rail</v>
      </c>
      <c r="D50" s="194">
        <f>'General inputs'!E54</f>
        <v>5</v>
      </c>
      <c r="E50" s="201" t="str">
        <f>'General inputs'!F54</f>
        <v>Peak</v>
      </c>
      <c r="F50" s="194">
        <f>'General inputs'!C54</f>
        <v>26</v>
      </c>
      <c r="G50" s="194"/>
      <c r="H50" s="183">
        <f>'General inputs'!G54</f>
        <v>3.5675675675675671</v>
      </c>
      <c r="I50" s="535">
        <v>4.4883281990998745</v>
      </c>
      <c r="J50" s="183">
        <f t="shared" si="1"/>
        <v>0.92076063153230736</v>
      </c>
      <c r="K50" s="195"/>
      <c r="L50" s="191"/>
      <c r="M50" s="195"/>
      <c r="O50" s="586">
        <f>I54-I50</f>
        <v>-1.9179521416737382</v>
      </c>
      <c r="P50" s="538">
        <f>O50/I50</f>
        <v>-0.42731994109931171</v>
      </c>
      <c r="R50" s="191" t="str">
        <f t="shared" si="2"/>
        <v>Light Rail Peak 5km</v>
      </c>
      <c r="S50" s="183">
        <f>H50*'General inputs'!$R$29</f>
        <v>3.96</v>
      </c>
      <c r="T50" s="218">
        <f>I50*'General inputs'!$R$29</f>
        <v>4.9820443010008608</v>
      </c>
      <c r="Y50" s="594"/>
    </row>
    <row r="51" spans="2:36" hidden="1" x14ac:dyDescent="0.25">
      <c r="B51" s="211"/>
      <c r="C51" s="586" t="str">
        <f>'General inputs'!D55</f>
        <v>Light Rail</v>
      </c>
      <c r="D51" s="194">
        <f>'General inputs'!E55</f>
        <v>15</v>
      </c>
      <c r="E51" s="201" t="str">
        <f>'General inputs'!F55</f>
        <v>Peak</v>
      </c>
      <c r="F51" s="194">
        <f>'General inputs'!C55</f>
        <v>27</v>
      </c>
      <c r="G51" s="194"/>
      <c r="H51" s="183">
        <f>'General inputs'!G55</f>
        <v>4.5855855855855854</v>
      </c>
      <c r="I51" s="535">
        <v>15.108409033146341</v>
      </c>
      <c r="J51" s="183">
        <f t="shared" si="1"/>
        <v>10.522823447560755</v>
      </c>
      <c r="K51" s="195"/>
      <c r="L51" s="191"/>
      <c r="M51" s="195"/>
      <c r="O51" s="586">
        <f>I55-I51</f>
        <v>-6.5753635908976111</v>
      </c>
      <c r="P51" s="538">
        <f>O51/I51</f>
        <v>-0.43521217730284639</v>
      </c>
      <c r="R51" s="191" t="str">
        <f t="shared" si="2"/>
        <v>Light Rail Peak 15km</v>
      </c>
      <c r="S51" s="183">
        <f>H51*'General inputs'!$R$29</f>
        <v>5.09</v>
      </c>
      <c r="T51" s="218">
        <f>I51*'General inputs'!$R$29</f>
        <v>16.77033402679244</v>
      </c>
      <c r="Y51" s="594"/>
    </row>
    <row r="52" spans="2:36" hidden="1" x14ac:dyDescent="0.25">
      <c r="B52" s="211"/>
      <c r="C52" s="587" t="str">
        <f>'General inputs'!D56</f>
        <v>Light Rail</v>
      </c>
      <c r="D52" s="199">
        <f>'General inputs'!E56</f>
        <v>25</v>
      </c>
      <c r="E52" s="588" t="str">
        <f>'General inputs'!F56</f>
        <v>Peak</v>
      </c>
      <c r="F52" s="199">
        <f>'General inputs'!C56</f>
        <v>28</v>
      </c>
      <c r="G52" s="199"/>
      <c r="H52" s="589">
        <f>'General inputs'!G56</f>
        <v>4.5855855855855854</v>
      </c>
      <c r="I52" s="536">
        <v>25.224926060816582</v>
      </c>
      <c r="J52" s="589">
        <f t="shared" si="1"/>
        <v>20.639340475230995</v>
      </c>
      <c r="K52" s="595"/>
      <c r="L52" s="308"/>
      <c r="M52" s="595"/>
      <c r="O52" s="586">
        <f>I56-I52</f>
        <v>-11.068898263311356</v>
      </c>
      <c r="P52" s="538">
        <f>O52/I52</f>
        <v>-0.43880795672600015</v>
      </c>
      <c r="R52" s="191" t="str">
        <f t="shared" si="2"/>
        <v>Light Rail Peak 25km</v>
      </c>
      <c r="S52" s="183">
        <f>H52*'General inputs'!$R$29</f>
        <v>5.09</v>
      </c>
      <c r="T52" s="218">
        <f>I52*'General inputs'!$R$29</f>
        <v>27.999667927506408</v>
      </c>
      <c r="Y52" s="594"/>
    </row>
    <row r="53" spans="2:36" x14ac:dyDescent="0.25">
      <c r="B53" s="211"/>
      <c r="C53" s="583" t="str">
        <f>'General inputs'!D57</f>
        <v>Light Rail</v>
      </c>
      <c r="D53" s="200">
        <f>'General inputs'!E57</f>
        <v>2</v>
      </c>
      <c r="E53" s="584" t="str">
        <f>'General inputs'!F57</f>
        <v>Off-peak</v>
      </c>
      <c r="F53" s="200">
        <f>'General inputs'!C57</f>
        <v>29</v>
      </c>
      <c r="G53" s="200"/>
      <c r="H53" s="585">
        <f>'General inputs'!G57</f>
        <v>1.8351351351351348</v>
      </c>
      <c r="I53" s="534">
        <v>0.61749218348904422</v>
      </c>
      <c r="J53" s="585">
        <f t="shared" si="1"/>
        <v>-1.2176429516460905</v>
      </c>
      <c r="K53" s="590"/>
      <c r="L53" s="591" cm="1">
        <f t="array" ref="L53:M53">LINEST(I53:I56,D53:D56,TRUE,FALSE)</f>
        <v>0.58738845853896871</v>
      </c>
      <c r="M53" s="592">
        <v>-0.43257901766559748</v>
      </c>
      <c r="O53" s="191"/>
      <c r="P53" s="195"/>
      <c r="R53" s="191" t="str">
        <f t="shared" si="2"/>
        <v>Light Rail Off-peak 2km</v>
      </c>
      <c r="S53" s="183">
        <f>H53*'General inputs'!$R$29</f>
        <v>2.0369999999999999</v>
      </c>
      <c r="T53" s="218">
        <f>I53*'General inputs'!$R$29</f>
        <v>0.68541632367283911</v>
      </c>
      <c r="Y53" s="594"/>
    </row>
    <row r="54" spans="2:36" x14ac:dyDescent="0.25">
      <c r="B54" s="211"/>
      <c r="C54" s="586" t="str">
        <f>'General inputs'!D58</f>
        <v>Light Rail</v>
      </c>
      <c r="D54" s="194">
        <f>'General inputs'!E58</f>
        <v>5</v>
      </c>
      <c r="E54" s="201" t="str">
        <f>'General inputs'!F58</f>
        <v>Off-peak</v>
      </c>
      <c r="F54" s="194">
        <f>'General inputs'!C58</f>
        <v>30</v>
      </c>
      <c r="G54" s="194"/>
      <c r="H54" s="183">
        <f>'General inputs'!G58</f>
        <v>2.4972972972972971</v>
      </c>
      <c r="I54" s="535">
        <v>2.5703760574261363</v>
      </c>
      <c r="J54" s="183">
        <f t="shared" si="1"/>
        <v>7.3078760128839182E-2</v>
      </c>
      <c r="K54" s="195"/>
      <c r="L54" s="191"/>
      <c r="M54" s="195"/>
      <c r="O54" s="191"/>
      <c r="P54" s="195"/>
      <c r="R54" s="191" t="str">
        <f t="shared" si="2"/>
        <v>Light Rail Off-peak 5km</v>
      </c>
      <c r="S54" s="183">
        <f>H54*'General inputs'!$R$29</f>
        <v>2.7720000000000002</v>
      </c>
      <c r="T54" s="218">
        <f>I54*'General inputs'!$R$29</f>
        <v>2.8531174237430115</v>
      </c>
      <c r="Y54" s="594"/>
    </row>
    <row r="55" spans="2:36" hidden="1" x14ac:dyDescent="0.25">
      <c r="B55" s="211"/>
      <c r="C55" s="586" t="str">
        <f>'General inputs'!D59</f>
        <v>Light Rail</v>
      </c>
      <c r="D55" s="194">
        <f>'General inputs'!E59</f>
        <v>15</v>
      </c>
      <c r="E55" s="201" t="str">
        <f>'General inputs'!F59</f>
        <v>Off-peak</v>
      </c>
      <c r="F55" s="194">
        <f>'General inputs'!C59</f>
        <v>31</v>
      </c>
      <c r="G55" s="194"/>
      <c r="H55" s="183">
        <f>'General inputs'!G59</f>
        <v>3.2099099099099093</v>
      </c>
      <c r="I55" s="535">
        <v>8.5330454422487296</v>
      </c>
      <c r="J55" s="183">
        <f t="shared" si="1"/>
        <v>5.3231355323388208</v>
      </c>
      <c r="K55" s="195"/>
      <c r="L55" s="191"/>
      <c r="M55" s="195"/>
      <c r="O55" s="191"/>
      <c r="P55" s="195"/>
      <c r="R55" s="191" t="str">
        <f>C55&amp;" "&amp;E55&amp;" "&amp;D55&amp;"km"</f>
        <v>Light Rail Off-peak 15km</v>
      </c>
      <c r="S55" s="183">
        <f>H55</f>
        <v>3.2099099099099093</v>
      </c>
      <c r="T55" s="218">
        <f>I55</f>
        <v>8.5330454422487296</v>
      </c>
      <c r="Y55" s="594"/>
    </row>
    <row r="56" spans="2:36" hidden="1" x14ac:dyDescent="0.25">
      <c r="B56" s="211"/>
      <c r="C56" s="587" t="str">
        <f>'General inputs'!D60</f>
        <v>Light Rail</v>
      </c>
      <c r="D56" s="199">
        <f>'General inputs'!E60</f>
        <v>25</v>
      </c>
      <c r="E56" s="588" t="str">
        <f>'General inputs'!F60</f>
        <v>Off-peak</v>
      </c>
      <c r="F56" s="199">
        <f>'General inputs'!C60</f>
        <v>32</v>
      </c>
      <c r="G56" s="199"/>
      <c r="H56" s="589">
        <f>'General inputs'!G60</f>
        <v>3.2099099099099093</v>
      </c>
      <c r="I56" s="536">
        <v>14.156027797505226</v>
      </c>
      <c r="J56" s="589">
        <f t="shared" si="1"/>
        <v>10.946117887595317</v>
      </c>
      <c r="K56" s="595"/>
      <c r="L56" s="308"/>
      <c r="M56" s="595"/>
      <c r="O56" s="191"/>
      <c r="P56" s="195"/>
      <c r="R56" s="191" t="str">
        <f>C56&amp;" "&amp;E56&amp;" "&amp;D56&amp;"km"</f>
        <v>Light Rail Off-peak 25km</v>
      </c>
      <c r="S56" s="183">
        <f>H56</f>
        <v>3.2099099099099093</v>
      </c>
      <c r="T56" s="218">
        <f>I56</f>
        <v>14.156027797505226</v>
      </c>
      <c r="Y56" s="594"/>
    </row>
    <row r="57" spans="2:36" x14ac:dyDescent="0.25">
      <c r="B57" s="211"/>
      <c r="C57" s="196"/>
      <c r="D57" s="197"/>
      <c r="E57" s="197"/>
      <c r="F57" s="197"/>
      <c r="G57" s="197"/>
      <c r="H57" s="197"/>
      <c r="I57" s="197"/>
      <c r="J57" s="197"/>
      <c r="K57" s="198"/>
      <c r="L57" s="196"/>
      <c r="M57" s="198"/>
      <c r="O57" s="196"/>
      <c r="P57" s="198"/>
      <c r="R57" s="196"/>
      <c r="S57" s="197"/>
      <c r="T57" s="198"/>
    </row>
    <row r="58" spans="2:36" x14ac:dyDescent="0.25">
      <c r="B58" s="211"/>
      <c r="C58" s="11"/>
      <c r="D58" s="11"/>
      <c r="E58" s="11"/>
      <c r="F58" s="11"/>
      <c r="G58" s="11"/>
      <c r="H58" s="11"/>
      <c r="I58" s="11"/>
      <c r="J58" s="11"/>
      <c r="K58" s="11"/>
    </row>
    <row r="59" spans="2:36" x14ac:dyDescent="0.25">
      <c r="B59" s="211"/>
      <c r="C59" s="11"/>
      <c r="D59" s="11"/>
      <c r="E59" s="11"/>
      <c r="F59" s="11"/>
      <c r="G59" s="11"/>
      <c r="H59" s="11"/>
      <c r="I59" s="11"/>
      <c r="J59" s="11"/>
      <c r="K59" s="11"/>
    </row>
    <row r="60" spans="2:36" x14ac:dyDescent="0.25">
      <c r="B60" s="563"/>
      <c r="C60" s="563"/>
      <c r="D60" s="563"/>
      <c r="E60" s="563"/>
      <c r="F60" s="563"/>
      <c r="G60" s="563"/>
      <c r="H60" s="563"/>
      <c r="I60" s="563"/>
      <c r="J60" s="563"/>
      <c r="K60" s="563"/>
      <c r="L60" s="564"/>
      <c r="M60" s="564"/>
      <c r="N60" s="564"/>
      <c r="O60" s="564"/>
      <c r="P60" s="564"/>
      <c r="Q60" s="564"/>
      <c r="R60" s="564"/>
      <c r="S60" s="564"/>
      <c r="T60" s="564"/>
      <c r="U60" s="564"/>
      <c r="V60" s="564"/>
      <c r="W60" s="564"/>
      <c r="X60" s="564"/>
      <c r="Y60" s="564"/>
      <c r="Z60" s="564"/>
      <c r="AA60" s="564"/>
      <c r="AB60" s="564"/>
      <c r="AC60" s="564"/>
      <c r="AD60" s="564"/>
      <c r="AE60" s="564"/>
      <c r="AF60" s="564"/>
      <c r="AG60" s="564"/>
      <c r="AH60" s="564"/>
      <c r="AI60" s="564"/>
      <c r="AJ60" s="564"/>
    </row>
    <row r="61" spans="2:36" x14ac:dyDescent="0.25">
      <c r="B61" s="211"/>
    </row>
    <row r="62" spans="2:36" ht="20" x14ac:dyDescent="0.4">
      <c r="B62" s="211"/>
      <c r="C62" s="26" t="s">
        <v>677</v>
      </c>
    </row>
    <row r="63" spans="2:36" x14ac:dyDescent="0.25">
      <c r="B63" s="211"/>
      <c r="C63" s="11"/>
      <c r="D63" s="11"/>
      <c r="E63" s="11"/>
      <c r="F63" s="11"/>
      <c r="G63" s="11"/>
      <c r="H63" s="11"/>
      <c r="I63" s="11"/>
      <c r="J63" s="11"/>
      <c r="K63" s="11"/>
    </row>
    <row r="64" spans="2:36" x14ac:dyDescent="0.25">
      <c r="B64" s="211"/>
      <c r="C64" s="11"/>
      <c r="D64" s="11"/>
      <c r="E64" s="11"/>
      <c r="F64" s="11"/>
      <c r="G64" s="11"/>
      <c r="H64" s="11"/>
      <c r="I64" s="11"/>
      <c r="J64" s="11"/>
      <c r="K64" s="11"/>
    </row>
    <row r="65" spans="3:11" ht="15.5" x14ac:dyDescent="0.35">
      <c r="C65" s="43" t="str">
        <f>C9</f>
        <v>Table 2 - Marginal external costs and marginal costs (by mode of transport)</v>
      </c>
      <c r="D65" s="43"/>
      <c r="E65" s="43"/>
    </row>
    <row r="66" spans="3:11" x14ac:dyDescent="0.25">
      <c r="C66" s="188"/>
      <c r="D66" s="189"/>
      <c r="E66" s="189"/>
      <c r="F66" s="189"/>
      <c r="G66" s="189"/>
      <c r="H66" s="189"/>
      <c r="I66" s="189"/>
      <c r="J66" s="189"/>
      <c r="K66" s="190"/>
    </row>
    <row r="67" spans="3:11" x14ac:dyDescent="0.25">
      <c r="C67" s="191"/>
      <c r="G67" s="192" t="s">
        <v>183</v>
      </c>
      <c r="H67" s="192" t="s">
        <v>184</v>
      </c>
      <c r="I67" s="192" t="s">
        <v>185</v>
      </c>
      <c r="J67" s="192" t="s">
        <v>186</v>
      </c>
      <c r="K67" s="221" t="s">
        <v>187</v>
      </c>
    </row>
    <row r="68" spans="3:11" ht="12" thickBot="1" x14ac:dyDescent="0.3">
      <c r="C68" s="220" t="s">
        <v>190</v>
      </c>
      <c r="F68" s="163" t="s">
        <v>176</v>
      </c>
      <c r="G68" s="539">
        <f>'MEC - public transport &amp; cars'!E25</f>
        <v>-1.6854479999999998</v>
      </c>
      <c r="H68" s="539">
        <f>'MEC - public transport &amp; cars'!F25</f>
        <v>-1.26684</v>
      </c>
      <c r="I68" s="539">
        <f>'MEC - public transport &amp; cars'!G25</f>
        <v>-1.784592</v>
      </c>
      <c r="J68" s="540">
        <f>'MEC - public transport &amp; cars'!H25</f>
        <v>-1.26684</v>
      </c>
      <c r="K68" s="541">
        <f>IF('Scenario Analysis'!$K$98=1,'MEC - traffic congestion'!$H$23,'MEC - traffic congestion'!$H$30)*'Scenario Analysis'!$H$81</f>
        <v>1.9453093355060793</v>
      </c>
    </row>
    <row r="69" spans="3:11" ht="12.5" thickTop="1" thickBot="1" x14ac:dyDescent="0.3">
      <c r="C69" s="220"/>
      <c r="F69" s="163" t="s">
        <v>177</v>
      </c>
      <c r="G69" s="542">
        <f>SUM('MEC - public transport &amp; cars'!E26:E27)</f>
        <v>5.6271043771043768E-4</v>
      </c>
      <c r="H69" s="542">
        <f>SUM('MEC - public transport &amp; cars'!F26:F27)</f>
        <v>3.5971421322762695E-2</v>
      </c>
      <c r="I69" s="542">
        <f>SUM('MEC - public transport &amp; cars'!G26:G27)</f>
        <v>0.12435900673400674</v>
      </c>
      <c r="J69" s="543">
        <f>SUM('MEC - public transport &amp; cars'!H26:H27)</f>
        <v>1.8752481928823304E-2</v>
      </c>
      <c r="K69" s="544">
        <f>('MEC - traffic accidents'!G27+'General inputs'!$F$77)*'Scenario Analysis'!$I$81</f>
        <v>6.6719011210364831E-2</v>
      </c>
    </row>
    <row r="70" spans="3:11" ht="12.5" thickTop="1" thickBot="1" x14ac:dyDescent="0.3">
      <c r="C70" s="220" t="s">
        <v>194</v>
      </c>
      <c r="F70" s="163" t="s">
        <v>176</v>
      </c>
      <c r="G70" s="542">
        <f>'MEC - public transport &amp; cars'!E25</f>
        <v>-1.6854479999999998</v>
      </c>
      <c r="H70" s="542">
        <f>'MEC - public transport &amp; cars'!F25</f>
        <v>-1.26684</v>
      </c>
      <c r="I70" s="542">
        <f>'MEC - public transport &amp; cars'!G25</f>
        <v>-1.784592</v>
      </c>
      <c r="J70" s="543">
        <f>'MEC - public transport &amp; cars'!H25</f>
        <v>-1.26684</v>
      </c>
      <c r="K70" s="544">
        <f>IF('Scenario Analysis'!$K$98=1,'MEC - traffic congestion'!$H$24,'MEC - traffic congestion'!$H$31)*'Scenario Analysis'!$H$81</f>
        <v>0.25638831343622914</v>
      </c>
    </row>
    <row r="71" spans="3:11" ht="12.5" thickTop="1" thickBot="1" x14ac:dyDescent="0.3">
      <c r="C71" s="220"/>
      <c r="F71" s="163" t="s">
        <v>177</v>
      </c>
      <c r="G71" s="542">
        <f>SUM('MEC - public transport &amp; cars'!E26:E27)</f>
        <v>5.6271043771043768E-4</v>
      </c>
      <c r="H71" s="542">
        <f>SUM('MEC - public transport &amp; cars'!F26:F27)</f>
        <v>3.5971421322762695E-2</v>
      </c>
      <c r="I71" s="542">
        <f>SUM('MEC - public transport &amp; cars'!G26:G27)</f>
        <v>0.12435900673400674</v>
      </c>
      <c r="J71" s="543">
        <f>SUM('MEC - public transport &amp; cars'!H26:H27)</f>
        <v>1.8752481928823304E-2</v>
      </c>
      <c r="K71" s="544">
        <f>('MEC - traffic accidents'!G27+'General inputs'!$F$77)*'Scenario Analysis'!$I$81</f>
        <v>6.6719011210364831E-2</v>
      </c>
    </row>
    <row r="72" spans="3:11" ht="12.5" thickTop="1" thickBot="1" x14ac:dyDescent="0.3">
      <c r="C72" s="220" t="s">
        <v>188</v>
      </c>
      <c r="F72" s="163" t="s">
        <v>176</v>
      </c>
      <c r="G72" s="542">
        <f>'MC - public transport'!F39*'Scenario Analysis'!$H$17</f>
        <v>2.9678833129716367</v>
      </c>
      <c r="H72" s="542">
        <f>'MC - public transport'!G39*'Scenario Analysis'!$H$17</f>
        <v>1.0284227862205257</v>
      </c>
      <c r="I72" s="542">
        <f>'MC - public transport'!H39*'Scenario Analysis'!$H$17</f>
        <v>1.0963574132975618</v>
      </c>
      <c r="J72" s="543">
        <f>'MC - public transport'!I39*'Scenario Analysis'!$H$17</f>
        <v>0.40292758822440999</v>
      </c>
      <c r="K72" s="544">
        <f>-'MEC - public transport &amp; cars'!G40-'MEC - public transport &amp; cars'!E55</f>
        <v>-0.26301798385220598</v>
      </c>
    </row>
    <row r="73" spans="3:11" ht="12.5" thickTop="1" thickBot="1" x14ac:dyDescent="0.3">
      <c r="C73" s="220"/>
      <c r="F73" s="163" t="s">
        <v>177</v>
      </c>
      <c r="G73" s="542">
        <f>'MC - public transport'!F40*'Scenario Analysis'!$I$17</f>
        <v>0.33425362235529982</v>
      </c>
      <c r="H73" s="542">
        <f>'MC - public transport'!G40*'Scenario Analysis'!$I$17</f>
        <v>0.96212499477128888</v>
      </c>
      <c r="I73" s="542">
        <f>'MC - public transport'!H40*'Scenario Analysis'!$I$17</f>
        <v>1.6297099051258461</v>
      </c>
      <c r="J73" s="543">
        <f>'MC - public transport'!I40*'Scenario Analysis'!$I$17</f>
        <v>1.1013623868368028</v>
      </c>
      <c r="K73" s="544">
        <f>(-'MEC - public transport &amp; cars'!E47+'MEC - public transport &amp; cars'!E49)/100</f>
        <v>-2.1500000000000074E-3</v>
      </c>
    </row>
    <row r="74" spans="3:11" ht="12.5" thickTop="1" thickBot="1" x14ac:dyDescent="0.3">
      <c r="C74" s="220" t="s">
        <v>195</v>
      </c>
      <c r="F74" s="163" t="s">
        <v>176</v>
      </c>
      <c r="G74" s="542">
        <f>'MC - public transport'!F41*'Scenario Analysis'!$H$17</f>
        <v>0.50618092904092482</v>
      </c>
      <c r="H74" s="542">
        <f>'MC - public transport'!G41*'Scenario Analysis'!$H$17</f>
        <v>0</v>
      </c>
      <c r="I74" s="542">
        <f>'MC - public transport'!H41*'Scenario Analysis'!$H$17</f>
        <v>0</v>
      </c>
      <c r="J74" s="543">
        <f>'MC - public transport'!I41*'Scenario Analysis'!$H$17</f>
        <v>0</v>
      </c>
      <c r="K74" s="544">
        <f>-'MEC - public transport &amp; cars'!G40-'MEC - public transport &amp; cars'!E55</f>
        <v>-0.26301798385220598</v>
      </c>
    </row>
    <row r="75" spans="3:11" ht="12" thickTop="1" x14ac:dyDescent="0.25">
      <c r="C75" s="191"/>
      <c r="F75" s="163" t="s">
        <v>177</v>
      </c>
      <c r="G75" s="545">
        <f>'MC - public transport'!F42*'Scenario Analysis'!$I$17</f>
        <v>0.27629322541566392</v>
      </c>
      <c r="H75" s="545">
        <f>'MC - public transport'!G42*'Scenario Analysis'!$I$17</f>
        <v>0.88527490376346085</v>
      </c>
      <c r="I75" s="545">
        <f>'MC - public transport'!H42*'Scenario Analysis'!$I$17</f>
        <v>1.3112029991191796</v>
      </c>
      <c r="J75" s="546">
        <f>'MC - public transport'!I42*'Scenario Analysis'!$I$17</f>
        <v>0.64894594764109093</v>
      </c>
      <c r="K75" s="547">
        <f>(-'MEC - public transport &amp; cars'!E47+'MEC - public transport &amp; cars'!E49)/100</f>
        <v>-2.1500000000000074E-3</v>
      </c>
    </row>
    <row r="76" spans="3:11" x14ac:dyDescent="0.25">
      <c r="C76" s="191"/>
      <c r="F76" s="163"/>
      <c r="G76" s="215"/>
      <c r="H76" s="215"/>
      <c r="I76" s="215"/>
      <c r="J76" s="215"/>
      <c r="K76" s="216"/>
    </row>
    <row r="77" spans="3:11" x14ac:dyDescent="0.25">
      <c r="C77" s="191" t="s">
        <v>232</v>
      </c>
      <c r="F77" s="163"/>
      <c r="G77" s="212"/>
      <c r="H77" s="212"/>
      <c r="I77" s="212"/>
      <c r="J77" s="212"/>
      <c r="K77" s="213"/>
    </row>
    <row r="78" spans="3:11" x14ac:dyDescent="0.25">
      <c r="C78" s="196"/>
      <c r="D78" s="197"/>
      <c r="E78" s="197"/>
      <c r="F78" s="197"/>
      <c r="G78" s="197"/>
      <c r="H78" s="197"/>
      <c r="I78" s="197"/>
      <c r="J78" s="197"/>
      <c r="K78" s="198"/>
    </row>
    <row r="81" spans="3:11" ht="15.5" x14ac:dyDescent="0.35">
      <c r="C81" s="43" t="str">
        <f>C10</f>
        <v>Table 3 - Marginal external costs and marginal costs (by mode, by distance, by time-of-day (ToD))</v>
      </c>
    </row>
    <row r="82" spans="3:11" ht="15.5" x14ac:dyDescent="0.35">
      <c r="C82" s="217"/>
      <c r="D82" s="189"/>
      <c r="E82" s="189"/>
      <c r="F82" s="189"/>
      <c r="G82" s="189"/>
      <c r="H82" s="189"/>
      <c r="I82" s="189"/>
      <c r="J82" s="189"/>
      <c r="K82" s="190"/>
    </row>
    <row r="83" spans="3:11" ht="46" x14ac:dyDescent="0.25">
      <c r="C83" s="596" t="str">
        <f>'General inputs'!D28</f>
        <v>Mode</v>
      </c>
      <c r="D83" s="597" t="str">
        <f>'General inputs'!E28</f>
        <v>Distance (km)</v>
      </c>
      <c r="E83" s="597" t="str">
        <f>'General inputs'!F28</f>
        <v>ToD</v>
      </c>
      <c r="F83" s="202"/>
      <c r="G83" s="202" t="s">
        <v>192</v>
      </c>
      <c r="H83" s="42"/>
      <c r="I83" s="202" t="s">
        <v>193</v>
      </c>
      <c r="J83" s="42"/>
      <c r="K83" s="219" t="s">
        <v>216</v>
      </c>
    </row>
    <row r="84" spans="3:11" x14ac:dyDescent="0.25">
      <c r="C84" s="586" t="str">
        <f>'General inputs'!D29</f>
        <v>Rail</v>
      </c>
      <c r="D84" s="164">
        <f>'General inputs'!E29</f>
        <v>2</v>
      </c>
      <c r="E84" s="201" t="str">
        <f>'General inputs'!F29</f>
        <v>Peak</v>
      </c>
      <c r="G84" s="183">
        <f>SUM($G$68,$G$69*$D84)</f>
        <v>-1.6843225791245791</v>
      </c>
      <c r="I84" s="183">
        <f>SUM($G$72,$G$73*$D84)</f>
        <v>3.6363905576822364</v>
      </c>
      <c r="K84" s="548">
        <v>0</v>
      </c>
    </row>
    <row r="85" spans="3:11" x14ac:dyDescent="0.25">
      <c r="C85" s="586" t="str">
        <f>'General inputs'!D30</f>
        <v>Rail</v>
      </c>
      <c r="D85" s="164">
        <f>'General inputs'!E30</f>
        <v>5</v>
      </c>
      <c r="E85" s="201" t="str">
        <f>'General inputs'!F30</f>
        <v>Peak</v>
      </c>
      <c r="G85" s="183">
        <f>SUM($G$68,$G$69*$D85)</f>
        <v>-1.6826344478114477</v>
      </c>
      <c r="I85" s="183">
        <f>SUM($G$72,$G$73*$D85)</f>
        <v>4.6391514247481354</v>
      </c>
      <c r="K85" s="548">
        <v>0</v>
      </c>
    </row>
    <row r="86" spans="3:11" x14ac:dyDescent="0.25">
      <c r="C86" s="586" t="str">
        <f>'General inputs'!D31</f>
        <v>Rail</v>
      </c>
      <c r="D86" s="164">
        <f>'General inputs'!E31</f>
        <v>15</v>
      </c>
      <c r="E86" s="201" t="str">
        <f>'General inputs'!F31</f>
        <v>Peak</v>
      </c>
      <c r="G86" s="183">
        <f>SUM($G$68,$G$69*$D86)</f>
        <v>-1.6770073434343433</v>
      </c>
      <c r="I86" s="183">
        <f>SUM($G$72,$G$73*$D86)</f>
        <v>7.9816876483011336</v>
      </c>
      <c r="K86" s="548">
        <v>0</v>
      </c>
    </row>
    <row r="87" spans="3:11" ht="12" thickBot="1" x14ac:dyDescent="0.3">
      <c r="C87" s="587" t="str">
        <f>'General inputs'!D32</f>
        <v>Rail</v>
      </c>
      <c r="D87" s="598">
        <f>'General inputs'!E32</f>
        <v>25</v>
      </c>
      <c r="E87" s="588" t="str">
        <f>'General inputs'!F32</f>
        <v>Peak</v>
      </c>
      <c r="G87" s="599">
        <f>SUM($G$68,$G$69*$D87)</f>
        <v>-1.671380239057239</v>
      </c>
      <c r="I87" s="599">
        <f>SUM($G$72,$G$73*$D87)</f>
        <v>11.324223871854132</v>
      </c>
      <c r="K87" s="548">
        <v>0</v>
      </c>
    </row>
    <row r="88" spans="3:11" ht="12" thickTop="1" x14ac:dyDescent="0.25">
      <c r="C88" s="583" t="str">
        <f>'General inputs'!D33</f>
        <v>Rail</v>
      </c>
      <c r="D88" s="600">
        <f>'General inputs'!E33</f>
        <v>2</v>
      </c>
      <c r="E88" s="584" t="str">
        <f>'General inputs'!F33</f>
        <v>Off-peak</v>
      </c>
      <c r="G88" s="601">
        <f>SUM($G$70,$G$71*$D88)</f>
        <v>-1.6843225791245791</v>
      </c>
      <c r="I88" s="601">
        <f>SUM($G$74,$G$75*$D88)</f>
        <v>1.0587673798722528</v>
      </c>
      <c r="K88" s="548">
        <v>0</v>
      </c>
    </row>
    <row r="89" spans="3:11" x14ac:dyDescent="0.25">
      <c r="C89" s="586" t="str">
        <f>'General inputs'!D34</f>
        <v>Rail</v>
      </c>
      <c r="D89" s="164">
        <f>'General inputs'!E34</f>
        <v>5</v>
      </c>
      <c r="E89" s="201" t="str">
        <f>'General inputs'!F34</f>
        <v>Off-peak</v>
      </c>
      <c r="G89" s="183">
        <f>SUM($G$70,$G$71*$D89)</f>
        <v>-1.6826344478114477</v>
      </c>
      <c r="I89" s="183">
        <f>SUM($G$74,$G$75*$D89)</f>
        <v>1.8876470561192442</v>
      </c>
      <c r="K89" s="548">
        <v>0</v>
      </c>
    </row>
    <row r="90" spans="3:11" x14ac:dyDescent="0.25">
      <c r="C90" s="586" t="str">
        <f>'General inputs'!D35</f>
        <v>Rail</v>
      </c>
      <c r="D90" s="164">
        <f>'General inputs'!E35</f>
        <v>15</v>
      </c>
      <c r="E90" s="201" t="str">
        <f>'General inputs'!F35</f>
        <v>Off-peak</v>
      </c>
      <c r="G90" s="183">
        <f>SUM($G$70,$G$71*$D90)</f>
        <v>-1.6770073434343433</v>
      </c>
      <c r="I90" s="183">
        <f>SUM($G$74,$G$75*$D90)</f>
        <v>4.6505793102758837</v>
      </c>
      <c r="K90" s="548">
        <v>0</v>
      </c>
    </row>
    <row r="91" spans="3:11" ht="12" thickBot="1" x14ac:dyDescent="0.3">
      <c r="C91" s="587" t="str">
        <f>'General inputs'!D36</f>
        <v>Rail</v>
      </c>
      <c r="D91" s="598">
        <f>'General inputs'!E36</f>
        <v>25</v>
      </c>
      <c r="E91" s="588" t="str">
        <f>'General inputs'!F36</f>
        <v>Off-peak</v>
      </c>
      <c r="G91" s="599">
        <f>SUM($G$70,$G$71*$D91)</f>
        <v>-1.671380239057239</v>
      </c>
      <c r="I91" s="599">
        <f>SUM($G$74,$G$75*$D91)</f>
        <v>7.4135115644325227</v>
      </c>
      <c r="K91" s="548">
        <v>0</v>
      </c>
    </row>
    <row r="92" spans="3:11" ht="12" thickTop="1" x14ac:dyDescent="0.25">
      <c r="C92" s="583" t="str">
        <f>'General inputs'!D37</f>
        <v>Bus</v>
      </c>
      <c r="D92" s="600">
        <f>'General inputs'!E37</f>
        <v>2</v>
      </c>
      <c r="E92" s="584" t="str">
        <f>'General inputs'!F37</f>
        <v>Peak</v>
      </c>
      <c r="G92" s="601">
        <f>SUM($H$68,$H$69*$D92)</f>
        <v>-1.1948971573544747</v>
      </c>
      <c r="I92" s="601">
        <f>SUM($H$72,$H$73*$D92)</f>
        <v>2.9526727757631033</v>
      </c>
      <c r="K92" s="548">
        <v>0</v>
      </c>
    </row>
    <row r="93" spans="3:11" x14ac:dyDescent="0.25">
      <c r="C93" s="586" t="str">
        <f>'General inputs'!D38</f>
        <v>Bus</v>
      </c>
      <c r="D93" s="164">
        <f>'General inputs'!E38</f>
        <v>5</v>
      </c>
      <c r="E93" s="201" t="str">
        <f>'General inputs'!F38</f>
        <v>Peak</v>
      </c>
      <c r="G93" s="183">
        <f>SUM($H$68,$H$69*$D93)</f>
        <v>-1.0869828933861865</v>
      </c>
      <c r="I93" s="183">
        <f>SUM($H$72,$H$73*$D93)</f>
        <v>5.8390477600769701</v>
      </c>
      <c r="K93" s="548">
        <v>0</v>
      </c>
    </row>
    <row r="94" spans="3:11" x14ac:dyDescent="0.25">
      <c r="C94" s="586" t="str">
        <f>'General inputs'!D39</f>
        <v>Bus</v>
      </c>
      <c r="D94" s="164">
        <f>'General inputs'!E39</f>
        <v>15</v>
      </c>
      <c r="E94" s="201" t="str">
        <f>'General inputs'!F39</f>
        <v>Peak</v>
      </c>
      <c r="G94" s="183">
        <f>SUM($H$68,$H$69*$D94)</f>
        <v>-0.7272686801585595</v>
      </c>
      <c r="I94" s="183">
        <f>SUM($H$72,$H$73*$D94)</f>
        <v>15.460297707789859</v>
      </c>
      <c r="K94" s="548">
        <v>0</v>
      </c>
    </row>
    <row r="95" spans="3:11" ht="12" thickBot="1" x14ac:dyDescent="0.3">
      <c r="C95" s="587" t="str">
        <f>'General inputs'!D40</f>
        <v>Bus</v>
      </c>
      <c r="D95" s="598">
        <f>'General inputs'!E40</f>
        <v>25</v>
      </c>
      <c r="E95" s="588" t="str">
        <f>'General inputs'!F40</f>
        <v>Peak</v>
      </c>
      <c r="G95" s="599">
        <f>SUM($H$68,$H$69*$D95)</f>
        <v>-0.36755446693093263</v>
      </c>
      <c r="I95" s="599">
        <f>SUM($H$72,$H$73*$D95)</f>
        <v>25.081547655502746</v>
      </c>
      <c r="K95" s="548">
        <v>0</v>
      </c>
    </row>
    <row r="96" spans="3:11" ht="12" thickTop="1" x14ac:dyDescent="0.25">
      <c r="C96" s="583" t="str">
        <f>'General inputs'!D41</f>
        <v>Bus</v>
      </c>
      <c r="D96" s="600">
        <f>'General inputs'!E41</f>
        <v>2</v>
      </c>
      <c r="E96" s="584" t="str">
        <f>'General inputs'!F41</f>
        <v>Off-peak</v>
      </c>
      <c r="G96" s="601">
        <f>SUM($H$70,$H$71*$D96)</f>
        <v>-1.1948971573544747</v>
      </c>
      <c r="I96" s="601">
        <f>SUM($H$74,$H$75*$D96)</f>
        <v>1.7705498075269217</v>
      </c>
      <c r="K96" s="548">
        <v>0</v>
      </c>
    </row>
    <row r="97" spans="3:11" x14ac:dyDescent="0.25">
      <c r="C97" s="586" t="str">
        <f>'General inputs'!D42</f>
        <v>Bus</v>
      </c>
      <c r="D97" s="164">
        <f>'General inputs'!E42</f>
        <v>5</v>
      </c>
      <c r="E97" s="201" t="str">
        <f>'General inputs'!F42</f>
        <v>Off-peak</v>
      </c>
      <c r="G97" s="183">
        <f>SUM($H$70,$H$71*$D97)</f>
        <v>-1.0869828933861865</v>
      </c>
      <c r="I97" s="183">
        <f>SUM($H$74,$H$75*$D97)</f>
        <v>4.4263745188173047</v>
      </c>
      <c r="K97" s="548">
        <v>0</v>
      </c>
    </row>
    <row r="98" spans="3:11" x14ac:dyDescent="0.25">
      <c r="C98" s="586" t="str">
        <f>'General inputs'!D43</f>
        <v>Bus</v>
      </c>
      <c r="D98" s="164">
        <f>'General inputs'!E43</f>
        <v>15</v>
      </c>
      <c r="E98" s="201" t="str">
        <f>'General inputs'!F43</f>
        <v>Off-peak</v>
      </c>
      <c r="G98" s="183">
        <f>SUM($H$70,$H$71*$D98)</f>
        <v>-0.7272686801585595</v>
      </c>
      <c r="I98" s="183">
        <f>SUM($H$74,$H$75*$D98)</f>
        <v>13.279123556451912</v>
      </c>
      <c r="K98" s="548">
        <v>0</v>
      </c>
    </row>
    <row r="99" spans="3:11" ht="12" thickBot="1" x14ac:dyDescent="0.3">
      <c r="C99" s="587" t="str">
        <f>'General inputs'!D44</f>
        <v>Bus</v>
      </c>
      <c r="D99" s="598">
        <f>'General inputs'!E44</f>
        <v>25</v>
      </c>
      <c r="E99" s="588" t="str">
        <f>'General inputs'!F44</f>
        <v>Off-peak</v>
      </c>
      <c r="G99" s="599">
        <f>SUM($H$70,$H$71*$D99)</f>
        <v>-0.36755446693093263</v>
      </c>
      <c r="I99" s="599">
        <f>SUM($H$74,$H$75*$D99)</f>
        <v>22.13187259408652</v>
      </c>
      <c r="K99" s="548">
        <v>0</v>
      </c>
    </row>
    <row r="100" spans="3:11" ht="12" thickTop="1" x14ac:dyDescent="0.25">
      <c r="C100" s="583" t="str">
        <f>'General inputs'!D45</f>
        <v>Ferry</v>
      </c>
      <c r="D100" s="600">
        <f>'General inputs'!E45</f>
        <v>2</v>
      </c>
      <c r="E100" s="584" t="str">
        <f>'General inputs'!F45</f>
        <v>Peak</v>
      </c>
      <c r="G100" s="601">
        <f>SUM($I$68,$I$69*$D100)</f>
        <v>-1.5358739865319864</v>
      </c>
      <c r="I100" s="601">
        <f>SUM($I$72,$I$73*$D100)</f>
        <v>4.3557772235492536</v>
      </c>
      <c r="K100" s="548">
        <v>0</v>
      </c>
    </row>
    <row r="101" spans="3:11" x14ac:dyDescent="0.25">
      <c r="C101" s="586" t="str">
        <f>'General inputs'!D46</f>
        <v>Ferry</v>
      </c>
      <c r="D101" s="164">
        <f>'General inputs'!E46</f>
        <v>5</v>
      </c>
      <c r="E101" s="201" t="str">
        <f>'General inputs'!F46</f>
        <v>Peak</v>
      </c>
      <c r="G101" s="183">
        <f>SUM($I$68,$I$69*$D101)</f>
        <v>-1.1627969663299662</v>
      </c>
      <c r="I101" s="183">
        <f>SUM($I$72,$I$73*$D101)</f>
        <v>9.2449069389267926</v>
      </c>
      <c r="K101" s="548">
        <v>0</v>
      </c>
    </row>
    <row r="102" spans="3:11" x14ac:dyDescent="0.25">
      <c r="C102" s="586" t="str">
        <f>'General inputs'!D47</f>
        <v>Ferry</v>
      </c>
      <c r="D102" s="164">
        <f>'General inputs'!E47</f>
        <v>15</v>
      </c>
      <c r="E102" s="201" t="str">
        <f>'General inputs'!F47</f>
        <v>Peak</v>
      </c>
      <c r="G102" s="183">
        <f>SUM($I$68,$I$69*$D102)</f>
        <v>8.0793101010101065E-2</v>
      </c>
      <c r="I102" s="183">
        <f>SUM($I$72,$I$73*$D102)</f>
        <v>25.542005990185253</v>
      </c>
      <c r="K102" s="548">
        <v>0</v>
      </c>
    </row>
    <row r="103" spans="3:11" ht="12" thickBot="1" x14ac:dyDescent="0.3">
      <c r="C103" s="587" t="str">
        <f>'General inputs'!D48</f>
        <v>Ferry</v>
      </c>
      <c r="D103" s="598">
        <f>'General inputs'!E48</f>
        <v>25</v>
      </c>
      <c r="E103" s="588" t="str">
        <f>'General inputs'!F48</f>
        <v>Peak</v>
      </c>
      <c r="G103" s="599">
        <f>SUM($I$68,$I$69*$D103)</f>
        <v>1.3243831683501686</v>
      </c>
      <c r="I103" s="599">
        <f>SUM($I$72,$I$73*$D103)</f>
        <v>41.839105041443716</v>
      </c>
      <c r="K103" s="548">
        <v>0</v>
      </c>
    </row>
    <row r="104" spans="3:11" ht="12" thickTop="1" x14ac:dyDescent="0.25">
      <c r="C104" s="583" t="str">
        <f>'General inputs'!D49</f>
        <v>Ferry</v>
      </c>
      <c r="D104" s="600">
        <f>'General inputs'!E49</f>
        <v>2</v>
      </c>
      <c r="E104" s="584" t="str">
        <f>'General inputs'!F49</f>
        <v>Off-peak</v>
      </c>
      <c r="G104" s="601">
        <f>SUM($I$70,$I$71*$D104)</f>
        <v>-1.5358739865319864</v>
      </c>
      <c r="I104" s="601">
        <f>SUM($I$74,$I$75*$D104)</f>
        <v>2.6224059982383592</v>
      </c>
      <c r="K104" s="548">
        <v>0</v>
      </c>
    </row>
    <row r="105" spans="3:11" x14ac:dyDescent="0.25">
      <c r="C105" s="586" t="str">
        <f>'General inputs'!D50</f>
        <v>Ferry</v>
      </c>
      <c r="D105" s="164">
        <f>'General inputs'!E50</f>
        <v>5</v>
      </c>
      <c r="E105" s="201" t="str">
        <f>'General inputs'!F50</f>
        <v>Off-peak</v>
      </c>
      <c r="G105" s="183">
        <f>SUM($I$70,$I$71*$D105)</f>
        <v>-1.1627969663299662</v>
      </c>
      <c r="I105" s="183">
        <f>SUM($I$74,$I$75*$D105)</f>
        <v>6.5560149955958984</v>
      </c>
      <c r="K105" s="548">
        <v>0</v>
      </c>
    </row>
    <row r="106" spans="3:11" x14ac:dyDescent="0.25">
      <c r="C106" s="586" t="str">
        <f>'General inputs'!D51</f>
        <v>Ferry</v>
      </c>
      <c r="D106" s="164">
        <f>'General inputs'!E51</f>
        <v>15</v>
      </c>
      <c r="E106" s="201" t="str">
        <f>'General inputs'!F51</f>
        <v>Off-peak</v>
      </c>
      <c r="G106" s="183">
        <f>SUM($I$70,$I$71*$D106)</f>
        <v>8.0793101010101065E-2</v>
      </c>
      <c r="I106" s="183">
        <f>SUM($I$74,$I$75*$D106)</f>
        <v>19.668044986787695</v>
      </c>
      <c r="K106" s="548">
        <v>0</v>
      </c>
    </row>
    <row r="107" spans="3:11" ht="12" thickBot="1" x14ac:dyDescent="0.3">
      <c r="C107" s="587" t="str">
        <f>'General inputs'!D52</f>
        <v>Ferry</v>
      </c>
      <c r="D107" s="598">
        <f>'General inputs'!E52</f>
        <v>25</v>
      </c>
      <c r="E107" s="588" t="str">
        <f>'General inputs'!F52</f>
        <v>Off-peak</v>
      </c>
      <c r="G107" s="599">
        <f>SUM($I$70,$I$71*$D107)</f>
        <v>1.3243831683501686</v>
      </c>
      <c r="I107" s="599">
        <f>SUM($I$74,$I$75*$D107)</f>
        <v>32.780074977979488</v>
      </c>
      <c r="K107" s="548">
        <v>0</v>
      </c>
    </row>
    <row r="108" spans="3:11" ht="12" thickTop="1" x14ac:dyDescent="0.25">
      <c r="C108" s="583" t="str">
        <f>'General inputs'!D53</f>
        <v>Light Rail</v>
      </c>
      <c r="D108" s="600">
        <f>'General inputs'!E53</f>
        <v>2</v>
      </c>
      <c r="E108" s="584" t="str">
        <f>'General inputs'!F53</f>
        <v>Peak</v>
      </c>
      <c r="G108" s="601">
        <f>SUM($J$68,$J$69*$D108)</f>
        <v>-1.2293350361423534</v>
      </c>
      <c r="I108" s="601">
        <f>SUM($J$72,$J$73*$D108)</f>
        <v>2.6056523618980156</v>
      </c>
      <c r="K108" s="548">
        <v>0</v>
      </c>
    </row>
    <row r="109" spans="3:11" x14ac:dyDescent="0.25">
      <c r="C109" s="586" t="str">
        <f>'General inputs'!D54</f>
        <v>Light Rail</v>
      </c>
      <c r="D109" s="164">
        <f>'General inputs'!E54</f>
        <v>5</v>
      </c>
      <c r="E109" s="201" t="str">
        <f>'General inputs'!F54</f>
        <v>Peak</v>
      </c>
      <c r="G109" s="183">
        <f>SUM($J$68,$J$69*$D109)</f>
        <v>-1.1730775903558834</v>
      </c>
      <c r="I109" s="183">
        <f>SUM($J$72,$J$73*$D109)</f>
        <v>5.9097395224084233</v>
      </c>
      <c r="K109" s="548">
        <v>0</v>
      </c>
    </row>
    <row r="110" spans="3:11" x14ac:dyDescent="0.25">
      <c r="C110" s="586" t="str">
        <f>'General inputs'!D55</f>
        <v>Light Rail</v>
      </c>
      <c r="D110" s="164">
        <f>'General inputs'!E55</f>
        <v>15</v>
      </c>
      <c r="E110" s="201" t="str">
        <f>'General inputs'!F55</f>
        <v>Peak</v>
      </c>
      <c r="G110" s="183">
        <f>SUM($J$68,$J$69*$D110)</f>
        <v>-0.98555277106765038</v>
      </c>
      <c r="I110" s="183">
        <f>SUM($J$72,$J$73*$D110)</f>
        <v>16.923363390776451</v>
      </c>
      <c r="K110" s="548">
        <v>0</v>
      </c>
    </row>
    <row r="111" spans="3:11" ht="12" thickBot="1" x14ac:dyDescent="0.3">
      <c r="C111" s="587" t="str">
        <f>'General inputs'!D56</f>
        <v>Light Rail</v>
      </c>
      <c r="D111" s="598">
        <f>'General inputs'!E56</f>
        <v>25</v>
      </c>
      <c r="E111" s="588" t="str">
        <f>'General inputs'!F56</f>
        <v>Peak</v>
      </c>
      <c r="G111" s="599">
        <f>SUM($J$68,$J$69*$D111)</f>
        <v>-0.79802795177941732</v>
      </c>
      <c r="I111" s="599">
        <f>SUM($J$72,$J$73*$D111)</f>
        <v>27.93698725914448</v>
      </c>
      <c r="K111" s="548">
        <v>0</v>
      </c>
    </row>
    <row r="112" spans="3:11" ht="12" thickTop="1" x14ac:dyDescent="0.25">
      <c r="C112" s="583" t="str">
        <f>'General inputs'!D57</f>
        <v>Light Rail</v>
      </c>
      <c r="D112" s="600">
        <f>'General inputs'!E57</f>
        <v>2</v>
      </c>
      <c r="E112" s="584" t="str">
        <f>'General inputs'!F57</f>
        <v>Off-peak</v>
      </c>
      <c r="G112" s="601">
        <f>SUM($J$70,$J$71*$D112)</f>
        <v>-1.2293350361423534</v>
      </c>
      <c r="I112" s="601">
        <f>SUM($J$74,$J$75*$D112)</f>
        <v>1.2978918952821819</v>
      </c>
      <c r="K112" s="548">
        <v>0</v>
      </c>
    </row>
    <row r="113" spans="3:11" x14ac:dyDescent="0.25">
      <c r="C113" s="586" t="str">
        <f>'General inputs'!D58</f>
        <v>Light Rail</v>
      </c>
      <c r="D113" s="164">
        <f>'General inputs'!E58</f>
        <v>5</v>
      </c>
      <c r="E113" s="201" t="str">
        <f>'General inputs'!F58</f>
        <v>Off-peak</v>
      </c>
      <c r="G113" s="183">
        <f>SUM($J$70,$J$71*$D113)</f>
        <v>-1.1730775903558834</v>
      </c>
      <c r="I113" s="183">
        <f>SUM($J$74,$J$75*$D113)</f>
        <v>3.2447297382054545</v>
      </c>
      <c r="K113" s="548">
        <v>0</v>
      </c>
    </row>
    <row r="114" spans="3:11" x14ac:dyDescent="0.25">
      <c r="C114" s="586" t="str">
        <f>'General inputs'!D59</f>
        <v>Light Rail</v>
      </c>
      <c r="D114" s="164">
        <f>'General inputs'!E59</f>
        <v>15</v>
      </c>
      <c r="E114" s="201" t="str">
        <f>'General inputs'!F59</f>
        <v>Off-peak</v>
      </c>
      <c r="G114" s="183">
        <f>SUM($J$70,$J$71*$D114)</f>
        <v>-0.98555277106765038</v>
      </c>
      <c r="I114" s="183">
        <f>SUM($J$74,$J$75*$D114)</f>
        <v>9.7341892146163644</v>
      </c>
      <c r="K114" s="548">
        <v>0</v>
      </c>
    </row>
    <row r="115" spans="3:11" ht="12" thickBot="1" x14ac:dyDescent="0.3">
      <c r="C115" s="602" t="str">
        <f>'General inputs'!D60</f>
        <v>Light Rail</v>
      </c>
      <c r="D115" s="165">
        <f>'General inputs'!E60</f>
        <v>25</v>
      </c>
      <c r="E115" s="603" t="str">
        <f>'General inputs'!F60</f>
        <v>Off-peak</v>
      </c>
      <c r="G115" s="599">
        <f>SUM($J$70,$J$71*$D115)</f>
        <v>-0.79802795177941732</v>
      </c>
      <c r="I115" s="183">
        <f>SUM($J$74,$J$75*$D115)</f>
        <v>16.223648691027272</v>
      </c>
      <c r="K115" s="548">
        <v>0</v>
      </c>
    </row>
    <row r="116" spans="3:11" ht="12" thickTop="1" x14ac:dyDescent="0.25">
      <c r="C116" s="604" t="s">
        <v>187</v>
      </c>
      <c r="D116" s="166">
        <f>D108</f>
        <v>2</v>
      </c>
      <c r="E116" s="605" t="str">
        <f>E108</f>
        <v>Peak</v>
      </c>
      <c r="G116" s="601">
        <f>SUM($K$68,$K$69*$D116)</f>
        <v>2.078747357926809</v>
      </c>
      <c r="I116" s="549">
        <v>0</v>
      </c>
      <c r="K116" s="218">
        <f>SUM($K$72,$K$73*D116)</f>
        <v>-0.26731798385220601</v>
      </c>
    </row>
    <row r="117" spans="3:11" x14ac:dyDescent="0.25">
      <c r="C117" s="191" t="s">
        <v>187</v>
      </c>
      <c r="D117" s="164">
        <f t="shared" ref="D117:D123" si="3">D109</f>
        <v>5</v>
      </c>
      <c r="E117" s="201" t="str">
        <f t="shared" ref="E117:E123" si="4">E109</f>
        <v>Peak</v>
      </c>
      <c r="G117" s="183">
        <f>SUM($K$68,$K$69*$D117)</f>
        <v>2.2789043915579033</v>
      </c>
      <c r="I117" s="549">
        <v>0</v>
      </c>
      <c r="K117" s="218">
        <f>SUM($K$72,$K$73*D117)</f>
        <v>-0.27376798385220602</v>
      </c>
    </row>
    <row r="118" spans="3:11" x14ac:dyDescent="0.25">
      <c r="C118" s="191" t="s">
        <v>187</v>
      </c>
      <c r="D118" s="164">
        <f t="shared" si="3"/>
        <v>15</v>
      </c>
      <c r="E118" s="201" t="str">
        <f t="shared" si="4"/>
        <v>Peak</v>
      </c>
      <c r="G118" s="183">
        <f>SUM($K$68,$K$69*$D118)</f>
        <v>2.946094503661552</v>
      </c>
      <c r="I118" s="549">
        <v>0</v>
      </c>
      <c r="K118" s="218">
        <f>SUM($K$72,$K$73*D118)</f>
        <v>-0.2952679838522061</v>
      </c>
    </row>
    <row r="119" spans="3:11" ht="12" thickBot="1" x14ac:dyDescent="0.3">
      <c r="C119" s="587" t="s">
        <v>187</v>
      </c>
      <c r="D119" s="598">
        <f t="shared" si="3"/>
        <v>25</v>
      </c>
      <c r="E119" s="588" t="str">
        <f t="shared" si="4"/>
        <v>Peak</v>
      </c>
      <c r="G119" s="599">
        <f>SUM($K$68,$K$69*$D119)</f>
        <v>3.6132846157651999</v>
      </c>
      <c r="I119" s="549">
        <v>0</v>
      </c>
      <c r="K119" s="606">
        <f>SUM($K$72,$K$73*D119)</f>
        <v>-0.31676798385220617</v>
      </c>
    </row>
    <row r="120" spans="3:11" ht="12" thickTop="1" x14ac:dyDescent="0.25">
      <c r="C120" s="583" t="s">
        <v>187</v>
      </c>
      <c r="D120" s="600">
        <f t="shared" si="3"/>
        <v>2</v>
      </c>
      <c r="E120" s="584" t="str">
        <f t="shared" si="4"/>
        <v>Off-peak</v>
      </c>
      <c r="G120" s="601">
        <f>SUM($K$70,$K$71*$D120)</f>
        <v>0.38982633585695881</v>
      </c>
      <c r="I120" s="549">
        <v>0</v>
      </c>
      <c r="K120" s="607">
        <f>SUM($K$74,$K$75*D120)</f>
        <v>-0.26731798385220601</v>
      </c>
    </row>
    <row r="121" spans="3:11" x14ac:dyDescent="0.25">
      <c r="C121" s="191" t="s">
        <v>187</v>
      </c>
      <c r="D121" s="164">
        <f t="shared" si="3"/>
        <v>5</v>
      </c>
      <c r="E121" s="201" t="str">
        <f t="shared" si="4"/>
        <v>Off-peak</v>
      </c>
      <c r="G121" s="183">
        <f>SUM($K$70,$K$71*$D121)</f>
        <v>0.5899833694880533</v>
      </c>
      <c r="I121" s="549">
        <v>0</v>
      </c>
      <c r="K121" s="218">
        <f>SUM($K$74,$K$75*D121)</f>
        <v>-0.27376798385220602</v>
      </c>
    </row>
    <row r="122" spans="3:11" x14ac:dyDescent="0.25">
      <c r="C122" s="191" t="s">
        <v>187</v>
      </c>
      <c r="D122" s="164">
        <f t="shared" si="3"/>
        <v>15</v>
      </c>
      <c r="E122" s="201" t="str">
        <f t="shared" si="4"/>
        <v>Off-peak</v>
      </c>
      <c r="G122" s="183">
        <f>SUM($K$70,$K$71*$D122)</f>
        <v>1.2571734815917015</v>
      </c>
      <c r="I122" s="549">
        <v>0</v>
      </c>
      <c r="K122" s="218">
        <f>SUM($K$74,$K$75*D122)</f>
        <v>-0.2952679838522061</v>
      </c>
    </row>
    <row r="123" spans="3:11" x14ac:dyDescent="0.25">
      <c r="C123" s="191" t="s">
        <v>187</v>
      </c>
      <c r="D123" s="164">
        <f t="shared" si="3"/>
        <v>25</v>
      </c>
      <c r="E123" s="201" t="str">
        <f t="shared" si="4"/>
        <v>Off-peak</v>
      </c>
      <c r="G123" s="183">
        <f>SUM($K$70,$K$71*$D123)</f>
        <v>1.9243635936953498</v>
      </c>
      <c r="I123" s="549">
        <v>0</v>
      </c>
      <c r="K123" s="218">
        <f>SUM($K$74,$K$75*D123)</f>
        <v>-0.31676798385220617</v>
      </c>
    </row>
    <row r="124" spans="3:11" x14ac:dyDescent="0.25">
      <c r="C124" s="196"/>
      <c r="D124" s="197"/>
      <c r="E124" s="197"/>
      <c r="F124" s="197"/>
      <c r="G124" s="197"/>
      <c r="H124" s="197"/>
      <c r="I124" s="197"/>
      <c r="J124" s="550"/>
      <c r="K124" s="198"/>
    </row>
    <row r="127" spans="3:11" ht="15.5" x14ac:dyDescent="0.35">
      <c r="C127" s="43" t="str">
        <f>C11</f>
        <v>Table 4 - RHS (by mode, by distance, by time-of-day (ToD))</v>
      </c>
    </row>
    <row r="128" spans="3:11" x14ac:dyDescent="0.25">
      <c r="C128" s="188"/>
      <c r="D128" s="189"/>
      <c r="E128" s="189"/>
      <c r="F128" s="189"/>
      <c r="G128" s="189"/>
      <c r="H128" s="189"/>
      <c r="I128" s="189"/>
      <c r="J128" s="190"/>
    </row>
    <row r="129" spans="3:10" ht="23" x14ac:dyDescent="0.25">
      <c r="C129" s="220" t="str">
        <f>'General inputs'!D28</f>
        <v>Mode</v>
      </c>
      <c r="D129" s="202" t="str">
        <f>'General inputs'!E28</f>
        <v>Distance (km)</v>
      </c>
      <c r="E129" s="192" t="str">
        <f>'General inputs'!F28</f>
        <v>ToD</v>
      </c>
      <c r="F129" s="192" t="s">
        <v>233</v>
      </c>
      <c r="G129" s="42"/>
      <c r="H129" s="192" t="s">
        <v>234</v>
      </c>
      <c r="I129" s="42"/>
      <c r="J129" s="221" t="s">
        <v>209</v>
      </c>
    </row>
    <row r="130" spans="3:10" x14ac:dyDescent="0.25">
      <c r="C130" s="586" t="str">
        <f>'General inputs'!D29</f>
        <v>Rail</v>
      </c>
      <c r="D130" s="194">
        <f>'General inputs'!E29</f>
        <v>2</v>
      </c>
      <c r="E130" s="201" t="str">
        <f>'General inputs'!F29</f>
        <v>Peak</v>
      </c>
      <c r="F130" s="194">
        <f>'General inputs'!C29</f>
        <v>1</v>
      </c>
      <c r="H130">
        <f t="array" ref="H130:H161">TRANSPOSE(E184:AJ184)</f>
        <v>0.99650795090770528</v>
      </c>
      <c r="J130" s="195">
        <f>H130+(1-1/'General inputs'!H29)*'General inputs'!G29*λ</f>
        <v>1.9933989468893305</v>
      </c>
    </row>
    <row r="131" spans="3:10" x14ac:dyDescent="0.25">
      <c r="C131" s="586" t="str">
        <f>'General inputs'!D30</f>
        <v>Rail</v>
      </c>
      <c r="D131" s="194">
        <f>'General inputs'!E30</f>
        <v>5</v>
      </c>
      <c r="E131" s="201" t="str">
        <f>'General inputs'!F30</f>
        <v>Peak</v>
      </c>
      <c r="F131" s="194">
        <f>'General inputs'!C30</f>
        <v>2</v>
      </c>
      <c r="H131">
        <v>1.2214073285684881</v>
      </c>
      <c r="J131" s="195">
        <f>H131+(1-1/'General inputs'!H30)*'General inputs'!G30*λ</f>
        <v>2.2182983245501133</v>
      </c>
    </row>
    <row r="132" spans="3:10" x14ac:dyDescent="0.25">
      <c r="C132" s="586" t="str">
        <f>'General inputs'!D31</f>
        <v>Rail</v>
      </c>
      <c r="D132" s="194">
        <f>'General inputs'!E31</f>
        <v>15</v>
      </c>
      <c r="E132" s="201" t="str">
        <f>'General inputs'!F31</f>
        <v>Peak</v>
      </c>
      <c r="F132" s="194">
        <f>'General inputs'!C31</f>
        <v>3</v>
      </c>
      <c r="H132">
        <v>1.9560107920645475</v>
      </c>
      <c r="J132" s="195">
        <f>H132+(1-1/'General inputs'!H31)*'General inputs'!G31*λ</f>
        <v>3.195600381308715</v>
      </c>
    </row>
    <row r="133" spans="3:10" x14ac:dyDescent="0.25">
      <c r="C133" s="587" t="str">
        <f>'General inputs'!D32</f>
        <v>Rail</v>
      </c>
      <c r="D133" s="199">
        <f>'General inputs'!E32</f>
        <v>25</v>
      </c>
      <c r="E133" s="588" t="str">
        <f>'General inputs'!F32</f>
        <v>Peak</v>
      </c>
      <c r="F133" s="199">
        <f>'General inputs'!C32</f>
        <v>4</v>
      </c>
      <c r="G133" s="222"/>
      <c r="H133" s="222">
        <v>2.6905778172026222</v>
      </c>
      <c r="I133" s="222"/>
      <c r="J133" s="595">
        <f>H133+(1-1/'General inputs'!H32)*'General inputs'!G32*λ</f>
        <v>4.1154534292601284</v>
      </c>
    </row>
    <row r="134" spans="3:10" x14ac:dyDescent="0.25">
      <c r="C134" s="583" t="str">
        <f>'General inputs'!D33</f>
        <v>Rail</v>
      </c>
      <c r="D134" s="200">
        <f>'General inputs'!E33</f>
        <v>2</v>
      </c>
      <c r="E134" s="584" t="str">
        <f>'General inputs'!F33</f>
        <v>Off-peak</v>
      </c>
      <c r="F134" s="200">
        <f>'General inputs'!C33</f>
        <v>5</v>
      </c>
      <c r="G134" s="175"/>
      <c r="H134" s="175">
        <v>-0.98297317260608197</v>
      </c>
      <c r="I134" s="175"/>
      <c r="J134" s="590">
        <f>H134+(1-1/'General inputs'!H33)*'General inputs'!G33*λ</f>
        <v>-0.40105567975968492</v>
      </c>
    </row>
    <row r="135" spans="3:10" x14ac:dyDescent="0.25">
      <c r="C135" s="586" t="str">
        <f>'General inputs'!D34</f>
        <v>Rail</v>
      </c>
      <c r="D135" s="194">
        <f>'General inputs'!E34</f>
        <v>5</v>
      </c>
      <c r="E135" s="201" t="str">
        <f>'General inputs'!F34</f>
        <v>Off-peak</v>
      </c>
      <c r="F135" s="194">
        <f>'General inputs'!C34</f>
        <v>6</v>
      </c>
      <c r="H135">
        <v>-0.91834296594562115</v>
      </c>
      <c r="J135" s="195">
        <f>H135+(1-1/'General inputs'!H34)*'General inputs'!G34*λ</f>
        <v>-0.3364254730992241</v>
      </c>
    </row>
    <row r="136" spans="3:10" x14ac:dyDescent="0.25">
      <c r="C136" s="586" t="str">
        <f>'General inputs'!D35</f>
        <v>Rail</v>
      </c>
      <c r="D136" s="194">
        <f>'General inputs'!E35</f>
        <v>15</v>
      </c>
      <c r="E136" s="201" t="str">
        <f>'General inputs'!F35</f>
        <v>Off-peak</v>
      </c>
      <c r="F136" s="194">
        <f>'General inputs'!C35</f>
        <v>7</v>
      </c>
      <c r="H136">
        <v>-0.702428417718577</v>
      </c>
      <c r="J136" s="195">
        <f>H136+(1-1/'General inputs'!H35)*'General inputs'!G35*λ</f>
        <v>2.116008778414169E-2</v>
      </c>
    </row>
    <row r="137" spans="3:10" x14ac:dyDescent="0.25">
      <c r="C137" s="587" t="str">
        <f>'General inputs'!D36</f>
        <v>Rail</v>
      </c>
      <c r="D137" s="199">
        <f>'General inputs'!E36</f>
        <v>25</v>
      </c>
      <c r="E137" s="588" t="str">
        <f>'General inputs'!F36</f>
        <v>Off-peak</v>
      </c>
      <c r="F137" s="199">
        <f>'General inputs'!C36</f>
        <v>8</v>
      </c>
      <c r="G137" s="222"/>
      <c r="H137" s="222">
        <v>-0.48419127307053378</v>
      </c>
      <c r="I137" s="222"/>
      <c r="J137" s="595">
        <f>H137+(1-1/'General inputs'!H36)*'General inputs'!G36*λ</f>
        <v>0.34755467220206504</v>
      </c>
    </row>
    <row r="138" spans="3:10" x14ac:dyDescent="0.25">
      <c r="C138" s="583" t="str">
        <f>'General inputs'!D37</f>
        <v>Bus</v>
      </c>
      <c r="D138" s="200">
        <f>'General inputs'!E37</f>
        <v>2</v>
      </c>
      <c r="E138" s="584" t="str">
        <f>'General inputs'!F37</f>
        <v>Peak</v>
      </c>
      <c r="F138" s="200">
        <f>'General inputs'!C37</f>
        <v>9</v>
      </c>
      <c r="G138" s="175"/>
      <c r="H138" s="175">
        <v>0.82271917357259694</v>
      </c>
      <c r="I138" s="175"/>
      <c r="J138" s="590">
        <f>H138+(1-1/'General inputs'!H37)*'General inputs'!G37*λ</f>
        <v>1.7502667628334632</v>
      </c>
    </row>
    <row r="139" spans="3:10" x14ac:dyDescent="0.25">
      <c r="C139" s="586" t="str">
        <f>'General inputs'!D38</f>
        <v>Bus</v>
      </c>
      <c r="D139" s="194">
        <f>'General inputs'!E38</f>
        <v>5</v>
      </c>
      <c r="E139" s="201" t="str">
        <f>'General inputs'!F38</f>
        <v>Peak</v>
      </c>
      <c r="F139" s="194">
        <f>'General inputs'!C38</f>
        <v>10</v>
      </c>
      <c r="H139">
        <v>3.5746879493293444</v>
      </c>
      <c r="J139" s="195">
        <f>H139+(1-1/'General inputs'!H38)*'General inputs'!G38*λ</f>
        <v>4.8369176584266054</v>
      </c>
    </row>
    <row r="140" spans="3:10" x14ac:dyDescent="0.25">
      <c r="C140" s="586" t="str">
        <f>'General inputs'!D39</f>
        <v>Bus</v>
      </c>
      <c r="D140" s="194">
        <f>'General inputs'!E39</f>
        <v>15</v>
      </c>
      <c r="E140" s="201" t="str">
        <f>'General inputs'!F39</f>
        <v>Peak</v>
      </c>
      <c r="F140" s="194">
        <f>'General inputs'!C39</f>
        <v>11</v>
      </c>
      <c r="H140">
        <v>12.735557170884727</v>
      </c>
      <c r="J140" s="195">
        <f>H140+(1-1/'General inputs'!H39)*'General inputs'!G39*λ</f>
        <v>14.357968589901155</v>
      </c>
    </row>
    <row r="141" spans="3:10" x14ac:dyDescent="0.25">
      <c r="C141" s="587" t="str">
        <f>'General inputs'!D40</f>
        <v>Bus</v>
      </c>
      <c r="D141" s="199">
        <f>'General inputs'!E40</f>
        <v>25</v>
      </c>
      <c r="E141" s="588" t="str">
        <f>'General inputs'!F40</f>
        <v>Peak</v>
      </c>
      <c r="F141" s="199">
        <f>'General inputs'!C40</f>
        <v>12</v>
      </c>
      <c r="G141" s="222"/>
      <c r="H141" s="222">
        <v>21.701249051809523</v>
      </c>
      <c r="I141" s="222"/>
      <c r="J141" s="595">
        <f>H141+(1-1/'General inputs'!H40)*'General inputs'!G40*λ</f>
        <v>23.323660470825953</v>
      </c>
    </row>
    <row r="142" spans="3:10" x14ac:dyDescent="0.25">
      <c r="C142" s="583" t="str">
        <f>'General inputs'!D41</f>
        <v>Bus</v>
      </c>
      <c r="D142" s="200">
        <f>'General inputs'!E41</f>
        <v>2</v>
      </c>
      <c r="E142" s="584" t="str">
        <f>'General inputs'!F41</f>
        <v>Off-peak</v>
      </c>
      <c r="F142" s="200">
        <f>'General inputs'!C41</f>
        <v>13</v>
      </c>
      <c r="G142" s="175"/>
      <c r="H142" s="175">
        <v>0.41308524831702048</v>
      </c>
      <c r="I142" s="175"/>
      <c r="J142" s="590">
        <f>H142+(1-1/'General inputs'!H41)*'General inputs'!G41*λ</f>
        <v>0.92515932777315091</v>
      </c>
    </row>
    <row r="143" spans="3:10" x14ac:dyDescent="0.25">
      <c r="C143" s="586" t="str">
        <f>'General inputs'!D42</f>
        <v>Bus</v>
      </c>
      <c r="D143" s="194">
        <f>'General inputs'!E42</f>
        <v>5</v>
      </c>
      <c r="E143" s="201" t="str">
        <f>'General inputs'!F42</f>
        <v>Off-peak</v>
      </c>
      <c r="F143" s="194">
        <f>'General inputs'!C42</f>
        <v>14</v>
      </c>
      <c r="H143">
        <v>2.9148438209361718</v>
      </c>
      <c r="J143" s="195">
        <f>H143+(1-1/'General inputs'!H42)*'General inputs'!G42*λ</f>
        <v>3.611686898134205</v>
      </c>
    </row>
    <row r="144" spans="3:10" x14ac:dyDescent="0.25">
      <c r="C144" s="586" t="str">
        <f>'General inputs'!D43</f>
        <v>Bus</v>
      </c>
      <c r="D144" s="194">
        <f>'General inputs'!E43</f>
        <v>15</v>
      </c>
      <c r="E144" s="201" t="str">
        <f>'General inputs'!F43</f>
        <v>Off-peak</v>
      </c>
      <c r="F144" s="194">
        <f>'General inputs'!C43</f>
        <v>15</v>
      </c>
      <c r="H144">
        <v>11.193960038285089</v>
      </c>
      <c r="J144" s="195">
        <f>H144+(1-1/'General inputs'!H43)*'General inputs'!G43*λ</f>
        <v>12.089649751148219</v>
      </c>
    </row>
    <row r="145" spans="3:10" x14ac:dyDescent="0.25">
      <c r="C145" s="587" t="str">
        <f>'General inputs'!D44</f>
        <v>Bus</v>
      </c>
      <c r="D145" s="199">
        <f>'General inputs'!E44</f>
        <v>25</v>
      </c>
      <c r="E145" s="588" t="str">
        <f>'General inputs'!F44</f>
        <v>Off-peak</v>
      </c>
      <c r="F145" s="199">
        <f>'General inputs'!C44</f>
        <v>16</v>
      </c>
      <c r="G145" s="222"/>
      <c r="H145" s="222">
        <v>19.238782140142984</v>
      </c>
      <c r="I145" s="222"/>
      <c r="J145" s="595">
        <f>H145+(1-1/'General inputs'!H44)*'General inputs'!G44*λ</f>
        <v>20.134471853006112</v>
      </c>
    </row>
    <row r="146" spans="3:10" x14ac:dyDescent="0.25">
      <c r="C146" s="583" t="str">
        <f>'General inputs'!D45</f>
        <v>Ferry</v>
      </c>
      <c r="D146" s="200">
        <f>'General inputs'!E45</f>
        <v>2</v>
      </c>
      <c r="E146" s="584" t="str">
        <f>'General inputs'!F45</f>
        <v>Peak</v>
      </c>
      <c r="F146" s="200">
        <f>'General inputs'!C45</f>
        <v>17</v>
      </c>
      <c r="G146" s="175"/>
      <c r="H146" s="175">
        <v>-9.4628246698417184E-2</v>
      </c>
      <c r="I146" s="175"/>
      <c r="J146" s="590">
        <f>H146+(1-1/'General inputs'!H45)*'General inputs'!G45*λ</f>
        <v>1.5410656022853997</v>
      </c>
    </row>
    <row r="147" spans="3:10" x14ac:dyDescent="0.25">
      <c r="C147" s="586" t="str">
        <f>'General inputs'!D46</f>
        <v>Ferry</v>
      </c>
      <c r="D147" s="194">
        <f>'General inputs'!E46</f>
        <v>5</v>
      </c>
      <c r="E147" s="201" t="str">
        <f>'General inputs'!F46</f>
        <v>Peak</v>
      </c>
      <c r="F147" s="194">
        <f>'General inputs'!C46</f>
        <v>18</v>
      </c>
      <c r="H147">
        <v>2.0678339224788305</v>
      </c>
      <c r="J147" s="195">
        <f>H147+(1-1/'General inputs'!H46)*'General inputs'!G46*λ</f>
        <v>3.7035277714626473</v>
      </c>
    </row>
    <row r="148" spans="3:10" x14ac:dyDescent="0.25">
      <c r="C148" s="586" t="str">
        <f>'General inputs'!D47</f>
        <v>Ferry</v>
      </c>
      <c r="D148" s="194">
        <f>'General inputs'!E47</f>
        <v>15</v>
      </c>
      <c r="E148" s="201" t="str">
        <f>'General inputs'!F47</f>
        <v>Peak</v>
      </c>
      <c r="F148" s="194">
        <f>'General inputs'!C47</f>
        <v>19</v>
      </c>
      <c r="H148">
        <v>9.1998578154001525</v>
      </c>
      <c r="J148" s="195">
        <f>H148+(1-1/'General inputs'!H47)*'General inputs'!G47*λ</f>
        <v>11.246999345532675</v>
      </c>
    </row>
    <row r="149" spans="3:10" x14ac:dyDescent="0.25">
      <c r="C149" s="587" t="str">
        <f>'General inputs'!D48</f>
        <v>Ferry</v>
      </c>
      <c r="D149" s="199">
        <f>'General inputs'!E48</f>
        <v>25</v>
      </c>
      <c r="E149" s="588" t="str">
        <f>'General inputs'!F48</f>
        <v>Peak</v>
      </c>
      <c r="F149" s="199">
        <f>'General inputs'!C48</f>
        <v>20</v>
      </c>
      <c r="G149" s="222"/>
      <c r="H149" s="222">
        <v>16.349569449753538</v>
      </c>
      <c r="I149" s="222"/>
      <c r="J149" s="595">
        <f>H149+(1-1/'General inputs'!H48)*'General inputs'!G48*λ</f>
        <v>18.396710979886063</v>
      </c>
    </row>
    <row r="150" spans="3:10" x14ac:dyDescent="0.25">
      <c r="C150" s="583" t="str">
        <f>'General inputs'!D49</f>
        <v>Ferry</v>
      </c>
      <c r="D150" s="200">
        <f>'General inputs'!E49</f>
        <v>2</v>
      </c>
      <c r="E150" s="584" t="str">
        <f>'General inputs'!F49</f>
        <v>Off-peak</v>
      </c>
      <c r="F150" s="200">
        <f>'General inputs'!C49</f>
        <v>21</v>
      </c>
      <c r="G150" s="175"/>
      <c r="H150" s="175">
        <v>0.21955658567134922</v>
      </c>
      <c r="I150" s="175"/>
      <c r="J150" s="590">
        <f>H150+(1-1/'General inputs'!H49)*'General inputs'!G49*λ</f>
        <v>1.5869765153351776</v>
      </c>
    </row>
    <row r="151" spans="3:10" x14ac:dyDescent="0.25">
      <c r="C151" s="586" t="str">
        <f>'General inputs'!D50</f>
        <v>Ferry</v>
      </c>
      <c r="D151" s="194">
        <f>'General inputs'!E50</f>
        <v>5</v>
      </c>
      <c r="E151" s="201" t="str">
        <f>'General inputs'!F50</f>
        <v>Off-peak</v>
      </c>
      <c r="F151" s="194">
        <f>'General inputs'!C50</f>
        <v>22</v>
      </c>
      <c r="H151">
        <v>1.4446928374618433</v>
      </c>
      <c r="J151" s="195">
        <f>H151+(1-1/'General inputs'!H50)*'General inputs'!G50*λ</f>
        <v>2.8121127671256714</v>
      </c>
    </row>
    <row r="152" spans="3:10" x14ac:dyDescent="0.25">
      <c r="C152" s="586" t="str">
        <f>'General inputs'!D51</f>
        <v>Ferry</v>
      </c>
      <c r="D152" s="194">
        <f>'General inputs'!E51</f>
        <v>15</v>
      </c>
      <c r="E152" s="201" t="str">
        <f>'General inputs'!F51</f>
        <v>Off-peak</v>
      </c>
      <c r="F152" s="194">
        <f>'General inputs'!C51</f>
        <v>23</v>
      </c>
      <c r="H152">
        <v>5.5818511147199175</v>
      </c>
      <c r="J152" s="195">
        <f>H152+(1-1/'General inputs'!H51)*'General inputs'!G51*λ</f>
        <v>7.2932362427405417</v>
      </c>
    </row>
    <row r="153" spans="3:10" x14ac:dyDescent="0.25">
      <c r="C153" s="587" t="str">
        <f>'General inputs'!D52</f>
        <v>Ferry</v>
      </c>
      <c r="D153" s="199">
        <f>'General inputs'!E52</f>
        <v>25</v>
      </c>
      <c r="E153" s="588" t="str">
        <f>'General inputs'!F52</f>
        <v>Off-peak</v>
      </c>
      <c r="F153" s="199">
        <f>'General inputs'!C52</f>
        <v>24</v>
      </c>
      <c r="G153" s="222"/>
      <c r="H153" s="222">
        <v>9.7189121392622955</v>
      </c>
      <c r="I153" s="222"/>
      <c r="J153" s="595">
        <f>H153+(1-1/'General inputs'!H52)*'General inputs'!G52*λ</f>
        <v>11.430297267282921</v>
      </c>
    </row>
    <row r="154" spans="3:10" x14ac:dyDescent="0.25">
      <c r="C154" s="583" t="str">
        <f>'General inputs'!D53</f>
        <v>Light Rail</v>
      </c>
      <c r="D154" s="200">
        <f>'General inputs'!E53</f>
        <v>2</v>
      </c>
      <c r="E154" s="584" t="str">
        <f>'General inputs'!F53</f>
        <v>Peak</v>
      </c>
      <c r="F154" s="200">
        <f>'General inputs'!C53</f>
        <v>25</v>
      </c>
      <c r="G154" s="175"/>
      <c r="H154" s="175">
        <v>-0.58969502113397732</v>
      </c>
      <c r="I154" s="175"/>
      <c r="J154" s="590">
        <f>H154+(1-1/'General inputs'!H53)*'General inputs'!G53*λ</f>
        <v>0.19916733351914684</v>
      </c>
    </row>
    <row r="155" spans="3:10" x14ac:dyDescent="0.25">
      <c r="C155" s="586" t="str">
        <f>'General inputs'!D54</f>
        <v>Light Rail</v>
      </c>
      <c r="D155" s="194">
        <f>'General inputs'!E54</f>
        <v>5</v>
      </c>
      <c r="E155" s="201" t="str">
        <f>'General inputs'!F54</f>
        <v>Peak</v>
      </c>
      <c r="F155" s="194">
        <f>'General inputs'!C54</f>
        <v>26</v>
      </c>
      <c r="H155">
        <v>1.1079459854680156</v>
      </c>
      <c r="J155" s="195">
        <f>H155+(1-1/'General inputs'!H54)*'General inputs'!G54*λ</f>
        <v>2.1814493959238135</v>
      </c>
    </row>
    <row r="156" spans="3:10" x14ac:dyDescent="0.25">
      <c r="C156" s="586" t="str">
        <f>'General inputs'!D55</f>
        <v>Light Rail</v>
      </c>
      <c r="D156" s="194">
        <f>'General inputs'!E55</f>
        <v>15</v>
      </c>
      <c r="E156" s="201" t="str">
        <f>'General inputs'!F55</f>
        <v>Peak</v>
      </c>
      <c r="F156" s="194">
        <f>'General inputs'!C55</f>
        <v>27</v>
      </c>
      <c r="H156">
        <v>6.7620680560545381</v>
      </c>
      <c r="J156" s="195">
        <f>H156+(1-1/'General inputs'!H55)*'General inputs'!G55*λ</f>
        <v>8.1418994598979744</v>
      </c>
    </row>
    <row r="157" spans="3:10" x14ac:dyDescent="0.25">
      <c r="C157" s="587" t="str">
        <f>'General inputs'!D56</f>
        <v>Light Rail</v>
      </c>
      <c r="D157" s="199">
        <f>'General inputs'!E56</f>
        <v>25</v>
      </c>
      <c r="E157" s="588" t="str">
        <f>'General inputs'!F56</f>
        <v>Peak</v>
      </c>
      <c r="F157" s="199">
        <f>'General inputs'!C56</f>
        <v>28</v>
      </c>
      <c r="G157" s="222"/>
      <c r="H157" s="222">
        <v>12.452841062152668</v>
      </c>
      <c r="I157" s="222"/>
      <c r="J157" s="595">
        <f>H157+(1-1/'General inputs'!H56)*'General inputs'!G56*λ</f>
        <v>13.832672465996104</v>
      </c>
    </row>
    <row r="158" spans="3:10" x14ac:dyDescent="0.25">
      <c r="C158" s="583" t="str">
        <f>'General inputs'!D57</f>
        <v>Light Rail</v>
      </c>
      <c r="D158" s="200">
        <f>'General inputs'!E57</f>
        <v>2</v>
      </c>
      <c r="E158" s="584" t="str">
        <f>'General inputs'!F57</f>
        <v>Off-peak</v>
      </c>
      <c r="F158" s="200">
        <f>'General inputs'!C57</f>
        <v>29</v>
      </c>
      <c r="G158" s="175"/>
      <c r="H158" s="175">
        <v>-0.41641717245996196</v>
      </c>
      <c r="I158" s="175"/>
      <c r="J158" s="590">
        <f>H158+(1-1/'General inputs'!H57)*'General inputs'!G57*λ</f>
        <v>5.6617982455118288E-2</v>
      </c>
    </row>
    <row r="159" spans="3:10" x14ac:dyDescent="0.25">
      <c r="C159" s="586" t="str">
        <f>'General inputs'!D58</f>
        <v>Light Rail</v>
      </c>
      <c r="D159" s="194">
        <f>'General inputs'!E58</f>
        <v>5</v>
      </c>
      <c r="E159" s="201" t="str">
        <f>'General inputs'!F58</f>
        <v>Off-peak</v>
      </c>
      <c r="F159" s="194">
        <f>'General inputs'!C58</f>
        <v>30</v>
      </c>
      <c r="H159">
        <v>-0.21866001309411848</v>
      </c>
      <c r="J159" s="195">
        <f>H159+(1-1/'General inputs'!H58)*'General inputs'!G58*λ</f>
        <v>0.42505792967691852</v>
      </c>
    </row>
    <row r="160" spans="3:10" x14ac:dyDescent="0.25">
      <c r="C160" s="586" t="str">
        <f>'General inputs'!D59</f>
        <v>Light Rail</v>
      </c>
      <c r="D160" s="194">
        <f>'General inputs'!E59</f>
        <v>15</v>
      </c>
      <c r="E160" s="201" t="str">
        <f>'General inputs'!F59</f>
        <v>Off-peak</v>
      </c>
      <c r="F160" s="194">
        <f>'General inputs'!C59</f>
        <v>31</v>
      </c>
      <c r="H160">
        <v>0.46700887228095828</v>
      </c>
      <c r="J160" s="195">
        <f>H160+(1-1/'General inputs'!H59)*'General inputs'!G59*λ</f>
        <v>1.2944140057922153</v>
      </c>
    </row>
    <row r="161" spans="3:36" x14ac:dyDescent="0.25">
      <c r="C161" s="586" t="str">
        <f>'General inputs'!D60</f>
        <v>Light Rail</v>
      </c>
      <c r="D161" s="194">
        <f>'General inputs'!E60</f>
        <v>25</v>
      </c>
      <c r="E161" s="201" t="str">
        <f>'General inputs'!F60</f>
        <v>Off-peak</v>
      </c>
      <c r="F161" s="194">
        <f>'General inputs'!C60</f>
        <v>32</v>
      </c>
      <c r="H161">
        <v>1.1909815334925911</v>
      </c>
      <c r="J161" s="195">
        <f>H161+(1-1/'General inputs'!H60)*'General inputs'!G60*λ</f>
        <v>2.0183866670038482</v>
      </c>
    </row>
    <row r="162" spans="3:36" x14ac:dyDescent="0.25">
      <c r="C162" s="223"/>
      <c r="D162" s="224"/>
      <c r="E162" s="225"/>
      <c r="F162" s="224"/>
      <c r="G162" s="197"/>
      <c r="H162" s="197"/>
      <c r="I162" s="197"/>
      <c r="J162" s="198"/>
    </row>
    <row r="163" spans="3:36" x14ac:dyDescent="0.25">
      <c r="C163" s="164"/>
      <c r="D163" s="164"/>
      <c r="E163" s="164"/>
    </row>
    <row r="164" spans="3:36" x14ac:dyDescent="0.25">
      <c r="C164" s="164"/>
      <c r="D164" s="164"/>
      <c r="E164" s="164"/>
    </row>
    <row r="165" spans="3:36" ht="15.5" x14ac:dyDescent="0.35">
      <c r="C165" s="43" t="str">
        <f>C12</f>
        <v>Table 5 - Derivation of 'Part RHS' (by mode, by distance, by time-of-day (ToD))</v>
      </c>
      <c r="D165" s="164"/>
      <c r="E165" s="164"/>
    </row>
    <row r="166" spans="3:36" x14ac:dyDescent="0.25">
      <c r="C166" s="608"/>
      <c r="D166" s="226"/>
      <c r="E166" s="226"/>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90"/>
    </row>
    <row r="167" spans="3:36" x14ac:dyDescent="0.25">
      <c r="C167" s="220" t="str">
        <f t="array" ref="C167:C170">TRANSPOSE(C129:F129)</f>
        <v>Mode</v>
      </c>
      <c r="E167" s="163" t="str">
        <f t="array" ref="E167:AJ170">TRANSPOSE(C130:F161)</f>
        <v>Rail</v>
      </c>
      <c r="F167" s="163" t="str">
        <v>Rail</v>
      </c>
      <c r="G167" s="163" t="str">
        <v>Rail</v>
      </c>
      <c r="H167" s="609" t="str">
        <v>Rail</v>
      </c>
      <c r="I167" s="179" t="str">
        <v>Rail</v>
      </c>
      <c r="J167" s="163" t="str">
        <v>Rail</v>
      </c>
      <c r="K167" s="163" t="str">
        <v>Rail</v>
      </c>
      <c r="L167" s="609" t="str">
        <v>Rail</v>
      </c>
      <c r="M167" s="179" t="str">
        <v>Bus</v>
      </c>
      <c r="N167" s="163" t="str">
        <v>Bus</v>
      </c>
      <c r="O167" s="163" t="str">
        <v>Bus</v>
      </c>
      <c r="P167" s="609" t="str">
        <v>Bus</v>
      </c>
      <c r="Q167" s="179" t="str">
        <v>Bus</v>
      </c>
      <c r="R167" s="163" t="str">
        <v>Bus</v>
      </c>
      <c r="S167" s="163" t="str">
        <v>Bus</v>
      </c>
      <c r="T167" s="609" t="str">
        <v>Bus</v>
      </c>
      <c r="U167" s="179" t="str">
        <v>Ferry</v>
      </c>
      <c r="V167" s="163" t="str">
        <v>Ferry</v>
      </c>
      <c r="W167" s="163" t="str">
        <v>Ferry</v>
      </c>
      <c r="X167" s="609" t="str">
        <v>Ferry</v>
      </c>
      <c r="Y167" s="179" t="str">
        <v>Ferry</v>
      </c>
      <c r="Z167" s="163" t="str">
        <v>Ferry</v>
      </c>
      <c r="AA167" s="163" t="str">
        <v>Ferry</v>
      </c>
      <c r="AB167" s="609" t="str">
        <v>Ferry</v>
      </c>
      <c r="AC167" s="179" t="str">
        <v>Light Rail</v>
      </c>
      <c r="AD167" s="163" t="str">
        <v>Light Rail</v>
      </c>
      <c r="AE167" s="163" t="str">
        <v>Light Rail</v>
      </c>
      <c r="AF167" s="609" t="str">
        <v>Light Rail</v>
      </c>
      <c r="AG167" s="179" t="str">
        <v>Light Rail</v>
      </c>
      <c r="AH167" s="163" t="str">
        <v>Light Rail</v>
      </c>
      <c r="AI167" s="163" t="str">
        <v>Light Rail</v>
      </c>
      <c r="AJ167" s="193" t="str">
        <v>Light Rail</v>
      </c>
    </row>
    <row r="168" spans="3:36" x14ac:dyDescent="0.25">
      <c r="C168" s="220" t="str">
        <v>Distance (km)</v>
      </c>
      <c r="E168" s="163">
        <v>2</v>
      </c>
      <c r="F168" s="163">
        <v>5</v>
      </c>
      <c r="G168" s="163">
        <v>15</v>
      </c>
      <c r="H168" s="609">
        <v>25</v>
      </c>
      <c r="I168" s="179">
        <v>2</v>
      </c>
      <c r="J168" s="163">
        <v>5</v>
      </c>
      <c r="K168" s="163">
        <v>15</v>
      </c>
      <c r="L168" s="609">
        <v>25</v>
      </c>
      <c r="M168" s="179">
        <v>2</v>
      </c>
      <c r="N168" s="163">
        <v>5</v>
      </c>
      <c r="O168" s="163">
        <v>15</v>
      </c>
      <c r="P168" s="609">
        <v>25</v>
      </c>
      <c r="Q168" s="179">
        <v>2</v>
      </c>
      <c r="R168" s="163">
        <v>5</v>
      </c>
      <c r="S168" s="163">
        <v>15</v>
      </c>
      <c r="T168" s="609">
        <v>25</v>
      </c>
      <c r="U168" s="179">
        <v>2</v>
      </c>
      <c r="V168" s="163">
        <v>5</v>
      </c>
      <c r="W168" s="163">
        <v>15</v>
      </c>
      <c r="X168" s="609">
        <v>25</v>
      </c>
      <c r="Y168" s="179">
        <v>2</v>
      </c>
      <c r="Z168" s="163">
        <v>5</v>
      </c>
      <c r="AA168" s="163">
        <v>15</v>
      </c>
      <c r="AB168" s="609">
        <v>25</v>
      </c>
      <c r="AC168" s="179">
        <v>2</v>
      </c>
      <c r="AD168" s="163">
        <v>5</v>
      </c>
      <c r="AE168" s="163">
        <v>15</v>
      </c>
      <c r="AF168" s="609">
        <v>25</v>
      </c>
      <c r="AG168" s="179">
        <v>2</v>
      </c>
      <c r="AH168" s="163">
        <v>5</v>
      </c>
      <c r="AI168" s="163">
        <v>15</v>
      </c>
      <c r="AJ168" s="193">
        <v>25</v>
      </c>
    </row>
    <row r="169" spans="3:36" x14ac:dyDescent="0.25">
      <c r="C169" s="220" t="str">
        <v>ToD</v>
      </c>
      <c r="E169" s="163" t="str">
        <v>Peak</v>
      </c>
      <c r="F169" s="163" t="str">
        <v>Peak</v>
      </c>
      <c r="G169" s="163" t="str">
        <v>Peak</v>
      </c>
      <c r="H169" s="609" t="str">
        <v>Peak</v>
      </c>
      <c r="I169" s="179" t="str">
        <v>Off-peak</v>
      </c>
      <c r="J169" s="163" t="str">
        <v>Off-peak</v>
      </c>
      <c r="K169" s="163" t="str">
        <v>Off-peak</v>
      </c>
      <c r="L169" s="609" t="str">
        <v>Off-peak</v>
      </c>
      <c r="M169" s="179" t="str">
        <v>Peak</v>
      </c>
      <c r="N169" s="163" t="str">
        <v>Peak</v>
      </c>
      <c r="O169" s="163" t="str">
        <v>Peak</v>
      </c>
      <c r="P169" s="609" t="str">
        <v>Peak</v>
      </c>
      <c r="Q169" s="179" t="str">
        <v>Off-peak</v>
      </c>
      <c r="R169" s="163" t="str">
        <v>Off-peak</v>
      </c>
      <c r="S169" s="163" t="str">
        <v>Off-peak</v>
      </c>
      <c r="T169" s="609" t="str">
        <v>Off-peak</v>
      </c>
      <c r="U169" s="179" t="str">
        <v>Peak</v>
      </c>
      <c r="V169" s="163" t="str">
        <v>Peak</v>
      </c>
      <c r="W169" s="163" t="str">
        <v>Peak</v>
      </c>
      <c r="X169" s="609" t="str">
        <v>Peak</v>
      </c>
      <c r="Y169" s="179" t="str">
        <v>Off-peak</v>
      </c>
      <c r="Z169" s="163" t="str">
        <v>Off-peak</v>
      </c>
      <c r="AA169" s="163" t="str">
        <v>Off-peak</v>
      </c>
      <c r="AB169" s="609" t="str">
        <v>Off-peak</v>
      </c>
      <c r="AC169" s="179" t="str">
        <v>Peak</v>
      </c>
      <c r="AD169" s="163" t="str">
        <v>Peak</v>
      </c>
      <c r="AE169" s="163" t="str">
        <v>Peak</v>
      </c>
      <c r="AF169" s="609" t="str">
        <v>Peak</v>
      </c>
      <c r="AG169" s="179" t="str">
        <v>Off-peak</v>
      </c>
      <c r="AH169" s="163" t="str">
        <v>Off-peak</v>
      </c>
      <c r="AI169" s="163" t="str">
        <v>Off-peak</v>
      </c>
      <c r="AJ169" s="193" t="str">
        <v>Off-peak</v>
      </c>
    </row>
    <row r="170" spans="3:36" x14ac:dyDescent="0.25">
      <c r="C170" s="220" t="str">
        <v>mode j</v>
      </c>
      <c r="E170" s="163">
        <v>1</v>
      </c>
      <c r="F170" s="163">
        <v>2</v>
      </c>
      <c r="G170" s="163">
        <v>3</v>
      </c>
      <c r="H170" s="609">
        <v>4</v>
      </c>
      <c r="I170" s="179">
        <v>5</v>
      </c>
      <c r="J170" s="163">
        <v>6</v>
      </c>
      <c r="K170" s="163">
        <v>7</v>
      </c>
      <c r="L170" s="609">
        <v>8</v>
      </c>
      <c r="M170" s="179">
        <v>9</v>
      </c>
      <c r="N170" s="163">
        <v>10</v>
      </c>
      <c r="O170" s="163">
        <v>11</v>
      </c>
      <c r="P170" s="609">
        <v>12</v>
      </c>
      <c r="Q170" s="179">
        <v>13</v>
      </c>
      <c r="R170" s="163">
        <v>14</v>
      </c>
      <c r="S170" s="163">
        <v>15</v>
      </c>
      <c r="T170" s="609">
        <v>16</v>
      </c>
      <c r="U170" s="179">
        <v>17</v>
      </c>
      <c r="V170" s="163">
        <v>18</v>
      </c>
      <c r="W170" s="163">
        <v>19</v>
      </c>
      <c r="X170" s="609">
        <v>20</v>
      </c>
      <c r="Y170" s="179">
        <v>21</v>
      </c>
      <c r="Z170" s="163">
        <v>22</v>
      </c>
      <c r="AA170" s="163">
        <v>23</v>
      </c>
      <c r="AB170" s="609">
        <v>24</v>
      </c>
      <c r="AC170" s="179">
        <v>25</v>
      </c>
      <c r="AD170" s="163">
        <v>26</v>
      </c>
      <c r="AE170" s="163">
        <v>27</v>
      </c>
      <c r="AF170" s="609">
        <v>28</v>
      </c>
      <c r="AG170" s="179">
        <v>29</v>
      </c>
      <c r="AH170" s="163">
        <v>30</v>
      </c>
      <c r="AI170" s="163">
        <v>31</v>
      </c>
      <c r="AJ170" s="193">
        <v>32</v>
      </c>
    </row>
    <row r="171" spans="3:36" x14ac:dyDescent="0.25">
      <c r="C171" s="220"/>
      <c r="H171" s="228"/>
      <c r="I171" s="177"/>
      <c r="L171" s="228"/>
      <c r="M171" s="177"/>
      <c r="P171" s="228"/>
      <c r="Q171" s="177"/>
      <c r="T171" s="228"/>
      <c r="U171" s="177"/>
      <c r="X171" s="228"/>
      <c r="Y171" s="177"/>
      <c r="AB171" s="228"/>
      <c r="AC171" s="177"/>
      <c r="AF171" s="228"/>
      <c r="AG171" s="177"/>
      <c r="AJ171" s="195"/>
    </row>
    <row r="172" spans="3:36" x14ac:dyDescent="0.25">
      <c r="C172" s="220" t="s">
        <v>210</v>
      </c>
      <c r="E172" s="610">
        <f>SUMPRODUCT('Fare optimisation - matrices'!H23:H54,'Fare optimisation'!$G$84:$G$115)</f>
        <v>-1.2631752377067962</v>
      </c>
      <c r="F172" s="610">
        <f>SUMPRODUCT('Fare optimisation - matrices'!I23:I54,'Fare optimisation'!$G$84:$G$115)</f>
        <v>-1.2844792747085667</v>
      </c>
      <c r="G172" s="610">
        <f>SUMPRODUCT('Fare optimisation - matrices'!J23:J54,'Fare optimisation'!$G$84:$G$115)</f>
        <v>-1.3554927313811349</v>
      </c>
      <c r="H172" s="611">
        <f>SUMPRODUCT('Fare optimisation - matrices'!K23:K54,'Fare optimisation'!$G$84:$G$115)</f>
        <v>-1.4265061880537033</v>
      </c>
      <c r="I172" s="612">
        <f>SUMPRODUCT('Fare optimisation - matrices'!L23:L54,'Fare optimisation'!$G$84:$G$115)</f>
        <v>-1.2631752377067962</v>
      </c>
      <c r="J172" s="610">
        <f>SUMPRODUCT('Fare optimisation - matrices'!M23:M54,'Fare optimisation'!$G$84:$G$115)</f>
        <v>-1.2844792747085667</v>
      </c>
      <c r="K172" s="610">
        <f>SUMPRODUCT('Fare optimisation - matrices'!N23:N54,'Fare optimisation'!$G$84:$G$115)</f>
        <v>-1.3554927313811349</v>
      </c>
      <c r="L172" s="611">
        <f>SUMPRODUCT('Fare optimisation - matrices'!O23:O54,'Fare optimisation'!$G$84:$G$115)</f>
        <v>-1.4265061880537033</v>
      </c>
      <c r="M172" s="612">
        <f>SUMPRODUCT('Fare optimisation - matrices'!P23:P54,'Fare optimisation'!$G$84:$G$115)</f>
        <v>-1.0754074416190271</v>
      </c>
      <c r="N172" s="610">
        <f>SUMPRODUCT('Fare optimisation - matrices'!Q23:Q54,'Fare optimisation'!$G$84:$G$115)</f>
        <v>-0.97828460404756779</v>
      </c>
      <c r="O172" s="610">
        <f>SUMPRODUCT('Fare optimisation - matrices'!R23:R54,'Fare optimisation'!$G$84:$G$115)</f>
        <v>-0.65454181214270357</v>
      </c>
      <c r="P172" s="611">
        <f>SUMPRODUCT('Fare optimisation - matrices'!S23:S54,'Fare optimisation'!$G$84:$G$115)</f>
        <v>-0.33079902023783936</v>
      </c>
      <c r="Q172" s="612">
        <f>SUMPRODUCT('Fare optimisation - matrices'!T23:T54,'Fare optimisation'!$G$84:$G$115)</f>
        <v>-1.0754074416190271</v>
      </c>
      <c r="R172" s="610">
        <f>SUMPRODUCT('Fare optimisation - matrices'!U23:U54,'Fare optimisation'!$G$84:$G$115)</f>
        <v>-0.97828460404756779</v>
      </c>
      <c r="S172" s="610">
        <f>SUMPRODUCT('Fare optimisation - matrices'!V23:V54,'Fare optimisation'!$G$84:$G$115)</f>
        <v>-0.65454181214270357</v>
      </c>
      <c r="T172" s="611">
        <f>SUMPRODUCT('Fare optimisation - matrices'!W23:W54,'Fare optimisation'!$G$84:$G$115)</f>
        <v>-0.33079902023783936</v>
      </c>
      <c r="U172" s="612">
        <f>SUMPRODUCT('Fare optimisation - matrices'!X23:X54,'Fare optimisation'!$G$84:$G$115)</f>
        <v>-0.30687914625976059</v>
      </c>
      <c r="V172" s="610">
        <f>SUMPRODUCT('Fare optimisation - matrices'!Y23:Y54,'Fare optimisation'!$G$84:$G$115)</f>
        <v>-6.8232665649401683E-2</v>
      </c>
      <c r="W172" s="610">
        <f>SUMPRODUCT('Fare optimisation - matrices'!Z23:Z54,'Fare optimisation'!$G$84:$G$115)</f>
        <v>0.72725560305179449</v>
      </c>
      <c r="X172" s="611">
        <f>SUMPRODUCT('Fare optimisation - matrices'!AA23:AA54,'Fare optimisation'!$G$84:$G$115)</f>
        <v>1.5227438717529909</v>
      </c>
      <c r="Y172" s="612">
        <f>SUMPRODUCT('Fare optimisation - matrices'!AB23:AB54,'Fare optimisation'!$G$84:$G$115)</f>
        <v>-0.30687914625976065</v>
      </c>
      <c r="Z172" s="610">
        <f>SUMPRODUCT('Fare optimisation - matrices'!AC23:AC54,'Fare optimisation'!$G$84:$G$115)</f>
        <v>-6.8232665649401669E-2</v>
      </c>
      <c r="AA172" s="610">
        <f>SUMPRODUCT('Fare optimisation - matrices'!AD23:AD54,'Fare optimisation'!$G$84:$G$115)</f>
        <v>0.72725560305179449</v>
      </c>
      <c r="AB172" s="611">
        <f>SUMPRODUCT('Fare optimisation - matrices'!AE23:AE54,'Fare optimisation'!$G$84:$G$115)</f>
        <v>1.5227438717529911</v>
      </c>
      <c r="AC172" s="612">
        <f>SUMPRODUCT('Fare optimisation - matrices'!AF23:AF54,'Fare optimisation'!$G$84:$G$115)</f>
        <v>-0.51860860430406319</v>
      </c>
      <c r="AD172" s="610">
        <f>SUMPRODUCT('Fare optimisation - matrices'!AG23:AG54,'Fare optimisation'!$G$84:$G$115)</f>
        <v>-0.52106200822403359</v>
      </c>
      <c r="AE172" s="610">
        <f>SUMPRODUCT('Fare optimisation - matrices'!AH23:AH54,'Fare optimisation'!$G$84:$G$115)</f>
        <v>-0.52924002129060155</v>
      </c>
      <c r="AF172" s="611">
        <f>SUMPRODUCT('Fare optimisation - matrices'!AI23:AI54,'Fare optimisation'!$G$84:$G$115)</f>
        <v>-0.53741803435716939</v>
      </c>
      <c r="AG172" s="612">
        <f>SUMPRODUCT('Fare optimisation - matrices'!AJ23:AJ54,'Fare optimisation'!$G$84:$G$115)</f>
        <v>-0.51860860430406319</v>
      </c>
      <c r="AH172" s="610">
        <f>SUMPRODUCT('Fare optimisation - matrices'!AK23:AK54,'Fare optimisation'!$G$84:$G$115)</f>
        <v>-0.52106200822403359</v>
      </c>
      <c r="AI172" s="610">
        <f>SUMPRODUCT('Fare optimisation - matrices'!AL23:AL54,'Fare optimisation'!$G$84:$G$115)</f>
        <v>-0.52924002129060155</v>
      </c>
      <c r="AJ172" s="613">
        <f>SUMPRODUCT('Fare optimisation - matrices'!AM23:AM54,'Fare optimisation'!$G$84:$G$115)</f>
        <v>-0.53741803435716951</v>
      </c>
    </row>
    <row r="173" spans="3:36" x14ac:dyDescent="0.25">
      <c r="C173" s="220" t="s">
        <v>211</v>
      </c>
      <c r="E173" s="610">
        <f>SUMPRODUCT('Fare optimisation - matrices'!H23:H54,'Fare optimisation'!$I$84:$I$115)*(1+λ)</f>
        <v>3.1385205290566525</v>
      </c>
      <c r="F173" s="610">
        <f>SUMPRODUCT('Fare optimisation - matrices'!I23:I54,'Fare optimisation'!$I$84:$I$115)*(1+λ)</f>
        <v>3.4726922662827255</v>
      </c>
      <c r="G173" s="610">
        <f>SUMPRODUCT('Fare optimisation - matrices'!J23:J54,'Fare optimisation'!$I$84:$I$115)*(1+λ)</f>
        <v>4.5865980570363023</v>
      </c>
      <c r="H173" s="611">
        <f>SUMPRODUCT('Fare optimisation - matrices'!K23:K54,'Fare optimisation'!$I$84:$I$115)*(1+λ)</f>
        <v>5.7005038477898795</v>
      </c>
      <c r="I173" s="612">
        <f>SUMPRODUCT('Fare optimisation - matrices'!L23:L54,'Fare optimisation'!$I$84:$I$115)*(1+λ)</f>
        <v>0.34631866913625847</v>
      </c>
      <c r="J173" s="610">
        <f>SUMPRODUCT('Fare optimisation - matrices'!M23:M54,'Fare optimisation'!$I$84:$I$115)*(1+λ)</f>
        <v>0.52658066449575247</v>
      </c>
      <c r="K173" s="610">
        <f>SUMPRODUCT('Fare optimisation - matrices'!N23:N54,'Fare optimisation'!$I$84:$I$115)*(1+λ)</f>
        <v>1.1274539823607344</v>
      </c>
      <c r="L173" s="611">
        <f>SUMPRODUCT('Fare optimisation - matrices'!O23:O54,'Fare optimisation'!$I$84:$I$115)*(1+λ)</f>
        <v>1.7283273002257158</v>
      </c>
      <c r="M173" s="612">
        <f>SUMPRODUCT('Fare optimisation - matrices'!P23:P54,'Fare optimisation'!$I$84:$I$115)*(1+λ)</f>
        <v>2.9976672186112445</v>
      </c>
      <c r="N173" s="610">
        <f>SUMPRODUCT('Fare optimisation - matrices'!Q23:Q54,'Fare optimisation'!$I$84:$I$115)*(1+λ)</f>
        <v>5.8281231328508589</v>
      </c>
      <c r="O173" s="610">
        <f>SUMPRODUCT('Fare optimisation - matrices'!R23:R54,'Fare optimisation'!$I$84:$I$115)*(1+λ)</f>
        <v>15.262976180316242</v>
      </c>
      <c r="P173" s="611">
        <f>SUMPRODUCT('Fare optimisation - matrices'!S23:S54,'Fare optimisation'!$I$84:$I$115)*(1+λ)</f>
        <v>24.697829227781622</v>
      </c>
      <c r="Q173" s="612">
        <f>SUMPRODUCT('Fare optimisation - matrices'!T23:T54,'Fare optimisation'!$I$84:$I$115)*(1+λ)</f>
        <v>1.5933051323466605</v>
      </c>
      <c r="R173" s="610">
        <f>SUMPRODUCT('Fare optimisation - matrices'!U23:U54,'Fare optimisation'!$I$84:$I$115)*(1+λ)</f>
        <v>4.1498673222343765</v>
      </c>
      <c r="S173" s="610">
        <f>SUMPRODUCT('Fare optimisation - matrices'!V23:V54,'Fare optimisation'!$I$84:$I$115)*(1+λ)</f>
        <v>12.671741288526761</v>
      </c>
      <c r="T173" s="611">
        <f>SUMPRODUCT('Fare optimisation - matrices'!W23:W54,'Fare optimisation'!$I$84:$I$115)*(1+λ)</f>
        <v>21.193615254819143</v>
      </c>
      <c r="U173" s="612">
        <f>SUMPRODUCT('Fare optimisation - matrices'!X23:X54,'Fare optimisation'!$I$84:$I$115)*(1+λ)</f>
        <v>1.5510216155817147</v>
      </c>
      <c r="V173" s="610">
        <f>SUMPRODUCT('Fare optimisation - matrices'!Y23:Y54,'Fare optimisation'!$I$84:$I$115)*(1+λ)</f>
        <v>3.600895451721764</v>
      </c>
      <c r="W173" s="610">
        <f>SUMPRODUCT('Fare optimisation - matrices'!Z23:Z54,'Fare optimisation'!$I$84:$I$115)*(1+λ)</f>
        <v>10.43380823885526</v>
      </c>
      <c r="X173" s="611">
        <f>SUMPRODUCT('Fare optimisation - matrices'!AA23:AA54,'Fare optimisation'!$I$84:$I$115)*(1+λ)</f>
        <v>17.266721025988758</v>
      </c>
      <c r="Y173" s="612">
        <f>SUMPRODUCT('Fare optimisation - matrices'!AB23:AB54,'Fare optimisation'!$I$84:$I$115)*(1+λ)</f>
        <v>0.64080012503794082</v>
      </c>
      <c r="Z173" s="610">
        <f>SUMPRODUCT('Fare optimisation - matrices'!AC23:AC54,'Fare optimisation'!$I$84:$I$115)*(1+λ)</f>
        <v>1.7796102135490561</v>
      </c>
      <c r="AA173" s="610">
        <f>SUMPRODUCT('Fare optimisation - matrices'!AD23:AD54,'Fare optimisation'!$I$84:$I$115)*(1+λ)</f>
        <v>5.5756438419194447</v>
      </c>
      <c r="AB173" s="611">
        <f>SUMPRODUCT('Fare optimisation - matrices'!AE23:AE54,'Fare optimisation'!$I$84:$I$115)*(1+λ)</f>
        <v>9.3716774702898302</v>
      </c>
      <c r="AC173" s="612">
        <f>SUMPRODUCT('Fare optimisation - matrices'!AF23:AF54,'Fare optimisation'!$I$84:$I$115)*(1+λ)</f>
        <v>1.1052574832555897</v>
      </c>
      <c r="AD173" s="610">
        <f>SUMPRODUCT('Fare optimisation - matrices'!AG23:AG54,'Fare optimisation'!$I$84:$I$115)*(1+λ)</f>
        <v>2.9299606001853271</v>
      </c>
      <c r="AE173" s="610">
        <f>SUMPRODUCT('Fare optimisation - matrices'!AH23:AH54,'Fare optimisation'!$I$84:$I$115)*(1+λ)</f>
        <v>9.0123043232844537</v>
      </c>
      <c r="AF173" s="611">
        <f>SUMPRODUCT('Fare optimisation - matrices'!AI23:AI54,'Fare optimisation'!$I$84:$I$115)*(1+λ)</f>
        <v>15.094648046383586</v>
      </c>
      <c r="AG173" s="612">
        <f>SUMPRODUCT('Fare optimisation - matrices'!AJ23:AJ54,'Fare optimisation'!$I$84:$I$115)*(1+λ)</f>
        <v>0.17966783213478066</v>
      </c>
      <c r="AH173" s="610">
        <f>SUMPRODUCT('Fare optimisation - matrices'!AK23:AK54,'Fare optimisation'!$I$84:$I$115)*(1+λ)</f>
        <v>0.514443849629306</v>
      </c>
      <c r="AI173" s="610">
        <f>SUMPRODUCT('Fare optimisation - matrices'!AL23:AL54,'Fare optimisation'!$I$84:$I$115)*(1+λ)</f>
        <v>1.6303639079443932</v>
      </c>
      <c r="AJ173" s="613">
        <f>SUMPRODUCT('Fare optimisation - matrices'!AM23:AM54,'Fare optimisation'!$I$84:$I$115)*(1+λ)</f>
        <v>2.7462839662594765</v>
      </c>
    </row>
    <row r="174" spans="3:36" x14ac:dyDescent="0.25">
      <c r="C174" s="220" t="s">
        <v>210</v>
      </c>
      <c r="E174" s="610">
        <f>SUMPRODUCT('Fare optimisation - matrices'!H55:H62,'Fare optimisation'!$G$116:$G$123)</f>
        <v>-0.98658033570690129</v>
      </c>
      <c r="F174" s="610">
        <f>SUMPRODUCT('Fare optimisation - matrices'!I55:I62,'Fare optimisation'!$G$116:$G$123)</f>
        <v>-1.0815755224383978</v>
      </c>
      <c r="G174" s="610">
        <f>SUMPRODUCT('Fare optimisation - matrices'!J55:J62,'Fare optimisation'!$G$116:$G$123)</f>
        <v>-1.3982261448767206</v>
      </c>
      <c r="H174" s="611">
        <f>SUMPRODUCT('Fare optimisation - matrices'!K55:K62,'Fare optimisation'!$G$116:$G$123)</f>
        <v>-1.7148767673150429</v>
      </c>
      <c r="I174" s="612">
        <f>SUMPRODUCT('Fare optimisation - matrices'!L55:L62,'Fare optimisation'!$G$116:$G$123)</f>
        <v>-0.18501286163062963</v>
      </c>
      <c r="J174" s="610">
        <f>SUMPRODUCT('Fare optimisation - matrices'!M55:M62,'Fare optimisation'!$G$116:$G$123)</f>
        <v>-0.28000804836212639</v>
      </c>
      <c r="K174" s="610">
        <f>SUMPRODUCT('Fare optimisation - matrices'!N55:N62,'Fare optimisation'!$G$116:$G$123)</f>
        <v>-0.59665867080044888</v>
      </c>
      <c r="L174" s="611">
        <f>SUMPRODUCT('Fare optimisation - matrices'!O55:O62,'Fare optimisation'!$G$116:$G$123)</f>
        <v>-0.9133092932387713</v>
      </c>
      <c r="M174" s="612">
        <f>SUMPRODUCT('Fare optimisation - matrices'!P55:P62,'Fare optimisation'!$G$116:$G$123)</f>
        <v>-1.2093319600400876</v>
      </c>
      <c r="N174" s="610">
        <f>SUMPRODUCT('Fare optimisation - matrices'!Q55:Q62,'Fare optimisation'!$G$116:$G$123)</f>
        <v>-1.3257753060166331</v>
      </c>
      <c r="O174" s="610">
        <f>SUMPRODUCT('Fare optimisation - matrices'!R55:R62,'Fare optimisation'!$G$116:$G$123)</f>
        <v>-1.7139197926051182</v>
      </c>
      <c r="P174" s="611">
        <f>SUMPRODUCT('Fare optimisation - matrices'!S55:S62,'Fare optimisation'!$G$116:$G$123)</f>
        <v>-2.1020642791936028</v>
      </c>
      <c r="Q174" s="612">
        <f>SUMPRODUCT('Fare optimisation - matrices'!T55:T62,'Fare optimisation'!$G$116:$G$123)</f>
        <v>-0.22678534984997448</v>
      </c>
      <c r="R174" s="610">
        <f>SUMPRODUCT('Fare optimisation - matrices'!U55:U62,'Fare optimisation'!$G$116:$G$123)</f>
        <v>-0.34322869582651994</v>
      </c>
      <c r="S174" s="610">
        <f>SUMPRODUCT('Fare optimisation - matrices'!V55:V62,'Fare optimisation'!$G$116:$G$123)</f>
        <v>-0.73137318241500482</v>
      </c>
      <c r="T174" s="611">
        <f>SUMPRODUCT('Fare optimisation - matrices'!W55:W62,'Fare optimisation'!$G$116:$G$123)</f>
        <v>-1.1195176690034898</v>
      </c>
      <c r="U174" s="612">
        <f>SUMPRODUCT('Fare optimisation - matrices'!X55:X62,'Fare optimisation'!$G$116:$G$123)</f>
        <v>-1.4939357589137581</v>
      </c>
      <c r="V174" s="610">
        <f>SUMPRODUCT('Fare optimisation - matrices'!Y55:Y62,'Fare optimisation'!$G$116:$G$123)</f>
        <v>-1.6377828449001079</v>
      </c>
      <c r="W174" s="610">
        <f>SUMPRODUCT('Fare optimisation - matrices'!Z55:Z62,'Fare optimisation'!$G$116:$G$123)</f>
        <v>-2.1172731315212752</v>
      </c>
      <c r="X174" s="611">
        <f>SUMPRODUCT('Fare optimisation - matrices'!AA55:AA62,'Fare optimisation'!$G$116:$G$123)</f>
        <v>-2.5967634181424417</v>
      </c>
      <c r="Y174" s="612">
        <f>SUMPRODUCT('Fare optimisation - matrices'!AB55:AB62,'Fare optimisation'!$G$116:$G$123)</f>
        <v>-0.28015694195943758</v>
      </c>
      <c r="Z174" s="610">
        <f>SUMPRODUCT('Fare optimisation - matrices'!AC55:AC62,'Fare optimisation'!$G$116:$G$123)</f>
        <v>-0.42400402794578768</v>
      </c>
      <c r="AA174" s="610">
        <f>SUMPRODUCT('Fare optimisation - matrices'!AD55:AD62,'Fare optimisation'!$G$116:$G$123)</f>
        <v>-0.9034943145669545</v>
      </c>
      <c r="AB174" s="611">
        <f>SUMPRODUCT('Fare optimisation - matrices'!AE55:AE62,'Fare optimisation'!$G$116:$G$123)</f>
        <v>-1.3829846011881215</v>
      </c>
      <c r="AC174" s="612">
        <f>SUMPRODUCT('Fare optimisation - matrices'!AF55:AF62,'Fare optimisation'!$G$116:$G$123)</f>
        <v>-1.3372848322790905</v>
      </c>
      <c r="AD174" s="610">
        <f>SUMPRODUCT('Fare optimisation - matrices'!AG55:AG62,'Fare optimisation'!$G$116:$G$123)</f>
        <v>-1.466048418738096</v>
      </c>
      <c r="AE174" s="610">
        <f>SUMPRODUCT('Fare optimisation - matrices'!AH55:AH62,'Fare optimisation'!$G$116:$G$123)</f>
        <v>-1.8952603736014488</v>
      </c>
      <c r="AF174" s="611">
        <f>SUMPRODUCT('Fare optimisation - matrices'!AI55:AI62,'Fare optimisation'!$G$116:$G$123)</f>
        <v>-2.3244723284648012</v>
      </c>
      <c r="AG174" s="612">
        <f>SUMPRODUCT('Fare optimisation - matrices'!AJ55:AJ62,'Fare optimisation'!$G$116:$G$123)</f>
        <v>-0.25078028081505827</v>
      </c>
      <c r="AH174" s="610">
        <f>SUMPRODUCT('Fare optimisation - matrices'!AK55:AK62,'Fare optimisation'!$G$116:$G$123)</f>
        <v>-0.37954386727406403</v>
      </c>
      <c r="AI174" s="610">
        <f>SUMPRODUCT('Fare optimisation - matrices'!AL55:AL62,'Fare optimisation'!$G$116:$G$123)</f>
        <v>-0.80875582213741648</v>
      </c>
      <c r="AJ174" s="613">
        <f>SUMPRODUCT('Fare optimisation - matrices'!AM55:AM62,'Fare optimisation'!$G$116:$G$123)</f>
        <v>-1.2379677770007691</v>
      </c>
    </row>
    <row r="175" spans="3:36" x14ac:dyDescent="0.25">
      <c r="C175" s="220" t="s">
        <v>212</v>
      </c>
      <c r="E175" s="610">
        <f>SUMPRODUCT('Fare optimisation - matrices'!H55:H62,'Fare optimisation'!$K$116:$K$123)*(1+λ)</f>
        <v>0.1370195942586411</v>
      </c>
      <c r="F175" s="610">
        <f>SUMPRODUCT('Fare optimisation - matrices'!I55:I62,'Fare optimisation'!$K$116:$K$123)*(1+λ)</f>
        <v>0.14032568077864441</v>
      </c>
      <c r="G175" s="610">
        <f>SUMPRODUCT('Fare optimisation - matrices'!J55:J62,'Fare optimisation'!$K$116:$K$123)*(1+λ)</f>
        <v>0.15134596917865539</v>
      </c>
      <c r="H175" s="611">
        <f>SUMPRODUCT('Fare optimisation - matrices'!K55:K62,'Fare optimisation'!$K$116:$K$123)*(1+λ)</f>
        <v>0.16236625757866641</v>
      </c>
      <c r="I175" s="612">
        <f>SUMPRODUCT('Fare optimisation - matrices'!L55:L62,'Fare optimisation'!$K$116:$K$123)*(1+λ)</f>
        <v>0.1370195942586411</v>
      </c>
      <c r="J175" s="610">
        <f>SUMPRODUCT('Fare optimisation - matrices'!M55:M62,'Fare optimisation'!$K$116:$K$123)*(1+λ)</f>
        <v>0.14032568077864441</v>
      </c>
      <c r="K175" s="610">
        <f>SUMPRODUCT('Fare optimisation - matrices'!N55:N62,'Fare optimisation'!$K$116:$K$123)*(1+λ)</f>
        <v>0.15134596917865539</v>
      </c>
      <c r="L175" s="611">
        <f>SUMPRODUCT('Fare optimisation - matrices'!O55:O62,'Fare optimisation'!$K$116:$K$123)*(1+λ)</f>
        <v>0.16236625757866641</v>
      </c>
      <c r="M175" s="612">
        <f>SUMPRODUCT('Fare optimisation - matrices'!P55:P62,'Fare optimisation'!$K$116:$K$123)*(1+λ)</f>
        <v>0.16795608881660062</v>
      </c>
      <c r="N175" s="610">
        <f>SUMPRODUCT('Fare optimisation - matrices'!Q55:Q62,'Fare optimisation'!$K$116:$K$123)*(1+λ)</f>
        <v>0.17200862863175209</v>
      </c>
      <c r="O175" s="610">
        <f>SUMPRODUCT('Fare optimisation - matrices'!R55:R62,'Fare optimisation'!$K$116:$K$123)*(1+λ)</f>
        <v>0.18551709468225694</v>
      </c>
      <c r="P175" s="611">
        <f>SUMPRODUCT('Fare optimisation - matrices'!S55:S62,'Fare optimisation'!$K$116:$K$123)*(1+λ)</f>
        <v>0.19902556073276179</v>
      </c>
      <c r="Q175" s="612">
        <f>SUMPRODUCT('Fare optimisation - matrices'!T55:T62,'Fare optimisation'!$K$116:$K$123)*(1+λ)</f>
        <v>0.16795608881660062</v>
      </c>
      <c r="R175" s="610">
        <f>SUMPRODUCT('Fare optimisation - matrices'!U55:U62,'Fare optimisation'!$K$116:$K$123)*(1+λ)</f>
        <v>0.17200862863175209</v>
      </c>
      <c r="S175" s="610">
        <f>SUMPRODUCT('Fare optimisation - matrices'!V55:V62,'Fare optimisation'!$K$116:$K$123)*(1+λ)</f>
        <v>0.18551709468225694</v>
      </c>
      <c r="T175" s="611">
        <f>SUMPRODUCT('Fare optimisation - matrices'!W55:W62,'Fare optimisation'!$K$116:$K$123)*(1+λ)</f>
        <v>0.19902556073276179</v>
      </c>
      <c r="U175" s="612">
        <f>SUMPRODUCT('Fare optimisation - matrices'!X55:X62,'Fare optimisation'!$K$116:$K$123)*(1+λ)</f>
        <v>0.20748282134385773</v>
      </c>
      <c r="V175" s="610">
        <f>SUMPRODUCT('Fare optimisation - matrices'!Y55:Y62,'Fare optimisation'!$K$116:$K$123)*(1+λ)</f>
        <v>0.21248908459028332</v>
      </c>
      <c r="W175" s="610">
        <f>SUMPRODUCT('Fare optimisation - matrices'!Z55:Z62,'Fare optimisation'!$K$116:$K$123)*(1+λ)</f>
        <v>0.22917662874503525</v>
      </c>
      <c r="X175" s="611">
        <f>SUMPRODUCT('Fare optimisation - matrices'!AA55:AA62,'Fare optimisation'!$K$116:$K$123)*(1+λ)</f>
        <v>0.24586417289978724</v>
      </c>
      <c r="Y175" s="612">
        <f>SUMPRODUCT('Fare optimisation - matrices'!AB55:AB62,'Fare optimisation'!$K$116:$K$123)*(1+λ)</f>
        <v>0.20748282134385773</v>
      </c>
      <c r="Z175" s="610">
        <f>SUMPRODUCT('Fare optimisation - matrices'!AC55:AC62,'Fare optimisation'!$K$116:$K$123)*(1+λ)</f>
        <v>0.21248908459028332</v>
      </c>
      <c r="AA175" s="610">
        <f>SUMPRODUCT('Fare optimisation - matrices'!AD55:AD62,'Fare optimisation'!$K$116:$K$123)*(1+λ)</f>
        <v>0.22917662874503525</v>
      </c>
      <c r="AB175" s="611">
        <f>SUMPRODUCT('Fare optimisation - matrices'!AE55:AE62,'Fare optimisation'!$K$116:$K$123)*(1+λ)</f>
        <v>0.24586417289978724</v>
      </c>
      <c r="AC175" s="612">
        <f>SUMPRODUCT('Fare optimisation - matrices'!AF55:AF62,'Fare optimisation'!$K$116:$K$123)*(1+λ)</f>
        <v>0.1857266139364368</v>
      </c>
      <c r="AD175" s="610">
        <f>SUMPRODUCT('Fare optimisation - matrices'!AG55:AG62,'Fare optimisation'!$K$116:$K$123)*(1+λ)</f>
        <v>0.19020793106529985</v>
      </c>
      <c r="AE175" s="610">
        <f>SUMPRODUCT('Fare optimisation - matrices'!AH55:AH62,'Fare optimisation'!$K$116:$K$123)*(1+λ)</f>
        <v>0.20514565482817662</v>
      </c>
      <c r="AF175" s="611">
        <f>SUMPRODUCT('Fare optimisation - matrices'!AI55:AI62,'Fare optimisation'!$K$116:$K$123)*(1+λ)</f>
        <v>0.22008337859105337</v>
      </c>
      <c r="AG175" s="612">
        <f>SUMPRODUCT('Fare optimisation - matrices'!AJ55:AJ62,'Fare optimisation'!$K$116:$K$123)*(1+λ)</f>
        <v>0.1857266139364368</v>
      </c>
      <c r="AH175" s="610">
        <f>SUMPRODUCT('Fare optimisation - matrices'!AK55:AK62,'Fare optimisation'!$K$116:$K$123)*(1+λ)</f>
        <v>0.19020793106529985</v>
      </c>
      <c r="AI175" s="610">
        <f>SUMPRODUCT('Fare optimisation - matrices'!AL55:AL62,'Fare optimisation'!$K$116:$K$123)*(1+λ)</f>
        <v>0.20514565482817662</v>
      </c>
      <c r="AJ175" s="613">
        <f>SUMPRODUCT('Fare optimisation - matrices'!AM55:AM62,'Fare optimisation'!$K$116:$K$123)*(1+λ)</f>
        <v>0.22008337859105337</v>
      </c>
    </row>
    <row r="176" spans="3:36" x14ac:dyDescent="0.25">
      <c r="C176" s="220" t="s">
        <v>209</v>
      </c>
      <c r="E176" s="610">
        <f t="shared" ref="E176:AJ176" si="5">SUM(E172:E175)</f>
        <v>1.0257845499015961</v>
      </c>
      <c r="F176" s="610">
        <f t="shared" si="5"/>
        <v>1.2469631499144054</v>
      </c>
      <c r="G176" s="610">
        <f t="shared" si="5"/>
        <v>1.984225149957102</v>
      </c>
      <c r="H176" s="611">
        <f t="shared" si="5"/>
        <v>2.7214871499997999</v>
      </c>
      <c r="I176" s="612">
        <f t="shared" si="5"/>
        <v>-0.96484983594252627</v>
      </c>
      <c r="J176" s="610">
        <f t="shared" si="5"/>
        <v>-0.8975809777962962</v>
      </c>
      <c r="K176" s="610">
        <f t="shared" si="5"/>
        <v>-0.67335145064219404</v>
      </c>
      <c r="L176" s="611">
        <f t="shared" si="5"/>
        <v>-0.44912192348809243</v>
      </c>
      <c r="M176" s="612">
        <f t="shared" si="5"/>
        <v>0.88088390576873044</v>
      </c>
      <c r="N176" s="610">
        <f t="shared" si="5"/>
        <v>3.6960718514184099</v>
      </c>
      <c r="O176" s="610">
        <f t="shared" si="5"/>
        <v>13.080031670250678</v>
      </c>
      <c r="P176" s="611">
        <f t="shared" si="5"/>
        <v>22.46399148908294</v>
      </c>
      <c r="Q176" s="612">
        <f t="shared" si="5"/>
        <v>0.45906842969425954</v>
      </c>
      <c r="R176" s="610">
        <f t="shared" si="5"/>
        <v>3.0003626509920407</v>
      </c>
      <c r="S176" s="610">
        <f t="shared" si="5"/>
        <v>11.471343388651309</v>
      </c>
      <c r="T176" s="611">
        <f t="shared" si="5"/>
        <v>19.942324126310574</v>
      </c>
      <c r="U176" s="612">
        <f t="shared" si="5"/>
        <v>-4.2310468247946292E-2</v>
      </c>
      <c r="V176" s="610">
        <f t="shared" si="5"/>
        <v>2.1073690257625373</v>
      </c>
      <c r="W176" s="610">
        <f t="shared" si="5"/>
        <v>9.2729673391308154</v>
      </c>
      <c r="X176" s="611">
        <f t="shared" si="5"/>
        <v>16.438565652499094</v>
      </c>
      <c r="Y176" s="612">
        <f t="shared" si="5"/>
        <v>0.26124685816260029</v>
      </c>
      <c r="Z176" s="610">
        <f t="shared" si="5"/>
        <v>1.4998626045441501</v>
      </c>
      <c r="AA176" s="610">
        <f t="shared" si="5"/>
        <v>5.6285817591493199</v>
      </c>
      <c r="AB176" s="611">
        <f t="shared" si="5"/>
        <v>9.7573009137544879</v>
      </c>
      <c r="AC176" s="612">
        <f t="shared" si="5"/>
        <v>-0.56490933939112709</v>
      </c>
      <c r="AD176" s="610">
        <f t="shared" si="5"/>
        <v>1.1330581042884973</v>
      </c>
      <c r="AE176" s="610">
        <f t="shared" si="5"/>
        <v>6.7929495832205804</v>
      </c>
      <c r="AF176" s="611">
        <f t="shared" si="5"/>
        <v>12.452841062152668</v>
      </c>
      <c r="AG176" s="612">
        <f t="shared" si="5"/>
        <v>-0.40399443904790405</v>
      </c>
      <c r="AH176" s="610">
        <f t="shared" si="5"/>
        <v>-0.19595409480349177</v>
      </c>
      <c r="AI176" s="610">
        <f t="shared" si="5"/>
        <v>0.49751371934455169</v>
      </c>
      <c r="AJ176" s="613">
        <f t="shared" si="5"/>
        <v>1.1909815334925911</v>
      </c>
    </row>
    <row r="177" spans="3:36" x14ac:dyDescent="0.25">
      <c r="C177" s="220"/>
      <c r="E177" s="610"/>
      <c r="F177" s="610"/>
      <c r="G177" s="610"/>
      <c r="H177" s="611"/>
      <c r="I177" s="612"/>
      <c r="J177" s="610"/>
      <c r="K177" s="610"/>
      <c r="L177" s="611"/>
      <c r="M177" s="612"/>
      <c r="N177" s="610"/>
      <c r="O177" s="610"/>
      <c r="P177" s="611"/>
      <c r="Q177" s="612"/>
      <c r="R177" s="610"/>
      <c r="S177" s="610"/>
      <c r="T177" s="611"/>
      <c r="U177" s="612"/>
      <c r="V177" s="610"/>
      <c r="W177" s="610"/>
      <c r="X177" s="611"/>
      <c r="Y177" s="612"/>
      <c r="Z177" s="610"/>
      <c r="AA177" s="610"/>
      <c r="AB177" s="611"/>
      <c r="AC177" s="612"/>
      <c r="AD177" s="610"/>
      <c r="AE177" s="610"/>
      <c r="AF177" s="611"/>
      <c r="AG177" s="612"/>
      <c r="AH177" s="610"/>
      <c r="AI177" s="610"/>
      <c r="AJ177" s="613"/>
    </row>
    <row r="178" spans="3:36" x14ac:dyDescent="0.25">
      <c r="C178" s="220" t="s">
        <v>210</v>
      </c>
      <c r="D178" s="279"/>
      <c r="E178" s="610">
        <f>SUMPRODUCT('Fare optimisation - matrices'!H23:H54,'Fare optimisation'!$G$84:$G$115,'Fare optimisation - matrices'!E229:E260)</f>
        <v>0.42114734141778276</v>
      </c>
      <c r="F178" s="610">
        <f>SUMPRODUCT('Fare optimisation - matrices'!I23:I54,'Fare optimisation'!$G$84:$G$115,'Fare optimisation - matrices'!F229:F260)</f>
        <v>0.39815517310288095</v>
      </c>
      <c r="G178" s="610">
        <f>SUMPRODUCT('Fare optimisation - matrices'!J23:J54,'Fare optimisation'!$G$84:$G$115,'Fare optimisation - matrices'!G229:G260)</f>
        <v>0.3215146120532083</v>
      </c>
      <c r="H178" s="611">
        <f>SUMPRODUCT('Fare optimisation - matrices'!K23:K54,'Fare optimisation'!$G$84:$G$115,'Fare optimisation - matrices'!H229:H260)</f>
        <v>0.24487405100353576</v>
      </c>
      <c r="I178" s="612">
        <f>SUMPRODUCT('Fare optimisation - matrices'!L23:L54,'Fare optimisation'!$G$84:$G$115,'Fare optimisation - matrices'!I229:I260)</f>
        <v>0.42114734141778276</v>
      </c>
      <c r="J178" s="610">
        <f>SUMPRODUCT('Fare optimisation - matrices'!M23:M54,'Fare optimisation'!$G$84:$G$115,'Fare optimisation - matrices'!J229:J260)</f>
        <v>0.39815517310288095</v>
      </c>
      <c r="K178" s="610">
        <f>SUMPRODUCT('Fare optimisation - matrices'!N23:N54,'Fare optimisation'!$G$84:$G$115,'Fare optimisation - matrices'!K229:K260)</f>
        <v>0.3215146120532083</v>
      </c>
      <c r="L178" s="611">
        <f>SUMPRODUCT('Fare optimisation - matrices'!O23:O54,'Fare optimisation'!$G$84:$G$115,'Fare optimisation - matrices'!L229:L260)</f>
        <v>0.24487405100353576</v>
      </c>
      <c r="M178" s="612">
        <f>SUMPRODUCT('Fare optimisation - matrices'!P23:P54,'Fare optimisation'!$G$84:$G$115,'Fare optimisation - matrices'!M229:M260)</f>
        <v>0.11948971573544748</v>
      </c>
      <c r="N178" s="610">
        <f>SUMPRODUCT('Fare optimisation - matrices'!Q23:Q54,'Fare optimisation'!$G$84:$G$115,'Fare optimisation - matrices'!N229:N260)</f>
        <v>0.10869828933861865</v>
      </c>
      <c r="O178" s="610">
        <f>SUMPRODUCT('Fare optimisation - matrices'!R23:R54,'Fare optimisation'!$G$84:$G$115,'Fare optimisation - matrices'!O229:O260)</f>
        <v>7.2726868015855956E-2</v>
      </c>
      <c r="P178" s="611">
        <f>SUMPRODUCT('Fare optimisation - matrices'!S23:S54,'Fare optimisation'!$G$84:$G$115,'Fare optimisation - matrices'!P229:P260)</f>
        <v>3.6755446693093267E-2</v>
      </c>
      <c r="Q178" s="612">
        <f>SUMPRODUCT('Fare optimisation - matrices'!T23:T54,'Fare optimisation'!$G$84:$G$115,'Fare optimisation - matrices'!Q229:Q260)</f>
        <v>0.11948971573544748</v>
      </c>
      <c r="R178" s="610">
        <f>SUMPRODUCT('Fare optimisation - matrices'!U23:U54,'Fare optimisation'!$G$84:$G$115,'Fare optimisation - matrices'!R229:R260)</f>
        <v>0.10869828933861865</v>
      </c>
      <c r="S178" s="610">
        <f>SUMPRODUCT('Fare optimisation - matrices'!V23:V54,'Fare optimisation'!$G$84:$G$115,'Fare optimisation - matrices'!S229:S260)</f>
        <v>7.2726868015855956E-2</v>
      </c>
      <c r="T178" s="611">
        <f>SUMPRODUCT('Fare optimisation - matrices'!W23:W54,'Fare optimisation'!$G$84:$G$115,'Fare optimisation - matrices'!T229:T260)</f>
        <v>3.6755446693093267E-2</v>
      </c>
      <c r="U178" s="612">
        <f>SUMPRODUCT('Fare optimisation - matrices'!X23:X54,'Fare optimisation'!$G$84:$G$115,'Fare optimisation - matrices'!U229:U260)</f>
        <v>1.2289948402722257</v>
      </c>
      <c r="V178" s="610">
        <f>SUMPRODUCT('Fare optimisation - matrices'!Y23:Y54,'Fare optimisation'!$G$84:$G$115,'Fare optimisation - matrices'!V229:V260)</f>
        <v>1.0945643006805645</v>
      </c>
      <c r="W178" s="610">
        <f>SUMPRODUCT('Fare optimisation - matrices'!Z23:Z54,'Fare optimisation'!$G$84:$G$115,'Fare optimisation - matrices'!W229:W260)</f>
        <v>0.64646250204169342</v>
      </c>
      <c r="X178" s="611">
        <f>SUMPRODUCT('Fare optimisation - matrices'!AA23:AA54,'Fare optimisation'!$G$84:$G$115,'Fare optimisation - matrices'!X229:X260)</f>
        <v>0.1983607034028225</v>
      </c>
      <c r="Y178" s="612">
        <f>SUMPRODUCT('Fare optimisation - matrices'!AB23:AB54,'Fare optimisation'!$G$84:$G$115,'Fare optimisation - matrices'!Y229:Y260)</f>
        <v>1.2289948402722257</v>
      </c>
      <c r="Z178" s="610">
        <f>SUMPRODUCT('Fare optimisation - matrices'!AC23:AC54,'Fare optimisation'!$G$84:$G$115,'Fare optimisation - matrices'!Z229:Z260)</f>
        <v>1.0945643006805645</v>
      </c>
      <c r="AA178" s="610">
        <f>SUMPRODUCT('Fare optimisation - matrices'!AD23:AD54,'Fare optimisation'!$G$84:$G$115,'Fare optimisation - matrices'!AA229:AA260)</f>
        <v>0.64646250204169342</v>
      </c>
      <c r="AB178" s="611">
        <f>SUMPRODUCT('Fare optimisation - matrices'!AE23:AE54,'Fare optimisation'!$G$84:$G$115,'Fare optimisation - matrices'!AB229:AB260)</f>
        <v>0.1983607034028225</v>
      </c>
      <c r="AC178" s="612">
        <f>SUMPRODUCT('Fare optimisation - matrices'!AF23:AF54,'Fare optimisation'!$G$84:$G$115,'Fare optimisation - matrices'!AC229:AC260)</f>
        <v>0.71072643183829021</v>
      </c>
      <c r="AD178" s="610">
        <f>SUMPRODUCT('Fare optimisation - matrices'!AG23:AG54,'Fare optimisation'!$G$84:$G$115,'Fare optimisation - matrices'!AD229:AD260)</f>
        <v>0.65201558213184985</v>
      </c>
      <c r="AE178" s="610">
        <f>SUMPRODUCT('Fare optimisation - matrices'!AH23:AH54,'Fare optimisation'!$G$84:$G$115,'Fare optimisation - matrices'!AE229:AE260)</f>
        <v>0.45631274977704883</v>
      </c>
      <c r="AF178" s="611">
        <f>SUMPRODUCT('Fare optimisation - matrices'!AI23:AI54,'Fare optimisation'!$G$84:$G$115,'Fare optimisation - matrices'!AF229:AF260)</f>
        <v>0.26060991742224787</v>
      </c>
      <c r="AG178" s="612">
        <f>SUMPRODUCT('Fare optimisation - matrices'!AJ23:AJ54,'Fare optimisation'!$G$84:$G$115,'Fare optimisation - matrices'!AG229:AG260)</f>
        <v>0.71072643183829021</v>
      </c>
      <c r="AH178" s="610">
        <f>SUMPRODUCT('Fare optimisation - matrices'!AK23:AK54,'Fare optimisation'!$G$84:$G$115,'Fare optimisation - matrices'!AH229:AH260)</f>
        <v>0.65201558213184985</v>
      </c>
      <c r="AI178" s="610">
        <f>SUMPRODUCT('Fare optimisation - matrices'!AL23:AL54,'Fare optimisation'!$G$84:$G$115,'Fare optimisation - matrices'!AI229:AI260)</f>
        <v>0.45631274977704883</v>
      </c>
      <c r="AJ178" s="613">
        <f>SUMPRODUCT('Fare optimisation - matrices'!AM23:AM54,'Fare optimisation'!$G$84:$G$115,'Fare optimisation - matrices'!AJ229:AJ260)</f>
        <v>0.26060991742224787</v>
      </c>
    </row>
    <row r="179" spans="3:36" x14ac:dyDescent="0.25">
      <c r="C179" s="220" t="s">
        <v>211</v>
      </c>
      <c r="D179" s="279"/>
      <c r="E179" s="610">
        <f>SUMPRODUCT('Fare optimisation - matrices'!H23:H54,'Fare optimisation'!$I$84:$I$115,'Fare optimisation - matrices'!E229:E260)*(1+λ)</f>
        <v>-0.78878127324016278</v>
      </c>
      <c r="F179" s="610">
        <f>SUMPRODUCT('Fare optimisation - matrices'!I23:I54,'Fare optimisation'!$I$84:$I$115,'Fare optimisation - matrices'!F229:F260)*(1+λ)</f>
        <v>-1.5375912724452612</v>
      </c>
      <c r="G179" s="610">
        <f>SUMPRODUCT('Fare optimisation - matrices'!J23:J54,'Fare optimisation'!$I$84:$I$115,'Fare optimisation - matrices'!G229:G260)*(1+λ)</f>
        <v>-4.0336246031289225</v>
      </c>
      <c r="H179" s="611">
        <f>SUMPRODUCT('Fare optimisation - matrices'!K23:K54,'Fare optimisation'!$I$84:$I$115,'Fare optimisation - matrices'!H229:H260)*(1+λ)</f>
        <v>-6.5296579338125822</v>
      </c>
      <c r="I179" s="612">
        <f>SUMPRODUCT('Fare optimisation - matrices'!L23:L54,'Fare optimisation'!$I$84:$I$115,'Fare optimisation - matrices'!I229:I260)*(1+λ)</f>
        <v>-0.79715010112577456</v>
      </c>
      <c r="J179" s="610">
        <f>SUMPRODUCT('Fare optimisation - matrices'!M23:M54,'Fare optimisation'!$I$84:$I$115,'Fare optimisation - matrices'!J229:J260)*(1+λ)</f>
        <v>-1.5120781561130314</v>
      </c>
      <c r="K179" s="610">
        <f>SUMPRODUCT('Fare optimisation - matrices'!N23:N54,'Fare optimisation'!$I$84:$I$115,'Fare optimisation - matrices'!K229:K260)*(1+λ)</f>
        <v>-3.8951716727372201</v>
      </c>
      <c r="L179" s="611">
        <f>SUMPRODUCT('Fare optimisation - matrices'!O23:O54,'Fare optimisation'!$I$84:$I$115,'Fare optimisation - matrices'!L229:L260)*(1+λ)</f>
        <v>-6.2782651893614094</v>
      </c>
      <c r="M179" s="612">
        <f>SUMPRODUCT('Fare optimisation - matrices'!P23:P54,'Fare optimisation'!$I$84:$I$115,'Fare optimisation - matrices'!M229:M260)*(1+λ)</f>
        <v>-0.19121937921290758</v>
      </c>
      <c r="N179" s="610">
        <f>SUMPRODUCT('Fare optimisation - matrices'!Q23:Q54,'Fare optimisation'!$I$84:$I$115,'Fare optimisation - matrices'!N229:N260)*(1+λ)</f>
        <v>-0.47804844803226892</v>
      </c>
      <c r="O179" s="610">
        <f>SUMPRODUCT('Fare optimisation - matrices'!R23:R54,'Fare optimisation'!$I$84:$I$115,'Fare optimisation - matrices'!O229:O260)*(1+λ)</f>
        <v>-1.4341453440968066</v>
      </c>
      <c r="P179" s="611">
        <f>SUMPRODUCT('Fare optimisation - matrices'!S23:S54,'Fare optimisation'!$I$84:$I$115,'Fare optimisation - matrices'!P229:P260)*(1+λ)</f>
        <v>-2.3902422401613443</v>
      </c>
      <c r="Q179" s="612">
        <f>SUMPRODUCT('Fare optimisation - matrices'!T23:T54,'Fare optimisation'!$I$84:$I$115,'Fare optimisation - matrices'!Q229:Q260)*(1+λ)</f>
        <v>-0.31888865978241515</v>
      </c>
      <c r="R179" s="610">
        <f>SUMPRODUCT('Fare optimisation - matrices'!U23:U54,'Fare optimisation'!$I$84:$I$115,'Fare optimisation - matrices'!R229:R260)*(1+λ)</f>
        <v>-0.63061715808831287</v>
      </c>
      <c r="S179" s="610">
        <f>SUMPRODUCT('Fare optimisation - matrices'!V23:V54,'Fare optimisation'!$I$84:$I$115,'Fare optimisation - matrices'!S229:S260)*(1+λ)</f>
        <v>-1.669712152441305</v>
      </c>
      <c r="T179" s="611">
        <f>SUMPRODUCT('Fare optimisation - matrices'!W23:W54,'Fare optimisation'!$I$84:$I$115,'Fare optimisation - matrices'!T229:T260)*(1+λ)</f>
        <v>-2.7088071467942969</v>
      </c>
      <c r="U179" s="612">
        <f>SUMPRODUCT('Fare optimisation - matrices'!X23:X54,'Fare optimisation'!$I$84:$I$115,'Fare optimisation - matrices'!U229:U260)*(1+λ)</f>
        <v>-3.1532177858514792</v>
      </c>
      <c r="V179" s="610">
        <f>SUMPRODUCT('Fare optimisation - matrices'!Y23:Y54,'Fare optimisation'!$I$84:$I$115,'Fare optimisation - matrices'!V229:V260)*(1+λ)</f>
        <v>-6.3836040423191731</v>
      </c>
      <c r="W179" s="610">
        <f>SUMPRODUCT('Fare optimisation - matrices'!Z23:Z54,'Fare optimisation'!$I$84:$I$115,'Fare optimisation - matrices'!W229:W260)*(1+λ)</f>
        <v>-17.151558230544815</v>
      </c>
      <c r="X179" s="611">
        <f>SUMPRODUCT('Fare optimisation - matrices'!AA23:AA54,'Fare optimisation'!$I$84:$I$115,'Fare optimisation - matrices'!X229:X260)*(1+λ)</f>
        <v>-27.919512418770459</v>
      </c>
      <c r="Y179" s="612">
        <f>SUMPRODUCT('Fare optimisation - matrices'!AB23:AB54,'Fare optimisation'!$I$84:$I$115,'Fare optimisation - matrices'!Y229:Y260)*(1+λ)</f>
        <v>-2.1913983530594874</v>
      </c>
      <c r="Z179" s="610">
        <f>SUMPRODUCT('Fare optimisation - matrices'!AC23:AC54,'Fare optimisation'!$I$84:$I$115,'Fare optimisation - matrices'!Z229:Z260)*(1+λ)</f>
        <v>-5.3008859816945142</v>
      </c>
      <c r="AA179" s="610">
        <f>SUMPRODUCT('Fare optimisation - matrices'!AD23:AD54,'Fare optimisation'!$I$84:$I$115,'Fare optimisation - matrices'!AA229:AA260)*(1+λ)</f>
        <v>-15.665844743811267</v>
      </c>
      <c r="AB179" s="611">
        <f>SUMPRODUCT('Fare optimisation - matrices'!AE23:AE54,'Fare optimisation'!$I$84:$I$115,'Fare optimisation - matrices'!AB229:AB260)*(1+λ)</f>
        <v>-26.03080350592802</v>
      </c>
      <c r="AC179" s="612">
        <f>SUMPRODUCT('Fare optimisation - matrices'!AF23:AF54,'Fare optimisation'!$I$84:$I$115,'Fare optimisation - matrices'!AC229:AC260)*(1+λ)</f>
        <v>-1.7088470675942673</v>
      </c>
      <c r="AD179" s="610">
        <f>SUMPRODUCT('Fare optimisation - matrices'!AG23:AG54,'Fare optimisation'!$I$84:$I$115,'Fare optimisation - matrices'!AD229:AD260)*(1+λ)</f>
        <v>-3.4525580840157706</v>
      </c>
      <c r="AE179" s="610">
        <f>SUMPRODUCT('Fare optimisation - matrices'!AH23:AH54,'Fare optimisation'!$I$84:$I$115,'Fare optimisation - matrices'!AE229:AE260)*(1+λ)</f>
        <v>-9.2649281387541151</v>
      </c>
      <c r="AF179" s="611">
        <f>SUMPRODUCT('Fare optimisation - matrices'!AI23:AI54,'Fare optimisation'!$I$84:$I$115,'Fare optimisation - matrices'!AF229:AF260)*(1+λ)</f>
        <v>-15.077298193492455</v>
      </c>
      <c r="AG179" s="612">
        <f>SUMPRODUCT('Fare optimisation - matrices'!AJ23:AJ54,'Fare optimisation'!$I$84:$I$115,'Fare optimisation - matrices'!AG229:AG260)*(1+λ)</f>
        <v>-1.2220554147699758</v>
      </c>
      <c r="AH179" s="610">
        <f>SUMPRODUCT('Fare optimisation - matrices'!AK23:AK54,'Fare optimisation'!$I$84:$I$115,'Fare optimisation - matrices'!AH229:AH260)*(1+λ)</f>
        <v>-2.9898642676325853</v>
      </c>
      <c r="AI179" s="610">
        <f>SUMPRODUCT('Fare optimisation - matrices'!AL23:AL54,'Fare optimisation'!$I$84:$I$115,'Fare optimisation - matrices'!AI229:AI260)*(1+λ)</f>
        <v>-8.8825604438412817</v>
      </c>
      <c r="AJ179" s="613">
        <f>SUMPRODUCT('Fare optimisation - matrices'!AM23:AM54,'Fare optimisation'!$I$84:$I$115,'Fare optimisation - matrices'!AJ229:AJ260)*(1+λ)</f>
        <v>-14.775256620049978</v>
      </c>
    </row>
    <row r="180" spans="3:36" x14ac:dyDescent="0.25">
      <c r="C180" s="220" t="s">
        <v>213</v>
      </c>
      <c r="D180" s="279"/>
      <c r="E180" s="610">
        <f>SUMPRODUCT('Fare optimisation - matrices'!H23:H54,'Fare optimisation'!$I$25:$I$56,'Fare optimisation - matrices'!E229:E260)*(1+λ)</f>
        <v>-0.397611035819117</v>
      </c>
      <c r="F180" s="610">
        <f>SUMPRODUCT('Fare optimisation - matrices'!I23:I54,'Fare optimisation'!$I$25:$I$56,'Fare optimisation - matrices'!F229:F260)*(1+λ)</f>
        <v>-1.1994876892170072</v>
      </c>
      <c r="G180" s="610">
        <f>SUMPRODUCT('Fare optimisation - matrices'!J23:J54,'Fare optimisation'!$I$25:$I$56,'Fare optimisation - matrices'!G229:G260)*(1+λ)</f>
        <v>-3.7504227076060968</v>
      </c>
      <c r="H180" s="611">
        <f>SUMPRODUCT('Fare optimisation - matrices'!K23:K54,'Fare optimisation'!$I$25:$I$56,'Fare optimisation - matrices'!H229:H260)*(1+λ)</f>
        <v>-6.2472944563989659</v>
      </c>
      <c r="I180" s="612">
        <f>SUMPRODUCT('Fare optimisation - matrices'!L23:L54,'Fare optimisation'!$I$25:$I$56,'Fare optimisation - matrices'!I229:I260)*(1+λ)</f>
        <v>-0.46680756477510277</v>
      </c>
      <c r="J180" s="610">
        <f>SUMPRODUCT('Fare optimisation - matrices'!M23:M54,'Fare optimisation'!$I$25:$I$56,'Fare optimisation - matrices'!J229:J260)*(1+λ)</f>
        <v>-1.2023908774552166</v>
      </c>
      <c r="K180" s="610">
        <f>SUMPRODUCT('Fare optimisation - matrices'!N23:N54,'Fare optimisation'!$I$25:$I$56,'Fare optimisation - matrices'!K229:K260)*(1+λ)</f>
        <v>-3.6005622141572742</v>
      </c>
      <c r="L180" s="611">
        <f>SUMPRODUCT('Fare optimisation - matrices'!O23:O54,'Fare optimisation'!$I$25:$I$56,'Fare optimisation - matrices'!L229:L260)*(1+λ)</f>
        <v>-5.9864614259235474</v>
      </c>
      <c r="M180" s="612">
        <f>SUMPRODUCT('Fare optimisation - matrices'!P23:P54,'Fare optimisation'!$I$25:$I$56,'Fare optimisation - matrices'!M229:M260)*(1+λ)</f>
        <v>-0.11032104759153645</v>
      </c>
      <c r="N180" s="610">
        <f>SUMPRODUCT('Fare optimisation - matrices'!Q23:Q54,'Fare optimisation'!$I$25:$I$56,'Fare optimisation - matrices'!N229:N260)*(1+λ)</f>
        <v>-0.41214960861689576</v>
      </c>
      <c r="O180" s="610">
        <f>SUMPRODUCT('Fare optimisation - matrices'!R23:R54,'Fare optimisation'!$I$25:$I$56,'Fare optimisation - matrices'!O229:O260)*(1+λ)</f>
        <v>-1.3876748502517795</v>
      </c>
      <c r="P180" s="611">
        <f>SUMPRODUCT('Fare optimisation - matrices'!S23:S54,'Fare optimisation'!$I$25:$I$56,'Fare optimisation - matrices'!P229:P260)*(1+λ)</f>
        <v>-2.3625353510271472</v>
      </c>
      <c r="Q180" s="612">
        <f>SUMPRODUCT('Fare optimisation - matrices'!T23:T54,'Fare optimisation'!$I$25:$I$56,'Fare optimisation - matrices'!Q229:Q260)*(1+λ)</f>
        <v>-0.185709308576719</v>
      </c>
      <c r="R180" s="610">
        <f>SUMPRODUCT('Fare optimisation - matrices'!U23:U54,'Fare optimisation'!$I$25:$I$56,'Fare optimisation - matrices'!R229:R260)*(1+λ)</f>
        <v>-0.52927213602975065</v>
      </c>
      <c r="S180" s="610">
        <f>SUMPRODUCT('Fare optimisation - matrices'!V23:V54,'Fare optimisation'!$I$25:$I$56,'Fare optimisation - matrices'!S229:S260)*(1+λ)</f>
        <v>-1.6125422556355857</v>
      </c>
      <c r="T180" s="611">
        <f>SUMPRODUCT('Fare optimisation - matrices'!W23:W54,'Fare optimisation'!$I$25:$I$56,'Fare optimisation - matrices'!T229:T260)*(1+λ)</f>
        <v>-2.6722398087133228</v>
      </c>
      <c r="U180" s="612">
        <f>SUMPRODUCT('Fare optimisation - matrices'!X23:X54,'Fare optimisation'!$I$25:$I$56,'Fare optimisation - matrices'!U229:U260)*(1+λ)</f>
        <v>-1.9531847915755398</v>
      </c>
      <c r="V180" s="610">
        <f>SUMPRODUCT('Fare optimisation - matrices'!Y23:Y54,'Fare optimisation'!$I$25:$I$56,'Fare optimisation - matrices'!V229:V260)*(1+λ)</f>
        <v>-5.4734550801476596</v>
      </c>
      <c r="W180" s="610">
        <f>SUMPRODUCT('Fare optimisation - matrices'!Z23:Z54,'Fare optimisation'!$I$25:$I$56,'Fare optimisation - matrices'!W229:W260)*(1+λ)</f>
        <v>-16.653078358480879</v>
      </c>
      <c r="X180" s="611">
        <f>SUMPRODUCT('Fare optimisation - matrices'!AA23:AA54,'Fare optimisation'!$I$25:$I$56,'Fare optimisation - matrices'!X229:X260)*(1+λ)</f>
        <v>-27.57820884444719</v>
      </c>
      <c r="Y180" s="612">
        <f>SUMPRODUCT('Fare optimisation - matrices'!AB23:AB54,'Fare optimisation'!$I$25:$I$56,'Fare optimisation - matrices'!Y229:Y260)*(1+λ)</f>
        <v>-1.3282143563401512</v>
      </c>
      <c r="Z180" s="610">
        <f>SUMPRODUCT('Fare optimisation - matrices'!AC23:AC54,'Fare optimisation'!$I$25:$I$56,'Fare optimisation - matrices'!Z229:Z260)*(1+λ)</f>
        <v>-4.5863136731472407</v>
      </c>
      <c r="AA180" s="610">
        <f>SUMPRODUCT('Fare optimisation - matrices'!AD23:AD54,'Fare optimisation'!$I$25:$I$56,'Fare optimisation - matrices'!AA229:AA260)*(1+λ)</f>
        <v>-15.16138193781044</v>
      </c>
      <c r="AB180" s="611">
        <f>SUMPRODUCT('Fare optimisation - matrices'!AE23:AE54,'Fare optimisation'!$I$25:$I$56,'Fare optimisation - matrices'!AB229:AB260)*(1+λ)</f>
        <v>-25.672568713712813</v>
      </c>
      <c r="AC180" s="612">
        <f>SUMPRODUCT('Fare optimisation - matrices'!AF23:AF54,'Fare optimisation'!$I$25:$I$56,'Fare optimisation - matrices'!AC229:AC260)*(1+λ)</f>
        <v>-0.98022901667357465</v>
      </c>
      <c r="AD180" s="610">
        <f>SUMPRODUCT('Fare optimisation - matrices'!AG23:AG54,'Fare optimisation'!$I$25:$I$56,'Fare optimisation - matrices'!AD229:AD260)*(1+λ)</f>
        <v>-2.881192201557659</v>
      </c>
      <c r="AE180" s="610">
        <f>SUMPRODUCT('Fare optimisation - matrices'!AH23:AH54,'Fare optimisation'!$I$25:$I$56,'Fare optimisation - matrices'!AE229:AE260)*(1+λ)</f>
        <v>-8.8539748766882678</v>
      </c>
      <c r="AF180" s="611">
        <f>SUMPRODUCT('Fare optimisation - matrices'!AI23:AI54,'Fare optimisation'!$I$25:$I$56,'Fare optimisation - matrices'!AF229:AF260)*(1+λ)</f>
        <v>-14.674113357244913</v>
      </c>
      <c r="AG180" s="612">
        <f>SUMPRODUCT('Fare optimisation - matrices'!AJ23:AJ54,'Fare optimisation'!$I$25:$I$56,'Fare optimisation - matrices'!AG229:AG260)*(1+λ)</f>
        <v>-0.65401593835110639</v>
      </c>
      <c r="AH180" s="610">
        <f>SUMPRODUCT('Fare optimisation - matrices'!AK23:AK54,'Fare optimisation'!$I$25:$I$56,'Fare optimisation - matrices'!AH229:AH260)*(1+λ)</f>
        <v>-2.5121827599691842</v>
      </c>
      <c r="AI180" s="610">
        <f>SUMPRODUCT('Fare optimisation - matrices'!AL23:AL54,'Fare optimisation'!$I$25:$I$56,'Fare optimisation - matrices'!AI229:AI260)*(1+λ)</f>
        <v>-8.4579480626866523</v>
      </c>
      <c r="AJ180" s="613">
        <f>SUMPRODUCT('Fare optimisation - matrices'!AM23:AM54,'Fare optimisation'!$I$25:$I$56,'Fare optimisation - matrices'!AJ229:AJ260)*(1+λ)</f>
        <v>-14.346058485982848</v>
      </c>
    </row>
    <row r="181" spans="3:36" x14ac:dyDescent="0.25">
      <c r="C181" s="220" t="s">
        <v>214</v>
      </c>
      <c r="D181" s="279"/>
      <c r="E181" s="610">
        <f>SUMPRODUCT('Fare optimisation - matrices'!H191:H222,'General inputs'!$G$29:$G$60,'Fare optimisation - matrices'!E229:E260)*λ</f>
        <v>-2.9276598993890839E-2</v>
      </c>
      <c r="F181" s="610">
        <f>SUMPRODUCT('Fare optimisation - matrices'!I191:I222,'General inputs'!$G$29:$G$60,'Fare optimisation - matrices'!F229:F260)*λ</f>
        <v>-2.5555821345917228E-2</v>
      </c>
      <c r="G181" s="610">
        <f>SUMPRODUCT('Fare optimisation - matrices'!J191:J222,'General inputs'!$G$29:$G$60,'Fare optimisation - matrices'!G229:G260)*λ</f>
        <v>-2.8214357892554397E-2</v>
      </c>
      <c r="H181" s="611">
        <f>SUMPRODUCT('Fare optimisation - matrices'!K191:K222,'General inputs'!$G$29:$G$60,'Fare optimisation - matrices'!H229:H260)*λ</f>
        <v>-3.0909332797177867E-2</v>
      </c>
      <c r="I181" s="612">
        <f>SUMPRODUCT('Fare optimisation - matrices'!L191:L222,'General inputs'!$G$29:$G$60,'Fare optimisation - matrices'!I229:I260)*λ</f>
        <v>-1.8123336663555725E-2</v>
      </c>
      <c r="J181" s="610">
        <f>SUMPRODUCT('Fare optimisation - matrices'!M191:M222,'General inputs'!$G$29:$G$60,'Fare optimisation - matrices'!J229:J260)*λ</f>
        <v>-2.0761988149324999E-2</v>
      </c>
      <c r="K181" s="610">
        <f>SUMPRODUCT('Fare optimisation - matrices'!N191:N222,'General inputs'!$G$29:$G$60,'Fare optimisation - matrices'!K229:K260)*λ</f>
        <v>-2.9076967076382979E-2</v>
      </c>
      <c r="L181" s="611">
        <f>SUMPRODUCT('Fare optimisation - matrices'!O191:O222,'General inputs'!$G$29:$G$60,'Fare optimisation - matrices'!L229:L260)*λ</f>
        <v>-3.5069349582441373E-2</v>
      </c>
      <c r="M181" s="612">
        <f>SUMPRODUCT('Fare optimisation - matrices'!P191:P222,'General inputs'!$G$29:$G$60,'Fare optimisation - matrices'!M229:M260)*λ</f>
        <v>-5.816473219613344E-2</v>
      </c>
      <c r="N181" s="610">
        <f>SUMPRODUCT('Fare optimisation - matrices'!Q191:Q222,'General inputs'!$G$29:$G$60,'Fare optimisation - matrices'!N229:N260)*λ</f>
        <v>-0.12138390208906541</v>
      </c>
      <c r="O181" s="610">
        <f>SUMPRODUCT('Fare optimisation - matrices'!R191:R222,'General inputs'!$G$29:$G$60,'Fare optimisation - matrices'!O229:O260)*λ</f>
        <v>-0.34447449936595059</v>
      </c>
      <c r="P181" s="611">
        <f>SUMPRODUCT('Fare optimisation - matrices'!S191:S222,'General inputs'!$G$29:$G$60,'Fare optimisation - matrices'!P229:P260)*λ</f>
        <v>-0.76274243727341673</v>
      </c>
      <c r="Q181" s="612">
        <f>SUMPRODUCT('Fare optimisation - matrices'!T191:T222,'General inputs'!$G$29:$G$60,'Fare optimisation - matrices'!Q229:Q260)*λ</f>
        <v>-4.5983181377239037E-2</v>
      </c>
      <c r="R181" s="610">
        <f>SUMPRODUCT('Fare optimisation - matrices'!U191:U222,'General inputs'!$G$29:$G$60,'Fare optimisation - matrices'!R229:R260)*λ</f>
        <v>-8.5518830055868786E-2</v>
      </c>
      <c r="S181" s="610">
        <f>SUMPRODUCT('Fare optimisation - matrices'!V191:V222,'General inputs'!$G$29:$G$60,'Fare optimisation - matrices'!S229:S260)*λ</f>
        <v>-0.27738335036622008</v>
      </c>
      <c r="T181" s="611">
        <f>SUMPRODUCT('Fare optimisation - matrices'!W191:W222,'General inputs'!$G$29:$G$60,'Fare optimisation - matrices'!T229:T260)*λ</f>
        <v>-0.70354198616758867</v>
      </c>
      <c r="U181" s="612">
        <f>SUMPRODUCT('Fare optimisation - matrices'!X191:X222,'General inputs'!$G$29:$G$60,'Fare optimisation - matrices'!U229:U260)*λ</f>
        <v>-5.2317778450470892E-2</v>
      </c>
      <c r="V181" s="610">
        <f>SUMPRODUCT('Fare optimisation - matrices'!Y191:Y222,'General inputs'!$G$29:$G$60,'Fare optimisation - matrices'!V229:V260)*λ</f>
        <v>-3.9535103283706581E-2</v>
      </c>
      <c r="W181" s="610">
        <f>SUMPRODUCT('Fare optimisation - matrices'!Z191:Z222,'General inputs'!$G$29:$G$60,'Fare optimisation - matrices'!W229:W260)*λ</f>
        <v>-7.3109523730662776E-2</v>
      </c>
      <c r="X181" s="611">
        <f>SUMPRODUCT('Fare optimisation - matrices'!AA191:AA222,'General inputs'!$G$29:$G$60,'Fare optimisation - matrices'!X229:X260)*λ</f>
        <v>-8.8996202745555475E-2</v>
      </c>
      <c r="Y181" s="612">
        <f>SUMPRODUCT('Fare optimisation - matrices'!AB191:AB222,'General inputs'!$G$29:$G$60,'Fare optimisation - matrices'!Y229:Y260)*λ</f>
        <v>-4.1690272491251068E-2</v>
      </c>
      <c r="Z181" s="610">
        <f>SUMPRODUCT('Fare optimisation - matrices'!AC191:AC222,'General inputs'!$G$29:$G$60,'Fare optimisation - matrices'!Z229:Z260)*λ</f>
        <v>-5.5169767082306781E-2</v>
      </c>
      <c r="AA181" s="610">
        <f>SUMPRODUCT('Fare optimisation - matrices'!AD191:AD222,'General inputs'!$G$29:$G$60,'Fare optimisation - matrices'!AA229:AA260)*λ</f>
        <v>-4.6730644429402439E-2</v>
      </c>
      <c r="AB181" s="611">
        <f>SUMPRODUCT('Fare optimisation - matrices'!AE191:AE222,'General inputs'!$G$29:$G$60,'Fare optimisation - matrices'!AB229:AB260)*λ</f>
        <v>-3.8388774492192398E-2</v>
      </c>
      <c r="AC181" s="612">
        <f>SUMPRODUCT('Fare optimisation - matrices'!AF191:AF222,'General inputs'!$G$29:$G$60,'Fare optimisation - matrices'!AC229:AC260)*λ</f>
        <v>-2.4785681742850198E-2</v>
      </c>
      <c r="AD181" s="610">
        <f>SUMPRODUCT('Fare optimisation - matrices'!AG191:AG222,'General inputs'!$G$29:$G$60,'Fare optimisation - matrices'!AD229:AD260)*λ</f>
        <v>-2.5112118820481699E-2</v>
      </c>
      <c r="AE181" s="610">
        <f>SUMPRODUCT('Fare optimisation - matrices'!AH191:AH222,'General inputs'!$G$29:$G$60,'Fare optimisation - matrices'!AE229:AE260)*λ</f>
        <v>-3.0881527166042012E-2</v>
      </c>
      <c r="AF181" s="611">
        <f>SUMPRODUCT('Fare optimisation - matrices'!AI191:AI222,'General inputs'!$G$29:$G$60,'Fare optimisation - matrices'!AF229:AF260)*λ</f>
        <v>0</v>
      </c>
      <c r="AG181" s="612">
        <f>SUMPRODUCT('Fare optimisation - matrices'!AJ191:AJ222,'General inputs'!$G$29:$G$60,'Fare optimisation - matrices'!AG229:AG260)*λ</f>
        <v>-1.2422733412057884E-2</v>
      </c>
      <c r="AH181" s="610">
        <f>SUMPRODUCT('Fare optimisation - matrices'!AK191:AK222,'General inputs'!$G$29:$G$60,'Fare optimisation - matrices'!AH229:AH260)*λ</f>
        <v>-2.2705918290626705E-2</v>
      </c>
      <c r="AI181" s="610">
        <f>SUMPRODUCT('Fare optimisation - matrices'!AL191:AL222,'General inputs'!$G$29:$G$60,'Fare optimisation - matrices'!AI229:AI260)*λ</f>
        <v>-3.0504847063593431E-2</v>
      </c>
      <c r="AJ181" s="613">
        <f>SUMPRODUCT('Fare optimisation - matrices'!AM191:AM222,'General inputs'!$G$29:$G$60,'Fare optimisation - matrices'!AJ229:AJ260)*λ</f>
        <v>0</v>
      </c>
    </row>
    <row r="182" spans="3:36" x14ac:dyDescent="0.25">
      <c r="C182" s="220" t="s">
        <v>215</v>
      </c>
      <c r="D182" s="279"/>
      <c r="E182" s="610">
        <f>SUMPRODUCT('Fare optimisation - matrices'!H191:H222,'Fare optimisation'!$I$25:$I$56,'Fare optimisation - matrices'!E229:E260)*λ</f>
        <v>-5.4515641530517673E-4</v>
      </c>
      <c r="F182" s="610">
        <f>SUMPRODUCT('Fare optimisation - matrices'!I191:I222,'Fare optimisation'!$I$25:$I$56,'Fare optimisation - matrices'!F229:F260)*λ</f>
        <v>-7.8681420484681928E-3</v>
      </c>
      <c r="G182" s="610">
        <f>SUMPRODUCT('Fare optimisation - matrices'!J191:J222,'Fare optimisation'!$I$25:$I$56,'Fare optimisation - matrices'!G229:G260)*λ</f>
        <v>-2.9649765763036091E-2</v>
      </c>
      <c r="H182" s="611">
        <f>SUMPRODUCT('Fare optimisation - matrices'!K191:K222,'Fare optimisation'!$I$25:$I$56,'Fare optimisation - matrices'!H229:H260)*λ</f>
        <v>-4.9508255163851204E-2</v>
      </c>
      <c r="I182" s="612">
        <f>SUMPRODUCT('Fare optimisation - matrices'!L191:L222,'Fare optimisation'!$I$25:$I$56,'Fare optimisation - matrices'!I229:I260)*λ</f>
        <v>-1.1384939671005795E-2</v>
      </c>
      <c r="J182" s="610">
        <f>SUMPRODUCT('Fare optimisation - matrices'!M191:M222,'Fare optimisation'!$I$25:$I$56,'Fare optimisation - matrices'!J229:J260)*λ</f>
        <v>-1.8473848353810524E-2</v>
      </c>
      <c r="K182" s="610">
        <f>SUMPRODUCT('Fare optimisation - matrices'!N191:N222,'Fare optimisation'!$I$25:$I$56,'Fare optimisation - matrices'!K229:K260)*λ</f>
        <v>-4.1882294781420637E-2</v>
      </c>
      <c r="L182" s="611">
        <f>SUMPRODUCT('Fare optimisation - matrices'!O191:O222,'Fare optimisation'!$I$25:$I$56,'Fare optimisation - matrices'!L229:L260)*λ</f>
        <v>-6.5341130336777464E-2</v>
      </c>
      <c r="M182" s="612">
        <f>SUMPRODUCT('Fare optimisation - matrices'!P191:P222,'Fare optimisation'!$I$25:$I$56,'Fare optimisation - matrices'!M229:M260)*λ</f>
        <v>-2.9261403849220886E-2</v>
      </c>
      <c r="N182" s="610">
        <f>SUMPRODUCT('Fare optimisation - matrices'!Q191:Q222,'Fare optimisation'!$I$25:$I$56,'Fare optimisation - matrices'!N229:N260)*λ</f>
        <v>-0.14287322224928165</v>
      </c>
      <c r="O182" s="610">
        <f>SUMPRODUCT('Fare optimisation - matrices'!R191:R222,'Fare optimisation'!$I$25:$I$56,'Fare optimisation - matrices'!O229:O260)*λ</f>
        <v>-0.68998999875193212</v>
      </c>
      <c r="P182" s="611">
        <f>SUMPRODUCT('Fare optimisation - matrices'!S191:S222,'Fare optimisation'!$I$25:$I$56,'Fare optimisation - matrices'!P229:P260)*λ</f>
        <v>-1.5540473964569623</v>
      </c>
      <c r="Q182" s="612">
        <f>SUMPRODUCT('Fare optimisation - matrices'!T191:T222,'Fare optimisation'!$I$25:$I$56,'Fare optimisation - matrices'!Q229:Q260)*λ</f>
        <v>-1.9011064037424811E-2</v>
      </c>
      <c r="R182" s="610">
        <f>SUMPRODUCT('Fare optimisation - matrices'!U191:U222,'Fare optimisation'!$I$25:$I$56,'Fare optimisation - matrices'!R229:R260)*λ</f>
        <v>-7.0299621379536353E-2</v>
      </c>
      <c r="S182" s="610">
        <f>SUMPRODUCT('Fare optimisation - matrices'!V191:V222,'Fare optimisation'!$I$25:$I$56,'Fare optimisation - matrices'!S229:S260)*λ</f>
        <v>-0.46661141740386264</v>
      </c>
      <c r="T182" s="611">
        <f>SUMPRODUCT('Fare optimisation - matrices'!W191:W222,'Fare optimisation'!$I$25:$I$56,'Fare optimisation - matrices'!T229:T260)*λ</f>
        <v>-1.3114812124045814</v>
      </c>
      <c r="U182" s="612">
        <f>SUMPRODUCT('Fare optimisation - matrices'!X191:X222,'Fare optimisation'!$I$25:$I$56,'Fare optimisation - matrices'!U229:U260)*λ</f>
        <v>-2.3383852554676433E-2</v>
      </c>
      <c r="V182" s="610">
        <f>SUMPRODUCT('Fare optimisation - matrices'!Y191:Y222,'Fare optimisation'!$I$25:$I$56,'Fare optimisation - matrices'!V229:V260)*λ</f>
        <v>-4.4521421863734291E-2</v>
      </c>
      <c r="W182" s="610">
        <f>SUMPRODUCT('Fare optimisation - matrices'!Z191:Z222,'Fare optimisation'!$I$25:$I$56,'Fare optimisation - matrices'!W229:W260)*λ</f>
        <v>-0.19829250053466921</v>
      </c>
      <c r="X182" s="611">
        <f>SUMPRODUCT('Fare optimisation - matrices'!AA191:AA222,'Fare optimisation'!$I$25:$I$56,'Fare optimisation - matrices'!X229:X260)*λ</f>
        <v>-0.39790981053628011</v>
      </c>
      <c r="Y182" s="612">
        <f>SUMPRODUCT('Fare optimisation - matrices'!AB191:AB222,'Fare optimisation'!$I$25:$I$56,'Fare optimisation - matrices'!Y229:Y260)*λ</f>
        <v>-2.2173017061816586E-2</v>
      </c>
      <c r="Z182" s="610">
        <f>SUMPRODUCT('Fare optimisation - matrices'!AC191:AC222,'Fare optimisation'!$I$25:$I$56,'Fare optimisation - matrices'!Z229:Z260)*λ</f>
        <v>-7.6737689001755899E-2</v>
      </c>
      <c r="AA182" s="610">
        <f>SUMPRODUCT('Fare optimisation - matrices'!AD191:AD222,'Fare optimisation'!$I$25:$I$56,'Fare optimisation - matrices'!AA229:AA260)*λ</f>
        <v>-0.15825837330484768</v>
      </c>
      <c r="AB182" s="611">
        <f>SUMPRODUCT('Fare optimisation - matrices'!AE191:AE222,'Fare optimisation'!$I$25:$I$56,'Fare optimisation - matrices'!AB229:AB260)*λ</f>
        <v>-0.21453425213335794</v>
      </c>
      <c r="AC182" s="612">
        <f>SUMPRODUCT('Fare optimisation - matrices'!AF191:AF222,'Fare optimisation'!$I$25:$I$56,'Fare optimisation - matrices'!AC229:AC260)*λ</f>
        <v>-8.339966057883846E-3</v>
      </c>
      <c r="AD182" s="610">
        <f>SUMPRODUCT('Fare optimisation - matrices'!AG191:AG222,'Fare optimisation'!$I$25:$I$56,'Fare optimisation - matrices'!AD229:AD260)*λ</f>
        <v>-2.5846978266169243E-2</v>
      </c>
      <c r="AE182" s="610">
        <f>SUMPRODUCT('Fare optimisation - matrices'!AH191:AH222,'Fare optimisation'!$I$25:$I$56,'Fare optimisation - matrices'!AE229:AE260)*λ</f>
        <v>-8.2093729116924335E-2</v>
      </c>
      <c r="AF182" s="611">
        <f>SUMPRODUCT('Fare optimisation - matrices'!AI191:AI222,'Fare optimisation'!$I$25:$I$56,'Fare optimisation - matrices'!AF229:AF260)*λ</f>
        <v>0</v>
      </c>
      <c r="AG182" s="612">
        <f>SUMPRODUCT('Fare optimisation - matrices'!AJ191:AJ222,'Fare optimisation'!$I$25:$I$56,'Fare optimisation - matrices'!AG229:AG260)*λ</f>
        <v>-4.8844748520433879E-3</v>
      </c>
      <c r="AH182" s="610">
        <f>SUMPRODUCT('Fare optimisation - matrices'!AK191:AK222,'Fare optimisation'!$I$25:$I$56,'Fare optimisation - matrices'!AH229:AH260)*λ</f>
        <v>-2.8566134045153537E-2</v>
      </c>
      <c r="AI182" s="610">
        <f>SUMPRODUCT('Fare optimisation - matrices'!AL191:AL222,'Fare optimisation'!$I$25:$I$56,'Fare optimisation - matrices'!AI229:AI260)*λ</f>
        <v>-0.10050618363313955</v>
      </c>
      <c r="AJ182" s="613">
        <f>SUMPRODUCT('Fare optimisation - matrices'!AM191:AM222,'Fare optimisation'!$I$25:$I$56,'Fare optimisation - matrices'!AJ229:AJ260)*λ</f>
        <v>0</v>
      </c>
    </row>
    <row r="183" spans="3:36" x14ac:dyDescent="0.25">
      <c r="C183" s="220"/>
      <c r="D183" s="610"/>
      <c r="E183" s="610"/>
      <c r="F183" s="610"/>
      <c r="G183" s="610"/>
      <c r="H183" s="611"/>
      <c r="I183" s="612"/>
      <c r="J183" s="610"/>
      <c r="K183" s="610"/>
      <c r="L183" s="611"/>
      <c r="M183" s="612"/>
      <c r="N183" s="610"/>
      <c r="O183" s="610"/>
      <c r="P183" s="611"/>
      <c r="Q183" s="612"/>
      <c r="R183" s="610"/>
      <c r="S183" s="610"/>
      <c r="T183" s="611"/>
      <c r="U183" s="612"/>
      <c r="V183" s="610"/>
      <c r="W183" s="610"/>
      <c r="X183" s="611"/>
      <c r="Y183" s="612"/>
      <c r="Z183" s="610"/>
      <c r="AA183" s="610"/>
      <c r="AB183" s="611"/>
      <c r="AC183" s="612"/>
      <c r="AD183" s="610"/>
      <c r="AE183" s="610"/>
      <c r="AF183" s="611"/>
      <c r="AG183" s="612"/>
      <c r="AH183" s="610"/>
      <c r="AI183" s="610"/>
      <c r="AJ183" s="613"/>
    </row>
    <row r="184" spans="3:36" x14ac:dyDescent="0.25">
      <c r="C184" s="220" t="s">
        <v>234</v>
      </c>
      <c r="D184" s="610"/>
      <c r="E184" s="610">
        <f t="shared" ref="E184:AJ184" si="6">SUM(E176,E181)</f>
        <v>0.99650795090770528</v>
      </c>
      <c r="F184" s="610">
        <f t="shared" si="6"/>
        <v>1.2214073285684881</v>
      </c>
      <c r="G184" s="610">
        <f t="shared" si="6"/>
        <v>1.9560107920645475</v>
      </c>
      <c r="H184" s="611">
        <f t="shared" si="6"/>
        <v>2.6905778172026222</v>
      </c>
      <c r="I184" s="612">
        <f t="shared" si="6"/>
        <v>-0.98297317260608197</v>
      </c>
      <c r="J184" s="610">
        <f t="shared" si="6"/>
        <v>-0.91834296594562115</v>
      </c>
      <c r="K184" s="610">
        <f t="shared" si="6"/>
        <v>-0.702428417718577</v>
      </c>
      <c r="L184" s="611">
        <f t="shared" si="6"/>
        <v>-0.48419127307053378</v>
      </c>
      <c r="M184" s="612">
        <f t="shared" si="6"/>
        <v>0.82271917357259694</v>
      </c>
      <c r="N184" s="610">
        <f t="shared" si="6"/>
        <v>3.5746879493293444</v>
      </c>
      <c r="O184" s="610">
        <f t="shared" si="6"/>
        <v>12.735557170884727</v>
      </c>
      <c r="P184" s="611">
        <f t="shared" si="6"/>
        <v>21.701249051809523</v>
      </c>
      <c r="Q184" s="612">
        <f t="shared" si="6"/>
        <v>0.41308524831702048</v>
      </c>
      <c r="R184" s="610">
        <f t="shared" si="6"/>
        <v>2.9148438209361718</v>
      </c>
      <c r="S184" s="610">
        <f t="shared" si="6"/>
        <v>11.193960038285089</v>
      </c>
      <c r="T184" s="611">
        <f t="shared" si="6"/>
        <v>19.238782140142984</v>
      </c>
      <c r="U184" s="612">
        <f t="shared" si="6"/>
        <v>-9.4628246698417184E-2</v>
      </c>
      <c r="V184" s="610">
        <f t="shared" si="6"/>
        <v>2.0678339224788305</v>
      </c>
      <c r="W184" s="610">
        <f t="shared" si="6"/>
        <v>9.1998578154001525</v>
      </c>
      <c r="X184" s="611">
        <f t="shared" si="6"/>
        <v>16.349569449753538</v>
      </c>
      <c r="Y184" s="612">
        <f t="shared" si="6"/>
        <v>0.21955658567134922</v>
      </c>
      <c r="Z184" s="610">
        <f t="shared" si="6"/>
        <v>1.4446928374618433</v>
      </c>
      <c r="AA184" s="610">
        <f t="shared" si="6"/>
        <v>5.5818511147199175</v>
      </c>
      <c r="AB184" s="611">
        <f t="shared" si="6"/>
        <v>9.7189121392622955</v>
      </c>
      <c r="AC184" s="612">
        <f t="shared" si="6"/>
        <v>-0.58969502113397732</v>
      </c>
      <c r="AD184" s="610">
        <f t="shared" si="6"/>
        <v>1.1079459854680156</v>
      </c>
      <c r="AE184" s="610">
        <f t="shared" si="6"/>
        <v>6.7620680560545381</v>
      </c>
      <c r="AF184" s="611">
        <f t="shared" si="6"/>
        <v>12.452841062152668</v>
      </c>
      <c r="AG184" s="612">
        <f t="shared" si="6"/>
        <v>-0.41641717245996196</v>
      </c>
      <c r="AH184" s="610">
        <f t="shared" si="6"/>
        <v>-0.21866001309411848</v>
      </c>
      <c r="AI184" s="610">
        <f t="shared" si="6"/>
        <v>0.46700887228095828</v>
      </c>
      <c r="AJ184" s="613">
        <f t="shared" si="6"/>
        <v>1.1909815334925911</v>
      </c>
    </row>
    <row r="185" spans="3:36" x14ac:dyDescent="0.25">
      <c r="C185" s="196"/>
      <c r="D185" s="197"/>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8"/>
    </row>
    <row r="188" spans="3:36" ht="15.5" x14ac:dyDescent="0.35">
      <c r="C188" s="43" t="str">
        <f>C13</f>
        <v>Table 6 - Weekday passenger journey calculations</v>
      </c>
    </row>
    <row r="189" spans="3:36" x14ac:dyDescent="0.25">
      <c r="C189" s="188"/>
      <c r="D189" s="189"/>
      <c r="E189" s="189"/>
      <c r="F189" s="189"/>
      <c r="G189" s="189"/>
      <c r="H189" s="189"/>
      <c r="I189" s="189"/>
      <c r="J189" s="189"/>
      <c r="K189" s="189"/>
      <c r="L189" s="189"/>
      <c r="M189" s="189"/>
      <c r="N189" s="189"/>
      <c r="O189" s="189"/>
      <c r="P189" s="189"/>
      <c r="Q189" s="189"/>
      <c r="R189" s="189"/>
      <c r="S189" s="189"/>
      <c r="T189" s="190"/>
    </row>
    <row r="190" spans="3:36" x14ac:dyDescent="0.25">
      <c r="C190" s="220" t="s">
        <v>244</v>
      </c>
      <c r="T190" s="195"/>
    </row>
    <row r="191" spans="3:36" x14ac:dyDescent="0.25">
      <c r="C191" s="191"/>
      <c r="T191" s="195"/>
    </row>
    <row r="192" spans="3:36" x14ac:dyDescent="0.25">
      <c r="C192" s="220" t="s">
        <v>245</v>
      </c>
      <c r="D192" s="551" t="s">
        <v>253</v>
      </c>
      <c r="E192" s="201" t="str">
        <f>'General inputs'!$D$37</f>
        <v>Bus</v>
      </c>
      <c r="F192" s="201" t="str">
        <f>'General inputs'!$D$45</f>
        <v>Ferry</v>
      </c>
      <c r="G192" s="201" t="str">
        <f>'General inputs'!$D$53</f>
        <v>Light Rail</v>
      </c>
      <c r="I192" s="42" t="s">
        <v>197</v>
      </c>
      <c r="J192" s="201" t="str">
        <f>D192</f>
        <v>Sydney Trains</v>
      </c>
      <c r="K192" s="201" t="str">
        <f>'General inputs'!$D$37</f>
        <v>Bus</v>
      </c>
      <c r="L192" s="201" t="str">
        <f>'General inputs'!$D$45</f>
        <v>Ferry</v>
      </c>
      <c r="M192" s="201" t="str">
        <f>'General inputs'!$D$53</f>
        <v>Light Rail</v>
      </c>
      <c r="P192" s="42" t="s">
        <v>198</v>
      </c>
      <c r="Q192" s="201" t="str">
        <f>J192</f>
        <v>Sydney Trains</v>
      </c>
      <c r="R192" s="201" t="str">
        <f>'General inputs'!$D$37</f>
        <v>Bus</v>
      </c>
      <c r="S192" s="201" t="str">
        <f>'General inputs'!$D$45</f>
        <v>Ferry</v>
      </c>
      <c r="T192" s="614" t="str">
        <f>'General inputs'!$D$53</f>
        <v>Light Rail</v>
      </c>
    </row>
    <row r="193" spans="3:21" x14ac:dyDescent="0.25">
      <c r="C193" s="191"/>
      <c r="T193" s="195"/>
    </row>
    <row r="194" spans="3:21" x14ac:dyDescent="0.25">
      <c r="C194" s="615">
        <f>'General inputs'!$E$29</f>
        <v>2</v>
      </c>
      <c r="D194" s="552">
        <f>SUMIFS('Trip inputs'!$P$16:$P$1849,'Trip inputs'!$N$16:$N$1849,D$192,'Trip inputs'!$O$16:$O$1849,"&lt;="&amp;$C194,'Trip inputs'!$K$16:$K$1849,"M-F")/1000000</f>
        <v>11.677804</v>
      </c>
      <c r="E194" s="553">
        <f>SUMIFS('Trip inputs'!$H$16:$H$515,'Trip inputs'!$F$16:$F$515,E$192,'Trip inputs'!$G$16:$G$515,"&lt;="&amp;$C194,'Trip inputs'!$C$16:$C$515,"M-F")/1000000</f>
        <v>77.518747000000005</v>
      </c>
      <c r="F194" s="554">
        <f>SUMIFS('Trip inputs'!$H$16:$H$515,'Trip inputs'!$F$16:$F$515,F$192,'Trip inputs'!$G$16:$G$515,"&lt;="&amp;$C194,'Trip inputs'!$C$16:$C$515,"M-F")/1000000</f>
        <v>2.6491419999999999</v>
      </c>
      <c r="G194" s="554">
        <f>SUMIFS('Trip inputs'!$H$16:$H$515,'Trip inputs'!$F$16:$F$515,G$192,'Trip inputs'!$G$16:$G$515,"&lt;="&amp;$C194,'Trip inputs'!$C$16:$C$515,"M-F")/1000000</f>
        <v>14.823383</v>
      </c>
      <c r="H194" s="183"/>
      <c r="I194" s="194">
        <f>'General inputs'!$E$29</f>
        <v>2</v>
      </c>
      <c r="J194" s="554">
        <f t="shared" ref="J194:M197" si="7">D194-Q194</f>
        <v>6.4186009999999998</v>
      </c>
      <c r="K194" s="554">
        <f t="shared" si="7"/>
        <v>45.359403000000007</v>
      </c>
      <c r="L194" s="554">
        <f t="shared" si="7"/>
        <v>1.4219189999999999</v>
      </c>
      <c r="M194" s="554">
        <f t="shared" si="7"/>
        <v>7.5978329999999996</v>
      </c>
      <c r="P194" s="194">
        <f>'General inputs'!$E$29</f>
        <v>2</v>
      </c>
      <c r="Q194" s="552">
        <f>SUMIFS('Trip inputs'!$P$16:$P$1849,'Trip inputs'!$N$16:$N$1849,Q$192,'Trip inputs'!$O$16:$O$1849,"&lt;="&amp;$P194,'Trip inputs'!$M$16:$M$1849,$P$192,'Trip inputs'!$K$16:$K$1849,"M-F")/1000000</f>
        <v>5.2592030000000003</v>
      </c>
      <c r="R194" s="553">
        <f>SUMIFS('Trip inputs'!$H$16:$H$1849,'Trip inputs'!$F$16:$F$1849,R$192,'Trip inputs'!$G$16:$G$1849,"&lt;="&amp;$P194,'Trip inputs'!$E$16:$E$1849,$P$192,'Trip inputs'!$C$16:$C$1849,"M-F")/1000000</f>
        <v>32.159343999999997</v>
      </c>
      <c r="S194" s="554">
        <f>SUMIFS('Trip inputs'!$H$16:$H$1849,'Trip inputs'!$F$16:$F$1849,S$192,'Trip inputs'!$G$16:$G$1849,"&lt;="&amp;$P194,'Trip inputs'!$E$16:$E$1849,$P$192,'Trip inputs'!$C$16:$C$1849,"M-F")/1000000</f>
        <v>1.227223</v>
      </c>
      <c r="T194" s="555">
        <f>SUMIFS('Trip inputs'!$H$16:$H$1849,'Trip inputs'!$F$16:$F$1849,T$192,'Trip inputs'!$G$16:$G$1849,"&lt;="&amp;$P194,'Trip inputs'!$E$16:$E$1849,$P$192,'Trip inputs'!$C$16:$C$1849,"M-F")/1000000</f>
        <v>7.2255500000000001</v>
      </c>
      <c r="U194" s="183"/>
    </row>
    <row r="195" spans="3:21" x14ac:dyDescent="0.25">
      <c r="C195" s="615">
        <f>'General inputs'!$E$30</f>
        <v>5</v>
      </c>
      <c r="D195" s="552">
        <f>SUMIFS('Trip inputs'!$P$16:$P$1849,'Trip inputs'!$N$16:$N$1849,D$192,'Trip inputs'!$O$16:$O$1849,"&lt;="&amp;$C195,'Trip inputs'!$K$16:$K$1849,"M-F")/1000000</f>
        <v>41.391725999999998</v>
      </c>
      <c r="E195" s="553">
        <f>SUMIFS('Trip inputs'!$H$16:$H$515,'Trip inputs'!$F$16:$F$515,E$192,'Trip inputs'!$G$16:$G$515,"&lt;="&amp;$C195,'Trip inputs'!$C$16:$C$515,"M-F")/1000000</f>
        <v>121.716205</v>
      </c>
      <c r="F195" s="554">
        <f>SUMIFS('Trip inputs'!$H$16:$H$515,'Trip inputs'!$F$16:$F$515,F$192,'Trip inputs'!$G$16:$G$515,"&lt;="&amp;$C195,'Trip inputs'!$C$16:$C$515,"M-F")/1000000</f>
        <v>4.5764110000000002</v>
      </c>
      <c r="G195" s="554">
        <f>SUMIFS('Trip inputs'!$H$16:$H$515,'Trip inputs'!$F$16:$F$515,G$192,'Trip inputs'!$G$16:$G$515,"&lt;="&amp;$C195,'Trip inputs'!$C$16:$C$515,"M-F")/1000000</f>
        <v>21.901668999999998</v>
      </c>
      <c r="H195" s="183"/>
      <c r="I195" s="194">
        <f>'General inputs'!$E$30</f>
        <v>5</v>
      </c>
      <c r="J195" s="554">
        <f t="shared" si="7"/>
        <v>23.742128999999998</v>
      </c>
      <c r="K195" s="554">
        <f t="shared" si="7"/>
        <v>71.701593000000003</v>
      </c>
      <c r="L195" s="554">
        <f t="shared" si="7"/>
        <v>2.5884040000000001</v>
      </c>
      <c r="M195" s="554">
        <f t="shared" si="7"/>
        <v>11.741916999999999</v>
      </c>
      <c r="P195" s="194">
        <f>'General inputs'!$E$30</f>
        <v>5</v>
      </c>
      <c r="Q195" s="552">
        <f>SUMIFS('Trip inputs'!$P$16:$P$1849,'Trip inputs'!$N$16:$N$1849,Q$192,'Trip inputs'!$O$16:$O$1849,"&lt;="&amp;$P195,'Trip inputs'!$M$16:$M$1849,$P$192,'Trip inputs'!$K$16:$K$1849,"M-F")/1000000</f>
        <v>17.649597</v>
      </c>
      <c r="R195" s="553">
        <f>SUMIFS('Trip inputs'!$H$16:$H$1849,'Trip inputs'!$F$16:$F$1849,R$192,'Trip inputs'!$G$16:$G$1849,"&lt;="&amp;$P195,'Trip inputs'!$E$16:$E$1849,$P$192,'Trip inputs'!$C$16:$C$1849,"M-F")/1000000</f>
        <v>50.014612</v>
      </c>
      <c r="S195" s="554">
        <f>SUMIFS('Trip inputs'!$H$16:$H$1849,'Trip inputs'!$F$16:$F$1849,S$192,'Trip inputs'!$G$16:$G$1849,"&lt;="&amp;$P195,'Trip inputs'!$E$16:$E$1849,$P$192,'Trip inputs'!$C$16:$C$1849,"M-F")/1000000</f>
        <v>1.9880070000000001</v>
      </c>
      <c r="T195" s="555">
        <f>SUMIFS('Trip inputs'!$H$16:$H$1849,'Trip inputs'!$F$16:$F$1849,T$192,'Trip inputs'!$G$16:$G$1849,"&lt;="&amp;$P195,'Trip inputs'!$E$16:$E$1849,$P$192,'Trip inputs'!$C$16:$C$1849,"M-F")/1000000</f>
        <v>10.159751999999999</v>
      </c>
      <c r="U195" s="183"/>
    </row>
    <row r="196" spans="3:21" x14ac:dyDescent="0.25">
      <c r="C196" s="615">
        <f>'General inputs'!$E$31</f>
        <v>15</v>
      </c>
      <c r="D196" s="552">
        <f>SUMIFS('Trip inputs'!$P$16:$P$1849,'Trip inputs'!$N$16:$N$1849,D$192,'Trip inputs'!$O$16:$O$1849,"&lt;="&amp;$C196,'Trip inputs'!$K$16:$K$1849,"M-F")/1000000</f>
        <v>113.40943900000001</v>
      </c>
      <c r="E196" s="553">
        <f>SUMIFS('Trip inputs'!$H$16:$H$515,'Trip inputs'!$F$16:$F$515,E$192,'Trip inputs'!$G$16:$G$515,"&lt;="&amp;$C196,'Trip inputs'!$C$16:$C$515,"M-F")/1000000</f>
        <v>149.57438200000001</v>
      </c>
      <c r="F196" s="554">
        <f>SUMIFS('Trip inputs'!$H$16:$H$515,'Trip inputs'!$F$16:$F$515,F$192,'Trip inputs'!$G$16:$G$515,"&lt;="&amp;$C196,'Trip inputs'!$C$16:$C$515,"M-F")/1000000</f>
        <v>8.5041259999999994</v>
      </c>
      <c r="G196" s="554">
        <f>SUMIFS('Trip inputs'!$H$16:$H$515,'Trip inputs'!$F$16:$F$515,G$192,'Trip inputs'!$G$16:$G$515,"&lt;="&amp;$C196,'Trip inputs'!$C$16:$C$515,"M-F")/1000000</f>
        <v>23.20505</v>
      </c>
      <c r="H196" s="183"/>
      <c r="I196" s="194">
        <f>'General inputs'!$E$31</f>
        <v>15</v>
      </c>
      <c r="J196" s="554">
        <f t="shared" si="7"/>
        <v>67.788669999999996</v>
      </c>
      <c r="K196" s="554">
        <f t="shared" si="7"/>
        <v>89.28815800000001</v>
      </c>
      <c r="L196" s="554">
        <f t="shared" si="7"/>
        <v>4.588597</v>
      </c>
      <c r="M196" s="554">
        <f t="shared" si="7"/>
        <v>12.518935000000001</v>
      </c>
      <c r="P196" s="194">
        <f>'General inputs'!$E$31</f>
        <v>15</v>
      </c>
      <c r="Q196" s="552">
        <f>SUMIFS('Trip inputs'!$P$16:$P$1849,'Trip inputs'!$N$16:$N$1849,Q$192,'Trip inputs'!$O$16:$O$1849,"&lt;="&amp;$P196,'Trip inputs'!$M$16:$M$1849,$P$192,'Trip inputs'!$K$16:$K$1849,"M-F")/1000000</f>
        <v>45.620769000000003</v>
      </c>
      <c r="R196" s="553">
        <f>SUMIFS('Trip inputs'!$H$16:$H$1849,'Trip inputs'!$F$16:$F$1849,R$192,'Trip inputs'!$G$16:$G$1849,"&lt;="&amp;$P196,'Trip inputs'!$E$16:$E$1849,$P$192,'Trip inputs'!$C$16:$C$1849,"M-F")/1000000</f>
        <v>60.286223999999997</v>
      </c>
      <c r="S196" s="554">
        <f>SUMIFS('Trip inputs'!$H$16:$H$1849,'Trip inputs'!$F$16:$F$1849,S$192,'Trip inputs'!$G$16:$G$1849,"&lt;="&amp;$P196,'Trip inputs'!$E$16:$E$1849,$P$192,'Trip inputs'!$C$16:$C$1849,"M-F")/1000000</f>
        <v>3.9155289999999998</v>
      </c>
      <c r="T196" s="555">
        <f>SUMIFS('Trip inputs'!$H$16:$H$1849,'Trip inputs'!$F$16:$F$1849,T$192,'Trip inputs'!$G$16:$G$1849,"&lt;="&amp;$P196,'Trip inputs'!$E$16:$E$1849,$P$192,'Trip inputs'!$C$16:$C$1849,"M-F")/1000000</f>
        <v>10.686114999999999</v>
      </c>
      <c r="U196" s="183"/>
    </row>
    <row r="197" spans="3:21" x14ac:dyDescent="0.25">
      <c r="C197" s="615">
        <f>'General inputs'!$E$32</f>
        <v>25</v>
      </c>
      <c r="D197" s="552">
        <f>SUMIFS('Trip inputs'!$P$16:$P$1849,'Trip inputs'!$N$16:$N$1849,D$192,'Trip inputs'!$O$16:$O$1849,"&lt;="&amp;$C197,'Trip inputs'!$K$16:$K$1849,"M-F")/1000000</f>
        <v>153.465112</v>
      </c>
      <c r="E197" s="553">
        <f>SUMIFS('Trip inputs'!$H$16:$H$515,'Trip inputs'!$F$16:$F$515,E$192,'Trip inputs'!$G$16:$G$515,"&lt;="&amp;$C197,'Trip inputs'!$C$16:$C$515,"M-F")/1000000</f>
        <v>154.56477000000001</v>
      </c>
      <c r="F197" s="554">
        <f>SUMIFS('Trip inputs'!$H$16:$H$515,'Trip inputs'!$F$16:$F$515,F$192,'Trip inputs'!$G$16:$G$515,"&lt;="&amp;$C197,'Trip inputs'!$C$16:$C$515,"M-F")/1000000</f>
        <v>8.5952059999999992</v>
      </c>
      <c r="G197" s="554">
        <f>SUMIFS('Trip inputs'!$H$16:$H$515,'Trip inputs'!$F$16:$F$515,G$192,'Trip inputs'!$G$16:$G$515,"&lt;="&amp;$C197,'Trip inputs'!$C$16:$C$515,"M-F")/1000000</f>
        <v>23.20505</v>
      </c>
      <c r="H197" s="183"/>
      <c r="I197" s="194">
        <f>'General inputs'!$E$32</f>
        <v>25</v>
      </c>
      <c r="J197" s="554">
        <f t="shared" si="7"/>
        <v>92.741925000000009</v>
      </c>
      <c r="K197" s="554">
        <f t="shared" si="7"/>
        <v>92.730072000000007</v>
      </c>
      <c r="L197" s="554">
        <f t="shared" si="7"/>
        <v>4.6305099999999992</v>
      </c>
      <c r="M197" s="554">
        <f t="shared" si="7"/>
        <v>12.518935000000001</v>
      </c>
      <c r="P197" s="194">
        <f>'General inputs'!$E$32</f>
        <v>25</v>
      </c>
      <c r="Q197" s="552">
        <f>SUMIFS('Trip inputs'!$P$16:$P$1849,'Trip inputs'!$N$16:$N$1849,Q$192,'Trip inputs'!$O$16:$O$1849,"&lt;="&amp;$P197,'Trip inputs'!$M$16:$M$1849,$P$192,'Trip inputs'!$K$16:$K$1849,"M-F")/1000000</f>
        <v>60.723187000000003</v>
      </c>
      <c r="R197" s="553">
        <f>SUMIFS('Trip inputs'!$H$16:$H$1849,'Trip inputs'!$F$16:$F$1849,R$192,'Trip inputs'!$G$16:$G$1849,"&lt;="&amp;$P197,'Trip inputs'!$E$16:$E$1849,$P$192,'Trip inputs'!$C$16:$C$1849,"M-F")/1000000</f>
        <v>61.834698000000003</v>
      </c>
      <c r="S197" s="554">
        <f>SUMIFS('Trip inputs'!$H$16:$H$1849,'Trip inputs'!$F$16:$F$1849,S$192,'Trip inputs'!$G$16:$G$1849,"&lt;="&amp;$P197,'Trip inputs'!$E$16:$E$1849,$P$192,'Trip inputs'!$C$16:$C$1849,"M-F")/1000000</f>
        <v>3.964696</v>
      </c>
      <c r="T197" s="555">
        <f>SUMIFS('Trip inputs'!$H$16:$H$1849,'Trip inputs'!$F$16:$F$1849,T$192,'Trip inputs'!$G$16:$G$1849,"&lt;="&amp;$P197,'Trip inputs'!$E$16:$E$1849,$P$192,'Trip inputs'!$C$16:$C$1849,"M-F")/1000000</f>
        <v>10.686114999999999</v>
      </c>
      <c r="U197" s="183"/>
    </row>
    <row r="198" spans="3:21" x14ac:dyDescent="0.25">
      <c r="C198" s="191"/>
      <c r="T198" s="195"/>
    </row>
    <row r="199" spans="3:21" x14ac:dyDescent="0.25">
      <c r="C199" s="191"/>
      <c r="T199" s="195"/>
    </row>
    <row r="200" spans="3:21" x14ac:dyDescent="0.25">
      <c r="C200" s="220" t="s">
        <v>246</v>
      </c>
      <c r="T200" s="195"/>
    </row>
    <row r="201" spans="3:21" x14ac:dyDescent="0.25">
      <c r="C201" s="191"/>
      <c r="T201" s="195"/>
    </row>
    <row r="202" spans="3:21" x14ac:dyDescent="0.25">
      <c r="C202" s="191"/>
      <c r="I202" s="42" t="s">
        <v>197</v>
      </c>
      <c r="J202" s="201" t="str">
        <f>'General inputs'!$D$29</f>
        <v>Rail</v>
      </c>
      <c r="K202" s="201" t="str">
        <f>'General inputs'!$D$37</f>
        <v>Bus</v>
      </c>
      <c r="L202" s="201" t="str">
        <f>'General inputs'!$D$45</f>
        <v>Ferry</v>
      </c>
      <c r="M202" s="201" t="str">
        <f>'General inputs'!$D$53</f>
        <v>Light Rail</v>
      </c>
      <c r="P202" s="42" t="s">
        <v>198</v>
      </c>
      <c r="Q202" s="201" t="str">
        <f>'General inputs'!$D$29</f>
        <v>Rail</v>
      </c>
      <c r="R202" s="201" t="str">
        <f>'General inputs'!$D$37</f>
        <v>Bus</v>
      </c>
      <c r="S202" s="201" t="str">
        <f>'General inputs'!$D$45</f>
        <v>Ferry</v>
      </c>
      <c r="T202" s="614" t="str">
        <f>'General inputs'!$D$53</f>
        <v>Light Rail</v>
      </c>
    </row>
    <row r="203" spans="3:21" x14ac:dyDescent="0.25">
      <c r="C203" s="191"/>
      <c r="T203" s="195"/>
    </row>
    <row r="204" spans="3:21" ht="12" thickBot="1" x14ac:dyDescent="0.3">
      <c r="C204" s="191"/>
      <c r="I204" s="194">
        <f>'General inputs'!$E$29</f>
        <v>2</v>
      </c>
      <c r="J204" s="539">
        <f>D194-Q194</f>
        <v>6.4186009999999998</v>
      </c>
      <c r="K204" s="539">
        <f>E194-R194</f>
        <v>45.359403000000007</v>
      </c>
      <c r="L204" s="539">
        <f>F194-S194</f>
        <v>1.4219189999999999</v>
      </c>
      <c r="M204" s="539">
        <f>G194-T194</f>
        <v>7.5978329999999996</v>
      </c>
      <c r="P204" s="194">
        <f>'General inputs'!$E$29</f>
        <v>2</v>
      </c>
      <c r="Q204" s="539">
        <f>Q194</f>
        <v>5.2592030000000003</v>
      </c>
      <c r="R204" s="539">
        <f>R194</f>
        <v>32.159343999999997</v>
      </c>
      <c r="S204" s="539">
        <f>S194</f>
        <v>1.227223</v>
      </c>
      <c r="T204" s="556">
        <f>T194</f>
        <v>7.2255500000000001</v>
      </c>
    </row>
    <row r="205" spans="3:21" ht="12" thickTop="1" x14ac:dyDescent="0.25">
      <c r="C205" s="191"/>
      <c r="I205" s="194">
        <f>'General inputs'!$E$30</f>
        <v>5</v>
      </c>
      <c r="J205" s="545">
        <f t="shared" ref="J205:M207" si="8">J195-J194</f>
        <v>17.323528</v>
      </c>
      <c r="K205" s="545">
        <f t="shared" si="8"/>
        <v>26.342189999999995</v>
      </c>
      <c r="L205" s="545">
        <f t="shared" si="8"/>
        <v>1.1664850000000002</v>
      </c>
      <c r="M205" s="545">
        <f t="shared" si="8"/>
        <v>4.1440839999999994</v>
      </c>
      <c r="P205" s="194">
        <f>'General inputs'!$E$30</f>
        <v>5</v>
      </c>
      <c r="Q205" s="545">
        <f t="shared" ref="Q205:T207" si="9">Q195-Q194</f>
        <v>12.390394000000001</v>
      </c>
      <c r="R205" s="545">
        <f t="shared" si="9"/>
        <v>17.855268000000002</v>
      </c>
      <c r="S205" s="545">
        <f t="shared" si="9"/>
        <v>0.76078400000000013</v>
      </c>
      <c r="T205" s="557">
        <f t="shared" si="9"/>
        <v>2.9342019999999991</v>
      </c>
    </row>
    <row r="206" spans="3:21" x14ac:dyDescent="0.25">
      <c r="C206" s="191"/>
      <c r="I206" s="194">
        <f>'General inputs'!$E$31</f>
        <v>15</v>
      </c>
      <c r="J206" s="554">
        <f t="shared" si="8"/>
        <v>44.046540999999998</v>
      </c>
      <c r="K206" s="554">
        <f t="shared" si="8"/>
        <v>17.586565000000007</v>
      </c>
      <c r="L206" s="554">
        <f t="shared" si="8"/>
        <v>2.0001929999999999</v>
      </c>
      <c r="M206" s="554">
        <f t="shared" si="8"/>
        <v>0.77701800000000176</v>
      </c>
      <c r="P206" s="194">
        <f>'General inputs'!$E$31</f>
        <v>15</v>
      </c>
      <c r="Q206" s="554">
        <f t="shared" si="9"/>
        <v>27.971172000000003</v>
      </c>
      <c r="R206" s="554">
        <f t="shared" si="9"/>
        <v>10.271611999999998</v>
      </c>
      <c r="S206" s="554">
        <f t="shared" si="9"/>
        <v>1.9275219999999997</v>
      </c>
      <c r="T206" s="555">
        <f t="shared" si="9"/>
        <v>0.52636299999999991</v>
      </c>
    </row>
    <row r="207" spans="3:21" x14ac:dyDescent="0.25">
      <c r="C207" s="191"/>
      <c r="I207" s="194">
        <f>'General inputs'!$E$32</f>
        <v>25</v>
      </c>
      <c r="J207" s="554">
        <f t="shared" si="8"/>
        <v>24.953255000000013</v>
      </c>
      <c r="K207" s="554">
        <f t="shared" si="8"/>
        <v>3.441913999999997</v>
      </c>
      <c r="L207" s="554">
        <f t="shared" si="8"/>
        <v>4.1912999999999201E-2</v>
      </c>
      <c r="M207" s="554">
        <f t="shared" si="8"/>
        <v>0</v>
      </c>
      <c r="P207" s="194">
        <f>'General inputs'!$E$32</f>
        <v>25</v>
      </c>
      <c r="Q207" s="554">
        <f t="shared" si="9"/>
        <v>15.102418</v>
      </c>
      <c r="R207" s="554">
        <f t="shared" si="9"/>
        <v>1.5484740000000059</v>
      </c>
      <c r="S207" s="554">
        <f t="shared" si="9"/>
        <v>4.9167000000000183E-2</v>
      </c>
      <c r="T207" s="555">
        <f t="shared" si="9"/>
        <v>0</v>
      </c>
    </row>
    <row r="208" spans="3:21" x14ac:dyDescent="0.25">
      <c r="C208" s="196"/>
      <c r="D208" s="197"/>
      <c r="E208" s="197"/>
      <c r="F208" s="197"/>
      <c r="G208" s="197"/>
      <c r="H208" s="197"/>
      <c r="I208" s="197"/>
      <c r="J208" s="197"/>
      <c r="K208" s="197"/>
      <c r="L208" s="197"/>
      <c r="M208" s="197"/>
      <c r="N208" s="197"/>
      <c r="O208" s="197"/>
      <c r="P208" s="197"/>
      <c r="Q208" s="197"/>
      <c r="R208" s="197"/>
      <c r="S208" s="197"/>
      <c r="T208" s="198"/>
    </row>
    <row r="211" spans="3:18" ht="15.5" x14ac:dyDescent="0.35">
      <c r="C211" s="43" t="str">
        <f>C14</f>
        <v>Table 7 - Revenue, variable costs and change in subsidy (by mode, by distance, by time-of-day (ToD)</v>
      </c>
    </row>
    <row r="212" spans="3:18" ht="15.5" x14ac:dyDescent="0.35">
      <c r="C212" s="217"/>
      <c r="D212" s="189"/>
      <c r="E212" s="189"/>
      <c r="F212" s="189"/>
      <c r="G212" s="189"/>
      <c r="H212" s="189"/>
      <c r="I212" s="189"/>
      <c r="J212" s="189"/>
      <c r="K212" s="189"/>
      <c r="L212" s="189"/>
      <c r="M212" s="189"/>
      <c r="N212" s="189"/>
      <c r="O212" s="189"/>
      <c r="P212" s="189"/>
      <c r="Q212" s="189"/>
      <c r="R212" s="190"/>
    </row>
    <row r="213" spans="3:18" x14ac:dyDescent="0.25">
      <c r="C213" s="191"/>
      <c r="L213" s="229" t="s">
        <v>1287</v>
      </c>
      <c r="M213" s="229"/>
      <c r="O213" s="229" t="s">
        <v>1288</v>
      </c>
      <c r="P213" s="229"/>
      <c r="R213" s="193" t="s">
        <v>235</v>
      </c>
    </row>
    <row r="214" spans="3:18" x14ac:dyDescent="0.25">
      <c r="C214" s="191" t="s">
        <v>173</v>
      </c>
      <c r="D214" s="203" t="s">
        <v>174</v>
      </c>
      <c r="E214" s="163" t="s">
        <v>203</v>
      </c>
      <c r="F214" s="163" t="s">
        <v>233</v>
      </c>
      <c r="G214" s="163" t="s">
        <v>205</v>
      </c>
      <c r="H214" s="163" t="s">
        <v>206</v>
      </c>
      <c r="I214" s="163" t="s">
        <v>207</v>
      </c>
      <c r="J214" s="163" t="s">
        <v>208</v>
      </c>
      <c r="L214" s="230" t="s">
        <v>218</v>
      </c>
      <c r="M214" s="231" t="s">
        <v>217</v>
      </c>
      <c r="O214" s="230" t="s">
        <v>218</v>
      </c>
      <c r="P214" s="231" t="s">
        <v>217</v>
      </c>
      <c r="R214" s="193" t="s">
        <v>1289</v>
      </c>
    </row>
    <row r="215" spans="3:18" x14ac:dyDescent="0.25">
      <c r="C215" s="191"/>
      <c r="L215" s="232"/>
      <c r="M215" s="233"/>
      <c r="O215" s="232"/>
      <c r="P215" s="233"/>
      <c r="R215" s="195"/>
    </row>
    <row r="216" spans="3:18" x14ac:dyDescent="0.25">
      <c r="C216" s="586" t="str">
        <f>'Fare optimisation - matrices'!C23</f>
        <v>Rail</v>
      </c>
      <c r="D216" s="194">
        <f>'Fare optimisation - matrices'!D23</f>
        <v>2</v>
      </c>
      <c r="E216" s="201" t="str">
        <f>'Fare optimisation - matrices'!E23</f>
        <v>Peak</v>
      </c>
      <c r="F216" s="194">
        <f>'Fare optimisation - matrices'!F23</f>
        <v>1</v>
      </c>
      <c r="G216" s="183">
        <f>'Fare optimisation'!J25</f>
        <v>-1.2795545924872731</v>
      </c>
      <c r="H216" s="194">
        <f>G216*'General inputs'!H29*I216/'General inputs'!G29</f>
        <v>910557.33799780894</v>
      </c>
      <c r="I216" s="194">
        <f>INDEX('Fare optimisation'!$I$202:$M$207,MATCH(D216,'Fare optimisation'!$I$202:$I$207,0),MATCH(C216,'Fare optimisation'!$I$202:$M$202,0))*1000000</f>
        <v>6418601</v>
      </c>
      <c r="J216" s="194">
        <f t="shared" ref="J216:J247" si="10">SUM(H216:I216)</f>
        <v>7329158.3379978091</v>
      </c>
      <c r="L216" s="558">
        <f>I216*'General inputs'!G29/1000000</f>
        <v>22.089239477477477</v>
      </c>
      <c r="M216" s="559">
        <f>J216*'Fare optimisation'!I25/1000000</f>
        <v>15.844811024820249</v>
      </c>
      <c r="O216" s="560">
        <f>I216*'Fare optimisation'!$I84/1000000</f>
        <v>23.340540069929759</v>
      </c>
      <c r="P216" s="561">
        <f>J216*'Fare optimisation'!$I84/1000000</f>
        <v>26.651682176053267</v>
      </c>
      <c r="R216" s="613">
        <f t="shared" ref="R216:R247" si="11">(P216-M216)-(O216-L216)</f>
        <v>9.5555705587807367</v>
      </c>
    </row>
    <row r="217" spans="3:18" x14ac:dyDescent="0.25">
      <c r="C217" s="586" t="str">
        <f>'Fare optimisation - matrices'!C24</f>
        <v>Rail</v>
      </c>
      <c r="D217" s="194">
        <f>'Fare optimisation - matrices'!D24</f>
        <v>5</v>
      </c>
      <c r="E217" s="201" t="str">
        <f>'Fare optimisation - matrices'!E24</f>
        <v>Peak</v>
      </c>
      <c r="F217" s="194">
        <f>'Fare optimisation - matrices'!F24</f>
        <v>2</v>
      </c>
      <c r="G217" s="183">
        <f>'Fare optimisation'!J26</f>
        <v>-0.37927481026670762</v>
      </c>
      <c r="H217" s="194">
        <f>G217*'General inputs'!H30*I217/'General inputs'!G30</f>
        <v>728447.80902625166</v>
      </c>
      <c r="I217" s="194">
        <f>INDEX('Fare optimisation'!$I$202:$M$207,MATCH(D217,'Fare optimisation'!$I$202:$I$207,0),MATCH(C217,'Fare optimisation'!$I$202:$M$202,0))*1000000</f>
        <v>17323528</v>
      </c>
      <c r="J217" s="194">
        <f t="shared" si="10"/>
        <v>18051975.809026252</v>
      </c>
      <c r="L217" s="558">
        <f>I217*'General inputs'!G30/1000000</f>
        <v>59.617907171171169</v>
      </c>
      <c r="M217" s="559">
        <f>J217*'Fare optimisation'!I26/1000000</f>
        <v>55.278157949173703</v>
      </c>
      <c r="O217" s="560">
        <f>I217*'Fare optimisation'!$I85/1000000</f>
        <v>80.366469602864214</v>
      </c>
      <c r="P217" s="561">
        <f>J217*'Fare optimisation'!$I85/1000000</f>
        <v>83.745849293963019</v>
      </c>
      <c r="R217" s="613">
        <f t="shared" si="11"/>
        <v>7.7191289130962701</v>
      </c>
    </row>
    <row r="218" spans="3:18" x14ac:dyDescent="0.25">
      <c r="C218" s="586" t="str">
        <f>'Fare optimisation - matrices'!C25</f>
        <v>Rail</v>
      </c>
      <c r="D218" s="194">
        <f>'Fare optimisation - matrices'!D25</f>
        <v>15</v>
      </c>
      <c r="E218" s="201" t="str">
        <f>'Fare optimisation - matrices'!E25</f>
        <v>Peak</v>
      </c>
      <c r="F218" s="194">
        <f>'Fare optimisation - matrices'!F25</f>
        <v>3</v>
      </c>
      <c r="G218" s="183">
        <f>'Fare optimisation'!J27</f>
        <v>1.8845697822816065</v>
      </c>
      <c r="H218" s="194">
        <f>G218*'General inputs'!H31*I218/'General inputs'!G31</f>
        <v>-7401195.6431634929</v>
      </c>
      <c r="I218" s="194">
        <f>INDEX('Fare optimisation'!$I$202:$M$207,MATCH(D218,'Fare optimisation'!$I$202:$I$207,0),MATCH(C218,'Fare optimisation'!$I$202:$M$202,0))*1000000</f>
        <v>44046541</v>
      </c>
      <c r="J218" s="194">
        <f t="shared" si="10"/>
        <v>36645345.356836505</v>
      </c>
      <c r="L218" s="558">
        <f>I218*'General inputs'!G31/1000000</f>
        <v>188.48745022522522</v>
      </c>
      <c r="M218" s="559">
        <f>J218*'Fare optimisation'!I27/1000000</f>
        <v>225.87637758831121</v>
      </c>
      <c r="O218" s="560">
        <f>I218*'Fare optimisation'!$I86/1000000</f>
        <v>351.56573225008947</v>
      </c>
      <c r="P218" s="561">
        <f>J218*'Fare optimisation'!$I86/1000000</f>
        <v>292.49170040239125</v>
      </c>
      <c r="R218" s="613">
        <f t="shared" si="11"/>
        <v>-96.46295921078422</v>
      </c>
    </row>
    <row r="219" spans="3:18" ht="12" thickBot="1" x14ac:dyDescent="0.3">
      <c r="C219" s="586" t="str">
        <f>'Fare optimisation - matrices'!C26</f>
        <v>Rail</v>
      </c>
      <c r="D219" s="194">
        <f>'Fare optimisation - matrices'!D26</f>
        <v>25</v>
      </c>
      <c r="E219" s="201" t="str">
        <f>'Fare optimisation - matrices'!E26</f>
        <v>Peak</v>
      </c>
      <c r="F219" s="194">
        <f>'Fare optimisation - matrices'!F26</f>
        <v>4</v>
      </c>
      <c r="G219" s="183">
        <f>'Fare optimisation'!J28</f>
        <v>4.2459993365951485</v>
      </c>
      <c r="H219" s="194">
        <f>G219*'General inputs'!H32*I219/'General inputs'!G32</f>
        <v>-8218374.8520884961</v>
      </c>
      <c r="I219" s="616">
        <f>INDEX('Fare optimisation'!$I$202:$M$207,MATCH(D219,'Fare optimisation'!$I$202:$I$207,0),MATCH(C219,'Fare optimisation'!$I$202:$M$202,0))*1000000</f>
        <v>24953255.000000011</v>
      </c>
      <c r="J219" s="194">
        <f t="shared" si="10"/>
        <v>16734880.147911515</v>
      </c>
      <c r="L219" s="558">
        <f>I219*'General inputs'!G32/1000000</f>
        <v>122.74303810810815</v>
      </c>
      <c r="M219" s="559">
        <f>J219*'Fare optimisation'!I28/1000000</f>
        <v>153.37380857143421</v>
      </c>
      <c r="O219" s="560">
        <f>I219*'Fare optimisation'!$I87/1000000</f>
        <v>282.57624595146359</v>
      </c>
      <c r="P219" s="561">
        <f>J219*'Fare optimisation'!$I87/1000000</f>
        <v>189.50952926359739</v>
      </c>
      <c r="R219" s="613">
        <f t="shared" si="11"/>
        <v>-123.69748715119226</v>
      </c>
    </row>
    <row r="220" spans="3:18" ht="12" thickTop="1" x14ac:dyDescent="0.25">
      <c r="C220" s="586" t="str">
        <f>'Fare optimisation - matrices'!C27</f>
        <v>Rail</v>
      </c>
      <c r="D220" s="194">
        <f>'Fare optimisation - matrices'!D27</f>
        <v>2</v>
      </c>
      <c r="E220" s="201" t="str">
        <f>'Fare optimisation - matrices'!E27</f>
        <v>Off-peak</v>
      </c>
      <c r="F220" s="194">
        <f>'Fare optimisation - matrices'!F27</f>
        <v>5</v>
      </c>
      <c r="G220" s="183">
        <f>'Fare optimisation'!J29</f>
        <v>-2.3641511101778203</v>
      </c>
      <c r="H220" s="194">
        <f>G220*'General inputs'!H33*I220/'General inputs'!G33</f>
        <v>2555735.6076089097</v>
      </c>
      <c r="I220" s="617">
        <f>INDEX('Fare optimisation'!$P$202:$T$207,MATCH(D220,'Fare optimisation'!$P$202:$P$207,0),MATCH(C220,'Fare optimisation'!$P$202:$T$202,0))*1000000</f>
        <v>5259203</v>
      </c>
      <c r="J220" s="194">
        <f t="shared" si="10"/>
        <v>7814938.6076089097</v>
      </c>
      <c r="L220" s="558">
        <f>I220*'General inputs'!G33/1000000</f>
        <v>12.669467407207206</v>
      </c>
      <c r="M220" s="559">
        <f>J220*'Fare optimisation'!I29/1000000</f>
        <v>0.35056172543206887</v>
      </c>
      <c r="O220" s="560">
        <f>I220*'Fare optimisation'!$I88/1000000</f>
        <v>5.5682725805262914</v>
      </c>
      <c r="P220" s="561">
        <f>J220*'Fare optimisation'!$I88/1000000</f>
        <v>8.2742020734405965</v>
      </c>
      <c r="R220" s="613">
        <f t="shared" si="11"/>
        <v>15.024835174689443</v>
      </c>
    </row>
    <row r="221" spans="3:18" x14ac:dyDescent="0.25">
      <c r="C221" s="586" t="str">
        <f>'Fare optimisation - matrices'!C28</f>
        <v>Rail</v>
      </c>
      <c r="D221" s="194">
        <f>'Fare optimisation - matrices'!D28</f>
        <v>5</v>
      </c>
      <c r="E221" s="201" t="str">
        <f>'Fare optimisation - matrices'!E28</f>
        <v>Off-peak</v>
      </c>
      <c r="F221" s="194">
        <f>'Fare optimisation - matrices'!F28</f>
        <v>6</v>
      </c>
      <c r="G221" s="183">
        <f>'Fare optimisation'!J30</f>
        <v>-1.667321828528284</v>
      </c>
      <c r="H221" s="194">
        <f>G221*'General inputs'!H34*I221/'General inputs'!G34</f>
        <v>4246443.107415067</v>
      </c>
      <c r="I221" s="194">
        <f>INDEX('Fare optimisation'!$P$202:$T$207,MATCH(D221,'Fare optimisation'!$P$202:$P$207,0),MATCH(C221,'Fare optimisation'!$P$202:$T$202,0))*1000000</f>
        <v>12390394</v>
      </c>
      <c r="J221" s="194">
        <f t="shared" si="10"/>
        <v>16636837.107415067</v>
      </c>
      <c r="L221" s="558">
        <f>I221*'General inputs'!G34/1000000</f>
        <v>29.848570771171168</v>
      </c>
      <c r="M221" s="559">
        <f>J221*'Fare optimisation'!I30/1000000</f>
        <v>12.33932880631578</v>
      </c>
      <c r="O221" s="560">
        <f>I221*'Fare optimisation'!$I89/1000000</f>
        <v>23.388690758257546</v>
      </c>
      <c r="P221" s="561">
        <f>J221*'Fare optimisation'!$I89/1000000</f>
        <v>31.404476588947453</v>
      </c>
      <c r="R221" s="613">
        <f t="shared" si="11"/>
        <v>25.525027795545295</v>
      </c>
    </row>
    <row r="222" spans="3:18" x14ac:dyDescent="0.25">
      <c r="C222" s="586" t="str">
        <f>'Fare optimisation - matrices'!C29</f>
        <v>Rail</v>
      </c>
      <c r="D222" s="194">
        <f>'Fare optimisation - matrices'!D29</f>
        <v>15</v>
      </c>
      <c r="E222" s="201" t="str">
        <f>'Fare optimisation - matrices'!E29</f>
        <v>Off-peak</v>
      </c>
      <c r="F222" s="194">
        <f>'Fare optimisation - matrices'!F29</f>
        <v>7</v>
      </c>
      <c r="G222" s="183">
        <f>'Fare optimisation'!J31</f>
        <v>0.15239608948752181</v>
      </c>
      <c r="H222" s="194">
        <f>G222*'General inputs'!H35*I222/'General inputs'!G35</f>
        <v>-704652.5006034642</v>
      </c>
      <c r="I222" s="194">
        <f>INDEX('Fare optimisation'!$P$202:$T$207,MATCH(D222,'Fare optimisation'!$P$202:$P$207,0),MATCH(C222,'Fare optimisation'!$P$202:$T$202,0))*1000000</f>
        <v>27971172.000000004</v>
      </c>
      <c r="J222" s="194">
        <f t="shared" si="10"/>
        <v>27266519.49939654</v>
      </c>
      <c r="L222" s="558">
        <f>I222*'General inputs'!G35/1000000</f>
        <v>83.787519729729723</v>
      </c>
      <c r="M222" s="559">
        <f>J222*'Fare optimisation'!I31/1000000</f>
        <v>85.832047283925718</v>
      </c>
      <c r="O222" s="560">
        <f>I222*'Fare optimisation'!$I90/1000000</f>
        <v>130.08215378736813</v>
      </c>
      <c r="P222" s="561">
        <f>J222*'Fare optimisation'!$I90/1000000</f>
        <v>126.80511144712749</v>
      </c>
      <c r="R222" s="613">
        <f t="shared" si="11"/>
        <v>-5.3215698944366352</v>
      </c>
    </row>
    <row r="223" spans="3:18" ht="12" thickBot="1" x14ac:dyDescent="0.3">
      <c r="C223" s="586" t="str">
        <f>'Fare optimisation - matrices'!C30</f>
        <v>Rail</v>
      </c>
      <c r="D223" s="194">
        <f>'Fare optimisation - matrices'!D30</f>
        <v>25</v>
      </c>
      <c r="E223" s="201" t="str">
        <f>'Fare optimisation - matrices'!E30</f>
        <v>Off-peak</v>
      </c>
      <c r="F223" s="194">
        <f>'Fare optimisation - matrices'!F30</f>
        <v>8</v>
      </c>
      <c r="G223" s="183">
        <f>'Fare optimisation'!J32</f>
        <v>2.0718859960801459</v>
      </c>
      <c r="H223" s="194">
        <f>G223*'General inputs'!H36*I223/'General inputs'!G36</f>
        <v>-4499909.9074514527</v>
      </c>
      <c r="I223" s="616">
        <f>INDEX('Fare optimisation'!$P$202:$T$207,MATCH(D223,'Fare optimisation'!$P$202:$P$207,0),MATCH(C223,'Fare optimisation'!$P$202:$T$202,0))*1000000</f>
        <v>15102418</v>
      </c>
      <c r="J223" s="194">
        <f t="shared" si="10"/>
        <v>10602508.092548547</v>
      </c>
      <c r="L223" s="558">
        <f>I223*'General inputs'!G36/1000000</f>
        <v>52.00129873513513</v>
      </c>
      <c r="M223" s="559">
        <f>J223*'Fare optimisation'!I32/1000000</f>
        <v>58.474202391377347</v>
      </c>
      <c r="O223" s="560">
        <f>I223*'Fare optimisation'!$I91/1000000</f>
        <v>111.96195049389389</v>
      </c>
      <c r="P223" s="561">
        <f>J223*'Fare optimisation'!$I91/1000000</f>
        <v>78.601816356098055</v>
      </c>
      <c r="R223" s="613">
        <f t="shared" si="11"/>
        <v>-39.833037794038056</v>
      </c>
    </row>
    <row r="224" spans="3:18" ht="12" thickTop="1" x14ac:dyDescent="0.25">
      <c r="C224" s="586" t="str">
        <f>'Fare optimisation - matrices'!C31</f>
        <v>Bus</v>
      </c>
      <c r="D224" s="194">
        <f>'Fare optimisation - matrices'!D31</f>
        <v>2</v>
      </c>
      <c r="E224" s="201" t="str">
        <f>'Fare optimisation - matrices'!E31</f>
        <v>Peak</v>
      </c>
      <c r="F224" s="194">
        <f>'Fare optimisation - matrices'!F31</f>
        <v>9</v>
      </c>
      <c r="G224" s="183">
        <f>'Fare optimisation'!J33</f>
        <v>-0.90209098665200149</v>
      </c>
      <c r="H224" s="194">
        <f>G224*'General inputs'!H37*I224/'General inputs'!G37</f>
        <v>4560299.8658119477</v>
      </c>
      <c r="I224" s="617">
        <f>INDEX('Fare optimisation'!$I$202:$M$207,MATCH(D224,'Fare optimisation'!$I$202:$I$207,0),MATCH(C224,'Fare optimisation'!$I$202:$M$202,0))*1000000</f>
        <v>45359403.000000007</v>
      </c>
      <c r="J224" s="194">
        <f t="shared" si="10"/>
        <v>49919702.865811959</v>
      </c>
      <c r="L224" s="558">
        <f>I224*'General inputs'!G37/1000000</f>
        <v>118.91519164864866</v>
      </c>
      <c r="M224" s="559">
        <f>J224*'Fare optimisation'!I33/1000000</f>
        <v>85.838458366344398</v>
      </c>
      <c r="O224" s="560">
        <f>I224*'Fare optimisation'!$I92/1000000</f>
        <v>133.93147436296726</v>
      </c>
      <c r="P224" s="561">
        <f>J224*'Fare optimisation'!$I92/1000000</f>
        <v>147.39654762606634</v>
      </c>
      <c r="R224" s="613">
        <f t="shared" si="11"/>
        <v>46.541806545403333</v>
      </c>
    </row>
    <row r="225" spans="3:18" x14ac:dyDescent="0.25">
      <c r="C225" s="586" t="str">
        <f>'Fare optimisation - matrices'!C32</f>
        <v>Bus</v>
      </c>
      <c r="D225" s="194">
        <f>'Fare optimisation - matrices'!D32</f>
        <v>5</v>
      </c>
      <c r="E225" s="201" t="str">
        <f>'Fare optimisation - matrices'!E32</f>
        <v>Peak</v>
      </c>
      <c r="F225" s="194">
        <f>'Fare optimisation - matrices'!F32</f>
        <v>10</v>
      </c>
      <c r="G225" s="183">
        <f>'Fare optimisation'!J34</f>
        <v>1.333100358633827</v>
      </c>
      <c r="H225" s="194">
        <f>G225*'General inputs'!H38*I225/'General inputs'!G38</f>
        <v>-2875995.8410926824</v>
      </c>
      <c r="I225" s="194">
        <f>INDEX('Fare optimisation'!$I$202:$M$207,MATCH(D225,'Fare optimisation'!$I$202:$I$207,0),MATCH(C225,'Fare optimisation'!$I$202:$M$202,0))*1000000</f>
        <v>26342189.999999996</v>
      </c>
      <c r="J225" s="194">
        <f t="shared" si="10"/>
        <v>23466194.158907313</v>
      </c>
      <c r="L225" s="558">
        <f>I225*'General inputs'!G38/1000000</f>
        <v>93.977542702702678</v>
      </c>
      <c r="M225" s="559">
        <f>J225*'Fare optimisation'!I34/1000000</f>
        <v>115.00002506457157</v>
      </c>
      <c r="O225" s="560">
        <f>I225*'Fare optimisation'!$I93/1000000</f>
        <v>153.81330551502194</v>
      </c>
      <c r="P225" s="561">
        <f>J225*'Fare optimisation'!$I93/1000000</f>
        <v>137.02022844109902</v>
      </c>
      <c r="R225" s="613">
        <f t="shared" si="11"/>
        <v>-37.815559435791812</v>
      </c>
    </row>
    <row r="226" spans="3:18" x14ac:dyDescent="0.25">
      <c r="C226" s="586" t="str">
        <f>'Fare optimisation - matrices'!C33</f>
        <v>Bus</v>
      </c>
      <c r="D226" s="194">
        <f>'Fare optimisation - matrices'!D33</f>
        <v>15</v>
      </c>
      <c r="E226" s="201" t="str">
        <f>'Fare optimisation - matrices'!E33</f>
        <v>Peak</v>
      </c>
      <c r="F226" s="194">
        <f>'Fare optimisation - matrices'!F33</f>
        <v>11</v>
      </c>
      <c r="G226" s="183">
        <f>'Fare optimisation'!J35</f>
        <v>10.345361225855022</v>
      </c>
      <c r="H226" s="194">
        <f>G226*'General inputs'!H39*I226/'General inputs'!G39</f>
        <v>-11592513.626445685</v>
      </c>
      <c r="I226" s="194">
        <f>INDEX('Fare optimisation'!$I$202:$M$207,MATCH(D226,'Fare optimisation'!$I$202:$I$207,0),MATCH(C226,'Fare optimisation'!$I$202:$M$202,0))*1000000</f>
        <v>17586565.000000007</v>
      </c>
      <c r="J226" s="194">
        <f t="shared" si="10"/>
        <v>5994051.3735543229</v>
      </c>
      <c r="L226" s="558">
        <f>I226*'General inputs'!G39/1000000</f>
        <v>80.644698963964004</v>
      </c>
      <c r="M226" s="559">
        <f>J226*'Fare optimisation'!I35/1000000</f>
        <v>89.496862243582115</v>
      </c>
      <c r="O226" s="560">
        <f>I226*'Fare optimisation'!$I94/1000000</f>
        <v>271.89353055739747</v>
      </c>
      <c r="P226" s="561">
        <f>J226*'Fare optimisation'!$I94/1000000</f>
        <v>92.669818710936568</v>
      </c>
      <c r="R226" s="613">
        <f t="shared" si="11"/>
        <v>-188.07587512607901</v>
      </c>
    </row>
    <row r="227" spans="3:18" ht="12" thickBot="1" x14ac:dyDescent="0.3">
      <c r="C227" s="586" t="str">
        <f>'Fare optimisation - matrices'!C34</f>
        <v>Bus</v>
      </c>
      <c r="D227" s="194">
        <f>'Fare optimisation - matrices'!D34</f>
        <v>25</v>
      </c>
      <c r="E227" s="201" t="str">
        <f>'Fare optimisation - matrices'!E34</f>
        <v>Peak</v>
      </c>
      <c r="F227" s="194">
        <f>'Fare optimisation - matrices'!F34</f>
        <v>12</v>
      </c>
      <c r="G227" s="183">
        <f>'Fare optimisation'!J36</f>
        <v>20.15737560620444</v>
      </c>
      <c r="H227" s="194">
        <f>G227*'General inputs'!H40*I227/'General inputs'!G40</f>
        <v>-4420637.844686348</v>
      </c>
      <c r="I227" s="616">
        <f>INDEX('Fare optimisation'!$I$202:$M$207,MATCH(D227,'Fare optimisation'!$I$202:$I$207,0),MATCH(C227,'Fare optimisation'!$I$202:$M$202,0))*1000000</f>
        <v>3441913.9999999972</v>
      </c>
      <c r="J227" s="194">
        <f t="shared" si="10"/>
        <v>-978723.84468635079</v>
      </c>
      <c r="L227" s="558">
        <f>I227*'General inputs'!G40/1000000</f>
        <v>15.783191225225211</v>
      </c>
      <c r="M227" s="559">
        <f>J227*'Fare optimisation'!I36/1000000</f>
        <v>-24.216526106553903</v>
      </c>
      <c r="O227" s="560">
        <f>I227*'Fare optimisation'!$I95/1000000</f>
        <v>86.328530017142015</v>
      </c>
      <c r="P227" s="561">
        <f>J227*'Fare optimisation'!$I95/1000000</f>
        <v>-24.547908752077575</v>
      </c>
      <c r="R227" s="613">
        <f t="shared" si="11"/>
        <v>-70.87672143744048</v>
      </c>
    </row>
    <row r="228" spans="3:18" ht="12" thickTop="1" x14ac:dyDescent="0.25">
      <c r="C228" s="586" t="str">
        <f>'Fare optimisation - matrices'!C35</f>
        <v>Bus</v>
      </c>
      <c r="D228" s="194">
        <f>'Fare optimisation - matrices'!D35</f>
        <v>2</v>
      </c>
      <c r="E228" s="201" t="str">
        <f>'Fare optimisation - matrices'!E35</f>
        <v>Off-peak</v>
      </c>
      <c r="F228" s="194">
        <f>'Fare optimisation - matrices'!F35</f>
        <v>13</v>
      </c>
      <c r="G228" s="183">
        <f>'Fare optimisation'!J37</f>
        <v>-0.8136439537320197</v>
      </c>
      <c r="H228" s="194">
        <f>G228*'General inputs'!H41*I228/'General inputs'!G41</f>
        <v>5730936.1324247969</v>
      </c>
      <c r="I228" s="617">
        <f>INDEX('Fare optimisation'!$P$202:$T$207,MATCH(D228,'Fare optimisation'!$P$202:$P$207,0),MATCH(C228,'Fare optimisation'!$P$202:$T$202,0))*1000000</f>
        <v>32159343.999999996</v>
      </c>
      <c r="J228" s="194">
        <f t="shared" si="10"/>
        <v>37890280.132424794</v>
      </c>
      <c r="L228" s="558">
        <f>I228*'General inputs'!G41/1000000</f>
        <v>59.016742097297282</v>
      </c>
      <c r="M228" s="559">
        <f>J228*'Fare optimisation'!I37/1000000</f>
        <v>38.704587016165583</v>
      </c>
      <c r="O228" s="560">
        <f>I228*'Fare optimisation'!$I96/1000000</f>
        <v>56.93972032939206</v>
      </c>
      <c r="P228" s="561">
        <f>J228*'Fare optimisation'!$I96/1000000</f>
        <v>67.086628195605869</v>
      </c>
      <c r="R228" s="613">
        <f t="shared" si="11"/>
        <v>30.459062947345508</v>
      </c>
    </row>
    <row r="229" spans="3:18" x14ac:dyDescent="0.25">
      <c r="C229" s="586" t="str">
        <f>'Fare optimisation - matrices'!C36</f>
        <v>Bus</v>
      </c>
      <c r="D229" s="194">
        <f>'Fare optimisation - matrices'!D36</f>
        <v>5</v>
      </c>
      <c r="E229" s="201" t="str">
        <f>'Fare optimisation - matrices'!E36</f>
        <v>Off-peak</v>
      </c>
      <c r="F229" s="194">
        <f>'Fare optimisation - matrices'!F36</f>
        <v>14</v>
      </c>
      <c r="G229" s="183">
        <f>'Fare optimisation'!J38</f>
        <v>1.3189027824887742</v>
      </c>
      <c r="H229" s="194">
        <f>G229*'General inputs'!H42*I229/'General inputs'!G42</f>
        <v>-3790189.6951608504</v>
      </c>
      <c r="I229" s="194">
        <f>INDEX('Fare optimisation'!$P$202:$T$207,MATCH(D229,'Fare optimisation'!$P$202:$P$207,0),MATCH(C229,'Fare optimisation'!$P$202:$T$202,0))*1000000</f>
        <v>17855268.000000004</v>
      </c>
      <c r="J229" s="194">
        <f t="shared" si="10"/>
        <v>14065078.304839153</v>
      </c>
      <c r="L229" s="558">
        <f>I229*'General inputs'!G42/1000000</f>
        <v>44.589912518918922</v>
      </c>
      <c r="M229" s="559">
        <f>J229*'Fare optimisation'!I38/1000000</f>
        <v>53.675152949124517</v>
      </c>
      <c r="O229" s="560">
        <f>I229*'Fare optimisation'!$I97/1000000</f>
        <v>79.034103301854032</v>
      </c>
      <c r="P229" s="561">
        <f>J229*'Fare optimisation'!$I97/1000000</f>
        <v>62.257304213710114</v>
      </c>
      <c r="R229" s="613">
        <f t="shared" si="11"/>
        <v>-25.862039518349512</v>
      </c>
    </row>
    <row r="230" spans="3:18" x14ac:dyDescent="0.25">
      <c r="C230" s="586" t="str">
        <f>'Fare optimisation - matrices'!C37</f>
        <v>Bus</v>
      </c>
      <c r="D230" s="194">
        <f>'Fare optimisation - matrices'!D37</f>
        <v>15</v>
      </c>
      <c r="E230" s="201" t="str">
        <f>'Fare optimisation - matrices'!E37</f>
        <v>Off-peak</v>
      </c>
      <c r="F230" s="194">
        <f>'Fare optimisation - matrices'!F37</f>
        <v>15</v>
      </c>
      <c r="G230" s="183">
        <f>'Fare optimisation'!J39</f>
        <v>9.6389312961250866</v>
      </c>
      <c r="H230" s="194">
        <f>G230*'General inputs'!H43*I230/'General inputs'!G43</f>
        <v>-12397287.795039527</v>
      </c>
      <c r="I230" s="194">
        <f>INDEX('Fare optimisation'!$P$202:$T$207,MATCH(D230,'Fare optimisation'!$P$202:$P$207,0),MATCH(C230,'Fare optimisation'!$P$202:$T$202,0))*1000000</f>
        <v>10271611.999999998</v>
      </c>
      <c r="J230" s="194">
        <f t="shared" si="10"/>
        <v>-2125675.795039529</v>
      </c>
      <c r="L230" s="558">
        <f>I230*'General inputs'!G43/1000000</f>
        <v>32.97094914954954</v>
      </c>
      <c r="M230" s="559">
        <f>J230*'Fare optimisation'!I39/1000000</f>
        <v>-27.312470745975098</v>
      </c>
      <c r="O230" s="560">
        <f>I230*'Fare optimisation'!$I98/1000000</f>
        <v>136.39800487193412</v>
      </c>
      <c r="P230" s="561">
        <f>J230*'Fare optimisation'!$I98/1000000</f>
        <v>-28.227111523289054</v>
      </c>
      <c r="R230" s="613">
        <f t="shared" si="11"/>
        <v>-104.34169649969854</v>
      </c>
    </row>
    <row r="231" spans="3:18" ht="12" thickBot="1" x14ac:dyDescent="0.3">
      <c r="C231" s="586" t="str">
        <f>'Fare optimisation - matrices'!C38</f>
        <v>Bus</v>
      </c>
      <c r="D231" s="194">
        <f>'Fare optimisation - matrices'!D38</f>
        <v>25</v>
      </c>
      <c r="E231" s="201" t="str">
        <f>'Fare optimisation - matrices'!E38</f>
        <v>Off-peak</v>
      </c>
      <c r="F231" s="194">
        <f>'Fare optimisation - matrices'!F38</f>
        <v>16</v>
      </c>
      <c r="G231" s="183">
        <f>'Fare optimisation'!J40</f>
        <v>18.665417414415522</v>
      </c>
      <c r="H231" s="194">
        <f>G231*'General inputs'!H44*I231/'General inputs'!G44</f>
        <v>-3619101.9436672651</v>
      </c>
      <c r="I231" s="616">
        <f>INDEX('Fare optimisation'!$P$202:$T$207,MATCH(D231,'Fare optimisation'!$P$202:$P$207,0),MATCH(C231,'Fare optimisation'!$P$202:$T$202,0))*1000000</f>
        <v>1548474.0000000058</v>
      </c>
      <c r="J231" s="194">
        <f t="shared" si="10"/>
        <v>-2070627.9436672593</v>
      </c>
      <c r="L231" s="558">
        <f>I231*'General inputs'!G44/1000000</f>
        <v>4.9704620378378559</v>
      </c>
      <c r="M231" s="559">
        <f>J231*'Fare optimisation'!I40/1000000</f>
        <v>-45.295664034616181</v>
      </c>
      <c r="O231" s="560">
        <f>I231*'Fare optimisation'!$I99/1000000</f>
        <v>34.270629283255658</v>
      </c>
      <c r="P231" s="561">
        <f>J231*'Fare optimisation'!$I99/1000000</f>
        <v>-45.826873838999141</v>
      </c>
      <c r="R231" s="613">
        <f t="shared" si="11"/>
        <v>-29.831377049800764</v>
      </c>
    </row>
    <row r="232" spans="3:18" ht="12" thickTop="1" x14ac:dyDescent="0.25">
      <c r="C232" s="586" t="str">
        <f>'Fare optimisation - matrices'!C39</f>
        <v>Ferry</v>
      </c>
      <c r="D232" s="194">
        <f>'Fare optimisation - matrices'!D39</f>
        <v>2</v>
      </c>
      <c r="E232" s="201" t="str">
        <f>'Fare optimisation - matrices'!E39</f>
        <v>Peak</v>
      </c>
      <c r="F232" s="194">
        <f>'Fare optimisation - matrices'!F39</f>
        <v>17</v>
      </c>
      <c r="G232" s="183">
        <f>'Fare optimisation'!J41</f>
        <v>-2.7329773932422539</v>
      </c>
      <c r="H232" s="194">
        <f>G232*'General inputs'!H45*I232/'General inputs'!G45</f>
        <v>266017.47625656921</v>
      </c>
      <c r="I232" s="617">
        <f>INDEX('Fare optimisation'!$I$202:$M$207,MATCH(D232,'Fare optimisation'!$I$202:$I$207,0),MATCH(C232,'Fare optimisation'!$I$202:$M$202,0))*1000000</f>
        <v>1421919</v>
      </c>
      <c r="J232" s="194">
        <f t="shared" si="10"/>
        <v>1687936.4762565691</v>
      </c>
      <c r="L232" s="558">
        <f>I232*'General inputs'!G45/1000000</f>
        <v>8.3009325405405399</v>
      </c>
      <c r="M232" s="559">
        <f>J232*'Fare optimisation'!I41/1000000</f>
        <v>5.2408071981190743</v>
      </c>
      <c r="O232" s="560">
        <f>I232*'Fare optimisation'!$I100/1000000</f>
        <v>6.1935623939319306</v>
      </c>
      <c r="P232" s="561">
        <f>J232*'Fare optimisation'!$I100/1000000</f>
        <v>7.3522752580763493</v>
      </c>
      <c r="R232" s="613">
        <f t="shared" si="11"/>
        <v>4.2188382065658843</v>
      </c>
    </row>
    <row r="233" spans="3:18" x14ac:dyDescent="0.25">
      <c r="C233" s="586" t="str">
        <f>'Fare optimisation - matrices'!C40</f>
        <v>Ferry</v>
      </c>
      <c r="D233" s="194">
        <f>'Fare optimisation - matrices'!D40</f>
        <v>5</v>
      </c>
      <c r="E233" s="201" t="str">
        <f>'Fare optimisation - matrices'!E40</f>
        <v>Peak</v>
      </c>
      <c r="F233" s="194">
        <f>'Fare optimisation - matrices'!F40</f>
        <v>18</v>
      </c>
      <c r="G233" s="183">
        <f>'Fare optimisation'!J42</f>
        <v>2.2822287880434446</v>
      </c>
      <c r="H233" s="194">
        <f>G233*'General inputs'!H46*I233/'General inputs'!G46</f>
        <v>-182237.44169366272</v>
      </c>
      <c r="I233" s="194">
        <f>INDEX('Fare optimisation'!$I$202:$M$207,MATCH(D233,'Fare optimisation'!$I$202:$I$207,0),MATCH(C233,'Fare optimisation'!$I$202:$M$202,0))*1000000</f>
        <v>1166485.0000000002</v>
      </c>
      <c r="J233" s="194">
        <f t="shared" si="10"/>
        <v>984247.55830633757</v>
      </c>
      <c r="L233" s="558">
        <f>I233*'General inputs'!G46/1000000</f>
        <v>6.8097502702702712</v>
      </c>
      <c r="M233" s="559">
        <f>J233*'Fare optimisation'!I42/1000000</f>
        <v>7.9921557498084335</v>
      </c>
      <c r="O233" s="560">
        <f>I233*'Fare optimisation'!$I101/1000000</f>
        <v>10.784045270654023</v>
      </c>
      <c r="P233" s="561">
        <f>J233*'Fare optimisation'!$I101/1000000</f>
        <v>9.0992770814080135</v>
      </c>
      <c r="R233" s="613">
        <f t="shared" si="11"/>
        <v>-2.8671736687841713</v>
      </c>
    </row>
    <row r="234" spans="3:18" x14ac:dyDescent="0.25">
      <c r="C234" s="586" t="str">
        <f>'Fare optimisation - matrices'!C41</f>
        <v>Ferry</v>
      </c>
      <c r="D234" s="194">
        <f>'Fare optimisation - matrices'!D41</f>
        <v>15</v>
      </c>
      <c r="E234" s="201" t="str">
        <f>'Fare optimisation - matrices'!E41</f>
        <v>Peak</v>
      </c>
      <c r="F234" s="194">
        <f>'Fare optimisation - matrices'!F41</f>
        <v>19</v>
      </c>
      <c r="G234" s="183">
        <f>'Fare optimisation'!J43</f>
        <v>17.437288930216134</v>
      </c>
      <c r="H234" s="194">
        <f>G234*'General inputs'!H47*I234/'General inputs'!G47</f>
        <v>-1907674.5711244438</v>
      </c>
      <c r="I234" s="194">
        <f>INDEX('Fare optimisation'!$I$202:$M$207,MATCH(D234,'Fare optimisation'!$I$202:$I$207,0),MATCH(C234,'Fare optimisation'!$I$202:$M$202,0))*1000000</f>
        <v>2000193</v>
      </c>
      <c r="J234" s="194">
        <f t="shared" si="10"/>
        <v>92518.428875556216</v>
      </c>
      <c r="L234" s="558">
        <f>I234*'General inputs'!G47/1000000</f>
        <v>14.614022729729728</v>
      </c>
      <c r="M234" s="559">
        <f>J234*'Fare optimisation'!I43/1000000</f>
        <v>2.2892385560157527</v>
      </c>
      <c r="O234" s="560">
        <f>I234*'Fare optimisation'!$I102/1000000</f>
        <v>51.088941587526612</v>
      </c>
      <c r="P234" s="561">
        <f>J234*'Fare optimisation'!$I102/1000000</f>
        <v>2.3631062645419849</v>
      </c>
      <c r="R234" s="613">
        <f t="shared" si="11"/>
        <v>-36.401051149270657</v>
      </c>
    </row>
    <row r="235" spans="3:18" ht="12" thickBot="1" x14ac:dyDescent="0.3">
      <c r="C235" s="586" t="str">
        <f>'Fare optimisation - matrices'!C42</f>
        <v>Ferry</v>
      </c>
      <c r="D235" s="194">
        <f>'Fare optimisation - matrices'!D42</f>
        <v>25</v>
      </c>
      <c r="E235" s="201" t="str">
        <f>'Fare optimisation - matrices'!E42</f>
        <v>Peak</v>
      </c>
      <c r="F235" s="194">
        <f>'Fare optimisation - matrices'!F42</f>
        <v>20</v>
      </c>
      <c r="G235" s="183">
        <f>'Fare optimisation'!J44</f>
        <v>33.52471734617972</v>
      </c>
      <c r="H235" s="194">
        <f>G235*'General inputs'!H48*I235/'General inputs'!G48</f>
        <v>-76854.145137045474</v>
      </c>
      <c r="I235" s="616">
        <f>INDEX('Fare optimisation'!$I$202:$M$207,MATCH(D235,'Fare optimisation'!$I$202:$I$207,0),MATCH(C235,'Fare optimisation'!$I$202:$M$202,0))*1000000</f>
        <v>41912.9999999992</v>
      </c>
      <c r="J235" s="194">
        <f t="shared" si="10"/>
        <v>-34941.145137046275</v>
      </c>
      <c r="L235" s="558">
        <f>I235*'General inputs'!G48/1000000</f>
        <v>0.30622921621621035</v>
      </c>
      <c r="M235" s="559">
        <f>J235*'Fare optimisation'!I44/1000000</f>
        <v>-1.4266827235356834</v>
      </c>
      <c r="O235" s="560">
        <f>I235*'Fare optimisation'!$I103/1000000</f>
        <v>1.7536024096019969</v>
      </c>
      <c r="P235" s="561">
        <f>J235*'Fare optimisation'!$I103/1000000</f>
        <v>-1.4619062416572093</v>
      </c>
      <c r="R235" s="613">
        <f t="shared" si="11"/>
        <v>-1.4825967115073124</v>
      </c>
    </row>
    <row r="236" spans="3:18" ht="12" thickTop="1" x14ac:dyDescent="0.25">
      <c r="C236" s="586" t="str">
        <f>'Fare optimisation - matrices'!C43</f>
        <v>Ferry</v>
      </c>
      <c r="D236" s="194">
        <f>'Fare optimisation - matrices'!D43</f>
        <v>2</v>
      </c>
      <c r="E236" s="201" t="str">
        <f>'Fare optimisation - matrices'!E43</f>
        <v>Off-peak</v>
      </c>
      <c r="F236" s="194">
        <f>'Fare optimisation - matrices'!F43</f>
        <v>21</v>
      </c>
      <c r="G236" s="183">
        <f>'Fare optimisation'!J45</f>
        <v>-3.2285691861242367</v>
      </c>
      <c r="H236" s="194">
        <f>G236*'General inputs'!H49*I236/'General inputs'!G49</f>
        <v>352039.59077862249</v>
      </c>
      <c r="I236" s="617">
        <f>INDEX('Fare optimisation'!$P$202:$T$207,MATCH(D236,'Fare optimisation'!$P$202:$P$207,0),MATCH(C236,'Fare optimisation'!$P$202:$T$202,0))*1000000</f>
        <v>1227223</v>
      </c>
      <c r="J236" s="194">
        <f t="shared" si="10"/>
        <v>1579262.5907786225</v>
      </c>
      <c r="L236" s="558">
        <f>I236*'General inputs'!G49/1000000</f>
        <v>7.1643288648648644</v>
      </c>
      <c r="M236" s="559">
        <f>J236*'Fare optimisation'!I45/1000000</f>
        <v>4.1207203709426645</v>
      </c>
      <c r="O236" s="560">
        <f>I236*'Fare optimisation'!$I104/1000000</f>
        <v>3.2182769563760738</v>
      </c>
      <c r="P236" s="561">
        <f>J236*'Fare optimisation'!$I104/1000000</f>
        <v>4.1414676908513108</v>
      </c>
      <c r="R236" s="613">
        <f t="shared" si="11"/>
        <v>3.9667992283974369</v>
      </c>
    </row>
    <row r="237" spans="3:18" x14ac:dyDescent="0.25">
      <c r="C237" s="586" t="str">
        <f>'Fare optimisation - matrices'!C44</f>
        <v>Ferry</v>
      </c>
      <c r="D237" s="194">
        <f>'Fare optimisation - matrices'!D44</f>
        <v>5</v>
      </c>
      <c r="E237" s="201" t="str">
        <f>'Fare optimisation - matrices'!E44</f>
        <v>Off-peak</v>
      </c>
      <c r="F237" s="194">
        <f>'Fare optimisation - matrices'!F44</f>
        <v>22</v>
      </c>
      <c r="G237" s="183">
        <f>'Fare optimisation'!J46</f>
        <v>0.7362904573464526</v>
      </c>
      <c r="H237" s="194">
        <f>G237*'General inputs'!H50*I237/'General inputs'!G50</f>
        <v>-49770.094603050791</v>
      </c>
      <c r="I237" s="194">
        <f>INDEX('Fare optimisation'!$P$202:$T$207,MATCH(D237,'Fare optimisation'!$P$202:$P$207,0),MATCH(C237,'Fare optimisation'!$P$202:$T$202,0))*1000000</f>
        <v>760784.00000000012</v>
      </c>
      <c r="J237" s="194">
        <f t="shared" si="10"/>
        <v>711013.90539694927</v>
      </c>
      <c r="L237" s="558">
        <f>I237*'General inputs'!G50/1000000</f>
        <v>4.4413336216216219</v>
      </c>
      <c r="M237" s="559">
        <f>J237*'Fare optimisation'!I46/1000000</f>
        <v>4.6742966337395702</v>
      </c>
      <c r="O237" s="560">
        <f>I237*'Fare optimisation'!$I105/1000000</f>
        <v>4.9877113124094308</v>
      </c>
      <c r="P237" s="561">
        <f>J237*'Fare optimisation'!$I105/1000000</f>
        <v>4.6614178258596022</v>
      </c>
      <c r="R237" s="613">
        <f t="shared" si="11"/>
        <v>-0.55925649866777682</v>
      </c>
    </row>
    <row r="238" spans="3:18" x14ac:dyDescent="0.25">
      <c r="C238" s="586" t="str">
        <f>'Fare optimisation - matrices'!C45</f>
        <v>Ferry</v>
      </c>
      <c r="D238" s="194">
        <f>'Fare optimisation - matrices'!D45</f>
        <v>15</v>
      </c>
      <c r="E238" s="201" t="str">
        <f>'Fare optimisation - matrices'!E45</f>
        <v>Off-peak</v>
      </c>
      <c r="F238" s="194">
        <f>'Fare optimisation - matrices'!F45</f>
        <v>23</v>
      </c>
      <c r="G238" s="183">
        <f>'Fare optimisation'!J47</f>
        <v>12.510342376662294</v>
      </c>
      <c r="H238" s="194">
        <f>G238*'General inputs'!H51*I238/'General inputs'!G51</f>
        <v>-1711908.7616083343</v>
      </c>
      <c r="I238" s="194">
        <f>INDEX('Fare optimisation'!$P$202:$T$207,MATCH(D238,'Fare optimisation'!$P$202:$P$207,0),MATCH(C238,'Fare optimisation'!$P$202:$T$202,0))*1000000</f>
        <v>1927521.9999999998</v>
      </c>
      <c r="J238" s="194">
        <f t="shared" si="10"/>
        <v>215613.23839166551</v>
      </c>
      <c r="L238" s="558">
        <f>I238*'General inputs'!G51/1000000</f>
        <v>14.083066144144141</v>
      </c>
      <c r="M238" s="559">
        <f>J238*'Fare optimisation'!I47/1000000</f>
        <v>4.2727317966047922</v>
      </c>
      <c r="O238" s="560">
        <f>I238*'Fare optimisation'!$I106/1000000</f>
        <v>37.91058940902299</v>
      </c>
      <c r="P238" s="561">
        <f>J238*'Fare optimisation'!$I106/1000000</f>
        <v>4.2406908724342562</v>
      </c>
      <c r="R238" s="613">
        <f t="shared" si="11"/>
        <v>-23.859564189049387</v>
      </c>
    </row>
    <row r="239" spans="3:18" ht="12" thickBot="1" x14ac:dyDescent="0.3">
      <c r="C239" s="586" t="str">
        <f>'Fare optimisation - matrices'!C46</f>
        <v>Ferry</v>
      </c>
      <c r="D239" s="194">
        <f>'Fare optimisation - matrices'!D46</f>
        <v>25</v>
      </c>
      <c r="E239" s="201" t="str">
        <f>'Fare optimisation - matrices'!E46</f>
        <v>Off-peak</v>
      </c>
      <c r="F239" s="194">
        <f>'Fare optimisation - matrices'!F46</f>
        <v>24</v>
      </c>
      <c r="G239" s="183">
        <f>'Fare optimisation'!J48</f>
        <v>25.360828564316705</v>
      </c>
      <c r="H239" s="194">
        <f>G239*'General inputs'!H52*I239/'General inputs'!G52</f>
        <v>-88521.593645375309</v>
      </c>
      <c r="I239" s="616">
        <f>INDEX('Fare optimisation'!$P$202:$T$207,MATCH(D239,'Fare optimisation'!$P$202:$P$207,0),MATCH(C239,'Fare optimisation'!$P$202:$T$202,0))*1000000</f>
        <v>49167.000000000182</v>
      </c>
      <c r="J239" s="194">
        <f t="shared" si="10"/>
        <v>-39354.593645375127</v>
      </c>
      <c r="L239" s="558">
        <f>I239*'General inputs'!G52/1000000</f>
        <v>0.35922916216216338</v>
      </c>
      <c r="M239" s="559">
        <f>J239*'Fare optimisation'!I48/1000000</f>
        <v>-1.2856018183920326</v>
      </c>
      <c r="O239" s="560">
        <f>I239*'Fare optimisation'!$I107/1000000</f>
        <v>1.6116979464423236</v>
      </c>
      <c r="P239" s="561">
        <f>J239*'Fare optimisation'!$I107/1000000</f>
        <v>-1.2900465304233117</v>
      </c>
      <c r="R239" s="613">
        <f t="shared" si="11"/>
        <v>-1.2569134963114394</v>
      </c>
    </row>
    <row r="240" spans="3:18" ht="12" thickTop="1" x14ac:dyDescent="0.25">
      <c r="C240" s="586" t="str">
        <f>'Fare optimisation - matrices'!C47</f>
        <v>Light Rail</v>
      </c>
      <c r="D240" s="194">
        <f>'Fare optimisation - matrices'!D47</f>
        <v>2</v>
      </c>
      <c r="E240" s="201" t="str">
        <f>'Fare optimisation - matrices'!E47</f>
        <v>Peak</v>
      </c>
      <c r="F240" s="194">
        <f>'Fare optimisation - matrices'!F47</f>
        <v>25</v>
      </c>
      <c r="G240" s="183">
        <f>'Fare optimisation'!J49</f>
        <v>-1.5908303732193292</v>
      </c>
      <c r="H240" s="194">
        <f>G240*'General inputs'!H53*I240/'General inputs'!G53</f>
        <v>1669650.5065515095</v>
      </c>
      <c r="I240" s="617">
        <f>INDEX('Fare optimisation'!$I$202:$M$207,MATCH(D240,'Fare optimisation'!$I$202:$I$207,0),MATCH(C240,'Fare optimisation'!$I$202:$M$202,0))*1000000</f>
        <v>7597833</v>
      </c>
      <c r="J240" s="194">
        <f t="shared" si="10"/>
        <v>9267483.5065515097</v>
      </c>
      <c r="L240" s="558">
        <f>I240*'General inputs'!G53/1000000</f>
        <v>19.91864327027027</v>
      </c>
      <c r="M240" s="559">
        <f>J240*'Fare optimisation'!I49/1000000</f>
        <v>9.5528408932658841</v>
      </c>
      <c r="O240" s="560">
        <f>I240*'Fare optimisation'!$I108/1000000</f>
        <v>19.797311501756688</v>
      </c>
      <c r="P240" s="561">
        <f>J240*'Fare optimisation'!$I108/1000000</f>
        <v>24.147840287696845</v>
      </c>
      <c r="R240" s="613">
        <f t="shared" si="11"/>
        <v>14.716331162944542</v>
      </c>
    </row>
    <row r="241" spans="3:18" x14ac:dyDescent="0.25">
      <c r="C241" s="586" t="str">
        <f>'Fare optimisation - matrices'!C48</f>
        <v>Light Rail</v>
      </c>
      <c r="D241" s="194">
        <f>'Fare optimisation - matrices'!D48</f>
        <v>5</v>
      </c>
      <c r="E241" s="201" t="str">
        <f>'Fare optimisation - matrices'!E48</f>
        <v>Peak</v>
      </c>
      <c r="F241" s="194">
        <f>'Fare optimisation - matrices'!F48</f>
        <v>26</v>
      </c>
      <c r="G241" s="183">
        <f>'Fare optimisation'!J50</f>
        <v>0.92076063153230736</v>
      </c>
      <c r="H241" s="194">
        <f>G241*'General inputs'!H54*I241/'General inputs'!G54</f>
        <v>-387333.49167343188</v>
      </c>
      <c r="I241" s="194">
        <f>INDEX('Fare optimisation'!$I$202:$M$207,MATCH(D241,'Fare optimisation'!$I$202:$I$207,0),MATCH(C241,'Fare optimisation'!$I$202:$M$202,0))*1000000</f>
        <v>4144083.9999999995</v>
      </c>
      <c r="J241" s="194">
        <f t="shared" si="10"/>
        <v>3756750.5083265677</v>
      </c>
      <c r="L241" s="558">
        <f>I241*'General inputs'!G54/1000000</f>
        <v>14.784299675675671</v>
      </c>
      <c r="M241" s="559">
        <f>J241*'Fare optimisation'!I50/1000000</f>
        <v>16.861529243504922</v>
      </c>
      <c r="O241" s="560">
        <f>I241*'Fare optimisation'!$I109/1000000</f>
        <v>24.490456998980385</v>
      </c>
      <c r="P241" s="561">
        <f>J241*'Fare optimisation'!$I109/1000000</f>
        <v>22.201416954885453</v>
      </c>
      <c r="R241" s="613">
        <f t="shared" si="11"/>
        <v>-4.3662696119241833</v>
      </c>
    </row>
    <row r="242" spans="3:18" x14ac:dyDescent="0.25">
      <c r="C242" s="586" t="str">
        <f>'Fare optimisation - matrices'!C49</f>
        <v>Light Rail</v>
      </c>
      <c r="D242" s="194">
        <f>'Fare optimisation - matrices'!D49</f>
        <v>15</v>
      </c>
      <c r="E242" s="201" t="str">
        <f>'Fare optimisation - matrices'!E49</f>
        <v>Peak</v>
      </c>
      <c r="F242" s="194">
        <f>'Fare optimisation - matrices'!F49</f>
        <v>27</v>
      </c>
      <c r="G242" s="183">
        <f>'Fare optimisation'!J51</f>
        <v>10.522823447560755</v>
      </c>
      <c r="H242" s="194">
        <f>G242*'General inputs'!H55*I242/'General inputs'!G55</f>
        <v>-645729.34883186407</v>
      </c>
      <c r="I242" s="194">
        <f>INDEX('Fare optimisation'!$I$202:$M$207,MATCH(D242,'Fare optimisation'!$I$202:$I$207,0),MATCH(C242,'Fare optimisation'!$I$202:$M$202,0))*1000000</f>
        <v>777018.00000000175</v>
      </c>
      <c r="J242" s="194">
        <f t="shared" si="10"/>
        <v>131288.65116813767</v>
      </c>
      <c r="L242" s="558">
        <f>I242*'General inputs'!G55/1000000</f>
        <v>3.5630825405405484</v>
      </c>
      <c r="M242" s="559">
        <f>J242*'Fare optimisation'!I51/1000000</f>
        <v>1.9835626432582902</v>
      </c>
      <c r="O242" s="560">
        <f>I242*'Fare optimisation'!$I110/1000000</f>
        <v>13.149757975174365</v>
      </c>
      <c r="P242" s="561">
        <f>J242*'Fare optimisation'!$I110/1000000</f>
        <v>2.2218455528032814</v>
      </c>
      <c r="R242" s="613">
        <f t="shared" si="11"/>
        <v>-9.3483925250888262</v>
      </c>
    </row>
    <row r="243" spans="3:18" ht="12" thickBot="1" x14ac:dyDescent="0.3">
      <c r="C243" s="586" t="str">
        <f>'Fare optimisation - matrices'!C50</f>
        <v>Light Rail</v>
      </c>
      <c r="D243" s="194">
        <f>'Fare optimisation - matrices'!D50</f>
        <v>25</v>
      </c>
      <c r="E243" s="201" t="str">
        <f>'Fare optimisation - matrices'!E50</f>
        <v>Peak</v>
      </c>
      <c r="F243" s="194">
        <f>'Fare optimisation - matrices'!F50</f>
        <v>28</v>
      </c>
      <c r="G243" s="183">
        <f>'Fare optimisation'!J52</f>
        <v>20.639340475230995</v>
      </c>
      <c r="H243" s="194">
        <f>G243*'General inputs'!H56*I243/'General inputs'!G56</f>
        <v>0</v>
      </c>
      <c r="I243" s="562">
        <f>INDEX('Fare optimisation'!$I$202:$M$207,MATCH(D243,'Fare optimisation'!$I$202:$I$207,0),MATCH(C243,'Fare optimisation'!$I$202:$M$202,0))*1000000</f>
        <v>0</v>
      </c>
      <c r="J243" s="194">
        <f t="shared" si="10"/>
        <v>0</v>
      </c>
      <c r="L243" s="558">
        <f>I243*'General inputs'!G56/1000000</f>
        <v>0</v>
      </c>
      <c r="M243" s="559">
        <f>J243*'Fare optimisation'!I52/1000000</f>
        <v>0</v>
      </c>
      <c r="O243" s="560">
        <f>I243*'Fare optimisation'!$I111/1000000</f>
        <v>0</v>
      </c>
      <c r="P243" s="561">
        <f>J243*'Fare optimisation'!$I111/1000000</f>
        <v>0</v>
      </c>
      <c r="R243" s="613">
        <f t="shared" si="11"/>
        <v>0</v>
      </c>
    </row>
    <row r="244" spans="3:18" ht="12" thickTop="1" x14ac:dyDescent="0.25">
      <c r="C244" s="586" t="str">
        <f>'Fare optimisation - matrices'!C51</f>
        <v>Light Rail</v>
      </c>
      <c r="D244" s="194">
        <f>'Fare optimisation - matrices'!D51</f>
        <v>2</v>
      </c>
      <c r="E244" s="201" t="str">
        <f>'Fare optimisation - matrices'!E51</f>
        <v>Off-peak</v>
      </c>
      <c r="F244" s="194">
        <f>'Fare optimisation - matrices'!F51</f>
        <v>29</v>
      </c>
      <c r="G244" s="183">
        <f>'Fare optimisation'!J53</f>
        <v>-1.2176429516460905</v>
      </c>
      <c r="H244" s="194">
        <f>G244*'General inputs'!H57*I244/'General inputs'!G57</f>
        <v>2157567.9898258736</v>
      </c>
      <c r="I244" s="617">
        <f>INDEX('Fare optimisation'!$P$202:$T$207,MATCH(D244,'Fare optimisation'!$P$202:$P$207,0),MATCH(C244,'Fare optimisation'!$P$202:$T$202,0))*1000000</f>
        <v>7225550</v>
      </c>
      <c r="J244" s="194">
        <f t="shared" si="10"/>
        <v>9383117.9898258746</v>
      </c>
      <c r="L244" s="558">
        <f>I244*'General inputs'!G57/1000000</f>
        <v>13.259860675675673</v>
      </c>
      <c r="M244" s="559">
        <f>J244*'Fare optimisation'!I53/1000000</f>
        <v>5.7940020154729099</v>
      </c>
      <c r="O244" s="560">
        <f>I244*'Fare optimisation'!$I112/1000000</f>
        <v>9.3779827839561687</v>
      </c>
      <c r="P244" s="561">
        <f>J244*'Fare optimisation'!$I112/1000000</f>
        <v>12.178272791471441</v>
      </c>
      <c r="R244" s="613">
        <f t="shared" si="11"/>
        <v>10.266148667718035</v>
      </c>
    </row>
    <row r="245" spans="3:18" x14ac:dyDescent="0.25">
      <c r="C245" s="586" t="str">
        <f>'Fare optimisation - matrices'!C52</f>
        <v>Light Rail</v>
      </c>
      <c r="D245" s="194">
        <f>'Fare optimisation - matrices'!D52</f>
        <v>5</v>
      </c>
      <c r="E245" s="201" t="str">
        <f>'Fare optimisation - matrices'!E52</f>
        <v>Off-peak</v>
      </c>
      <c r="F245" s="194">
        <f>'Fare optimisation - matrices'!F52</f>
        <v>30</v>
      </c>
      <c r="G245" s="183">
        <f>'Fare optimisation'!J54</f>
        <v>7.3078760128839182E-2</v>
      </c>
      <c r="H245" s="194">
        <f>G245*'General inputs'!H58*I245/'General inputs'!G58</f>
        <v>-38641.377742453376</v>
      </c>
      <c r="I245" s="194">
        <f>INDEX('Fare optimisation'!$P$202:$T$207,MATCH(D245,'Fare optimisation'!$P$202:$P$207,0),MATCH(C245,'Fare optimisation'!$P$202:$T$202,0))*1000000</f>
        <v>2934201.9999999991</v>
      </c>
      <c r="J245" s="194">
        <f t="shared" si="10"/>
        <v>2895560.6222575456</v>
      </c>
      <c r="L245" s="558">
        <f>I245*'General inputs'!G58/1000000</f>
        <v>7.3275747243243217</v>
      </c>
      <c r="M245" s="559">
        <f>J245*'Fare optimisation'!I54/1000000</f>
        <v>7.4426796962767199</v>
      </c>
      <c r="O245" s="560">
        <f>I245*'Fare optimisation'!$I113/1000000</f>
        <v>9.5206924873019183</v>
      </c>
      <c r="P245" s="561">
        <f>J245*'Fare optimisation'!$I113/1000000</f>
        <v>9.39531165981575</v>
      </c>
      <c r="R245" s="613">
        <f t="shared" si="11"/>
        <v>-0.24048579943856652</v>
      </c>
    </row>
    <row r="246" spans="3:18" x14ac:dyDescent="0.25">
      <c r="C246" s="586" t="str">
        <f>'Fare optimisation - matrices'!C53</f>
        <v>Light Rail</v>
      </c>
      <c r="D246" s="194">
        <f>'Fare optimisation - matrices'!D53</f>
        <v>15</v>
      </c>
      <c r="E246" s="201" t="str">
        <f>'Fare optimisation - matrices'!E53</f>
        <v>Off-peak</v>
      </c>
      <c r="F246" s="194">
        <f>'Fare optimisation - matrices'!F53</f>
        <v>31</v>
      </c>
      <c r="G246" s="183">
        <f>'Fare optimisation'!J55</f>
        <v>5.3231355323388208</v>
      </c>
      <c r="H246" s="194">
        <f>G246*'General inputs'!H59*I246/'General inputs'!G59</f>
        <v>-392827.3383895696</v>
      </c>
      <c r="I246" s="194">
        <f>INDEX('Fare optimisation'!$P$202:$T$207,MATCH(D246,'Fare optimisation'!$P$202:$P$207,0),MATCH(C246,'Fare optimisation'!$P$202:$T$202,0))*1000000</f>
        <v>526362.99999999988</v>
      </c>
      <c r="J246" s="194">
        <f t="shared" si="10"/>
        <v>133535.66161043028</v>
      </c>
      <c r="L246" s="558">
        <f>I246*'General inputs'!G59/1000000</f>
        <v>1.6895778099099092</v>
      </c>
      <c r="M246" s="559">
        <f>J246*'Fare optimisation'!I55/1000000</f>
        <v>1.1394658686825507</v>
      </c>
      <c r="O246" s="560">
        <f>I246*'Fare optimisation'!$I114/1000000</f>
        <v>5.1237170375731118</v>
      </c>
      <c r="P246" s="561">
        <f>J246*'Fare optimisation'!$I114/1000000</f>
        <v>1.2998613970149111</v>
      </c>
      <c r="R246" s="613">
        <f t="shared" si="11"/>
        <v>-3.2737436993308422</v>
      </c>
    </row>
    <row r="247" spans="3:18" x14ac:dyDescent="0.25">
      <c r="C247" s="586" t="str">
        <f>'Fare optimisation - matrices'!C54</f>
        <v>Light Rail</v>
      </c>
      <c r="D247" s="194">
        <f>'Fare optimisation - matrices'!D54</f>
        <v>25</v>
      </c>
      <c r="E247" s="201" t="str">
        <f>'Fare optimisation - matrices'!E54</f>
        <v>Off-peak</v>
      </c>
      <c r="F247" s="194">
        <f>'Fare optimisation - matrices'!F54</f>
        <v>32</v>
      </c>
      <c r="G247" s="183">
        <f>'Fare optimisation'!J56</f>
        <v>10.946117887595317</v>
      </c>
      <c r="H247" s="194">
        <f>G247*'General inputs'!H60*I247/'General inputs'!G60</f>
        <v>0</v>
      </c>
      <c r="I247" s="194">
        <f>INDEX('Fare optimisation'!$P$202:$T$207,MATCH(D247,'Fare optimisation'!$P$202:$P$207,0),MATCH(C247,'Fare optimisation'!$P$202:$T$202,0))*1000000</f>
        <v>0</v>
      </c>
      <c r="J247" s="194">
        <f t="shared" si="10"/>
        <v>0</v>
      </c>
      <c r="L247" s="558">
        <f>I247*'General inputs'!G60/1000000</f>
        <v>0</v>
      </c>
      <c r="M247" s="559">
        <f>J247*'Fare optimisation'!I56/1000000</f>
        <v>0</v>
      </c>
      <c r="O247" s="560">
        <f>I247*'Fare optimisation'!$I115/1000000</f>
        <v>0</v>
      </c>
      <c r="P247" s="561">
        <f>J247*'Fare optimisation'!$I115/1000000</f>
        <v>0</v>
      </c>
      <c r="R247" s="613">
        <f t="shared" si="11"/>
        <v>0</v>
      </c>
    </row>
    <row r="248" spans="3:18" x14ac:dyDescent="0.25">
      <c r="C248" s="586"/>
      <c r="D248" s="164"/>
      <c r="E248" s="164"/>
      <c r="L248" s="49"/>
      <c r="M248" s="49"/>
      <c r="O248" s="49"/>
      <c r="P248" s="49"/>
      <c r="R248" s="195"/>
    </row>
    <row r="249" spans="3:18" x14ac:dyDescent="0.25">
      <c r="C249" s="586"/>
      <c r="D249" s="164"/>
      <c r="E249" s="164"/>
      <c r="L249" s="49"/>
      <c r="M249" s="49"/>
      <c r="O249" s="49"/>
      <c r="P249" s="49"/>
      <c r="R249" s="195"/>
    </row>
    <row r="250" spans="3:18" x14ac:dyDescent="0.25">
      <c r="C250" s="586" t="s">
        <v>219</v>
      </c>
      <c r="D250" s="164"/>
      <c r="E250" s="164"/>
      <c r="I250" s="194">
        <f>SUM(I216:I223)</f>
        <v>153465112.00000003</v>
      </c>
      <c r="J250" s="194">
        <f>SUM(J216:J223)</f>
        <v>141082162.95874116</v>
      </c>
      <c r="L250" s="372">
        <f>SUM(L216:L223)</f>
        <v>571.24449162522524</v>
      </c>
      <c r="M250" s="372">
        <f>SUM(M216:M223)</f>
        <v>607.36929534079036</v>
      </c>
      <c r="O250" s="372">
        <f>SUM(O216:O223)</f>
        <v>1008.8500554943929</v>
      </c>
      <c r="P250" s="372">
        <f>SUM(P216:P223)</f>
        <v>837.4843676016186</v>
      </c>
      <c r="R250" s="235">
        <f>SUM(R216:R223)</f>
        <v>-207.49049160833945</v>
      </c>
    </row>
    <row r="251" spans="3:18" x14ac:dyDescent="0.25">
      <c r="C251" s="191" t="s">
        <v>220</v>
      </c>
      <c r="I251" s="194">
        <f>SUM(I224:I231)</f>
        <v>154564770</v>
      </c>
      <c r="J251" s="194">
        <f>SUM(J224:J231)</f>
        <v>126160279.25214438</v>
      </c>
      <c r="L251" s="372">
        <f>SUM(L224:L231)</f>
        <v>450.86869034414417</v>
      </c>
      <c r="M251" s="372">
        <f>SUM(M224:M231)</f>
        <v>285.89042475264307</v>
      </c>
      <c r="O251" s="372">
        <f>SUM(O224:O231)</f>
        <v>952.60929823896458</v>
      </c>
      <c r="P251" s="372">
        <f>SUM(P224:P231)</f>
        <v>407.82863307305212</v>
      </c>
      <c r="R251" s="235">
        <f>SUM(R224:R231)</f>
        <v>-379.80239957441131</v>
      </c>
    </row>
    <row r="252" spans="3:18" x14ac:dyDescent="0.25">
      <c r="C252" s="191" t="s">
        <v>221</v>
      </c>
      <c r="I252" s="194">
        <f>SUM(I232:I239)</f>
        <v>8595205.9999999981</v>
      </c>
      <c r="J252" s="194">
        <f>SUM(J232:J239)</f>
        <v>5196296.4592232788</v>
      </c>
      <c r="L252" s="372">
        <f>SUM(L232:L239)</f>
        <v>56.078892549549543</v>
      </c>
      <c r="M252" s="372">
        <f>SUM(M232:M239)</f>
        <v>25.87766576330257</v>
      </c>
      <c r="O252" s="372">
        <f>SUM(O232:O239)</f>
        <v>117.54842728596537</v>
      </c>
      <c r="P252" s="372">
        <f>SUM(P232:P239)</f>
        <v>29.106282221090996</v>
      </c>
      <c r="R252" s="235">
        <f>SUM(R232:R239)</f>
        <v>-58.240918278627426</v>
      </c>
    </row>
    <row r="253" spans="3:18" x14ac:dyDescent="0.25">
      <c r="C253" s="586" t="s">
        <v>222</v>
      </c>
      <c r="I253" s="194">
        <f>SUM(I240:I247)</f>
        <v>23205050</v>
      </c>
      <c r="J253" s="194">
        <f>SUM(J240:J247)</f>
        <v>25567736.939740069</v>
      </c>
      <c r="L253" s="372">
        <f>SUM(L240:L247)</f>
        <v>60.543038696396394</v>
      </c>
      <c r="M253" s="372">
        <f>SUM(M240:M247)</f>
        <v>42.774080360461276</v>
      </c>
      <c r="O253" s="372">
        <f>SUM(O240:O247)</f>
        <v>81.459918784742641</v>
      </c>
      <c r="P253" s="372">
        <f>SUM(P240:P247)</f>
        <v>71.444548643687682</v>
      </c>
      <c r="R253" s="235">
        <f>SUM(R240:R247)</f>
        <v>7.7535881948801588</v>
      </c>
    </row>
    <row r="254" spans="3:18" x14ac:dyDescent="0.25">
      <c r="C254" s="586" t="s">
        <v>223</v>
      </c>
      <c r="I254" s="194">
        <f>SUM(I250:I253)</f>
        <v>339830138</v>
      </c>
      <c r="J254" s="194">
        <f>SUM(J250:J253)</f>
        <v>298006475.60984886</v>
      </c>
      <c r="L254" s="372">
        <f>SUM(L250:L253)</f>
        <v>1138.7351132153153</v>
      </c>
      <c r="M254" s="372">
        <f>SUM(M250:M253)</f>
        <v>961.91146621719736</v>
      </c>
      <c r="O254" s="372">
        <f>SUM(O250:O253)</f>
        <v>2160.4676998040654</v>
      </c>
      <c r="P254" s="372">
        <f>SUM(P250:P253)</f>
        <v>1345.8638315394496</v>
      </c>
      <c r="R254" s="235">
        <f>SUM(R250:R253)</f>
        <v>-637.78022126649796</v>
      </c>
    </row>
    <row r="255" spans="3:18" x14ac:dyDescent="0.25">
      <c r="C255" s="196"/>
      <c r="D255" s="197"/>
      <c r="E255" s="197"/>
      <c r="F255" s="197"/>
      <c r="G255" s="197"/>
      <c r="H255" s="197"/>
      <c r="I255" s="197"/>
      <c r="J255" s="197"/>
      <c r="K255" s="197"/>
      <c r="L255" s="197"/>
      <c r="M255" s="197"/>
      <c r="N255" s="197"/>
      <c r="O255" s="197"/>
      <c r="P255" s="197"/>
      <c r="Q255" s="197"/>
      <c r="R255" s="1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0407-0E48-4750-9634-B7F0D61849DC}">
  <sheetPr codeName="Sheet8"/>
  <dimension ref="A1:AM261"/>
  <sheetViews>
    <sheetView showGridLines="0" zoomScaleNormal="100" workbookViewId="0"/>
  </sheetViews>
  <sheetFormatPr defaultRowHeight="11.5" x14ac:dyDescent="0.25"/>
  <cols>
    <col min="1" max="2" width="3.69921875" customWidth="1"/>
    <col min="5" max="5" width="11.3984375" bestFit="1" customWidth="1"/>
    <col min="6" max="7" width="6.3984375" bestFit="1" customWidth="1"/>
    <col min="8" max="39" width="8.69921875" customWidth="1"/>
  </cols>
  <sheetData>
    <row r="1" spans="1:12" x14ac:dyDescent="0.25">
      <c r="A1" s="1"/>
      <c r="C1" s="42" t="str">
        <f>'Fare optimisation'!$C$1</f>
        <v>Fare Optimisation Model for the 2025 Opal Review - Independent Pricing and Regulatory Tribunal of NSW</v>
      </c>
    </row>
    <row r="4" spans="1:12" ht="23" x14ac:dyDescent="0.5">
      <c r="C4" s="184" t="s">
        <v>1330</v>
      </c>
    </row>
    <row r="7" spans="1:12" x14ac:dyDescent="0.25">
      <c r="C7" s="209" t="s">
        <v>225</v>
      </c>
      <c r="D7" s="209"/>
      <c r="E7" s="209"/>
      <c r="F7" s="209"/>
      <c r="G7" s="209"/>
      <c r="H7" s="209"/>
      <c r="I7" s="209"/>
      <c r="J7" s="209"/>
      <c r="K7" s="197"/>
      <c r="L7" s="234" t="s">
        <v>226</v>
      </c>
    </row>
    <row r="8" spans="1:12" x14ac:dyDescent="0.25">
      <c r="B8" s="186">
        <v>1</v>
      </c>
      <c r="C8" s="187" t="str">
        <f>"Table "&amp;B8&amp;" - Matrix Z (mode i by mode j)"</f>
        <v>Table 1 - Matrix Z (mode i by mode j)</v>
      </c>
      <c r="D8" s="187"/>
      <c r="E8" s="187"/>
      <c r="F8" s="187"/>
      <c r="G8" s="187"/>
      <c r="H8" s="187"/>
      <c r="I8" s="187"/>
      <c r="J8" s="187"/>
      <c r="K8" s="189"/>
      <c r="L8" s="187">
        <f>ROW(C17)</f>
        <v>17</v>
      </c>
    </row>
    <row r="9" spans="1:12" x14ac:dyDescent="0.25">
      <c r="B9" s="267">
        <f>B8+1</f>
        <v>2</v>
      </c>
      <c r="C9" s="11" t="str">
        <f>"Table "&amp;B9&amp;" - Matrix transpose Z (mode j by mode i)"</f>
        <v>Table 2 - Matrix transpose Z (mode j by mode i)</v>
      </c>
      <c r="D9" s="11"/>
      <c r="E9" s="11"/>
      <c r="F9" s="11"/>
      <c r="G9" s="11"/>
      <c r="H9" s="11"/>
      <c r="I9" s="11"/>
      <c r="J9" s="11"/>
      <c r="L9" s="11">
        <f>ROW(C65)</f>
        <v>65</v>
      </c>
    </row>
    <row r="10" spans="1:12" x14ac:dyDescent="0.25">
      <c r="B10" s="267">
        <f>B9+1</f>
        <v>3</v>
      </c>
      <c r="C10" s="11" t="str">
        <f>"Table "&amp;B10&amp;" - Matrix A (mode i by mode j)"</f>
        <v>Table 3 - Matrix A (mode i by mode j)</v>
      </c>
      <c r="D10" s="11"/>
      <c r="E10" s="11"/>
      <c r="F10" s="11"/>
      <c r="G10" s="11"/>
      <c r="H10" s="11"/>
      <c r="I10" s="11"/>
      <c r="J10" s="11"/>
      <c r="L10" s="11">
        <f>ROW(C105)</f>
        <v>105</v>
      </c>
    </row>
    <row r="11" spans="1:12" x14ac:dyDescent="0.25">
      <c r="B11" s="267">
        <f>B10+1</f>
        <v>4</v>
      </c>
      <c r="C11" s="11" t="str">
        <f>"Table "&amp;B11&amp;" - Matrix inverse A (mode i by mode j)"</f>
        <v>Table 4 - Matrix inverse A (mode i by mode j)</v>
      </c>
      <c r="D11" s="11"/>
      <c r="E11" s="11"/>
      <c r="F11" s="11"/>
      <c r="G11" s="11"/>
      <c r="H11" s="11"/>
      <c r="I11" s="11"/>
      <c r="J11" s="11"/>
      <c r="L11" s="11">
        <f>ROW(C145)</f>
        <v>145</v>
      </c>
    </row>
    <row r="12" spans="1:12" x14ac:dyDescent="0.25">
      <c r="B12" s="267">
        <f>B11+1</f>
        <v>5</v>
      </c>
      <c r="C12" s="11" t="str">
        <f>"Table "&amp;B12&amp;" - Matrix V (mode i by mode j)"</f>
        <v>Table 5 - Matrix V (mode i by mode j)</v>
      </c>
      <c r="D12" s="11"/>
      <c r="E12" s="11"/>
      <c r="F12" s="11"/>
      <c r="G12" s="11"/>
      <c r="H12" s="11"/>
      <c r="I12" s="11"/>
      <c r="J12" s="11"/>
      <c r="L12" s="11">
        <f>ROW(C185)</f>
        <v>185</v>
      </c>
    </row>
    <row r="13" spans="1:12" x14ac:dyDescent="0.25">
      <c r="B13" s="267">
        <f>B12+1</f>
        <v>6</v>
      </c>
      <c r="C13" s="209" t="str">
        <f>"Table "&amp;B13&amp;" - Array for RHS calculations (on diagonal = 0, off diagonal = 1 (mode i by mode j)"</f>
        <v>Table 6 - Array for RHS calculations (on diagonal = 0, off diagonal = 1 (mode i by mode j)</v>
      </c>
      <c r="D13" s="209"/>
      <c r="E13" s="209"/>
      <c r="F13" s="209"/>
      <c r="G13" s="209"/>
      <c r="H13" s="209"/>
      <c r="I13" s="209"/>
      <c r="J13" s="209"/>
      <c r="K13" s="197"/>
      <c r="L13" s="209">
        <f>ROW(C225)</f>
        <v>225</v>
      </c>
    </row>
    <row r="14" spans="1:12" x14ac:dyDescent="0.25">
      <c r="B14" s="267"/>
      <c r="C14" s="11"/>
      <c r="D14" s="11"/>
      <c r="E14" s="11"/>
      <c r="F14" s="11"/>
      <c r="G14" s="11"/>
      <c r="H14" s="11"/>
      <c r="I14" s="11"/>
      <c r="J14" s="11"/>
      <c r="L14" s="11"/>
    </row>
    <row r="15" spans="1:12" x14ac:dyDescent="0.25">
      <c r="B15" s="186"/>
      <c r="C15" s="11"/>
      <c r="D15" s="11"/>
      <c r="E15" s="11"/>
      <c r="F15" s="11"/>
      <c r="G15" s="11"/>
      <c r="H15" s="11"/>
      <c r="I15" s="11"/>
      <c r="J15" s="11"/>
      <c r="L15" s="11"/>
    </row>
    <row r="16" spans="1:12" x14ac:dyDescent="0.25">
      <c r="B16" s="186"/>
      <c r="C16" s="11"/>
      <c r="D16" s="11"/>
      <c r="E16" s="11"/>
      <c r="F16" s="11"/>
      <c r="G16" s="11"/>
      <c r="H16" s="11"/>
      <c r="I16" s="11"/>
      <c r="J16" s="11"/>
      <c r="L16" s="11"/>
    </row>
    <row r="17" spans="3:39" ht="18.5" x14ac:dyDescent="0.45">
      <c r="C17" s="43" t="str">
        <f>C8&amp;":"</f>
        <v>Table 1 - Matrix Z (mode i by mode j):</v>
      </c>
      <c r="H17" s="236" t="s">
        <v>236</v>
      </c>
    </row>
    <row r="18" spans="3:39" x14ac:dyDescent="0.25">
      <c r="C18" s="237" t="s">
        <v>173</v>
      </c>
      <c r="D18" s="189"/>
      <c r="E18" s="189"/>
      <c r="F18" s="189"/>
      <c r="G18" s="238"/>
      <c r="H18" s="239" t="str">
        <f t="array" ref="H18:AM20">TRANSPOSE(C23:E54)</f>
        <v>Rail</v>
      </c>
      <c r="I18" s="239" t="str">
        <v>Rail</v>
      </c>
      <c r="J18" s="239" t="str">
        <v>Rail</v>
      </c>
      <c r="K18" s="239" t="str">
        <v>Rail</v>
      </c>
      <c r="L18" s="239" t="str">
        <v>Rail</v>
      </c>
      <c r="M18" s="239" t="str">
        <v>Rail</v>
      </c>
      <c r="N18" s="239" t="str">
        <v>Rail</v>
      </c>
      <c r="O18" s="239" t="str">
        <v>Rail</v>
      </c>
      <c r="P18" s="239" t="str">
        <v>Bus</v>
      </c>
      <c r="Q18" s="239" t="str">
        <v>Bus</v>
      </c>
      <c r="R18" s="239" t="str">
        <v>Bus</v>
      </c>
      <c r="S18" s="239" t="str">
        <v>Bus</v>
      </c>
      <c r="T18" s="239" t="str">
        <v>Bus</v>
      </c>
      <c r="U18" s="239" t="str">
        <v>Bus</v>
      </c>
      <c r="V18" s="239" t="str">
        <v>Bus</v>
      </c>
      <c r="W18" s="239" t="str">
        <v>Bus</v>
      </c>
      <c r="X18" s="239" t="str">
        <v>Ferry</v>
      </c>
      <c r="Y18" s="239" t="str">
        <v>Ferry</v>
      </c>
      <c r="Z18" s="239" t="str">
        <v>Ferry</v>
      </c>
      <c r="AA18" s="239" t="str">
        <v>Ferry</v>
      </c>
      <c r="AB18" s="239" t="str">
        <v>Ferry</v>
      </c>
      <c r="AC18" s="239" t="str">
        <v>Ferry</v>
      </c>
      <c r="AD18" s="239" t="str">
        <v>Ferry</v>
      </c>
      <c r="AE18" s="239" t="str">
        <v>Ferry</v>
      </c>
      <c r="AF18" s="239" t="str">
        <v>Light Rail</v>
      </c>
      <c r="AG18" s="239" t="str">
        <v>Light Rail</v>
      </c>
      <c r="AH18" s="239" t="str">
        <v>Light Rail</v>
      </c>
      <c r="AI18" s="239" t="str">
        <v>Light Rail</v>
      </c>
      <c r="AJ18" s="239" t="str">
        <v>Light Rail</v>
      </c>
      <c r="AK18" s="239" t="str">
        <v>Light Rail</v>
      </c>
      <c r="AL18" s="239" t="str">
        <v>Light Rail</v>
      </c>
      <c r="AM18" s="240" t="str">
        <v>Light Rail</v>
      </c>
    </row>
    <row r="19" spans="3:39" x14ac:dyDescent="0.25">
      <c r="C19" s="191"/>
      <c r="D19" s="178" t="s">
        <v>201</v>
      </c>
      <c r="E19" s="175"/>
      <c r="F19" s="175"/>
      <c r="G19" s="176"/>
      <c r="H19" s="170">
        <v>2</v>
      </c>
      <c r="I19" s="170">
        <v>5</v>
      </c>
      <c r="J19" s="170">
        <v>15</v>
      </c>
      <c r="K19" s="170">
        <v>25</v>
      </c>
      <c r="L19" s="170">
        <v>2</v>
      </c>
      <c r="M19" s="170">
        <v>5</v>
      </c>
      <c r="N19" s="170">
        <v>15</v>
      </c>
      <c r="O19" s="170">
        <v>25</v>
      </c>
      <c r="P19" s="170">
        <v>2</v>
      </c>
      <c r="Q19" s="170">
        <v>5</v>
      </c>
      <c r="R19" s="170">
        <v>15</v>
      </c>
      <c r="S19" s="170">
        <v>25</v>
      </c>
      <c r="T19" s="170">
        <v>2</v>
      </c>
      <c r="U19" s="170">
        <v>5</v>
      </c>
      <c r="V19" s="170">
        <v>15</v>
      </c>
      <c r="W19" s="170">
        <v>25</v>
      </c>
      <c r="X19" s="170">
        <v>2</v>
      </c>
      <c r="Y19" s="170">
        <v>5</v>
      </c>
      <c r="Z19" s="170">
        <v>15</v>
      </c>
      <c r="AA19" s="170">
        <v>25</v>
      </c>
      <c r="AB19" s="170">
        <v>2</v>
      </c>
      <c r="AC19" s="170">
        <v>5</v>
      </c>
      <c r="AD19" s="170">
        <v>15</v>
      </c>
      <c r="AE19" s="170">
        <v>25</v>
      </c>
      <c r="AF19" s="170">
        <v>2</v>
      </c>
      <c r="AG19" s="170">
        <v>5</v>
      </c>
      <c r="AH19" s="170">
        <v>15</v>
      </c>
      <c r="AI19" s="170">
        <v>25</v>
      </c>
      <c r="AJ19" s="170">
        <v>2</v>
      </c>
      <c r="AK19" s="170">
        <v>5</v>
      </c>
      <c r="AL19" s="170">
        <v>15</v>
      </c>
      <c r="AM19" s="241">
        <v>25</v>
      </c>
    </row>
    <row r="20" spans="3:39" x14ac:dyDescent="0.25">
      <c r="C20" s="191"/>
      <c r="D20" s="177"/>
      <c r="E20" s="178" t="s">
        <v>175</v>
      </c>
      <c r="F20" s="180"/>
      <c r="G20" s="176"/>
      <c r="H20" s="171" t="str">
        <v>Peak</v>
      </c>
      <c r="I20" s="171" t="str">
        <v>Peak</v>
      </c>
      <c r="J20" s="171" t="str">
        <v>Peak</v>
      </c>
      <c r="K20" s="171" t="str">
        <v>Peak</v>
      </c>
      <c r="L20" s="171" t="str">
        <v>Off-peak</v>
      </c>
      <c r="M20" s="171" t="str">
        <v>Off-peak</v>
      </c>
      <c r="N20" s="171" t="str">
        <v>Off-peak</v>
      </c>
      <c r="O20" s="171" t="str">
        <v>Off-peak</v>
      </c>
      <c r="P20" s="171" t="str">
        <v>Peak</v>
      </c>
      <c r="Q20" s="171" t="str">
        <v>Peak</v>
      </c>
      <c r="R20" s="171" t="str">
        <v>Peak</v>
      </c>
      <c r="S20" s="171" t="str">
        <v>Peak</v>
      </c>
      <c r="T20" s="171" t="str">
        <v>Off-peak</v>
      </c>
      <c r="U20" s="171" t="str">
        <v>Off-peak</v>
      </c>
      <c r="V20" s="171" t="str">
        <v>Off-peak</v>
      </c>
      <c r="W20" s="171" t="str">
        <v>Off-peak</v>
      </c>
      <c r="X20" s="171" t="str">
        <v>Peak</v>
      </c>
      <c r="Y20" s="171" t="str">
        <v>Peak</v>
      </c>
      <c r="Z20" s="171" t="str">
        <v>Peak</v>
      </c>
      <c r="AA20" s="171" t="str">
        <v>Peak</v>
      </c>
      <c r="AB20" s="171" t="str">
        <v>Off-peak</v>
      </c>
      <c r="AC20" s="171" t="str">
        <v>Off-peak</v>
      </c>
      <c r="AD20" s="171" t="str">
        <v>Off-peak</v>
      </c>
      <c r="AE20" s="171" t="str">
        <v>Off-peak</v>
      </c>
      <c r="AF20" s="171" t="str">
        <v>Peak</v>
      </c>
      <c r="AG20" s="171" t="str">
        <v>Peak</v>
      </c>
      <c r="AH20" s="171" t="str">
        <v>Peak</v>
      </c>
      <c r="AI20" s="171" t="str">
        <v>Peak</v>
      </c>
      <c r="AJ20" s="171" t="str">
        <v>Off-peak</v>
      </c>
      <c r="AK20" s="171" t="str">
        <v>Off-peak</v>
      </c>
      <c r="AL20" s="171" t="str">
        <v>Off-peak</v>
      </c>
      <c r="AM20" s="242" t="str">
        <v>Off-peak</v>
      </c>
    </row>
    <row r="21" spans="3:39" x14ac:dyDescent="0.25">
      <c r="C21" s="191"/>
      <c r="D21" s="177"/>
      <c r="E21" s="181"/>
      <c r="F21" s="182"/>
      <c r="G21" s="176" t="s">
        <v>199</v>
      </c>
      <c r="H21" s="171">
        <f t="array" ref="H21:AM21">TRANSPOSE(F23:F54)</f>
        <v>1</v>
      </c>
      <c r="I21" s="171">
        <v>2</v>
      </c>
      <c r="J21" s="171">
        <v>3</v>
      </c>
      <c r="K21" s="171">
        <v>4</v>
      </c>
      <c r="L21" s="171">
        <v>5</v>
      </c>
      <c r="M21" s="171">
        <v>6</v>
      </c>
      <c r="N21" s="171">
        <v>7</v>
      </c>
      <c r="O21" s="171">
        <v>8</v>
      </c>
      <c r="P21" s="171">
        <v>9</v>
      </c>
      <c r="Q21" s="171">
        <v>10</v>
      </c>
      <c r="R21" s="171">
        <v>11</v>
      </c>
      <c r="S21" s="171">
        <v>12</v>
      </c>
      <c r="T21" s="171">
        <v>13</v>
      </c>
      <c r="U21" s="171">
        <v>14</v>
      </c>
      <c r="V21" s="171">
        <v>15</v>
      </c>
      <c r="W21" s="171">
        <v>16</v>
      </c>
      <c r="X21" s="171">
        <v>17</v>
      </c>
      <c r="Y21" s="171">
        <v>18</v>
      </c>
      <c r="Z21" s="171">
        <v>19</v>
      </c>
      <c r="AA21" s="171">
        <v>20</v>
      </c>
      <c r="AB21" s="171">
        <v>21</v>
      </c>
      <c r="AC21" s="171">
        <v>22</v>
      </c>
      <c r="AD21" s="171">
        <v>23</v>
      </c>
      <c r="AE21" s="171">
        <v>24</v>
      </c>
      <c r="AF21" s="171">
        <v>25</v>
      </c>
      <c r="AG21" s="171">
        <v>26</v>
      </c>
      <c r="AH21" s="171">
        <v>27</v>
      </c>
      <c r="AI21" s="171">
        <v>28</v>
      </c>
      <c r="AJ21" s="171">
        <v>29</v>
      </c>
      <c r="AK21" s="171">
        <v>30</v>
      </c>
      <c r="AL21" s="171">
        <v>31</v>
      </c>
      <c r="AM21" s="242">
        <v>32</v>
      </c>
    </row>
    <row r="22" spans="3:39" x14ac:dyDescent="0.25">
      <c r="C22" s="243"/>
      <c r="D22" s="177"/>
      <c r="E22" s="177"/>
      <c r="F22" s="179" t="s">
        <v>200</v>
      </c>
      <c r="G22" s="174"/>
      <c r="AM22" s="195"/>
    </row>
    <row r="23" spans="3:39" x14ac:dyDescent="0.25">
      <c r="C23" s="244" t="str">
        <f>'Fare optimisation'!C84</f>
        <v>Rail</v>
      </c>
      <c r="D23" s="173">
        <f>'Fare optimisation'!D84</f>
        <v>2</v>
      </c>
      <c r="E23" s="172" t="str">
        <f>'Fare optimisation'!E84</f>
        <v>Peak</v>
      </c>
      <c r="F23" s="173">
        <f>'General inputs'!C29</f>
        <v>1</v>
      </c>
      <c r="H23" s="169">
        <f>INDEX('MEC - public transport &amp; cars'!$E$296:$H$300,MATCH($C23,'MEC - public transport &amp; cars'!$C$296:$C$300,0),MATCH(H$18,'MEC - public transport &amp; cars'!$E$294:$H$294,0))*IF($E23=H$20,'General inputs'!$F$85,IF($C23=H$18,'General inputs'!$F$86,0))*IF($D23=H$19,1,0)</f>
        <v>1</v>
      </c>
      <c r="I23" s="169">
        <f>INDEX('MEC - public transport &amp; cars'!$E$296:$H$300,MATCH($C23,'MEC - public transport &amp; cars'!$C$296:$C$300,0),MATCH(I$18,'MEC - public transport &amp; cars'!$E$294:$H$294,0))*IF($E23=I$20,'General inputs'!$F$85,IF($C23=I$18,'General inputs'!$F$86,0))*IF($D23=I$19,1,0)</f>
        <v>0</v>
      </c>
      <c r="J23" s="169">
        <f>INDEX('MEC - public transport &amp; cars'!$E$296:$H$300,MATCH($C23,'MEC - public transport &amp; cars'!$C$296:$C$300,0),MATCH(J$18,'MEC - public transport &amp; cars'!$E$294:$H$294,0))*IF($E23=J$20,'General inputs'!$F$85,IF($C23=J$18,'General inputs'!$F$86,0))*IF($D23=J$19,1,0)</f>
        <v>0</v>
      </c>
      <c r="K23" s="169">
        <f>INDEX('MEC - public transport &amp; cars'!$E$296:$H$300,MATCH($C23,'MEC - public transport &amp; cars'!$C$296:$C$300,0),MATCH(K$18,'MEC - public transport &amp; cars'!$E$294:$H$294,0))*IF($E23=K$20,'General inputs'!$F$85,IF($C23=K$18,'General inputs'!$F$86,0))*IF($D23=K$19,1,0)</f>
        <v>0</v>
      </c>
      <c r="L23" s="169">
        <f>INDEX('MEC - public transport &amp; cars'!$E$296:$H$300,MATCH($C23,'MEC - public transport &amp; cars'!$C$296:$C$300,0),MATCH(L$18,'MEC - public transport &amp; cars'!$E$294:$H$294,0))*IF($E23=L$20,'General inputs'!$F$85,IF($C23=L$18,'General inputs'!$F$86,0))*IF($D23=L$19,1,0)</f>
        <v>-0.1</v>
      </c>
      <c r="M23" s="169">
        <f>INDEX('MEC - public transport &amp; cars'!$E$296:$H$300,MATCH($C23,'MEC - public transport &amp; cars'!$C$296:$C$300,0),MATCH(M$18,'MEC - public transport &amp; cars'!$E$294:$H$294,0))*IF($E23=M$20,'General inputs'!$F$85,IF($C23=M$18,'General inputs'!$F$86,0))*IF($D23=M$19,1,0)</f>
        <v>0</v>
      </c>
      <c r="N23" s="169">
        <f>INDEX('MEC - public transport &amp; cars'!$E$296:$H$300,MATCH($C23,'MEC - public transport &amp; cars'!$C$296:$C$300,0),MATCH(N$18,'MEC - public transport &amp; cars'!$E$294:$H$294,0))*IF($E23=N$20,'General inputs'!$F$85,IF($C23=N$18,'General inputs'!$F$86,0))*IF($D23=N$19,1,0)</f>
        <v>0</v>
      </c>
      <c r="O23" s="169">
        <f>INDEX('MEC - public transport &amp; cars'!$E$296:$H$300,MATCH($C23,'MEC - public transport &amp; cars'!$C$296:$C$300,0),MATCH(O$18,'MEC - public transport &amp; cars'!$E$294:$H$294,0))*IF($E23=O$20,'General inputs'!$F$85,IF($C23=O$18,'General inputs'!$F$86,0))*IF($D23=O$19,1,0)</f>
        <v>0</v>
      </c>
      <c r="P23" s="169">
        <f>INDEX('MEC - public transport &amp; cars'!$E$296:$H$300,MATCH($C23,'MEC - public transport &amp; cars'!$C$296:$C$300,0),MATCH(P$18,'MEC - public transport &amp; cars'!$E$294:$H$294,0))*IF($E23=P$20,'General inputs'!$F$85,IF($C23=P$18,'General inputs'!$F$86,0))*IF($D23=P$19,1,0)</f>
        <v>0</v>
      </c>
      <c r="Q23" s="169">
        <f>INDEX('MEC - public transport &amp; cars'!$E$296:$H$300,MATCH($C23,'MEC - public transport &amp; cars'!$C$296:$C$300,0),MATCH(Q$18,'MEC - public transport &amp; cars'!$E$294:$H$294,0))*IF($E23=Q$20,'General inputs'!$F$85,IF($C23=Q$18,'General inputs'!$F$86,0))*IF($D23=Q$19,1,0)</f>
        <v>0</v>
      </c>
      <c r="R23" s="169">
        <f>INDEX('MEC - public transport &amp; cars'!$E$296:$H$300,MATCH($C23,'MEC - public transport &amp; cars'!$C$296:$C$300,0),MATCH(R$18,'MEC - public transport &amp; cars'!$E$294:$H$294,0))*IF($E23=R$20,'General inputs'!$F$85,IF($C23=R$18,'General inputs'!$F$86,0))*IF($D23=R$19,1,0)</f>
        <v>0</v>
      </c>
      <c r="S23" s="169">
        <f>INDEX('MEC - public transport &amp; cars'!$E$296:$H$300,MATCH($C23,'MEC - public transport &amp; cars'!$C$296:$C$300,0),MATCH(S$18,'MEC - public transport &amp; cars'!$E$294:$H$294,0))*IF($E23=S$20,'General inputs'!$F$85,IF($C23=S$18,'General inputs'!$F$86,0))*IF($D23=S$19,1,0)</f>
        <v>0</v>
      </c>
      <c r="T23" s="169">
        <f>INDEX('MEC - public transport &amp; cars'!$E$296:$H$300,MATCH($C23,'MEC - public transport &amp; cars'!$C$296:$C$300,0),MATCH(T$18,'MEC - public transport &amp; cars'!$E$294:$H$294,0))*IF($E23=T$20,'General inputs'!$F$85,IF($C23=T$18,'General inputs'!$F$86,0))*IF($D23=T$19,1,0)</f>
        <v>0</v>
      </c>
      <c r="U23" s="169">
        <f>INDEX('MEC - public transport &amp; cars'!$E$296:$H$300,MATCH($C23,'MEC - public transport &amp; cars'!$C$296:$C$300,0),MATCH(U$18,'MEC - public transport &amp; cars'!$E$294:$H$294,0))*IF($E23=U$20,'General inputs'!$F$85,IF($C23=U$18,'General inputs'!$F$86,0))*IF($D23=U$19,1,0)</f>
        <v>0</v>
      </c>
      <c r="V23" s="169">
        <f>INDEX('MEC - public transport &amp; cars'!$E$296:$H$300,MATCH($C23,'MEC - public transport &amp; cars'!$C$296:$C$300,0),MATCH(V$18,'MEC - public transport &amp; cars'!$E$294:$H$294,0))*IF($E23=V$20,'General inputs'!$F$85,IF($C23=V$18,'General inputs'!$F$86,0))*IF($D23=V$19,1,0)</f>
        <v>0</v>
      </c>
      <c r="W23" s="169">
        <f>INDEX('MEC - public transport &amp; cars'!$E$296:$H$300,MATCH($C23,'MEC - public transport &amp; cars'!$C$296:$C$300,0),MATCH(W$18,'MEC - public transport &amp; cars'!$E$294:$H$294,0))*IF($E23=W$20,'General inputs'!$F$85,IF($C23=W$18,'General inputs'!$F$86,0))*IF($D23=W$19,1,0)</f>
        <v>0</v>
      </c>
      <c r="X23" s="169">
        <f>INDEX('MEC - public transport &amp; cars'!$E$296:$H$300,MATCH($C23,'MEC - public transport &amp; cars'!$C$296:$C$300,0),MATCH(X$18,'MEC - public transport &amp; cars'!$E$294:$H$294,0))*IF($E23=X$20,'General inputs'!$F$85,IF($C23=X$18,'General inputs'!$F$86,0))*IF($D23=X$19,1,0)</f>
        <v>0</v>
      </c>
      <c r="Y23" s="169">
        <f>INDEX('MEC - public transport &amp; cars'!$E$296:$H$300,MATCH($C23,'MEC - public transport &amp; cars'!$C$296:$C$300,0),MATCH(Y$18,'MEC - public transport &amp; cars'!$E$294:$H$294,0))*IF($E23=Y$20,'General inputs'!$F$85,IF($C23=Y$18,'General inputs'!$F$86,0))*IF($D23=Y$19,1,0)</f>
        <v>0</v>
      </c>
      <c r="Z23" s="169">
        <f>INDEX('MEC - public transport &amp; cars'!$E$296:$H$300,MATCH($C23,'MEC - public transport &amp; cars'!$C$296:$C$300,0),MATCH(Z$18,'MEC - public transport &amp; cars'!$E$294:$H$294,0))*IF($E23=Z$20,'General inputs'!$F$85,IF($C23=Z$18,'General inputs'!$F$86,0))*IF($D23=Z$19,1,0)</f>
        <v>0</v>
      </c>
      <c r="AA23" s="169">
        <f>INDEX('MEC - public transport &amp; cars'!$E$296:$H$300,MATCH($C23,'MEC - public transport &amp; cars'!$C$296:$C$300,0),MATCH(AA$18,'MEC - public transport &amp; cars'!$E$294:$H$294,0))*IF($E23=AA$20,'General inputs'!$F$85,IF($C23=AA$18,'General inputs'!$F$86,0))*IF($D23=AA$19,1,0)</f>
        <v>0</v>
      </c>
      <c r="AB23" s="169">
        <f>INDEX('MEC - public transport &amp; cars'!$E$296:$H$300,MATCH($C23,'MEC - public transport &amp; cars'!$C$296:$C$300,0),MATCH(AB$18,'MEC - public transport &amp; cars'!$E$294:$H$294,0))*IF($E23=AB$20,'General inputs'!$F$85,IF($C23=AB$18,'General inputs'!$F$86,0))*IF($D23=AB$19,1,0)</f>
        <v>0</v>
      </c>
      <c r="AC23" s="169">
        <f>INDEX('MEC - public transport &amp; cars'!$E$296:$H$300,MATCH($C23,'MEC - public transport &amp; cars'!$C$296:$C$300,0),MATCH(AC$18,'MEC - public transport &amp; cars'!$E$294:$H$294,0))*IF($E23=AC$20,'General inputs'!$F$85,IF($C23=AC$18,'General inputs'!$F$86,0))*IF($D23=AC$19,1,0)</f>
        <v>0</v>
      </c>
      <c r="AD23" s="169">
        <f>INDEX('MEC - public transport &amp; cars'!$E$296:$H$300,MATCH($C23,'MEC - public transport &amp; cars'!$C$296:$C$300,0),MATCH(AD$18,'MEC - public transport &amp; cars'!$E$294:$H$294,0))*IF($E23=AD$20,'General inputs'!$F$85,IF($C23=AD$18,'General inputs'!$F$86,0))*IF($D23=AD$19,1,0)</f>
        <v>0</v>
      </c>
      <c r="AE23" s="169">
        <f>INDEX('MEC - public transport &amp; cars'!$E$296:$H$300,MATCH($C23,'MEC - public transport &amp; cars'!$C$296:$C$300,0),MATCH(AE$18,'MEC - public transport &amp; cars'!$E$294:$H$294,0))*IF($E23=AE$20,'General inputs'!$F$85,IF($C23=AE$18,'General inputs'!$F$86,0))*IF($D23=AE$19,1,0)</f>
        <v>0</v>
      </c>
      <c r="AF23" s="169">
        <f>INDEX('MEC - public transport &amp; cars'!$E$296:$H$300,MATCH($C23,'MEC - public transport &amp; cars'!$C$296:$C$300,0),MATCH(AF$18,'MEC - public transport &amp; cars'!$E$294:$H$294,0))*IF($E23=AF$20,'General inputs'!$F$85,IF($C23=AF$18,'General inputs'!$F$86,0))*IF($D23=AF$19,1,0)</f>
        <v>0</v>
      </c>
      <c r="AG23" s="169">
        <f>INDEX('MEC - public transport &amp; cars'!$E$296:$H$300,MATCH($C23,'MEC - public transport &amp; cars'!$C$296:$C$300,0),MATCH(AG$18,'MEC - public transport &amp; cars'!$E$294:$H$294,0))*IF($E23=AG$20,'General inputs'!$F$85,IF($C23=AG$18,'General inputs'!$F$86,0))*IF($D23=AG$19,1,0)</f>
        <v>0</v>
      </c>
      <c r="AH23" s="169">
        <f>INDEX('MEC - public transport &amp; cars'!$E$296:$H$300,MATCH($C23,'MEC - public transport &amp; cars'!$C$296:$C$300,0),MATCH(AH$18,'MEC - public transport &amp; cars'!$E$294:$H$294,0))*IF($E23=AH$20,'General inputs'!$F$85,IF($C23=AH$18,'General inputs'!$F$86,0))*IF($D23=AH$19,1,0)</f>
        <v>0</v>
      </c>
      <c r="AI23" s="169">
        <f>INDEX('MEC - public transport &amp; cars'!$E$296:$H$300,MATCH($C23,'MEC - public transport &amp; cars'!$C$296:$C$300,0),MATCH(AI$18,'MEC - public transport &amp; cars'!$E$294:$H$294,0))*IF($E23=AI$20,'General inputs'!$F$85,IF($C23=AI$18,'General inputs'!$F$86,0))*IF($D23=AI$19,1,0)</f>
        <v>0</v>
      </c>
      <c r="AJ23" s="169">
        <f>INDEX('MEC - public transport &amp; cars'!$E$296:$H$300,MATCH($C23,'MEC - public transport &amp; cars'!$C$296:$C$300,0),MATCH(AJ$18,'MEC - public transport &amp; cars'!$E$294:$H$294,0))*IF($E23=AJ$20,'General inputs'!$F$85,IF($C23=AJ$18,'General inputs'!$F$86,0))*IF($D23=AJ$19,1,0)</f>
        <v>0</v>
      </c>
      <c r="AK23" s="169">
        <f>INDEX('MEC - public transport &amp; cars'!$E$296:$H$300,MATCH($C23,'MEC - public transport &amp; cars'!$C$296:$C$300,0),MATCH(AK$18,'MEC - public transport &amp; cars'!$E$294:$H$294,0))*IF($E23=AK$20,'General inputs'!$F$85,IF($C23=AK$18,'General inputs'!$F$86,0))*IF($D23=AK$19,1,0)</f>
        <v>0</v>
      </c>
      <c r="AL23" s="169">
        <f>INDEX('MEC - public transport &amp; cars'!$E$296:$H$300,MATCH($C23,'MEC - public transport &amp; cars'!$C$296:$C$300,0),MATCH(AL$18,'MEC - public transport &amp; cars'!$E$294:$H$294,0))*IF($E23=AL$20,'General inputs'!$F$85,IF($C23=AL$18,'General inputs'!$F$86,0))*IF($D23=AL$19,1,0)</f>
        <v>0</v>
      </c>
      <c r="AM23" s="227">
        <f>INDEX('MEC - public transport &amp; cars'!$E$296:$H$300,MATCH($C23,'MEC - public transport &amp; cars'!$C$296:$C$300,0),MATCH(AM$18,'MEC - public transport &amp; cars'!$E$294:$H$294,0))*IF($E23=AM$20,'General inputs'!$F$85,IF($C23=AM$18,'General inputs'!$F$86,0))*IF($D23=AM$19,1,0)</f>
        <v>0</v>
      </c>
    </row>
    <row r="24" spans="3:39" x14ac:dyDescent="0.25">
      <c r="C24" s="244" t="str">
        <f>'Fare optimisation'!C85</f>
        <v>Rail</v>
      </c>
      <c r="D24" s="173">
        <f>'Fare optimisation'!D85</f>
        <v>5</v>
      </c>
      <c r="E24" s="172" t="str">
        <f>'Fare optimisation'!E85</f>
        <v>Peak</v>
      </c>
      <c r="F24" s="173">
        <f>'General inputs'!C30</f>
        <v>2</v>
      </c>
      <c r="H24" s="169">
        <f>INDEX('MEC - public transport &amp; cars'!$E$296:$H$300,MATCH($C24,'MEC - public transport &amp; cars'!$C$296:$C$300,0),MATCH(H$18,'MEC - public transport &amp; cars'!$E$294:$H$294,0))*IF($E24=H$20,'General inputs'!$F$85,IF($C24=H$18,'General inputs'!$F$86,0))*IF($D24=H$19,1,0)</f>
        <v>0</v>
      </c>
      <c r="I24" s="169">
        <f>INDEX('MEC - public transport &amp; cars'!$E$296:$H$300,MATCH($C24,'MEC - public transport &amp; cars'!$C$296:$C$300,0),MATCH(I$18,'MEC - public transport &amp; cars'!$E$294:$H$294,0))*IF($E24=I$20,'General inputs'!$F$85,IF($C24=I$18,'General inputs'!$F$86,0))*IF($D24=I$19,1,0)</f>
        <v>1</v>
      </c>
      <c r="J24" s="169">
        <f>INDEX('MEC - public transport &amp; cars'!$E$296:$H$300,MATCH($C24,'MEC - public transport &amp; cars'!$C$296:$C$300,0),MATCH(J$18,'MEC - public transport &amp; cars'!$E$294:$H$294,0))*IF($E24=J$20,'General inputs'!$F$85,IF($C24=J$18,'General inputs'!$F$86,0))*IF($D24=J$19,1,0)</f>
        <v>0</v>
      </c>
      <c r="K24" s="169">
        <f>INDEX('MEC - public transport &amp; cars'!$E$296:$H$300,MATCH($C24,'MEC - public transport &amp; cars'!$C$296:$C$300,0),MATCH(K$18,'MEC - public transport &amp; cars'!$E$294:$H$294,0))*IF($E24=K$20,'General inputs'!$F$85,IF($C24=K$18,'General inputs'!$F$86,0))*IF($D24=K$19,1,0)</f>
        <v>0</v>
      </c>
      <c r="L24" s="169">
        <f>INDEX('MEC - public transport &amp; cars'!$E$296:$H$300,MATCH($C24,'MEC - public transport &amp; cars'!$C$296:$C$300,0),MATCH(L$18,'MEC - public transport &amp; cars'!$E$294:$H$294,0))*IF($E24=L$20,'General inputs'!$F$85,IF($C24=L$18,'General inputs'!$F$86,0))*IF($D24=L$19,1,0)</f>
        <v>0</v>
      </c>
      <c r="M24" s="169">
        <f>INDEX('MEC - public transport &amp; cars'!$E$296:$H$300,MATCH($C24,'MEC - public transport &amp; cars'!$C$296:$C$300,0),MATCH(M$18,'MEC - public transport &amp; cars'!$E$294:$H$294,0))*IF($E24=M$20,'General inputs'!$F$85,IF($C24=M$18,'General inputs'!$F$86,0))*IF($D24=M$19,1,0)</f>
        <v>-0.1</v>
      </c>
      <c r="N24" s="169">
        <f>INDEX('MEC - public transport &amp; cars'!$E$296:$H$300,MATCH($C24,'MEC - public transport &amp; cars'!$C$296:$C$300,0),MATCH(N$18,'MEC - public transport &amp; cars'!$E$294:$H$294,0))*IF($E24=N$20,'General inputs'!$F$85,IF($C24=N$18,'General inputs'!$F$86,0))*IF($D24=N$19,1,0)</f>
        <v>0</v>
      </c>
      <c r="O24" s="169">
        <f>INDEX('MEC - public transport &amp; cars'!$E$296:$H$300,MATCH($C24,'MEC - public transport &amp; cars'!$C$296:$C$300,0),MATCH(O$18,'MEC - public transport &amp; cars'!$E$294:$H$294,0))*IF($E24=O$20,'General inputs'!$F$85,IF($C24=O$18,'General inputs'!$F$86,0))*IF($D24=O$19,1,0)</f>
        <v>0</v>
      </c>
      <c r="P24" s="169">
        <f>INDEX('MEC - public transport &amp; cars'!$E$296:$H$300,MATCH($C24,'MEC - public transport &amp; cars'!$C$296:$C$300,0),MATCH(P$18,'MEC - public transport &amp; cars'!$E$294:$H$294,0))*IF($E24=P$20,'General inputs'!$F$85,IF($C24=P$18,'General inputs'!$F$86,0))*IF($D24=P$19,1,0)</f>
        <v>0</v>
      </c>
      <c r="Q24" s="169">
        <f>INDEX('MEC - public transport &amp; cars'!$E$296:$H$300,MATCH($C24,'MEC - public transport &amp; cars'!$C$296:$C$300,0),MATCH(Q$18,'MEC - public transport &amp; cars'!$E$294:$H$294,0))*IF($E24=Q$20,'General inputs'!$F$85,IF($C24=Q$18,'General inputs'!$F$86,0))*IF($D24=Q$19,1,0)</f>
        <v>0</v>
      </c>
      <c r="R24" s="169">
        <f>INDEX('MEC - public transport &amp; cars'!$E$296:$H$300,MATCH($C24,'MEC - public transport &amp; cars'!$C$296:$C$300,0),MATCH(R$18,'MEC - public transport &amp; cars'!$E$294:$H$294,0))*IF($E24=R$20,'General inputs'!$F$85,IF($C24=R$18,'General inputs'!$F$86,0))*IF($D24=R$19,1,0)</f>
        <v>0</v>
      </c>
      <c r="S24" s="169">
        <f>INDEX('MEC - public transport &amp; cars'!$E$296:$H$300,MATCH($C24,'MEC - public transport &amp; cars'!$C$296:$C$300,0),MATCH(S$18,'MEC - public transport &amp; cars'!$E$294:$H$294,0))*IF($E24=S$20,'General inputs'!$F$85,IF($C24=S$18,'General inputs'!$F$86,0))*IF($D24=S$19,1,0)</f>
        <v>0</v>
      </c>
      <c r="T24" s="169">
        <f>INDEX('MEC - public transport &amp; cars'!$E$296:$H$300,MATCH($C24,'MEC - public transport &amp; cars'!$C$296:$C$300,0),MATCH(T$18,'MEC - public transport &amp; cars'!$E$294:$H$294,0))*IF($E24=T$20,'General inputs'!$F$85,IF($C24=T$18,'General inputs'!$F$86,0))*IF($D24=T$19,1,0)</f>
        <v>0</v>
      </c>
      <c r="U24" s="169">
        <f>INDEX('MEC - public transport &amp; cars'!$E$296:$H$300,MATCH($C24,'MEC - public transport &amp; cars'!$C$296:$C$300,0),MATCH(U$18,'MEC - public transport &amp; cars'!$E$294:$H$294,0))*IF($E24=U$20,'General inputs'!$F$85,IF($C24=U$18,'General inputs'!$F$86,0))*IF($D24=U$19,1,0)</f>
        <v>0</v>
      </c>
      <c r="V24" s="169">
        <f>INDEX('MEC - public transport &amp; cars'!$E$296:$H$300,MATCH($C24,'MEC - public transport &amp; cars'!$C$296:$C$300,0),MATCH(V$18,'MEC - public transport &amp; cars'!$E$294:$H$294,0))*IF($E24=V$20,'General inputs'!$F$85,IF($C24=V$18,'General inputs'!$F$86,0))*IF($D24=V$19,1,0)</f>
        <v>0</v>
      </c>
      <c r="W24" s="169">
        <f>INDEX('MEC - public transport &amp; cars'!$E$296:$H$300,MATCH($C24,'MEC - public transport &amp; cars'!$C$296:$C$300,0),MATCH(W$18,'MEC - public transport &amp; cars'!$E$294:$H$294,0))*IF($E24=W$20,'General inputs'!$F$85,IF($C24=W$18,'General inputs'!$F$86,0))*IF($D24=W$19,1,0)</f>
        <v>0</v>
      </c>
      <c r="X24" s="169">
        <f>INDEX('MEC - public transport &amp; cars'!$E$296:$H$300,MATCH($C24,'MEC - public transport &amp; cars'!$C$296:$C$300,0),MATCH(X$18,'MEC - public transport &amp; cars'!$E$294:$H$294,0))*IF($E24=X$20,'General inputs'!$F$85,IF($C24=X$18,'General inputs'!$F$86,0))*IF($D24=X$19,1,0)</f>
        <v>0</v>
      </c>
      <c r="Y24" s="169">
        <f>INDEX('MEC - public transport &amp; cars'!$E$296:$H$300,MATCH($C24,'MEC - public transport &amp; cars'!$C$296:$C$300,0),MATCH(Y$18,'MEC - public transport &amp; cars'!$E$294:$H$294,0))*IF($E24=Y$20,'General inputs'!$F$85,IF($C24=Y$18,'General inputs'!$F$86,0))*IF($D24=Y$19,1,0)</f>
        <v>0</v>
      </c>
      <c r="Z24" s="169">
        <f>INDEX('MEC - public transport &amp; cars'!$E$296:$H$300,MATCH($C24,'MEC - public transport &amp; cars'!$C$296:$C$300,0),MATCH(Z$18,'MEC - public transport &amp; cars'!$E$294:$H$294,0))*IF($E24=Z$20,'General inputs'!$F$85,IF($C24=Z$18,'General inputs'!$F$86,0))*IF($D24=Z$19,1,0)</f>
        <v>0</v>
      </c>
      <c r="AA24" s="169">
        <f>INDEX('MEC - public transport &amp; cars'!$E$296:$H$300,MATCH($C24,'MEC - public transport &amp; cars'!$C$296:$C$300,0),MATCH(AA$18,'MEC - public transport &amp; cars'!$E$294:$H$294,0))*IF($E24=AA$20,'General inputs'!$F$85,IF($C24=AA$18,'General inputs'!$F$86,0))*IF($D24=AA$19,1,0)</f>
        <v>0</v>
      </c>
      <c r="AB24" s="169">
        <f>INDEX('MEC - public transport &amp; cars'!$E$296:$H$300,MATCH($C24,'MEC - public transport &amp; cars'!$C$296:$C$300,0),MATCH(AB$18,'MEC - public transport &amp; cars'!$E$294:$H$294,0))*IF($E24=AB$20,'General inputs'!$F$85,IF($C24=AB$18,'General inputs'!$F$86,0))*IF($D24=AB$19,1,0)</f>
        <v>0</v>
      </c>
      <c r="AC24" s="169">
        <f>INDEX('MEC - public transport &amp; cars'!$E$296:$H$300,MATCH($C24,'MEC - public transport &amp; cars'!$C$296:$C$300,0),MATCH(AC$18,'MEC - public transport &amp; cars'!$E$294:$H$294,0))*IF($E24=AC$20,'General inputs'!$F$85,IF($C24=AC$18,'General inputs'!$F$86,0))*IF($D24=AC$19,1,0)</f>
        <v>0</v>
      </c>
      <c r="AD24" s="169">
        <f>INDEX('MEC - public transport &amp; cars'!$E$296:$H$300,MATCH($C24,'MEC - public transport &amp; cars'!$C$296:$C$300,0),MATCH(AD$18,'MEC - public transport &amp; cars'!$E$294:$H$294,0))*IF($E24=AD$20,'General inputs'!$F$85,IF($C24=AD$18,'General inputs'!$F$86,0))*IF($D24=AD$19,1,0)</f>
        <v>0</v>
      </c>
      <c r="AE24" s="169">
        <f>INDEX('MEC - public transport &amp; cars'!$E$296:$H$300,MATCH($C24,'MEC - public transport &amp; cars'!$C$296:$C$300,0),MATCH(AE$18,'MEC - public transport &amp; cars'!$E$294:$H$294,0))*IF($E24=AE$20,'General inputs'!$F$85,IF($C24=AE$18,'General inputs'!$F$86,0))*IF($D24=AE$19,1,0)</f>
        <v>0</v>
      </c>
      <c r="AF24" s="169">
        <f>INDEX('MEC - public transport &amp; cars'!$E$296:$H$300,MATCH($C24,'MEC - public transport &amp; cars'!$C$296:$C$300,0),MATCH(AF$18,'MEC - public transport &amp; cars'!$E$294:$H$294,0))*IF($E24=AF$20,'General inputs'!$F$85,IF($C24=AF$18,'General inputs'!$F$86,0))*IF($D24=AF$19,1,0)</f>
        <v>0</v>
      </c>
      <c r="AG24" s="169">
        <f>INDEX('MEC - public transport &amp; cars'!$E$296:$H$300,MATCH($C24,'MEC - public transport &amp; cars'!$C$296:$C$300,0),MATCH(AG$18,'MEC - public transport &amp; cars'!$E$294:$H$294,0))*IF($E24=AG$20,'General inputs'!$F$85,IF($C24=AG$18,'General inputs'!$F$86,0))*IF($D24=AG$19,1,0)</f>
        <v>0</v>
      </c>
      <c r="AH24" s="169">
        <f>INDEX('MEC - public transport &amp; cars'!$E$296:$H$300,MATCH($C24,'MEC - public transport &amp; cars'!$C$296:$C$300,0),MATCH(AH$18,'MEC - public transport &amp; cars'!$E$294:$H$294,0))*IF($E24=AH$20,'General inputs'!$F$85,IF($C24=AH$18,'General inputs'!$F$86,0))*IF($D24=AH$19,1,0)</f>
        <v>0</v>
      </c>
      <c r="AI24" s="169">
        <f>INDEX('MEC - public transport &amp; cars'!$E$296:$H$300,MATCH($C24,'MEC - public transport &amp; cars'!$C$296:$C$300,0),MATCH(AI$18,'MEC - public transport &amp; cars'!$E$294:$H$294,0))*IF($E24=AI$20,'General inputs'!$F$85,IF($C24=AI$18,'General inputs'!$F$86,0))*IF($D24=AI$19,1,0)</f>
        <v>0</v>
      </c>
      <c r="AJ24" s="169">
        <f>INDEX('MEC - public transport &amp; cars'!$E$296:$H$300,MATCH($C24,'MEC - public transport &amp; cars'!$C$296:$C$300,0),MATCH(AJ$18,'MEC - public transport &amp; cars'!$E$294:$H$294,0))*IF($E24=AJ$20,'General inputs'!$F$85,IF($C24=AJ$18,'General inputs'!$F$86,0))*IF($D24=AJ$19,1,0)</f>
        <v>0</v>
      </c>
      <c r="AK24" s="169">
        <f>INDEX('MEC - public transport &amp; cars'!$E$296:$H$300,MATCH($C24,'MEC - public transport &amp; cars'!$C$296:$C$300,0),MATCH(AK$18,'MEC - public transport &amp; cars'!$E$294:$H$294,0))*IF($E24=AK$20,'General inputs'!$F$85,IF($C24=AK$18,'General inputs'!$F$86,0))*IF($D24=AK$19,1,0)</f>
        <v>0</v>
      </c>
      <c r="AL24" s="169">
        <f>INDEX('MEC - public transport &amp; cars'!$E$296:$H$300,MATCH($C24,'MEC - public transport &amp; cars'!$C$296:$C$300,0),MATCH(AL$18,'MEC - public transport &amp; cars'!$E$294:$H$294,0))*IF($E24=AL$20,'General inputs'!$F$85,IF($C24=AL$18,'General inputs'!$F$86,0))*IF($D24=AL$19,1,0)</f>
        <v>0</v>
      </c>
      <c r="AM24" s="227">
        <f>INDEX('MEC - public transport &amp; cars'!$E$296:$H$300,MATCH($C24,'MEC - public transport &amp; cars'!$C$296:$C$300,0),MATCH(AM$18,'MEC - public transport &amp; cars'!$E$294:$H$294,0))*IF($E24=AM$20,'General inputs'!$F$85,IF($C24=AM$18,'General inputs'!$F$86,0))*IF($D24=AM$19,1,0)</f>
        <v>0</v>
      </c>
    </row>
    <row r="25" spans="3:39" x14ac:dyDescent="0.25">
      <c r="C25" s="244" t="str">
        <f>'Fare optimisation'!C86</f>
        <v>Rail</v>
      </c>
      <c r="D25" s="173">
        <f>'Fare optimisation'!D86</f>
        <v>15</v>
      </c>
      <c r="E25" s="172" t="str">
        <f>'Fare optimisation'!E86</f>
        <v>Peak</v>
      </c>
      <c r="F25" s="173">
        <f>'General inputs'!C31</f>
        <v>3</v>
      </c>
      <c r="H25" s="169">
        <f>INDEX('MEC - public transport &amp; cars'!$E$296:$H$300,MATCH($C25,'MEC - public transport &amp; cars'!$C$296:$C$300,0),MATCH(H$18,'MEC - public transport &amp; cars'!$E$294:$H$294,0))*IF($E25=H$20,'General inputs'!$F$85,IF($C25=H$18,'General inputs'!$F$86,0))*IF($D25=H$19,1,0)</f>
        <v>0</v>
      </c>
      <c r="I25" s="169">
        <f>INDEX('MEC - public transport &amp; cars'!$E$296:$H$300,MATCH($C25,'MEC - public transport &amp; cars'!$C$296:$C$300,0),MATCH(I$18,'MEC - public transport &amp; cars'!$E$294:$H$294,0))*IF($E25=I$20,'General inputs'!$F$85,IF($C25=I$18,'General inputs'!$F$86,0))*IF($D25=I$19,1,0)</f>
        <v>0</v>
      </c>
      <c r="J25" s="169">
        <f>INDEX('MEC - public transport &amp; cars'!$E$296:$H$300,MATCH($C25,'MEC - public transport &amp; cars'!$C$296:$C$300,0),MATCH(J$18,'MEC - public transport &amp; cars'!$E$294:$H$294,0))*IF($E25=J$20,'General inputs'!$F$85,IF($C25=J$18,'General inputs'!$F$86,0))*IF($D25=J$19,1,0)</f>
        <v>1</v>
      </c>
      <c r="K25" s="169">
        <f>INDEX('MEC - public transport &amp; cars'!$E$296:$H$300,MATCH($C25,'MEC - public transport &amp; cars'!$C$296:$C$300,0),MATCH(K$18,'MEC - public transport &amp; cars'!$E$294:$H$294,0))*IF($E25=K$20,'General inputs'!$F$85,IF($C25=K$18,'General inputs'!$F$86,0))*IF($D25=K$19,1,0)</f>
        <v>0</v>
      </c>
      <c r="L25" s="169">
        <f>INDEX('MEC - public transport &amp; cars'!$E$296:$H$300,MATCH($C25,'MEC - public transport &amp; cars'!$C$296:$C$300,0),MATCH(L$18,'MEC - public transport &amp; cars'!$E$294:$H$294,0))*IF($E25=L$20,'General inputs'!$F$85,IF($C25=L$18,'General inputs'!$F$86,0))*IF($D25=L$19,1,0)</f>
        <v>0</v>
      </c>
      <c r="M25" s="169">
        <f>INDEX('MEC - public transport &amp; cars'!$E$296:$H$300,MATCH($C25,'MEC - public transport &amp; cars'!$C$296:$C$300,0),MATCH(M$18,'MEC - public transport &amp; cars'!$E$294:$H$294,0))*IF($E25=M$20,'General inputs'!$F$85,IF($C25=M$18,'General inputs'!$F$86,0))*IF($D25=M$19,1,0)</f>
        <v>0</v>
      </c>
      <c r="N25" s="169">
        <f>INDEX('MEC - public transport &amp; cars'!$E$296:$H$300,MATCH($C25,'MEC - public transport &amp; cars'!$C$296:$C$300,0),MATCH(N$18,'MEC - public transport &amp; cars'!$E$294:$H$294,0))*IF($E25=N$20,'General inputs'!$F$85,IF($C25=N$18,'General inputs'!$F$86,0))*IF($D25=N$19,1,0)</f>
        <v>-0.1</v>
      </c>
      <c r="O25" s="169">
        <f>INDEX('MEC - public transport &amp; cars'!$E$296:$H$300,MATCH($C25,'MEC - public transport &amp; cars'!$C$296:$C$300,0),MATCH(O$18,'MEC - public transport &amp; cars'!$E$294:$H$294,0))*IF($E25=O$20,'General inputs'!$F$85,IF($C25=O$18,'General inputs'!$F$86,0))*IF($D25=O$19,1,0)</f>
        <v>0</v>
      </c>
      <c r="P25" s="169">
        <f>INDEX('MEC - public transport &amp; cars'!$E$296:$H$300,MATCH($C25,'MEC - public transport &amp; cars'!$C$296:$C$300,0),MATCH(P$18,'MEC - public transport &amp; cars'!$E$294:$H$294,0))*IF($E25=P$20,'General inputs'!$F$85,IF($C25=P$18,'General inputs'!$F$86,0))*IF($D25=P$19,1,0)</f>
        <v>0</v>
      </c>
      <c r="Q25" s="169">
        <f>INDEX('MEC - public transport &amp; cars'!$E$296:$H$300,MATCH($C25,'MEC - public transport &amp; cars'!$C$296:$C$300,0),MATCH(Q$18,'MEC - public transport &amp; cars'!$E$294:$H$294,0))*IF($E25=Q$20,'General inputs'!$F$85,IF($C25=Q$18,'General inputs'!$F$86,0))*IF($D25=Q$19,1,0)</f>
        <v>0</v>
      </c>
      <c r="R25" s="169">
        <f>INDEX('MEC - public transport &amp; cars'!$E$296:$H$300,MATCH($C25,'MEC - public transport &amp; cars'!$C$296:$C$300,0),MATCH(R$18,'MEC - public transport &amp; cars'!$E$294:$H$294,0))*IF($E25=R$20,'General inputs'!$F$85,IF($C25=R$18,'General inputs'!$F$86,0))*IF($D25=R$19,1,0)</f>
        <v>0</v>
      </c>
      <c r="S25" s="169">
        <f>INDEX('MEC - public transport &amp; cars'!$E$296:$H$300,MATCH($C25,'MEC - public transport &amp; cars'!$C$296:$C$300,0),MATCH(S$18,'MEC - public transport &amp; cars'!$E$294:$H$294,0))*IF($E25=S$20,'General inputs'!$F$85,IF($C25=S$18,'General inputs'!$F$86,0))*IF($D25=S$19,1,0)</f>
        <v>0</v>
      </c>
      <c r="T25" s="169">
        <f>INDEX('MEC - public transport &amp; cars'!$E$296:$H$300,MATCH($C25,'MEC - public transport &amp; cars'!$C$296:$C$300,0),MATCH(T$18,'MEC - public transport &amp; cars'!$E$294:$H$294,0))*IF($E25=T$20,'General inputs'!$F$85,IF($C25=T$18,'General inputs'!$F$86,0))*IF($D25=T$19,1,0)</f>
        <v>0</v>
      </c>
      <c r="U25" s="169">
        <f>INDEX('MEC - public transport &amp; cars'!$E$296:$H$300,MATCH($C25,'MEC - public transport &amp; cars'!$C$296:$C$300,0),MATCH(U$18,'MEC - public transport &amp; cars'!$E$294:$H$294,0))*IF($E25=U$20,'General inputs'!$F$85,IF($C25=U$18,'General inputs'!$F$86,0))*IF($D25=U$19,1,0)</f>
        <v>0</v>
      </c>
      <c r="V25" s="169">
        <f>INDEX('MEC - public transport &amp; cars'!$E$296:$H$300,MATCH($C25,'MEC - public transport &amp; cars'!$C$296:$C$300,0),MATCH(V$18,'MEC - public transport &amp; cars'!$E$294:$H$294,0))*IF($E25=V$20,'General inputs'!$F$85,IF($C25=V$18,'General inputs'!$F$86,0))*IF($D25=V$19,1,0)</f>
        <v>0</v>
      </c>
      <c r="W25" s="169">
        <f>INDEX('MEC - public transport &amp; cars'!$E$296:$H$300,MATCH($C25,'MEC - public transport &amp; cars'!$C$296:$C$300,0),MATCH(W$18,'MEC - public transport &amp; cars'!$E$294:$H$294,0))*IF($E25=W$20,'General inputs'!$F$85,IF($C25=W$18,'General inputs'!$F$86,0))*IF($D25=W$19,1,0)</f>
        <v>0</v>
      </c>
      <c r="X25" s="169">
        <f>INDEX('MEC - public transport &amp; cars'!$E$296:$H$300,MATCH($C25,'MEC - public transport &amp; cars'!$C$296:$C$300,0),MATCH(X$18,'MEC - public transport &amp; cars'!$E$294:$H$294,0))*IF($E25=X$20,'General inputs'!$F$85,IF($C25=X$18,'General inputs'!$F$86,0))*IF($D25=X$19,1,0)</f>
        <v>0</v>
      </c>
      <c r="Y25" s="169">
        <f>INDEX('MEC - public transport &amp; cars'!$E$296:$H$300,MATCH($C25,'MEC - public transport &amp; cars'!$C$296:$C$300,0),MATCH(Y$18,'MEC - public transport &amp; cars'!$E$294:$H$294,0))*IF($E25=Y$20,'General inputs'!$F$85,IF($C25=Y$18,'General inputs'!$F$86,0))*IF($D25=Y$19,1,0)</f>
        <v>0</v>
      </c>
      <c r="Z25" s="169">
        <f>INDEX('MEC - public transport &amp; cars'!$E$296:$H$300,MATCH($C25,'MEC - public transport &amp; cars'!$C$296:$C$300,0),MATCH(Z$18,'MEC - public transport &amp; cars'!$E$294:$H$294,0))*IF($E25=Z$20,'General inputs'!$F$85,IF($C25=Z$18,'General inputs'!$F$86,0))*IF($D25=Z$19,1,0)</f>
        <v>0</v>
      </c>
      <c r="AA25" s="169">
        <f>INDEX('MEC - public transport &amp; cars'!$E$296:$H$300,MATCH($C25,'MEC - public transport &amp; cars'!$C$296:$C$300,0),MATCH(AA$18,'MEC - public transport &amp; cars'!$E$294:$H$294,0))*IF($E25=AA$20,'General inputs'!$F$85,IF($C25=AA$18,'General inputs'!$F$86,0))*IF($D25=AA$19,1,0)</f>
        <v>0</v>
      </c>
      <c r="AB25" s="169">
        <f>INDEX('MEC - public transport &amp; cars'!$E$296:$H$300,MATCH($C25,'MEC - public transport &amp; cars'!$C$296:$C$300,0),MATCH(AB$18,'MEC - public transport &amp; cars'!$E$294:$H$294,0))*IF($E25=AB$20,'General inputs'!$F$85,IF($C25=AB$18,'General inputs'!$F$86,0))*IF($D25=AB$19,1,0)</f>
        <v>0</v>
      </c>
      <c r="AC25" s="169">
        <f>INDEX('MEC - public transport &amp; cars'!$E$296:$H$300,MATCH($C25,'MEC - public transport &amp; cars'!$C$296:$C$300,0),MATCH(AC$18,'MEC - public transport &amp; cars'!$E$294:$H$294,0))*IF($E25=AC$20,'General inputs'!$F$85,IF($C25=AC$18,'General inputs'!$F$86,0))*IF($D25=AC$19,1,0)</f>
        <v>0</v>
      </c>
      <c r="AD25" s="169">
        <f>INDEX('MEC - public transport &amp; cars'!$E$296:$H$300,MATCH($C25,'MEC - public transport &amp; cars'!$C$296:$C$300,0),MATCH(AD$18,'MEC - public transport &amp; cars'!$E$294:$H$294,0))*IF($E25=AD$20,'General inputs'!$F$85,IF($C25=AD$18,'General inputs'!$F$86,0))*IF($D25=AD$19,1,0)</f>
        <v>0</v>
      </c>
      <c r="AE25" s="169">
        <f>INDEX('MEC - public transport &amp; cars'!$E$296:$H$300,MATCH($C25,'MEC - public transport &amp; cars'!$C$296:$C$300,0),MATCH(AE$18,'MEC - public transport &amp; cars'!$E$294:$H$294,0))*IF($E25=AE$20,'General inputs'!$F$85,IF($C25=AE$18,'General inputs'!$F$86,0))*IF($D25=AE$19,1,0)</f>
        <v>0</v>
      </c>
      <c r="AF25" s="169">
        <f>INDEX('MEC - public transport &amp; cars'!$E$296:$H$300,MATCH($C25,'MEC - public transport &amp; cars'!$C$296:$C$300,0),MATCH(AF$18,'MEC - public transport &amp; cars'!$E$294:$H$294,0))*IF($E25=AF$20,'General inputs'!$F$85,IF($C25=AF$18,'General inputs'!$F$86,0))*IF($D25=AF$19,1,0)</f>
        <v>0</v>
      </c>
      <c r="AG25" s="169">
        <f>INDEX('MEC - public transport &amp; cars'!$E$296:$H$300,MATCH($C25,'MEC - public transport &amp; cars'!$C$296:$C$300,0),MATCH(AG$18,'MEC - public transport &amp; cars'!$E$294:$H$294,0))*IF($E25=AG$20,'General inputs'!$F$85,IF($C25=AG$18,'General inputs'!$F$86,0))*IF($D25=AG$19,1,0)</f>
        <v>0</v>
      </c>
      <c r="AH25" s="169">
        <f>INDEX('MEC - public transport &amp; cars'!$E$296:$H$300,MATCH($C25,'MEC - public transport &amp; cars'!$C$296:$C$300,0),MATCH(AH$18,'MEC - public transport &amp; cars'!$E$294:$H$294,0))*IF($E25=AH$20,'General inputs'!$F$85,IF($C25=AH$18,'General inputs'!$F$86,0))*IF($D25=AH$19,1,0)</f>
        <v>0</v>
      </c>
      <c r="AI25" s="169">
        <f>INDEX('MEC - public transport &amp; cars'!$E$296:$H$300,MATCH($C25,'MEC - public transport &amp; cars'!$C$296:$C$300,0),MATCH(AI$18,'MEC - public transport &amp; cars'!$E$294:$H$294,0))*IF($E25=AI$20,'General inputs'!$F$85,IF($C25=AI$18,'General inputs'!$F$86,0))*IF($D25=AI$19,1,0)</f>
        <v>0</v>
      </c>
      <c r="AJ25" s="169">
        <f>INDEX('MEC - public transport &amp; cars'!$E$296:$H$300,MATCH($C25,'MEC - public transport &amp; cars'!$C$296:$C$300,0),MATCH(AJ$18,'MEC - public transport &amp; cars'!$E$294:$H$294,0))*IF($E25=AJ$20,'General inputs'!$F$85,IF($C25=AJ$18,'General inputs'!$F$86,0))*IF($D25=AJ$19,1,0)</f>
        <v>0</v>
      </c>
      <c r="AK25" s="169">
        <f>INDEX('MEC - public transport &amp; cars'!$E$296:$H$300,MATCH($C25,'MEC - public transport &amp; cars'!$C$296:$C$300,0),MATCH(AK$18,'MEC - public transport &amp; cars'!$E$294:$H$294,0))*IF($E25=AK$20,'General inputs'!$F$85,IF($C25=AK$18,'General inputs'!$F$86,0))*IF($D25=AK$19,1,0)</f>
        <v>0</v>
      </c>
      <c r="AL25" s="169">
        <f>INDEX('MEC - public transport &amp; cars'!$E$296:$H$300,MATCH($C25,'MEC - public transport &amp; cars'!$C$296:$C$300,0),MATCH(AL$18,'MEC - public transport &amp; cars'!$E$294:$H$294,0))*IF($E25=AL$20,'General inputs'!$F$85,IF($C25=AL$18,'General inputs'!$F$86,0))*IF($D25=AL$19,1,0)</f>
        <v>0</v>
      </c>
      <c r="AM25" s="227">
        <f>INDEX('MEC - public transport &amp; cars'!$E$296:$H$300,MATCH($C25,'MEC - public transport &amp; cars'!$C$296:$C$300,0),MATCH(AM$18,'MEC - public transport &amp; cars'!$E$294:$H$294,0))*IF($E25=AM$20,'General inputs'!$F$85,IF($C25=AM$18,'General inputs'!$F$86,0))*IF($D25=AM$19,1,0)</f>
        <v>0</v>
      </c>
    </row>
    <row r="26" spans="3:39" x14ac:dyDescent="0.25">
      <c r="C26" s="244" t="str">
        <f>'Fare optimisation'!C87</f>
        <v>Rail</v>
      </c>
      <c r="D26" s="173">
        <f>'Fare optimisation'!D87</f>
        <v>25</v>
      </c>
      <c r="E26" s="172" t="str">
        <f>'Fare optimisation'!E87</f>
        <v>Peak</v>
      </c>
      <c r="F26" s="173">
        <f>'General inputs'!C32</f>
        <v>4</v>
      </c>
      <c r="H26" s="169">
        <f>INDEX('MEC - public transport &amp; cars'!$E$296:$H$300,MATCH($C26,'MEC - public transport &amp; cars'!$C$296:$C$300,0),MATCH(H$18,'MEC - public transport &amp; cars'!$E$294:$H$294,0))*IF($E26=H$20,'General inputs'!$F$85,IF($C26=H$18,'General inputs'!$F$86,0))*IF($D26=H$19,1,0)</f>
        <v>0</v>
      </c>
      <c r="I26" s="169">
        <f>INDEX('MEC - public transport &amp; cars'!$E$296:$H$300,MATCH($C26,'MEC - public transport &amp; cars'!$C$296:$C$300,0),MATCH(I$18,'MEC - public transport &amp; cars'!$E$294:$H$294,0))*IF($E26=I$20,'General inputs'!$F$85,IF($C26=I$18,'General inputs'!$F$86,0))*IF($D26=I$19,1,0)</f>
        <v>0</v>
      </c>
      <c r="J26" s="169">
        <f>INDEX('MEC - public transport &amp; cars'!$E$296:$H$300,MATCH($C26,'MEC - public transport &amp; cars'!$C$296:$C$300,0),MATCH(J$18,'MEC - public transport &amp; cars'!$E$294:$H$294,0))*IF($E26=J$20,'General inputs'!$F$85,IF($C26=J$18,'General inputs'!$F$86,0))*IF($D26=J$19,1,0)</f>
        <v>0</v>
      </c>
      <c r="K26" s="169">
        <f>INDEX('MEC - public transport &amp; cars'!$E$296:$H$300,MATCH($C26,'MEC - public transport &amp; cars'!$C$296:$C$300,0),MATCH(K$18,'MEC - public transport &amp; cars'!$E$294:$H$294,0))*IF($E26=K$20,'General inputs'!$F$85,IF($C26=K$18,'General inputs'!$F$86,0))*IF($D26=K$19,1,0)</f>
        <v>1</v>
      </c>
      <c r="L26" s="169">
        <f>INDEX('MEC - public transport &amp; cars'!$E$296:$H$300,MATCH($C26,'MEC - public transport &amp; cars'!$C$296:$C$300,0),MATCH(L$18,'MEC - public transport &amp; cars'!$E$294:$H$294,0))*IF($E26=L$20,'General inputs'!$F$85,IF($C26=L$18,'General inputs'!$F$86,0))*IF($D26=L$19,1,0)</f>
        <v>0</v>
      </c>
      <c r="M26" s="169">
        <f>INDEX('MEC - public transport &amp; cars'!$E$296:$H$300,MATCH($C26,'MEC - public transport &amp; cars'!$C$296:$C$300,0),MATCH(M$18,'MEC - public transport &amp; cars'!$E$294:$H$294,0))*IF($E26=M$20,'General inputs'!$F$85,IF($C26=M$18,'General inputs'!$F$86,0))*IF($D26=M$19,1,0)</f>
        <v>0</v>
      </c>
      <c r="N26" s="169">
        <f>INDEX('MEC - public transport &amp; cars'!$E$296:$H$300,MATCH($C26,'MEC - public transport &amp; cars'!$C$296:$C$300,0),MATCH(N$18,'MEC - public transport &amp; cars'!$E$294:$H$294,0))*IF($E26=N$20,'General inputs'!$F$85,IF($C26=N$18,'General inputs'!$F$86,0))*IF($D26=N$19,1,0)</f>
        <v>0</v>
      </c>
      <c r="O26" s="169">
        <f>INDEX('MEC - public transport &amp; cars'!$E$296:$H$300,MATCH($C26,'MEC - public transport &amp; cars'!$C$296:$C$300,0),MATCH(O$18,'MEC - public transport &amp; cars'!$E$294:$H$294,0))*IF($E26=O$20,'General inputs'!$F$85,IF($C26=O$18,'General inputs'!$F$86,0))*IF($D26=O$19,1,0)</f>
        <v>-0.1</v>
      </c>
      <c r="P26" s="169">
        <f>INDEX('MEC - public transport &amp; cars'!$E$296:$H$300,MATCH($C26,'MEC - public transport &amp; cars'!$C$296:$C$300,0),MATCH(P$18,'MEC - public transport &amp; cars'!$E$294:$H$294,0))*IF($E26=P$20,'General inputs'!$F$85,IF($C26=P$18,'General inputs'!$F$86,0))*IF($D26=P$19,1,0)</f>
        <v>0</v>
      </c>
      <c r="Q26" s="169">
        <f>INDEX('MEC - public transport &amp; cars'!$E$296:$H$300,MATCH($C26,'MEC - public transport &amp; cars'!$C$296:$C$300,0),MATCH(Q$18,'MEC - public transport &amp; cars'!$E$294:$H$294,0))*IF($E26=Q$20,'General inputs'!$F$85,IF($C26=Q$18,'General inputs'!$F$86,0))*IF($D26=Q$19,1,0)</f>
        <v>0</v>
      </c>
      <c r="R26" s="169">
        <f>INDEX('MEC - public transport &amp; cars'!$E$296:$H$300,MATCH($C26,'MEC - public transport &amp; cars'!$C$296:$C$300,0),MATCH(R$18,'MEC - public transport &amp; cars'!$E$294:$H$294,0))*IF($E26=R$20,'General inputs'!$F$85,IF($C26=R$18,'General inputs'!$F$86,0))*IF($D26=R$19,1,0)</f>
        <v>0</v>
      </c>
      <c r="S26" s="169">
        <f>INDEX('MEC - public transport &amp; cars'!$E$296:$H$300,MATCH($C26,'MEC - public transport &amp; cars'!$C$296:$C$300,0),MATCH(S$18,'MEC - public transport &amp; cars'!$E$294:$H$294,0))*IF($E26=S$20,'General inputs'!$F$85,IF($C26=S$18,'General inputs'!$F$86,0))*IF($D26=S$19,1,0)</f>
        <v>0</v>
      </c>
      <c r="T26" s="169">
        <f>INDEX('MEC - public transport &amp; cars'!$E$296:$H$300,MATCH($C26,'MEC - public transport &amp; cars'!$C$296:$C$300,0),MATCH(T$18,'MEC - public transport &amp; cars'!$E$294:$H$294,0))*IF($E26=T$20,'General inputs'!$F$85,IF($C26=T$18,'General inputs'!$F$86,0))*IF($D26=T$19,1,0)</f>
        <v>0</v>
      </c>
      <c r="U26" s="169">
        <f>INDEX('MEC - public transport &amp; cars'!$E$296:$H$300,MATCH($C26,'MEC - public transport &amp; cars'!$C$296:$C$300,0),MATCH(U$18,'MEC - public transport &amp; cars'!$E$294:$H$294,0))*IF($E26=U$20,'General inputs'!$F$85,IF($C26=U$18,'General inputs'!$F$86,0))*IF($D26=U$19,1,0)</f>
        <v>0</v>
      </c>
      <c r="V26" s="169">
        <f>INDEX('MEC - public transport &amp; cars'!$E$296:$H$300,MATCH($C26,'MEC - public transport &amp; cars'!$C$296:$C$300,0),MATCH(V$18,'MEC - public transport &amp; cars'!$E$294:$H$294,0))*IF($E26=V$20,'General inputs'!$F$85,IF($C26=V$18,'General inputs'!$F$86,0))*IF($D26=V$19,1,0)</f>
        <v>0</v>
      </c>
      <c r="W26" s="169">
        <f>INDEX('MEC - public transport &amp; cars'!$E$296:$H$300,MATCH($C26,'MEC - public transport &amp; cars'!$C$296:$C$300,0),MATCH(W$18,'MEC - public transport &amp; cars'!$E$294:$H$294,0))*IF($E26=W$20,'General inputs'!$F$85,IF($C26=W$18,'General inputs'!$F$86,0))*IF($D26=W$19,1,0)</f>
        <v>0</v>
      </c>
      <c r="X26" s="169">
        <f>INDEX('MEC - public transport &amp; cars'!$E$296:$H$300,MATCH($C26,'MEC - public transport &amp; cars'!$C$296:$C$300,0),MATCH(X$18,'MEC - public transport &amp; cars'!$E$294:$H$294,0))*IF($E26=X$20,'General inputs'!$F$85,IF($C26=X$18,'General inputs'!$F$86,0))*IF($D26=X$19,1,0)</f>
        <v>0</v>
      </c>
      <c r="Y26" s="169">
        <f>INDEX('MEC - public transport &amp; cars'!$E$296:$H$300,MATCH($C26,'MEC - public transport &amp; cars'!$C$296:$C$300,0),MATCH(Y$18,'MEC - public transport &amp; cars'!$E$294:$H$294,0))*IF($E26=Y$20,'General inputs'!$F$85,IF($C26=Y$18,'General inputs'!$F$86,0))*IF($D26=Y$19,1,0)</f>
        <v>0</v>
      </c>
      <c r="Z26" s="169">
        <f>INDEX('MEC - public transport &amp; cars'!$E$296:$H$300,MATCH($C26,'MEC - public transport &amp; cars'!$C$296:$C$300,0),MATCH(Z$18,'MEC - public transport &amp; cars'!$E$294:$H$294,0))*IF($E26=Z$20,'General inputs'!$F$85,IF($C26=Z$18,'General inputs'!$F$86,0))*IF($D26=Z$19,1,0)</f>
        <v>0</v>
      </c>
      <c r="AA26" s="169">
        <f>INDEX('MEC - public transport &amp; cars'!$E$296:$H$300,MATCH($C26,'MEC - public transport &amp; cars'!$C$296:$C$300,0),MATCH(AA$18,'MEC - public transport &amp; cars'!$E$294:$H$294,0))*IF($E26=AA$20,'General inputs'!$F$85,IF($C26=AA$18,'General inputs'!$F$86,0))*IF($D26=AA$19,1,0)</f>
        <v>0</v>
      </c>
      <c r="AB26" s="169">
        <f>INDEX('MEC - public transport &amp; cars'!$E$296:$H$300,MATCH($C26,'MEC - public transport &amp; cars'!$C$296:$C$300,0),MATCH(AB$18,'MEC - public transport &amp; cars'!$E$294:$H$294,0))*IF($E26=AB$20,'General inputs'!$F$85,IF($C26=AB$18,'General inputs'!$F$86,0))*IF($D26=AB$19,1,0)</f>
        <v>0</v>
      </c>
      <c r="AC26" s="169">
        <f>INDEX('MEC - public transport &amp; cars'!$E$296:$H$300,MATCH($C26,'MEC - public transport &amp; cars'!$C$296:$C$300,0),MATCH(AC$18,'MEC - public transport &amp; cars'!$E$294:$H$294,0))*IF($E26=AC$20,'General inputs'!$F$85,IF($C26=AC$18,'General inputs'!$F$86,0))*IF($D26=AC$19,1,0)</f>
        <v>0</v>
      </c>
      <c r="AD26" s="169">
        <f>INDEX('MEC - public transport &amp; cars'!$E$296:$H$300,MATCH($C26,'MEC - public transport &amp; cars'!$C$296:$C$300,0),MATCH(AD$18,'MEC - public transport &amp; cars'!$E$294:$H$294,0))*IF($E26=AD$20,'General inputs'!$F$85,IF($C26=AD$18,'General inputs'!$F$86,0))*IF($D26=AD$19,1,0)</f>
        <v>0</v>
      </c>
      <c r="AE26" s="169">
        <f>INDEX('MEC - public transport &amp; cars'!$E$296:$H$300,MATCH($C26,'MEC - public transport &amp; cars'!$C$296:$C$300,0),MATCH(AE$18,'MEC - public transport &amp; cars'!$E$294:$H$294,0))*IF($E26=AE$20,'General inputs'!$F$85,IF($C26=AE$18,'General inputs'!$F$86,0))*IF($D26=AE$19,1,0)</f>
        <v>0</v>
      </c>
      <c r="AF26" s="169">
        <f>INDEX('MEC - public transport &amp; cars'!$E$296:$H$300,MATCH($C26,'MEC - public transport &amp; cars'!$C$296:$C$300,0),MATCH(AF$18,'MEC - public transport &amp; cars'!$E$294:$H$294,0))*IF($E26=AF$20,'General inputs'!$F$85,IF($C26=AF$18,'General inputs'!$F$86,0))*IF($D26=AF$19,1,0)</f>
        <v>0</v>
      </c>
      <c r="AG26" s="169">
        <f>INDEX('MEC - public transport &amp; cars'!$E$296:$H$300,MATCH($C26,'MEC - public transport &amp; cars'!$C$296:$C$300,0),MATCH(AG$18,'MEC - public transport &amp; cars'!$E$294:$H$294,0))*IF($E26=AG$20,'General inputs'!$F$85,IF($C26=AG$18,'General inputs'!$F$86,0))*IF($D26=AG$19,1,0)</f>
        <v>0</v>
      </c>
      <c r="AH26" s="169">
        <f>INDEX('MEC - public transport &amp; cars'!$E$296:$H$300,MATCH($C26,'MEC - public transport &amp; cars'!$C$296:$C$300,0),MATCH(AH$18,'MEC - public transport &amp; cars'!$E$294:$H$294,0))*IF($E26=AH$20,'General inputs'!$F$85,IF($C26=AH$18,'General inputs'!$F$86,0))*IF($D26=AH$19,1,0)</f>
        <v>0</v>
      </c>
      <c r="AI26" s="169">
        <f>INDEX('MEC - public transport &amp; cars'!$E$296:$H$300,MATCH($C26,'MEC - public transport &amp; cars'!$C$296:$C$300,0),MATCH(AI$18,'MEC - public transport &amp; cars'!$E$294:$H$294,0))*IF($E26=AI$20,'General inputs'!$F$85,IF($C26=AI$18,'General inputs'!$F$86,0))*IF($D26=AI$19,1,0)</f>
        <v>0</v>
      </c>
      <c r="AJ26" s="169">
        <f>INDEX('MEC - public transport &amp; cars'!$E$296:$H$300,MATCH($C26,'MEC - public transport &amp; cars'!$C$296:$C$300,0),MATCH(AJ$18,'MEC - public transport &amp; cars'!$E$294:$H$294,0))*IF($E26=AJ$20,'General inputs'!$F$85,IF($C26=AJ$18,'General inputs'!$F$86,0))*IF($D26=AJ$19,1,0)</f>
        <v>0</v>
      </c>
      <c r="AK26" s="169">
        <f>INDEX('MEC - public transport &amp; cars'!$E$296:$H$300,MATCH($C26,'MEC - public transport &amp; cars'!$C$296:$C$300,0),MATCH(AK$18,'MEC - public transport &amp; cars'!$E$294:$H$294,0))*IF($E26=AK$20,'General inputs'!$F$85,IF($C26=AK$18,'General inputs'!$F$86,0))*IF($D26=AK$19,1,0)</f>
        <v>0</v>
      </c>
      <c r="AL26" s="169">
        <f>INDEX('MEC - public transport &amp; cars'!$E$296:$H$300,MATCH($C26,'MEC - public transport &amp; cars'!$C$296:$C$300,0),MATCH(AL$18,'MEC - public transport &amp; cars'!$E$294:$H$294,0))*IF($E26=AL$20,'General inputs'!$F$85,IF($C26=AL$18,'General inputs'!$F$86,0))*IF($D26=AL$19,1,0)</f>
        <v>0</v>
      </c>
      <c r="AM26" s="227">
        <f>INDEX('MEC - public transport &amp; cars'!$E$296:$H$300,MATCH($C26,'MEC - public transport &amp; cars'!$C$296:$C$300,0),MATCH(AM$18,'MEC - public transport &amp; cars'!$E$294:$H$294,0))*IF($E26=AM$20,'General inputs'!$F$85,IF($C26=AM$18,'General inputs'!$F$86,0))*IF($D26=AM$19,1,0)</f>
        <v>0</v>
      </c>
    </row>
    <row r="27" spans="3:39" x14ac:dyDescent="0.25">
      <c r="C27" s="244" t="str">
        <f>'Fare optimisation'!C88</f>
        <v>Rail</v>
      </c>
      <c r="D27" s="173">
        <f>'Fare optimisation'!D88</f>
        <v>2</v>
      </c>
      <c r="E27" s="172" t="str">
        <f>'Fare optimisation'!E88</f>
        <v>Off-peak</v>
      </c>
      <c r="F27" s="173">
        <f>'General inputs'!C33</f>
        <v>5</v>
      </c>
      <c r="H27" s="169">
        <f>INDEX('MEC - public transport &amp; cars'!$E$296:$H$300,MATCH($C27,'MEC - public transport &amp; cars'!$C$296:$C$300,0),MATCH(H$18,'MEC - public transport &amp; cars'!$E$294:$H$294,0))*IF($E27=H$20,'General inputs'!$F$85,IF($C27=H$18,'General inputs'!$F$86,0))*IF($D27=H$19,1,0)</f>
        <v>-0.1</v>
      </c>
      <c r="I27" s="169">
        <f>INDEX('MEC - public transport &amp; cars'!$E$296:$H$300,MATCH($C27,'MEC - public transport &amp; cars'!$C$296:$C$300,0),MATCH(I$18,'MEC - public transport &amp; cars'!$E$294:$H$294,0))*IF($E27=I$20,'General inputs'!$F$85,IF($C27=I$18,'General inputs'!$F$86,0))*IF($D27=I$19,1,0)</f>
        <v>0</v>
      </c>
      <c r="J27" s="169">
        <f>INDEX('MEC - public transport &amp; cars'!$E$296:$H$300,MATCH($C27,'MEC - public transport &amp; cars'!$C$296:$C$300,0),MATCH(J$18,'MEC - public transport &amp; cars'!$E$294:$H$294,0))*IF($E27=J$20,'General inputs'!$F$85,IF($C27=J$18,'General inputs'!$F$86,0))*IF($D27=J$19,1,0)</f>
        <v>0</v>
      </c>
      <c r="K27" s="169">
        <f>INDEX('MEC - public transport &amp; cars'!$E$296:$H$300,MATCH($C27,'MEC - public transport &amp; cars'!$C$296:$C$300,0),MATCH(K$18,'MEC - public transport &amp; cars'!$E$294:$H$294,0))*IF($E27=K$20,'General inputs'!$F$85,IF($C27=K$18,'General inputs'!$F$86,0))*IF($D27=K$19,1,0)</f>
        <v>0</v>
      </c>
      <c r="L27" s="169">
        <f>INDEX('MEC - public transport &amp; cars'!$E$296:$H$300,MATCH($C27,'MEC - public transport &amp; cars'!$C$296:$C$300,0),MATCH(L$18,'MEC - public transport &amp; cars'!$E$294:$H$294,0))*IF($E27=L$20,'General inputs'!$F$85,IF($C27=L$18,'General inputs'!$F$86,0))*IF($D27=L$19,1,0)</f>
        <v>1</v>
      </c>
      <c r="M27" s="169">
        <f>INDEX('MEC - public transport &amp; cars'!$E$296:$H$300,MATCH($C27,'MEC - public transport &amp; cars'!$C$296:$C$300,0),MATCH(M$18,'MEC - public transport &amp; cars'!$E$294:$H$294,0))*IF($E27=M$20,'General inputs'!$F$85,IF($C27=M$18,'General inputs'!$F$86,0))*IF($D27=M$19,1,0)</f>
        <v>0</v>
      </c>
      <c r="N27" s="169">
        <f>INDEX('MEC - public transport &amp; cars'!$E$296:$H$300,MATCH($C27,'MEC - public transport &amp; cars'!$C$296:$C$300,0),MATCH(N$18,'MEC - public transport &amp; cars'!$E$294:$H$294,0))*IF($E27=N$20,'General inputs'!$F$85,IF($C27=N$18,'General inputs'!$F$86,0))*IF($D27=N$19,1,0)</f>
        <v>0</v>
      </c>
      <c r="O27" s="169">
        <f>INDEX('MEC - public transport &amp; cars'!$E$296:$H$300,MATCH($C27,'MEC - public transport &amp; cars'!$C$296:$C$300,0),MATCH(O$18,'MEC - public transport &amp; cars'!$E$294:$H$294,0))*IF($E27=O$20,'General inputs'!$F$85,IF($C27=O$18,'General inputs'!$F$86,0))*IF($D27=O$19,1,0)</f>
        <v>0</v>
      </c>
      <c r="P27" s="169">
        <f>INDEX('MEC - public transport &amp; cars'!$E$296:$H$300,MATCH($C27,'MEC - public transport &amp; cars'!$C$296:$C$300,0),MATCH(P$18,'MEC - public transport &amp; cars'!$E$294:$H$294,0))*IF($E27=P$20,'General inputs'!$F$85,IF($C27=P$18,'General inputs'!$F$86,0))*IF($D27=P$19,1,0)</f>
        <v>0</v>
      </c>
      <c r="Q27" s="169">
        <f>INDEX('MEC - public transport &amp; cars'!$E$296:$H$300,MATCH($C27,'MEC - public transport &amp; cars'!$C$296:$C$300,0),MATCH(Q$18,'MEC - public transport &amp; cars'!$E$294:$H$294,0))*IF($E27=Q$20,'General inputs'!$F$85,IF($C27=Q$18,'General inputs'!$F$86,0))*IF($D27=Q$19,1,0)</f>
        <v>0</v>
      </c>
      <c r="R27" s="169">
        <f>INDEX('MEC - public transport &amp; cars'!$E$296:$H$300,MATCH($C27,'MEC - public transport &amp; cars'!$C$296:$C$300,0),MATCH(R$18,'MEC - public transport &amp; cars'!$E$294:$H$294,0))*IF($E27=R$20,'General inputs'!$F$85,IF($C27=R$18,'General inputs'!$F$86,0))*IF($D27=R$19,1,0)</f>
        <v>0</v>
      </c>
      <c r="S27" s="169">
        <f>INDEX('MEC - public transport &amp; cars'!$E$296:$H$300,MATCH($C27,'MEC - public transport &amp; cars'!$C$296:$C$300,0),MATCH(S$18,'MEC - public transport &amp; cars'!$E$294:$H$294,0))*IF($E27=S$20,'General inputs'!$F$85,IF($C27=S$18,'General inputs'!$F$86,0))*IF($D27=S$19,1,0)</f>
        <v>0</v>
      </c>
      <c r="T27" s="169">
        <f>INDEX('MEC - public transport &amp; cars'!$E$296:$H$300,MATCH($C27,'MEC - public transport &amp; cars'!$C$296:$C$300,0),MATCH(T$18,'MEC - public transport &amp; cars'!$E$294:$H$294,0))*IF($E27=T$20,'General inputs'!$F$85,IF($C27=T$18,'General inputs'!$F$86,0))*IF($D27=T$19,1,0)</f>
        <v>0</v>
      </c>
      <c r="U27" s="169">
        <f>INDEX('MEC - public transport &amp; cars'!$E$296:$H$300,MATCH($C27,'MEC - public transport &amp; cars'!$C$296:$C$300,0),MATCH(U$18,'MEC - public transport &amp; cars'!$E$294:$H$294,0))*IF($E27=U$20,'General inputs'!$F$85,IF($C27=U$18,'General inputs'!$F$86,0))*IF($D27=U$19,1,0)</f>
        <v>0</v>
      </c>
      <c r="V27" s="169">
        <f>INDEX('MEC - public transport &amp; cars'!$E$296:$H$300,MATCH($C27,'MEC - public transport &amp; cars'!$C$296:$C$300,0),MATCH(V$18,'MEC - public transport &amp; cars'!$E$294:$H$294,0))*IF($E27=V$20,'General inputs'!$F$85,IF($C27=V$18,'General inputs'!$F$86,0))*IF($D27=V$19,1,0)</f>
        <v>0</v>
      </c>
      <c r="W27" s="169">
        <f>INDEX('MEC - public transport &amp; cars'!$E$296:$H$300,MATCH($C27,'MEC - public transport &amp; cars'!$C$296:$C$300,0),MATCH(W$18,'MEC - public transport &amp; cars'!$E$294:$H$294,0))*IF($E27=W$20,'General inputs'!$F$85,IF($C27=W$18,'General inputs'!$F$86,0))*IF($D27=W$19,1,0)</f>
        <v>0</v>
      </c>
      <c r="X27" s="169">
        <f>INDEX('MEC - public transport &amp; cars'!$E$296:$H$300,MATCH($C27,'MEC - public transport &amp; cars'!$C$296:$C$300,0),MATCH(X$18,'MEC - public transport &amp; cars'!$E$294:$H$294,0))*IF($E27=X$20,'General inputs'!$F$85,IF($C27=X$18,'General inputs'!$F$86,0))*IF($D27=X$19,1,0)</f>
        <v>0</v>
      </c>
      <c r="Y27" s="169">
        <f>INDEX('MEC - public transport &amp; cars'!$E$296:$H$300,MATCH($C27,'MEC - public transport &amp; cars'!$C$296:$C$300,0),MATCH(Y$18,'MEC - public transport &amp; cars'!$E$294:$H$294,0))*IF($E27=Y$20,'General inputs'!$F$85,IF($C27=Y$18,'General inputs'!$F$86,0))*IF($D27=Y$19,1,0)</f>
        <v>0</v>
      </c>
      <c r="Z27" s="169">
        <f>INDEX('MEC - public transport &amp; cars'!$E$296:$H$300,MATCH($C27,'MEC - public transport &amp; cars'!$C$296:$C$300,0),MATCH(Z$18,'MEC - public transport &amp; cars'!$E$294:$H$294,0))*IF($E27=Z$20,'General inputs'!$F$85,IF($C27=Z$18,'General inputs'!$F$86,0))*IF($D27=Z$19,1,0)</f>
        <v>0</v>
      </c>
      <c r="AA27" s="169">
        <f>INDEX('MEC - public transport &amp; cars'!$E$296:$H$300,MATCH($C27,'MEC - public transport &amp; cars'!$C$296:$C$300,0),MATCH(AA$18,'MEC - public transport &amp; cars'!$E$294:$H$294,0))*IF($E27=AA$20,'General inputs'!$F$85,IF($C27=AA$18,'General inputs'!$F$86,0))*IF($D27=AA$19,1,0)</f>
        <v>0</v>
      </c>
      <c r="AB27" s="169">
        <f>INDEX('MEC - public transport &amp; cars'!$E$296:$H$300,MATCH($C27,'MEC - public transport &amp; cars'!$C$296:$C$300,0),MATCH(AB$18,'MEC - public transport &amp; cars'!$E$294:$H$294,0))*IF($E27=AB$20,'General inputs'!$F$85,IF($C27=AB$18,'General inputs'!$F$86,0))*IF($D27=AB$19,1,0)</f>
        <v>0</v>
      </c>
      <c r="AC27" s="169">
        <f>INDEX('MEC - public transport &amp; cars'!$E$296:$H$300,MATCH($C27,'MEC - public transport &amp; cars'!$C$296:$C$300,0),MATCH(AC$18,'MEC - public transport &amp; cars'!$E$294:$H$294,0))*IF($E27=AC$20,'General inputs'!$F$85,IF($C27=AC$18,'General inputs'!$F$86,0))*IF($D27=AC$19,1,0)</f>
        <v>0</v>
      </c>
      <c r="AD27" s="169">
        <f>INDEX('MEC - public transport &amp; cars'!$E$296:$H$300,MATCH($C27,'MEC - public transport &amp; cars'!$C$296:$C$300,0),MATCH(AD$18,'MEC - public transport &amp; cars'!$E$294:$H$294,0))*IF($E27=AD$20,'General inputs'!$F$85,IF($C27=AD$18,'General inputs'!$F$86,0))*IF($D27=AD$19,1,0)</f>
        <v>0</v>
      </c>
      <c r="AE27" s="169">
        <f>INDEX('MEC - public transport &amp; cars'!$E$296:$H$300,MATCH($C27,'MEC - public transport &amp; cars'!$C$296:$C$300,0),MATCH(AE$18,'MEC - public transport &amp; cars'!$E$294:$H$294,0))*IF($E27=AE$20,'General inputs'!$F$85,IF($C27=AE$18,'General inputs'!$F$86,0))*IF($D27=AE$19,1,0)</f>
        <v>0</v>
      </c>
      <c r="AF27" s="169">
        <f>INDEX('MEC - public transport &amp; cars'!$E$296:$H$300,MATCH($C27,'MEC - public transport &amp; cars'!$C$296:$C$300,0),MATCH(AF$18,'MEC - public transport &amp; cars'!$E$294:$H$294,0))*IF($E27=AF$20,'General inputs'!$F$85,IF($C27=AF$18,'General inputs'!$F$86,0))*IF($D27=AF$19,1,0)</f>
        <v>0</v>
      </c>
      <c r="AG27" s="169">
        <f>INDEX('MEC - public transport &amp; cars'!$E$296:$H$300,MATCH($C27,'MEC - public transport &amp; cars'!$C$296:$C$300,0),MATCH(AG$18,'MEC - public transport &amp; cars'!$E$294:$H$294,0))*IF($E27=AG$20,'General inputs'!$F$85,IF($C27=AG$18,'General inputs'!$F$86,0))*IF($D27=AG$19,1,0)</f>
        <v>0</v>
      </c>
      <c r="AH27" s="169">
        <f>INDEX('MEC - public transport &amp; cars'!$E$296:$H$300,MATCH($C27,'MEC - public transport &amp; cars'!$C$296:$C$300,0),MATCH(AH$18,'MEC - public transport &amp; cars'!$E$294:$H$294,0))*IF($E27=AH$20,'General inputs'!$F$85,IF($C27=AH$18,'General inputs'!$F$86,0))*IF($D27=AH$19,1,0)</f>
        <v>0</v>
      </c>
      <c r="AI27" s="169">
        <f>INDEX('MEC - public transport &amp; cars'!$E$296:$H$300,MATCH($C27,'MEC - public transport &amp; cars'!$C$296:$C$300,0),MATCH(AI$18,'MEC - public transport &amp; cars'!$E$294:$H$294,0))*IF($E27=AI$20,'General inputs'!$F$85,IF($C27=AI$18,'General inputs'!$F$86,0))*IF($D27=AI$19,1,0)</f>
        <v>0</v>
      </c>
      <c r="AJ27" s="169">
        <f>INDEX('MEC - public transport &amp; cars'!$E$296:$H$300,MATCH($C27,'MEC - public transport &amp; cars'!$C$296:$C$300,0),MATCH(AJ$18,'MEC - public transport &amp; cars'!$E$294:$H$294,0))*IF($E27=AJ$20,'General inputs'!$F$85,IF($C27=AJ$18,'General inputs'!$F$86,0))*IF($D27=AJ$19,1,0)</f>
        <v>0</v>
      </c>
      <c r="AK27" s="169">
        <f>INDEX('MEC - public transport &amp; cars'!$E$296:$H$300,MATCH($C27,'MEC - public transport &amp; cars'!$C$296:$C$300,0),MATCH(AK$18,'MEC - public transport &amp; cars'!$E$294:$H$294,0))*IF($E27=AK$20,'General inputs'!$F$85,IF($C27=AK$18,'General inputs'!$F$86,0))*IF($D27=AK$19,1,0)</f>
        <v>0</v>
      </c>
      <c r="AL27" s="169">
        <f>INDEX('MEC - public transport &amp; cars'!$E$296:$H$300,MATCH($C27,'MEC - public transport &amp; cars'!$C$296:$C$300,0),MATCH(AL$18,'MEC - public transport &amp; cars'!$E$294:$H$294,0))*IF($E27=AL$20,'General inputs'!$F$85,IF($C27=AL$18,'General inputs'!$F$86,0))*IF($D27=AL$19,1,0)</f>
        <v>0</v>
      </c>
      <c r="AM27" s="227">
        <f>INDEX('MEC - public transport &amp; cars'!$E$296:$H$300,MATCH($C27,'MEC - public transport &amp; cars'!$C$296:$C$300,0),MATCH(AM$18,'MEC - public transport &amp; cars'!$E$294:$H$294,0))*IF($E27=AM$20,'General inputs'!$F$85,IF($C27=AM$18,'General inputs'!$F$86,0))*IF($D27=AM$19,1,0)</f>
        <v>0</v>
      </c>
    </row>
    <row r="28" spans="3:39" x14ac:dyDescent="0.25">
      <c r="C28" s="244" t="str">
        <f>'Fare optimisation'!C89</f>
        <v>Rail</v>
      </c>
      <c r="D28" s="173">
        <f>'Fare optimisation'!D89</f>
        <v>5</v>
      </c>
      <c r="E28" s="172" t="str">
        <f>'Fare optimisation'!E89</f>
        <v>Off-peak</v>
      </c>
      <c r="F28" s="173">
        <f>'General inputs'!C34</f>
        <v>6</v>
      </c>
      <c r="H28" s="169">
        <f>INDEX('MEC - public transport &amp; cars'!$E$296:$H$300,MATCH($C28,'MEC - public transport &amp; cars'!$C$296:$C$300,0),MATCH(H$18,'MEC - public transport &amp; cars'!$E$294:$H$294,0))*IF($E28=H$20,'General inputs'!$F$85,IF($C28=H$18,'General inputs'!$F$86,0))*IF($D28=H$19,1,0)</f>
        <v>0</v>
      </c>
      <c r="I28" s="169">
        <f>INDEX('MEC - public transport &amp; cars'!$E$296:$H$300,MATCH($C28,'MEC - public transport &amp; cars'!$C$296:$C$300,0),MATCH(I$18,'MEC - public transport &amp; cars'!$E$294:$H$294,0))*IF($E28=I$20,'General inputs'!$F$85,IF($C28=I$18,'General inputs'!$F$86,0))*IF($D28=I$19,1,0)</f>
        <v>-0.1</v>
      </c>
      <c r="J28" s="169">
        <f>INDEX('MEC - public transport &amp; cars'!$E$296:$H$300,MATCH($C28,'MEC - public transport &amp; cars'!$C$296:$C$300,0),MATCH(J$18,'MEC - public transport &amp; cars'!$E$294:$H$294,0))*IF($E28=J$20,'General inputs'!$F$85,IF($C28=J$18,'General inputs'!$F$86,0))*IF($D28=J$19,1,0)</f>
        <v>0</v>
      </c>
      <c r="K28" s="169">
        <f>INDEX('MEC - public transport &amp; cars'!$E$296:$H$300,MATCH($C28,'MEC - public transport &amp; cars'!$C$296:$C$300,0),MATCH(K$18,'MEC - public transport &amp; cars'!$E$294:$H$294,0))*IF($E28=K$20,'General inputs'!$F$85,IF($C28=K$18,'General inputs'!$F$86,0))*IF($D28=K$19,1,0)</f>
        <v>0</v>
      </c>
      <c r="L28" s="169">
        <f>INDEX('MEC - public transport &amp; cars'!$E$296:$H$300,MATCH($C28,'MEC - public transport &amp; cars'!$C$296:$C$300,0),MATCH(L$18,'MEC - public transport &amp; cars'!$E$294:$H$294,0))*IF($E28=L$20,'General inputs'!$F$85,IF($C28=L$18,'General inputs'!$F$86,0))*IF($D28=L$19,1,0)</f>
        <v>0</v>
      </c>
      <c r="M28" s="169">
        <f>INDEX('MEC - public transport &amp; cars'!$E$296:$H$300,MATCH($C28,'MEC - public transport &amp; cars'!$C$296:$C$300,0),MATCH(M$18,'MEC - public transport &amp; cars'!$E$294:$H$294,0))*IF($E28=M$20,'General inputs'!$F$85,IF($C28=M$18,'General inputs'!$F$86,0))*IF($D28=M$19,1,0)</f>
        <v>1</v>
      </c>
      <c r="N28" s="169">
        <f>INDEX('MEC - public transport &amp; cars'!$E$296:$H$300,MATCH($C28,'MEC - public transport &amp; cars'!$C$296:$C$300,0),MATCH(N$18,'MEC - public transport &amp; cars'!$E$294:$H$294,0))*IF($E28=N$20,'General inputs'!$F$85,IF($C28=N$18,'General inputs'!$F$86,0))*IF($D28=N$19,1,0)</f>
        <v>0</v>
      </c>
      <c r="O28" s="169">
        <f>INDEX('MEC - public transport &amp; cars'!$E$296:$H$300,MATCH($C28,'MEC - public transport &amp; cars'!$C$296:$C$300,0),MATCH(O$18,'MEC - public transport &amp; cars'!$E$294:$H$294,0))*IF($E28=O$20,'General inputs'!$F$85,IF($C28=O$18,'General inputs'!$F$86,0))*IF($D28=O$19,1,0)</f>
        <v>0</v>
      </c>
      <c r="P28" s="169">
        <f>INDEX('MEC - public transport &amp; cars'!$E$296:$H$300,MATCH($C28,'MEC - public transport &amp; cars'!$C$296:$C$300,0),MATCH(P$18,'MEC - public transport &amp; cars'!$E$294:$H$294,0))*IF($E28=P$20,'General inputs'!$F$85,IF($C28=P$18,'General inputs'!$F$86,0))*IF($D28=P$19,1,0)</f>
        <v>0</v>
      </c>
      <c r="Q28" s="169">
        <f>INDEX('MEC - public transport &amp; cars'!$E$296:$H$300,MATCH($C28,'MEC - public transport &amp; cars'!$C$296:$C$300,0),MATCH(Q$18,'MEC - public transport &amp; cars'!$E$294:$H$294,0))*IF($E28=Q$20,'General inputs'!$F$85,IF($C28=Q$18,'General inputs'!$F$86,0))*IF($D28=Q$19,1,0)</f>
        <v>0</v>
      </c>
      <c r="R28" s="169">
        <f>INDEX('MEC - public transport &amp; cars'!$E$296:$H$300,MATCH($C28,'MEC - public transport &amp; cars'!$C$296:$C$300,0),MATCH(R$18,'MEC - public transport &amp; cars'!$E$294:$H$294,0))*IF($E28=R$20,'General inputs'!$F$85,IF($C28=R$18,'General inputs'!$F$86,0))*IF($D28=R$19,1,0)</f>
        <v>0</v>
      </c>
      <c r="S28" s="169">
        <f>INDEX('MEC - public transport &amp; cars'!$E$296:$H$300,MATCH($C28,'MEC - public transport &amp; cars'!$C$296:$C$300,0),MATCH(S$18,'MEC - public transport &amp; cars'!$E$294:$H$294,0))*IF($E28=S$20,'General inputs'!$F$85,IF($C28=S$18,'General inputs'!$F$86,0))*IF($D28=S$19,1,0)</f>
        <v>0</v>
      </c>
      <c r="T28" s="169">
        <f>INDEX('MEC - public transport &amp; cars'!$E$296:$H$300,MATCH($C28,'MEC - public transport &amp; cars'!$C$296:$C$300,0),MATCH(T$18,'MEC - public transport &amp; cars'!$E$294:$H$294,0))*IF($E28=T$20,'General inputs'!$F$85,IF($C28=T$18,'General inputs'!$F$86,0))*IF($D28=T$19,1,0)</f>
        <v>0</v>
      </c>
      <c r="U28" s="169">
        <f>INDEX('MEC - public transport &amp; cars'!$E$296:$H$300,MATCH($C28,'MEC - public transport &amp; cars'!$C$296:$C$300,0),MATCH(U$18,'MEC - public transport &amp; cars'!$E$294:$H$294,0))*IF($E28=U$20,'General inputs'!$F$85,IF($C28=U$18,'General inputs'!$F$86,0))*IF($D28=U$19,1,0)</f>
        <v>0</v>
      </c>
      <c r="V28" s="169">
        <f>INDEX('MEC - public transport &amp; cars'!$E$296:$H$300,MATCH($C28,'MEC - public transport &amp; cars'!$C$296:$C$300,0),MATCH(V$18,'MEC - public transport &amp; cars'!$E$294:$H$294,0))*IF($E28=V$20,'General inputs'!$F$85,IF($C28=V$18,'General inputs'!$F$86,0))*IF($D28=V$19,1,0)</f>
        <v>0</v>
      </c>
      <c r="W28" s="169">
        <f>INDEX('MEC - public transport &amp; cars'!$E$296:$H$300,MATCH($C28,'MEC - public transport &amp; cars'!$C$296:$C$300,0),MATCH(W$18,'MEC - public transport &amp; cars'!$E$294:$H$294,0))*IF($E28=W$20,'General inputs'!$F$85,IF($C28=W$18,'General inputs'!$F$86,0))*IF($D28=W$19,1,0)</f>
        <v>0</v>
      </c>
      <c r="X28" s="169">
        <f>INDEX('MEC - public transport &amp; cars'!$E$296:$H$300,MATCH($C28,'MEC - public transport &amp; cars'!$C$296:$C$300,0),MATCH(X$18,'MEC - public transport &amp; cars'!$E$294:$H$294,0))*IF($E28=X$20,'General inputs'!$F$85,IF($C28=X$18,'General inputs'!$F$86,0))*IF($D28=X$19,1,0)</f>
        <v>0</v>
      </c>
      <c r="Y28" s="169">
        <f>INDEX('MEC - public transport &amp; cars'!$E$296:$H$300,MATCH($C28,'MEC - public transport &amp; cars'!$C$296:$C$300,0),MATCH(Y$18,'MEC - public transport &amp; cars'!$E$294:$H$294,0))*IF($E28=Y$20,'General inputs'!$F$85,IF($C28=Y$18,'General inputs'!$F$86,0))*IF($D28=Y$19,1,0)</f>
        <v>0</v>
      </c>
      <c r="Z28" s="169">
        <f>INDEX('MEC - public transport &amp; cars'!$E$296:$H$300,MATCH($C28,'MEC - public transport &amp; cars'!$C$296:$C$300,0),MATCH(Z$18,'MEC - public transport &amp; cars'!$E$294:$H$294,0))*IF($E28=Z$20,'General inputs'!$F$85,IF($C28=Z$18,'General inputs'!$F$86,0))*IF($D28=Z$19,1,0)</f>
        <v>0</v>
      </c>
      <c r="AA28" s="169">
        <f>INDEX('MEC - public transport &amp; cars'!$E$296:$H$300,MATCH($C28,'MEC - public transport &amp; cars'!$C$296:$C$300,0),MATCH(AA$18,'MEC - public transport &amp; cars'!$E$294:$H$294,0))*IF($E28=AA$20,'General inputs'!$F$85,IF($C28=AA$18,'General inputs'!$F$86,0))*IF($D28=AA$19,1,0)</f>
        <v>0</v>
      </c>
      <c r="AB28" s="169">
        <f>INDEX('MEC - public transport &amp; cars'!$E$296:$H$300,MATCH($C28,'MEC - public transport &amp; cars'!$C$296:$C$300,0),MATCH(AB$18,'MEC - public transport &amp; cars'!$E$294:$H$294,0))*IF($E28=AB$20,'General inputs'!$F$85,IF($C28=AB$18,'General inputs'!$F$86,0))*IF($D28=AB$19,1,0)</f>
        <v>0</v>
      </c>
      <c r="AC28" s="169">
        <f>INDEX('MEC - public transport &amp; cars'!$E$296:$H$300,MATCH($C28,'MEC - public transport &amp; cars'!$C$296:$C$300,0),MATCH(AC$18,'MEC - public transport &amp; cars'!$E$294:$H$294,0))*IF($E28=AC$20,'General inputs'!$F$85,IF($C28=AC$18,'General inputs'!$F$86,0))*IF($D28=AC$19,1,0)</f>
        <v>0</v>
      </c>
      <c r="AD28" s="169">
        <f>INDEX('MEC - public transport &amp; cars'!$E$296:$H$300,MATCH($C28,'MEC - public transport &amp; cars'!$C$296:$C$300,0),MATCH(AD$18,'MEC - public transport &amp; cars'!$E$294:$H$294,0))*IF($E28=AD$20,'General inputs'!$F$85,IF($C28=AD$18,'General inputs'!$F$86,0))*IF($D28=AD$19,1,0)</f>
        <v>0</v>
      </c>
      <c r="AE28" s="169">
        <f>INDEX('MEC - public transport &amp; cars'!$E$296:$H$300,MATCH($C28,'MEC - public transport &amp; cars'!$C$296:$C$300,0),MATCH(AE$18,'MEC - public transport &amp; cars'!$E$294:$H$294,0))*IF($E28=AE$20,'General inputs'!$F$85,IF($C28=AE$18,'General inputs'!$F$86,0))*IF($D28=AE$19,1,0)</f>
        <v>0</v>
      </c>
      <c r="AF28" s="169">
        <f>INDEX('MEC - public transport &amp; cars'!$E$296:$H$300,MATCH($C28,'MEC - public transport &amp; cars'!$C$296:$C$300,0),MATCH(AF$18,'MEC - public transport &amp; cars'!$E$294:$H$294,0))*IF($E28=AF$20,'General inputs'!$F$85,IF($C28=AF$18,'General inputs'!$F$86,0))*IF($D28=AF$19,1,0)</f>
        <v>0</v>
      </c>
      <c r="AG28" s="169">
        <f>INDEX('MEC - public transport &amp; cars'!$E$296:$H$300,MATCH($C28,'MEC - public transport &amp; cars'!$C$296:$C$300,0),MATCH(AG$18,'MEC - public transport &amp; cars'!$E$294:$H$294,0))*IF($E28=AG$20,'General inputs'!$F$85,IF($C28=AG$18,'General inputs'!$F$86,0))*IF($D28=AG$19,1,0)</f>
        <v>0</v>
      </c>
      <c r="AH28" s="169">
        <f>INDEX('MEC - public transport &amp; cars'!$E$296:$H$300,MATCH($C28,'MEC - public transport &amp; cars'!$C$296:$C$300,0),MATCH(AH$18,'MEC - public transport &amp; cars'!$E$294:$H$294,0))*IF($E28=AH$20,'General inputs'!$F$85,IF($C28=AH$18,'General inputs'!$F$86,0))*IF($D28=AH$19,1,0)</f>
        <v>0</v>
      </c>
      <c r="AI28" s="169">
        <f>INDEX('MEC - public transport &amp; cars'!$E$296:$H$300,MATCH($C28,'MEC - public transport &amp; cars'!$C$296:$C$300,0),MATCH(AI$18,'MEC - public transport &amp; cars'!$E$294:$H$294,0))*IF($E28=AI$20,'General inputs'!$F$85,IF($C28=AI$18,'General inputs'!$F$86,0))*IF($D28=AI$19,1,0)</f>
        <v>0</v>
      </c>
      <c r="AJ28" s="169">
        <f>INDEX('MEC - public transport &amp; cars'!$E$296:$H$300,MATCH($C28,'MEC - public transport &amp; cars'!$C$296:$C$300,0),MATCH(AJ$18,'MEC - public transport &amp; cars'!$E$294:$H$294,0))*IF($E28=AJ$20,'General inputs'!$F$85,IF($C28=AJ$18,'General inputs'!$F$86,0))*IF($D28=AJ$19,1,0)</f>
        <v>0</v>
      </c>
      <c r="AK28" s="169">
        <f>INDEX('MEC - public transport &amp; cars'!$E$296:$H$300,MATCH($C28,'MEC - public transport &amp; cars'!$C$296:$C$300,0),MATCH(AK$18,'MEC - public transport &amp; cars'!$E$294:$H$294,0))*IF($E28=AK$20,'General inputs'!$F$85,IF($C28=AK$18,'General inputs'!$F$86,0))*IF($D28=AK$19,1,0)</f>
        <v>0</v>
      </c>
      <c r="AL28" s="169">
        <f>INDEX('MEC - public transport &amp; cars'!$E$296:$H$300,MATCH($C28,'MEC - public transport &amp; cars'!$C$296:$C$300,0),MATCH(AL$18,'MEC - public transport &amp; cars'!$E$294:$H$294,0))*IF($E28=AL$20,'General inputs'!$F$85,IF($C28=AL$18,'General inputs'!$F$86,0))*IF($D28=AL$19,1,0)</f>
        <v>0</v>
      </c>
      <c r="AM28" s="227">
        <f>INDEX('MEC - public transport &amp; cars'!$E$296:$H$300,MATCH($C28,'MEC - public transport &amp; cars'!$C$296:$C$300,0),MATCH(AM$18,'MEC - public transport &amp; cars'!$E$294:$H$294,0))*IF($E28=AM$20,'General inputs'!$F$85,IF($C28=AM$18,'General inputs'!$F$86,0))*IF($D28=AM$19,1,0)</f>
        <v>0</v>
      </c>
    </row>
    <row r="29" spans="3:39" x14ac:dyDescent="0.25">
      <c r="C29" s="244" t="str">
        <f>'Fare optimisation'!C90</f>
        <v>Rail</v>
      </c>
      <c r="D29" s="173">
        <f>'Fare optimisation'!D90</f>
        <v>15</v>
      </c>
      <c r="E29" s="172" t="str">
        <f>'Fare optimisation'!E90</f>
        <v>Off-peak</v>
      </c>
      <c r="F29" s="173">
        <f>'General inputs'!C35</f>
        <v>7</v>
      </c>
      <c r="H29" s="169">
        <f>INDEX('MEC - public transport &amp; cars'!$E$296:$H$300,MATCH($C29,'MEC - public transport &amp; cars'!$C$296:$C$300,0),MATCH(H$18,'MEC - public transport &amp; cars'!$E$294:$H$294,0))*IF($E29=H$20,'General inputs'!$F$85,IF($C29=H$18,'General inputs'!$F$86,0))*IF($D29=H$19,1,0)</f>
        <v>0</v>
      </c>
      <c r="I29" s="169">
        <f>INDEX('MEC - public transport &amp; cars'!$E$296:$H$300,MATCH($C29,'MEC - public transport &amp; cars'!$C$296:$C$300,0),MATCH(I$18,'MEC - public transport &amp; cars'!$E$294:$H$294,0))*IF($E29=I$20,'General inputs'!$F$85,IF($C29=I$18,'General inputs'!$F$86,0))*IF($D29=I$19,1,0)</f>
        <v>0</v>
      </c>
      <c r="J29" s="169">
        <f>INDEX('MEC - public transport &amp; cars'!$E$296:$H$300,MATCH($C29,'MEC - public transport &amp; cars'!$C$296:$C$300,0),MATCH(J$18,'MEC - public transport &amp; cars'!$E$294:$H$294,0))*IF($E29=J$20,'General inputs'!$F$85,IF($C29=J$18,'General inputs'!$F$86,0))*IF($D29=J$19,1,0)</f>
        <v>-0.1</v>
      </c>
      <c r="K29" s="169">
        <f>INDEX('MEC - public transport &amp; cars'!$E$296:$H$300,MATCH($C29,'MEC - public transport &amp; cars'!$C$296:$C$300,0),MATCH(K$18,'MEC - public transport &amp; cars'!$E$294:$H$294,0))*IF($E29=K$20,'General inputs'!$F$85,IF($C29=K$18,'General inputs'!$F$86,0))*IF($D29=K$19,1,0)</f>
        <v>0</v>
      </c>
      <c r="L29" s="169">
        <f>INDEX('MEC - public transport &amp; cars'!$E$296:$H$300,MATCH($C29,'MEC - public transport &amp; cars'!$C$296:$C$300,0),MATCH(L$18,'MEC - public transport &amp; cars'!$E$294:$H$294,0))*IF($E29=L$20,'General inputs'!$F$85,IF($C29=L$18,'General inputs'!$F$86,0))*IF($D29=L$19,1,0)</f>
        <v>0</v>
      </c>
      <c r="M29" s="169">
        <f>INDEX('MEC - public transport &amp; cars'!$E$296:$H$300,MATCH($C29,'MEC - public transport &amp; cars'!$C$296:$C$300,0),MATCH(M$18,'MEC - public transport &amp; cars'!$E$294:$H$294,0))*IF($E29=M$20,'General inputs'!$F$85,IF($C29=M$18,'General inputs'!$F$86,0))*IF($D29=M$19,1,0)</f>
        <v>0</v>
      </c>
      <c r="N29" s="169">
        <f>INDEX('MEC - public transport &amp; cars'!$E$296:$H$300,MATCH($C29,'MEC - public transport &amp; cars'!$C$296:$C$300,0),MATCH(N$18,'MEC - public transport &amp; cars'!$E$294:$H$294,0))*IF($E29=N$20,'General inputs'!$F$85,IF($C29=N$18,'General inputs'!$F$86,0))*IF($D29=N$19,1,0)</f>
        <v>1</v>
      </c>
      <c r="O29" s="169">
        <f>INDEX('MEC - public transport &amp; cars'!$E$296:$H$300,MATCH($C29,'MEC - public transport &amp; cars'!$C$296:$C$300,0),MATCH(O$18,'MEC - public transport &amp; cars'!$E$294:$H$294,0))*IF($E29=O$20,'General inputs'!$F$85,IF($C29=O$18,'General inputs'!$F$86,0))*IF($D29=O$19,1,0)</f>
        <v>0</v>
      </c>
      <c r="P29" s="169">
        <f>INDEX('MEC - public transport &amp; cars'!$E$296:$H$300,MATCH($C29,'MEC - public transport &amp; cars'!$C$296:$C$300,0),MATCH(P$18,'MEC - public transport &amp; cars'!$E$294:$H$294,0))*IF($E29=P$20,'General inputs'!$F$85,IF($C29=P$18,'General inputs'!$F$86,0))*IF($D29=P$19,1,0)</f>
        <v>0</v>
      </c>
      <c r="Q29" s="169">
        <f>INDEX('MEC - public transport &amp; cars'!$E$296:$H$300,MATCH($C29,'MEC - public transport &amp; cars'!$C$296:$C$300,0),MATCH(Q$18,'MEC - public transport &amp; cars'!$E$294:$H$294,0))*IF($E29=Q$20,'General inputs'!$F$85,IF($C29=Q$18,'General inputs'!$F$86,0))*IF($D29=Q$19,1,0)</f>
        <v>0</v>
      </c>
      <c r="R29" s="169">
        <f>INDEX('MEC - public transport &amp; cars'!$E$296:$H$300,MATCH($C29,'MEC - public transport &amp; cars'!$C$296:$C$300,0),MATCH(R$18,'MEC - public transport &amp; cars'!$E$294:$H$294,0))*IF($E29=R$20,'General inputs'!$F$85,IF($C29=R$18,'General inputs'!$F$86,0))*IF($D29=R$19,1,0)</f>
        <v>0</v>
      </c>
      <c r="S29" s="169">
        <f>INDEX('MEC - public transport &amp; cars'!$E$296:$H$300,MATCH($C29,'MEC - public transport &amp; cars'!$C$296:$C$300,0),MATCH(S$18,'MEC - public transport &amp; cars'!$E$294:$H$294,0))*IF($E29=S$20,'General inputs'!$F$85,IF($C29=S$18,'General inputs'!$F$86,0))*IF($D29=S$19,1,0)</f>
        <v>0</v>
      </c>
      <c r="T29" s="169">
        <f>INDEX('MEC - public transport &amp; cars'!$E$296:$H$300,MATCH($C29,'MEC - public transport &amp; cars'!$C$296:$C$300,0),MATCH(T$18,'MEC - public transport &amp; cars'!$E$294:$H$294,0))*IF($E29=T$20,'General inputs'!$F$85,IF($C29=T$18,'General inputs'!$F$86,0))*IF($D29=T$19,1,0)</f>
        <v>0</v>
      </c>
      <c r="U29" s="169">
        <f>INDEX('MEC - public transport &amp; cars'!$E$296:$H$300,MATCH($C29,'MEC - public transport &amp; cars'!$C$296:$C$300,0),MATCH(U$18,'MEC - public transport &amp; cars'!$E$294:$H$294,0))*IF($E29=U$20,'General inputs'!$F$85,IF($C29=U$18,'General inputs'!$F$86,0))*IF($D29=U$19,1,0)</f>
        <v>0</v>
      </c>
      <c r="V29" s="169">
        <f>INDEX('MEC - public transport &amp; cars'!$E$296:$H$300,MATCH($C29,'MEC - public transport &amp; cars'!$C$296:$C$300,0),MATCH(V$18,'MEC - public transport &amp; cars'!$E$294:$H$294,0))*IF($E29=V$20,'General inputs'!$F$85,IF($C29=V$18,'General inputs'!$F$86,0))*IF($D29=V$19,1,0)</f>
        <v>0</v>
      </c>
      <c r="W29" s="169">
        <f>INDEX('MEC - public transport &amp; cars'!$E$296:$H$300,MATCH($C29,'MEC - public transport &amp; cars'!$C$296:$C$300,0),MATCH(W$18,'MEC - public transport &amp; cars'!$E$294:$H$294,0))*IF($E29=W$20,'General inputs'!$F$85,IF($C29=W$18,'General inputs'!$F$86,0))*IF($D29=W$19,1,0)</f>
        <v>0</v>
      </c>
      <c r="X29" s="169">
        <f>INDEX('MEC - public transport &amp; cars'!$E$296:$H$300,MATCH($C29,'MEC - public transport &amp; cars'!$C$296:$C$300,0),MATCH(X$18,'MEC - public transport &amp; cars'!$E$294:$H$294,0))*IF($E29=X$20,'General inputs'!$F$85,IF($C29=X$18,'General inputs'!$F$86,0))*IF($D29=X$19,1,0)</f>
        <v>0</v>
      </c>
      <c r="Y29" s="169">
        <f>INDEX('MEC - public transport &amp; cars'!$E$296:$H$300,MATCH($C29,'MEC - public transport &amp; cars'!$C$296:$C$300,0),MATCH(Y$18,'MEC - public transport &amp; cars'!$E$294:$H$294,0))*IF($E29=Y$20,'General inputs'!$F$85,IF($C29=Y$18,'General inputs'!$F$86,0))*IF($D29=Y$19,1,0)</f>
        <v>0</v>
      </c>
      <c r="Z29" s="169">
        <f>INDEX('MEC - public transport &amp; cars'!$E$296:$H$300,MATCH($C29,'MEC - public transport &amp; cars'!$C$296:$C$300,0),MATCH(Z$18,'MEC - public transport &amp; cars'!$E$294:$H$294,0))*IF($E29=Z$20,'General inputs'!$F$85,IF($C29=Z$18,'General inputs'!$F$86,0))*IF($D29=Z$19,1,0)</f>
        <v>0</v>
      </c>
      <c r="AA29" s="169">
        <f>INDEX('MEC - public transport &amp; cars'!$E$296:$H$300,MATCH($C29,'MEC - public transport &amp; cars'!$C$296:$C$300,0),MATCH(AA$18,'MEC - public transport &amp; cars'!$E$294:$H$294,0))*IF($E29=AA$20,'General inputs'!$F$85,IF($C29=AA$18,'General inputs'!$F$86,0))*IF($D29=AA$19,1,0)</f>
        <v>0</v>
      </c>
      <c r="AB29" s="169">
        <f>INDEX('MEC - public transport &amp; cars'!$E$296:$H$300,MATCH($C29,'MEC - public transport &amp; cars'!$C$296:$C$300,0),MATCH(AB$18,'MEC - public transport &amp; cars'!$E$294:$H$294,0))*IF($E29=AB$20,'General inputs'!$F$85,IF($C29=AB$18,'General inputs'!$F$86,0))*IF($D29=AB$19,1,0)</f>
        <v>0</v>
      </c>
      <c r="AC29" s="169">
        <f>INDEX('MEC - public transport &amp; cars'!$E$296:$H$300,MATCH($C29,'MEC - public transport &amp; cars'!$C$296:$C$300,0),MATCH(AC$18,'MEC - public transport &amp; cars'!$E$294:$H$294,0))*IF($E29=AC$20,'General inputs'!$F$85,IF($C29=AC$18,'General inputs'!$F$86,0))*IF($D29=AC$19,1,0)</f>
        <v>0</v>
      </c>
      <c r="AD29" s="169">
        <f>INDEX('MEC - public transport &amp; cars'!$E$296:$H$300,MATCH($C29,'MEC - public transport &amp; cars'!$C$296:$C$300,0),MATCH(AD$18,'MEC - public transport &amp; cars'!$E$294:$H$294,0))*IF($E29=AD$20,'General inputs'!$F$85,IF($C29=AD$18,'General inputs'!$F$86,0))*IF($D29=AD$19,1,0)</f>
        <v>0</v>
      </c>
      <c r="AE29" s="169">
        <f>INDEX('MEC - public transport &amp; cars'!$E$296:$H$300,MATCH($C29,'MEC - public transport &amp; cars'!$C$296:$C$300,0),MATCH(AE$18,'MEC - public transport &amp; cars'!$E$294:$H$294,0))*IF($E29=AE$20,'General inputs'!$F$85,IF($C29=AE$18,'General inputs'!$F$86,0))*IF($D29=AE$19,1,0)</f>
        <v>0</v>
      </c>
      <c r="AF29" s="169">
        <f>INDEX('MEC - public transport &amp; cars'!$E$296:$H$300,MATCH($C29,'MEC - public transport &amp; cars'!$C$296:$C$300,0),MATCH(AF$18,'MEC - public transport &amp; cars'!$E$294:$H$294,0))*IF($E29=AF$20,'General inputs'!$F$85,IF($C29=AF$18,'General inputs'!$F$86,0))*IF($D29=AF$19,1,0)</f>
        <v>0</v>
      </c>
      <c r="AG29" s="169">
        <f>INDEX('MEC - public transport &amp; cars'!$E$296:$H$300,MATCH($C29,'MEC - public transport &amp; cars'!$C$296:$C$300,0),MATCH(AG$18,'MEC - public transport &amp; cars'!$E$294:$H$294,0))*IF($E29=AG$20,'General inputs'!$F$85,IF($C29=AG$18,'General inputs'!$F$86,0))*IF($D29=AG$19,1,0)</f>
        <v>0</v>
      </c>
      <c r="AH29" s="169">
        <f>INDEX('MEC - public transport &amp; cars'!$E$296:$H$300,MATCH($C29,'MEC - public transport &amp; cars'!$C$296:$C$300,0),MATCH(AH$18,'MEC - public transport &amp; cars'!$E$294:$H$294,0))*IF($E29=AH$20,'General inputs'!$F$85,IF($C29=AH$18,'General inputs'!$F$86,0))*IF($D29=AH$19,1,0)</f>
        <v>0</v>
      </c>
      <c r="AI29" s="169">
        <f>INDEX('MEC - public transport &amp; cars'!$E$296:$H$300,MATCH($C29,'MEC - public transport &amp; cars'!$C$296:$C$300,0),MATCH(AI$18,'MEC - public transport &amp; cars'!$E$294:$H$294,0))*IF($E29=AI$20,'General inputs'!$F$85,IF($C29=AI$18,'General inputs'!$F$86,0))*IF($D29=AI$19,1,0)</f>
        <v>0</v>
      </c>
      <c r="AJ29" s="169">
        <f>INDEX('MEC - public transport &amp; cars'!$E$296:$H$300,MATCH($C29,'MEC - public transport &amp; cars'!$C$296:$C$300,0),MATCH(AJ$18,'MEC - public transport &amp; cars'!$E$294:$H$294,0))*IF($E29=AJ$20,'General inputs'!$F$85,IF($C29=AJ$18,'General inputs'!$F$86,0))*IF($D29=AJ$19,1,0)</f>
        <v>0</v>
      </c>
      <c r="AK29" s="169">
        <f>INDEX('MEC - public transport &amp; cars'!$E$296:$H$300,MATCH($C29,'MEC - public transport &amp; cars'!$C$296:$C$300,0),MATCH(AK$18,'MEC - public transport &amp; cars'!$E$294:$H$294,0))*IF($E29=AK$20,'General inputs'!$F$85,IF($C29=AK$18,'General inputs'!$F$86,0))*IF($D29=AK$19,1,0)</f>
        <v>0</v>
      </c>
      <c r="AL29" s="169">
        <f>INDEX('MEC - public transport &amp; cars'!$E$296:$H$300,MATCH($C29,'MEC - public transport &amp; cars'!$C$296:$C$300,0),MATCH(AL$18,'MEC - public transport &amp; cars'!$E$294:$H$294,0))*IF($E29=AL$20,'General inputs'!$F$85,IF($C29=AL$18,'General inputs'!$F$86,0))*IF($D29=AL$19,1,0)</f>
        <v>0</v>
      </c>
      <c r="AM29" s="227">
        <f>INDEX('MEC - public transport &amp; cars'!$E$296:$H$300,MATCH($C29,'MEC - public transport &amp; cars'!$C$296:$C$300,0),MATCH(AM$18,'MEC - public transport &amp; cars'!$E$294:$H$294,0))*IF($E29=AM$20,'General inputs'!$F$85,IF($C29=AM$18,'General inputs'!$F$86,0))*IF($D29=AM$19,1,0)</f>
        <v>0</v>
      </c>
    </row>
    <row r="30" spans="3:39" x14ac:dyDescent="0.25">
      <c r="C30" s="244" t="str">
        <f>'Fare optimisation'!C91</f>
        <v>Rail</v>
      </c>
      <c r="D30" s="173">
        <f>'Fare optimisation'!D91</f>
        <v>25</v>
      </c>
      <c r="E30" s="172" t="str">
        <f>'Fare optimisation'!E91</f>
        <v>Off-peak</v>
      </c>
      <c r="F30" s="173">
        <f>'General inputs'!C36</f>
        <v>8</v>
      </c>
      <c r="H30" s="169">
        <f>INDEX('MEC - public transport &amp; cars'!$E$296:$H$300,MATCH($C30,'MEC - public transport &amp; cars'!$C$296:$C$300,0),MATCH(H$18,'MEC - public transport &amp; cars'!$E$294:$H$294,0))*IF($E30=H$20,'General inputs'!$F$85,IF($C30=H$18,'General inputs'!$F$86,0))*IF($D30=H$19,1,0)</f>
        <v>0</v>
      </c>
      <c r="I30" s="169">
        <f>INDEX('MEC - public transport &amp; cars'!$E$296:$H$300,MATCH($C30,'MEC - public transport &amp; cars'!$C$296:$C$300,0),MATCH(I$18,'MEC - public transport &amp; cars'!$E$294:$H$294,0))*IF($E30=I$20,'General inputs'!$F$85,IF($C30=I$18,'General inputs'!$F$86,0))*IF($D30=I$19,1,0)</f>
        <v>0</v>
      </c>
      <c r="J30" s="169">
        <f>INDEX('MEC - public transport &amp; cars'!$E$296:$H$300,MATCH($C30,'MEC - public transport &amp; cars'!$C$296:$C$300,0),MATCH(J$18,'MEC - public transport &amp; cars'!$E$294:$H$294,0))*IF($E30=J$20,'General inputs'!$F$85,IF($C30=J$18,'General inputs'!$F$86,0))*IF($D30=J$19,1,0)</f>
        <v>0</v>
      </c>
      <c r="K30" s="169">
        <f>INDEX('MEC - public transport &amp; cars'!$E$296:$H$300,MATCH($C30,'MEC - public transport &amp; cars'!$C$296:$C$300,0),MATCH(K$18,'MEC - public transport &amp; cars'!$E$294:$H$294,0))*IF($E30=K$20,'General inputs'!$F$85,IF($C30=K$18,'General inputs'!$F$86,0))*IF($D30=K$19,1,0)</f>
        <v>-0.1</v>
      </c>
      <c r="L30" s="169">
        <f>INDEX('MEC - public transport &amp; cars'!$E$296:$H$300,MATCH($C30,'MEC - public transport &amp; cars'!$C$296:$C$300,0),MATCH(L$18,'MEC - public transport &amp; cars'!$E$294:$H$294,0))*IF($E30=L$20,'General inputs'!$F$85,IF($C30=L$18,'General inputs'!$F$86,0))*IF($D30=L$19,1,0)</f>
        <v>0</v>
      </c>
      <c r="M30" s="169">
        <f>INDEX('MEC - public transport &amp; cars'!$E$296:$H$300,MATCH($C30,'MEC - public transport &amp; cars'!$C$296:$C$300,0),MATCH(M$18,'MEC - public transport &amp; cars'!$E$294:$H$294,0))*IF($E30=M$20,'General inputs'!$F$85,IF($C30=M$18,'General inputs'!$F$86,0))*IF($D30=M$19,1,0)</f>
        <v>0</v>
      </c>
      <c r="N30" s="169">
        <f>INDEX('MEC - public transport &amp; cars'!$E$296:$H$300,MATCH($C30,'MEC - public transport &amp; cars'!$C$296:$C$300,0),MATCH(N$18,'MEC - public transport &amp; cars'!$E$294:$H$294,0))*IF($E30=N$20,'General inputs'!$F$85,IF($C30=N$18,'General inputs'!$F$86,0))*IF($D30=N$19,1,0)</f>
        <v>0</v>
      </c>
      <c r="O30" s="169">
        <f>INDEX('MEC - public transport &amp; cars'!$E$296:$H$300,MATCH($C30,'MEC - public transport &amp; cars'!$C$296:$C$300,0),MATCH(O$18,'MEC - public transport &amp; cars'!$E$294:$H$294,0))*IF($E30=O$20,'General inputs'!$F$85,IF($C30=O$18,'General inputs'!$F$86,0))*IF($D30=O$19,1,0)</f>
        <v>1</v>
      </c>
      <c r="P30" s="169">
        <f>INDEX('MEC - public transport &amp; cars'!$E$296:$H$300,MATCH($C30,'MEC - public transport &amp; cars'!$C$296:$C$300,0),MATCH(P$18,'MEC - public transport &amp; cars'!$E$294:$H$294,0))*IF($E30=P$20,'General inputs'!$F$85,IF($C30=P$18,'General inputs'!$F$86,0))*IF($D30=P$19,1,0)</f>
        <v>0</v>
      </c>
      <c r="Q30" s="169">
        <f>INDEX('MEC - public transport &amp; cars'!$E$296:$H$300,MATCH($C30,'MEC - public transport &amp; cars'!$C$296:$C$300,0),MATCH(Q$18,'MEC - public transport &amp; cars'!$E$294:$H$294,0))*IF($E30=Q$20,'General inputs'!$F$85,IF($C30=Q$18,'General inputs'!$F$86,0))*IF($D30=Q$19,1,0)</f>
        <v>0</v>
      </c>
      <c r="R30" s="169">
        <f>INDEX('MEC - public transport &amp; cars'!$E$296:$H$300,MATCH($C30,'MEC - public transport &amp; cars'!$C$296:$C$300,0),MATCH(R$18,'MEC - public transport &amp; cars'!$E$294:$H$294,0))*IF($E30=R$20,'General inputs'!$F$85,IF($C30=R$18,'General inputs'!$F$86,0))*IF($D30=R$19,1,0)</f>
        <v>0</v>
      </c>
      <c r="S30" s="169">
        <f>INDEX('MEC - public transport &amp; cars'!$E$296:$H$300,MATCH($C30,'MEC - public transport &amp; cars'!$C$296:$C$300,0),MATCH(S$18,'MEC - public transport &amp; cars'!$E$294:$H$294,0))*IF($E30=S$20,'General inputs'!$F$85,IF($C30=S$18,'General inputs'!$F$86,0))*IF($D30=S$19,1,0)</f>
        <v>0</v>
      </c>
      <c r="T30" s="169">
        <f>INDEX('MEC - public transport &amp; cars'!$E$296:$H$300,MATCH($C30,'MEC - public transport &amp; cars'!$C$296:$C$300,0),MATCH(T$18,'MEC - public transport &amp; cars'!$E$294:$H$294,0))*IF($E30=T$20,'General inputs'!$F$85,IF($C30=T$18,'General inputs'!$F$86,0))*IF($D30=T$19,1,0)</f>
        <v>0</v>
      </c>
      <c r="U30" s="169">
        <f>INDEX('MEC - public transport &amp; cars'!$E$296:$H$300,MATCH($C30,'MEC - public transport &amp; cars'!$C$296:$C$300,0),MATCH(U$18,'MEC - public transport &amp; cars'!$E$294:$H$294,0))*IF($E30=U$20,'General inputs'!$F$85,IF($C30=U$18,'General inputs'!$F$86,0))*IF($D30=U$19,1,0)</f>
        <v>0</v>
      </c>
      <c r="V30" s="169">
        <f>INDEX('MEC - public transport &amp; cars'!$E$296:$H$300,MATCH($C30,'MEC - public transport &amp; cars'!$C$296:$C$300,0),MATCH(V$18,'MEC - public transport &amp; cars'!$E$294:$H$294,0))*IF($E30=V$20,'General inputs'!$F$85,IF($C30=V$18,'General inputs'!$F$86,0))*IF($D30=V$19,1,0)</f>
        <v>0</v>
      </c>
      <c r="W30" s="169">
        <f>INDEX('MEC - public transport &amp; cars'!$E$296:$H$300,MATCH($C30,'MEC - public transport &amp; cars'!$C$296:$C$300,0),MATCH(W$18,'MEC - public transport &amp; cars'!$E$294:$H$294,0))*IF($E30=W$20,'General inputs'!$F$85,IF($C30=W$18,'General inputs'!$F$86,0))*IF($D30=W$19,1,0)</f>
        <v>0</v>
      </c>
      <c r="X30" s="169">
        <f>INDEX('MEC - public transport &amp; cars'!$E$296:$H$300,MATCH($C30,'MEC - public transport &amp; cars'!$C$296:$C$300,0),MATCH(X$18,'MEC - public transport &amp; cars'!$E$294:$H$294,0))*IF($E30=X$20,'General inputs'!$F$85,IF($C30=X$18,'General inputs'!$F$86,0))*IF($D30=X$19,1,0)</f>
        <v>0</v>
      </c>
      <c r="Y30" s="169">
        <f>INDEX('MEC - public transport &amp; cars'!$E$296:$H$300,MATCH($C30,'MEC - public transport &amp; cars'!$C$296:$C$300,0),MATCH(Y$18,'MEC - public transport &amp; cars'!$E$294:$H$294,0))*IF($E30=Y$20,'General inputs'!$F$85,IF($C30=Y$18,'General inputs'!$F$86,0))*IF($D30=Y$19,1,0)</f>
        <v>0</v>
      </c>
      <c r="Z30" s="169">
        <f>INDEX('MEC - public transport &amp; cars'!$E$296:$H$300,MATCH($C30,'MEC - public transport &amp; cars'!$C$296:$C$300,0),MATCH(Z$18,'MEC - public transport &amp; cars'!$E$294:$H$294,0))*IF($E30=Z$20,'General inputs'!$F$85,IF($C30=Z$18,'General inputs'!$F$86,0))*IF($D30=Z$19,1,0)</f>
        <v>0</v>
      </c>
      <c r="AA30" s="169">
        <f>INDEX('MEC - public transport &amp; cars'!$E$296:$H$300,MATCH($C30,'MEC - public transport &amp; cars'!$C$296:$C$300,0),MATCH(AA$18,'MEC - public transport &amp; cars'!$E$294:$H$294,0))*IF($E30=AA$20,'General inputs'!$F$85,IF($C30=AA$18,'General inputs'!$F$86,0))*IF($D30=AA$19,1,0)</f>
        <v>0</v>
      </c>
      <c r="AB30" s="169">
        <f>INDEX('MEC - public transport &amp; cars'!$E$296:$H$300,MATCH($C30,'MEC - public transport &amp; cars'!$C$296:$C$300,0),MATCH(AB$18,'MEC - public transport &amp; cars'!$E$294:$H$294,0))*IF($E30=AB$20,'General inputs'!$F$85,IF($C30=AB$18,'General inputs'!$F$86,0))*IF($D30=AB$19,1,0)</f>
        <v>0</v>
      </c>
      <c r="AC30" s="169">
        <f>INDEX('MEC - public transport &amp; cars'!$E$296:$H$300,MATCH($C30,'MEC - public transport &amp; cars'!$C$296:$C$300,0),MATCH(AC$18,'MEC - public transport &amp; cars'!$E$294:$H$294,0))*IF($E30=AC$20,'General inputs'!$F$85,IF($C30=AC$18,'General inputs'!$F$86,0))*IF($D30=AC$19,1,0)</f>
        <v>0</v>
      </c>
      <c r="AD30" s="169">
        <f>INDEX('MEC - public transport &amp; cars'!$E$296:$H$300,MATCH($C30,'MEC - public transport &amp; cars'!$C$296:$C$300,0),MATCH(AD$18,'MEC - public transport &amp; cars'!$E$294:$H$294,0))*IF($E30=AD$20,'General inputs'!$F$85,IF($C30=AD$18,'General inputs'!$F$86,0))*IF($D30=AD$19,1,0)</f>
        <v>0</v>
      </c>
      <c r="AE30" s="169">
        <f>INDEX('MEC - public transport &amp; cars'!$E$296:$H$300,MATCH($C30,'MEC - public transport &amp; cars'!$C$296:$C$300,0),MATCH(AE$18,'MEC - public transport &amp; cars'!$E$294:$H$294,0))*IF($E30=AE$20,'General inputs'!$F$85,IF($C30=AE$18,'General inputs'!$F$86,0))*IF($D30=AE$19,1,0)</f>
        <v>0</v>
      </c>
      <c r="AF30" s="169">
        <f>INDEX('MEC - public transport &amp; cars'!$E$296:$H$300,MATCH($C30,'MEC - public transport &amp; cars'!$C$296:$C$300,0),MATCH(AF$18,'MEC - public transport &amp; cars'!$E$294:$H$294,0))*IF($E30=AF$20,'General inputs'!$F$85,IF($C30=AF$18,'General inputs'!$F$86,0))*IF($D30=AF$19,1,0)</f>
        <v>0</v>
      </c>
      <c r="AG30" s="169">
        <f>INDEX('MEC - public transport &amp; cars'!$E$296:$H$300,MATCH($C30,'MEC - public transport &amp; cars'!$C$296:$C$300,0),MATCH(AG$18,'MEC - public transport &amp; cars'!$E$294:$H$294,0))*IF($E30=AG$20,'General inputs'!$F$85,IF($C30=AG$18,'General inputs'!$F$86,0))*IF($D30=AG$19,1,0)</f>
        <v>0</v>
      </c>
      <c r="AH30" s="169">
        <f>INDEX('MEC - public transport &amp; cars'!$E$296:$H$300,MATCH($C30,'MEC - public transport &amp; cars'!$C$296:$C$300,0),MATCH(AH$18,'MEC - public transport &amp; cars'!$E$294:$H$294,0))*IF($E30=AH$20,'General inputs'!$F$85,IF($C30=AH$18,'General inputs'!$F$86,0))*IF($D30=AH$19,1,0)</f>
        <v>0</v>
      </c>
      <c r="AI30" s="169">
        <f>INDEX('MEC - public transport &amp; cars'!$E$296:$H$300,MATCH($C30,'MEC - public transport &amp; cars'!$C$296:$C$300,0),MATCH(AI$18,'MEC - public transport &amp; cars'!$E$294:$H$294,0))*IF($E30=AI$20,'General inputs'!$F$85,IF($C30=AI$18,'General inputs'!$F$86,0))*IF($D30=AI$19,1,0)</f>
        <v>0</v>
      </c>
      <c r="AJ30" s="169">
        <f>INDEX('MEC - public transport &amp; cars'!$E$296:$H$300,MATCH($C30,'MEC - public transport &amp; cars'!$C$296:$C$300,0),MATCH(AJ$18,'MEC - public transport &amp; cars'!$E$294:$H$294,0))*IF($E30=AJ$20,'General inputs'!$F$85,IF($C30=AJ$18,'General inputs'!$F$86,0))*IF($D30=AJ$19,1,0)</f>
        <v>0</v>
      </c>
      <c r="AK30" s="169">
        <f>INDEX('MEC - public transport &amp; cars'!$E$296:$H$300,MATCH($C30,'MEC - public transport &amp; cars'!$C$296:$C$300,0),MATCH(AK$18,'MEC - public transport &amp; cars'!$E$294:$H$294,0))*IF($E30=AK$20,'General inputs'!$F$85,IF($C30=AK$18,'General inputs'!$F$86,0))*IF($D30=AK$19,1,0)</f>
        <v>0</v>
      </c>
      <c r="AL30" s="169">
        <f>INDEX('MEC - public transport &amp; cars'!$E$296:$H$300,MATCH($C30,'MEC - public transport &amp; cars'!$C$296:$C$300,0),MATCH(AL$18,'MEC - public transport &amp; cars'!$E$294:$H$294,0))*IF($E30=AL$20,'General inputs'!$F$85,IF($C30=AL$18,'General inputs'!$F$86,0))*IF($D30=AL$19,1,0)</f>
        <v>0</v>
      </c>
      <c r="AM30" s="227">
        <f>INDEX('MEC - public transport &amp; cars'!$E$296:$H$300,MATCH($C30,'MEC - public transport &amp; cars'!$C$296:$C$300,0),MATCH(AM$18,'MEC - public transport &amp; cars'!$E$294:$H$294,0))*IF($E30=AM$20,'General inputs'!$F$85,IF($C30=AM$18,'General inputs'!$F$86,0))*IF($D30=AM$19,1,0)</f>
        <v>0</v>
      </c>
    </row>
    <row r="31" spans="3:39" x14ac:dyDescent="0.25">
      <c r="C31" s="244" t="str">
        <f>'Fare optimisation'!C92</f>
        <v>Bus</v>
      </c>
      <c r="D31" s="173">
        <f>'Fare optimisation'!D92</f>
        <v>2</v>
      </c>
      <c r="E31" s="172" t="str">
        <f>'Fare optimisation'!E92</f>
        <v>Peak</v>
      </c>
      <c r="F31" s="173">
        <f>'General inputs'!C37</f>
        <v>9</v>
      </c>
      <c r="H31" s="169">
        <f>INDEX('MEC - public transport &amp; cars'!$E$296:$H$300,MATCH($C31,'MEC - public transport &amp; cars'!$C$296:$C$300,0),MATCH(H$18,'MEC - public transport &amp; cars'!$E$294:$H$294,0))*IF($E31=H$20,'General inputs'!$F$85,IF($C31=H$18,'General inputs'!$F$86,0))*IF($D31=H$19,1,0)</f>
        <v>-0.21149525877594427</v>
      </c>
      <c r="I31" s="169">
        <f>INDEX('MEC - public transport &amp; cars'!$E$296:$H$300,MATCH($C31,'MEC - public transport &amp; cars'!$C$296:$C$300,0),MATCH(I$18,'MEC - public transport &amp; cars'!$E$294:$H$294,0))*IF($E31=I$20,'General inputs'!$F$85,IF($C31=I$18,'General inputs'!$F$86,0))*IF($D31=I$19,1,0)</f>
        <v>0</v>
      </c>
      <c r="J31" s="169">
        <f>INDEX('MEC - public transport &amp; cars'!$E$296:$H$300,MATCH($C31,'MEC - public transport &amp; cars'!$C$296:$C$300,0),MATCH(J$18,'MEC - public transport &amp; cars'!$E$294:$H$294,0))*IF($E31=J$20,'General inputs'!$F$85,IF($C31=J$18,'General inputs'!$F$86,0))*IF($D31=J$19,1,0)</f>
        <v>0</v>
      </c>
      <c r="K31" s="169">
        <f>INDEX('MEC - public transport &amp; cars'!$E$296:$H$300,MATCH($C31,'MEC - public transport &amp; cars'!$C$296:$C$300,0),MATCH(K$18,'MEC - public transport &amp; cars'!$E$294:$H$294,0))*IF($E31=K$20,'General inputs'!$F$85,IF($C31=K$18,'General inputs'!$F$86,0))*IF($D31=K$19,1,0)</f>
        <v>0</v>
      </c>
      <c r="L31" s="169">
        <f>INDEX('MEC - public transport &amp; cars'!$E$296:$H$300,MATCH($C31,'MEC - public transport &amp; cars'!$C$296:$C$300,0),MATCH(L$18,'MEC - public transport &amp; cars'!$E$294:$H$294,0))*IF($E31=L$20,'General inputs'!$F$85,IF($C31=L$18,'General inputs'!$F$86,0))*IF($D31=L$19,1,0)</f>
        <v>0</v>
      </c>
      <c r="M31" s="169">
        <f>INDEX('MEC - public transport &amp; cars'!$E$296:$H$300,MATCH($C31,'MEC - public transport &amp; cars'!$C$296:$C$300,0),MATCH(M$18,'MEC - public transport &amp; cars'!$E$294:$H$294,0))*IF($E31=M$20,'General inputs'!$F$85,IF($C31=M$18,'General inputs'!$F$86,0))*IF($D31=M$19,1,0)</f>
        <v>0</v>
      </c>
      <c r="N31" s="169">
        <f>INDEX('MEC - public transport &amp; cars'!$E$296:$H$300,MATCH($C31,'MEC - public transport &amp; cars'!$C$296:$C$300,0),MATCH(N$18,'MEC - public transport &amp; cars'!$E$294:$H$294,0))*IF($E31=N$20,'General inputs'!$F$85,IF($C31=N$18,'General inputs'!$F$86,0))*IF($D31=N$19,1,0)</f>
        <v>0</v>
      </c>
      <c r="O31" s="169">
        <f>INDEX('MEC - public transport &amp; cars'!$E$296:$H$300,MATCH($C31,'MEC - public transport &amp; cars'!$C$296:$C$300,0),MATCH(O$18,'MEC - public transport &amp; cars'!$E$294:$H$294,0))*IF($E31=O$20,'General inputs'!$F$85,IF($C31=O$18,'General inputs'!$F$86,0))*IF($D31=O$19,1,0)</f>
        <v>0</v>
      </c>
      <c r="P31" s="169">
        <f>INDEX('MEC - public transport &amp; cars'!$E$296:$H$300,MATCH($C31,'MEC - public transport &amp; cars'!$C$296:$C$300,0),MATCH(P$18,'MEC - public transport &amp; cars'!$E$294:$H$294,0))*IF($E31=P$20,'General inputs'!$F$85,IF($C31=P$18,'General inputs'!$F$86,0))*IF($D31=P$19,1,0)</f>
        <v>1</v>
      </c>
      <c r="Q31" s="169">
        <f>INDEX('MEC - public transport &amp; cars'!$E$296:$H$300,MATCH($C31,'MEC - public transport &amp; cars'!$C$296:$C$300,0),MATCH(Q$18,'MEC - public transport &amp; cars'!$E$294:$H$294,0))*IF($E31=Q$20,'General inputs'!$F$85,IF($C31=Q$18,'General inputs'!$F$86,0))*IF($D31=Q$19,1,0)</f>
        <v>0</v>
      </c>
      <c r="R31" s="169">
        <f>INDEX('MEC - public transport &amp; cars'!$E$296:$H$300,MATCH($C31,'MEC - public transport &amp; cars'!$C$296:$C$300,0),MATCH(R$18,'MEC - public transport &amp; cars'!$E$294:$H$294,0))*IF($E31=R$20,'General inputs'!$F$85,IF($C31=R$18,'General inputs'!$F$86,0))*IF($D31=R$19,1,0)</f>
        <v>0</v>
      </c>
      <c r="S31" s="169">
        <f>INDEX('MEC - public transport &amp; cars'!$E$296:$H$300,MATCH($C31,'MEC - public transport &amp; cars'!$C$296:$C$300,0),MATCH(S$18,'MEC - public transport &amp; cars'!$E$294:$H$294,0))*IF($E31=S$20,'General inputs'!$F$85,IF($C31=S$18,'General inputs'!$F$86,0))*IF($D31=S$19,1,0)</f>
        <v>0</v>
      </c>
      <c r="T31" s="169">
        <f>INDEX('MEC - public transport &amp; cars'!$E$296:$H$300,MATCH($C31,'MEC - public transport &amp; cars'!$C$296:$C$300,0),MATCH(T$18,'MEC - public transport &amp; cars'!$E$294:$H$294,0))*IF($E31=T$20,'General inputs'!$F$85,IF($C31=T$18,'General inputs'!$F$86,0))*IF($D31=T$19,1,0)</f>
        <v>-0.1</v>
      </c>
      <c r="U31" s="169">
        <f>INDEX('MEC - public transport &amp; cars'!$E$296:$H$300,MATCH($C31,'MEC - public transport &amp; cars'!$C$296:$C$300,0),MATCH(U$18,'MEC - public transport &amp; cars'!$E$294:$H$294,0))*IF($E31=U$20,'General inputs'!$F$85,IF($C31=U$18,'General inputs'!$F$86,0))*IF($D31=U$19,1,0)</f>
        <v>0</v>
      </c>
      <c r="V31" s="169">
        <f>INDEX('MEC - public transport &amp; cars'!$E$296:$H$300,MATCH($C31,'MEC - public transport &amp; cars'!$C$296:$C$300,0),MATCH(V$18,'MEC - public transport &amp; cars'!$E$294:$H$294,0))*IF($E31=V$20,'General inputs'!$F$85,IF($C31=V$18,'General inputs'!$F$86,0))*IF($D31=V$19,1,0)</f>
        <v>0</v>
      </c>
      <c r="W31" s="169">
        <f>INDEX('MEC - public transport &amp; cars'!$E$296:$H$300,MATCH($C31,'MEC - public transport &amp; cars'!$C$296:$C$300,0),MATCH(W$18,'MEC - public transport &amp; cars'!$E$294:$H$294,0))*IF($E31=W$20,'General inputs'!$F$85,IF($C31=W$18,'General inputs'!$F$86,0))*IF($D31=W$19,1,0)</f>
        <v>0</v>
      </c>
      <c r="X31" s="169">
        <f>INDEX('MEC - public transport &amp; cars'!$E$296:$H$300,MATCH($C31,'MEC - public transport &amp; cars'!$C$296:$C$300,0),MATCH(X$18,'MEC - public transport &amp; cars'!$E$294:$H$294,0))*IF($E31=X$20,'General inputs'!$F$85,IF($C31=X$18,'General inputs'!$F$86,0))*IF($D31=X$19,1,0)</f>
        <v>-0.9</v>
      </c>
      <c r="Y31" s="169">
        <f>INDEX('MEC - public transport &amp; cars'!$E$296:$H$300,MATCH($C31,'MEC - public transport &amp; cars'!$C$296:$C$300,0),MATCH(Y$18,'MEC - public transport &amp; cars'!$E$294:$H$294,0))*IF($E31=Y$20,'General inputs'!$F$85,IF($C31=Y$18,'General inputs'!$F$86,0))*IF($D31=Y$19,1,0)</f>
        <v>0</v>
      </c>
      <c r="Z31" s="169">
        <f>INDEX('MEC - public transport &amp; cars'!$E$296:$H$300,MATCH($C31,'MEC - public transport &amp; cars'!$C$296:$C$300,0),MATCH(Z$18,'MEC - public transport &amp; cars'!$E$294:$H$294,0))*IF($E31=Z$20,'General inputs'!$F$85,IF($C31=Z$18,'General inputs'!$F$86,0))*IF($D31=Z$19,1,0)</f>
        <v>0</v>
      </c>
      <c r="AA31" s="169">
        <f>INDEX('MEC - public transport &amp; cars'!$E$296:$H$300,MATCH($C31,'MEC - public transport &amp; cars'!$C$296:$C$300,0),MATCH(AA$18,'MEC - public transport &amp; cars'!$E$294:$H$294,0))*IF($E31=AA$20,'General inputs'!$F$85,IF($C31=AA$18,'General inputs'!$F$86,0))*IF($D31=AA$19,1,0)</f>
        <v>0</v>
      </c>
      <c r="AB31" s="169">
        <f>INDEX('MEC - public transport &amp; cars'!$E$296:$H$300,MATCH($C31,'MEC - public transport &amp; cars'!$C$296:$C$300,0),MATCH(AB$18,'MEC - public transport &amp; cars'!$E$294:$H$294,0))*IF($E31=AB$20,'General inputs'!$F$85,IF($C31=AB$18,'General inputs'!$F$86,0))*IF($D31=AB$19,1,0)</f>
        <v>0</v>
      </c>
      <c r="AC31" s="169">
        <f>INDEX('MEC - public transport &amp; cars'!$E$296:$H$300,MATCH($C31,'MEC - public transport &amp; cars'!$C$296:$C$300,0),MATCH(AC$18,'MEC - public transport &amp; cars'!$E$294:$H$294,0))*IF($E31=AC$20,'General inputs'!$F$85,IF($C31=AC$18,'General inputs'!$F$86,0))*IF($D31=AC$19,1,0)</f>
        <v>0</v>
      </c>
      <c r="AD31" s="169">
        <f>INDEX('MEC - public transport &amp; cars'!$E$296:$H$300,MATCH($C31,'MEC - public transport &amp; cars'!$C$296:$C$300,0),MATCH(AD$18,'MEC - public transport &amp; cars'!$E$294:$H$294,0))*IF($E31=AD$20,'General inputs'!$F$85,IF($C31=AD$18,'General inputs'!$F$86,0))*IF($D31=AD$19,1,0)</f>
        <v>0</v>
      </c>
      <c r="AE31" s="169">
        <f>INDEX('MEC - public transport &amp; cars'!$E$296:$H$300,MATCH($C31,'MEC - public transport &amp; cars'!$C$296:$C$300,0),MATCH(AE$18,'MEC - public transport &amp; cars'!$E$294:$H$294,0))*IF($E31=AE$20,'General inputs'!$F$85,IF($C31=AE$18,'General inputs'!$F$86,0))*IF($D31=AE$19,1,0)</f>
        <v>0</v>
      </c>
      <c r="AF31" s="169">
        <f>INDEX('MEC - public transport &amp; cars'!$E$296:$H$300,MATCH($C31,'MEC - public transport &amp; cars'!$C$296:$C$300,0),MATCH(AF$18,'MEC - public transport &amp; cars'!$E$294:$H$294,0))*IF($E31=AF$20,'General inputs'!$F$85,IF($C31=AF$18,'General inputs'!$F$86,0))*IF($D31=AF$19,1,0)</f>
        <v>-0.49191926234508726</v>
      </c>
      <c r="AG31" s="169">
        <f>INDEX('MEC - public transport &amp; cars'!$E$296:$H$300,MATCH($C31,'MEC - public transport &amp; cars'!$C$296:$C$300,0),MATCH(AG$18,'MEC - public transport &amp; cars'!$E$294:$H$294,0))*IF($E31=AG$20,'General inputs'!$F$85,IF($C31=AG$18,'General inputs'!$F$86,0))*IF($D31=AG$19,1,0)</f>
        <v>0</v>
      </c>
      <c r="AH31" s="169">
        <f>INDEX('MEC - public transport &amp; cars'!$E$296:$H$300,MATCH($C31,'MEC - public transport &amp; cars'!$C$296:$C$300,0),MATCH(AH$18,'MEC - public transport &amp; cars'!$E$294:$H$294,0))*IF($E31=AH$20,'General inputs'!$F$85,IF($C31=AH$18,'General inputs'!$F$86,0))*IF($D31=AH$19,1,0)</f>
        <v>0</v>
      </c>
      <c r="AI31" s="169">
        <f>INDEX('MEC - public transport &amp; cars'!$E$296:$H$300,MATCH($C31,'MEC - public transport &amp; cars'!$C$296:$C$300,0),MATCH(AI$18,'MEC - public transport &amp; cars'!$E$294:$H$294,0))*IF($E31=AI$20,'General inputs'!$F$85,IF($C31=AI$18,'General inputs'!$F$86,0))*IF($D31=AI$19,1,0)</f>
        <v>0</v>
      </c>
      <c r="AJ31" s="169">
        <f>INDEX('MEC - public transport &amp; cars'!$E$296:$H$300,MATCH($C31,'MEC - public transport &amp; cars'!$C$296:$C$300,0),MATCH(AJ$18,'MEC - public transport &amp; cars'!$E$294:$H$294,0))*IF($E31=AJ$20,'General inputs'!$F$85,IF($C31=AJ$18,'General inputs'!$F$86,0))*IF($D31=AJ$19,1,0)</f>
        <v>0</v>
      </c>
      <c r="AK31" s="169">
        <f>INDEX('MEC - public transport &amp; cars'!$E$296:$H$300,MATCH($C31,'MEC - public transport &amp; cars'!$C$296:$C$300,0),MATCH(AK$18,'MEC - public transport &amp; cars'!$E$294:$H$294,0))*IF($E31=AK$20,'General inputs'!$F$85,IF($C31=AK$18,'General inputs'!$F$86,0))*IF($D31=AK$19,1,0)</f>
        <v>0</v>
      </c>
      <c r="AL31" s="169">
        <f>INDEX('MEC - public transport &amp; cars'!$E$296:$H$300,MATCH($C31,'MEC - public transport &amp; cars'!$C$296:$C$300,0),MATCH(AL$18,'MEC - public transport &amp; cars'!$E$294:$H$294,0))*IF($E31=AL$20,'General inputs'!$F$85,IF($C31=AL$18,'General inputs'!$F$86,0))*IF($D31=AL$19,1,0)</f>
        <v>0</v>
      </c>
      <c r="AM31" s="227">
        <f>INDEX('MEC - public transport &amp; cars'!$E$296:$H$300,MATCH($C31,'MEC - public transport &amp; cars'!$C$296:$C$300,0),MATCH(AM$18,'MEC - public transport &amp; cars'!$E$294:$H$294,0))*IF($E31=AM$20,'General inputs'!$F$85,IF($C31=AM$18,'General inputs'!$F$86,0))*IF($D31=AM$19,1,0)</f>
        <v>0</v>
      </c>
    </row>
    <row r="32" spans="3:39" x14ac:dyDescent="0.25">
      <c r="C32" s="244" t="str">
        <f>'Fare optimisation'!C93</f>
        <v>Bus</v>
      </c>
      <c r="D32" s="173">
        <f>'Fare optimisation'!D93</f>
        <v>5</v>
      </c>
      <c r="E32" s="172" t="str">
        <f>'Fare optimisation'!E93</f>
        <v>Peak</v>
      </c>
      <c r="F32" s="173">
        <f>'General inputs'!C38</f>
        <v>10</v>
      </c>
      <c r="H32" s="169">
        <f>INDEX('MEC - public transport &amp; cars'!$E$296:$H$300,MATCH($C32,'MEC - public transport &amp; cars'!$C$296:$C$300,0),MATCH(H$18,'MEC - public transport &amp; cars'!$E$294:$H$294,0))*IF($E32=H$20,'General inputs'!$F$85,IF($C32=H$18,'General inputs'!$F$86,0))*IF($D32=H$19,1,0)</f>
        <v>0</v>
      </c>
      <c r="I32" s="169">
        <f>INDEX('MEC - public transport &amp; cars'!$E$296:$H$300,MATCH($C32,'MEC - public transport &amp; cars'!$C$296:$C$300,0),MATCH(I$18,'MEC - public transport &amp; cars'!$E$294:$H$294,0))*IF($E32=I$20,'General inputs'!$F$85,IF($C32=I$18,'General inputs'!$F$86,0))*IF($D32=I$19,1,0)</f>
        <v>-0.21149525877594427</v>
      </c>
      <c r="J32" s="169">
        <f>INDEX('MEC - public transport &amp; cars'!$E$296:$H$300,MATCH($C32,'MEC - public transport &amp; cars'!$C$296:$C$300,0),MATCH(J$18,'MEC - public transport &amp; cars'!$E$294:$H$294,0))*IF($E32=J$20,'General inputs'!$F$85,IF($C32=J$18,'General inputs'!$F$86,0))*IF($D32=J$19,1,0)</f>
        <v>0</v>
      </c>
      <c r="K32" s="169">
        <f>INDEX('MEC - public transport &amp; cars'!$E$296:$H$300,MATCH($C32,'MEC - public transport &amp; cars'!$C$296:$C$300,0),MATCH(K$18,'MEC - public transport &amp; cars'!$E$294:$H$294,0))*IF($E32=K$20,'General inputs'!$F$85,IF($C32=K$18,'General inputs'!$F$86,0))*IF($D32=K$19,1,0)</f>
        <v>0</v>
      </c>
      <c r="L32" s="169">
        <f>INDEX('MEC - public transport &amp; cars'!$E$296:$H$300,MATCH($C32,'MEC - public transport &amp; cars'!$C$296:$C$300,0),MATCH(L$18,'MEC - public transport &amp; cars'!$E$294:$H$294,0))*IF($E32=L$20,'General inputs'!$F$85,IF($C32=L$18,'General inputs'!$F$86,0))*IF($D32=L$19,1,0)</f>
        <v>0</v>
      </c>
      <c r="M32" s="169">
        <f>INDEX('MEC - public transport &amp; cars'!$E$296:$H$300,MATCH($C32,'MEC - public transport &amp; cars'!$C$296:$C$300,0),MATCH(M$18,'MEC - public transport &amp; cars'!$E$294:$H$294,0))*IF($E32=M$20,'General inputs'!$F$85,IF($C32=M$18,'General inputs'!$F$86,0))*IF($D32=M$19,1,0)</f>
        <v>0</v>
      </c>
      <c r="N32" s="169">
        <f>INDEX('MEC - public transport &amp; cars'!$E$296:$H$300,MATCH($C32,'MEC - public transport &amp; cars'!$C$296:$C$300,0),MATCH(N$18,'MEC - public transport &amp; cars'!$E$294:$H$294,0))*IF($E32=N$20,'General inputs'!$F$85,IF($C32=N$18,'General inputs'!$F$86,0))*IF($D32=N$19,1,0)</f>
        <v>0</v>
      </c>
      <c r="O32" s="169">
        <f>INDEX('MEC - public transport &amp; cars'!$E$296:$H$300,MATCH($C32,'MEC - public transport &amp; cars'!$C$296:$C$300,0),MATCH(O$18,'MEC - public transport &amp; cars'!$E$294:$H$294,0))*IF($E32=O$20,'General inputs'!$F$85,IF($C32=O$18,'General inputs'!$F$86,0))*IF($D32=O$19,1,0)</f>
        <v>0</v>
      </c>
      <c r="P32" s="169">
        <f>INDEX('MEC - public transport &amp; cars'!$E$296:$H$300,MATCH($C32,'MEC - public transport &amp; cars'!$C$296:$C$300,0),MATCH(P$18,'MEC - public transport &amp; cars'!$E$294:$H$294,0))*IF($E32=P$20,'General inputs'!$F$85,IF($C32=P$18,'General inputs'!$F$86,0))*IF($D32=P$19,1,0)</f>
        <v>0</v>
      </c>
      <c r="Q32" s="169">
        <f>INDEX('MEC - public transport &amp; cars'!$E$296:$H$300,MATCH($C32,'MEC - public transport &amp; cars'!$C$296:$C$300,0),MATCH(Q$18,'MEC - public transport &amp; cars'!$E$294:$H$294,0))*IF($E32=Q$20,'General inputs'!$F$85,IF($C32=Q$18,'General inputs'!$F$86,0))*IF($D32=Q$19,1,0)</f>
        <v>1</v>
      </c>
      <c r="R32" s="169">
        <f>INDEX('MEC - public transport &amp; cars'!$E$296:$H$300,MATCH($C32,'MEC - public transport &amp; cars'!$C$296:$C$300,0),MATCH(R$18,'MEC - public transport &amp; cars'!$E$294:$H$294,0))*IF($E32=R$20,'General inputs'!$F$85,IF($C32=R$18,'General inputs'!$F$86,0))*IF($D32=R$19,1,0)</f>
        <v>0</v>
      </c>
      <c r="S32" s="169">
        <f>INDEX('MEC - public transport &amp; cars'!$E$296:$H$300,MATCH($C32,'MEC - public transport &amp; cars'!$C$296:$C$300,0),MATCH(S$18,'MEC - public transport &amp; cars'!$E$294:$H$294,0))*IF($E32=S$20,'General inputs'!$F$85,IF($C32=S$18,'General inputs'!$F$86,0))*IF($D32=S$19,1,0)</f>
        <v>0</v>
      </c>
      <c r="T32" s="169">
        <f>INDEX('MEC - public transport &amp; cars'!$E$296:$H$300,MATCH($C32,'MEC - public transport &amp; cars'!$C$296:$C$300,0),MATCH(T$18,'MEC - public transport &amp; cars'!$E$294:$H$294,0))*IF($E32=T$20,'General inputs'!$F$85,IF($C32=T$18,'General inputs'!$F$86,0))*IF($D32=T$19,1,0)</f>
        <v>0</v>
      </c>
      <c r="U32" s="169">
        <f>INDEX('MEC - public transport &amp; cars'!$E$296:$H$300,MATCH($C32,'MEC - public transport &amp; cars'!$C$296:$C$300,0),MATCH(U$18,'MEC - public transport &amp; cars'!$E$294:$H$294,0))*IF($E32=U$20,'General inputs'!$F$85,IF($C32=U$18,'General inputs'!$F$86,0))*IF($D32=U$19,1,0)</f>
        <v>-0.1</v>
      </c>
      <c r="V32" s="169">
        <f>INDEX('MEC - public transport &amp; cars'!$E$296:$H$300,MATCH($C32,'MEC - public transport &amp; cars'!$C$296:$C$300,0),MATCH(V$18,'MEC - public transport &amp; cars'!$E$294:$H$294,0))*IF($E32=V$20,'General inputs'!$F$85,IF($C32=V$18,'General inputs'!$F$86,0))*IF($D32=V$19,1,0)</f>
        <v>0</v>
      </c>
      <c r="W32" s="169">
        <f>INDEX('MEC - public transport &amp; cars'!$E$296:$H$300,MATCH($C32,'MEC - public transport &amp; cars'!$C$296:$C$300,0),MATCH(W$18,'MEC - public transport &amp; cars'!$E$294:$H$294,0))*IF($E32=W$20,'General inputs'!$F$85,IF($C32=W$18,'General inputs'!$F$86,0))*IF($D32=W$19,1,0)</f>
        <v>0</v>
      </c>
      <c r="X32" s="169">
        <f>INDEX('MEC - public transport &amp; cars'!$E$296:$H$300,MATCH($C32,'MEC - public transport &amp; cars'!$C$296:$C$300,0),MATCH(X$18,'MEC - public transport &amp; cars'!$E$294:$H$294,0))*IF($E32=X$20,'General inputs'!$F$85,IF($C32=X$18,'General inputs'!$F$86,0))*IF($D32=X$19,1,0)</f>
        <v>0</v>
      </c>
      <c r="Y32" s="169">
        <f>INDEX('MEC - public transport &amp; cars'!$E$296:$H$300,MATCH($C32,'MEC - public transport &amp; cars'!$C$296:$C$300,0),MATCH(Y$18,'MEC - public transport &amp; cars'!$E$294:$H$294,0))*IF($E32=Y$20,'General inputs'!$F$85,IF($C32=Y$18,'General inputs'!$F$86,0))*IF($D32=Y$19,1,0)</f>
        <v>-0.9</v>
      </c>
      <c r="Z32" s="169">
        <f>INDEX('MEC - public transport &amp; cars'!$E$296:$H$300,MATCH($C32,'MEC - public transport &amp; cars'!$C$296:$C$300,0),MATCH(Z$18,'MEC - public transport &amp; cars'!$E$294:$H$294,0))*IF($E32=Z$20,'General inputs'!$F$85,IF($C32=Z$18,'General inputs'!$F$86,0))*IF($D32=Z$19,1,0)</f>
        <v>0</v>
      </c>
      <c r="AA32" s="169">
        <f>INDEX('MEC - public transport &amp; cars'!$E$296:$H$300,MATCH($C32,'MEC - public transport &amp; cars'!$C$296:$C$300,0),MATCH(AA$18,'MEC - public transport &amp; cars'!$E$294:$H$294,0))*IF($E32=AA$20,'General inputs'!$F$85,IF($C32=AA$18,'General inputs'!$F$86,0))*IF($D32=AA$19,1,0)</f>
        <v>0</v>
      </c>
      <c r="AB32" s="169">
        <f>INDEX('MEC - public transport &amp; cars'!$E$296:$H$300,MATCH($C32,'MEC - public transport &amp; cars'!$C$296:$C$300,0),MATCH(AB$18,'MEC - public transport &amp; cars'!$E$294:$H$294,0))*IF($E32=AB$20,'General inputs'!$F$85,IF($C32=AB$18,'General inputs'!$F$86,0))*IF($D32=AB$19,1,0)</f>
        <v>0</v>
      </c>
      <c r="AC32" s="169">
        <f>INDEX('MEC - public transport &amp; cars'!$E$296:$H$300,MATCH($C32,'MEC - public transport &amp; cars'!$C$296:$C$300,0),MATCH(AC$18,'MEC - public transport &amp; cars'!$E$294:$H$294,0))*IF($E32=AC$20,'General inputs'!$F$85,IF($C32=AC$18,'General inputs'!$F$86,0))*IF($D32=AC$19,1,0)</f>
        <v>0</v>
      </c>
      <c r="AD32" s="169">
        <f>INDEX('MEC - public transport &amp; cars'!$E$296:$H$300,MATCH($C32,'MEC - public transport &amp; cars'!$C$296:$C$300,0),MATCH(AD$18,'MEC - public transport &amp; cars'!$E$294:$H$294,0))*IF($E32=AD$20,'General inputs'!$F$85,IF($C32=AD$18,'General inputs'!$F$86,0))*IF($D32=AD$19,1,0)</f>
        <v>0</v>
      </c>
      <c r="AE32" s="169">
        <f>INDEX('MEC - public transport &amp; cars'!$E$296:$H$300,MATCH($C32,'MEC - public transport &amp; cars'!$C$296:$C$300,0),MATCH(AE$18,'MEC - public transport &amp; cars'!$E$294:$H$294,0))*IF($E32=AE$20,'General inputs'!$F$85,IF($C32=AE$18,'General inputs'!$F$86,0))*IF($D32=AE$19,1,0)</f>
        <v>0</v>
      </c>
      <c r="AF32" s="169">
        <f>INDEX('MEC - public transport &amp; cars'!$E$296:$H$300,MATCH($C32,'MEC - public transport &amp; cars'!$C$296:$C$300,0),MATCH(AF$18,'MEC - public transport &amp; cars'!$E$294:$H$294,0))*IF($E32=AF$20,'General inputs'!$F$85,IF($C32=AF$18,'General inputs'!$F$86,0))*IF($D32=AF$19,1,0)</f>
        <v>0</v>
      </c>
      <c r="AG32" s="169">
        <f>INDEX('MEC - public transport &amp; cars'!$E$296:$H$300,MATCH($C32,'MEC - public transport &amp; cars'!$C$296:$C$300,0),MATCH(AG$18,'MEC - public transport &amp; cars'!$E$294:$H$294,0))*IF($E32=AG$20,'General inputs'!$F$85,IF($C32=AG$18,'General inputs'!$F$86,0))*IF($D32=AG$19,1,0)</f>
        <v>-0.49191926234508726</v>
      </c>
      <c r="AH32" s="169">
        <f>INDEX('MEC - public transport &amp; cars'!$E$296:$H$300,MATCH($C32,'MEC - public transport &amp; cars'!$C$296:$C$300,0),MATCH(AH$18,'MEC - public transport &amp; cars'!$E$294:$H$294,0))*IF($E32=AH$20,'General inputs'!$F$85,IF($C32=AH$18,'General inputs'!$F$86,0))*IF($D32=AH$19,1,0)</f>
        <v>0</v>
      </c>
      <c r="AI32" s="169">
        <f>INDEX('MEC - public transport &amp; cars'!$E$296:$H$300,MATCH($C32,'MEC - public transport &amp; cars'!$C$296:$C$300,0),MATCH(AI$18,'MEC - public transport &amp; cars'!$E$294:$H$294,0))*IF($E32=AI$20,'General inputs'!$F$85,IF($C32=AI$18,'General inputs'!$F$86,0))*IF($D32=AI$19,1,0)</f>
        <v>0</v>
      </c>
      <c r="AJ32" s="169">
        <f>INDEX('MEC - public transport &amp; cars'!$E$296:$H$300,MATCH($C32,'MEC - public transport &amp; cars'!$C$296:$C$300,0),MATCH(AJ$18,'MEC - public transport &amp; cars'!$E$294:$H$294,0))*IF($E32=AJ$20,'General inputs'!$F$85,IF($C32=AJ$18,'General inputs'!$F$86,0))*IF($D32=AJ$19,1,0)</f>
        <v>0</v>
      </c>
      <c r="AK32" s="169">
        <f>INDEX('MEC - public transport &amp; cars'!$E$296:$H$300,MATCH($C32,'MEC - public transport &amp; cars'!$C$296:$C$300,0),MATCH(AK$18,'MEC - public transport &amp; cars'!$E$294:$H$294,0))*IF($E32=AK$20,'General inputs'!$F$85,IF($C32=AK$18,'General inputs'!$F$86,0))*IF($D32=AK$19,1,0)</f>
        <v>0</v>
      </c>
      <c r="AL32" s="169">
        <f>INDEX('MEC - public transport &amp; cars'!$E$296:$H$300,MATCH($C32,'MEC - public transport &amp; cars'!$C$296:$C$300,0),MATCH(AL$18,'MEC - public transport &amp; cars'!$E$294:$H$294,0))*IF($E32=AL$20,'General inputs'!$F$85,IF($C32=AL$18,'General inputs'!$F$86,0))*IF($D32=AL$19,1,0)</f>
        <v>0</v>
      </c>
      <c r="AM32" s="227">
        <f>INDEX('MEC - public transport &amp; cars'!$E$296:$H$300,MATCH($C32,'MEC - public transport &amp; cars'!$C$296:$C$300,0),MATCH(AM$18,'MEC - public transport &amp; cars'!$E$294:$H$294,0))*IF($E32=AM$20,'General inputs'!$F$85,IF($C32=AM$18,'General inputs'!$F$86,0))*IF($D32=AM$19,1,0)</f>
        <v>0</v>
      </c>
    </row>
    <row r="33" spans="3:39" x14ac:dyDescent="0.25">
      <c r="C33" s="244" t="str">
        <f>'Fare optimisation'!C94</f>
        <v>Bus</v>
      </c>
      <c r="D33" s="173">
        <f>'Fare optimisation'!D94</f>
        <v>15</v>
      </c>
      <c r="E33" s="172" t="str">
        <f>'Fare optimisation'!E94</f>
        <v>Peak</v>
      </c>
      <c r="F33" s="173">
        <f>'General inputs'!C39</f>
        <v>11</v>
      </c>
      <c r="H33" s="169">
        <f>INDEX('MEC - public transport &amp; cars'!$E$296:$H$300,MATCH($C33,'MEC - public transport &amp; cars'!$C$296:$C$300,0),MATCH(H$18,'MEC - public transport &amp; cars'!$E$294:$H$294,0))*IF($E33=H$20,'General inputs'!$F$85,IF($C33=H$18,'General inputs'!$F$86,0))*IF($D33=H$19,1,0)</f>
        <v>0</v>
      </c>
      <c r="I33" s="169">
        <f>INDEX('MEC - public transport &amp; cars'!$E$296:$H$300,MATCH($C33,'MEC - public transport &amp; cars'!$C$296:$C$300,0),MATCH(I$18,'MEC - public transport &amp; cars'!$E$294:$H$294,0))*IF($E33=I$20,'General inputs'!$F$85,IF($C33=I$18,'General inputs'!$F$86,0))*IF($D33=I$19,1,0)</f>
        <v>0</v>
      </c>
      <c r="J33" s="169">
        <f>INDEX('MEC - public transport &amp; cars'!$E$296:$H$300,MATCH($C33,'MEC - public transport &amp; cars'!$C$296:$C$300,0),MATCH(J$18,'MEC - public transport &amp; cars'!$E$294:$H$294,0))*IF($E33=J$20,'General inputs'!$F$85,IF($C33=J$18,'General inputs'!$F$86,0))*IF($D33=J$19,1,0)</f>
        <v>-0.21149525877594427</v>
      </c>
      <c r="K33" s="169">
        <f>INDEX('MEC - public transport &amp; cars'!$E$296:$H$300,MATCH($C33,'MEC - public transport &amp; cars'!$C$296:$C$300,0),MATCH(K$18,'MEC - public transport &amp; cars'!$E$294:$H$294,0))*IF($E33=K$20,'General inputs'!$F$85,IF($C33=K$18,'General inputs'!$F$86,0))*IF($D33=K$19,1,0)</f>
        <v>0</v>
      </c>
      <c r="L33" s="169">
        <f>INDEX('MEC - public transport &amp; cars'!$E$296:$H$300,MATCH($C33,'MEC - public transport &amp; cars'!$C$296:$C$300,0),MATCH(L$18,'MEC - public transport &amp; cars'!$E$294:$H$294,0))*IF($E33=L$20,'General inputs'!$F$85,IF($C33=L$18,'General inputs'!$F$86,0))*IF($D33=L$19,1,0)</f>
        <v>0</v>
      </c>
      <c r="M33" s="169">
        <f>INDEX('MEC - public transport &amp; cars'!$E$296:$H$300,MATCH($C33,'MEC - public transport &amp; cars'!$C$296:$C$300,0),MATCH(M$18,'MEC - public transport &amp; cars'!$E$294:$H$294,0))*IF($E33=M$20,'General inputs'!$F$85,IF($C33=M$18,'General inputs'!$F$86,0))*IF($D33=M$19,1,0)</f>
        <v>0</v>
      </c>
      <c r="N33" s="169">
        <f>INDEX('MEC - public transport &amp; cars'!$E$296:$H$300,MATCH($C33,'MEC - public transport &amp; cars'!$C$296:$C$300,0),MATCH(N$18,'MEC - public transport &amp; cars'!$E$294:$H$294,0))*IF($E33=N$20,'General inputs'!$F$85,IF($C33=N$18,'General inputs'!$F$86,0))*IF($D33=N$19,1,0)</f>
        <v>0</v>
      </c>
      <c r="O33" s="169">
        <f>INDEX('MEC - public transport &amp; cars'!$E$296:$H$300,MATCH($C33,'MEC - public transport &amp; cars'!$C$296:$C$300,0),MATCH(O$18,'MEC - public transport &amp; cars'!$E$294:$H$294,0))*IF($E33=O$20,'General inputs'!$F$85,IF($C33=O$18,'General inputs'!$F$86,0))*IF($D33=O$19,1,0)</f>
        <v>0</v>
      </c>
      <c r="P33" s="169">
        <f>INDEX('MEC - public transport &amp; cars'!$E$296:$H$300,MATCH($C33,'MEC - public transport &amp; cars'!$C$296:$C$300,0),MATCH(P$18,'MEC - public transport &amp; cars'!$E$294:$H$294,0))*IF($E33=P$20,'General inputs'!$F$85,IF($C33=P$18,'General inputs'!$F$86,0))*IF($D33=P$19,1,0)</f>
        <v>0</v>
      </c>
      <c r="Q33" s="169">
        <f>INDEX('MEC - public transport &amp; cars'!$E$296:$H$300,MATCH($C33,'MEC - public transport &amp; cars'!$C$296:$C$300,0),MATCH(Q$18,'MEC - public transport &amp; cars'!$E$294:$H$294,0))*IF($E33=Q$20,'General inputs'!$F$85,IF($C33=Q$18,'General inputs'!$F$86,0))*IF($D33=Q$19,1,0)</f>
        <v>0</v>
      </c>
      <c r="R33" s="169">
        <f>INDEX('MEC - public transport &amp; cars'!$E$296:$H$300,MATCH($C33,'MEC - public transport &amp; cars'!$C$296:$C$300,0),MATCH(R$18,'MEC - public transport &amp; cars'!$E$294:$H$294,0))*IF($E33=R$20,'General inputs'!$F$85,IF($C33=R$18,'General inputs'!$F$86,0))*IF($D33=R$19,1,0)</f>
        <v>1</v>
      </c>
      <c r="S33" s="169">
        <f>INDEX('MEC - public transport &amp; cars'!$E$296:$H$300,MATCH($C33,'MEC - public transport &amp; cars'!$C$296:$C$300,0),MATCH(S$18,'MEC - public transport &amp; cars'!$E$294:$H$294,0))*IF($E33=S$20,'General inputs'!$F$85,IF($C33=S$18,'General inputs'!$F$86,0))*IF($D33=S$19,1,0)</f>
        <v>0</v>
      </c>
      <c r="T33" s="169">
        <f>INDEX('MEC - public transport &amp; cars'!$E$296:$H$300,MATCH($C33,'MEC - public transport &amp; cars'!$C$296:$C$300,0),MATCH(T$18,'MEC - public transport &amp; cars'!$E$294:$H$294,0))*IF($E33=T$20,'General inputs'!$F$85,IF($C33=T$18,'General inputs'!$F$86,0))*IF($D33=T$19,1,0)</f>
        <v>0</v>
      </c>
      <c r="U33" s="169">
        <f>INDEX('MEC - public transport &amp; cars'!$E$296:$H$300,MATCH($C33,'MEC - public transport &amp; cars'!$C$296:$C$300,0),MATCH(U$18,'MEC - public transport &amp; cars'!$E$294:$H$294,0))*IF($E33=U$20,'General inputs'!$F$85,IF($C33=U$18,'General inputs'!$F$86,0))*IF($D33=U$19,1,0)</f>
        <v>0</v>
      </c>
      <c r="V33" s="169">
        <f>INDEX('MEC - public transport &amp; cars'!$E$296:$H$300,MATCH($C33,'MEC - public transport &amp; cars'!$C$296:$C$300,0),MATCH(V$18,'MEC - public transport &amp; cars'!$E$294:$H$294,0))*IF($E33=V$20,'General inputs'!$F$85,IF($C33=V$18,'General inputs'!$F$86,0))*IF($D33=V$19,1,0)</f>
        <v>-0.1</v>
      </c>
      <c r="W33" s="169">
        <f>INDEX('MEC - public transport &amp; cars'!$E$296:$H$300,MATCH($C33,'MEC - public transport &amp; cars'!$C$296:$C$300,0),MATCH(W$18,'MEC - public transport &amp; cars'!$E$294:$H$294,0))*IF($E33=W$20,'General inputs'!$F$85,IF($C33=W$18,'General inputs'!$F$86,0))*IF($D33=W$19,1,0)</f>
        <v>0</v>
      </c>
      <c r="X33" s="169">
        <f>INDEX('MEC - public transport &amp; cars'!$E$296:$H$300,MATCH($C33,'MEC - public transport &amp; cars'!$C$296:$C$300,0),MATCH(X$18,'MEC - public transport &amp; cars'!$E$294:$H$294,0))*IF($E33=X$20,'General inputs'!$F$85,IF($C33=X$18,'General inputs'!$F$86,0))*IF($D33=X$19,1,0)</f>
        <v>0</v>
      </c>
      <c r="Y33" s="169">
        <f>INDEX('MEC - public transport &amp; cars'!$E$296:$H$300,MATCH($C33,'MEC - public transport &amp; cars'!$C$296:$C$300,0),MATCH(Y$18,'MEC - public transport &amp; cars'!$E$294:$H$294,0))*IF($E33=Y$20,'General inputs'!$F$85,IF($C33=Y$18,'General inputs'!$F$86,0))*IF($D33=Y$19,1,0)</f>
        <v>0</v>
      </c>
      <c r="Z33" s="169">
        <f>INDEX('MEC - public transport &amp; cars'!$E$296:$H$300,MATCH($C33,'MEC - public transport &amp; cars'!$C$296:$C$300,0),MATCH(Z$18,'MEC - public transport &amp; cars'!$E$294:$H$294,0))*IF($E33=Z$20,'General inputs'!$F$85,IF($C33=Z$18,'General inputs'!$F$86,0))*IF($D33=Z$19,1,0)</f>
        <v>-0.9</v>
      </c>
      <c r="AA33" s="169">
        <f>INDEX('MEC - public transport &amp; cars'!$E$296:$H$300,MATCH($C33,'MEC - public transport &amp; cars'!$C$296:$C$300,0),MATCH(AA$18,'MEC - public transport &amp; cars'!$E$294:$H$294,0))*IF($E33=AA$20,'General inputs'!$F$85,IF($C33=AA$18,'General inputs'!$F$86,0))*IF($D33=AA$19,1,0)</f>
        <v>0</v>
      </c>
      <c r="AB33" s="169">
        <f>INDEX('MEC - public transport &amp; cars'!$E$296:$H$300,MATCH($C33,'MEC - public transport &amp; cars'!$C$296:$C$300,0),MATCH(AB$18,'MEC - public transport &amp; cars'!$E$294:$H$294,0))*IF($E33=AB$20,'General inputs'!$F$85,IF($C33=AB$18,'General inputs'!$F$86,0))*IF($D33=AB$19,1,0)</f>
        <v>0</v>
      </c>
      <c r="AC33" s="169">
        <f>INDEX('MEC - public transport &amp; cars'!$E$296:$H$300,MATCH($C33,'MEC - public transport &amp; cars'!$C$296:$C$300,0),MATCH(AC$18,'MEC - public transport &amp; cars'!$E$294:$H$294,0))*IF($E33=AC$20,'General inputs'!$F$85,IF($C33=AC$18,'General inputs'!$F$86,0))*IF($D33=AC$19,1,0)</f>
        <v>0</v>
      </c>
      <c r="AD33" s="169">
        <f>INDEX('MEC - public transport &amp; cars'!$E$296:$H$300,MATCH($C33,'MEC - public transport &amp; cars'!$C$296:$C$300,0),MATCH(AD$18,'MEC - public transport &amp; cars'!$E$294:$H$294,0))*IF($E33=AD$20,'General inputs'!$F$85,IF($C33=AD$18,'General inputs'!$F$86,0))*IF($D33=AD$19,1,0)</f>
        <v>0</v>
      </c>
      <c r="AE33" s="169">
        <f>INDEX('MEC - public transport &amp; cars'!$E$296:$H$300,MATCH($C33,'MEC - public transport &amp; cars'!$C$296:$C$300,0),MATCH(AE$18,'MEC - public transport &amp; cars'!$E$294:$H$294,0))*IF($E33=AE$20,'General inputs'!$F$85,IF($C33=AE$18,'General inputs'!$F$86,0))*IF($D33=AE$19,1,0)</f>
        <v>0</v>
      </c>
      <c r="AF33" s="169">
        <f>INDEX('MEC - public transport &amp; cars'!$E$296:$H$300,MATCH($C33,'MEC - public transport &amp; cars'!$C$296:$C$300,0),MATCH(AF$18,'MEC - public transport &amp; cars'!$E$294:$H$294,0))*IF($E33=AF$20,'General inputs'!$F$85,IF($C33=AF$18,'General inputs'!$F$86,0))*IF($D33=AF$19,1,0)</f>
        <v>0</v>
      </c>
      <c r="AG33" s="169">
        <f>INDEX('MEC - public transport &amp; cars'!$E$296:$H$300,MATCH($C33,'MEC - public transport &amp; cars'!$C$296:$C$300,0),MATCH(AG$18,'MEC - public transport &amp; cars'!$E$294:$H$294,0))*IF($E33=AG$20,'General inputs'!$F$85,IF($C33=AG$18,'General inputs'!$F$86,0))*IF($D33=AG$19,1,0)</f>
        <v>0</v>
      </c>
      <c r="AH33" s="169">
        <f>INDEX('MEC - public transport &amp; cars'!$E$296:$H$300,MATCH($C33,'MEC - public transport &amp; cars'!$C$296:$C$300,0),MATCH(AH$18,'MEC - public transport &amp; cars'!$E$294:$H$294,0))*IF($E33=AH$20,'General inputs'!$F$85,IF($C33=AH$18,'General inputs'!$F$86,0))*IF($D33=AH$19,1,0)</f>
        <v>-0.49191926234508726</v>
      </c>
      <c r="AI33" s="169">
        <f>INDEX('MEC - public transport &amp; cars'!$E$296:$H$300,MATCH($C33,'MEC - public transport &amp; cars'!$C$296:$C$300,0),MATCH(AI$18,'MEC - public transport &amp; cars'!$E$294:$H$294,0))*IF($E33=AI$20,'General inputs'!$F$85,IF($C33=AI$18,'General inputs'!$F$86,0))*IF($D33=AI$19,1,0)</f>
        <v>0</v>
      </c>
      <c r="AJ33" s="169">
        <f>INDEX('MEC - public transport &amp; cars'!$E$296:$H$300,MATCH($C33,'MEC - public transport &amp; cars'!$C$296:$C$300,0),MATCH(AJ$18,'MEC - public transport &amp; cars'!$E$294:$H$294,0))*IF($E33=AJ$20,'General inputs'!$F$85,IF($C33=AJ$18,'General inputs'!$F$86,0))*IF($D33=AJ$19,1,0)</f>
        <v>0</v>
      </c>
      <c r="AK33" s="169">
        <f>INDEX('MEC - public transport &amp; cars'!$E$296:$H$300,MATCH($C33,'MEC - public transport &amp; cars'!$C$296:$C$300,0),MATCH(AK$18,'MEC - public transport &amp; cars'!$E$294:$H$294,0))*IF($E33=AK$20,'General inputs'!$F$85,IF($C33=AK$18,'General inputs'!$F$86,0))*IF($D33=AK$19,1,0)</f>
        <v>0</v>
      </c>
      <c r="AL33" s="169">
        <f>INDEX('MEC - public transport &amp; cars'!$E$296:$H$300,MATCH($C33,'MEC - public transport &amp; cars'!$C$296:$C$300,0),MATCH(AL$18,'MEC - public transport &amp; cars'!$E$294:$H$294,0))*IF($E33=AL$20,'General inputs'!$F$85,IF($C33=AL$18,'General inputs'!$F$86,0))*IF($D33=AL$19,1,0)</f>
        <v>0</v>
      </c>
      <c r="AM33" s="227">
        <f>INDEX('MEC - public transport &amp; cars'!$E$296:$H$300,MATCH($C33,'MEC - public transport &amp; cars'!$C$296:$C$300,0),MATCH(AM$18,'MEC - public transport &amp; cars'!$E$294:$H$294,0))*IF($E33=AM$20,'General inputs'!$F$85,IF($C33=AM$18,'General inputs'!$F$86,0))*IF($D33=AM$19,1,0)</f>
        <v>0</v>
      </c>
    </row>
    <row r="34" spans="3:39" x14ac:dyDescent="0.25">
      <c r="C34" s="244" t="str">
        <f>'Fare optimisation'!C95</f>
        <v>Bus</v>
      </c>
      <c r="D34" s="173">
        <f>'Fare optimisation'!D95</f>
        <v>25</v>
      </c>
      <c r="E34" s="172" t="str">
        <f>'Fare optimisation'!E95</f>
        <v>Peak</v>
      </c>
      <c r="F34" s="173">
        <f>'General inputs'!C40</f>
        <v>12</v>
      </c>
      <c r="H34" s="169">
        <f>INDEX('MEC - public transport &amp; cars'!$E$296:$H$300,MATCH($C34,'MEC - public transport &amp; cars'!$C$296:$C$300,0),MATCH(H$18,'MEC - public transport &amp; cars'!$E$294:$H$294,0))*IF($E34=H$20,'General inputs'!$F$85,IF($C34=H$18,'General inputs'!$F$86,0))*IF($D34=H$19,1,0)</f>
        <v>0</v>
      </c>
      <c r="I34" s="169">
        <f>INDEX('MEC - public transport &amp; cars'!$E$296:$H$300,MATCH($C34,'MEC - public transport &amp; cars'!$C$296:$C$300,0),MATCH(I$18,'MEC - public transport &amp; cars'!$E$294:$H$294,0))*IF($E34=I$20,'General inputs'!$F$85,IF($C34=I$18,'General inputs'!$F$86,0))*IF($D34=I$19,1,0)</f>
        <v>0</v>
      </c>
      <c r="J34" s="169">
        <f>INDEX('MEC - public transport &amp; cars'!$E$296:$H$300,MATCH($C34,'MEC - public transport &amp; cars'!$C$296:$C$300,0),MATCH(J$18,'MEC - public transport &amp; cars'!$E$294:$H$294,0))*IF($E34=J$20,'General inputs'!$F$85,IF($C34=J$18,'General inputs'!$F$86,0))*IF($D34=J$19,1,0)</f>
        <v>0</v>
      </c>
      <c r="K34" s="169">
        <f>INDEX('MEC - public transport &amp; cars'!$E$296:$H$300,MATCH($C34,'MEC - public transport &amp; cars'!$C$296:$C$300,0),MATCH(K$18,'MEC - public transport &amp; cars'!$E$294:$H$294,0))*IF($E34=K$20,'General inputs'!$F$85,IF($C34=K$18,'General inputs'!$F$86,0))*IF($D34=K$19,1,0)</f>
        <v>-0.21149525877594427</v>
      </c>
      <c r="L34" s="169">
        <f>INDEX('MEC - public transport &amp; cars'!$E$296:$H$300,MATCH($C34,'MEC - public transport &amp; cars'!$C$296:$C$300,0),MATCH(L$18,'MEC - public transport &amp; cars'!$E$294:$H$294,0))*IF($E34=L$20,'General inputs'!$F$85,IF($C34=L$18,'General inputs'!$F$86,0))*IF($D34=L$19,1,0)</f>
        <v>0</v>
      </c>
      <c r="M34" s="169">
        <f>INDEX('MEC - public transport &amp; cars'!$E$296:$H$300,MATCH($C34,'MEC - public transport &amp; cars'!$C$296:$C$300,0),MATCH(M$18,'MEC - public transport &amp; cars'!$E$294:$H$294,0))*IF($E34=M$20,'General inputs'!$F$85,IF($C34=M$18,'General inputs'!$F$86,0))*IF($D34=M$19,1,0)</f>
        <v>0</v>
      </c>
      <c r="N34" s="169">
        <f>INDEX('MEC - public transport &amp; cars'!$E$296:$H$300,MATCH($C34,'MEC - public transport &amp; cars'!$C$296:$C$300,0),MATCH(N$18,'MEC - public transport &amp; cars'!$E$294:$H$294,0))*IF($E34=N$20,'General inputs'!$F$85,IF($C34=N$18,'General inputs'!$F$86,0))*IF($D34=N$19,1,0)</f>
        <v>0</v>
      </c>
      <c r="O34" s="169">
        <f>INDEX('MEC - public transport &amp; cars'!$E$296:$H$300,MATCH($C34,'MEC - public transport &amp; cars'!$C$296:$C$300,0),MATCH(O$18,'MEC - public transport &amp; cars'!$E$294:$H$294,0))*IF($E34=O$20,'General inputs'!$F$85,IF($C34=O$18,'General inputs'!$F$86,0))*IF($D34=O$19,1,0)</f>
        <v>0</v>
      </c>
      <c r="P34" s="169">
        <f>INDEX('MEC - public transport &amp; cars'!$E$296:$H$300,MATCH($C34,'MEC - public transport &amp; cars'!$C$296:$C$300,0),MATCH(P$18,'MEC - public transport &amp; cars'!$E$294:$H$294,0))*IF($E34=P$20,'General inputs'!$F$85,IF($C34=P$18,'General inputs'!$F$86,0))*IF($D34=P$19,1,0)</f>
        <v>0</v>
      </c>
      <c r="Q34" s="169">
        <f>INDEX('MEC - public transport &amp; cars'!$E$296:$H$300,MATCH($C34,'MEC - public transport &amp; cars'!$C$296:$C$300,0),MATCH(Q$18,'MEC - public transport &amp; cars'!$E$294:$H$294,0))*IF($E34=Q$20,'General inputs'!$F$85,IF($C34=Q$18,'General inputs'!$F$86,0))*IF($D34=Q$19,1,0)</f>
        <v>0</v>
      </c>
      <c r="R34" s="169">
        <f>INDEX('MEC - public transport &amp; cars'!$E$296:$H$300,MATCH($C34,'MEC - public transport &amp; cars'!$C$296:$C$300,0),MATCH(R$18,'MEC - public transport &amp; cars'!$E$294:$H$294,0))*IF($E34=R$20,'General inputs'!$F$85,IF($C34=R$18,'General inputs'!$F$86,0))*IF($D34=R$19,1,0)</f>
        <v>0</v>
      </c>
      <c r="S34" s="169">
        <f>INDEX('MEC - public transport &amp; cars'!$E$296:$H$300,MATCH($C34,'MEC - public transport &amp; cars'!$C$296:$C$300,0),MATCH(S$18,'MEC - public transport &amp; cars'!$E$294:$H$294,0))*IF($E34=S$20,'General inputs'!$F$85,IF($C34=S$18,'General inputs'!$F$86,0))*IF($D34=S$19,1,0)</f>
        <v>1</v>
      </c>
      <c r="T34" s="169">
        <f>INDEX('MEC - public transport &amp; cars'!$E$296:$H$300,MATCH($C34,'MEC - public transport &amp; cars'!$C$296:$C$300,0),MATCH(T$18,'MEC - public transport &amp; cars'!$E$294:$H$294,0))*IF($E34=T$20,'General inputs'!$F$85,IF($C34=T$18,'General inputs'!$F$86,0))*IF($D34=T$19,1,0)</f>
        <v>0</v>
      </c>
      <c r="U34" s="169">
        <f>INDEX('MEC - public transport &amp; cars'!$E$296:$H$300,MATCH($C34,'MEC - public transport &amp; cars'!$C$296:$C$300,0),MATCH(U$18,'MEC - public transport &amp; cars'!$E$294:$H$294,0))*IF($E34=U$20,'General inputs'!$F$85,IF($C34=U$18,'General inputs'!$F$86,0))*IF($D34=U$19,1,0)</f>
        <v>0</v>
      </c>
      <c r="V34" s="169">
        <f>INDEX('MEC - public transport &amp; cars'!$E$296:$H$300,MATCH($C34,'MEC - public transport &amp; cars'!$C$296:$C$300,0),MATCH(V$18,'MEC - public transport &amp; cars'!$E$294:$H$294,0))*IF($E34=V$20,'General inputs'!$F$85,IF($C34=V$18,'General inputs'!$F$86,0))*IF($D34=V$19,1,0)</f>
        <v>0</v>
      </c>
      <c r="W34" s="169">
        <f>INDEX('MEC - public transport &amp; cars'!$E$296:$H$300,MATCH($C34,'MEC - public transport &amp; cars'!$C$296:$C$300,0),MATCH(W$18,'MEC - public transport &amp; cars'!$E$294:$H$294,0))*IF($E34=W$20,'General inputs'!$F$85,IF($C34=W$18,'General inputs'!$F$86,0))*IF($D34=W$19,1,0)</f>
        <v>-0.1</v>
      </c>
      <c r="X34" s="169">
        <f>INDEX('MEC - public transport &amp; cars'!$E$296:$H$300,MATCH($C34,'MEC - public transport &amp; cars'!$C$296:$C$300,0),MATCH(X$18,'MEC - public transport &amp; cars'!$E$294:$H$294,0))*IF($E34=X$20,'General inputs'!$F$85,IF($C34=X$18,'General inputs'!$F$86,0))*IF($D34=X$19,1,0)</f>
        <v>0</v>
      </c>
      <c r="Y34" s="169">
        <f>INDEX('MEC - public transport &amp; cars'!$E$296:$H$300,MATCH($C34,'MEC - public transport &amp; cars'!$C$296:$C$300,0),MATCH(Y$18,'MEC - public transport &amp; cars'!$E$294:$H$294,0))*IF($E34=Y$20,'General inputs'!$F$85,IF($C34=Y$18,'General inputs'!$F$86,0))*IF($D34=Y$19,1,0)</f>
        <v>0</v>
      </c>
      <c r="Z34" s="169">
        <f>INDEX('MEC - public transport &amp; cars'!$E$296:$H$300,MATCH($C34,'MEC - public transport &amp; cars'!$C$296:$C$300,0),MATCH(Z$18,'MEC - public transport &amp; cars'!$E$294:$H$294,0))*IF($E34=Z$20,'General inputs'!$F$85,IF($C34=Z$18,'General inputs'!$F$86,0))*IF($D34=Z$19,1,0)</f>
        <v>0</v>
      </c>
      <c r="AA34" s="169">
        <f>INDEX('MEC - public transport &amp; cars'!$E$296:$H$300,MATCH($C34,'MEC - public transport &amp; cars'!$C$296:$C$300,0),MATCH(AA$18,'MEC - public transport &amp; cars'!$E$294:$H$294,0))*IF($E34=AA$20,'General inputs'!$F$85,IF($C34=AA$18,'General inputs'!$F$86,0))*IF($D34=AA$19,1,0)</f>
        <v>-0.9</v>
      </c>
      <c r="AB34" s="169">
        <f>INDEX('MEC - public transport &amp; cars'!$E$296:$H$300,MATCH($C34,'MEC - public transport &amp; cars'!$C$296:$C$300,0),MATCH(AB$18,'MEC - public transport &amp; cars'!$E$294:$H$294,0))*IF($E34=AB$20,'General inputs'!$F$85,IF($C34=AB$18,'General inputs'!$F$86,0))*IF($D34=AB$19,1,0)</f>
        <v>0</v>
      </c>
      <c r="AC34" s="169">
        <f>INDEX('MEC - public transport &amp; cars'!$E$296:$H$300,MATCH($C34,'MEC - public transport &amp; cars'!$C$296:$C$300,0),MATCH(AC$18,'MEC - public transport &amp; cars'!$E$294:$H$294,0))*IF($E34=AC$20,'General inputs'!$F$85,IF($C34=AC$18,'General inputs'!$F$86,0))*IF($D34=AC$19,1,0)</f>
        <v>0</v>
      </c>
      <c r="AD34" s="169">
        <f>INDEX('MEC - public transport &amp; cars'!$E$296:$H$300,MATCH($C34,'MEC - public transport &amp; cars'!$C$296:$C$300,0),MATCH(AD$18,'MEC - public transport &amp; cars'!$E$294:$H$294,0))*IF($E34=AD$20,'General inputs'!$F$85,IF($C34=AD$18,'General inputs'!$F$86,0))*IF($D34=AD$19,1,0)</f>
        <v>0</v>
      </c>
      <c r="AE34" s="169">
        <f>INDEX('MEC - public transport &amp; cars'!$E$296:$H$300,MATCH($C34,'MEC - public transport &amp; cars'!$C$296:$C$300,0),MATCH(AE$18,'MEC - public transport &amp; cars'!$E$294:$H$294,0))*IF($E34=AE$20,'General inputs'!$F$85,IF($C34=AE$18,'General inputs'!$F$86,0))*IF($D34=AE$19,1,0)</f>
        <v>0</v>
      </c>
      <c r="AF34" s="169">
        <f>INDEX('MEC - public transport &amp; cars'!$E$296:$H$300,MATCH($C34,'MEC - public transport &amp; cars'!$C$296:$C$300,0),MATCH(AF$18,'MEC - public transport &amp; cars'!$E$294:$H$294,0))*IF($E34=AF$20,'General inputs'!$F$85,IF($C34=AF$18,'General inputs'!$F$86,0))*IF($D34=AF$19,1,0)</f>
        <v>0</v>
      </c>
      <c r="AG34" s="169">
        <f>INDEX('MEC - public transport &amp; cars'!$E$296:$H$300,MATCH($C34,'MEC - public transport &amp; cars'!$C$296:$C$300,0),MATCH(AG$18,'MEC - public transport &amp; cars'!$E$294:$H$294,0))*IF($E34=AG$20,'General inputs'!$F$85,IF($C34=AG$18,'General inputs'!$F$86,0))*IF($D34=AG$19,1,0)</f>
        <v>0</v>
      </c>
      <c r="AH34" s="169">
        <f>INDEX('MEC - public transport &amp; cars'!$E$296:$H$300,MATCH($C34,'MEC - public transport &amp; cars'!$C$296:$C$300,0),MATCH(AH$18,'MEC - public transport &amp; cars'!$E$294:$H$294,0))*IF($E34=AH$20,'General inputs'!$F$85,IF($C34=AH$18,'General inputs'!$F$86,0))*IF($D34=AH$19,1,0)</f>
        <v>0</v>
      </c>
      <c r="AI34" s="169">
        <f>INDEX('MEC - public transport &amp; cars'!$E$296:$H$300,MATCH($C34,'MEC - public transport &amp; cars'!$C$296:$C$300,0),MATCH(AI$18,'MEC - public transport &amp; cars'!$E$294:$H$294,0))*IF($E34=AI$20,'General inputs'!$F$85,IF($C34=AI$18,'General inputs'!$F$86,0))*IF($D34=AI$19,1,0)</f>
        <v>-0.49191926234508726</v>
      </c>
      <c r="AJ34" s="169">
        <f>INDEX('MEC - public transport &amp; cars'!$E$296:$H$300,MATCH($C34,'MEC - public transport &amp; cars'!$C$296:$C$300,0),MATCH(AJ$18,'MEC - public transport &amp; cars'!$E$294:$H$294,0))*IF($E34=AJ$20,'General inputs'!$F$85,IF($C34=AJ$18,'General inputs'!$F$86,0))*IF($D34=AJ$19,1,0)</f>
        <v>0</v>
      </c>
      <c r="AK34" s="169">
        <f>INDEX('MEC - public transport &amp; cars'!$E$296:$H$300,MATCH($C34,'MEC - public transport &amp; cars'!$C$296:$C$300,0),MATCH(AK$18,'MEC - public transport &amp; cars'!$E$294:$H$294,0))*IF($E34=AK$20,'General inputs'!$F$85,IF($C34=AK$18,'General inputs'!$F$86,0))*IF($D34=AK$19,1,0)</f>
        <v>0</v>
      </c>
      <c r="AL34" s="169">
        <f>INDEX('MEC - public transport &amp; cars'!$E$296:$H$300,MATCH($C34,'MEC - public transport &amp; cars'!$C$296:$C$300,0),MATCH(AL$18,'MEC - public transport &amp; cars'!$E$294:$H$294,0))*IF($E34=AL$20,'General inputs'!$F$85,IF($C34=AL$18,'General inputs'!$F$86,0))*IF($D34=AL$19,1,0)</f>
        <v>0</v>
      </c>
      <c r="AM34" s="227">
        <f>INDEX('MEC - public transport &amp; cars'!$E$296:$H$300,MATCH($C34,'MEC - public transport &amp; cars'!$C$296:$C$300,0),MATCH(AM$18,'MEC - public transport &amp; cars'!$E$294:$H$294,0))*IF($E34=AM$20,'General inputs'!$F$85,IF($C34=AM$18,'General inputs'!$F$86,0))*IF($D34=AM$19,1,0)</f>
        <v>0</v>
      </c>
    </row>
    <row r="35" spans="3:39" x14ac:dyDescent="0.25">
      <c r="C35" s="244" t="str">
        <f>'Fare optimisation'!C96</f>
        <v>Bus</v>
      </c>
      <c r="D35" s="173">
        <f>'Fare optimisation'!D96</f>
        <v>2</v>
      </c>
      <c r="E35" s="172" t="str">
        <f>'Fare optimisation'!E96</f>
        <v>Off-peak</v>
      </c>
      <c r="F35" s="173">
        <f>'General inputs'!C41</f>
        <v>13</v>
      </c>
      <c r="H35" s="169">
        <f>INDEX('MEC - public transport &amp; cars'!$E$296:$H$300,MATCH($C35,'MEC - public transport &amp; cars'!$C$296:$C$300,0),MATCH(H$18,'MEC - public transport &amp; cars'!$E$294:$H$294,0))*IF($E35=H$20,'General inputs'!$F$85,IF($C35=H$18,'General inputs'!$F$86,0))*IF($D35=H$19,1,0)</f>
        <v>0</v>
      </c>
      <c r="I35" s="169">
        <f>INDEX('MEC - public transport &amp; cars'!$E$296:$H$300,MATCH($C35,'MEC - public transport &amp; cars'!$C$296:$C$300,0),MATCH(I$18,'MEC - public transport &amp; cars'!$E$294:$H$294,0))*IF($E35=I$20,'General inputs'!$F$85,IF($C35=I$18,'General inputs'!$F$86,0))*IF($D35=I$19,1,0)</f>
        <v>0</v>
      </c>
      <c r="J35" s="169">
        <f>INDEX('MEC - public transport &amp; cars'!$E$296:$H$300,MATCH($C35,'MEC - public transport &amp; cars'!$C$296:$C$300,0),MATCH(J$18,'MEC - public transport &amp; cars'!$E$294:$H$294,0))*IF($E35=J$20,'General inputs'!$F$85,IF($C35=J$18,'General inputs'!$F$86,0))*IF($D35=J$19,1,0)</f>
        <v>0</v>
      </c>
      <c r="K35" s="169">
        <f>INDEX('MEC - public transport &amp; cars'!$E$296:$H$300,MATCH($C35,'MEC - public transport &amp; cars'!$C$296:$C$300,0),MATCH(K$18,'MEC - public transport &amp; cars'!$E$294:$H$294,0))*IF($E35=K$20,'General inputs'!$F$85,IF($C35=K$18,'General inputs'!$F$86,0))*IF($D35=K$19,1,0)</f>
        <v>0</v>
      </c>
      <c r="L35" s="169">
        <f>INDEX('MEC - public transport &amp; cars'!$E$296:$H$300,MATCH($C35,'MEC - public transport &amp; cars'!$C$296:$C$300,0),MATCH(L$18,'MEC - public transport &amp; cars'!$E$294:$H$294,0))*IF($E35=L$20,'General inputs'!$F$85,IF($C35=L$18,'General inputs'!$F$86,0))*IF($D35=L$19,1,0)</f>
        <v>-0.21149525877594427</v>
      </c>
      <c r="M35" s="169">
        <f>INDEX('MEC - public transport &amp; cars'!$E$296:$H$300,MATCH($C35,'MEC - public transport &amp; cars'!$C$296:$C$300,0),MATCH(M$18,'MEC - public transport &amp; cars'!$E$294:$H$294,0))*IF($E35=M$20,'General inputs'!$F$85,IF($C35=M$18,'General inputs'!$F$86,0))*IF($D35=M$19,1,0)</f>
        <v>0</v>
      </c>
      <c r="N35" s="169">
        <f>INDEX('MEC - public transport &amp; cars'!$E$296:$H$300,MATCH($C35,'MEC - public transport &amp; cars'!$C$296:$C$300,0),MATCH(N$18,'MEC - public transport &amp; cars'!$E$294:$H$294,0))*IF($E35=N$20,'General inputs'!$F$85,IF($C35=N$18,'General inputs'!$F$86,0))*IF($D35=N$19,1,0)</f>
        <v>0</v>
      </c>
      <c r="O35" s="169">
        <f>INDEX('MEC - public transport &amp; cars'!$E$296:$H$300,MATCH($C35,'MEC - public transport &amp; cars'!$C$296:$C$300,0),MATCH(O$18,'MEC - public transport &amp; cars'!$E$294:$H$294,0))*IF($E35=O$20,'General inputs'!$F$85,IF($C35=O$18,'General inputs'!$F$86,0))*IF($D35=O$19,1,0)</f>
        <v>0</v>
      </c>
      <c r="P35" s="169">
        <f>INDEX('MEC - public transport &amp; cars'!$E$296:$H$300,MATCH($C35,'MEC - public transport &amp; cars'!$C$296:$C$300,0),MATCH(P$18,'MEC - public transport &amp; cars'!$E$294:$H$294,0))*IF($E35=P$20,'General inputs'!$F$85,IF($C35=P$18,'General inputs'!$F$86,0))*IF($D35=P$19,1,0)</f>
        <v>-0.1</v>
      </c>
      <c r="Q35" s="169">
        <f>INDEX('MEC - public transport &amp; cars'!$E$296:$H$300,MATCH($C35,'MEC - public transport &amp; cars'!$C$296:$C$300,0),MATCH(Q$18,'MEC - public transport &amp; cars'!$E$294:$H$294,0))*IF($E35=Q$20,'General inputs'!$F$85,IF($C35=Q$18,'General inputs'!$F$86,0))*IF($D35=Q$19,1,0)</f>
        <v>0</v>
      </c>
      <c r="R35" s="169">
        <f>INDEX('MEC - public transport &amp; cars'!$E$296:$H$300,MATCH($C35,'MEC - public transport &amp; cars'!$C$296:$C$300,0),MATCH(R$18,'MEC - public transport &amp; cars'!$E$294:$H$294,0))*IF($E35=R$20,'General inputs'!$F$85,IF($C35=R$18,'General inputs'!$F$86,0))*IF($D35=R$19,1,0)</f>
        <v>0</v>
      </c>
      <c r="S35" s="169">
        <f>INDEX('MEC - public transport &amp; cars'!$E$296:$H$300,MATCH($C35,'MEC - public transport &amp; cars'!$C$296:$C$300,0),MATCH(S$18,'MEC - public transport &amp; cars'!$E$294:$H$294,0))*IF($E35=S$20,'General inputs'!$F$85,IF($C35=S$18,'General inputs'!$F$86,0))*IF($D35=S$19,1,0)</f>
        <v>0</v>
      </c>
      <c r="T35" s="169">
        <f>INDEX('MEC - public transport &amp; cars'!$E$296:$H$300,MATCH($C35,'MEC - public transport &amp; cars'!$C$296:$C$300,0),MATCH(T$18,'MEC - public transport &amp; cars'!$E$294:$H$294,0))*IF($E35=T$20,'General inputs'!$F$85,IF($C35=T$18,'General inputs'!$F$86,0))*IF($D35=T$19,1,0)</f>
        <v>1</v>
      </c>
      <c r="U35" s="169">
        <f>INDEX('MEC - public transport &amp; cars'!$E$296:$H$300,MATCH($C35,'MEC - public transport &amp; cars'!$C$296:$C$300,0),MATCH(U$18,'MEC - public transport &amp; cars'!$E$294:$H$294,0))*IF($E35=U$20,'General inputs'!$F$85,IF($C35=U$18,'General inputs'!$F$86,0))*IF($D35=U$19,1,0)</f>
        <v>0</v>
      </c>
      <c r="V35" s="169">
        <f>INDEX('MEC - public transport &amp; cars'!$E$296:$H$300,MATCH($C35,'MEC - public transport &amp; cars'!$C$296:$C$300,0),MATCH(V$18,'MEC - public transport &amp; cars'!$E$294:$H$294,0))*IF($E35=V$20,'General inputs'!$F$85,IF($C35=V$18,'General inputs'!$F$86,0))*IF($D35=V$19,1,0)</f>
        <v>0</v>
      </c>
      <c r="W35" s="169">
        <f>INDEX('MEC - public transport &amp; cars'!$E$296:$H$300,MATCH($C35,'MEC - public transport &amp; cars'!$C$296:$C$300,0),MATCH(W$18,'MEC - public transport &amp; cars'!$E$294:$H$294,0))*IF($E35=W$20,'General inputs'!$F$85,IF($C35=W$18,'General inputs'!$F$86,0))*IF($D35=W$19,1,0)</f>
        <v>0</v>
      </c>
      <c r="X35" s="169">
        <f>INDEX('MEC - public transport &amp; cars'!$E$296:$H$300,MATCH($C35,'MEC - public transport &amp; cars'!$C$296:$C$300,0),MATCH(X$18,'MEC - public transport &amp; cars'!$E$294:$H$294,0))*IF($E35=X$20,'General inputs'!$F$85,IF($C35=X$18,'General inputs'!$F$86,0))*IF($D35=X$19,1,0)</f>
        <v>0</v>
      </c>
      <c r="Y35" s="169">
        <f>INDEX('MEC - public transport &amp; cars'!$E$296:$H$300,MATCH($C35,'MEC - public transport &amp; cars'!$C$296:$C$300,0),MATCH(Y$18,'MEC - public transport &amp; cars'!$E$294:$H$294,0))*IF($E35=Y$20,'General inputs'!$F$85,IF($C35=Y$18,'General inputs'!$F$86,0))*IF($D35=Y$19,1,0)</f>
        <v>0</v>
      </c>
      <c r="Z35" s="169">
        <f>INDEX('MEC - public transport &amp; cars'!$E$296:$H$300,MATCH($C35,'MEC - public transport &amp; cars'!$C$296:$C$300,0),MATCH(Z$18,'MEC - public transport &amp; cars'!$E$294:$H$294,0))*IF($E35=Z$20,'General inputs'!$F$85,IF($C35=Z$18,'General inputs'!$F$86,0))*IF($D35=Z$19,1,0)</f>
        <v>0</v>
      </c>
      <c r="AA35" s="169">
        <f>INDEX('MEC - public transport &amp; cars'!$E$296:$H$300,MATCH($C35,'MEC - public transport &amp; cars'!$C$296:$C$300,0),MATCH(AA$18,'MEC - public transport &amp; cars'!$E$294:$H$294,0))*IF($E35=AA$20,'General inputs'!$F$85,IF($C35=AA$18,'General inputs'!$F$86,0))*IF($D35=AA$19,1,0)</f>
        <v>0</v>
      </c>
      <c r="AB35" s="169">
        <f>INDEX('MEC - public transport &amp; cars'!$E$296:$H$300,MATCH($C35,'MEC - public transport &amp; cars'!$C$296:$C$300,0),MATCH(AB$18,'MEC - public transport &amp; cars'!$E$294:$H$294,0))*IF($E35=AB$20,'General inputs'!$F$85,IF($C35=AB$18,'General inputs'!$F$86,0))*IF($D35=AB$19,1,0)</f>
        <v>-0.9</v>
      </c>
      <c r="AC35" s="169">
        <f>INDEX('MEC - public transport &amp; cars'!$E$296:$H$300,MATCH($C35,'MEC - public transport &amp; cars'!$C$296:$C$300,0),MATCH(AC$18,'MEC - public transport &amp; cars'!$E$294:$H$294,0))*IF($E35=AC$20,'General inputs'!$F$85,IF($C35=AC$18,'General inputs'!$F$86,0))*IF($D35=AC$19,1,0)</f>
        <v>0</v>
      </c>
      <c r="AD35" s="169">
        <f>INDEX('MEC - public transport &amp; cars'!$E$296:$H$300,MATCH($C35,'MEC - public transport &amp; cars'!$C$296:$C$300,0),MATCH(AD$18,'MEC - public transport &amp; cars'!$E$294:$H$294,0))*IF($E35=AD$20,'General inputs'!$F$85,IF($C35=AD$18,'General inputs'!$F$86,0))*IF($D35=AD$19,1,0)</f>
        <v>0</v>
      </c>
      <c r="AE35" s="169">
        <f>INDEX('MEC - public transport &amp; cars'!$E$296:$H$300,MATCH($C35,'MEC - public transport &amp; cars'!$C$296:$C$300,0),MATCH(AE$18,'MEC - public transport &amp; cars'!$E$294:$H$294,0))*IF($E35=AE$20,'General inputs'!$F$85,IF($C35=AE$18,'General inputs'!$F$86,0))*IF($D35=AE$19,1,0)</f>
        <v>0</v>
      </c>
      <c r="AF35" s="169">
        <f>INDEX('MEC - public transport &amp; cars'!$E$296:$H$300,MATCH($C35,'MEC - public transport &amp; cars'!$C$296:$C$300,0),MATCH(AF$18,'MEC - public transport &amp; cars'!$E$294:$H$294,0))*IF($E35=AF$20,'General inputs'!$F$85,IF($C35=AF$18,'General inputs'!$F$86,0))*IF($D35=AF$19,1,0)</f>
        <v>0</v>
      </c>
      <c r="AG35" s="169">
        <f>INDEX('MEC - public transport &amp; cars'!$E$296:$H$300,MATCH($C35,'MEC - public transport &amp; cars'!$C$296:$C$300,0),MATCH(AG$18,'MEC - public transport &amp; cars'!$E$294:$H$294,0))*IF($E35=AG$20,'General inputs'!$F$85,IF($C35=AG$18,'General inputs'!$F$86,0))*IF($D35=AG$19,1,0)</f>
        <v>0</v>
      </c>
      <c r="AH35" s="169">
        <f>INDEX('MEC - public transport &amp; cars'!$E$296:$H$300,MATCH($C35,'MEC - public transport &amp; cars'!$C$296:$C$300,0),MATCH(AH$18,'MEC - public transport &amp; cars'!$E$294:$H$294,0))*IF($E35=AH$20,'General inputs'!$F$85,IF($C35=AH$18,'General inputs'!$F$86,0))*IF($D35=AH$19,1,0)</f>
        <v>0</v>
      </c>
      <c r="AI35" s="169">
        <f>INDEX('MEC - public transport &amp; cars'!$E$296:$H$300,MATCH($C35,'MEC - public transport &amp; cars'!$C$296:$C$300,0),MATCH(AI$18,'MEC - public transport &amp; cars'!$E$294:$H$294,0))*IF($E35=AI$20,'General inputs'!$F$85,IF($C35=AI$18,'General inputs'!$F$86,0))*IF($D35=AI$19,1,0)</f>
        <v>0</v>
      </c>
      <c r="AJ35" s="169">
        <f>INDEX('MEC - public transport &amp; cars'!$E$296:$H$300,MATCH($C35,'MEC - public transport &amp; cars'!$C$296:$C$300,0),MATCH(AJ$18,'MEC - public transport &amp; cars'!$E$294:$H$294,0))*IF($E35=AJ$20,'General inputs'!$F$85,IF($C35=AJ$18,'General inputs'!$F$86,0))*IF($D35=AJ$19,1,0)</f>
        <v>-0.49191926234508726</v>
      </c>
      <c r="AK35" s="169">
        <f>INDEX('MEC - public transport &amp; cars'!$E$296:$H$300,MATCH($C35,'MEC - public transport &amp; cars'!$C$296:$C$300,0),MATCH(AK$18,'MEC - public transport &amp; cars'!$E$294:$H$294,0))*IF($E35=AK$20,'General inputs'!$F$85,IF($C35=AK$18,'General inputs'!$F$86,0))*IF($D35=AK$19,1,0)</f>
        <v>0</v>
      </c>
      <c r="AL35" s="169">
        <f>INDEX('MEC - public transport &amp; cars'!$E$296:$H$300,MATCH($C35,'MEC - public transport &amp; cars'!$C$296:$C$300,0),MATCH(AL$18,'MEC - public transport &amp; cars'!$E$294:$H$294,0))*IF($E35=AL$20,'General inputs'!$F$85,IF($C35=AL$18,'General inputs'!$F$86,0))*IF($D35=AL$19,1,0)</f>
        <v>0</v>
      </c>
      <c r="AM35" s="227">
        <f>INDEX('MEC - public transport &amp; cars'!$E$296:$H$300,MATCH($C35,'MEC - public transport &amp; cars'!$C$296:$C$300,0),MATCH(AM$18,'MEC - public transport &amp; cars'!$E$294:$H$294,0))*IF($E35=AM$20,'General inputs'!$F$85,IF($C35=AM$18,'General inputs'!$F$86,0))*IF($D35=AM$19,1,0)</f>
        <v>0</v>
      </c>
    </row>
    <row r="36" spans="3:39" x14ac:dyDescent="0.25">
      <c r="C36" s="244" t="str">
        <f>'Fare optimisation'!C97</f>
        <v>Bus</v>
      </c>
      <c r="D36" s="173">
        <f>'Fare optimisation'!D97</f>
        <v>5</v>
      </c>
      <c r="E36" s="172" t="str">
        <f>'Fare optimisation'!E97</f>
        <v>Off-peak</v>
      </c>
      <c r="F36" s="173">
        <f>'General inputs'!C42</f>
        <v>14</v>
      </c>
      <c r="H36" s="169">
        <f>INDEX('MEC - public transport &amp; cars'!$E$296:$H$300,MATCH($C36,'MEC - public transport &amp; cars'!$C$296:$C$300,0),MATCH(H$18,'MEC - public transport &amp; cars'!$E$294:$H$294,0))*IF($E36=H$20,'General inputs'!$F$85,IF($C36=H$18,'General inputs'!$F$86,0))*IF($D36=H$19,1,0)</f>
        <v>0</v>
      </c>
      <c r="I36" s="169">
        <f>INDEX('MEC - public transport &amp; cars'!$E$296:$H$300,MATCH($C36,'MEC - public transport &amp; cars'!$C$296:$C$300,0),MATCH(I$18,'MEC - public transport &amp; cars'!$E$294:$H$294,0))*IF($E36=I$20,'General inputs'!$F$85,IF($C36=I$18,'General inputs'!$F$86,0))*IF($D36=I$19,1,0)</f>
        <v>0</v>
      </c>
      <c r="J36" s="169">
        <f>INDEX('MEC - public transport &amp; cars'!$E$296:$H$300,MATCH($C36,'MEC - public transport &amp; cars'!$C$296:$C$300,0),MATCH(J$18,'MEC - public transport &amp; cars'!$E$294:$H$294,0))*IF($E36=J$20,'General inputs'!$F$85,IF($C36=J$18,'General inputs'!$F$86,0))*IF($D36=J$19,1,0)</f>
        <v>0</v>
      </c>
      <c r="K36" s="169">
        <f>INDEX('MEC - public transport &amp; cars'!$E$296:$H$300,MATCH($C36,'MEC - public transport &amp; cars'!$C$296:$C$300,0),MATCH(K$18,'MEC - public transport &amp; cars'!$E$294:$H$294,0))*IF($E36=K$20,'General inputs'!$F$85,IF($C36=K$18,'General inputs'!$F$86,0))*IF($D36=K$19,1,0)</f>
        <v>0</v>
      </c>
      <c r="L36" s="169">
        <f>INDEX('MEC - public transport &amp; cars'!$E$296:$H$300,MATCH($C36,'MEC - public transport &amp; cars'!$C$296:$C$300,0),MATCH(L$18,'MEC - public transport &amp; cars'!$E$294:$H$294,0))*IF($E36=L$20,'General inputs'!$F$85,IF($C36=L$18,'General inputs'!$F$86,0))*IF($D36=L$19,1,0)</f>
        <v>0</v>
      </c>
      <c r="M36" s="169">
        <f>INDEX('MEC - public transport &amp; cars'!$E$296:$H$300,MATCH($C36,'MEC - public transport &amp; cars'!$C$296:$C$300,0),MATCH(M$18,'MEC - public transport &amp; cars'!$E$294:$H$294,0))*IF($E36=M$20,'General inputs'!$F$85,IF($C36=M$18,'General inputs'!$F$86,0))*IF($D36=M$19,1,0)</f>
        <v>-0.21149525877594427</v>
      </c>
      <c r="N36" s="169">
        <f>INDEX('MEC - public transport &amp; cars'!$E$296:$H$300,MATCH($C36,'MEC - public transport &amp; cars'!$C$296:$C$300,0),MATCH(N$18,'MEC - public transport &amp; cars'!$E$294:$H$294,0))*IF($E36=N$20,'General inputs'!$F$85,IF($C36=N$18,'General inputs'!$F$86,0))*IF($D36=N$19,1,0)</f>
        <v>0</v>
      </c>
      <c r="O36" s="169">
        <f>INDEX('MEC - public transport &amp; cars'!$E$296:$H$300,MATCH($C36,'MEC - public transport &amp; cars'!$C$296:$C$300,0),MATCH(O$18,'MEC - public transport &amp; cars'!$E$294:$H$294,0))*IF($E36=O$20,'General inputs'!$F$85,IF($C36=O$18,'General inputs'!$F$86,0))*IF($D36=O$19,1,0)</f>
        <v>0</v>
      </c>
      <c r="P36" s="169">
        <f>INDEX('MEC - public transport &amp; cars'!$E$296:$H$300,MATCH($C36,'MEC - public transport &amp; cars'!$C$296:$C$300,0),MATCH(P$18,'MEC - public transport &amp; cars'!$E$294:$H$294,0))*IF($E36=P$20,'General inputs'!$F$85,IF($C36=P$18,'General inputs'!$F$86,0))*IF($D36=P$19,1,0)</f>
        <v>0</v>
      </c>
      <c r="Q36" s="169">
        <f>INDEX('MEC - public transport &amp; cars'!$E$296:$H$300,MATCH($C36,'MEC - public transport &amp; cars'!$C$296:$C$300,0),MATCH(Q$18,'MEC - public transport &amp; cars'!$E$294:$H$294,0))*IF($E36=Q$20,'General inputs'!$F$85,IF($C36=Q$18,'General inputs'!$F$86,0))*IF($D36=Q$19,1,0)</f>
        <v>-0.1</v>
      </c>
      <c r="R36" s="169">
        <f>INDEX('MEC - public transport &amp; cars'!$E$296:$H$300,MATCH($C36,'MEC - public transport &amp; cars'!$C$296:$C$300,0),MATCH(R$18,'MEC - public transport &amp; cars'!$E$294:$H$294,0))*IF($E36=R$20,'General inputs'!$F$85,IF($C36=R$18,'General inputs'!$F$86,0))*IF($D36=R$19,1,0)</f>
        <v>0</v>
      </c>
      <c r="S36" s="169">
        <f>INDEX('MEC - public transport &amp; cars'!$E$296:$H$300,MATCH($C36,'MEC - public transport &amp; cars'!$C$296:$C$300,0),MATCH(S$18,'MEC - public transport &amp; cars'!$E$294:$H$294,0))*IF($E36=S$20,'General inputs'!$F$85,IF($C36=S$18,'General inputs'!$F$86,0))*IF($D36=S$19,1,0)</f>
        <v>0</v>
      </c>
      <c r="T36" s="169">
        <f>INDEX('MEC - public transport &amp; cars'!$E$296:$H$300,MATCH($C36,'MEC - public transport &amp; cars'!$C$296:$C$300,0),MATCH(T$18,'MEC - public transport &amp; cars'!$E$294:$H$294,0))*IF($E36=T$20,'General inputs'!$F$85,IF($C36=T$18,'General inputs'!$F$86,0))*IF($D36=T$19,1,0)</f>
        <v>0</v>
      </c>
      <c r="U36" s="169">
        <f>INDEX('MEC - public transport &amp; cars'!$E$296:$H$300,MATCH($C36,'MEC - public transport &amp; cars'!$C$296:$C$300,0),MATCH(U$18,'MEC - public transport &amp; cars'!$E$294:$H$294,0))*IF($E36=U$20,'General inputs'!$F$85,IF($C36=U$18,'General inputs'!$F$86,0))*IF($D36=U$19,1,0)</f>
        <v>1</v>
      </c>
      <c r="V36" s="169">
        <f>INDEX('MEC - public transport &amp; cars'!$E$296:$H$300,MATCH($C36,'MEC - public transport &amp; cars'!$C$296:$C$300,0),MATCH(V$18,'MEC - public transport &amp; cars'!$E$294:$H$294,0))*IF($E36=V$20,'General inputs'!$F$85,IF($C36=V$18,'General inputs'!$F$86,0))*IF($D36=V$19,1,0)</f>
        <v>0</v>
      </c>
      <c r="W36" s="169">
        <f>INDEX('MEC - public transport &amp; cars'!$E$296:$H$300,MATCH($C36,'MEC - public transport &amp; cars'!$C$296:$C$300,0),MATCH(W$18,'MEC - public transport &amp; cars'!$E$294:$H$294,0))*IF($E36=W$20,'General inputs'!$F$85,IF($C36=W$18,'General inputs'!$F$86,0))*IF($D36=W$19,1,0)</f>
        <v>0</v>
      </c>
      <c r="X36" s="169">
        <f>INDEX('MEC - public transport &amp; cars'!$E$296:$H$300,MATCH($C36,'MEC - public transport &amp; cars'!$C$296:$C$300,0),MATCH(X$18,'MEC - public transport &amp; cars'!$E$294:$H$294,0))*IF($E36=X$20,'General inputs'!$F$85,IF($C36=X$18,'General inputs'!$F$86,0))*IF($D36=X$19,1,0)</f>
        <v>0</v>
      </c>
      <c r="Y36" s="169">
        <f>INDEX('MEC - public transport &amp; cars'!$E$296:$H$300,MATCH($C36,'MEC - public transport &amp; cars'!$C$296:$C$300,0),MATCH(Y$18,'MEC - public transport &amp; cars'!$E$294:$H$294,0))*IF($E36=Y$20,'General inputs'!$F$85,IF($C36=Y$18,'General inputs'!$F$86,0))*IF($D36=Y$19,1,0)</f>
        <v>0</v>
      </c>
      <c r="Z36" s="169">
        <f>INDEX('MEC - public transport &amp; cars'!$E$296:$H$300,MATCH($C36,'MEC - public transport &amp; cars'!$C$296:$C$300,0),MATCH(Z$18,'MEC - public transport &amp; cars'!$E$294:$H$294,0))*IF($E36=Z$20,'General inputs'!$F$85,IF($C36=Z$18,'General inputs'!$F$86,0))*IF($D36=Z$19,1,0)</f>
        <v>0</v>
      </c>
      <c r="AA36" s="169">
        <f>INDEX('MEC - public transport &amp; cars'!$E$296:$H$300,MATCH($C36,'MEC - public transport &amp; cars'!$C$296:$C$300,0),MATCH(AA$18,'MEC - public transport &amp; cars'!$E$294:$H$294,0))*IF($E36=AA$20,'General inputs'!$F$85,IF($C36=AA$18,'General inputs'!$F$86,0))*IF($D36=AA$19,1,0)</f>
        <v>0</v>
      </c>
      <c r="AB36" s="169">
        <f>INDEX('MEC - public transport &amp; cars'!$E$296:$H$300,MATCH($C36,'MEC - public transport &amp; cars'!$C$296:$C$300,0),MATCH(AB$18,'MEC - public transport &amp; cars'!$E$294:$H$294,0))*IF($E36=AB$20,'General inputs'!$F$85,IF($C36=AB$18,'General inputs'!$F$86,0))*IF($D36=AB$19,1,0)</f>
        <v>0</v>
      </c>
      <c r="AC36" s="169">
        <f>INDEX('MEC - public transport &amp; cars'!$E$296:$H$300,MATCH($C36,'MEC - public transport &amp; cars'!$C$296:$C$300,0),MATCH(AC$18,'MEC - public transport &amp; cars'!$E$294:$H$294,0))*IF($E36=AC$20,'General inputs'!$F$85,IF($C36=AC$18,'General inputs'!$F$86,0))*IF($D36=AC$19,1,0)</f>
        <v>-0.9</v>
      </c>
      <c r="AD36" s="169">
        <f>INDEX('MEC - public transport &amp; cars'!$E$296:$H$300,MATCH($C36,'MEC - public transport &amp; cars'!$C$296:$C$300,0),MATCH(AD$18,'MEC - public transport &amp; cars'!$E$294:$H$294,0))*IF($E36=AD$20,'General inputs'!$F$85,IF($C36=AD$18,'General inputs'!$F$86,0))*IF($D36=AD$19,1,0)</f>
        <v>0</v>
      </c>
      <c r="AE36" s="169">
        <f>INDEX('MEC - public transport &amp; cars'!$E$296:$H$300,MATCH($C36,'MEC - public transport &amp; cars'!$C$296:$C$300,0),MATCH(AE$18,'MEC - public transport &amp; cars'!$E$294:$H$294,0))*IF($E36=AE$20,'General inputs'!$F$85,IF($C36=AE$18,'General inputs'!$F$86,0))*IF($D36=AE$19,1,0)</f>
        <v>0</v>
      </c>
      <c r="AF36" s="169">
        <f>INDEX('MEC - public transport &amp; cars'!$E$296:$H$300,MATCH($C36,'MEC - public transport &amp; cars'!$C$296:$C$300,0),MATCH(AF$18,'MEC - public transport &amp; cars'!$E$294:$H$294,0))*IF($E36=AF$20,'General inputs'!$F$85,IF($C36=AF$18,'General inputs'!$F$86,0))*IF($D36=AF$19,1,0)</f>
        <v>0</v>
      </c>
      <c r="AG36" s="169">
        <f>INDEX('MEC - public transport &amp; cars'!$E$296:$H$300,MATCH($C36,'MEC - public transport &amp; cars'!$C$296:$C$300,0),MATCH(AG$18,'MEC - public transport &amp; cars'!$E$294:$H$294,0))*IF($E36=AG$20,'General inputs'!$F$85,IF($C36=AG$18,'General inputs'!$F$86,0))*IF($D36=AG$19,1,0)</f>
        <v>0</v>
      </c>
      <c r="AH36" s="169">
        <f>INDEX('MEC - public transport &amp; cars'!$E$296:$H$300,MATCH($C36,'MEC - public transport &amp; cars'!$C$296:$C$300,0),MATCH(AH$18,'MEC - public transport &amp; cars'!$E$294:$H$294,0))*IF($E36=AH$20,'General inputs'!$F$85,IF($C36=AH$18,'General inputs'!$F$86,0))*IF($D36=AH$19,1,0)</f>
        <v>0</v>
      </c>
      <c r="AI36" s="169">
        <f>INDEX('MEC - public transport &amp; cars'!$E$296:$H$300,MATCH($C36,'MEC - public transport &amp; cars'!$C$296:$C$300,0),MATCH(AI$18,'MEC - public transport &amp; cars'!$E$294:$H$294,0))*IF($E36=AI$20,'General inputs'!$F$85,IF($C36=AI$18,'General inputs'!$F$86,0))*IF($D36=AI$19,1,0)</f>
        <v>0</v>
      </c>
      <c r="AJ36" s="169">
        <f>INDEX('MEC - public transport &amp; cars'!$E$296:$H$300,MATCH($C36,'MEC - public transport &amp; cars'!$C$296:$C$300,0),MATCH(AJ$18,'MEC - public transport &amp; cars'!$E$294:$H$294,0))*IF($E36=AJ$20,'General inputs'!$F$85,IF($C36=AJ$18,'General inputs'!$F$86,0))*IF($D36=AJ$19,1,0)</f>
        <v>0</v>
      </c>
      <c r="AK36" s="169">
        <f>INDEX('MEC - public transport &amp; cars'!$E$296:$H$300,MATCH($C36,'MEC - public transport &amp; cars'!$C$296:$C$300,0),MATCH(AK$18,'MEC - public transport &amp; cars'!$E$294:$H$294,0))*IF($E36=AK$20,'General inputs'!$F$85,IF($C36=AK$18,'General inputs'!$F$86,0))*IF($D36=AK$19,1,0)</f>
        <v>-0.49191926234508726</v>
      </c>
      <c r="AL36" s="169">
        <f>INDEX('MEC - public transport &amp; cars'!$E$296:$H$300,MATCH($C36,'MEC - public transport &amp; cars'!$C$296:$C$300,0),MATCH(AL$18,'MEC - public transport &amp; cars'!$E$294:$H$294,0))*IF($E36=AL$20,'General inputs'!$F$85,IF($C36=AL$18,'General inputs'!$F$86,0))*IF($D36=AL$19,1,0)</f>
        <v>0</v>
      </c>
      <c r="AM36" s="227">
        <f>INDEX('MEC - public transport &amp; cars'!$E$296:$H$300,MATCH($C36,'MEC - public transport &amp; cars'!$C$296:$C$300,0),MATCH(AM$18,'MEC - public transport &amp; cars'!$E$294:$H$294,0))*IF($E36=AM$20,'General inputs'!$F$85,IF($C36=AM$18,'General inputs'!$F$86,0))*IF($D36=AM$19,1,0)</f>
        <v>0</v>
      </c>
    </row>
    <row r="37" spans="3:39" x14ac:dyDescent="0.25">
      <c r="C37" s="244" t="str">
        <f>'Fare optimisation'!C98</f>
        <v>Bus</v>
      </c>
      <c r="D37" s="173">
        <f>'Fare optimisation'!D98</f>
        <v>15</v>
      </c>
      <c r="E37" s="172" t="str">
        <f>'Fare optimisation'!E98</f>
        <v>Off-peak</v>
      </c>
      <c r="F37" s="173">
        <f>'General inputs'!C43</f>
        <v>15</v>
      </c>
      <c r="H37" s="169">
        <f>INDEX('MEC - public transport &amp; cars'!$E$296:$H$300,MATCH($C37,'MEC - public transport &amp; cars'!$C$296:$C$300,0),MATCH(H$18,'MEC - public transport &amp; cars'!$E$294:$H$294,0))*IF($E37=H$20,'General inputs'!$F$85,IF($C37=H$18,'General inputs'!$F$86,0))*IF($D37=H$19,1,0)</f>
        <v>0</v>
      </c>
      <c r="I37" s="169">
        <f>INDEX('MEC - public transport &amp; cars'!$E$296:$H$300,MATCH($C37,'MEC - public transport &amp; cars'!$C$296:$C$300,0),MATCH(I$18,'MEC - public transport &amp; cars'!$E$294:$H$294,0))*IF($E37=I$20,'General inputs'!$F$85,IF($C37=I$18,'General inputs'!$F$86,0))*IF($D37=I$19,1,0)</f>
        <v>0</v>
      </c>
      <c r="J37" s="169">
        <f>INDEX('MEC - public transport &amp; cars'!$E$296:$H$300,MATCH($C37,'MEC - public transport &amp; cars'!$C$296:$C$300,0),MATCH(J$18,'MEC - public transport &amp; cars'!$E$294:$H$294,0))*IF($E37=J$20,'General inputs'!$F$85,IF($C37=J$18,'General inputs'!$F$86,0))*IF($D37=J$19,1,0)</f>
        <v>0</v>
      </c>
      <c r="K37" s="169">
        <f>INDEX('MEC - public transport &amp; cars'!$E$296:$H$300,MATCH($C37,'MEC - public transport &amp; cars'!$C$296:$C$300,0),MATCH(K$18,'MEC - public transport &amp; cars'!$E$294:$H$294,0))*IF($E37=K$20,'General inputs'!$F$85,IF($C37=K$18,'General inputs'!$F$86,0))*IF($D37=K$19,1,0)</f>
        <v>0</v>
      </c>
      <c r="L37" s="169">
        <f>INDEX('MEC - public transport &amp; cars'!$E$296:$H$300,MATCH($C37,'MEC - public transport &amp; cars'!$C$296:$C$300,0),MATCH(L$18,'MEC - public transport &amp; cars'!$E$294:$H$294,0))*IF($E37=L$20,'General inputs'!$F$85,IF($C37=L$18,'General inputs'!$F$86,0))*IF($D37=L$19,1,0)</f>
        <v>0</v>
      </c>
      <c r="M37" s="169">
        <f>INDEX('MEC - public transport &amp; cars'!$E$296:$H$300,MATCH($C37,'MEC - public transport &amp; cars'!$C$296:$C$300,0),MATCH(M$18,'MEC - public transport &amp; cars'!$E$294:$H$294,0))*IF($E37=M$20,'General inputs'!$F$85,IF($C37=M$18,'General inputs'!$F$86,0))*IF($D37=M$19,1,0)</f>
        <v>0</v>
      </c>
      <c r="N37" s="169">
        <f>INDEX('MEC - public transport &amp; cars'!$E$296:$H$300,MATCH($C37,'MEC - public transport &amp; cars'!$C$296:$C$300,0),MATCH(N$18,'MEC - public transport &amp; cars'!$E$294:$H$294,0))*IF($E37=N$20,'General inputs'!$F$85,IF($C37=N$18,'General inputs'!$F$86,0))*IF($D37=N$19,1,0)</f>
        <v>-0.21149525877594427</v>
      </c>
      <c r="O37" s="169">
        <f>INDEX('MEC - public transport &amp; cars'!$E$296:$H$300,MATCH($C37,'MEC - public transport &amp; cars'!$C$296:$C$300,0),MATCH(O$18,'MEC - public transport &amp; cars'!$E$294:$H$294,0))*IF($E37=O$20,'General inputs'!$F$85,IF($C37=O$18,'General inputs'!$F$86,0))*IF($D37=O$19,1,0)</f>
        <v>0</v>
      </c>
      <c r="P37" s="169">
        <f>INDEX('MEC - public transport &amp; cars'!$E$296:$H$300,MATCH($C37,'MEC - public transport &amp; cars'!$C$296:$C$300,0),MATCH(P$18,'MEC - public transport &amp; cars'!$E$294:$H$294,0))*IF($E37=P$20,'General inputs'!$F$85,IF($C37=P$18,'General inputs'!$F$86,0))*IF($D37=P$19,1,0)</f>
        <v>0</v>
      </c>
      <c r="Q37" s="169">
        <f>INDEX('MEC - public transport &amp; cars'!$E$296:$H$300,MATCH($C37,'MEC - public transport &amp; cars'!$C$296:$C$300,0),MATCH(Q$18,'MEC - public transport &amp; cars'!$E$294:$H$294,0))*IF($E37=Q$20,'General inputs'!$F$85,IF($C37=Q$18,'General inputs'!$F$86,0))*IF($D37=Q$19,1,0)</f>
        <v>0</v>
      </c>
      <c r="R37" s="169">
        <f>INDEX('MEC - public transport &amp; cars'!$E$296:$H$300,MATCH($C37,'MEC - public transport &amp; cars'!$C$296:$C$300,0),MATCH(R$18,'MEC - public transport &amp; cars'!$E$294:$H$294,0))*IF($E37=R$20,'General inputs'!$F$85,IF($C37=R$18,'General inputs'!$F$86,0))*IF($D37=R$19,1,0)</f>
        <v>-0.1</v>
      </c>
      <c r="S37" s="169">
        <f>INDEX('MEC - public transport &amp; cars'!$E$296:$H$300,MATCH($C37,'MEC - public transport &amp; cars'!$C$296:$C$300,0),MATCH(S$18,'MEC - public transport &amp; cars'!$E$294:$H$294,0))*IF($E37=S$20,'General inputs'!$F$85,IF($C37=S$18,'General inputs'!$F$86,0))*IF($D37=S$19,1,0)</f>
        <v>0</v>
      </c>
      <c r="T37" s="169">
        <f>INDEX('MEC - public transport &amp; cars'!$E$296:$H$300,MATCH($C37,'MEC - public transport &amp; cars'!$C$296:$C$300,0),MATCH(T$18,'MEC - public transport &amp; cars'!$E$294:$H$294,0))*IF($E37=T$20,'General inputs'!$F$85,IF($C37=T$18,'General inputs'!$F$86,0))*IF($D37=T$19,1,0)</f>
        <v>0</v>
      </c>
      <c r="U37" s="169">
        <f>INDEX('MEC - public transport &amp; cars'!$E$296:$H$300,MATCH($C37,'MEC - public transport &amp; cars'!$C$296:$C$300,0),MATCH(U$18,'MEC - public transport &amp; cars'!$E$294:$H$294,0))*IF($E37=U$20,'General inputs'!$F$85,IF($C37=U$18,'General inputs'!$F$86,0))*IF($D37=U$19,1,0)</f>
        <v>0</v>
      </c>
      <c r="V37" s="169">
        <f>INDEX('MEC - public transport &amp; cars'!$E$296:$H$300,MATCH($C37,'MEC - public transport &amp; cars'!$C$296:$C$300,0),MATCH(V$18,'MEC - public transport &amp; cars'!$E$294:$H$294,0))*IF($E37=V$20,'General inputs'!$F$85,IF($C37=V$18,'General inputs'!$F$86,0))*IF($D37=V$19,1,0)</f>
        <v>1</v>
      </c>
      <c r="W37" s="169">
        <f>INDEX('MEC - public transport &amp; cars'!$E$296:$H$300,MATCH($C37,'MEC - public transport &amp; cars'!$C$296:$C$300,0),MATCH(W$18,'MEC - public transport &amp; cars'!$E$294:$H$294,0))*IF($E37=W$20,'General inputs'!$F$85,IF($C37=W$18,'General inputs'!$F$86,0))*IF($D37=W$19,1,0)</f>
        <v>0</v>
      </c>
      <c r="X37" s="169">
        <f>INDEX('MEC - public transport &amp; cars'!$E$296:$H$300,MATCH($C37,'MEC - public transport &amp; cars'!$C$296:$C$300,0),MATCH(X$18,'MEC - public transport &amp; cars'!$E$294:$H$294,0))*IF($E37=X$20,'General inputs'!$F$85,IF($C37=X$18,'General inputs'!$F$86,0))*IF($D37=X$19,1,0)</f>
        <v>0</v>
      </c>
      <c r="Y37" s="169">
        <f>INDEX('MEC - public transport &amp; cars'!$E$296:$H$300,MATCH($C37,'MEC - public transport &amp; cars'!$C$296:$C$300,0),MATCH(Y$18,'MEC - public transport &amp; cars'!$E$294:$H$294,0))*IF($E37=Y$20,'General inputs'!$F$85,IF($C37=Y$18,'General inputs'!$F$86,0))*IF($D37=Y$19,1,0)</f>
        <v>0</v>
      </c>
      <c r="Z37" s="169">
        <f>INDEX('MEC - public transport &amp; cars'!$E$296:$H$300,MATCH($C37,'MEC - public transport &amp; cars'!$C$296:$C$300,0),MATCH(Z$18,'MEC - public transport &amp; cars'!$E$294:$H$294,0))*IF($E37=Z$20,'General inputs'!$F$85,IF($C37=Z$18,'General inputs'!$F$86,0))*IF($D37=Z$19,1,0)</f>
        <v>0</v>
      </c>
      <c r="AA37" s="169">
        <f>INDEX('MEC - public transport &amp; cars'!$E$296:$H$300,MATCH($C37,'MEC - public transport &amp; cars'!$C$296:$C$300,0),MATCH(AA$18,'MEC - public transport &amp; cars'!$E$294:$H$294,0))*IF($E37=AA$20,'General inputs'!$F$85,IF($C37=AA$18,'General inputs'!$F$86,0))*IF($D37=AA$19,1,0)</f>
        <v>0</v>
      </c>
      <c r="AB37" s="169">
        <f>INDEX('MEC - public transport &amp; cars'!$E$296:$H$300,MATCH($C37,'MEC - public transport &amp; cars'!$C$296:$C$300,0),MATCH(AB$18,'MEC - public transport &amp; cars'!$E$294:$H$294,0))*IF($E37=AB$20,'General inputs'!$F$85,IF($C37=AB$18,'General inputs'!$F$86,0))*IF($D37=AB$19,1,0)</f>
        <v>0</v>
      </c>
      <c r="AC37" s="169">
        <f>INDEX('MEC - public transport &amp; cars'!$E$296:$H$300,MATCH($C37,'MEC - public transport &amp; cars'!$C$296:$C$300,0),MATCH(AC$18,'MEC - public transport &amp; cars'!$E$294:$H$294,0))*IF($E37=AC$20,'General inputs'!$F$85,IF($C37=AC$18,'General inputs'!$F$86,0))*IF($D37=AC$19,1,0)</f>
        <v>0</v>
      </c>
      <c r="AD37" s="169">
        <f>INDEX('MEC - public transport &amp; cars'!$E$296:$H$300,MATCH($C37,'MEC - public transport &amp; cars'!$C$296:$C$300,0),MATCH(AD$18,'MEC - public transport &amp; cars'!$E$294:$H$294,0))*IF($E37=AD$20,'General inputs'!$F$85,IF($C37=AD$18,'General inputs'!$F$86,0))*IF($D37=AD$19,1,0)</f>
        <v>-0.9</v>
      </c>
      <c r="AE37" s="169">
        <f>INDEX('MEC - public transport &amp; cars'!$E$296:$H$300,MATCH($C37,'MEC - public transport &amp; cars'!$C$296:$C$300,0),MATCH(AE$18,'MEC - public transport &amp; cars'!$E$294:$H$294,0))*IF($E37=AE$20,'General inputs'!$F$85,IF($C37=AE$18,'General inputs'!$F$86,0))*IF($D37=AE$19,1,0)</f>
        <v>0</v>
      </c>
      <c r="AF37" s="169">
        <f>INDEX('MEC - public transport &amp; cars'!$E$296:$H$300,MATCH($C37,'MEC - public transport &amp; cars'!$C$296:$C$300,0),MATCH(AF$18,'MEC - public transport &amp; cars'!$E$294:$H$294,0))*IF($E37=AF$20,'General inputs'!$F$85,IF($C37=AF$18,'General inputs'!$F$86,0))*IF($D37=AF$19,1,0)</f>
        <v>0</v>
      </c>
      <c r="AG37" s="169">
        <f>INDEX('MEC - public transport &amp; cars'!$E$296:$H$300,MATCH($C37,'MEC - public transport &amp; cars'!$C$296:$C$300,0),MATCH(AG$18,'MEC - public transport &amp; cars'!$E$294:$H$294,0))*IF($E37=AG$20,'General inputs'!$F$85,IF($C37=AG$18,'General inputs'!$F$86,0))*IF($D37=AG$19,1,0)</f>
        <v>0</v>
      </c>
      <c r="AH37" s="169">
        <f>INDEX('MEC - public transport &amp; cars'!$E$296:$H$300,MATCH($C37,'MEC - public transport &amp; cars'!$C$296:$C$300,0),MATCH(AH$18,'MEC - public transport &amp; cars'!$E$294:$H$294,0))*IF($E37=AH$20,'General inputs'!$F$85,IF($C37=AH$18,'General inputs'!$F$86,0))*IF($D37=AH$19,1,0)</f>
        <v>0</v>
      </c>
      <c r="AI37" s="169">
        <f>INDEX('MEC - public transport &amp; cars'!$E$296:$H$300,MATCH($C37,'MEC - public transport &amp; cars'!$C$296:$C$300,0),MATCH(AI$18,'MEC - public transport &amp; cars'!$E$294:$H$294,0))*IF($E37=AI$20,'General inputs'!$F$85,IF($C37=AI$18,'General inputs'!$F$86,0))*IF($D37=AI$19,1,0)</f>
        <v>0</v>
      </c>
      <c r="AJ37" s="169">
        <f>INDEX('MEC - public transport &amp; cars'!$E$296:$H$300,MATCH($C37,'MEC - public transport &amp; cars'!$C$296:$C$300,0),MATCH(AJ$18,'MEC - public transport &amp; cars'!$E$294:$H$294,0))*IF($E37=AJ$20,'General inputs'!$F$85,IF($C37=AJ$18,'General inputs'!$F$86,0))*IF($D37=AJ$19,1,0)</f>
        <v>0</v>
      </c>
      <c r="AK37" s="169">
        <f>INDEX('MEC - public transport &amp; cars'!$E$296:$H$300,MATCH($C37,'MEC - public transport &amp; cars'!$C$296:$C$300,0),MATCH(AK$18,'MEC - public transport &amp; cars'!$E$294:$H$294,0))*IF($E37=AK$20,'General inputs'!$F$85,IF($C37=AK$18,'General inputs'!$F$86,0))*IF($D37=AK$19,1,0)</f>
        <v>0</v>
      </c>
      <c r="AL37" s="169">
        <f>INDEX('MEC - public transport &amp; cars'!$E$296:$H$300,MATCH($C37,'MEC - public transport &amp; cars'!$C$296:$C$300,0),MATCH(AL$18,'MEC - public transport &amp; cars'!$E$294:$H$294,0))*IF($E37=AL$20,'General inputs'!$F$85,IF($C37=AL$18,'General inputs'!$F$86,0))*IF($D37=AL$19,1,0)</f>
        <v>-0.49191926234508726</v>
      </c>
      <c r="AM37" s="227">
        <f>INDEX('MEC - public transport &amp; cars'!$E$296:$H$300,MATCH($C37,'MEC - public transport &amp; cars'!$C$296:$C$300,0),MATCH(AM$18,'MEC - public transport &amp; cars'!$E$294:$H$294,0))*IF($E37=AM$20,'General inputs'!$F$85,IF($C37=AM$18,'General inputs'!$F$86,0))*IF($D37=AM$19,1,0)</f>
        <v>0</v>
      </c>
    </row>
    <row r="38" spans="3:39" x14ac:dyDescent="0.25">
      <c r="C38" s="244" t="str">
        <f>'Fare optimisation'!C99</f>
        <v>Bus</v>
      </c>
      <c r="D38" s="173">
        <f>'Fare optimisation'!D99</f>
        <v>25</v>
      </c>
      <c r="E38" s="172" t="str">
        <f>'Fare optimisation'!E99</f>
        <v>Off-peak</v>
      </c>
      <c r="F38" s="173">
        <f>'General inputs'!C44</f>
        <v>16</v>
      </c>
      <c r="H38" s="169">
        <f>INDEX('MEC - public transport &amp; cars'!$E$296:$H$300,MATCH($C38,'MEC - public transport &amp; cars'!$C$296:$C$300,0),MATCH(H$18,'MEC - public transport &amp; cars'!$E$294:$H$294,0))*IF($E38=H$20,'General inputs'!$F$85,IF($C38=H$18,'General inputs'!$F$86,0))*IF($D38=H$19,1,0)</f>
        <v>0</v>
      </c>
      <c r="I38" s="169">
        <f>INDEX('MEC - public transport &amp; cars'!$E$296:$H$300,MATCH($C38,'MEC - public transport &amp; cars'!$C$296:$C$300,0),MATCH(I$18,'MEC - public transport &amp; cars'!$E$294:$H$294,0))*IF($E38=I$20,'General inputs'!$F$85,IF($C38=I$18,'General inputs'!$F$86,0))*IF($D38=I$19,1,0)</f>
        <v>0</v>
      </c>
      <c r="J38" s="169">
        <f>INDEX('MEC - public transport &amp; cars'!$E$296:$H$300,MATCH($C38,'MEC - public transport &amp; cars'!$C$296:$C$300,0),MATCH(J$18,'MEC - public transport &amp; cars'!$E$294:$H$294,0))*IF($E38=J$20,'General inputs'!$F$85,IF($C38=J$18,'General inputs'!$F$86,0))*IF($D38=J$19,1,0)</f>
        <v>0</v>
      </c>
      <c r="K38" s="169">
        <f>INDEX('MEC - public transport &amp; cars'!$E$296:$H$300,MATCH($C38,'MEC - public transport &amp; cars'!$C$296:$C$300,0),MATCH(K$18,'MEC - public transport &amp; cars'!$E$294:$H$294,0))*IF($E38=K$20,'General inputs'!$F$85,IF($C38=K$18,'General inputs'!$F$86,0))*IF($D38=K$19,1,0)</f>
        <v>0</v>
      </c>
      <c r="L38" s="169">
        <f>INDEX('MEC - public transport &amp; cars'!$E$296:$H$300,MATCH($C38,'MEC - public transport &amp; cars'!$C$296:$C$300,0),MATCH(L$18,'MEC - public transport &amp; cars'!$E$294:$H$294,0))*IF($E38=L$20,'General inputs'!$F$85,IF($C38=L$18,'General inputs'!$F$86,0))*IF($D38=L$19,1,0)</f>
        <v>0</v>
      </c>
      <c r="M38" s="169">
        <f>INDEX('MEC - public transport &amp; cars'!$E$296:$H$300,MATCH($C38,'MEC - public transport &amp; cars'!$C$296:$C$300,0),MATCH(M$18,'MEC - public transport &amp; cars'!$E$294:$H$294,0))*IF($E38=M$20,'General inputs'!$F$85,IF($C38=M$18,'General inputs'!$F$86,0))*IF($D38=M$19,1,0)</f>
        <v>0</v>
      </c>
      <c r="N38" s="169">
        <f>INDEX('MEC - public transport &amp; cars'!$E$296:$H$300,MATCH($C38,'MEC - public transport &amp; cars'!$C$296:$C$300,0),MATCH(N$18,'MEC - public transport &amp; cars'!$E$294:$H$294,0))*IF($E38=N$20,'General inputs'!$F$85,IF($C38=N$18,'General inputs'!$F$86,0))*IF($D38=N$19,1,0)</f>
        <v>0</v>
      </c>
      <c r="O38" s="169">
        <f>INDEX('MEC - public transport &amp; cars'!$E$296:$H$300,MATCH($C38,'MEC - public transport &amp; cars'!$C$296:$C$300,0),MATCH(O$18,'MEC - public transport &amp; cars'!$E$294:$H$294,0))*IF($E38=O$20,'General inputs'!$F$85,IF($C38=O$18,'General inputs'!$F$86,0))*IF($D38=O$19,1,0)</f>
        <v>-0.21149525877594427</v>
      </c>
      <c r="P38" s="169">
        <f>INDEX('MEC - public transport &amp; cars'!$E$296:$H$300,MATCH($C38,'MEC - public transport &amp; cars'!$C$296:$C$300,0),MATCH(P$18,'MEC - public transport &amp; cars'!$E$294:$H$294,0))*IF($E38=P$20,'General inputs'!$F$85,IF($C38=P$18,'General inputs'!$F$86,0))*IF($D38=P$19,1,0)</f>
        <v>0</v>
      </c>
      <c r="Q38" s="169">
        <f>INDEX('MEC - public transport &amp; cars'!$E$296:$H$300,MATCH($C38,'MEC - public transport &amp; cars'!$C$296:$C$300,0),MATCH(Q$18,'MEC - public transport &amp; cars'!$E$294:$H$294,0))*IF($E38=Q$20,'General inputs'!$F$85,IF($C38=Q$18,'General inputs'!$F$86,0))*IF($D38=Q$19,1,0)</f>
        <v>0</v>
      </c>
      <c r="R38" s="169">
        <f>INDEX('MEC - public transport &amp; cars'!$E$296:$H$300,MATCH($C38,'MEC - public transport &amp; cars'!$C$296:$C$300,0),MATCH(R$18,'MEC - public transport &amp; cars'!$E$294:$H$294,0))*IF($E38=R$20,'General inputs'!$F$85,IF($C38=R$18,'General inputs'!$F$86,0))*IF($D38=R$19,1,0)</f>
        <v>0</v>
      </c>
      <c r="S38" s="169">
        <f>INDEX('MEC - public transport &amp; cars'!$E$296:$H$300,MATCH($C38,'MEC - public transport &amp; cars'!$C$296:$C$300,0),MATCH(S$18,'MEC - public transport &amp; cars'!$E$294:$H$294,0))*IF($E38=S$20,'General inputs'!$F$85,IF($C38=S$18,'General inputs'!$F$86,0))*IF($D38=S$19,1,0)</f>
        <v>-0.1</v>
      </c>
      <c r="T38" s="169">
        <f>INDEX('MEC - public transport &amp; cars'!$E$296:$H$300,MATCH($C38,'MEC - public transport &amp; cars'!$C$296:$C$300,0),MATCH(T$18,'MEC - public transport &amp; cars'!$E$294:$H$294,0))*IF($E38=T$20,'General inputs'!$F$85,IF($C38=T$18,'General inputs'!$F$86,0))*IF($D38=T$19,1,0)</f>
        <v>0</v>
      </c>
      <c r="U38" s="169">
        <f>INDEX('MEC - public transport &amp; cars'!$E$296:$H$300,MATCH($C38,'MEC - public transport &amp; cars'!$C$296:$C$300,0),MATCH(U$18,'MEC - public transport &amp; cars'!$E$294:$H$294,0))*IF($E38=U$20,'General inputs'!$F$85,IF($C38=U$18,'General inputs'!$F$86,0))*IF($D38=U$19,1,0)</f>
        <v>0</v>
      </c>
      <c r="V38" s="169">
        <f>INDEX('MEC - public transport &amp; cars'!$E$296:$H$300,MATCH($C38,'MEC - public transport &amp; cars'!$C$296:$C$300,0),MATCH(V$18,'MEC - public transport &amp; cars'!$E$294:$H$294,0))*IF($E38=V$20,'General inputs'!$F$85,IF($C38=V$18,'General inputs'!$F$86,0))*IF($D38=V$19,1,0)</f>
        <v>0</v>
      </c>
      <c r="W38" s="169">
        <f>INDEX('MEC - public transport &amp; cars'!$E$296:$H$300,MATCH($C38,'MEC - public transport &amp; cars'!$C$296:$C$300,0),MATCH(W$18,'MEC - public transport &amp; cars'!$E$294:$H$294,0))*IF($E38=W$20,'General inputs'!$F$85,IF($C38=W$18,'General inputs'!$F$86,0))*IF($D38=W$19,1,0)</f>
        <v>1</v>
      </c>
      <c r="X38" s="169">
        <f>INDEX('MEC - public transport &amp; cars'!$E$296:$H$300,MATCH($C38,'MEC - public transport &amp; cars'!$C$296:$C$300,0),MATCH(X$18,'MEC - public transport &amp; cars'!$E$294:$H$294,0))*IF($E38=X$20,'General inputs'!$F$85,IF($C38=X$18,'General inputs'!$F$86,0))*IF($D38=X$19,1,0)</f>
        <v>0</v>
      </c>
      <c r="Y38" s="169">
        <f>INDEX('MEC - public transport &amp; cars'!$E$296:$H$300,MATCH($C38,'MEC - public transport &amp; cars'!$C$296:$C$300,0),MATCH(Y$18,'MEC - public transport &amp; cars'!$E$294:$H$294,0))*IF($E38=Y$20,'General inputs'!$F$85,IF($C38=Y$18,'General inputs'!$F$86,0))*IF($D38=Y$19,1,0)</f>
        <v>0</v>
      </c>
      <c r="Z38" s="169">
        <f>INDEX('MEC - public transport &amp; cars'!$E$296:$H$300,MATCH($C38,'MEC - public transport &amp; cars'!$C$296:$C$300,0),MATCH(Z$18,'MEC - public transport &amp; cars'!$E$294:$H$294,0))*IF($E38=Z$20,'General inputs'!$F$85,IF($C38=Z$18,'General inputs'!$F$86,0))*IF($D38=Z$19,1,0)</f>
        <v>0</v>
      </c>
      <c r="AA38" s="169">
        <f>INDEX('MEC - public transport &amp; cars'!$E$296:$H$300,MATCH($C38,'MEC - public transport &amp; cars'!$C$296:$C$300,0),MATCH(AA$18,'MEC - public transport &amp; cars'!$E$294:$H$294,0))*IF($E38=AA$20,'General inputs'!$F$85,IF($C38=AA$18,'General inputs'!$F$86,0))*IF($D38=AA$19,1,0)</f>
        <v>0</v>
      </c>
      <c r="AB38" s="169">
        <f>INDEX('MEC - public transport &amp; cars'!$E$296:$H$300,MATCH($C38,'MEC - public transport &amp; cars'!$C$296:$C$300,0),MATCH(AB$18,'MEC - public transport &amp; cars'!$E$294:$H$294,0))*IF($E38=AB$20,'General inputs'!$F$85,IF($C38=AB$18,'General inputs'!$F$86,0))*IF($D38=AB$19,1,0)</f>
        <v>0</v>
      </c>
      <c r="AC38" s="169">
        <f>INDEX('MEC - public transport &amp; cars'!$E$296:$H$300,MATCH($C38,'MEC - public transport &amp; cars'!$C$296:$C$300,0),MATCH(AC$18,'MEC - public transport &amp; cars'!$E$294:$H$294,0))*IF($E38=AC$20,'General inputs'!$F$85,IF($C38=AC$18,'General inputs'!$F$86,0))*IF($D38=AC$19,1,0)</f>
        <v>0</v>
      </c>
      <c r="AD38" s="169">
        <f>INDEX('MEC - public transport &amp; cars'!$E$296:$H$300,MATCH($C38,'MEC - public transport &amp; cars'!$C$296:$C$300,0),MATCH(AD$18,'MEC - public transport &amp; cars'!$E$294:$H$294,0))*IF($E38=AD$20,'General inputs'!$F$85,IF($C38=AD$18,'General inputs'!$F$86,0))*IF($D38=AD$19,1,0)</f>
        <v>0</v>
      </c>
      <c r="AE38" s="169">
        <f>INDEX('MEC - public transport &amp; cars'!$E$296:$H$300,MATCH($C38,'MEC - public transport &amp; cars'!$C$296:$C$300,0),MATCH(AE$18,'MEC - public transport &amp; cars'!$E$294:$H$294,0))*IF($E38=AE$20,'General inputs'!$F$85,IF($C38=AE$18,'General inputs'!$F$86,0))*IF($D38=AE$19,1,0)</f>
        <v>-0.9</v>
      </c>
      <c r="AF38" s="169">
        <f>INDEX('MEC - public transport &amp; cars'!$E$296:$H$300,MATCH($C38,'MEC - public transport &amp; cars'!$C$296:$C$300,0),MATCH(AF$18,'MEC - public transport &amp; cars'!$E$294:$H$294,0))*IF($E38=AF$20,'General inputs'!$F$85,IF($C38=AF$18,'General inputs'!$F$86,0))*IF($D38=AF$19,1,0)</f>
        <v>0</v>
      </c>
      <c r="AG38" s="169">
        <f>INDEX('MEC - public transport &amp; cars'!$E$296:$H$300,MATCH($C38,'MEC - public transport &amp; cars'!$C$296:$C$300,0),MATCH(AG$18,'MEC - public transport &amp; cars'!$E$294:$H$294,0))*IF($E38=AG$20,'General inputs'!$F$85,IF($C38=AG$18,'General inputs'!$F$86,0))*IF($D38=AG$19,1,0)</f>
        <v>0</v>
      </c>
      <c r="AH38" s="169">
        <f>INDEX('MEC - public transport &amp; cars'!$E$296:$H$300,MATCH($C38,'MEC - public transport &amp; cars'!$C$296:$C$300,0),MATCH(AH$18,'MEC - public transport &amp; cars'!$E$294:$H$294,0))*IF($E38=AH$20,'General inputs'!$F$85,IF($C38=AH$18,'General inputs'!$F$86,0))*IF($D38=AH$19,1,0)</f>
        <v>0</v>
      </c>
      <c r="AI38" s="169">
        <f>INDEX('MEC - public transport &amp; cars'!$E$296:$H$300,MATCH($C38,'MEC - public transport &amp; cars'!$C$296:$C$300,0),MATCH(AI$18,'MEC - public transport &amp; cars'!$E$294:$H$294,0))*IF($E38=AI$20,'General inputs'!$F$85,IF($C38=AI$18,'General inputs'!$F$86,0))*IF($D38=AI$19,1,0)</f>
        <v>0</v>
      </c>
      <c r="AJ38" s="169">
        <f>INDEX('MEC - public transport &amp; cars'!$E$296:$H$300,MATCH($C38,'MEC - public transport &amp; cars'!$C$296:$C$300,0),MATCH(AJ$18,'MEC - public transport &amp; cars'!$E$294:$H$294,0))*IF($E38=AJ$20,'General inputs'!$F$85,IF($C38=AJ$18,'General inputs'!$F$86,0))*IF($D38=AJ$19,1,0)</f>
        <v>0</v>
      </c>
      <c r="AK38" s="169">
        <f>INDEX('MEC - public transport &amp; cars'!$E$296:$H$300,MATCH($C38,'MEC - public transport &amp; cars'!$C$296:$C$300,0),MATCH(AK$18,'MEC - public transport &amp; cars'!$E$294:$H$294,0))*IF($E38=AK$20,'General inputs'!$F$85,IF($C38=AK$18,'General inputs'!$F$86,0))*IF($D38=AK$19,1,0)</f>
        <v>0</v>
      </c>
      <c r="AL38" s="169">
        <f>INDEX('MEC - public transport &amp; cars'!$E$296:$H$300,MATCH($C38,'MEC - public transport &amp; cars'!$C$296:$C$300,0),MATCH(AL$18,'MEC - public transport &amp; cars'!$E$294:$H$294,0))*IF($E38=AL$20,'General inputs'!$F$85,IF($C38=AL$18,'General inputs'!$F$86,0))*IF($D38=AL$19,1,0)</f>
        <v>0</v>
      </c>
      <c r="AM38" s="227">
        <f>INDEX('MEC - public transport &amp; cars'!$E$296:$H$300,MATCH($C38,'MEC - public transport &amp; cars'!$C$296:$C$300,0),MATCH(AM$18,'MEC - public transport &amp; cars'!$E$294:$H$294,0))*IF($E38=AM$20,'General inputs'!$F$85,IF($C38=AM$18,'General inputs'!$F$86,0))*IF($D38=AM$19,1,0)</f>
        <v>-0.49191926234508726</v>
      </c>
    </row>
    <row r="39" spans="3:39" x14ac:dyDescent="0.25">
      <c r="C39" s="244" t="str">
        <f>'Fare optimisation'!C100</f>
        <v>Ferry</v>
      </c>
      <c r="D39" s="173">
        <f>'Fare optimisation'!D100</f>
        <v>2</v>
      </c>
      <c r="E39" s="172" t="str">
        <f>'Fare optimisation'!E100</f>
        <v>Peak</v>
      </c>
      <c r="F39" s="173">
        <f>'General inputs'!C45</f>
        <v>17</v>
      </c>
      <c r="H39" s="169">
        <f>INDEX('MEC - public transport &amp; cars'!$E$296:$H$300,MATCH($C39,'MEC - public transport &amp; cars'!$C$296:$C$300,0),MATCH(H$18,'MEC - public transport &amp; cars'!$E$294:$H$294,0))*IF($E39=H$20,'General inputs'!$F$85,IF($C39=H$18,'General inputs'!$F$86,0))*IF($D39=H$19,1,0)</f>
        <v>0</v>
      </c>
      <c r="I39" s="169">
        <f>INDEX('MEC - public transport &amp; cars'!$E$296:$H$300,MATCH($C39,'MEC - public transport &amp; cars'!$C$296:$C$300,0),MATCH(I$18,'MEC - public transport &amp; cars'!$E$294:$H$294,0))*IF($E39=I$20,'General inputs'!$F$85,IF($C39=I$18,'General inputs'!$F$86,0))*IF($D39=I$19,1,0)</f>
        <v>0</v>
      </c>
      <c r="J39" s="169">
        <f>INDEX('MEC - public transport &amp; cars'!$E$296:$H$300,MATCH($C39,'MEC - public transport &amp; cars'!$C$296:$C$300,0),MATCH(J$18,'MEC - public transport &amp; cars'!$E$294:$H$294,0))*IF($E39=J$20,'General inputs'!$F$85,IF($C39=J$18,'General inputs'!$F$86,0))*IF($D39=J$19,1,0)</f>
        <v>0</v>
      </c>
      <c r="K39" s="169">
        <f>INDEX('MEC - public transport &amp; cars'!$E$296:$H$300,MATCH($C39,'MEC - public transport &amp; cars'!$C$296:$C$300,0),MATCH(K$18,'MEC - public transport &amp; cars'!$E$294:$H$294,0))*IF($E39=K$20,'General inputs'!$F$85,IF($C39=K$18,'General inputs'!$F$86,0))*IF($D39=K$19,1,0)</f>
        <v>0</v>
      </c>
      <c r="L39" s="169">
        <f>INDEX('MEC - public transport &amp; cars'!$E$296:$H$300,MATCH($C39,'MEC - public transport &amp; cars'!$C$296:$C$300,0),MATCH(L$18,'MEC - public transport &amp; cars'!$E$294:$H$294,0))*IF($E39=L$20,'General inputs'!$F$85,IF($C39=L$18,'General inputs'!$F$86,0))*IF($D39=L$19,1,0)</f>
        <v>0</v>
      </c>
      <c r="M39" s="169">
        <f>INDEX('MEC - public transport &amp; cars'!$E$296:$H$300,MATCH($C39,'MEC - public transport &amp; cars'!$C$296:$C$300,0),MATCH(M$18,'MEC - public transport &amp; cars'!$E$294:$H$294,0))*IF($E39=M$20,'General inputs'!$F$85,IF($C39=M$18,'General inputs'!$F$86,0))*IF($D39=M$19,1,0)</f>
        <v>0</v>
      </c>
      <c r="N39" s="169">
        <f>INDEX('MEC - public transport &amp; cars'!$E$296:$H$300,MATCH($C39,'MEC - public transport &amp; cars'!$C$296:$C$300,0),MATCH(N$18,'MEC - public transport &amp; cars'!$E$294:$H$294,0))*IF($E39=N$20,'General inputs'!$F$85,IF($C39=N$18,'General inputs'!$F$86,0))*IF($D39=N$19,1,0)</f>
        <v>0</v>
      </c>
      <c r="O39" s="169">
        <f>INDEX('MEC - public transport &amp; cars'!$E$296:$H$300,MATCH($C39,'MEC - public transport &amp; cars'!$C$296:$C$300,0),MATCH(O$18,'MEC - public transport &amp; cars'!$E$294:$H$294,0))*IF($E39=O$20,'General inputs'!$F$85,IF($C39=O$18,'General inputs'!$F$86,0))*IF($D39=O$19,1,0)</f>
        <v>0</v>
      </c>
      <c r="P39" s="169">
        <f>INDEX('MEC - public transport &amp; cars'!$E$296:$H$300,MATCH($C39,'MEC - public transport &amp; cars'!$C$296:$C$300,0),MATCH(P$18,'MEC - public transport &amp; cars'!$E$294:$H$294,0))*IF($E39=P$20,'General inputs'!$F$85,IF($C39=P$18,'General inputs'!$F$86,0))*IF($D39=P$19,1,0)</f>
        <v>0</v>
      </c>
      <c r="Q39" s="169">
        <f>INDEX('MEC - public transport &amp; cars'!$E$296:$H$300,MATCH($C39,'MEC - public transport &amp; cars'!$C$296:$C$300,0),MATCH(Q$18,'MEC - public transport &amp; cars'!$E$294:$H$294,0))*IF($E39=Q$20,'General inputs'!$F$85,IF($C39=Q$18,'General inputs'!$F$86,0))*IF($D39=Q$19,1,0)</f>
        <v>0</v>
      </c>
      <c r="R39" s="169">
        <f>INDEX('MEC - public transport &amp; cars'!$E$296:$H$300,MATCH($C39,'MEC - public transport &amp; cars'!$C$296:$C$300,0),MATCH(R$18,'MEC - public transport &amp; cars'!$E$294:$H$294,0))*IF($E39=R$20,'General inputs'!$F$85,IF($C39=R$18,'General inputs'!$F$86,0))*IF($D39=R$19,1,0)</f>
        <v>0</v>
      </c>
      <c r="S39" s="169">
        <f>INDEX('MEC - public transport &amp; cars'!$E$296:$H$300,MATCH($C39,'MEC - public transport &amp; cars'!$C$296:$C$300,0),MATCH(S$18,'MEC - public transport &amp; cars'!$E$294:$H$294,0))*IF($E39=S$20,'General inputs'!$F$85,IF($C39=S$18,'General inputs'!$F$86,0))*IF($D39=S$19,1,0)</f>
        <v>0</v>
      </c>
      <c r="T39" s="169">
        <f>INDEX('MEC - public transport &amp; cars'!$E$296:$H$300,MATCH($C39,'MEC - public transport &amp; cars'!$C$296:$C$300,0),MATCH(T$18,'MEC - public transport &amp; cars'!$E$294:$H$294,0))*IF($E39=T$20,'General inputs'!$F$85,IF($C39=T$18,'General inputs'!$F$86,0))*IF($D39=T$19,1,0)</f>
        <v>0</v>
      </c>
      <c r="U39" s="169">
        <f>INDEX('MEC - public transport &amp; cars'!$E$296:$H$300,MATCH($C39,'MEC - public transport &amp; cars'!$C$296:$C$300,0),MATCH(U$18,'MEC - public transport &amp; cars'!$E$294:$H$294,0))*IF($E39=U$20,'General inputs'!$F$85,IF($C39=U$18,'General inputs'!$F$86,0))*IF($D39=U$19,1,0)</f>
        <v>0</v>
      </c>
      <c r="V39" s="169">
        <f>INDEX('MEC - public transport &amp; cars'!$E$296:$H$300,MATCH($C39,'MEC - public transport &amp; cars'!$C$296:$C$300,0),MATCH(V$18,'MEC - public transport &amp; cars'!$E$294:$H$294,0))*IF($E39=V$20,'General inputs'!$F$85,IF($C39=V$18,'General inputs'!$F$86,0))*IF($D39=V$19,1,0)</f>
        <v>0</v>
      </c>
      <c r="W39" s="169">
        <f>INDEX('MEC - public transport &amp; cars'!$E$296:$H$300,MATCH($C39,'MEC - public transport &amp; cars'!$C$296:$C$300,0),MATCH(W$18,'MEC - public transport &amp; cars'!$E$294:$H$294,0))*IF($E39=W$20,'General inputs'!$F$85,IF($C39=W$18,'General inputs'!$F$86,0))*IF($D39=W$19,1,0)</f>
        <v>0</v>
      </c>
      <c r="X39" s="169">
        <f>INDEX('MEC - public transport &amp; cars'!$E$296:$H$300,MATCH($C39,'MEC - public transport &amp; cars'!$C$296:$C$300,0),MATCH(X$18,'MEC - public transport &amp; cars'!$E$294:$H$294,0))*IF($E39=X$20,'General inputs'!$F$85,IF($C39=X$18,'General inputs'!$F$86,0))*IF($D39=X$19,1,0)</f>
        <v>1</v>
      </c>
      <c r="Y39" s="169">
        <f>INDEX('MEC - public transport &amp; cars'!$E$296:$H$300,MATCH($C39,'MEC - public transport &amp; cars'!$C$296:$C$300,0),MATCH(Y$18,'MEC - public transport &amp; cars'!$E$294:$H$294,0))*IF($E39=Y$20,'General inputs'!$F$85,IF($C39=Y$18,'General inputs'!$F$86,0))*IF($D39=Y$19,1,0)</f>
        <v>0</v>
      </c>
      <c r="Z39" s="169">
        <f>INDEX('MEC - public transport &amp; cars'!$E$296:$H$300,MATCH($C39,'MEC - public transport &amp; cars'!$C$296:$C$300,0),MATCH(Z$18,'MEC - public transport &amp; cars'!$E$294:$H$294,0))*IF($E39=Z$20,'General inputs'!$F$85,IF($C39=Z$18,'General inputs'!$F$86,0))*IF($D39=Z$19,1,0)</f>
        <v>0</v>
      </c>
      <c r="AA39" s="169">
        <f>INDEX('MEC - public transport &amp; cars'!$E$296:$H$300,MATCH($C39,'MEC - public transport &amp; cars'!$C$296:$C$300,0),MATCH(AA$18,'MEC - public transport &amp; cars'!$E$294:$H$294,0))*IF($E39=AA$20,'General inputs'!$F$85,IF($C39=AA$18,'General inputs'!$F$86,0))*IF($D39=AA$19,1,0)</f>
        <v>0</v>
      </c>
      <c r="AB39" s="169">
        <f>INDEX('MEC - public transport &amp; cars'!$E$296:$H$300,MATCH($C39,'MEC - public transport &amp; cars'!$C$296:$C$300,0),MATCH(AB$18,'MEC - public transport &amp; cars'!$E$294:$H$294,0))*IF($E39=AB$20,'General inputs'!$F$85,IF($C39=AB$18,'General inputs'!$F$86,0))*IF($D39=AB$19,1,0)</f>
        <v>-0.1</v>
      </c>
      <c r="AC39" s="169">
        <f>INDEX('MEC - public transport &amp; cars'!$E$296:$H$300,MATCH($C39,'MEC - public transport &amp; cars'!$C$296:$C$300,0),MATCH(AC$18,'MEC - public transport &amp; cars'!$E$294:$H$294,0))*IF($E39=AC$20,'General inputs'!$F$85,IF($C39=AC$18,'General inputs'!$F$86,0))*IF($D39=AC$19,1,0)</f>
        <v>0</v>
      </c>
      <c r="AD39" s="169">
        <f>INDEX('MEC - public transport &amp; cars'!$E$296:$H$300,MATCH($C39,'MEC - public transport &amp; cars'!$C$296:$C$300,0),MATCH(AD$18,'MEC - public transport &amp; cars'!$E$294:$H$294,0))*IF($E39=AD$20,'General inputs'!$F$85,IF($C39=AD$18,'General inputs'!$F$86,0))*IF($D39=AD$19,1,0)</f>
        <v>0</v>
      </c>
      <c r="AE39" s="169">
        <f>INDEX('MEC - public transport &amp; cars'!$E$296:$H$300,MATCH($C39,'MEC - public transport &amp; cars'!$C$296:$C$300,0),MATCH(AE$18,'MEC - public transport &amp; cars'!$E$294:$H$294,0))*IF($E39=AE$20,'General inputs'!$F$85,IF($C39=AE$18,'General inputs'!$F$86,0))*IF($D39=AE$19,1,0)</f>
        <v>0</v>
      </c>
      <c r="AF39" s="169">
        <f>INDEX('MEC - public transport &amp; cars'!$E$296:$H$300,MATCH($C39,'MEC - public transport &amp; cars'!$C$296:$C$300,0),MATCH(AF$18,'MEC - public transport &amp; cars'!$E$294:$H$294,0))*IF($E39=AF$20,'General inputs'!$F$85,IF($C39=AF$18,'General inputs'!$F$86,0))*IF($D39=AF$19,1,0)</f>
        <v>0</v>
      </c>
      <c r="AG39" s="169">
        <f>INDEX('MEC - public transport &amp; cars'!$E$296:$H$300,MATCH($C39,'MEC - public transport &amp; cars'!$C$296:$C$300,0),MATCH(AG$18,'MEC - public transport &amp; cars'!$E$294:$H$294,0))*IF($E39=AG$20,'General inputs'!$F$85,IF($C39=AG$18,'General inputs'!$F$86,0))*IF($D39=AG$19,1,0)</f>
        <v>0</v>
      </c>
      <c r="AH39" s="169">
        <f>INDEX('MEC - public transport &amp; cars'!$E$296:$H$300,MATCH($C39,'MEC - public transport &amp; cars'!$C$296:$C$300,0),MATCH(AH$18,'MEC - public transport &amp; cars'!$E$294:$H$294,0))*IF($E39=AH$20,'General inputs'!$F$85,IF($C39=AH$18,'General inputs'!$F$86,0))*IF($D39=AH$19,1,0)</f>
        <v>0</v>
      </c>
      <c r="AI39" s="169">
        <f>INDEX('MEC - public transport &amp; cars'!$E$296:$H$300,MATCH($C39,'MEC - public transport &amp; cars'!$C$296:$C$300,0),MATCH(AI$18,'MEC - public transport &amp; cars'!$E$294:$H$294,0))*IF($E39=AI$20,'General inputs'!$F$85,IF($C39=AI$18,'General inputs'!$F$86,0))*IF($D39=AI$19,1,0)</f>
        <v>0</v>
      </c>
      <c r="AJ39" s="169">
        <f>INDEX('MEC - public transport &amp; cars'!$E$296:$H$300,MATCH($C39,'MEC - public transport &amp; cars'!$C$296:$C$300,0),MATCH(AJ$18,'MEC - public transport &amp; cars'!$E$294:$H$294,0))*IF($E39=AJ$20,'General inputs'!$F$85,IF($C39=AJ$18,'General inputs'!$F$86,0))*IF($D39=AJ$19,1,0)</f>
        <v>0</v>
      </c>
      <c r="AK39" s="169">
        <f>INDEX('MEC - public transport &amp; cars'!$E$296:$H$300,MATCH($C39,'MEC - public transport &amp; cars'!$C$296:$C$300,0),MATCH(AK$18,'MEC - public transport &amp; cars'!$E$294:$H$294,0))*IF($E39=AK$20,'General inputs'!$F$85,IF($C39=AK$18,'General inputs'!$F$86,0))*IF($D39=AK$19,1,0)</f>
        <v>0</v>
      </c>
      <c r="AL39" s="169">
        <f>INDEX('MEC - public transport &amp; cars'!$E$296:$H$300,MATCH($C39,'MEC - public transport &amp; cars'!$C$296:$C$300,0),MATCH(AL$18,'MEC - public transport &amp; cars'!$E$294:$H$294,0))*IF($E39=AL$20,'General inputs'!$F$85,IF($C39=AL$18,'General inputs'!$F$86,0))*IF($D39=AL$19,1,0)</f>
        <v>0</v>
      </c>
      <c r="AM39" s="227">
        <f>INDEX('MEC - public transport &amp; cars'!$E$296:$H$300,MATCH($C39,'MEC - public transport &amp; cars'!$C$296:$C$300,0),MATCH(AM$18,'MEC - public transport &amp; cars'!$E$294:$H$294,0))*IF($E39=AM$20,'General inputs'!$F$85,IF($C39=AM$18,'General inputs'!$F$86,0))*IF($D39=AM$19,1,0)</f>
        <v>0</v>
      </c>
    </row>
    <row r="40" spans="3:39" x14ac:dyDescent="0.25">
      <c r="C40" s="244" t="str">
        <f>'Fare optimisation'!C101</f>
        <v>Ferry</v>
      </c>
      <c r="D40" s="173">
        <f>'Fare optimisation'!D101</f>
        <v>5</v>
      </c>
      <c r="E40" s="172" t="str">
        <f>'Fare optimisation'!E101</f>
        <v>Peak</v>
      </c>
      <c r="F40" s="173">
        <f>'General inputs'!C46</f>
        <v>18</v>
      </c>
      <c r="H40" s="169">
        <f>INDEX('MEC - public transport &amp; cars'!$E$296:$H$300,MATCH($C40,'MEC - public transport &amp; cars'!$C$296:$C$300,0),MATCH(H$18,'MEC - public transport &amp; cars'!$E$294:$H$294,0))*IF($E40=H$20,'General inputs'!$F$85,IF($C40=H$18,'General inputs'!$F$86,0))*IF($D40=H$19,1,0)</f>
        <v>0</v>
      </c>
      <c r="I40" s="169">
        <f>INDEX('MEC - public transport &amp; cars'!$E$296:$H$300,MATCH($C40,'MEC - public transport &amp; cars'!$C$296:$C$300,0),MATCH(I$18,'MEC - public transport &amp; cars'!$E$294:$H$294,0))*IF($E40=I$20,'General inputs'!$F$85,IF($C40=I$18,'General inputs'!$F$86,0))*IF($D40=I$19,1,0)</f>
        <v>0</v>
      </c>
      <c r="J40" s="169">
        <f>INDEX('MEC - public transport &amp; cars'!$E$296:$H$300,MATCH($C40,'MEC - public transport &amp; cars'!$C$296:$C$300,0),MATCH(J$18,'MEC - public transport &amp; cars'!$E$294:$H$294,0))*IF($E40=J$20,'General inputs'!$F$85,IF($C40=J$18,'General inputs'!$F$86,0))*IF($D40=J$19,1,0)</f>
        <v>0</v>
      </c>
      <c r="K40" s="169">
        <f>INDEX('MEC - public transport &amp; cars'!$E$296:$H$300,MATCH($C40,'MEC - public transport &amp; cars'!$C$296:$C$300,0),MATCH(K$18,'MEC - public transport &amp; cars'!$E$294:$H$294,0))*IF($E40=K$20,'General inputs'!$F$85,IF($C40=K$18,'General inputs'!$F$86,0))*IF($D40=K$19,1,0)</f>
        <v>0</v>
      </c>
      <c r="L40" s="169">
        <f>INDEX('MEC - public transport &amp; cars'!$E$296:$H$300,MATCH($C40,'MEC - public transport &amp; cars'!$C$296:$C$300,0),MATCH(L$18,'MEC - public transport &amp; cars'!$E$294:$H$294,0))*IF($E40=L$20,'General inputs'!$F$85,IF($C40=L$18,'General inputs'!$F$86,0))*IF($D40=L$19,1,0)</f>
        <v>0</v>
      </c>
      <c r="M40" s="169">
        <f>INDEX('MEC - public transport &amp; cars'!$E$296:$H$300,MATCH($C40,'MEC - public transport &amp; cars'!$C$296:$C$300,0),MATCH(M$18,'MEC - public transport &amp; cars'!$E$294:$H$294,0))*IF($E40=M$20,'General inputs'!$F$85,IF($C40=M$18,'General inputs'!$F$86,0))*IF($D40=M$19,1,0)</f>
        <v>0</v>
      </c>
      <c r="N40" s="169">
        <f>INDEX('MEC - public transport &amp; cars'!$E$296:$H$300,MATCH($C40,'MEC - public transport &amp; cars'!$C$296:$C$300,0),MATCH(N$18,'MEC - public transport &amp; cars'!$E$294:$H$294,0))*IF($E40=N$20,'General inputs'!$F$85,IF($C40=N$18,'General inputs'!$F$86,0))*IF($D40=N$19,1,0)</f>
        <v>0</v>
      </c>
      <c r="O40" s="169">
        <f>INDEX('MEC - public transport &amp; cars'!$E$296:$H$300,MATCH($C40,'MEC - public transport &amp; cars'!$C$296:$C$300,0),MATCH(O$18,'MEC - public transport &amp; cars'!$E$294:$H$294,0))*IF($E40=O$20,'General inputs'!$F$85,IF($C40=O$18,'General inputs'!$F$86,0))*IF($D40=O$19,1,0)</f>
        <v>0</v>
      </c>
      <c r="P40" s="169">
        <f>INDEX('MEC - public transport &amp; cars'!$E$296:$H$300,MATCH($C40,'MEC - public transport &amp; cars'!$C$296:$C$300,0),MATCH(P$18,'MEC - public transport &amp; cars'!$E$294:$H$294,0))*IF($E40=P$20,'General inputs'!$F$85,IF($C40=P$18,'General inputs'!$F$86,0))*IF($D40=P$19,1,0)</f>
        <v>0</v>
      </c>
      <c r="Q40" s="169">
        <f>INDEX('MEC - public transport &amp; cars'!$E$296:$H$300,MATCH($C40,'MEC - public transport &amp; cars'!$C$296:$C$300,0),MATCH(Q$18,'MEC - public transport &amp; cars'!$E$294:$H$294,0))*IF($E40=Q$20,'General inputs'!$F$85,IF($C40=Q$18,'General inputs'!$F$86,0))*IF($D40=Q$19,1,0)</f>
        <v>0</v>
      </c>
      <c r="R40" s="169">
        <f>INDEX('MEC - public transport &amp; cars'!$E$296:$H$300,MATCH($C40,'MEC - public transport &amp; cars'!$C$296:$C$300,0),MATCH(R$18,'MEC - public transport &amp; cars'!$E$294:$H$294,0))*IF($E40=R$20,'General inputs'!$F$85,IF($C40=R$18,'General inputs'!$F$86,0))*IF($D40=R$19,1,0)</f>
        <v>0</v>
      </c>
      <c r="S40" s="169">
        <f>INDEX('MEC - public transport &amp; cars'!$E$296:$H$300,MATCH($C40,'MEC - public transport &amp; cars'!$C$296:$C$300,0),MATCH(S$18,'MEC - public transport &amp; cars'!$E$294:$H$294,0))*IF($E40=S$20,'General inputs'!$F$85,IF($C40=S$18,'General inputs'!$F$86,0))*IF($D40=S$19,1,0)</f>
        <v>0</v>
      </c>
      <c r="T40" s="169">
        <f>INDEX('MEC - public transport &amp; cars'!$E$296:$H$300,MATCH($C40,'MEC - public transport &amp; cars'!$C$296:$C$300,0),MATCH(T$18,'MEC - public transport &amp; cars'!$E$294:$H$294,0))*IF($E40=T$20,'General inputs'!$F$85,IF($C40=T$18,'General inputs'!$F$86,0))*IF($D40=T$19,1,0)</f>
        <v>0</v>
      </c>
      <c r="U40" s="169">
        <f>INDEX('MEC - public transport &amp; cars'!$E$296:$H$300,MATCH($C40,'MEC - public transport &amp; cars'!$C$296:$C$300,0),MATCH(U$18,'MEC - public transport &amp; cars'!$E$294:$H$294,0))*IF($E40=U$20,'General inputs'!$F$85,IF($C40=U$18,'General inputs'!$F$86,0))*IF($D40=U$19,1,0)</f>
        <v>0</v>
      </c>
      <c r="V40" s="169">
        <f>INDEX('MEC - public transport &amp; cars'!$E$296:$H$300,MATCH($C40,'MEC - public transport &amp; cars'!$C$296:$C$300,0),MATCH(V$18,'MEC - public transport &amp; cars'!$E$294:$H$294,0))*IF($E40=V$20,'General inputs'!$F$85,IF($C40=V$18,'General inputs'!$F$86,0))*IF($D40=V$19,1,0)</f>
        <v>0</v>
      </c>
      <c r="W40" s="169">
        <f>INDEX('MEC - public transport &amp; cars'!$E$296:$H$300,MATCH($C40,'MEC - public transport &amp; cars'!$C$296:$C$300,0),MATCH(W$18,'MEC - public transport &amp; cars'!$E$294:$H$294,0))*IF($E40=W$20,'General inputs'!$F$85,IF($C40=W$18,'General inputs'!$F$86,0))*IF($D40=W$19,1,0)</f>
        <v>0</v>
      </c>
      <c r="X40" s="169">
        <f>INDEX('MEC - public transport &amp; cars'!$E$296:$H$300,MATCH($C40,'MEC - public transport &amp; cars'!$C$296:$C$300,0),MATCH(X$18,'MEC - public transport &amp; cars'!$E$294:$H$294,0))*IF($E40=X$20,'General inputs'!$F$85,IF($C40=X$18,'General inputs'!$F$86,0))*IF($D40=X$19,1,0)</f>
        <v>0</v>
      </c>
      <c r="Y40" s="169">
        <f>INDEX('MEC - public transport &amp; cars'!$E$296:$H$300,MATCH($C40,'MEC - public transport &amp; cars'!$C$296:$C$300,0),MATCH(Y$18,'MEC - public transport &amp; cars'!$E$294:$H$294,0))*IF($E40=Y$20,'General inputs'!$F$85,IF($C40=Y$18,'General inputs'!$F$86,0))*IF($D40=Y$19,1,0)</f>
        <v>1</v>
      </c>
      <c r="Z40" s="169">
        <f>INDEX('MEC - public transport &amp; cars'!$E$296:$H$300,MATCH($C40,'MEC - public transport &amp; cars'!$C$296:$C$300,0),MATCH(Z$18,'MEC - public transport &amp; cars'!$E$294:$H$294,0))*IF($E40=Z$20,'General inputs'!$F$85,IF($C40=Z$18,'General inputs'!$F$86,0))*IF($D40=Z$19,1,0)</f>
        <v>0</v>
      </c>
      <c r="AA40" s="169">
        <f>INDEX('MEC - public transport &amp; cars'!$E$296:$H$300,MATCH($C40,'MEC - public transport &amp; cars'!$C$296:$C$300,0),MATCH(AA$18,'MEC - public transport &amp; cars'!$E$294:$H$294,0))*IF($E40=AA$20,'General inputs'!$F$85,IF($C40=AA$18,'General inputs'!$F$86,0))*IF($D40=AA$19,1,0)</f>
        <v>0</v>
      </c>
      <c r="AB40" s="169">
        <f>INDEX('MEC - public transport &amp; cars'!$E$296:$H$300,MATCH($C40,'MEC - public transport &amp; cars'!$C$296:$C$300,0),MATCH(AB$18,'MEC - public transport &amp; cars'!$E$294:$H$294,0))*IF($E40=AB$20,'General inputs'!$F$85,IF($C40=AB$18,'General inputs'!$F$86,0))*IF($D40=AB$19,1,0)</f>
        <v>0</v>
      </c>
      <c r="AC40" s="169">
        <f>INDEX('MEC - public transport &amp; cars'!$E$296:$H$300,MATCH($C40,'MEC - public transport &amp; cars'!$C$296:$C$300,0),MATCH(AC$18,'MEC - public transport &amp; cars'!$E$294:$H$294,0))*IF($E40=AC$20,'General inputs'!$F$85,IF($C40=AC$18,'General inputs'!$F$86,0))*IF($D40=AC$19,1,0)</f>
        <v>-0.1</v>
      </c>
      <c r="AD40" s="169">
        <f>INDEX('MEC - public transport &amp; cars'!$E$296:$H$300,MATCH($C40,'MEC - public transport &amp; cars'!$C$296:$C$300,0),MATCH(AD$18,'MEC - public transport &amp; cars'!$E$294:$H$294,0))*IF($E40=AD$20,'General inputs'!$F$85,IF($C40=AD$18,'General inputs'!$F$86,0))*IF($D40=AD$19,1,0)</f>
        <v>0</v>
      </c>
      <c r="AE40" s="169">
        <f>INDEX('MEC - public transport &amp; cars'!$E$296:$H$300,MATCH($C40,'MEC - public transport &amp; cars'!$C$296:$C$300,0),MATCH(AE$18,'MEC - public transport &amp; cars'!$E$294:$H$294,0))*IF($E40=AE$20,'General inputs'!$F$85,IF($C40=AE$18,'General inputs'!$F$86,0))*IF($D40=AE$19,1,0)</f>
        <v>0</v>
      </c>
      <c r="AF40" s="169">
        <f>INDEX('MEC - public transport &amp; cars'!$E$296:$H$300,MATCH($C40,'MEC - public transport &amp; cars'!$C$296:$C$300,0),MATCH(AF$18,'MEC - public transport &amp; cars'!$E$294:$H$294,0))*IF($E40=AF$20,'General inputs'!$F$85,IF($C40=AF$18,'General inputs'!$F$86,0))*IF($D40=AF$19,1,0)</f>
        <v>0</v>
      </c>
      <c r="AG40" s="169">
        <f>INDEX('MEC - public transport &amp; cars'!$E$296:$H$300,MATCH($C40,'MEC - public transport &amp; cars'!$C$296:$C$300,0),MATCH(AG$18,'MEC - public transport &amp; cars'!$E$294:$H$294,0))*IF($E40=AG$20,'General inputs'!$F$85,IF($C40=AG$18,'General inputs'!$F$86,0))*IF($D40=AG$19,1,0)</f>
        <v>0</v>
      </c>
      <c r="AH40" s="169">
        <f>INDEX('MEC - public transport &amp; cars'!$E$296:$H$300,MATCH($C40,'MEC - public transport &amp; cars'!$C$296:$C$300,0),MATCH(AH$18,'MEC - public transport &amp; cars'!$E$294:$H$294,0))*IF($E40=AH$20,'General inputs'!$F$85,IF($C40=AH$18,'General inputs'!$F$86,0))*IF($D40=AH$19,1,0)</f>
        <v>0</v>
      </c>
      <c r="AI40" s="169">
        <f>INDEX('MEC - public transport &amp; cars'!$E$296:$H$300,MATCH($C40,'MEC - public transport &amp; cars'!$C$296:$C$300,0),MATCH(AI$18,'MEC - public transport &amp; cars'!$E$294:$H$294,0))*IF($E40=AI$20,'General inputs'!$F$85,IF($C40=AI$18,'General inputs'!$F$86,0))*IF($D40=AI$19,1,0)</f>
        <v>0</v>
      </c>
      <c r="AJ40" s="169">
        <f>INDEX('MEC - public transport &amp; cars'!$E$296:$H$300,MATCH($C40,'MEC - public transport &amp; cars'!$C$296:$C$300,0),MATCH(AJ$18,'MEC - public transport &amp; cars'!$E$294:$H$294,0))*IF($E40=AJ$20,'General inputs'!$F$85,IF($C40=AJ$18,'General inputs'!$F$86,0))*IF($D40=AJ$19,1,0)</f>
        <v>0</v>
      </c>
      <c r="AK40" s="169">
        <f>INDEX('MEC - public transport &amp; cars'!$E$296:$H$300,MATCH($C40,'MEC - public transport &amp; cars'!$C$296:$C$300,0),MATCH(AK$18,'MEC - public transport &amp; cars'!$E$294:$H$294,0))*IF($E40=AK$20,'General inputs'!$F$85,IF($C40=AK$18,'General inputs'!$F$86,0))*IF($D40=AK$19,1,0)</f>
        <v>0</v>
      </c>
      <c r="AL40" s="169">
        <f>INDEX('MEC - public transport &amp; cars'!$E$296:$H$300,MATCH($C40,'MEC - public transport &amp; cars'!$C$296:$C$300,0),MATCH(AL$18,'MEC - public transport &amp; cars'!$E$294:$H$294,0))*IF($E40=AL$20,'General inputs'!$F$85,IF($C40=AL$18,'General inputs'!$F$86,0))*IF($D40=AL$19,1,0)</f>
        <v>0</v>
      </c>
      <c r="AM40" s="227">
        <f>INDEX('MEC - public transport &amp; cars'!$E$296:$H$300,MATCH($C40,'MEC - public transport &amp; cars'!$C$296:$C$300,0),MATCH(AM$18,'MEC - public transport &amp; cars'!$E$294:$H$294,0))*IF($E40=AM$20,'General inputs'!$F$85,IF($C40=AM$18,'General inputs'!$F$86,0))*IF($D40=AM$19,1,0)</f>
        <v>0</v>
      </c>
    </row>
    <row r="41" spans="3:39" x14ac:dyDescent="0.25">
      <c r="C41" s="244" t="str">
        <f>'Fare optimisation'!C102</f>
        <v>Ferry</v>
      </c>
      <c r="D41" s="173">
        <f>'Fare optimisation'!D102</f>
        <v>15</v>
      </c>
      <c r="E41" s="172" t="str">
        <f>'Fare optimisation'!E102</f>
        <v>Peak</v>
      </c>
      <c r="F41" s="173">
        <f>'General inputs'!C47</f>
        <v>19</v>
      </c>
      <c r="H41" s="169">
        <f>INDEX('MEC - public transport &amp; cars'!$E$296:$H$300,MATCH($C41,'MEC - public transport &amp; cars'!$C$296:$C$300,0),MATCH(H$18,'MEC - public transport &amp; cars'!$E$294:$H$294,0))*IF($E41=H$20,'General inputs'!$F$85,IF($C41=H$18,'General inputs'!$F$86,0))*IF($D41=H$19,1,0)</f>
        <v>0</v>
      </c>
      <c r="I41" s="169">
        <f>INDEX('MEC - public transport &amp; cars'!$E$296:$H$300,MATCH($C41,'MEC - public transport &amp; cars'!$C$296:$C$300,0),MATCH(I$18,'MEC - public transport &amp; cars'!$E$294:$H$294,0))*IF($E41=I$20,'General inputs'!$F$85,IF($C41=I$18,'General inputs'!$F$86,0))*IF($D41=I$19,1,0)</f>
        <v>0</v>
      </c>
      <c r="J41" s="169">
        <f>INDEX('MEC - public transport &amp; cars'!$E$296:$H$300,MATCH($C41,'MEC - public transport &amp; cars'!$C$296:$C$300,0),MATCH(J$18,'MEC - public transport &amp; cars'!$E$294:$H$294,0))*IF($E41=J$20,'General inputs'!$F$85,IF($C41=J$18,'General inputs'!$F$86,0))*IF($D41=J$19,1,0)</f>
        <v>0</v>
      </c>
      <c r="K41" s="169">
        <f>INDEX('MEC - public transport &amp; cars'!$E$296:$H$300,MATCH($C41,'MEC - public transport &amp; cars'!$C$296:$C$300,0),MATCH(K$18,'MEC - public transport &amp; cars'!$E$294:$H$294,0))*IF($E41=K$20,'General inputs'!$F$85,IF($C41=K$18,'General inputs'!$F$86,0))*IF($D41=K$19,1,0)</f>
        <v>0</v>
      </c>
      <c r="L41" s="169">
        <f>INDEX('MEC - public transport &amp; cars'!$E$296:$H$300,MATCH($C41,'MEC - public transport &amp; cars'!$C$296:$C$300,0),MATCH(L$18,'MEC - public transport &amp; cars'!$E$294:$H$294,0))*IF($E41=L$20,'General inputs'!$F$85,IF($C41=L$18,'General inputs'!$F$86,0))*IF($D41=L$19,1,0)</f>
        <v>0</v>
      </c>
      <c r="M41" s="169">
        <f>INDEX('MEC - public transport &amp; cars'!$E$296:$H$300,MATCH($C41,'MEC - public transport &amp; cars'!$C$296:$C$300,0),MATCH(M$18,'MEC - public transport &amp; cars'!$E$294:$H$294,0))*IF($E41=M$20,'General inputs'!$F$85,IF($C41=M$18,'General inputs'!$F$86,0))*IF($D41=M$19,1,0)</f>
        <v>0</v>
      </c>
      <c r="N41" s="169">
        <f>INDEX('MEC - public transport &amp; cars'!$E$296:$H$300,MATCH($C41,'MEC - public transport &amp; cars'!$C$296:$C$300,0),MATCH(N$18,'MEC - public transport &amp; cars'!$E$294:$H$294,0))*IF($E41=N$20,'General inputs'!$F$85,IF($C41=N$18,'General inputs'!$F$86,0))*IF($D41=N$19,1,0)</f>
        <v>0</v>
      </c>
      <c r="O41" s="169">
        <f>INDEX('MEC - public transport &amp; cars'!$E$296:$H$300,MATCH($C41,'MEC - public transport &amp; cars'!$C$296:$C$300,0),MATCH(O$18,'MEC - public transport &amp; cars'!$E$294:$H$294,0))*IF($E41=O$20,'General inputs'!$F$85,IF($C41=O$18,'General inputs'!$F$86,0))*IF($D41=O$19,1,0)</f>
        <v>0</v>
      </c>
      <c r="P41" s="169">
        <f>INDEX('MEC - public transport &amp; cars'!$E$296:$H$300,MATCH($C41,'MEC - public transport &amp; cars'!$C$296:$C$300,0),MATCH(P$18,'MEC - public transport &amp; cars'!$E$294:$H$294,0))*IF($E41=P$20,'General inputs'!$F$85,IF($C41=P$18,'General inputs'!$F$86,0))*IF($D41=P$19,1,0)</f>
        <v>0</v>
      </c>
      <c r="Q41" s="169">
        <f>INDEX('MEC - public transport &amp; cars'!$E$296:$H$300,MATCH($C41,'MEC - public transport &amp; cars'!$C$296:$C$300,0),MATCH(Q$18,'MEC - public transport &amp; cars'!$E$294:$H$294,0))*IF($E41=Q$20,'General inputs'!$F$85,IF($C41=Q$18,'General inputs'!$F$86,0))*IF($D41=Q$19,1,0)</f>
        <v>0</v>
      </c>
      <c r="R41" s="169">
        <f>INDEX('MEC - public transport &amp; cars'!$E$296:$H$300,MATCH($C41,'MEC - public transport &amp; cars'!$C$296:$C$300,0),MATCH(R$18,'MEC - public transport &amp; cars'!$E$294:$H$294,0))*IF($E41=R$20,'General inputs'!$F$85,IF($C41=R$18,'General inputs'!$F$86,0))*IF($D41=R$19,1,0)</f>
        <v>0</v>
      </c>
      <c r="S41" s="169">
        <f>INDEX('MEC - public transport &amp; cars'!$E$296:$H$300,MATCH($C41,'MEC - public transport &amp; cars'!$C$296:$C$300,0),MATCH(S$18,'MEC - public transport &amp; cars'!$E$294:$H$294,0))*IF($E41=S$20,'General inputs'!$F$85,IF($C41=S$18,'General inputs'!$F$86,0))*IF($D41=S$19,1,0)</f>
        <v>0</v>
      </c>
      <c r="T41" s="169">
        <f>INDEX('MEC - public transport &amp; cars'!$E$296:$H$300,MATCH($C41,'MEC - public transport &amp; cars'!$C$296:$C$300,0),MATCH(T$18,'MEC - public transport &amp; cars'!$E$294:$H$294,0))*IF($E41=T$20,'General inputs'!$F$85,IF($C41=T$18,'General inputs'!$F$86,0))*IF($D41=T$19,1,0)</f>
        <v>0</v>
      </c>
      <c r="U41" s="169">
        <f>INDEX('MEC - public transport &amp; cars'!$E$296:$H$300,MATCH($C41,'MEC - public transport &amp; cars'!$C$296:$C$300,0),MATCH(U$18,'MEC - public transport &amp; cars'!$E$294:$H$294,0))*IF($E41=U$20,'General inputs'!$F$85,IF($C41=U$18,'General inputs'!$F$86,0))*IF($D41=U$19,1,0)</f>
        <v>0</v>
      </c>
      <c r="V41" s="169">
        <f>INDEX('MEC - public transport &amp; cars'!$E$296:$H$300,MATCH($C41,'MEC - public transport &amp; cars'!$C$296:$C$300,0),MATCH(V$18,'MEC - public transport &amp; cars'!$E$294:$H$294,0))*IF($E41=V$20,'General inputs'!$F$85,IF($C41=V$18,'General inputs'!$F$86,0))*IF($D41=V$19,1,0)</f>
        <v>0</v>
      </c>
      <c r="W41" s="169">
        <f>INDEX('MEC - public transport &amp; cars'!$E$296:$H$300,MATCH($C41,'MEC - public transport &amp; cars'!$C$296:$C$300,0),MATCH(W$18,'MEC - public transport &amp; cars'!$E$294:$H$294,0))*IF($E41=W$20,'General inputs'!$F$85,IF($C41=W$18,'General inputs'!$F$86,0))*IF($D41=W$19,1,0)</f>
        <v>0</v>
      </c>
      <c r="X41" s="169">
        <f>INDEX('MEC - public transport &amp; cars'!$E$296:$H$300,MATCH($C41,'MEC - public transport &amp; cars'!$C$296:$C$300,0),MATCH(X$18,'MEC - public transport &amp; cars'!$E$294:$H$294,0))*IF($E41=X$20,'General inputs'!$F$85,IF($C41=X$18,'General inputs'!$F$86,0))*IF($D41=X$19,1,0)</f>
        <v>0</v>
      </c>
      <c r="Y41" s="169">
        <f>INDEX('MEC - public transport &amp; cars'!$E$296:$H$300,MATCH($C41,'MEC - public transport &amp; cars'!$C$296:$C$300,0),MATCH(Y$18,'MEC - public transport &amp; cars'!$E$294:$H$294,0))*IF($E41=Y$20,'General inputs'!$F$85,IF($C41=Y$18,'General inputs'!$F$86,0))*IF($D41=Y$19,1,0)</f>
        <v>0</v>
      </c>
      <c r="Z41" s="169">
        <f>INDEX('MEC - public transport &amp; cars'!$E$296:$H$300,MATCH($C41,'MEC - public transport &amp; cars'!$C$296:$C$300,0),MATCH(Z$18,'MEC - public transport &amp; cars'!$E$294:$H$294,0))*IF($E41=Z$20,'General inputs'!$F$85,IF($C41=Z$18,'General inputs'!$F$86,0))*IF($D41=Z$19,1,0)</f>
        <v>1</v>
      </c>
      <c r="AA41" s="169">
        <f>INDEX('MEC - public transport &amp; cars'!$E$296:$H$300,MATCH($C41,'MEC - public transport &amp; cars'!$C$296:$C$300,0),MATCH(AA$18,'MEC - public transport &amp; cars'!$E$294:$H$294,0))*IF($E41=AA$20,'General inputs'!$F$85,IF($C41=AA$18,'General inputs'!$F$86,0))*IF($D41=AA$19,1,0)</f>
        <v>0</v>
      </c>
      <c r="AB41" s="169">
        <f>INDEX('MEC - public transport &amp; cars'!$E$296:$H$300,MATCH($C41,'MEC - public transport &amp; cars'!$C$296:$C$300,0),MATCH(AB$18,'MEC - public transport &amp; cars'!$E$294:$H$294,0))*IF($E41=AB$20,'General inputs'!$F$85,IF($C41=AB$18,'General inputs'!$F$86,0))*IF($D41=AB$19,1,0)</f>
        <v>0</v>
      </c>
      <c r="AC41" s="169">
        <f>INDEX('MEC - public transport &amp; cars'!$E$296:$H$300,MATCH($C41,'MEC - public transport &amp; cars'!$C$296:$C$300,0),MATCH(AC$18,'MEC - public transport &amp; cars'!$E$294:$H$294,0))*IF($E41=AC$20,'General inputs'!$F$85,IF($C41=AC$18,'General inputs'!$F$86,0))*IF($D41=AC$19,1,0)</f>
        <v>0</v>
      </c>
      <c r="AD41" s="169">
        <f>INDEX('MEC - public transport &amp; cars'!$E$296:$H$300,MATCH($C41,'MEC - public transport &amp; cars'!$C$296:$C$300,0),MATCH(AD$18,'MEC - public transport &amp; cars'!$E$294:$H$294,0))*IF($E41=AD$20,'General inputs'!$F$85,IF($C41=AD$18,'General inputs'!$F$86,0))*IF($D41=AD$19,1,0)</f>
        <v>-0.1</v>
      </c>
      <c r="AE41" s="169">
        <f>INDEX('MEC - public transport &amp; cars'!$E$296:$H$300,MATCH($C41,'MEC - public transport &amp; cars'!$C$296:$C$300,0),MATCH(AE$18,'MEC - public transport &amp; cars'!$E$294:$H$294,0))*IF($E41=AE$20,'General inputs'!$F$85,IF($C41=AE$18,'General inputs'!$F$86,0))*IF($D41=AE$19,1,0)</f>
        <v>0</v>
      </c>
      <c r="AF41" s="169">
        <f>INDEX('MEC - public transport &amp; cars'!$E$296:$H$300,MATCH($C41,'MEC - public transport &amp; cars'!$C$296:$C$300,0),MATCH(AF$18,'MEC - public transport &amp; cars'!$E$294:$H$294,0))*IF($E41=AF$20,'General inputs'!$F$85,IF($C41=AF$18,'General inputs'!$F$86,0))*IF($D41=AF$19,1,0)</f>
        <v>0</v>
      </c>
      <c r="AG41" s="169">
        <f>INDEX('MEC - public transport &amp; cars'!$E$296:$H$300,MATCH($C41,'MEC - public transport &amp; cars'!$C$296:$C$300,0),MATCH(AG$18,'MEC - public transport &amp; cars'!$E$294:$H$294,0))*IF($E41=AG$20,'General inputs'!$F$85,IF($C41=AG$18,'General inputs'!$F$86,0))*IF($D41=AG$19,1,0)</f>
        <v>0</v>
      </c>
      <c r="AH41" s="169">
        <f>INDEX('MEC - public transport &amp; cars'!$E$296:$H$300,MATCH($C41,'MEC - public transport &amp; cars'!$C$296:$C$300,0),MATCH(AH$18,'MEC - public transport &amp; cars'!$E$294:$H$294,0))*IF($E41=AH$20,'General inputs'!$F$85,IF($C41=AH$18,'General inputs'!$F$86,0))*IF($D41=AH$19,1,0)</f>
        <v>0</v>
      </c>
      <c r="AI41" s="169">
        <f>INDEX('MEC - public transport &amp; cars'!$E$296:$H$300,MATCH($C41,'MEC - public transport &amp; cars'!$C$296:$C$300,0),MATCH(AI$18,'MEC - public transport &amp; cars'!$E$294:$H$294,0))*IF($E41=AI$20,'General inputs'!$F$85,IF($C41=AI$18,'General inputs'!$F$86,0))*IF($D41=AI$19,1,0)</f>
        <v>0</v>
      </c>
      <c r="AJ41" s="169">
        <f>INDEX('MEC - public transport &amp; cars'!$E$296:$H$300,MATCH($C41,'MEC - public transport &amp; cars'!$C$296:$C$300,0),MATCH(AJ$18,'MEC - public transport &amp; cars'!$E$294:$H$294,0))*IF($E41=AJ$20,'General inputs'!$F$85,IF($C41=AJ$18,'General inputs'!$F$86,0))*IF($D41=AJ$19,1,0)</f>
        <v>0</v>
      </c>
      <c r="AK41" s="169">
        <f>INDEX('MEC - public transport &amp; cars'!$E$296:$H$300,MATCH($C41,'MEC - public transport &amp; cars'!$C$296:$C$300,0),MATCH(AK$18,'MEC - public transport &amp; cars'!$E$294:$H$294,0))*IF($E41=AK$20,'General inputs'!$F$85,IF($C41=AK$18,'General inputs'!$F$86,0))*IF($D41=AK$19,1,0)</f>
        <v>0</v>
      </c>
      <c r="AL41" s="169">
        <f>INDEX('MEC - public transport &amp; cars'!$E$296:$H$300,MATCH($C41,'MEC - public transport &amp; cars'!$C$296:$C$300,0),MATCH(AL$18,'MEC - public transport &amp; cars'!$E$294:$H$294,0))*IF($E41=AL$20,'General inputs'!$F$85,IF($C41=AL$18,'General inputs'!$F$86,0))*IF($D41=AL$19,1,0)</f>
        <v>0</v>
      </c>
      <c r="AM41" s="227">
        <f>INDEX('MEC - public transport &amp; cars'!$E$296:$H$300,MATCH($C41,'MEC - public transport &amp; cars'!$C$296:$C$300,0),MATCH(AM$18,'MEC - public transport &amp; cars'!$E$294:$H$294,0))*IF($E41=AM$20,'General inputs'!$F$85,IF($C41=AM$18,'General inputs'!$F$86,0))*IF($D41=AM$19,1,0)</f>
        <v>0</v>
      </c>
    </row>
    <row r="42" spans="3:39" x14ac:dyDescent="0.25">
      <c r="C42" s="244" t="str">
        <f>'Fare optimisation'!C103</f>
        <v>Ferry</v>
      </c>
      <c r="D42" s="173">
        <f>'Fare optimisation'!D103</f>
        <v>25</v>
      </c>
      <c r="E42" s="172" t="str">
        <f>'Fare optimisation'!E103</f>
        <v>Peak</v>
      </c>
      <c r="F42" s="173">
        <f>'General inputs'!C48</f>
        <v>20</v>
      </c>
      <c r="H42" s="169">
        <f>INDEX('MEC - public transport &amp; cars'!$E$296:$H$300,MATCH($C42,'MEC - public transport &amp; cars'!$C$296:$C$300,0),MATCH(H$18,'MEC - public transport &amp; cars'!$E$294:$H$294,0))*IF($E42=H$20,'General inputs'!$F$85,IF($C42=H$18,'General inputs'!$F$86,0))*IF($D42=H$19,1,0)</f>
        <v>0</v>
      </c>
      <c r="I42" s="169">
        <f>INDEX('MEC - public transport &amp; cars'!$E$296:$H$300,MATCH($C42,'MEC - public transport &amp; cars'!$C$296:$C$300,0),MATCH(I$18,'MEC - public transport &amp; cars'!$E$294:$H$294,0))*IF($E42=I$20,'General inputs'!$F$85,IF($C42=I$18,'General inputs'!$F$86,0))*IF($D42=I$19,1,0)</f>
        <v>0</v>
      </c>
      <c r="J42" s="169">
        <f>INDEX('MEC - public transport &amp; cars'!$E$296:$H$300,MATCH($C42,'MEC - public transport &amp; cars'!$C$296:$C$300,0),MATCH(J$18,'MEC - public transport &amp; cars'!$E$294:$H$294,0))*IF($E42=J$20,'General inputs'!$F$85,IF($C42=J$18,'General inputs'!$F$86,0))*IF($D42=J$19,1,0)</f>
        <v>0</v>
      </c>
      <c r="K42" s="169">
        <f>INDEX('MEC - public transport &amp; cars'!$E$296:$H$300,MATCH($C42,'MEC - public transport &amp; cars'!$C$296:$C$300,0),MATCH(K$18,'MEC - public transport &amp; cars'!$E$294:$H$294,0))*IF($E42=K$20,'General inputs'!$F$85,IF($C42=K$18,'General inputs'!$F$86,0))*IF($D42=K$19,1,0)</f>
        <v>0</v>
      </c>
      <c r="L42" s="169">
        <f>INDEX('MEC - public transport &amp; cars'!$E$296:$H$300,MATCH($C42,'MEC - public transport &amp; cars'!$C$296:$C$300,0),MATCH(L$18,'MEC - public transport &amp; cars'!$E$294:$H$294,0))*IF($E42=L$20,'General inputs'!$F$85,IF($C42=L$18,'General inputs'!$F$86,0))*IF($D42=L$19,1,0)</f>
        <v>0</v>
      </c>
      <c r="M42" s="169">
        <f>INDEX('MEC - public transport &amp; cars'!$E$296:$H$300,MATCH($C42,'MEC - public transport &amp; cars'!$C$296:$C$300,0),MATCH(M$18,'MEC - public transport &amp; cars'!$E$294:$H$294,0))*IF($E42=M$20,'General inputs'!$F$85,IF($C42=M$18,'General inputs'!$F$86,0))*IF($D42=M$19,1,0)</f>
        <v>0</v>
      </c>
      <c r="N42" s="169">
        <f>INDEX('MEC - public transport &amp; cars'!$E$296:$H$300,MATCH($C42,'MEC - public transport &amp; cars'!$C$296:$C$300,0),MATCH(N$18,'MEC - public transport &amp; cars'!$E$294:$H$294,0))*IF($E42=N$20,'General inputs'!$F$85,IF($C42=N$18,'General inputs'!$F$86,0))*IF($D42=N$19,1,0)</f>
        <v>0</v>
      </c>
      <c r="O42" s="169">
        <f>INDEX('MEC - public transport &amp; cars'!$E$296:$H$300,MATCH($C42,'MEC - public transport &amp; cars'!$C$296:$C$300,0),MATCH(O$18,'MEC - public transport &amp; cars'!$E$294:$H$294,0))*IF($E42=O$20,'General inputs'!$F$85,IF($C42=O$18,'General inputs'!$F$86,0))*IF($D42=O$19,1,0)</f>
        <v>0</v>
      </c>
      <c r="P42" s="169">
        <f>INDEX('MEC - public transport &amp; cars'!$E$296:$H$300,MATCH($C42,'MEC - public transport &amp; cars'!$C$296:$C$300,0),MATCH(P$18,'MEC - public transport &amp; cars'!$E$294:$H$294,0))*IF($E42=P$20,'General inputs'!$F$85,IF($C42=P$18,'General inputs'!$F$86,0))*IF($D42=P$19,1,0)</f>
        <v>0</v>
      </c>
      <c r="Q42" s="169">
        <f>INDEX('MEC - public transport &amp; cars'!$E$296:$H$300,MATCH($C42,'MEC - public transport &amp; cars'!$C$296:$C$300,0),MATCH(Q$18,'MEC - public transport &amp; cars'!$E$294:$H$294,0))*IF($E42=Q$20,'General inputs'!$F$85,IF($C42=Q$18,'General inputs'!$F$86,0))*IF($D42=Q$19,1,0)</f>
        <v>0</v>
      </c>
      <c r="R42" s="169">
        <f>INDEX('MEC - public transport &amp; cars'!$E$296:$H$300,MATCH($C42,'MEC - public transport &amp; cars'!$C$296:$C$300,0),MATCH(R$18,'MEC - public transport &amp; cars'!$E$294:$H$294,0))*IF($E42=R$20,'General inputs'!$F$85,IF($C42=R$18,'General inputs'!$F$86,0))*IF($D42=R$19,1,0)</f>
        <v>0</v>
      </c>
      <c r="S42" s="169">
        <f>INDEX('MEC - public transport &amp; cars'!$E$296:$H$300,MATCH($C42,'MEC - public transport &amp; cars'!$C$296:$C$300,0),MATCH(S$18,'MEC - public transport &amp; cars'!$E$294:$H$294,0))*IF($E42=S$20,'General inputs'!$F$85,IF($C42=S$18,'General inputs'!$F$86,0))*IF($D42=S$19,1,0)</f>
        <v>0</v>
      </c>
      <c r="T42" s="169">
        <f>INDEX('MEC - public transport &amp; cars'!$E$296:$H$300,MATCH($C42,'MEC - public transport &amp; cars'!$C$296:$C$300,0),MATCH(T$18,'MEC - public transport &amp; cars'!$E$294:$H$294,0))*IF($E42=T$20,'General inputs'!$F$85,IF($C42=T$18,'General inputs'!$F$86,0))*IF($D42=T$19,1,0)</f>
        <v>0</v>
      </c>
      <c r="U42" s="169">
        <f>INDEX('MEC - public transport &amp; cars'!$E$296:$H$300,MATCH($C42,'MEC - public transport &amp; cars'!$C$296:$C$300,0),MATCH(U$18,'MEC - public transport &amp; cars'!$E$294:$H$294,0))*IF($E42=U$20,'General inputs'!$F$85,IF($C42=U$18,'General inputs'!$F$86,0))*IF($D42=U$19,1,0)</f>
        <v>0</v>
      </c>
      <c r="V42" s="169">
        <f>INDEX('MEC - public transport &amp; cars'!$E$296:$H$300,MATCH($C42,'MEC - public transport &amp; cars'!$C$296:$C$300,0),MATCH(V$18,'MEC - public transport &amp; cars'!$E$294:$H$294,0))*IF($E42=V$20,'General inputs'!$F$85,IF($C42=V$18,'General inputs'!$F$86,0))*IF($D42=V$19,1,0)</f>
        <v>0</v>
      </c>
      <c r="W42" s="169">
        <f>INDEX('MEC - public transport &amp; cars'!$E$296:$H$300,MATCH($C42,'MEC - public transport &amp; cars'!$C$296:$C$300,0),MATCH(W$18,'MEC - public transport &amp; cars'!$E$294:$H$294,0))*IF($E42=W$20,'General inputs'!$F$85,IF($C42=W$18,'General inputs'!$F$86,0))*IF($D42=W$19,1,0)</f>
        <v>0</v>
      </c>
      <c r="X42" s="169">
        <f>INDEX('MEC - public transport &amp; cars'!$E$296:$H$300,MATCH($C42,'MEC - public transport &amp; cars'!$C$296:$C$300,0),MATCH(X$18,'MEC - public transport &amp; cars'!$E$294:$H$294,0))*IF($E42=X$20,'General inputs'!$F$85,IF($C42=X$18,'General inputs'!$F$86,0))*IF($D42=X$19,1,0)</f>
        <v>0</v>
      </c>
      <c r="Y42" s="169">
        <f>INDEX('MEC - public transport &amp; cars'!$E$296:$H$300,MATCH($C42,'MEC - public transport &amp; cars'!$C$296:$C$300,0),MATCH(Y$18,'MEC - public transport &amp; cars'!$E$294:$H$294,0))*IF($E42=Y$20,'General inputs'!$F$85,IF($C42=Y$18,'General inputs'!$F$86,0))*IF($D42=Y$19,1,0)</f>
        <v>0</v>
      </c>
      <c r="Z42" s="169">
        <f>INDEX('MEC - public transport &amp; cars'!$E$296:$H$300,MATCH($C42,'MEC - public transport &amp; cars'!$C$296:$C$300,0),MATCH(Z$18,'MEC - public transport &amp; cars'!$E$294:$H$294,0))*IF($E42=Z$20,'General inputs'!$F$85,IF($C42=Z$18,'General inputs'!$F$86,0))*IF($D42=Z$19,1,0)</f>
        <v>0</v>
      </c>
      <c r="AA42" s="169">
        <f>INDEX('MEC - public transport &amp; cars'!$E$296:$H$300,MATCH($C42,'MEC - public transport &amp; cars'!$C$296:$C$300,0),MATCH(AA$18,'MEC - public transport &amp; cars'!$E$294:$H$294,0))*IF($E42=AA$20,'General inputs'!$F$85,IF($C42=AA$18,'General inputs'!$F$86,0))*IF($D42=AA$19,1,0)</f>
        <v>1</v>
      </c>
      <c r="AB42" s="169">
        <f>INDEX('MEC - public transport &amp; cars'!$E$296:$H$300,MATCH($C42,'MEC - public transport &amp; cars'!$C$296:$C$300,0),MATCH(AB$18,'MEC - public transport &amp; cars'!$E$294:$H$294,0))*IF($E42=AB$20,'General inputs'!$F$85,IF($C42=AB$18,'General inputs'!$F$86,0))*IF($D42=AB$19,1,0)</f>
        <v>0</v>
      </c>
      <c r="AC42" s="169">
        <f>INDEX('MEC - public transport &amp; cars'!$E$296:$H$300,MATCH($C42,'MEC - public transport &amp; cars'!$C$296:$C$300,0),MATCH(AC$18,'MEC - public transport &amp; cars'!$E$294:$H$294,0))*IF($E42=AC$20,'General inputs'!$F$85,IF($C42=AC$18,'General inputs'!$F$86,0))*IF($D42=AC$19,1,0)</f>
        <v>0</v>
      </c>
      <c r="AD42" s="169">
        <f>INDEX('MEC - public transport &amp; cars'!$E$296:$H$300,MATCH($C42,'MEC - public transport &amp; cars'!$C$296:$C$300,0),MATCH(AD$18,'MEC - public transport &amp; cars'!$E$294:$H$294,0))*IF($E42=AD$20,'General inputs'!$F$85,IF($C42=AD$18,'General inputs'!$F$86,0))*IF($D42=AD$19,1,0)</f>
        <v>0</v>
      </c>
      <c r="AE42" s="169">
        <f>INDEX('MEC - public transport &amp; cars'!$E$296:$H$300,MATCH($C42,'MEC - public transport &amp; cars'!$C$296:$C$300,0),MATCH(AE$18,'MEC - public transport &amp; cars'!$E$294:$H$294,0))*IF($E42=AE$20,'General inputs'!$F$85,IF($C42=AE$18,'General inputs'!$F$86,0))*IF($D42=AE$19,1,0)</f>
        <v>-0.1</v>
      </c>
      <c r="AF42" s="169">
        <f>INDEX('MEC - public transport &amp; cars'!$E$296:$H$300,MATCH($C42,'MEC - public transport &amp; cars'!$C$296:$C$300,0),MATCH(AF$18,'MEC - public transport &amp; cars'!$E$294:$H$294,0))*IF($E42=AF$20,'General inputs'!$F$85,IF($C42=AF$18,'General inputs'!$F$86,0))*IF($D42=AF$19,1,0)</f>
        <v>0</v>
      </c>
      <c r="AG42" s="169">
        <f>INDEX('MEC - public transport &amp; cars'!$E$296:$H$300,MATCH($C42,'MEC - public transport &amp; cars'!$C$296:$C$300,0),MATCH(AG$18,'MEC - public transport &amp; cars'!$E$294:$H$294,0))*IF($E42=AG$20,'General inputs'!$F$85,IF($C42=AG$18,'General inputs'!$F$86,0))*IF($D42=AG$19,1,0)</f>
        <v>0</v>
      </c>
      <c r="AH42" s="169">
        <f>INDEX('MEC - public transport &amp; cars'!$E$296:$H$300,MATCH($C42,'MEC - public transport &amp; cars'!$C$296:$C$300,0),MATCH(AH$18,'MEC - public transport &amp; cars'!$E$294:$H$294,0))*IF($E42=AH$20,'General inputs'!$F$85,IF($C42=AH$18,'General inputs'!$F$86,0))*IF($D42=AH$19,1,0)</f>
        <v>0</v>
      </c>
      <c r="AI42" s="169">
        <f>INDEX('MEC - public transport &amp; cars'!$E$296:$H$300,MATCH($C42,'MEC - public transport &amp; cars'!$C$296:$C$300,0),MATCH(AI$18,'MEC - public transport &amp; cars'!$E$294:$H$294,0))*IF($E42=AI$20,'General inputs'!$F$85,IF($C42=AI$18,'General inputs'!$F$86,0))*IF($D42=AI$19,1,0)</f>
        <v>0</v>
      </c>
      <c r="AJ42" s="169">
        <f>INDEX('MEC - public transport &amp; cars'!$E$296:$H$300,MATCH($C42,'MEC - public transport &amp; cars'!$C$296:$C$300,0),MATCH(AJ$18,'MEC - public transport &amp; cars'!$E$294:$H$294,0))*IF($E42=AJ$20,'General inputs'!$F$85,IF($C42=AJ$18,'General inputs'!$F$86,0))*IF($D42=AJ$19,1,0)</f>
        <v>0</v>
      </c>
      <c r="AK42" s="169">
        <f>INDEX('MEC - public transport &amp; cars'!$E$296:$H$300,MATCH($C42,'MEC - public transport &amp; cars'!$C$296:$C$300,0),MATCH(AK$18,'MEC - public transport &amp; cars'!$E$294:$H$294,0))*IF($E42=AK$20,'General inputs'!$F$85,IF($C42=AK$18,'General inputs'!$F$86,0))*IF($D42=AK$19,1,0)</f>
        <v>0</v>
      </c>
      <c r="AL42" s="169">
        <f>INDEX('MEC - public transport &amp; cars'!$E$296:$H$300,MATCH($C42,'MEC - public transport &amp; cars'!$C$296:$C$300,0),MATCH(AL$18,'MEC - public transport &amp; cars'!$E$294:$H$294,0))*IF($E42=AL$20,'General inputs'!$F$85,IF($C42=AL$18,'General inputs'!$F$86,0))*IF($D42=AL$19,1,0)</f>
        <v>0</v>
      </c>
      <c r="AM42" s="227">
        <f>INDEX('MEC - public transport &amp; cars'!$E$296:$H$300,MATCH($C42,'MEC - public transport &amp; cars'!$C$296:$C$300,0),MATCH(AM$18,'MEC - public transport &amp; cars'!$E$294:$H$294,0))*IF($E42=AM$20,'General inputs'!$F$85,IF($C42=AM$18,'General inputs'!$F$86,0))*IF($D42=AM$19,1,0)</f>
        <v>0</v>
      </c>
    </row>
    <row r="43" spans="3:39" x14ac:dyDescent="0.25">
      <c r="C43" s="244" t="str">
        <f>'Fare optimisation'!C104</f>
        <v>Ferry</v>
      </c>
      <c r="D43" s="173">
        <f>'Fare optimisation'!D104</f>
        <v>2</v>
      </c>
      <c r="E43" s="172" t="str">
        <f>'Fare optimisation'!E104</f>
        <v>Off-peak</v>
      </c>
      <c r="F43" s="173">
        <f>'General inputs'!C49</f>
        <v>21</v>
      </c>
      <c r="H43" s="169">
        <f>INDEX('MEC - public transport &amp; cars'!$E$296:$H$300,MATCH($C43,'MEC - public transport &amp; cars'!$C$296:$C$300,0),MATCH(H$18,'MEC - public transport &amp; cars'!$E$294:$H$294,0))*IF($E43=H$20,'General inputs'!$F$85,IF($C43=H$18,'General inputs'!$F$86,0))*IF($D43=H$19,1,0)</f>
        <v>0</v>
      </c>
      <c r="I43" s="169">
        <f>INDEX('MEC - public transport &amp; cars'!$E$296:$H$300,MATCH($C43,'MEC - public transport &amp; cars'!$C$296:$C$300,0),MATCH(I$18,'MEC - public transport &amp; cars'!$E$294:$H$294,0))*IF($E43=I$20,'General inputs'!$F$85,IF($C43=I$18,'General inputs'!$F$86,0))*IF($D43=I$19,1,0)</f>
        <v>0</v>
      </c>
      <c r="J43" s="169">
        <f>INDEX('MEC - public transport &amp; cars'!$E$296:$H$300,MATCH($C43,'MEC - public transport &amp; cars'!$C$296:$C$300,0),MATCH(J$18,'MEC - public transport &amp; cars'!$E$294:$H$294,0))*IF($E43=J$20,'General inputs'!$F$85,IF($C43=J$18,'General inputs'!$F$86,0))*IF($D43=J$19,1,0)</f>
        <v>0</v>
      </c>
      <c r="K43" s="169">
        <f>INDEX('MEC - public transport &amp; cars'!$E$296:$H$300,MATCH($C43,'MEC - public transport &amp; cars'!$C$296:$C$300,0),MATCH(K$18,'MEC - public transport &amp; cars'!$E$294:$H$294,0))*IF($E43=K$20,'General inputs'!$F$85,IF($C43=K$18,'General inputs'!$F$86,0))*IF($D43=K$19,1,0)</f>
        <v>0</v>
      </c>
      <c r="L43" s="169">
        <f>INDEX('MEC - public transport &amp; cars'!$E$296:$H$300,MATCH($C43,'MEC - public transport &amp; cars'!$C$296:$C$300,0),MATCH(L$18,'MEC - public transport &amp; cars'!$E$294:$H$294,0))*IF($E43=L$20,'General inputs'!$F$85,IF($C43=L$18,'General inputs'!$F$86,0))*IF($D43=L$19,1,0)</f>
        <v>0</v>
      </c>
      <c r="M43" s="169">
        <f>INDEX('MEC - public transport &amp; cars'!$E$296:$H$300,MATCH($C43,'MEC - public transport &amp; cars'!$C$296:$C$300,0),MATCH(M$18,'MEC - public transport &amp; cars'!$E$294:$H$294,0))*IF($E43=M$20,'General inputs'!$F$85,IF($C43=M$18,'General inputs'!$F$86,0))*IF($D43=M$19,1,0)</f>
        <v>0</v>
      </c>
      <c r="N43" s="169">
        <f>INDEX('MEC - public transport &amp; cars'!$E$296:$H$300,MATCH($C43,'MEC - public transport &amp; cars'!$C$296:$C$300,0),MATCH(N$18,'MEC - public transport &amp; cars'!$E$294:$H$294,0))*IF($E43=N$20,'General inputs'!$F$85,IF($C43=N$18,'General inputs'!$F$86,0))*IF($D43=N$19,1,0)</f>
        <v>0</v>
      </c>
      <c r="O43" s="169">
        <f>INDEX('MEC - public transport &amp; cars'!$E$296:$H$300,MATCH($C43,'MEC - public transport &amp; cars'!$C$296:$C$300,0),MATCH(O$18,'MEC - public transport &amp; cars'!$E$294:$H$294,0))*IF($E43=O$20,'General inputs'!$F$85,IF($C43=O$18,'General inputs'!$F$86,0))*IF($D43=O$19,1,0)</f>
        <v>0</v>
      </c>
      <c r="P43" s="169">
        <f>INDEX('MEC - public transport &amp; cars'!$E$296:$H$300,MATCH($C43,'MEC - public transport &amp; cars'!$C$296:$C$300,0),MATCH(P$18,'MEC - public transport &amp; cars'!$E$294:$H$294,0))*IF($E43=P$20,'General inputs'!$F$85,IF($C43=P$18,'General inputs'!$F$86,0))*IF($D43=P$19,1,0)</f>
        <v>0</v>
      </c>
      <c r="Q43" s="169">
        <f>INDEX('MEC - public transport &amp; cars'!$E$296:$H$300,MATCH($C43,'MEC - public transport &amp; cars'!$C$296:$C$300,0),MATCH(Q$18,'MEC - public transport &amp; cars'!$E$294:$H$294,0))*IF($E43=Q$20,'General inputs'!$F$85,IF($C43=Q$18,'General inputs'!$F$86,0))*IF($D43=Q$19,1,0)</f>
        <v>0</v>
      </c>
      <c r="R43" s="169">
        <f>INDEX('MEC - public transport &amp; cars'!$E$296:$H$300,MATCH($C43,'MEC - public transport &amp; cars'!$C$296:$C$300,0),MATCH(R$18,'MEC - public transport &amp; cars'!$E$294:$H$294,0))*IF($E43=R$20,'General inputs'!$F$85,IF($C43=R$18,'General inputs'!$F$86,0))*IF($D43=R$19,1,0)</f>
        <v>0</v>
      </c>
      <c r="S43" s="169">
        <f>INDEX('MEC - public transport &amp; cars'!$E$296:$H$300,MATCH($C43,'MEC - public transport &amp; cars'!$C$296:$C$300,0),MATCH(S$18,'MEC - public transport &amp; cars'!$E$294:$H$294,0))*IF($E43=S$20,'General inputs'!$F$85,IF($C43=S$18,'General inputs'!$F$86,0))*IF($D43=S$19,1,0)</f>
        <v>0</v>
      </c>
      <c r="T43" s="169">
        <f>INDEX('MEC - public transport &amp; cars'!$E$296:$H$300,MATCH($C43,'MEC - public transport &amp; cars'!$C$296:$C$300,0),MATCH(T$18,'MEC - public transport &amp; cars'!$E$294:$H$294,0))*IF($E43=T$20,'General inputs'!$F$85,IF($C43=T$18,'General inputs'!$F$86,0))*IF($D43=T$19,1,0)</f>
        <v>0</v>
      </c>
      <c r="U43" s="169">
        <f>INDEX('MEC - public transport &amp; cars'!$E$296:$H$300,MATCH($C43,'MEC - public transport &amp; cars'!$C$296:$C$300,0),MATCH(U$18,'MEC - public transport &amp; cars'!$E$294:$H$294,0))*IF($E43=U$20,'General inputs'!$F$85,IF($C43=U$18,'General inputs'!$F$86,0))*IF($D43=U$19,1,0)</f>
        <v>0</v>
      </c>
      <c r="V43" s="169">
        <f>INDEX('MEC - public transport &amp; cars'!$E$296:$H$300,MATCH($C43,'MEC - public transport &amp; cars'!$C$296:$C$300,0),MATCH(V$18,'MEC - public transport &amp; cars'!$E$294:$H$294,0))*IF($E43=V$20,'General inputs'!$F$85,IF($C43=V$18,'General inputs'!$F$86,0))*IF($D43=V$19,1,0)</f>
        <v>0</v>
      </c>
      <c r="W43" s="169">
        <f>INDEX('MEC - public transport &amp; cars'!$E$296:$H$300,MATCH($C43,'MEC - public transport &amp; cars'!$C$296:$C$300,0),MATCH(W$18,'MEC - public transport &amp; cars'!$E$294:$H$294,0))*IF($E43=W$20,'General inputs'!$F$85,IF($C43=W$18,'General inputs'!$F$86,0))*IF($D43=W$19,1,0)</f>
        <v>0</v>
      </c>
      <c r="X43" s="169">
        <f>INDEX('MEC - public transport &amp; cars'!$E$296:$H$300,MATCH($C43,'MEC - public transport &amp; cars'!$C$296:$C$300,0),MATCH(X$18,'MEC - public transport &amp; cars'!$E$294:$H$294,0))*IF($E43=X$20,'General inputs'!$F$85,IF($C43=X$18,'General inputs'!$F$86,0))*IF($D43=X$19,1,0)</f>
        <v>-0.1</v>
      </c>
      <c r="Y43" s="169">
        <f>INDEX('MEC - public transport &amp; cars'!$E$296:$H$300,MATCH($C43,'MEC - public transport &amp; cars'!$C$296:$C$300,0),MATCH(Y$18,'MEC - public transport &amp; cars'!$E$294:$H$294,0))*IF($E43=Y$20,'General inputs'!$F$85,IF($C43=Y$18,'General inputs'!$F$86,0))*IF($D43=Y$19,1,0)</f>
        <v>0</v>
      </c>
      <c r="Z43" s="169">
        <f>INDEX('MEC - public transport &amp; cars'!$E$296:$H$300,MATCH($C43,'MEC - public transport &amp; cars'!$C$296:$C$300,0),MATCH(Z$18,'MEC - public transport &amp; cars'!$E$294:$H$294,0))*IF($E43=Z$20,'General inputs'!$F$85,IF($C43=Z$18,'General inputs'!$F$86,0))*IF($D43=Z$19,1,0)</f>
        <v>0</v>
      </c>
      <c r="AA43" s="169">
        <f>INDEX('MEC - public transport &amp; cars'!$E$296:$H$300,MATCH($C43,'MEC - public transport &amp; cars'!$C$296:$C$300,0),MATCH(AA$18,'MEC - public transport &amp; cars'!$E$294:$H$294,0))*IF($E43=AA$20,'General inputs'!$F$85,IF($C43=AA$18,'General inputs'!$F$86,0))*IF($D43=AA$19,1,0)</f>
        <v>0</v>
      </c>
      <c r="AB43" s="169">
        <f>INDEX('MEC - public transport &amp; cars'!$E$296:$H$300,MATCH($C43,'MEC - public transport &amp; cars'!$C$296:$C$300,0),MATCH(AB$18,'MEC - public transport &amp; cars'!$E$294:$H$294,0))*IF($E43=AB$20,'General inputs'!$F$85,IF($C43=AB$18,'General inputs'!$F$86,0))*IF($D43=AB$19,1,0)</f>
        <v>1</v>
      </c>
      <c r="AC43" s="169">
        <f>INDEX('MEC - public transport &amp; cars'!$E$296:$H$300,MATCH($C43,'MEC - public transport &amp; cars'!$C$296:$C$300,0),MATCH(AC$18,'MEC - public transport &amp; cars'!$E$294:$H$294,0))*IF($E43=AC$20,'General inputs'!$F$85,IF($C43=AC$18,'General inputs'!$F$86,0))*IF($D43=AC$19,1,0)</f>
        <v>0</v>
      </c>
      <c r="AD43" s="169">
        <f>INDEX('MEC - public transport &amp; cars'!$E$296:$H$300,MATCH($C43,'MEC - public transport &amp; cars'!$C$296:$C$300,0),MATCH(AD$18,'MEC - public transport &amp; cars'!$E$294:$H$294,0))*IF($E43=AD$20,'General inputs'!$F$85,IF($C43=AD$18,'General inputs'!$F$86,0))*IF($D43=AD$19,1,0)</f>
        <v>0</v>
      </c>
      <c r="AE43" s="169">
        <f>INDEX('MEC - public transport &amp; cars'!$E$296:$H$300,MATCH($C43,'MEC - public transport &amp; cars'!$C$296:$C$300,0),MATCH(AE$18,'MEC - public transport &amp; cars'!$E$294:$H$294,0))*IF($E43=AE$20,'General inputs'!$F$85,IF($C43=AE$18,'General inputs'!$F$86,0))*IF($D43=AE$19,1,0)</f>
        <v>0</v>
      </c>
      <c r="AF43" s="169">
        <f>INDEX('MEC - public transport &amp; cars'!$E$296:$H$300,MATCH($C43,'MEC - public transport &amp; cars'!$C$296:$C$300,0),MATCH(AF$18,'MEC - public transport &amp; cars'!$E$294:$H$294,0))*IF($E43=AF$20,'General inputs'!$F$85,IF($C43=AF$18,'General inputs'!$F$86,0))*IF($D43=AF$19,1,0)</f>
        <v>0</v>
      </c>
      <c r="AG43" s="169">
        <f>INDEX('MEC - public transport &amp; cars'!$E$296:$H$300,MATCH($C43,'MEC - public transport &amp; cars'!$C$296:$C$300,0),MATCH(AG$18,'MEC - public transport &amp; cars'!$E$294:$H$294,0))*IF($E43=AG$20,'General inputs'!$F$85,IF($C43=AG$18,'General inputs'!$F$86,0))*IF($D43=AG$19,1,0)</f>
        <v>0</v>
      </c>
      <c r="AH43" s="169">
        <f>INDEX('MEC - public transport &amp; cars'!$E$296:$H$300,MATCH($C43,'MEC - public transport &amp; cars'!$C$296:$C$300,0),MATCH(AH$18,'MEC - public transport &amp; cars'!$E$294:$H$294,0))*IF($E43=AH$20,'General inputs'!$F$85,IF($C43=AH$18,'General inputs'!$F$86,0))*IF($D43=AH$19,1,0)</f>
        <v>0</v>
      </c>
      <c r="AI43" s="169">
        <f>INDEX('MEC - public transport &amp; cars'!$E$296:$H$300,MATCH($C43,'MEC - public transport &amp; cars'!$C$296:$C$300,0),MATCH(AI$18,'MEC - public transport &amp; cars'!$E$294:$H$294,0))*IF($E43=AI$20,'General inputs'!$F$85,IF($C43=AI$18,'General inputs'!$F$86,0))*IF($D43=AI$19,1,0)</f>
        <v>0</v>
      </c>
      <c r="AJ43" s="169">
        <f>INDEX('MEC - public transport &amp; cars'!$E$296:$H$300,MATCH($C43,'MEC - public transport &amp; cars'!$C$296:$C$300,0),MATCH(AJ$18,'MEC - public transport &amp; cars'!$E$294:$H$294,0))*IF($E43=AJ$20,'General inputs'!$F$85,IF($C43=AJ$18,'General inputs'!$F$86,0))*IF($D43=AJ$19,1,0)</f>
        <v>0</v>
      </c>
      <c r="AK43" s="169">
        <f>INDEX('MEC - public transport &amp; cars'!$E$296:$H$300,MATCH($C43,'MEC - public transport &amp; cars'!$C$296:$C$300,0),MATCH(AK$18,'MEC - public transport &amp; cars'!$E$294:$H$294,0))*IF($E43=AK$20,'General inputs'!$F$85,IF($C43=AK$18,'General inputs'!$F$86,0))*IF($D43=AK$19,1,0)</f>
        <v>0</v>
      </c>
      <c r="AL43" s="169">
        <f>INDEX('MEC - public transport &amp; cars'!$E$296:$H$300,MATCH($C43,'MEC - public transport &amp; cars'!$C$296:$C$300,0),MATCH(AL$18,'MEC - public transport &amp; cars'!$E$294:$H$294,0))*IF($E43=AL$20,'General inputs'!$F$85,IF($C43=AL$18,'General inputs'!$F$86,0))*IF($D43=AL$19,1,0)</f>
        <v>0</v>
      </c>
      <c r="AM43" s="227">
        <f>INDEX('MEC - public transport &amp; cars'!$E$296:$H$300,MATCH($C43,'MEC - public transport &amp; cars'!$C$296:$C$300,0),MATCH(AM$18,'MEC - public transport &amp; cars'!$E$294:$H$294,0))*IF($E43=AM$20,'General inputs'!$F$85,IF($C43=AM$18,'General inputs'!$F$86,0))*IF($D43=AM$19,1,0)</f>
        <v>0</v>
      </c>
    </row>
    <row r="44" spans="3:39" x14ac:dyDescent="0.25">
      <c r="C44" s="244" t="str">
        <f>'Fare optimisation'!C105</f>
        <v>Ferry</v>
      </c>
      <c r="D44" s="173">
        <f>'Fare optimisation'!D105</f>
        <v>5</v>
      </c>
      <c r="E44" s="172" t="str">
        <f>'Fare optimisation'!E105</f>
        <v>Off-peak</v>
      </c>
      <c r="F44" s="173">
        <f>'General inputs'!C50</f>
        <v>22</v>
      </c>
      <c r="H44" s="169">
        <f>INDEX('MEC - public transport &amp; cars'!$E$296:$H$300,MATCH($C44,'MEC - public transport &amp; cars'!$C$296:$C$300,0),MATCH(H$18,'MEC - public transport &amp; cars'!$E$294:$H$294,0))*IF($E44=H$20,'General inputs'!$F$85,IF($C44=H$18,'General inputs'!$F$86,0))*IF($D44=H$19,1,0)</f>
        <v>0</v>
      </c>
      <c r="I44" s="169">
        <f>INDEX('MEC - public transport &amp; cars'!$E$296:$H$300,MATCH($C44,'MEC - public transport &amp; cars'!$C$296:$C$300,0),MATCH(I$18,'MEC - public transport &amp; cars'!$E$294:$H$294,0))*IF($E44=I$20,'General inputs'!$F$85,IF($C44=I$18,'General inputs'!$F$86,0))*IF($D44=I$19,1,0)</f>
        <v>0</v>
      </c>
      <c r="J44" s="169">
        <f>INDEX('MEC - public transport &amp; cars'!$E$296:$H$300,MATCH($C44,'MEC - public transport &amp; cars'!$C$296:$C$300,0),MATCH(J$18,'MEC - public transport &amp; cars'!$E$294:$H$294,0))*IF($E44=J$20,'General inputs'!$F$85,IF($C44=J$18,'General inputs'!$F$86,0))*IF($D44=J$19,1,0)</f>
        <v>0</v>
      </c>
      <c r="K44" s="169">
        <f>INDEX('MEC - public transport &amp; cars'!$E$296:$H$300,MATCH($C44,'MEC - public transport &amp; cars'!$C$296:$C$300,0),MATCH(K$18,'MEC - public transport &amp; cars'!$E$294:$H$294,0))*IF($E44=K$20,'General inputs'!$F$85,IF($C44=K$18,'General inputs'!$F$86,0))*IF($D44=K$19,1,0)</f>
        <v>0</v>
      </c>
      <c r="L44" s="169">
        <f>INDEX('MEC - public transport &amp; cars'!$E$296:$H$300,MATCH($C44,'MEC - public transport &amp; cars'!$C$296:$C$300,0),MATCH(L$18,'MEC - public transport &amp; cars'!$E$294:$H$294,0))*IF($E44=L$20,'General inputs'!$F$85,IF($C44=L$18,'General inputs'!$F$86,0))*IF($D44=L$19,1,0)</f>
        <v>0</v>
      </c>
      <c r="M44" s="169">
        <f>INDEX('MEC - public transport &amp; cars'!$E$296:$H$300,MATCH($C44,'MEC - public transport &amp; cars'!$C$296:$C$300,0),MATCH(M$18,'MEC - public transport &amp; cars'!$E$294:$H$294,0))*IF($E44=M$20,'General inputs'!$F$85,IF($C44=M$18,'General inputs'!$F$86,0))*IF($D44=M$19,1,0)</f>
        <v>0</v>
      </c>
      <c r="N44" s="169">
        <f>INDEX('MEC - public transport &amp; cars'!$E$296:$H$300,MATCH($C44,'MEC - public transport &amp; cars'!$C$296:$C$300,0),MATCH(N$18,'MEC - public transport &amp; cars'!$E$294:$H$294,0))*IF($E44=N$20,'General inputs'!$F$85,IF($C44=N$18,'General inputs'!$F$86,0))*IF($D44=N$19,1,0)</f>
        <v>0</v>
      </c>
      <c r="O44" s="169">
        <f>INDEX('MEC - public transport &amp; cars'!$E$296:$H$300,MATCH($C44,'MEC - public transport &amp; cars'!$C$296:$C$300,0),MATCH(O$18,'MEC - public transport &amp; cars'!$E$294:$H$294,0))*IF($E44=O$20,'General inputs'!$F$85,IF($C44=O$18,'General inputs'!$F$86,0))*IF($D44=O$19,1,0)</f>
        <v>0</v>
      </c>
      <c r="P44" s="169">
        <f>INDEX('MEC - public transport &amp; cars'!$E$296:$H$300,MATCH($C44,'MEC - public transport &amp; cars'!$C$296:$C$300,0),MATCH(P$18,'MEC - public transport &amp; cars'!$E$294:$H$294,0))*IF($E44=P$20,'General inputs'!$F$85,IF($C44=P$18,'General inputs'!$F$86,0))*IF($D44=P$19,1,0)</f>
        <v>0</v>
      </c>
      <c r="Q44" s="169">
        <f>INDEX('MEC - public transport &amp; cars'!$E$296:$H$300,MATCH($C44,'MEC - public transport &amp; cars'!$C$296:$C$300,0),MATCH(Q$18,'MEC - public transport &amp; cars'!$E$294:$H$294,0))*IF($E44=Q$20,'General inputs'!$F$85,IF($C44=Q$18,'General inputs'!$F$86,0))*IF($D44=Q$19,1,0)</f>
        <v>0</v>
      </c>
      <c r="R44" s="169">
        <f>INDEX('MEC - public transport &amp; cars'!$E$296:$H$300,MATCH($C44,'MEC - public transport &amp; cars'!$C$296:$C$300,0),MATCH(R$18,'MEC - public transport &amp; cars'!$E$294:$H$294,0))*IF($E44=R$20,'General inputs'!$F$85,IF($C44=R$18,'General inputs'!$F$86,0))*IF($D44=R$19,1,0)</f>
        <v>0</v>
      </c>
      <c r="S44" s="169">
        <f>INDEX('MEC - public transport &amp; cars'!$E$296:$H$300,MATCH($C44,'MEC - public transport &amp; cars'!$C$296:$C$300,0),MATCH(S$18,'MEC - public transport &amp; cars'!$E$294:$H$294,0))*IF($E44=S$20,'General inputs'!$F$85,IF($C44=S$18,'General inputs'!$F$86,0))*IF($D44=S$19,1,0)</f>
        <v>0</v>
      </c>
      <c r="T44" s="169">
        <f>INDEX('MEC - public transport &amp; cars'!$E$296:$H$300,MATCH($C44,'MEC - public transport &amp; cars'!$C$296:$C$300,0),MATCH(T$18,'MEC - public transport &amp; cars'!$E$294:$H$294,0))*IF($E44=T$20,'General inputs'!$F$85,IF($C44=T$18,'General inputs'!$F$86,0))*IF($D44=T$19,1,0)</f>
        <v>0</v>
      </c>
      <c r="U44" s="169">
        <f>INDEX('MEC - public transport &amp; cars'!$E$296:$H$300,MATCH($C44,'MEC - public transport &amp; cars'!$C$296:$C$300,0),MATCH(U$18,'MEC - public transport &amp; cars'!$E$294:$H$294,0))*IF($E44=U$20,'General inputs'!$F$85,IF($C44=U$18,'General inputs'!$F$86,0))*IF($D44=U$19,1,0)</f>
        <v>0</v>
      </c>
      <c r="V44" s="169">
        <f>INDEX('MEC - public transport &amp; cars'!$E$296:$H$300,MATCH($C44,'MEC - public transport &amp; cars'!$C$296:$C$300,0),MATCH(V$18,'MEC - public transport &amp; cars'!$E$294:$H$294,0))*IF($E44=V$20,'General inputs'!$F$85,IF($C44=V$18,'General inputs'!$F$86,0))*IF($D44=V$19,1,0)</f>
        <v>0</v>
      </c>
      <c r="W44" s="169">
        <f>INDEX('MEC - public transport &amp; cars'!$E$296:$H$300,MATCH($C44,'MEC - public transport &amp; cars'!$C$296:$C$300,0),MATCH(W$18,'MEC - public transport &amp; cars'!$E$294:$H$294,0))*IF($E44=W$20,'General inputs'!$F$85,IF($C44=W$18,'General inputs'!$F$86,0))*IF($D44=W$19,1,0)</f>
        <v>0</v>
      </c>
      <c r="X44" s="169">
        <f>INDEX('MEC - public transport &amp; cars'!$E$296:$H$300,MATCH($C44,'MEC - public transport &amp; cars'!$C$296:$C$300,0),MATCH(X$18,'MEC - public transport &amp; cars'!$E$294:$H$294,0))*IF($E44=X$20,'General inputs'!$F$85,IF($C44=X$18,'General inputs'!$F$86,0))*IF($D44=X$19,1,0)</f>
        <v>0</v>
      </c>
      <c r="Y44" s="169">
        <f>INDEX('MEC - public transport &amp; cars'!$E$296:$H$300,MATCH($C44,'MEC - public transport &amp; cars'!$C$296:$C$300,0),MATCH(Y$18,'MEC - public transport &amp; cars'!$E$294:$H$294,0))*IF($E44=Y$20,'General inputs'!$F$85,IF($C44=Y$18,'General inputs'!$F$86,0))*IF($D44=Y$19,1,0)</f>
        <v>-0.1</v>
      </c>
      <c r="Z44" s="169">
        <f>INDEX('MEC - public transport &amp; cars'!$E$296:$H$300,MATCH($C44,'MEC - public transport &amp; cars'!$C$296:$C$300,0),MATCH(Z$18,'MEC - public transport &amp; cars'!$E$294:$H$294,0))*IF($E44=Z$20,'General inputs'!$F$85,IF($C44=Z$18,'General inputs'!$F$86,0))*IF($D44=Z$19,1,0)</f>
        <v>0</v>
      </c>
      <c r="AA44" s="169">
        <f>INDEX('MEC - public transport &amp; cars'!$E$296:$H$300,MATCH($C44,'MEC - public transport &amp; cars'!$C$296:$C$300,0),MATCH(AA$18,'MEC - public transport &amp; cars'!$E$294:$H$294,0))*IF($E44=AA$20,'General inputs'!$F$85,IF($C44=AA$18,'General inputs'!$F$86,0))*IF($D44=AA$19,1,0)</f>
        <v>0</v>
      </c>
      <c r="AB44" s="169">
        <f>INDEX('MEC - public transport &amp; cars'!$E$296:$H$300,MATCH($C44,'MEC - public transport &amp; cars'!$C$296:$C$300,0),MATCH(AB$18,'MEC - public transport &amp; cars'!$E$294:$H$294,0))*IF($E44=AB$20,'General inputs'!$F$85,IF($C44=AB$18,'General inputs'!$F$86,0))*IF($D44=AB$19,1,0)</f>
        <v>0</v>
      </c>
      <c r="AC44" s="169">
        <f>INDEX('MEC - public transport &amp; cars'!$E$296:$H$300,MATCH($C44,'MEC - public transport &amp; cars'!$C$296:$C$300,0),MATCH(AC$18,'MEC - public transport &amp; cars'!$E$294:$H$294,0))*IF($E44=AC$20,'General inputs'!$F$85,IF($C44=AC$18,'General inputs'!$F$86,0))*IF($D44=AC$19,1,0)</f>
        <v>1</v>
      </c>
      <c r="AD44" s="169">
        <f>INDEX('MEC - public transport &amp; cars'!$E$296:$H$300,MATCH($C44,'MEC - public transport &amp; cars'!$C$296:$C$300,0),MATCH(AD$18,'MEC - public transport &amp; cars'!$E$294:$H$294,0))*IF($E44=AD$20,'General inputs'!$F$85,IF($C44=AD$18,'General inputs'!$F$86,0))*IF($D44=AD$19,1,0)</f>
        <v>0</v>
      </c>
      <c r="AE44" s="169">
        <f>INDEX('MEC - public transport &amp; cars'!$E$296:$H$300,MATCH($C44,'MEC - public transport &amp; cars'!$C$296:$C$300,0),MATCH(AE$18,'MEC - public transport &amp; cars'!$E$294:$H$294,0))*IF($E44=AE$20,'General inputs'!$F$85,IF($C44=AE$18,'General inputs'!$F$86,0))*IF($D44=AE$19,1,0)</f>
        <v>0</v>
      </c>
      <c r="AF44" s="169">
        <f>INDEX('MEC - public transport &amp; cars'!$E$296:$H$300,MATCH($C44,'MEC - public transport &amp; cars'!$C$296:$C$300,0),MATCH(AF$18,'MEC - public transport &amp; cars'!$E$294:$H$294,0))*IF($E44=AF$20,'General inputs'!$F$85,IF($C44=AF$18,'General inputs'!$F$86,0))*IF($D44=AF$19,1,0)</f>
        <v>0</v>
      </c>
      <c r="AG44" s="169">
        <f>INDEX('MEC - public transport &amp; cars'!$E$296:$H$300,MATCH($C44,'MEC - public transport &amp; cars'!$C$296:$C$300,0),MATCH(AG$18,'MEC - public transport &amp; cars'!$E$294:$H$294,0))*IF($E44=AG$20,'General inputs'!$F$85,IF($C44=AG$18,'General inputs'!$F$86,0))*IF($D44=AG$19,1,0)</f>
        <v>0</v>
      </c>
      <c r="AH44" s="169">
        <f>INDEX('MEC - public transport &amp; cars'!$E$296:$H$300,MATCH($C44,'MEC - public transport &amp; cars'!$C$296:$C$300,0),MATCH(AH$18,'MEC - public transport &amp; cars'!$E$294:$H$294,0))*IF($E44=AH$20,'General inputs'!$F$85,IF($C44=AH$18,'General inputs'!$F$86,0))*IF($D44=AH$19,1,0)</f>
        <v>0</v>
      </c>
      <c r="AI44" s="169">
        <f>INDEX('MEC - public transport &amp; cars'!$E$296:$H$300,MATCH($C44,'MEC - public transport &amp; cars'!$C$296:$C$300,0),MATCH(AI$18,'MEC - public transport &amp; cars'!$E$294:$H$294,0))*IF($E44=AI$20,'General inputs'!$F$85,IF($C44=AI$18,'General inputs'!$F$86,0))*IF($D44=AI$19,1,0)</f>
        <v>0</v>
      </c>
      <c r="AJ44" s="169">
        <f>INDEX('MEC - public transport &amp; cars'!$E$296:$H$300,MATCH($C44,'MEC - public transport &amp; cars'!$C$296:$C$300,0),MATCH(AJ$18,'MEC - public transport &amp; cars'!$E$294:$H$294,0))*IF($E44=AJ$20,'General inputs'!$F$85,IF($C44=AJ$18,'General inputs'!$F$86,0))*IF($D44=AJ$19,1,0)</f>
        <v>0</v>
      </c>
      <c r="AK44" s="169">
        <f>INDEX('MEC - public transport &amp; cars'!$E$296:$H$300,MATCH($C44,'MEC - public transport &amp; cars'!$C$296:$C$300,0),MATCH(AK$18,'MEC - public transport &amp; cars'!$E$294:$H$294,0))*IF($E44=AK$20,'General inputs'!$F$85,IF($C44=AK$18,'General inputs'!$F$86,0))*IF($D44=AK$19,1,0)</f>
        <v>0</v>
      </c>
      <c r="AL44" s="169">
        <f>INDEX('MEC - public transport &amp; cars'!$E$296:$H$300,MATCH($C44,'MEC - public transport &amp; cars'!$C$296:$C$300,0),MATCH(AL$18,'MEC - public transport &amp; cars'!$E$294:$H$294,0))*IF($E44=AL$20,'General inputs'!$F$85,IF($C44=AL$18,'General inputs'!$F$86,0))*IF($D44=AL$19,1,0)</f>
        <v>0</v>
      </c>
      <c r="AM44" s="227">
        <f>INDEX('MEC - public transport &amp; cars'!$E$296:$H$300,MATCH($C44,'MEC - public transport &amp; cars'!$C$296:$C$300,0),MATCH(AM$18,'MEC - public transport &amp; cars'!$E$294:$H$294,0))*IF($E44=AM$20,'General inputs'!$F$85,IF($C44=AM$18,'General inputs'!$F$86,0))*IF($D44=AM$19,1,0)</f>
        <v>0</v>
      </c>
    </row>
    <row r="45" spans="3:39" x14ac:dyDescent="0.25">
      <c r="C45" s="244" t="str">
        <f>'Fare optimisation'!C106</f>
        <v>Ferry</v>
      </c>
      <c r="D45" s="173">
        <f>'Fare optimisation'!D106</f>
        <v>15</v>
      </c>
      <c r="E45" s="172" t="str">
        <f>'Fare optimisation'!E106</f>
        <v>Off-peak</v>
      </c>
      <c r="F45" s="173">
        <f>'General inputs'!C51</f>
        <v>23</v>
      </c>
      <c r="H45" s="169">
        <f>INDEX('MEC - public transport &amp; cars'!$E$296:$H$300,MATCH($C45,'MEC - public transport &amp; cars'!$C$296:$C$300,0),MATCH(H$18,'MEC - public transport &amp; cars'!$E$294:$H$294,0))*IF($E45=H$20,'General inputs'!$F$85,IF($C45=H$18,'General inputs'!$F$86,0))*IF($D45=H$19,1,0)</f>
        <v>0</v>
      </c>
      <c r="I45" s="169">
        <f>INDEX('MEC - public transport &amp; cars'!$E$296:$H$300,MATCH($C45,'MEC - public transport &amp; cars'!$C$296:$C$300,0),MATCH(I$18,'MEC - public transport &amp; cars'!$E$294:$H$294,0))*IF($E45=I$20,'General inputs'!$F$85,IF($C45=I$18,'General inputs'!$F$86,0))*IF($D45=I$19,1,0)</f>
        <v>0</v>
      </c>
      <c r="J45" s="169">
        <f>INDEX('MEC - public transport &amp; cars'!$E$296:$H$300,MATCH($C45,'MEC - public transport &amp; cars'!$C$296:$C$300,0),MATCH(J$18,'MEC - public transport &amp; cars'!$E$294:$H$294,0))*IF($E45=J$20,'General inputs'!$F$85,IF($C45=J$18,'General inputs'!$F$86,0))*IF($D45=J$19,1,0)</f>
        <v>0</v>
      </c>
      <c r="K45" s="169">
        <f>INDEX('MEC - public transport &amp; cars'!$E$296:$H$300,MATCH($C45,'MEC - public transport &amp; cars'!$C$296:$C$300,0),MATCH(K$18,'MEC - public transport &amp; cars'!$E$294:$H$294,0))*IF($E45=K$20,'General inputs'!$F$85,IF($C45=K$18,'General inputs'!$F$86,0))*IF($D45=K$19,1,0)</f>
        <v>0</v>
      </c>
      <c r="L45" s="169">
        <f>INDEX('MEC - public transport &amp; cars'!$E$296:$H$300,MATCH($C45,'MEC - public transport &amp; cars'!$C$296:$C$300,0),MATCH(L$18,'MEC - public transport &amp; cars'!$E$294:$H$294,0))*IF($E45=L$20,'General inputs'!$F$85,IF($C45=L$18,'General inputs'!$F$86,0))*IF($D45=L$19,1,0)</f>
        <v>0</v>
      </c>
      <c r="M45" s="169">
        <f>INDEX('MEC - public transport &amp; cars'!$E$296:$H$300,MATCH($C45,'MEC - public transport &amp; cars'!$C$296:$C$300,0),MATCH(M$18,'MEC - public transport &amp; cars'!$E$294:$H$294,0))*IF($E45=M$20,'General inputs'!$F$85,IF($C45=M$18,'General inputs'!$F$86,0))*IF($D45=M$19,1,0)</f>
        <v>0</v>
      </c>
      <c r="N45" s="169">
        <f>INDEX('MEC - public transport &amp; cars'!$E$296:$H$300,MATCH($C45,'MEC - public transport &amp; cars'!$C$296:$C$300,0),MATCH(N$18,'MEC - public transport &amp; cars'!$E$294:$H$294,0))*IF($E45=N$20,'General inputs'!$F$85,IF($C45=N$18,'General inputs'!$F$86,0))*IF($D45=N$19,1,0)</f>
        <v>0</v>
      </c>
      <c r="O45" s="169">
        <f>INDEX('MEC - public transport &amp; cars'!$E$296:$H$300,MATCH($C45,'MEC - public transport &amp; cars'!$C$296:$C$300,0),MATCH(O$18,'MEC - public transport &amp; cars'!$E$294:$H$294,0))*IF($E45=O$20,'General inputs'!$F$85,IF($C45=O$18,'General inputs'!$F$86,0))*IF($D45=O$19,1,0)</f>
        <v>0</v>
      </c>
      <c r="P45" s="169">
        <f>INDEX('MEC - public transport &amp; cars'!$E$296:$H$300,MATCH($C45,'MEC - public transport &amp; cars'!$C$296:$C$300,0),MATCH(P$18,'MEC - public transport &amp; cars'!$E$294:$H$294,0))*IF($E45=P$20,'General inputs'!$F$85,IF($C45=P$18,'General inputs'!$F$86,0))*IF($D45=P$19,1,0)</f>
        <v>0</v>
      </c>
      <c r="Q45" s="169">
        <f>INDEX('MEC - public transport &amp; cars'!$E$296:$H$300,MATCH($C45,'MEC - public transport &amp; cars'!$C$296:$C$300,0),MATCH(Q$18,'MEC - public transport &amp; cars'!$E$294:$H$294,0))*IF($E45=Q$20,'General inputs'!$F$85,IF($C45=Q$18,'General inputs'!$F$86,0))*IF($D45=Q$19,1,0)</f>
        <v>0</v>
      </c>
      <c r="R45" s="169">
        <f>INDEX('MEC - public transport &amp; cars'!$E$296:$H$300,MATCH($C45,'MEC - public transport &amp; cars'!$C$296:$C$300,0),MATCH(R$18,'MEC - public transport &amp; cars'!$E$294:$H$294,0))*IF($E45=R$20,'General inputs'!$F$85,IF($C45=R$18,'General inputs'!$F$86,0))*IF($D45=R$19,1,0)</f>
        <v>0</v>
      </c>
      <c r="S45" s="169">
        <f>INDEX('MEC - public transport &amp; cars'!$E$296:$H$300,MATCH($C45,'MEC - public transport &amp; cars'!$C$296:$C$300,0),MATCH(S$18,'MEC - public transport &amp; cars'!$E$294:$H$294,0))*IF($E45=S$20,'General inputs'!$F$85,IF($C45=S$18,'General inputs'!$F$86,0))*IF($D45=S$19,1,0)</f>
        <v>0</v>
      </c>
      <c r="T45" s="169">
        <f>INDEX('MEC - public transport &amp; cars'!$E$296:$H$300,MATCH($C45,'MEC - public transport &amp; cars'!$C$296:$C$300,0),MATCH(T$18,'MEC - public transport &amp; cars'!$E$294:$H$294,0))*IF($E45=T$20,'General inputs'!$F$85,IF($C45=T$18,'General inputs'!$F$86,0))*IF($D45=T$19,1,0)</f>
        <v>0</v>
      </c>
      <c r="U45" s="169">
        <f>INDEX('MEC - public transport &amp; cars'!$E$296:$H$300,MATCH($C45,'MEC - public transport &amp; cars'!$C$296:$C$300,0),MATCH(U$18,'MEC - public transport &amp; cars'!$E$294:$H$294,0))*IF($E45=U$20,'General inputs'!$F$85,IF($C45=U$18,'General inputs'!$F$86,0))*IF($D45=U$19,1,0)</f>
        <v>0</v>
      </c>
      <c r="V45" s="169">
        <f>INDEX('MEC - public transport &amp; cars'!$E$296:$H$300,MATCH($C45,'MEC - public transport &amp; cars'!$C$296:$C$300,0),MATCH(V$18,'MEC - public transport &amp; cars'!$E$294:$H$294,0))*IF($E45=V$20,'General inputs'!$F$85,IF($C45=V$18,'General inputs'!$F$86,0))*IF($D45=V$19,1,0)</f>
        <v>0</v>
      </c>
      <c r="W45" s="169">
        <f>INDEX('MEC - public transport &amp; cars'!$E$296:$H$300,MATCH($C45,'MEC - public transport &amp; cars'!$C$296:$C$300,0),MATCH(W$18,'MEC - public transport &amp; cars'!$E$294:$H$294,0))*IF($E45=W$20,'General inputs'!$F$85,IF($C45=W$18,'General inputs'!$F$86,0))*IF($D45=W$19,1,0)</f>
        <v>0</v>
      </c>
      <c r="X45" s="169">
        <f>INDEX('MEC - public transport &amp; cars'!$E$296:$H$300,MATCH($C45,'MEC - public transport &amp; cars'!$C$296:$C$300,0),MATCH(X$18,'MEC - public transport &amp; cars'!$E$294:$H$294,0))*IF($E45=X$20,'General inputs'!$F$85,IF($C45=X$18,'General inputs'!$F$86,0))*IF($D45=X$19,1,0)</f>
        <v>0</v>
      </c>
      <c r="Y45" s="169">
        <f>INDEX('MEC - public transport &amp; cars'!$E$296:$H$300,MATCH($C45,'MEC - public transport &amp; cars'!$C$296:$C$300,0),MATCH(Y$18,'MEC - public transport &amp; cars'!$E$294:$H$294,0))*IF($E45=Y$20,'General inputs'!$F$85,IF($C45=Y$18,'General inputs'!$F$86,0))*IF($D45=Y$19,1,0)</f>
        <v>0</v>
      </c>
      <c r="Z45" s="169">
        <f>INDEX('MEC - public transport &amp; cars'!$E$296:$H$300,MATCH($C45,'MEC - public transport &amp; cars'!$C$296:$C$300,0),MATCH(Z$18,'MEC - public transport &amp; cars'!$E$294:$H$294,0))*IF($E45=Z$20,'General inputs'!$F$85,IF($C45=Z$18,'General inputs'!$F$86,0))*IF($D45=Z$19,1,0)</f>
        <v>-0.1</v>
      </c>
      <c r="AA45" s="169">
        <f>INDEX('MEC - public transport &amp; cars'!$E$296:$H$300,MATCH($C45,'MEC - public transport &amp; cars'!$C$296:$C$300,0),MATCH(AA$18,'MEC - public transport &amp; cars'!$E$294:$H$294,0))*IF($E45=AA$20,'General inputs'!$F$85,IF($C45=AA$18,'General inputs'!$F$86,0))*IF($D45=AA$19,1,0)</f>
        <v>0</v>
      </c>
      <c r="AB45" s="169">
        <f>INDEX('MEC - public transport &amp; cars'!$E$296:$H$300,MATCH($C45,'MEC - public transport &amp; cars'!$C$296:$C$300,0),MATCH(AB$18,'MEC - public transport &amp; cars'!$E$294:$H$294,0))*IF($E45=AB$20,'General inputs'!$F$85,IF($C45=AB$18,'General inputs'!$F$86,0))*IF($D45=AB$19,1,0)</f>
        <v>0</v>
      </c>
      <c r="AC45" s="169">
        <f>INDEX('MEC - public transport &amp; cars'!$E$296:$H$300,MATCH($C45,'MEC - public transport &amp; cars'!$C$296:$C$300,0),MATCH(AC$18,'MEC - public transport &amp; cars'!$E$294:$H$294,0))*IF($E45=AC$20,'General inputs'!$F$85,IF($C45=AC$18,'General inputs'!$F$86,0))*IF($D45=AC$19,1,0)</f>
        <v>0</v>
      </c>
      <c r="AD45" s="169">
        <f>INDEX('MEC - public transport &amp; cars'!$E$296:$H$300,MATCH($C45,'MEC - public transport &amp; cars'!$C$296:$C$300,0),MATCH(AD$18,'MEC - public transport &amp; cars'!$E$294:$H$294,0))*IF($E45=AD$20,'General inputs'!$F$85,IF($C45=AD$18,'General inputs'!$F$86,0))*IF($D45=AD$19,1,0)</f>
        <v>1</v>
      </c>
      <c r="AE45" s="169">
        <f>INDEX('MEC - public transport &amp; cars'!$E$296:$H$300,MATCH($C45,'MEC - public transport &amp; cars'!$C$296:$C$300,0),MATCH(AE$18,'MEC - public transport &amp; cars'!$E$294:$H$294,0))*IF($E45=AE$20,'General inputs'!$F$85,IF($C45=AE$18,'General inputs'!$F$86,0))*IF($D45=AE$19,1,0)</f>
        <v>0</v>
      </c>
      <c r="AF45" s="169">
        <f>INDEX('MEC - public transport &amp; cars'!$E$296:$H$300,MATCH($C45,'MEC - public transport &amp; cars'!$C$296:$C$300,0),MATCH(AF$18,'MEC - public transport &amp; cars'!$E$294:$H$294,0))*IF($E45=AF$20,'General inputs'!$F$85,IF($C45=AF$18,'General inputs'!$F$86,0))*IF($D45=AF$19,1,0)</f>
        <v>0</v>
      </c>
      <c r="AG45" s="169">
        <f>INDEX('MEC - public transport &amp; cars'!$E$296:$H$300,MATCH($C45,'MEC - public transport &amp; cars'!$C$296:$C$300,0),MATCH(AG$18,'MEC - public transport &amp; cars'!$E$294:$H$294,0))*IF($E45=AG$20,'General inputs'!$F$85,IF($C45=AG$18,'General inputs'!$F$86,0))*IF($D45=AG$19,1,0)</f>
        <v>0</v>
      </c>
      <c r="AH45" s="169">
        <f>INDEX('MEC - public transport &amp; cars'!$E$296:$H$300,MATCH($C45,'MEC - public transport &amp; cars'!$C$296:$C$300,0),MATCH(AH$18,'MEC - public transport &amp; cars'!$E$294:$H$294,0))*IF($E45=AH$20,'General inputs'!$F$85,IF($C45=AH$18,'General inputs'!$F$86,0))*IF($D45=AH$19,1,0)</f>
        <v>0</v>
      </c>
      <c r="AI45" s="169">
        <f>INDEX('MEC - public transport &amp; cars'!$E$296:$H$300,MATCH($C45,'MEC - public transport &amp; cars'!$C$296:$C$300,0),MATCH(AI$18,'MEC - public transport &amp; cars'!$E$294:$H$294,0))*IF($E45=AI$20,'General inputs'!$F$85,IF($C45=AI$18,'General inputs'!$F$86,0))*IF($D45=AI$19,1,0)</f>
        <v>0</v>
      </c>
      <c r="AJ45" s="169">
        <f>INDEX('MEC - public transport &amp; cars'!$E$296:$H$300,MATCH($C45,'MEC - public transport &amp; cars'!$C$296:$C$300,0),MATCH(AJ$18,'MEC - public transport &amp; cars'!$E$294:$H$294,0))*IF($E45=AJ$20,'General inputs'!$F$85,IF($C45=AJ$18,'General inputs'!$F$86,0))*IF($D45=AJ$19,1,0)</f>
        <v>0</v>
      </c>
      <c r="AK45" s="169">
        <f>INDEX('MEC - public transport &amp; cars'!$E$296:$H$300,MATCH($C45,'MEC - public transport &amp; cars'!$C$296:$C$300,0),MATCH(AK$18,'MEC - public transport &amp; cars'!$E$294:$H$294,0))*IF($E45=AK$20,'General inputs'!$F$85,IF($C45=AK$18,'General inputs'!$F$86,0))*IF($D45=AK$19,1,0)</f>
        <v>0</v>
      </c>
      <c r="AL45" s="169">
        <f>INDEX('MEC - public transport &amp; cars'!$E$296:$H$300,MATCH($C45,'MEC - public transport &amp; cars'!$C$296:$C$300,0),MATCH(AL$18,'MEC - public transport &amp; cars'!$E$294:$H$294,0))*IF($E45=AL$20,'General inputs'!$F$85,IF($C45=AL$18,'General inputs'!$F$86,0))*IF($D45=AL$19,1,0)</f>
        <v>0</v>
      </c>
      <c r="AM45" s="227">
        <f>INDEX('MEC - public transport &amp; cars'!$E$296:$H$300,MATCH($C45,'MEC - public transport &amp; cars'!$C$296:$C$300,0),MATCH(AM$18,'MEC - public transport &amp; cars'!$E$294:$H$294,0))*IF($E45=AM$20,'General inputs'!$F$85,IF($C45=AM$18,'General inputs'!$F$86,0))*IF($D45=AM$19,1,0)</f>
        <v>0</v>
      </c>
    </row>
    <row r="46" spans="3:39" x14ac:dyDescent="0.25">
      <c r="C46" s="244" t="str">
        <f>'Fare optimisation'!C107</f>
        <v>Ferry</v>
      </c>
      <c r="D46" s="173">
        <f>'Fare optimisation'!D107</f>
        <v>25</v>
      </c>
      <c r="E46" s="172" t="str">
        <f>'Fare optimisation'!E107</f>
        <v>Off-peak</v>
      </c>
      <c r="F46" s="173">
        <f>'General inputs'!C52</f>
        <v>24</v>
      </c>
      <c r="H46" s="169">
        <f>INDEX('MEC - public transport &amp; cars'!$E$296:$H$300,MATCH($C46,'MEC - public transport &amp; cars'!$C$296:$C$300,0),MATCH(H$18,'MEC - public transport &amp; cars'!$E$294:$H$294,0))*IF($E46=H$20,'General inputs'!$F$85,IF($C46=H$18,'General inputs'!$F$86,0))*IF($D46=H$19,1,0)</f>
        <v>0</v>
      </c>
      <c r="I46" s="169">
        <f>INDEX('MEC - public transport &amp; cars'!$E$296:$H$300,MATCH($C46,'MEC - public transport &amp; cars'!$C$296:$C$300,0),MATCH(I$18,'MEC - public transport &amp; cars'!$E$294:$H$294,0))*IF($E46=I$20,'General inputs'!$F$85,IF($C46=I$18,'General inputs'!$F$86,0))*IF($D46=I$19,1,0)</f>
        <v>0</v>
      </c>
      <c r="J46" s="169">
        <f>INDEX('MEC - public transport &amp; cars'!$E$296:$H$300,MATCH($C46,'MEC - public transport &amp; cars'!$C$296:$C$300,0),MATCH(J$18,'MEC - public transport &amp; cars'!$E$294:$H$294,0))*IF($E46=J$20,'General inputs'!$F$85,IF($C46=J$18,'General inputs'!$F$86,0))*IF($D46=J$19,1,0)</f>
        <v>0</v>
      </c>
      <c r="K46" s="169">
        <f>INDEX('MEC - public transport &amp; cars'!$E$296:$H$300,MATCH($C46,'MEC - public transport &amp; cars'!$C$296:$C$300,0),MATCH(K$18,'MEC - public transport &amp; cars'!$E$294:$H$294,0))*IF($E46=K$20,'General inputs'!$F$85,IF($C46=K$18,'General inputs'!$F$86,0))*IF($D46=K$19,1,0)</f>
        <v>0</v>
      </c>
      <c r="L46" s="169">
        <f>INDEX('MEC - public transport &amp; cars'!$E$296:$H$300,MATCH($C46,'MEC - public transport &amp; cars'!$C$296:$C$300,0),MATCH(L$18,'MEC - public transport &amp; cars'!$E$294:$H$294,0))*IF($E46=L$20,'General inputs'!$F$85,IF($C46=L$18,'General inputs'!$F$86,0))*IF($D46=L$19,1,0)</f>
        <v>0</v>
      </c>
      <c r="M46" s="169">
        <f>INDEX('MEC - public transport &amp; cars'!$E$296:$H$300,MATCH($C46,'MEC - public transport &amp; cars'!$C$296:$C$300,0),MATCH(M$18,'MEC - public transport &amp; cars'!$E$294:$H$294,0))*IF($E46=M$20,'General inputs'!$F$85,IF($C46=M$18,'General inputs'!$F$86,0))*IF($D46=M$19,1,0)</f>
        <v>0</v>
      </c>
      <c r="N46" s="169">
        <f>INDEX('MEC - public transport &amp; cars'!$E$296:$H$300,MATCH($C46,'MEC - public transport &amp; cars'!$C$296:$C$300,0),MATCH(N$18,'MEC - public transport &amp; cars'!$E$294:$H$294,0))*IF($E46=N$20,'General inputs'!$F$85,IF($C46=N$18,'General inputs'!$F$86,0))*IF($D46=N$19,1,0)</f>
        <v>0</v>
      </c>
      <c r="O46" s="169">
        <f>INDEX('MEC - public transport &amp; cars'!$E$296:$H$300,MATCH($C46,'MEC - public transport &amp; cars'!$C$296:$C$300,0),MATCH(O$18,'MEC - public transport &amp; cars'!$E$294:$H$294,0))*IF($E46=O$20,'General inputs'!$F$85,IF($C46=O$18,'General inputs'!$F$86,0))*IF($D46=O$19,1,0)</f>
        <v>0</v>
      </c>
      <c r="P46" s="169">
        <f>INDEX('MEC - public transport &amp; cars'!$E$296:$H$300,MATCH($C46,'MEC - public transport &amp; cars'!$C$296:$C$300,0),MATCH(P$18,'MEC - public transport &amp; cars'!$E$294:$H$294,0))*IF($E46=P$20,'General inputs'!$F$85,IF($C46=P$18,'General inputs'!$F$86,0))*IF($D46=P$19,1,0)</f>
        <v>0</v>
      </c>
      <c r="Q46" s="169">
        <f>INDEX('MEC - public transport &amp; cars'!$E$296:$H$300,MATCH($C46,'MEC - public transport &amp; cars'!$C$296:$C$300,0),MATCH(Q$18,'MEC - public transport &amp; cars'!$E$294:$H$294,0))*IF($E46=Q$20,'General inputs'!$F$85,IF($C46=Q$18,'General inputs'!$F$86,0))*IF($D46=Q$19,1,0)</f>
        <v>0</v>
      </c>
      <c r="R46" s="169">
        <f>INDEX('MEC - public transport &amp; cars'!$E$296:$H$300,MATCH($C46,'MEC - public transport &amp; cars'!$C$296:$C$300,0),MATCH(R$18,'MEC - public transport &amp; cars'!$E$294:$H$294,0))*IF($E46=R$20,'General inputs'!$F$85,IF($C46=R$18,'General inputs'!$F$86,0))*IF($D46=R$19,1,0)</f>
        <v>0</v>
      </c>
      <c r="S46" s="169">
        <f>INDEX('MEC - public transport &amp; cars'!$E$296:$H$300,MATCH($C46,'MEC - public transport &amp; cars'!$C$296:$C$300,0),MATCH(S$18,'MEC - public transport &amp; cars'!$E$294:$H$294,0))*IF($E46=S$20,'General inputs'!$F$85,IF($C46=S$18,'General inputs'!$F$86,0))*IF($D46=S$19,1,0)</f>
        <v>0</v>
      </c>
      <c r="T46" s="169">
        <f>INDEX('MEC - public transport &amp; cars'!$E$296:$H$300,MATCH($C46,'MEC - public transport &amp; cars'!$C$296:$C$300,0),MATCH(T$18,'MEC - public transport &amp; cars'!$E$294:$H$294,0))*IF($E46=T$20,'General inputs'!$F$85,IF($C46=T$18,'General inputs'!$F$86,0))*IF($D46=T$19,1,0)</f>
        <v>0</v>
      </c>
      <c r="U46" s="169">
        <f>INDEX('MEC - public transport &amp; cars'!$E$296:$H$300,MATCH($C46,'MEC - public transport &amp; cars'!$C$296:$C$300,0),MATCH(U$18,'MEC - public transport &amp; cars'!$E$294:$H$294,0))*IF($E46=U$20,'General inputs'!$F$85,IF($C46=U$18,'General inputs'!$F$86,0))*IF($D46=U$19,1,0)</f>
        <v>0</v>
      </c>
      <c r="V46" s="169">
        <f>INDEX('MEC - public transport &amp; cars'!$E$296:$H$300,MATCH($C46,'MEC - public transport &amp; cars'!$C$296:$C$300,0),MATCH(V$18,'MEC - public transport &amp; cars'!$E$294:$H$294,0))*IF($E46=V$20,'General inputs'!$F$85,IF($C46=V$18,'General inputs'!$F$86,0))*IF($D46=V$19,1,0)</f>
        <v>0</v>
      </c>
      <c r="W46" s="169">
        <f>INDEX('MEC - public transport &amp; cars'!$E$296:$H$300,MATCH($C46,'MEC - public transport &amp; cars'!$C$296:$C$300,0),MATCH(W$18,'MEC - public transport &amp; cars'!$E$294:$H$294,0))*IF($E46=W$20,'General inputs'!$F$85,IF($C46=W$18,'General inputs'!$F$86,0))*IF($D46=W$19,1,0)</f>
        <v>0</v>
      </c>
      <c r="X46" s="169">
        <f>INDEX('MEC - public transport &amp; cars'!$E$296:$H$300,MATCH($C46,'MEC - public transport &amp; cars'!$C$296:$C$300,0),MATCH(X$18,'MEC - public transport &amp; cars'!$E$294:$H$294,0))*IF($E46=X$20,'General inputs'!$F$85,IF($C46=X$18,'General inputs'!$F$86,0))*IF($D46=X$19,1,0)</f>
        <v>0</v>
      </c>
      <c r="Y46" s="169">
        <f>INDEX('MEC - public transport &amp; cars'!$E$296:$H$300,MATCH($C46,'MEC - public transport &amp; cars'!$C$296:$C$300,0),MATCH(Y$18,'MEC - public transport &amp; cars'!$E$294:$H$294,0))*IF($E46=Y$20,'General inputs'!$F$85,IF($C46=Y$18,'General inputs'!$F$86,0))*IF($D46=Y$19,1,0)</f>
        <v>0</v>
      </c>
      <c r="Z46" s="169">
        <f>INDEX('MEC - public transport &amp; cars'!$E$296:$H$300,MATCH($C46,'MEC - public transport &amp; cars'!$C$296:$C$300,0),MATCH(Z$18,'MEC - public transport &amp; cars'!$E$294:$H$294,0))*IF($E46=Z$20,'General inputs'!$F$85,IF($C46=Z$18,'General inputs'!$F$86,0))*IF($D46=Z$19,1,0)</f>
        <v>0</v>
      </c>
      <c r="AA46" s="169">
        <f>INDEX('MEC - public transport &amp; cars'!$E$296:$H$300,MATCH($C46,'MEC - public transport &amp; cars'!$C$296:$C$300,0),MATCH(AA$18,'MEC - public transport &amp; cars'!$E$294:$H$294,0))*IF($E46=AA$20,'General inputs'!$F$85,IF($C46=AA$18,'General inputs'!$F$86,0))*IF($D46=AA$19,1,0)</f>
        <v>-0.1</v>
      </c>
      <c r="AB46" s="169">
        <f>INDEX('MEC - public transport &amp; cars'!$E$296:$H$300,MATCH($C46,'MEC - public transport &amp; cars'!$C$296:$C$300,0),MATCH(AB$18,'MEC - public transport &amp; cars'!$E$294:$H$294,0))*IF($E46=AB$20,'General inputs'!$F$85,IF($C46=AB$18,'General inputs'!$F$86,0))*IF($D46=AB$19,1,0)</f>
        <v>0</v>
      </c>
      <c r="AC46" s="169">
        <f>INDEX('MEC - public transport &amp; cars'!$E$296:$H$300,MATCH($C46,'MEC - public transport &amp; cars'!$C$296:$C$300,0),MATCH(AC$18,'MEC - public transport &amp; cars'!$E$294:$H$294,0))*IF($E46=AC$20,'General inputs'!$F$85,IF($C46=AC$18,'General inputs'!$F$86,0))*IF($D46=AC$19,1,0)</f>
        <v>0</v>
      </c>
      <c r="AD46" s="169">
        <f>INDEX('MEC - public transport &amp; cars'!$E$296:$H$300,MATCH($C46,'MEC - public transport &amp; cars'!$C$296:$C$300,0),MATCH(AD$18,'MEC - public transport &amp; cars'!$E$294:$H$294,0))*IF($E46=AD$20,'General inputs'!$F$85,IF($C46=AD$18,'General inputs'!$F$86,0))*IF($D46=AD$19,1,0)</f>
        <v>0</v>
      </c>
      <c r="AE46" s="169">
        <f>INDEX('MEC - public transport &amp; cars'!$E$296:$H$300,MATCH($C46,'MEC - public transport &amp; cars'!$C$296:$C$300,0),MATCH(AE$18,'MEC - public transport &amp; cars'!$E$294:$H$294,0))*IF($E46=AE$20,'General inputs'!$F$85,IF($C46=AE$18,'General inputs'!$F$86,0))*IF($D46=AE$19,1,0)</f>
        <v>1</v>
      </c>
      <c r="AF46" s="169">
        <f>INDEX('MEC - public transport &amp; cars'!$E$296:$H$300,MATCH($C46,'MEC - public transport &amp; cars'!$C$296:$C$300,0),MATCH(AF$18,'MEC - public transport &amp; cars'!$E$294:$H$294,0))*IF($E46=AF$20,'General inputs'!$F$85,IF($C46=AF$18,'General inputs'!$F$86,0))*IF($D46=AF$19,1,0)</f>
        <v>0</v>
      </c>
      <c r="AG46" s="169">
        <f>INDEX('MEC - public transport &amp; cars'!$E$296:$H$300,MATCH($C46,'MEC - public transport &amp; cars'!$C$296:$C$300,0),MATCH(AG$18,'MEC - public transport &amp; cars'!$E$294:$H$294,0))*IF($E46=AG$20,'General inputs'!$F$85,IF($C46=AG$18,'General inputs'!$F$86,0))*IF($D46=AG$19,1,0)</f>
        <v>0</v>
      </c>
      <c r="AH46" s="169">
        <f>INDEX('MEC - public transport &amp; cars'!$E$296:$H$300,MATCH($C46,'MEC - public transport &amp; cars'!$C$296:$C$300,0),MATCH(AH$18,'MEC - public transport &amp; cars'!$E$294:$H$294,0))*IF($E46=AH$20,'General inputs'!$F$85,IF($C46=AH$18,'General inputs'!$F$86,0))*IF($D46=AH$19,1,0)</f>
        <v>0</v>
      </c>
      <c r="AI46" s="169">
        <f>INDEX('MEC - public transport &amp; cars'!$E$296:$H$300,MATCH($C46,'MEC - public transport &amp; cars'!$C$296:$C$300,0),MATCH(AI$18,'MEC - public transport &amp; cars'!$E$294:$H$294,0))*IF($E46=AI$20,'General inputs'!$F$85,IF($C46=AI$18,'General inputs'!$F$86,0))*IF($D46=AI$19,1,0)</f>
        <v>0</v>
      </c>
      <c r="AJ46" s="169">
        <f>INDEX('MEC - public transport &amp; cars'!$E$296:$H$300,MATCH($C46,'MEC - public transport &amp; cars'!$C$296:$C$300,0),MATCH(AJ$18,'MEC - public transport &amp; cars'!$E$294:$H$294,0))*IF($E46=AJ$20,'General inputs'!$F$85,IF($C46=AJ$18,'General inputs'!$F$86,0))*IF($D46=AJ$19,1,0)</f>
        <v>0</v>
      </c>
      <c r="AK46" s="169">
        <f>INDEX('MEC - public transport &amp; cars'!$E$296:$H$300,MATCH($C46,'MEC - public transport &amp; cars'!$C$296:$C$300,0),MATCH(AK$18,'MEC - public transport &amp; cars'!$E$294:$H$294,0))*IF($E46=AK$20,'General inputs'!$F$85,IF($C46=AK$18,'General inputs'!$F$86,0))*IF($D46=AK$19,1,0)</f>
        <v>0</v>
      </c>
      <c r="AL46" s="169">
        <f>INDEX('MEC - public transport &amp; cars'!$E$296:$H$300,MATCH($C46,'MEC - public transport &amp; cars'!$C$296:$C$300,0),MATCH(AL$18,'MEC - public transport &amp; cars'!$E$294:$H$294,0))*IF($E46=AL$20,'General inputs'!$F$85,IF($C46=AL$18,'General inputs'!$F$86,0))*IF($D46=AL$19,1,0)</f>
        <v>0</v>
      </c>
      <c r="AM46" s="227">
        <f>INDEX('MEC - public transport &amp; cars'!$E$296:$H$300,MATCH($C46,'MEC - public transport &amp; cars'!$C$296:$C$300,0),MATCH(AM$18,'MEC - public transport &amp; cars'!$E$294:$H$294,0))*IF($E46=AM$20,'General inputs'!$F$85,IF($C46=AM$18,'General inputs'!$F$86,0))*IF($D46=AM$19,1,0)</f>
        <v>0</v>
      </c>
    </row>
    <row r="47" spans="3:39" x14ac:dyDescent="0.25">
      <c r="C47" s="244" t="str">
        <f>'Fare optimisation'!C108</f>
        <v>Light Rail</v>
      </c>
      <c r="D47" s="173">
        <f>'Fare optimisation'!D108</f>
        <v>2</v>
      </c>
      <c r="E47" s="172" t="str">
        <f>'Fare optimisation'!E108</f>
        <v>Peak</v>
      </c>
      <c r="F47" s="173">
        <f>'General inputs'!C53</f>
        <v>25</v>
      </c>
      <c r="H47" s="169">
        <f>INDEX('MEC - public transport &amp; cars'!$E$296:$H$300,MATCH($C47,'MEC - public transport &amp; cars'!$C$296:$C$300,0),MATCH(H$18,'MEC - public transport &amp; cars'!$E$294:$H$294,0))*IF($E47=H$20,'General inputs'!$F$85,IF($C47=H$18,'General inputs'!$F$86,0))*IF($D47=H$19,1,0)</f>
        <v>0</v>
      </c>
      <c r="I47" s="169">
        <f>INDEX('MEC - public transport &amp; cars'!$E$296:$H$300,MATCH($C47,'MEC - public transport &amp; cars'!$C$296:$C$300,0),MATCH(I$18,'MEC - public transport &amp; cars'!$E$294:$H$294,0))*IF($E47=I$20,'General inputs'!$F$85,IF($C47=I$18,'General inputs'!$F$86,0))*IF($D47=I$19,1,0)</f>
        <v>0</v>
      </c>
      <c r="J47" s="169">
        <f>INDEX('MEC - public transport &amp; cars'!$E$296:$H$300,MATCH($C47,'MEC - public transport &amp; cars'!$C$296:$C$300,0),MATCH(J$18,'MEC - public transport &amp; cars'!$E$294:$H$294,0))*IF($E47=J$20,'General inputs'!$F$85,IF($C47=J$18,'General inputs'!$F$86,0))*IF($D47=J$19,1,0)</f>
        <v>0</v>
      </c>
      <c r="K47" s="169">
        <f>INDEX('MEC - public transport &amp; cars'!$E$296:$H$300,MATCH($C47,'MEC - public transport &amp; cars'!$C$296:$C$300,0),MATCH(K$18,'MEC - public transport &amp; cars'!$E$294:$H$294,0))*IF($E47=K$20,'General inputs'!$F$85,IF($C47=K$18,'General inputs'!$F$86,0))*IF($D47=K$19,1,0)</f>
        <v>0</v>
      </c>
      <c r="L47" s="169">
        <f>INDEX('MEC - public transport &amp; cars'!$E$296:$H$300,MATCH($C47,'MEC - public transport &amp; cars'!$C$296:$C$300,0),MATCH(L$18,'MEC - public transport &amp; cars'!$E$294:$H$294,0))*IF($E47=L$20,'General inputs'!$F$85,IF($C47=L$18,'General inputs'!$F$86,0))*IF($D47=L$19,1,0)</f>
        <v>0</v>
      </c>
      <c r="M47" s="169">
        <f>INDEX('MEC - public transport &amp; cars'!$E$296:$H$300,MATCH($C47,'MEC - public transport &amp; cars'!$C$296:$C$300,0),MATCH(M$18,'MEC - public transport &amp; cars'!$E$294:$H$294,0))*IF($E47=M$20,'General inputs'!$F$85,IF($C47=M$18,'General inputs'!$F$86,0))*IF($D47=M$19,1,0)</f>
        <v>0</v>
      </c>
      <c r="N47" s="169">
        <f>INDEX('MEC - public transport &amp; cars'!$E$296:$H$300,MATCH($C47,'MEC - public transport &amp; cars'!$C$296:$C$300,0),MATCH(N$18,'MEC - public transport &amp; cars'!$E$294:$H$294,0))*IF($E47=N$20,'General inputs'!$F$85,IF($C47=N$18,'General inputs'!$F$86,0))*IF($D47=N$19,1,0)</f>
        <v>0</v>
      </c>
      <c r="O47" s="169">
        <f>INDEX('MEC - public transport &amp; cars'!$E$296:$H$300,MATCH($C47,'MEC - public transport &amp; cars'!$C$296:$C$300,0),MATCH(O$18,'MEC - public transport &amp; cars'!$E$294:$H$294,0))*IF($E47=O$20,'General inputs'!$F$85,IF($C47=O$18,'General inputs'!$F$86,0))*IF($D47=O$19,1,0)</f>
        <v>0</v>
      </c>
      <c r="P47" s="169">
        <f>INDEX('MEC - public transport &amp; cars'!$E$296:$H$300,MATCH($C47,'MEC - public transport &amp; cars'!$C$296:$C$300,0),MATCH(P$18,'MEC - public transport &amp; cars'!$E$294:$H$294,0))*IF($E47=P$20,'General inputs'!$F$85,IF($C47=P$18,'General inputs'!$F$86,0))*IF($D47=P$19,1,0)</f>
        <v>0</v>
      </c>
      <c r="Q47" s="169">
        <f>INDEX('MEC - public transport &amp; cars'!$E$296:$H$300,MATCH($C47,'MEC - public transport &amp; cars'!$C$296:$C$300,0),MATCH(Q$18,'MEC - public transport &amp; cars'!$E$294:$H$294,0))*IF($E47=Q$20,'General inputs'!$F$85,IF($C47=Q$18,'General inputs'!$F$86,0))*IF($D47=Q$19,1,0)</f>
        <v>0</v>
      </c>
      <c r="R47" s="169">
        <f>INDEX('MEC - public transport &amp; cars'!$E$296:$H$300,MATCH($C47,'MEC - public transport &amp; cars'!$C$296:$C$300,0),MATCH(R$18,'MEC - public transport &amp; cars'!$E$294:$H$294,0))*IF($E47=R$20,'General inputs'!$F$85,IF($C47=R$18,'General inputs'!$F$86,0))*IF($D47=R$19,1,0)</f>
        <v>0</v>
      </c>
      <c r="S47" s="169">
        <f>INDEX('MEC - public transport &amp; cars'!$E$296:$H$300,MATCH($C47,'MEC - public transport &amp; cars'!$C$296:$C$300,0),MATCH(S$18,'MEC - public transport &amp; cars'!$E$294:$H$294,0))*IF($E47=S$20,'General inputs'!$F$85,IF($C47=S$18,'General inputs'!$F$86,0))*IF($D47=S$19,1,0)</f>
        <v>0</v>
      </c>
      <c r="T47" s="169">
        <f>INDEX('MEC - public transport &amp; cars'!$E$296:$H$300,MATCH($C47,'MEC - public transport &amp; cars'!$C$296:$C$300,0),MATCH(T$18,'MEC - public transport &amp; cars'!$E$294:$H$294,0))*IF($E47=T$20,'General inputs'!$F$85,IF($C47=T$18,'General inputs'!$F$86,0))*IF($D47=T$19,1,0)</f>
        <v>0</v>
      </c>
      <c r="U47" s="169">
        <f>INDEX('MEC - public transport &amp; cars'!$E$296:$H$300,MATCH($C47,'MEC - public transport &amp; cars'!$C$296:$C$300,0),MATCH(U$18,'MEC - public transport &amp; cars'!$E$294:$H$294,0))*IF($E47=U$20,'General inputs'!$F$85,IF($C47=U$18,'General inputs'!$F$86,0))*IF($D47=U$19,1,0)</f>
        <v>0</v>
      </c>
      <c r="V47" s="169">
        <f>INDEX('MEC - public transport &amp; cars'!$E$296:$H$300,MATCH($C47,'MEC - public transport &amp; cars'!$C$296:$C$300,0),MATCH(V$18,'MEC - public transport &amp; cars'!$E$294:$H$294,0))*IF($E47=V$20,'General inputs'!$F$85,IF($C47=V$18,'General inputs'!$F$86,0))*IF($D47=V$19,1,0)</f>
        <v>0</v>
      </c>
      <c r="W47" s="169">
        <f>INDEX('MEC - public transport &amp; cars'!$E$296:$H$300,MATCH($C47,'MEC - public transport &amp; cars'!$C$296:$C$300,0),MATCH(W$18,'MEC - public transport &amp; cars'!$E$294:$H$294,0))*IF($E47=W$20,'General inputs'!$F$85,IF($C47=W$18,'General inputs'!$F$86,0))*IF($D47=W$19,1,0)</f>
        <v>0</v>
      </c>
      <c r="X47" s="169">
        <f>INDEX('MEC - public transport &amp; cars'!$E$296:$H$300,MATCH($C47,'MEC - public transport &amp; cars'!$C$296:$C$300,0),MATCH(X$18,'MEC - public transport &amp; cars'!$E$294:$H$294,0))*IF($E47=X$20,'General inputs'!$F$85,IF($C47=X$18,'General inputs'!$F$86,0))*IF($D47=X$19,1,0)</f>
        <v>0</v>
      </c>
      <c r="Y47" s="169">
        <f>INDEX('MEC - public transport &amp; cars'!$E$296:$H$300,MATCH($C47,'MEC - public transport &amp; cars'!$C$296:$C$300,0),MATCH(Y$18,'MEC - public transport &amp; cars'!$E$294:$H$294,0))*IF($E47=Y$20,'General inputs'!$F$85,IF($C47=Y$18,'General inputs'!$F$86,0))*IF($D47=Y$19,1,0)</f>
        <v>0</v>
      </c>
      <c r="Z47" s="169">
        <f>INDEX('MEC - public transport &amp; cars'!$E$296:$H$300,MATCH($C47,'MEC - public transport &amp; cars'!$C$296:$C$300,0),MATCH(Z$18,'MEC - public transport &amp; cars'!$E$294:$H$294,0))*IF($E47=Z$20,'General inputs'!$F$85,IF($C47=Z$18,'General inputs'!$F$86,0))*IF($D47=Z$19,1,0)</f>
        <v>0</v>
      </c>
      <c r="AA47" s="169">
        <f>INDEX('MEC - public transport &amp; cars'!$E$296:$H$300,MATCH($C47,'MEC - public transport &amp; cars'!$C$296:$C$300,0),MATCH(AA$18,'MEC - public transport &amp; cars'!$E$294:$H$294,0))*IF($E47=AA$20,'General inputs'!$F$85,IF($C47=AA$18,'General inputs'!$F$86,0))*IF($D47=AA$19,1,0)</f>
        <v>0</v>
      </c>
      <c r="AB47" s="169">
        <f>INDEX('MEC - public transport &amp; cars'!$E$296:$H$300,MATCH($C47,'MEC - public transport &amp; cars'!$C$296:$C$300,0),MATCH(AB$18,'MEC - public transport &amp; cars'!$E$294:$H$294,0))*IF($E47=AB$20,'General inputs'!$F$85,IF($C47=AB$18,'General inputs'!$F$86,0))*IF($D47=AB$19,1,0)</f>
        <v>0</v>
      </c>
      <c r="AC47" s="169">
        <f>INDEX('MEC - public transport &amp; cars'!$E$296:$H$300,MATCH($C47,'MEC - public transport &amp; cars'!$C$296:$C$300,0),MATCH(AC$18,'MEC - public transport &amp; cars'!$E$294:$H$294,0))*IF($E47=AC$20,'General inputs'!$F$85,IF($C47=AC$18,'General inputs'!$F$86,0))*IF($D47=AC$19,1,0)</f>
        <v>0</v>
      </c>
      <c r="AD47" s="169">
        <f>INDEX('MEC - public transport &amp; cars'!$E$296:$H$300,MATCH($C47,'MEC - public transport &amp; cars'!$C$296:$C$300,0),MATCH(AD$18,'MEC - public transport &amp; cars'!$E$294:$H$294,0))*IF($E47=AD$20,'General inputs'!$F$85,IF($C47=AD$18,'General inputs'!$F$86,0))*IF($D47=AD$19,1,0)</f>
        <v>0</v>
      </c>
      <c r="AE47" s="169">
        <f>INDEX('MEC - public transport &amp; cars'!$E$296:$H$300,MATCH($C47,'MEC - public transport &amp; cars'!$C$296:$C$300,0),MATCH(AE$18,'MEC - public transport &amp; cars'!$E$294:$H$294,0))*IF($E47=AE$20,'General inputs'!$F$85,IF($C47=AE$18,'General inputs'!$F$86,0))*IF($D47=AE$19,1,0)</f>
        <v>0</v>
      </c>
      <c r="AF47" s="169">
        <f>INDEX('MEC - public transport &amp; cars'!$E$296:$H$300,MATCH($C47,'MEC - public transport &amp; cars'!$C$296:$C$300,0),MATCH(AF$18,'MEC - public transport &amp; cars'!$E$294:$H$294,0))*IF($E47=AF$20,'General inputs'!$F$85,IF($C47=AF$18,'General inputs'!$F$86,0))*IF($D47=AF$19,1,0)</f>
        <v>1</v>
      </c>
      <c r="AG47" s="169">
        <f>INDEX('MEC - public transport &amp; cars'!$E$296:$H$300,MATCH($C47,'MEC - public transport &amp; cars'!$C$296:$C$300,0),MATCH(AG$18,'MEC - public transport &amp; cars'!$E$294:$H$294,0))*IF($E47=AG$20,'General inputs'!$F$85,IF($C47=AG$18,'General inputs'!$F$86,0))*IF($D47=AG$19,1,0)</f>
        <v>0</v>
      </c>
      <c r="AH47" s="169">
        <f>INDEX('MEC - public transport &amp; cars'!$E$296:$H$300,MATCH($C47,'MEC - public transport &amp; cars'!$C$296:$C$300,0),MATCH(AH$18,'MEC - public transport &amp; cars'!$E$294:$H$294,0))*IF($E47=AH$20,'General inputs'!$F$85,IF($C47=AH$18,'General inputs'!$F$86,0))*IF($D47=AH$19,1,0)</f>
        <v>0</v>
      </c>
      <c r="AI47" s="169">
        <f>INDEX('MEC - public transport &amp; cars'!$E$296:$H$300,MATCH($C47,'MEC - public transport &amp; cars'!$C$296:$C$300,0),MATCH(AI$18,'MEC - public transport &amp; cars'!$E$294:$H$294,0))*IF($E47=AI$20,'General inputs'!$F$85,IF($C47=AI$18,'General inputs'!$F$86,0))*IF($D47=AI$19,1,0)</f>
        <v>0</v>
      </c>
      <c r="AJ47" s="169">
        <f>INDEX('MEC - public transport &amp; cars'!$E$296:$H$300,MATCH($C47,'MEC - public transport &amp; cars'!$C$296:$C$300,0),MATCH(AJ$18,'MEC - public transport &amp; cars'!$E$294:$H$294,0))*IF($E47=AJ$20,'General inputs'!$F$85,IF($C47=AJ$18,'General inputs'!$F$86,0))*IF($D47=AJ$19,1,0)</f>
        <v>-0.1</v>
      </c>
      <c r="AK47" s="169">
        <f>INDEX('MEC - public transport &amp; cars'!$E$296:$H$300,MATCH($C47,'MEC - public transport &amp; cars'!$C$296:$C$300,0),MATCH(AK$18,'MEC - public transport &amp; cars'!$E$294:$H$294,0))*IF($E47=AK$20,'General inputs'!$F$85,IF($C47=AK$18,'General inputs'!$F$86,0))*IF($D47=AK$19,1,0)</f>
        <v>0</v>
      </c>
      <c r="AL47" s="169">
        <f>INDEX('MEC - public transport &amp; cars'!$E$296:$H$300,MATCH($C47,'MEC - public transport &amp; cars'!$C$296:$C$300,0),MATCH(AL$18,'MEC - public transport &amp; cars'!$E$294:$H$294,0))*IF($E47=AL$20,'General inputs'!$F$85,IF($C47=AL$18,'General inputs'!$F$86,0))*IF($D47=AL$19,1,0)</f>
        <v>0</v>
      </c>
      <c r="AM47" s="227">
        <f>INDEX('MEC - public transport &amp; cars'!$E$296:$H$300,MATCH($C47,'MEC - public transport &amp; cars'!$C$296:$C$300,0),MATCH(AM$18,'MEC - public transport &amp; cars'!$E$294:$H$294,0))*IF($E47=AM$20,'General inputs'!$F$85,IF($C47=AM$18,'General inputs'!$F$86,0))*IF($D47=AM$19,1,0)</f>
        <v>0</v>
      </c>
    </row>
    <row r="48" spans="3:39" x14ac:dyDescent="0.25">
      <c r="C48" s="244" t="str">
        <f>'Fare optimisation'!C109</f>
        <v>Light Rail</v>
      </c>
      <c r="D48" s="173">
        <f>'Fare optimisation'!D109</f>
        <v>5</v>
      </c>
      <c r="E48" s="172" t="str">
        <f>'Fare optimisation'!E109</f>
        <v>Peak</v>
      </c>
      <c r="F48" s="173">
        <f>'General inputs'!C54</f>
        <v>26</v>
      </c>
      <c r="H48" s="169">
        <f>INDEX('MEC - public transport &amp; cars'!$E$296:$H$300,MATCH($C48,'MEC - public transport &amp; cars'!$C$296:$C$300,0),MATCH(H$18,'MEC - public transport &amp; cars'!$E$294:$H$294,0))*IF($E48=H$20,'General inputs'!$F$85,IF($C48=H$18,'General inputs'!$F$86,0))*IF($D48=H$19,1,0)</f>
        <v>0</v>
      </c>
      <c r="I48" s="169">
        <f>INDEX('MEC - public transport &amp; cars'!$E$296:$H$300,MATCH($C48,'MEC - public transport &amp; cars'!$C$296:$C$300,0),MATCH(I$18,'MEC - public transport &amp; cars'!$E$294:$H$294,0))*IF($E48=I$20,'General inputs'!$F$85,IF($C48=I$18,'General inputs'!$F$86,0))*IF($D48=I$19,1,0)</f>
        <v>0</v>
      </c>
      <c r="J48" s="169">
        <f>INDEX('MEC - public transport &amp; cars'!$E$296:$H$300,MATCH($C48,'MEC - public transport &amp; cars'!$C$296:$C$300,0),MATCH(J$18,'MEC - public transport &amp; cars'!$E$294:$H$294,0))*IF($E48=J$20,'General inputs'!$F$85,IF($C48=J$18,'General inputs'!$F$86,0))*IF($D48=J$19,1,0)</f>
        <v>0</v>
      </c>
      <c r="K48" s="169">
        <f>INDEX('MEC - public transport &amp; cars'!$E$296:$H$300,MATCH($C48,'MEC - public transport &amp; cars'!$C$296:$C$300,0),MATCH(K$18,'MEC - public transport &amp; cars'!$E$294:$H$294,0))*IF($E48=K$20,'General inputs'!$F$85,IF($C48=K$18,'General inputs'!$F$86,0))*IF($D48=K$19,1,0)</f>
        <v>0</v>
      </c>
      <c r="L48" s="169">
        <f>INDEX('MEC - public transport &amp; cars'!$E$296:$H$300,MATCH($C48,'MEC - public transport &amp; cars'!$C$296:$C$300,0),MATCH(L$18,'MEC - public transport &amp; cars'!$E$294:$H$294,0))*IF($E48=L$20,'General inputs'!$F$85,IF($C48=L$18,'General inputs'!$F$86,0))*IF($D48=L$19,1,0)</f>
        <v>0</v>
      </c>
      <c r="M48" s="169">
        <f>INDEX('MEC - public transport &amp; cars'!$E$296:$H$300,MATCH($C48,'MEC - public transport &amp; cars'!$C$296:$C$300,0),MATCH(M$18,'MEC - public transport &amp; cars'!$E$294:$H$294,0))*IF($E48=M$20,'General inputs'!$F$85,IF($C48=M$18,'General inputs'!$F$86,0))*IF($D48=M$19,1,0)</f>
        <v>0</v>
      </c>
      <c r="N48" s="169">
        <f>INDEX('MEC - public transport &amp; cars'!$E$296:$H$300,MATCH($C48,'MEC - public transport &amp; cars'!$C$296:$C$300,0),MATCH(N$18,'MEC - public transport &amp; cars'!$E$294:$H$294,0))*IF($E48=N$20,'General inputs'!$F$85,IF($C48=N$18,'General inputs'!$F$86,0))*IF($D48=N$19,1,0)</f>
        <v>0</v>
      </c>
      <c r="O48" s="169">
        <f>INDEX('MEC - public transport &amp; cars'!$E$296:$H$300,MATCH($C48,'MEC - public transport &amp; cars'!$C$296:$C$300,0),MATCH(O$18,'MEC - public transport &amp; cars'!$E$294:$H$294,0))*IF($E48=O$20,'General inputs'!$F$85,IF($C48=O$18,'General inputs'!$F$86,0))*IF($D48=O$19,1,0)</f>
        <v>0</v>
      </c>
      <c r="P48" s="169">
        <f>INDEX('MEC - public transport &amp; cars'!$E$296:$H$300,MATCH($C48,'MEC - public transport &amp; cars'!$C$296:$C$300,0),MATCH(P$18,'MEC - public transport &amp; cars'!$E$294:$H$294,0))*IF($E48=P$20,'General inputs'!$F$85,IF($C48=P$18,'General inputs'!$F$86,0))*IF($D48=P$19,1,0)</f>
        <v>0</v>
      </c>
      <c r="Q48" s="169">
        <f>INDEX('MEC - public transport &amp; cars'!$E$296:$H$300,MATCH($C48,'MEC - public transport &amp; cars'!$C$296:$C$300,0),MATCH(Q$18,'MEC - public transport &amp; cars'!$E$294:$H$294,0))*IF($E48=Q$20,'General inputs'!$F$85,IF($C48=Q$18,'General inputs'!$F$86,0))*IF($D48=Q$19,1,0)</f>
        <v>0</v>
      </c>
      <c r="R48" s="169">
        <f>INDEX('MEC - public transport &amp; cars'!$E$296:$H$300,MATCH($C48,'MEC - public transport &amp; cars'!$C$296:$C$300,0),MATCH(R$18,'MEC - public transport &amp; cars'!$E$294:$H$294,0))*IF($E48=R$20,'General inputs'!$F$85,IF($C48=R$18,'General inputs'!$F$86,0))*IF($D48=R$19,1,0)</f>
        <v>0</v>
      </c>
      <c r="S48" s="169">
        <f>INDEX('MEC - public transport &amp; cars'!$E$296:$H$300,MATCH($C48,'MEC - public transport &amp; cars'!$C$296:$C$300,0),MATCH(S$18,'MEC - public transport &amp; cars'!$E$294:$H$294,0))*IF($E48=S$20,'General inputs'!$F$85,IF($C48=S$18,'General inputs'!$F$86,0))*IF($D48=S$19,1,0)</f>
        <v>0</v>
      </c>
      <c r="T48" s="169">
        <f>INDEX('MEC - public transport &amp; cars'!$E$296:$H$300,MATCH($C48,'MEC - public transport &amp; cars'!$C$296:$C$300,0),MATCH(T$18,'MEC - public transport &amp; cars'!$E$294:$H$294,0))*IF($E48=T$20,'General inputs'!$F$85,IF($C48=T$18,'General inputs'!$F$86,0))*IF($D48=T$19,1,0)</f>
        <v>0</v>
      </c>
      <c r="U48" s="169">
        <f>INDEX('MEC - public transport &amp; cars'!$E$296:$H$300,MATCH($C48,'MEC - public transport &amp; cars'!$C$296:$C$300,0),MATCH(U$18,'MEC - public transport &amp; cars'!$E$294:$H$294,0))*IF($E48=U$20,'General inputs'!$F$85,IF($C48=U$18,'General inputs'!$F$86,0))*IF($D48=U$19,1,0)</f>
        <v>0</v>
      </c>
      <c r="V48" s="169">
        <f>INDEX('MEC - public transport &amp; cars'!$E$296:$H$300,MATCH($C48,'MEC - public transport &amp; cars'!$C$296:$C$300,0),MATCH(V$18,'MEC - public transport &amp; cars'!$E$294:$H$294,0))*IF($E48=V$20,'General inputs'!$F$85,IF($C48=V$18,'General inputs'!$F$86,0))*IF($D48=V$19,1,0)</f>
        <v>0</v>
      </c>
      <c r="W48" s="169">
        <f>INDEX('MEC - public transport &amp; cars'!$E$296:$H$300,MATCH($C48,'MEC - public transport &amp; cars'!$C$296:$C$300,0),MATCH(W$18,'MEC - public transport &amp; cars'!$E$294:$H$294,0))*IF($E48=W$20,'General inputs'!$F$85,IF($C48=W$18,'General inputs'!$F$86,0))*IF($D48=W$19,1,0)</f>
        <v>0</v>
      </c>
      <c r="X48" s="169">
        <f>INDEX('MEC - public transport &amp; cars'!$E$296:$H$300,MATCH($C48,'MEC - public transport &amp; cars'!$C$296:$C$300,0),MATCH(X$18,'MEC - public transport &amp; cars'!$E$294:$H$294,0))*IF($E48=X$20,'General inputs'!$F$85,IF($C48=X$18,'General inputs'!$F$86,0))*IF($D48=X$19,1,0)</f>
        <v>0</v>
      </c>
      <c r="Y48" s="169">
        <f>INDEX('MEC - public transport &amp; cars'!$E$296:$H$300,MATCH($C48,'MEC - public transport &amp; cars'!$C$296:$C$300,0),MATCH(Y$18,'MEC - public transport &amp; cars'!$E$294:$H$294,0))*IF($E48=Y$20,'General inputs'!$F$85,IF($C48=Y$18,'General inputs'!$F$86,0))*IF($D48=Y$19,1,0)</f>
        <v>0</v>
      </c>
      <c r="Z48" s="169">
        <f>INDEX('MEC - public transport &amp; cars'!$E$296:$H$300,MATCH($C48,'MEC - public transport &amp; cars'!$C$296:$C$300,0),MATCH(Z$18,'MEC - public transport &amp; cars'!$E$294:$H$294,0))*IF($E48=Z$20,'General inputs'!$F$85,IF($C48=Z$18,'General inputs'!$F$86,0))*IF($D48=Z$19,1,0)</f>
        <v>0</v>
      </c>
      <c r="AA48" s="169">
        <f>INDEX('MEC - public transport &amp; cars'!$E$296:$H$300,MATCH($C48,'MEC - public transport &amp; cars'!$C$296:$C$300,0),MATCH(AA$18,'MEC - public transport &amp; cars'!$E$294:$H$294,0))*IF($E48=AA$20,'General inputs'!$F$85,IF($C48=AA$18,'General inputs'!$F$86,0))*IF($D48=AA$19,1,0)</f>
        <v>0</v>
      </c>
      <c r="AB48" s="169">
        <f>INDEX('MEC - public transport &amp; cars'!$E$296:$H$300,MATCH($C48,'MEC - public transport &amp; cars'!$C$296:$C$300,0),MATCH(AB$18,'MEC - public transport &amp; cars'!$E$294:$H$294,0))*IF($E48=AB$20,'General inputs'!$F$85,IF($C48=AB$18,'General inputs'!$F$86,0))*IF($D48=AB$19,1,0)</f>
        <v>0</v>
      </c>
      <c r="AC48" s="169">
        <f>INDEX('MEC - public transport &amp; cars'!$E$296:$H$300,MATCH($C48,'MEC - public transport &amp; cars'!$C$296:$C$300,0),MATCH(AC$18,'MEC - public transport &amp; cars'!$E$294:$H$294,0))*IF($E48=AC$20,'General inputs'!$F$85,IF($C48=AC$18,'General inputs'!$F$86,0))*IF($D48=AC$19,1,0)</f>
        <v>0</v>
      </c>
      <c r="AD48" s="169">
        <f>INDEX('MEC - public transport &amp; cars'!$E$296:$H$300,MATCH($C48,'MEC - public transport &amp; cars'!$C$296:$C$300,0),MATCH(AD$18,'MEC - public transport &amp; cars'!$E$294:$H$294,0))*IF($E48=AD$20,'General inputs'!$F$85,IF($C48=AD$18,'General inputs'!$F$86,0))*IF($D48=AD$19,1,0)</f>
        <v>0</v>
      </c>
      <c r="AE48" s="169">
        <f>INDEX('MEC - public transport &amp; cars'!$E$296:$H$300,MATCH($C48,'MEC - public transport &amp; cars'!$C$296:$C$300,0),MATCH(AE$18,'MEC - public transport &amp; cars'!$E$294:$H$294,0))*IF($E48=AE$20,'General inputs'!$F$85,IF($C48=AE$18,'General inputs'!$F$86,0))*IF($D48=AE$19,1,0)</f>
        <v>0</v>
      </c>
      <c r="AF48" s="169">
        <f>INDEX('MEC - public transport &amp; cars'!$E$296:$H$300,MATCH($C48,'MEC - public transport &amp; cars'!$C$296:$C$300,0),MATCH(AF$18,'MEC - public transport &amp; cars'!$E$294:$H$294,0))*IF($E48=AF$20,'General inputs'!$F$85,IF($C48=AF$18,'General inputs'!$F$86,0))*IF($D48=AF$19,1,0)</f>
        <v>0</v>
      </c>
      <c r="AG48" s="169">
        <f>INDEX('MEC - public transport &amp; cars'!$E$296:$H$300,MATCH($C48,'MEC - public transport &amp; cars'!$C$296:$C$300,0),MATCH(AG$18,'MEC - public transport &amp; cars'!$E$294:$H$294,0))*IF($E48=AG$20,'General inputs'!$F$85,IF($C48=AG$18,'General inputs'!$F$86,0))*IF($D48=AG$19,1,0)</f>
        <v>1</v>
      </c>
      <c r="AH48" s="169">
        <f>INDEX('MEC - public transport &amp; cars'!$E$296:$H$300,MATCH($C48,'MEC - public transport &amp; cars'!$C$296:$C$300,0),MATCH(AH$18,'MEC - public transport &amp; cars'!$E$294:$H$294,0))*IF($E48=AH$20,'General inputs'!$F$85,IF($C48=AH$18,'General inputs'!$F$86,0))*IF($D48=AH$19,1,0)</f>
        <v>0</v>
      </c>
      <c r="AI48" s="169">
        <f>INDEX('MEC - public transport &amp; cars'!$E$296:$H$300,MATCH($C48,'MEC - public transport &amp; cars'!$C$296:$C$300,0),MATCH(AI$18,'MEC - public transport &amp; cars'!$E$294:$H$294,0))*IF($E48=AI$20,'General inputs'!$F$85,IF($C48=AI$18,'General inputs'!$F$86,0))*IF($D48=AI$19,1,0)</f>
        <v>0</v>
      </c>
      <c r="AJ48" s="169">
        <f>INDEX('MEC - public transport &amp; cars'!$E$296:$H$300,MATCH($C48,'MEC - public transport &amp; cars'!$C$296:$C$300,0),MATCH(AJ$18,'MEC - public transport &amp; cars'!$E$294:$H$294,0))*IF($E48=AJ$20,'General inputs'!$F$85,IF($C48=AJ$18,'General inputs'!$F$86,0))*IF($D48=AJ$19,1,0)</f>
        <v>0</v>
      </c>
      <c r="AK48" s="169">
        <f>INDEX('MEC - public transport &amp; cars'!$E$296:$H$300,MATCH($C48,'MEC - public transport &amp; cars'!$C$296:$C$300,0),MATCH(AK$18,'MEC - public transport &amp; cars'!$E$294:$H$294,0))*IF($E48=AK$20,'General inputs'!$F$85,IF($C48=AK$18,'General inputs'!$F$86,0))*IF($D48=AK$19,1,0)</f>
        <v>-0.1</v>
      </c>
      <c r="AL48" s="169">
        <f>INDEX('MEC - public transport &amp; cars'!$E$296:$H$300,MATCH($C48,'MEC - public transport &amp; cars'!$C$296:$C$300,0),MATCH(AL$18,'MEC - public transport &amp; cars'!$E$294:$H$294,0))*IF($E48=AL$20,'General inputs'!$F$85,IF($C48=AL$18,'General inputs'!$F$86,0))*IF($D48=AL$19,1,0)</f>
        <v>0</v>
      </c>
      <c r="AM48" s="227">
        <f>INDEX('MEC - public transport &amp; cars'!$E$296:$H$300,MATCH($C48,'MEC - public transport &amp; cars'!$C$296:$C$300,0),MATCH(AM$18,'MEC - public transport &amp; cars'!$E$294:$H$294,0))*IF($E48=AM$20,'General inputs'!$F$85,IF($C48=AM$18,'General inputs'!$F$86,0))*IF($D48=AM$19,1,0)</f>
        <v>0</v>
      </c>
    </row>
    <row r="49" spans="3:39" x14ac:dyDescent="0.25">
      <c r="C49" s="244" t="str">
        <f>'Fare optimisation'!C110</f>
        <v>Light Rail</v>
      </c>
      <c r="D49" s="173">
        <f>'Fare optimisation'!D110</f>
        <v>15</v>
      </c>
      <c r="E49" s="172" t="str">
        <f>'Fare optimisation'!E110</f>
        <v>Peak</v>
      </c>
      <c r="F49" s="173">
        <f>'General inputs'!C55</f>
        <v>27</v>
      </c>
      <c r="H49" s="169">
        <f>INDEX('MEC - public transport &amp; cars'!$E$296:$H$300,MATCH($C49,'MEC - public transport &amp; cars'!$C$296:$C$300,0),MATCH(H$18,'MEC - public transport &amp; cars'!$E$294:$H$294,0))*IF($E49=H$20,'General inputs'!$F$85,IF($C49=H$18,'General inputs'!$F$86,0))*IF($D49=H$19,1,0)</f>
        <v>0</v>
      </c>
      <c r="I49" s="169">
        <f>INDEX('MEC - public transport &amp; cars'!$E$296:$H$300,MATCH($C49,'MEC - public transport &amp; cars'!$C$296:$C$300,0),MATCH(I$18,'MEC - public transport &amp; cars'!$E$294:$H$294,0))*IF($E49=I$20,'General inputs'!$F$85,IF($C49=I$18,'General inputs'!$F$86,0))*IF($D49=I$19,1,0)</f>
        <v>0</v>
      </c>
      <c r="J49" s="169">
        <f>INDEX('MEC - public transport &amp; cars'!$E$296:$H$300,MATCH($C49,'MEC - public transport &amp; cars'!$C$296:$C$300,0),MATCH(J$18,'MEC - public transport &amp; cars'!$E$294:$H$294,0))*IF($E49=J$20,'General inputs'!$F$85,IF($C49=J$18,'General inputs'!$F$86,0))*IF($D49=J$19,1,0)</f>
        <v>0</v>
      </c>
      <c r="K49" s="169">
        <f>INDEX('MEC - public transport &amp; cars'!$E$296:$H$300,MATCH($C49,'MEC - public transport &amp; cars'!$C$296:$C$300,0),MATCH(K$18,'MEC - public transport &amp; cars'!$E$294:$H$294,0))*IF($E49=K$20,'General inputs'!$F$85,IF($C49=K$18,'General inputs'!$F$86,0))*IF($D49=K$19,1,0)</f>
        <v>0</v>
      </c>
      <c r="L49" s="169">
        <f>INDEX('MEC - public transport &amp; cars'!$E$296:$H$300,MATCH($C49,'MEC - public transport &amp; cars'!$C$296:$C$300,0),MATCH(L$18,'MEC - public transport &amp; cars'!$E$294:$H$294,0))*IF($E49=L$20,'General inputs'!$F$85,IF($C49=L$18,'General inputs'!$F$86,0))*IF($D49=L$19,1,0)</f>
        <v>0</v>
      </c>
      <c r="M49" s="169">
        <f>INDEX('MEC - public transport &amp; cars'!$E$296:$H$300,MATCH($C49,'MEC - public transport &amp; cars'!$C$296:$C$300,0),MATCH(M$18,'MEC - public transport &amp; cars'!$E$294:$H$294,0))*IF($E49=M$20,'General inputs'!$F$85,IF($C49=M$18,'General inputs'!$F$86,0))*IF($D49=M$19,1,0)</f>
        <v>0</v>
      </c>
      <c r="N49" s="169">
        <f>INDEX('MEC - public transport &amp; cars'!$E$296:$H$300,MATCH($C49,'MEC - public transport &amp; cars'!$C$296:$C$300,0),MATCH(N$18,'MEC - public transport &amp; cars'!$E$294:$H$294,0))*IF($E49=N$20,'General inputs'!$F$85,IF($C49=N$18,'General inputs'!$F$86,0))*IF($D49=N$19,1,0)</f>
        <v>0</v>
      </c>
      <c r="O49" s="169">
        <f>INDEX('MEC - public transport &amp; cars'!$E$296:$H$300,MATCH($C49,'MEC - public transport &amp; cars'!$C$296:$C$300,0),MATCH(O$18,'MEC - public transport &amp; cars'!$E$294:$H$294,0))*IF($E49=O$20,'General inputs'!$F$85,IF($C49=O$18,'General inputs'!$F$86,0))*IF($D49=O$19,1,0)</f>
        <v>0</v>
      </c>
      <c r="P49" s="169">
        <f>INDEX('MEC - public transport &amp; cars'!$E$296:$H$300,MATCH($C49,'MEC - public transport &amp; cars'!$C$296:$C$300,0),MATCH(P$18,'MEC - public transport &amp; cars'!$E$294:$H$294,0))*IF($E49=P$20,'General inputs'!$F$85,IF($C49=P$18,'General inputs'!$F$86,0))*IF($D49=P$19,1,0)</f>
        <v>0</v>
      </c>
      <c r="Q49" s="169">
        <f>INDEX('MEC - public transport &amp; cars'!$E$296:$H$300,MATCH($C49,'MEC - public transport &amp; cars'!$C$296:$C$300,0),MATCH(Q$18,'MEC - public transport &amp; cars'!$E$294:$H$294,0))*IF($E49=Q$20,'General inputs'!$F$85,IF($C49=Q$18,'General inputs'!$F$86,0))*IF($D49=Q$19,1,0)</f>
        <v>0</v>
      </c>
      <c r="R49" s="169">
        <f>INDEX('MEC - public transport &amp; cars'!$E$296:$H$300,MATCH($C49,'MEC - public transport &amp; cars'!$C$296:$C$300,0),MATCH(R$18,'MEC - public transport &amp; cars'!$E$294:$H$294,0))*IF($E49=R$20,'General inputs'!$F$85,IF($C49=R$18,'General inputs'!$F$86,0))*IF($D49=R$19,1,0)</f>
        <v>0</v>
      </c>
      <c r="S49" s="169">
        <f>INDEX('MEC - public transport &amp; cars'!$E$296:$H$300,MATCH($C49,'MEC - public transport &amp; cars'!$C$296:$C$300,0),MATCH(S$18,'MEC - public transport &amp; cars'!$E$294:$H$294,0))*IF($E49=S$20,'General inputs'!$F$85,IF($C49=S$18,'General inputs'!$F$86,0))*IF($D49=S$19,1,0)</f>
        <v>0</v>
      </c>
      <c r="T49" s="169">
        <f>INDEX('MEC - public transport &amp; cars'!$E$296:$H$300,MATCH($C49,'MEC - public transport &amp; cars'!$C$296:$C$300,0),MATCH(T$18,'MEC - public transport &amp; cars'!$E$294:$H$294,0))*IF($E49=T$20,'General inputs'!$F$85,IF($C49=T$18,'General inputs'!$F$86,0))*IF($D49=T$19,1,0)</f>
        <v>0</v>
      </c>
      <c r="U49" s="169">
        <f>INDEX('MEC - public transport &amp; cars'!$E$296:$H$300,MATCH($C49,'MEC - public transport &amp; cars'!$C$296:$C$300,0),MATCH(U$18,'MEC - public transport &amp; cars'!$E$294:$H$294,0))*IF($E49=U$20,'General inputs'!$F$85,IF($C49=U$18,'General inputs'!$F$86,0))*IF($D49=U$19,1,0)</f>
        <v>0</v>
      </c>
      <c r="V49" s="169">
        <f>INDEX('MEC - public transport &amp; cars'!$E$296:$H$300,MATCH($C49,'MEC - public transport &amp; cars'!$C$296:$C$300,0),MATCH(V$18,'MEC - public transport &amp; cars'!$E$294:$H$294,0))*IF($E49=V$20,'General inputs'!$F$85,IF($C49=V$18,'General inputs'!$F$86,0))*IF($D49=V$19,1,0)</f>
        <v>0</v>
      </c>
      <c r="W49" s="169">
        <f>INDEX('MEC - public transport &amp; cars'!$E$296:$H$300,MATCH($C49,'MEC - public transport &amp; cars'!$C$296:$C$300,0),MATCH(W$18,'MEC - public transport &amp; cars'!$E$294:$H$294,0))*IF($E49=W$20,'General inputs'!$F$85,IF($C49=W$18,'General inputs'!$F$86,0))*IF($D49=W$19,1,0)</f>
        <v>0</v>
      </c>
      <c r="X49" s="169">
        <f>INDEX('MEC - public transport &amp; cars'!$E$296:$H$300,MATCH($C49,'MEC - public transport &amp; cars'!$C$296:$C$300,0),MATCH(X$18,'MEC - public transport &amp; cars'!$E$294:$H$294,0))*IF($E49=X$20,'General inputs'!$F$85,IF($C49=X$18,'General inputs'!$F$86,0))*IF($D49=X$19,1,0)</f>
        <v>0</v>
      </c>
      <c r="Y49" s="169">
        <f>INDEX('MEC - public transport &amp; cars'!$E$296:$H$300,MATCH($C49,'MEC - public transport &amp; cars'!$C$296:$C$300,0),MATCH(Y$18,'MEC - public transport &amp; cars'!$E$294:$H$294,0))*IF($E49=Y$20,'General inputs'!$F$85,IF($C49=Y$18,'General inputs'!$F$86,0))*IF($D49=Y$19,1,0)</f>
        <v>0</v>
      </c>
      <c r="Z49" s="169">
        <f>INDEX('MEC - public transport &amp; cars'!$E$296:$H$300,MATCH($C49,'MEC - public transport &amp; cars'!$C$296:$C$300,0),MATCH(Z$18,'MEC - public transport &amp; cars'!$E$294:$H$294,0))*IF($E49=Z$20,'General inputs'!$F$85,IF($C49=Z$18,'General inputs'!$F$86,0))*IF($D49=Z$19,1,0)</f>
        <v>0</v>
      </c>
      <c r="AA49" s="169">
        <f>INDEX('MEC - public transport &amp; cars'!$E$296:$H$300,MATCH($C49,'MEC - public transport &amp; cars'!$C$296:$C$300,0),MATCH(AA$18,'MEC - public transport &amp; cars'!$E$294:$H$294,0))*IF($E49=AA$20,'General inputs'!$F$85,IF($C49=AA$18,'General inputs'!$F$86,0))*IF($D49=AA$19,1,0)</f>
        <v>0</v>
      </c>
      <c r="AB49" s="169">
        <f>INDEX('MEC - public transport &amp; cars'!$E$296:$H$300,MATCH($C49,'MEC - public transport &amp; cars'!$C$296:$C$300,0),MATCH(AB$18,'MEC - public transport &amp; cars'!$E$294:$H$294,0))*IF($E49=AB$20,'General inputs'!$F$85,IF($C49=AB$18,'General inputs'!$F$86,0))*IF($D49=AB$19,1,0)</f>
        <v>0</v>
      </c>
      <c r="AC49" s="169">
        <f>INDEX('MEC - public transport &amp; cars'!$E$296:$H$300,MATCH($C49,'MEC - public transport &amp; cars'!$C$296:$C$300,0),MATCH(AC$18,'MEC - public transport &amp; cars'!$E$294:$H$294,0))*IF($E49=AC$20,'General inputs'!$F$85,IF($C49=AC$18,'General inputs'!$F$86,0))*IF($D49=AC$19,1,0)</f>
        <v>0</v>
      </c>
      <c r="AD49" s="169">
        <f>INDEX('MEC - public transport &amp; cars'!$E$296:$H$300,MATCH($C49,'MEC - public transport &amp; cars'!$C$296:$C$300,0),MATCH(AD$18,'MEC - public transport &amp; cars'!$E$294:$H$294,0))*IF($E49=AD$20,'General inputs'!$F$85,IF($C49=AD$18,'General inputs'!$F$86,0))*IF($D49=AD$19,1,0)</f>
        <v>0</v>
      </c>
      <c r="AE49" s="169">
        <f>INDEX('MEC - public transport &amp; cars'!$E$296:$H$300,MATCH($C49,'MEC - public transport &amp; cars'!$C$296:$C$300,0),MATCH(AE$18,'MEC - public transport &amp; cars'!$E$294:$H$294,0))*IF($E49=AE$20,'General inputs'!$F$85,IF($C49=AE$18,'General inputs'!$F$86,0))*IF($D49=AE$19,1,0)</f>
        <v>0</v>
      </c>
      <c r="AF49" s="169">
        <f>INDEX('MEC - public transport &amp; cars'!$E$296:$H$300,MATCH($C49,'MEC - public transport &amp; cars'!$C$296:$C$300,0),MATCH(AF$18,'MEC - public transport &amp; cars'!$E$294:$H$294,0))*IF($E49=AF$20,'General inputs'!$F$85,IF($C49=AF$18,'General inputs'!$F$86,0))*IF($D49=AF$19,1,0)</f>
        <v>0</v>
      </c>
      <c r="AG49" s="169">
        <f>INDEX('MEC - public transport &amp; cars'!$E$296:$H$300,MATCH($C49,'MEC - public transport &amp; cars'!$C$296:$C$300,0),MATCH(AG$18,'MEC - public transport &amp; cars'!$E$294:$H$294,0))*IF($E49=AG$20,'General inputs'!$F$85,IF($C49=AG$18,'General inputs'!$F$86,0))*IF($D49=AG$19,1,0)</f>
        <v>0</v>
      </c>
      <c r="AH49" s="169">
        <f>INDEX('MEC - public transport &amp; cars'!$E$296:$H$300,MATCH($C49,'MEC - public transport &amp; cars'!$C$296:$C$300,0),MATCH(AH$18,'MEC - public transport &amp; cars'!$E$294:$H$294,0))*IF($E49=AH$20,'General inputs'!$F$85,IF($C49=AH$18,'General inputs'!$F$86,0))*IF($D49=AH$19,1,0)</f>
        <v>1</v>
      </c>
      <c r="AI49" s="169">
        <f>INDEX('MEC - public transport &amp; cars'!$E$296:$H$300,MATCH($C49,'MEC - public transport &amp; cars'!$C$296:$C$300,0),MATCH(AI$18,'MEC - public transport &amp; cars'!$E$294:$H$294,0))*IF($E49=AI$20,'General inputs'!$F$85,IF($C49=AI$18,'General inputs'!$F$86,0))*IF($D49=AI$19,1,0)</f>
        <v>0</v>
      </c>
      <c r="AJ49" s="169">
        <f>INDEX('MEC - public transport &amp; cars'!$E$296:$H$300,MATCH($C49,'MEC - public transport &amp; cars'!$C$296:$C$300,0),MATCH(AJ$18,'MEC - public transport &amp; cars'!$E$294:$H$294,0))*IF($E49=AJ$20,'General inputs'!$F$85,IF($C49=AJ$18,'General inputs'!$F$86,0))*IF($D49=AJ$19,1,0)</f>
        <v>0</v>
      </c>
      <c r="AK49" s="169">
        <f>INDEX('MEC - public transport &amp; cars'!$E$296:$H$300,MATCH($C49,'MEC - public transport &amp; cars'!$C$296:$C$300,0),MATCH(AK$18,'MEC - public transport &amp; cars'!$E$294:$H$294,0))*IF($E49=AK$20,'General inputs'!$F$85,IF($C49=AK$18,'General inputs'!$F$86,0))*IF($D49=AK$19,1,0)</f>
        <v>0</v>
      </c>
      <c r="AL49" s="169">
        <f>INDEX('MEC - public transport &amp; cars'!$E$296:$H$300,MATCH($C49,'MEC - public transport &amp; cars'!$C$296:$C$300,0),MATCH(AL$18,'MEC - public transport &amp; cars'!$E$294:$H$294,0))*IF($E49=AL$20,'General inputs'!$F$85,IF($C49=AL$18,'General inputs'!$F$86,0))*IF($D49=AL$19,1,0)</f>
        <v>-0.1</v>
      </c>
      <c r="AM49" s="227">
        <f>INDEX('MEC - public transport &amp; cars'!$E$296:$H$300,MATCH($C49,'MEC - public transport &amp; cars'!$C$296:$C$300,0),MATCH(AM$18,'MEC - public transport &amp; cars'!$E$294:$H$294,0))*IF($E49=AM$20,'General inputs'!$F$85,IF($C49=AM$18,'General inputs'!$F$86,0))*IF($D49=AM$19,1,0)</f>
        <v>0</v>
      </c>
    </row>
    <row r="50" spans="3:39" x14ac:dyDescent="0.25">
      <c r="C50" s="244" t="str">
        <f>'Fare optimisation'!C111</f>
        <v>Light Rail</v>
      </c>
      <c r="D50" s="173">
        <f>'Fare optimisation'!D111</f>
        <v>25</v>
      </c>
      <c r="E50" s="172" t="str">
        <f>'Fare optimisation'!E111</f>
        <v>Peak</v>
      </c>
      <c r="F50" s="173">
        <f>'General inputs'!C56</f>
        <v>28</v>
      </c>
      <c r="H50" s="169">
        <f>INDEX('MEC - public transport &amp; cars'!$E$296:$H$300,MATCH($C50,'MEC - public transport &amp; cars'!$C$296:$C$300,0),MATCH(H$18,'MEC - public transport &amp; cars'!$E$294:$H$294,0))*IF($E50=H$20,'General inputs'!$F$85,IF($C50=H$18,'General inputs'!$F$86,0))*IF($D50=H$19,1,0)</f>
        <v>0</v>
      </c>
      <c r="I50" s="169">
        <f>INDEX('MEC - public transport &amp; cars'!$E$296:$H$300,MATCH($C50,'MEC - public transport &amp; cars'!$C$296:$C$300,0),MATCH(I$18,'MEC - public transport &amp; cars'!$E$294:$H$294,0))*IF($E50=I$20,'General inputs'!$F$85,IF($C50=I$18,'General inputs'!$F$86,0))*IF($D50=I$19,1,0)</f>
        <v>0</v>
      </c>
      <c r="J50" s="169">
        <f>INDEX('MEC - public transport &amp; cars'!$E$296:$H$300,MATCH($C50,'MEC - public transport &amp; cars'!$C$296:$C$300,0),MATCH(J$18,'MEC - public transport &amp; cars'!$E$294:$H$294,0))*IF($E50=J$20,'General inputs'!$F$85,IF($C50=J$18,'General inputs'!$F$86,0))*IF($D50=J$19,1,0)</f>
        <v>0</v>
      </c>
      <c r="K50" s="169">
        <f>INDEX('MEC - public transport &amp; cars'!$E$296:$H$300,MATCH($C50,'MEC - public transport &amp; cars'!$C$296:$C$300,0),MATCH(K$18,'MEC - public transport &amp; cars'!$E$294:$H$294,0))*IF($E50=K$20,'General inputs'!$F$85,IF($C50=K$18,'General inputs'!$F$86,0))*IF($D50=K$19,1,0)</f>
        <v>0</v>
      </c>
      <c r="L50" s="169">
        <f>INDEX('MEC - public transport &amp; cars'!$E$296:$H$300,MATCH($C50,'MEC - public transport &amp; cars'!$C$296:$C$300,0),MATCH(L$18,'MEC - public transport &amp; cars'!$E$294:$H$294,0))*IF($E50=L$20,'General inputs'!$F$85,IF($C50=L$18,'General inputs'!$F$86,0))*IF($D50=L$19,1,0)</f>
        <v>0</v>
      </c>
      <c r="M50" s="169">
        <f>INDEX('MEC - public transport &amp; cars'!$E$296:$H$300,MATCH($C50,'MEC - public transport &amp; cars'!$C$296:$C$300,0),MATCH(M$18,'MEC - public transport &amp; cars'!$E$294:$H$294,0))*IF($E50=M$20,'General inputs'!$F$85,IF($C50=M$18,'General inputs'!$F$86,0))*IF($D50=M$19,1,0)</f>
        <v>0</v>
      </c>
      <c r="N50" s="169">
        <f>INDEX('MEC - public transport &amp; cars'!$E$296:$H$300,MATCH($C50,'MEC - public transport &amp; cars'!$C$296:$C$300,0),MATCH(N$18,'MEC - public transport &amp; cars'!$E$294:$H$294,0))*IF($E50=N$20,'General inputs'!$F$85,IF($C50=N$18,'General inputs'!$F$86,0))*IF($D50=N$19,1,0)</f>
        <v>0</v>
      </c>
      <c r="O50" s="169">
        <f>INDEX('MEC - public transport &amp; cars'!$E$296:$H$300,MATCH($C50,'MEC - public transport &amp; cars'!$C$296:$C$300,0),MATCH(O$18,'MEC - public transport &amp; cars'!$E$294:$H$294,0))*IF($E50=O$20,'General inputs'!$F$85,IF($C50=O$18,'General inputs'!$F$86,0))*IF($D50=O$19,1,0)</f>
        <v>0</v>
      </c>
      <c r="P50" s="169">
        <f>INDEX('MEC - public transport &amp; cars'!$E$296:$H$300,MATCH($C50,'MEC - public transport &amp; cars'!$C$296:$C$300,0),MATCH(P$18,'MEC - public transport &amp; cars'!$E$294:$H$294,0))*IF($E50=P$20,'General inputs'!$F$85,IF($C50=P$18,'General inputs'!$F$86,0))*IF($D50=P$19,1,0)</f>
        <v>0</v>
      </c>
      <c r="Q50" s="169">
        <f>INDEX('MEC - public transport &amp; cars'!$E$296:$H$300,MATCH($C50,'MEC - public transport &amp; cars'!$C$296:$C$300,0),MATCH(Q$18,'MEC - public transport &amp; cars'!$E$294:$H$294,0))*IF($E50=Q$20,'General inputs'!$F$85,IF($C50=Q$18,'General inputs'!$F$86,0))*IF($D50=Q$19,1,0)</f>
        <v>0</v>
      </c>
      <c r="R50" s="169">
        <f>INDEX('MEC - public transport &amp; cars'!$E$296:$H$300,MATCH($C50,'MEC - public transport &amp; cars'!$C$296:$C$300,0),MATCH(R$18,'MEC - public transport &amp; cars'!$E$294:$H$294,0))*IF($E50=R$20,'General inputs'!$F$85,IF($C50=R$18,'General inputs'!$F$86,0))*IF($D50=R$19,1,0)</f>
        <v>0</v>
      </c>
      <c r="S50" s="169">
        <f>INDEX('MEC - public transport &amp; cars'!$E$296:$H$300,MATCH($C50,'MEC - public transport &amp; cars'!$C$296:$C$300,0),MATCH(S$18,'MEC - public transport &amp; cars'!$E$294:$H$294,0))*IF($E50=S$20,'General inputs'!$F$85,IF($C50=S$18,'General inputs'!$F$86,0))*IF($D50=S$19,1,0)</f>
        <v>0</v>
      </c>
      <c r="T50" s="169">
        <f>INDEX('MEC - public transport &amp; cars'!$E$296:$H$300,MATCH($C50,'MEC - public transport &amp; cars'!$C$296:$C$300,0),MATCH(T$18,'MEC - public transport &amp; cars'!$E$294:$H$294,0))*IF($E50=T$20,'General inputs'!$F$85,IF($C50=T$18,'General inputs'!$F$86,0))*IF($D50=T$19,1,0)</f>
        <v>0</v>
      </c>
      <c r="U50" s="169">
        <f>INDEX('MEC - public transport &amp; cars'!$E$296:$H$300,MATCH($C50,'MEC - public transport &amp; cars'!$C$296:$C$300,0),MATCH(U$18,'MEC - public transport &amp; cars'!$E$294:$H$294,0))*IF($E50=U$20,'General inputs'!$F$85,IF($C50=U$18,'General inputs'!$F$86,0))*IF($D50=U$19,1,0)</f>
        <v>0</v>
      </c>
      <c r="V50" s="169">
        <f>INDEX('MEC - public transport &amp; cars'!$E$296:$H$300,MATCH($C50,'MEC - public transport &amp; cars'!$C$296:$C$300,0),MATCH(V$18,'MEC - public transport &amp; cars'!$E$294:$H$294,0))*IF($E50=V$20,'General inputs'!$F$85,IF($C50=V$18,'General inputs'!$F$86,0))*IF($D50=V$19,1,0)</f>
        <v>0</v>
      </c>
      <c r="W50" s="169">
        <f>INDEX('MEC - public transport &amp; cars'!$E$296:$H$300,MATCH($C50,'MEC - public transport &amp; cars'!$C$296:$C$300,0),MATCH(W$18,'MEC - public transport &amp; cars'!$E$294:$H$294,0))*IF($E50=W$20,'General inputs'!$F$85,IF($C50=W$18,'General inputs'!$F$86,0))*IF($D50=W$19,1,0)</f>
        <v>0</v>
      </c>
      <c r="X50" s="169">
        <f>INDEX('MEC - public transport &amp; cars'!$E$296:$H$300,MATCH($C50,'MEC - public transport &amp; cars'!$C$296:$C$300,0),MATCH(X$18,'MEC - public transport &amp; cars'!$E$294:$H$294,0))*IF($E50=X$20,'General inputs'!$F$85,IF($C50=X$18,'General inputs'!$F$86,0))*IF($D50=X$19,1,0)</f>
        <v>0</v>
      </c>
      <c r="Y50" s="169">
        <f>INDEX('MEC - public transport &amp; cars'!$E$296:$H$300,MATCH($C50,'MEC - public transport &amp; cars'!$C$296:$C$300,0),MATCH(Y$18,'MEC - public transport &amp; cars'!$E$294:$H$294,0))*IF($E50=Y$20,'General inputs'!$F$85,IF($C50=Y$18,'General inputs'!$F$86,0))*IF($D50=Y$19,1,0)</f>
        <v>0</v>
      </c>
      <c r="Z50" s="169">
        <f>INDEX('MEC - public transport &amp; cars'!$E$296:$H$300,MATCH($C50,'MEC - public transport &amp; cars'!$C$296:$C$300,0),MATCH(Z$18,'MEC - public transport &amp; cars'!$E$294:$H$294,0))*IF($E50=Z$20,'General inputs'!$F$85,IF($C50=Z$18,'General inputs'!$F$86,0))*IF($D50=Z$19,1,0)</f>
        <v>0</v>
      </c>
      <c r="AA50" s="169">
        <f>INDEX('MEC - public transport &amp; cars'!$E$296:$H$300,MATCH($C50,'MEC - public transport &amp; cars'!$C$296:$C$300,0),MATCH(AA$18,'MEC - public transport &amp; cars'!$E$294:$H$294,0))*IF($E50=AA$20,'General inputs'!$F$85,IF($C50=AA$18,'General inputs'!$F$86,0))*IF($D50=AA$19,1,0)</f>
        <v>0</v>
      </c>
      <c r="AB50" s="169">
        <f>INDEX('MEC - public transport &amp; cars'!$E$296:$H$300,MATCH($C50,'MEC - public transport &amp; cars'!$C$296:$C$300,0),MATCH(AB$18,'MEC - public transport &amp; cars'!$E$294:$H$294,0))*IF($E50=AB$20,'General inputs'!$F$85,IF($C50=AB$18,'General inputs'!$F$86,0))*IF($D50=AB$19,1,0)</f>
        <v>0</v>
      </c>
      <c r="AC50" s="169">
        <f>INDEX('MEC - public transport &amp; cars'!$E$296:$H$300,MATCH($C50,'MEC - public transport &amp; cars'!$C$296:$C$300,0),MATCH(AC$18,'MEC - public transport &amp; cars'!$E$294:$H$294,0))*IF($E50=AC$20,'General inputs'!$F$85,IF($C50=AC$18,'General inputs'!$F$86,0))*IF($D50=AC$19,1,0)</f>
        <v>0</v>
      </c>
      <c r="AD50" s="169">
        <f>INDEX('MEC - public transport &amp; cars'!$E$296:$H$300,MATCH($C50,'MEC - public transport &amp; cars'!$C$296:$C$300,0),MATCH(AD$18,'MEC - public transport &amp; cars'!$E$294:$H$294,0))*IF($E50=AD$20,'General inputs'!$F$85,IF($C50=AD$18,'General inputs'!$F$86,0))*IF($D50=AD$19,1,0)</f>
        <v>0</v>
      </c>
      <c r="AE50" s="169">
        <f>INDEX('MEC - public transport &amp; cars'!$E$296:$H$300,MATCH($C50,'MEC - public transport &amp; cars'!$C$296:$C$300,0),MATCH(AE$18,'MEC - public transport &amp; cars'!$E$294:$H$294,0))*IF($E50=AE$20,'General inputs'!$F$85,IF($C50=AE$18,'General inputs'!$F$86,0))*IF($D50=AE$19,1,0)</f>
        <v>0</v>
      </c>
      <c r="AF50" s="169">
        <f>INDEX('MEC - public transport &amp; cars'!$E$296:$H$300,MATCH($C50,'MEC - public transport &amp; cars'!$C$296:$C$300,0),MATCH(AF$18,'MEC - public transport &amp; cars'!$E$294:$H$294,0))*IF($E50=AF$20,'General inputs'!$F$85,IF($C50=AF$18,'General inputs'!$F$86,0))*IF($D50=AF$19,1,0)</f>
        <v>0</v>
      </c>
      <c r="AG50" s="169">
        <f>INDEX('MEC - public transport &amp; cars'!$E$296:$H$300,MATCH($C50,'MEC - public transport &amp; cars'!$C$296:$C$300,0),MATCH(AG$18,'MEC - public transport &amp; cars'!$E$294:$H$294,0))*IF($E50=AG$20,'General inputs'!$F$85,IF($C50=AG$18,'General inputs'!$F$86,0))*IF($D50=AG$19,1,0)</f>
        <v>0</v>
      </c>
      <c r="AH50" s="169">
        <f>INDEX('MEC - public transport &amp; cars'!$E$296:$H$300,MATCH($C50,'MEC - public transport &amp; cars'!$C$296:$C$300,0),MATCH(AH$18,'MEC - public transport &amp; cars'!$E$294:$H$294,0))*IF($E50=AH$20,'General inputs'!$F$85,IF($C50=AH$18,'General inputs'!$F$86,0))*IF($D50=AH$19,1,0)</f>
        <v>0</v>
      </c>
      <c r="AI50" s="169">
        <f>INDEX('MEC - public transport &amp; cars'!$E$296:$H$300,MATCH($C50,'MEC - public transport &amp; cars'!$C$296:$C$300,0),MATCH(AI$18,'MEC - public transport &amp; cars'!$E$294:$H$294,0))*IF($E50=AI$20,'General inputs'!$F$85,IF($C50=AI$18,'General inputs'!$F$86,0))*IF($D50=AI$19,1,0)</f>
        <v>1</v>
      </c>
      <c r="AJ50" s="169">
        <f>INDEX('MEC - public transport &amp; cars'!$E$296:$H$300,MATCH($C50,'MEC - public transport &amp; cars'!$C$296:$C$300,0),MATCH(AJ$18,'MEC - public transport &amp; cars'!$E$294:$H$294,0))*IF($E50=AJ$20,'General inputs'!$F$85,IF($C50=AJ$18,'General inputs'!$F$86,0))*IF($D50=AJ$19,1,0)</f>
        <v>0</v>
      </c>
      <c r="AK50" s="169">
        <f>INDEX('MEC - public transport &amp; cars'!$E$296:$H$300,MATCH($C50,'MEC - public transport &amp; cars'!$C$296:$C$300,0),MATCH(AK$18,'MEC - public transport &amp; cars'!$E$294:$H$294,0))*IF($E50=AK$20,'General inputs'!$F$85,IF($C50=AK$18,'General inputs'!$F$86,0))*IF($D50=AK$19,1,0)</f>
        <v>0</v>
      </c>
      <c r="AL50" s="169">
        <f>INDEX('MEC - public transport &amp; cars'!$E$296:$H$300,MATCH($C50,'MEC - public transport &amp; cars'!$C$296:$C$300,0),MATCH(AL$18,'MEC - public transport &amp; cars'!$E$294:$H$294,0))*IF($E50=AL$20,'General inputs'!$F$85,IF($C50=AL$18,'General inputs'!$F$86,0))*IF($D50=AL$19,1,0)</f>
        <v>0</v>
      </c>
      <c r="AM50" s="227">
        <f>INDEX('MEC - public transport &amp; cars'!$E$296:$H$300,MATCH($C50,'MEC - public transport &amp; cars'!$C$296:$C$300,0),MATCH(AM$18,'MEC - public transport &amp; cars'!$E$294:$H$294,0))*IF($E50=AM$20,'General inputs'!$F$85,IF($C50=AM$18,'General inputs'!$F$86,0))*IF($D50=AM$19,1,0)</f>
        <v>-0.1</v>
      </c>
    </row>
    <row r="51" spans="3:39" x14ac:dyDescent="0.25">
      <c r="C51" s="244" t="str">
        <f>'Fare optimisation'!C112</f>
        <v>Light Rail</v>
      </c>
      <c r="D51" s="173">
        <f>'Fare optimisation'!D112</f>
        <v>2</v>
      </c>
      <c r="E51" s="172" t="str">
        <f>'Fare optimisation'!E112</f>
        <v>Off-peak</v>
      </c>
      <c r="F51" s="173">
        <f>'General inputs'!C57</f>
        <v>29</v>
      </c>
      <c r="H51" s="169">
        <f>INDEX('MEC - public transport &amp; cars'!$E$296:$H$300,MATCH($C51,'MEC - public transport &amp; cars'!$C$296:$C$300,0),MATCH(H$18,'MEC - public transport &amp; cars'!$E$294:$H$294,0))*IF($E51=H$20,'General inputs'!$F$85,IF($C51=H$18,'General inputs'!$F$86,0))*IF($D51=H$19,1,0)</f>
        <v>0</v>
      </c>
      <c r="I51" s="169">
        <f>INDEX('MEC - public transport &amp; cars'!$E$296:$H$300,MATCH($C51,'MEC - public transport &amp; cars'!$C$296:$C$300,0),MATCH(I$18,'MEC - public transport &amp; cars'!$E$294:$H$294,0))*IF($E51=I$20,'General inputs'!$F$85,IF($C51=I$18,'General inputs'!$F$86,0))*IF($D51=I$19,1,0)</f>
        <v>0</v>
      </c>
      <c r="J51" s="169">
        <f>INDEX('MEC - public transport &amp; cars'!$E$296:$H$300,MATCH($C51,'MEC - public transport &amp; cars'!$C$296:$C$300,0),MATCH(J$18,'MEC - public transport &amp; cars'!$E$294:$H$294,0))*IF($E51=J$20,'General inputs'!$F$85,IF($C51=J$18,'General inputs'!$F$86,0))*IF($D51=J$19,1,0)</f>
        <v>0</v>
      </c>
      <c r="K51" s="169">
        <f>INDEX('MEC - public transport &amp; cars'!$E$296:$H$300,MATCH($C51,'MEC - public transport &amp; cars'!$C$296:$C$300,0),MATCH(K$18,'MEC - public transport &amp; cars'!$E$294:$H$294,0))*IF($E51=K$20,'General inputs'!$F$85,IF($C51=K$18,'General inputs'!$F$86,0))*IF($D51=K$19,1,0)</f>
        <v>0</v>
      </c>
      <c r="L51" s="169">
        <f>INDEX('MEC - public transport &amp; cars'!$E$296:$H$300,MATCH($C51,'MEC - public transport &amp; cars'!$C$296:$C$300,0),MATCH(L$18,'MEC - public transport &amp; cars'!$E$294:$H$294,0))*IF($E51=L$20,'General inputs'!$F$85,IF($C51=L$18,'General inputs'!$F$86,0))*IF($D51=L$19,1,0)</f>
        <v>0</v>
      </c>
      <c r="M51" s="169">
        <f>INDEX('MEC - public transport &amp; cars'!$E$296:$H$300,MATCH($C51,'MEC - public transport &amp; cars'!$C$296:$C$300,0),MATCH(M$18,'MEC - public transport &amp; cars'!$E$294:$H$294,0))*IF($E51=M$20,'General inputs'!$F$85,IF($C51=M$18,'General inputs'!$F$86,0))*IF($D51=M$19,1,0)</f>
        <v>0</v>
      </c>
      <c r="N51" s="169">
        <f>INDEX('MEC - public transport &amp; cars'!$E$296:$H$300,MATCH($C51,'MEC - public transport &amp; cars'!$C$296:$C$300,0),MATCH(N$18,'MEC - public transport &amp; cars'!$E$294:$H$294,0))*IF($E51=N$20,'General inputs'!$F$85,IF($C51=N$18,'General inputs'!$F$86,0))*IF($D51=N$19,1,0)</f>
        <v>0</v>
      </c>
      <c r="O51" s="169">
        <f>INDEX('MEC - public transport &amp; cars'!$E$296:$H$300,MATCH($C51,'MEC - public transport &amp; cars'!$C$296:$C$300,0),MATCH(O$18,'MEC - public transport &amp; cars'!$E$294:$H$294,0))*IF($E51=O$20,'General inputs'!$F$85,IF($C51=O$18,'General inputs'!$F$86,0))*IF($D51=O$19,1,0)</f>
        <v>0</v>
      </c>
      <c r="P51" s="169">
        <f>INDEX('MEC - public transport &amp; cars'!$E$296:$H$300,MATCH($C51,'MEC - public transport &amp; cars'!$C$296:$C$300,0),MATCH(P$18,'MEC - public transport &amp; cars'!$E$294:$H$294,0))*IF($E51=P$20,'General inputs'!$F$85,IF($C51=P$18,'General inputs'!$F$86,0))*IF($D51=P$19,1,0)</f>
        <v>0</v>
      </c>
      <c r="Q51" s="169">
        <f>INDEX('MEC - public transport &amp; cars'!$E$296:$H$300,MATCH($C51,'MEC - public transport &amp; cars'!$C$296:$C$300,0),MATCH(Q$18,'MEC - public transport &amp; cars'!$E$294:$H$294,0))*IF($E51=Q$20,'General inputs'!$F$85,IF($C51=Q$18,'General inputs'!$F$86,0))*IF($D51=Q$19,1,0)</f>
        <v>0</v>
      </c>
      <c r="R51" s="169">
        <f>INDEX('MEC - public transport &amp; cars'!$E$296:$H$300,MATCH($C51,'MEC - public transport &amp; cars'!$C$296:$C$300,0),MATCH(R$18,'MEC - public transport &amp; cars'!$E$294:$H$294,0))*IF($E51=R$20,'General inputs'!$F$85,IF($C51=R$18,'General inputs'!$F$86,0))*IF($D51=R$19,1,0)</f>
        <v>0</v>
      </c>
      <c r="S51" s="169">
        <f>INDEX('MEC - public transport &amp; cars'!$E$296:$H$300,MATCH($C51,'MEC - public transport &amp; cars'!$C$296:$C$300,0),MATCH(S$18,'MEC - public transport &amp; cars'!$E$294:$H$294,0))*IF($E51=S$20,'General inputs'!$F$85,IF($C51=S$18,'General inputs'!$F$86,0))*IF($D51=S$19,1,0)</f>
        <v>0</v>
      </c>
      <c r="T51" s="169">
        <f>INDEX('MEC - public transport &amp; cars'!$E$296:$H$300,MATCH($C51,'MEC - public transport &amp; cars'!$C$296:$C$300,0),MATCH(T$18,'MEC - public transport &amp; cars'!$E$294:$H$294,0))*IF($E51=T$20,'General inputs'!$F$85,IF($C51=T$18,'General inputs'!$F$86,0))*IF($D51=T$19,1,0)</f>
        <v>0</v>
      </c>
      <c r="U51" s="169">
        <f>INDEX('MEC - public transport &amp; cars'!$E$296:$H$300,MATCH($C51,'MEC - public transport &amp; cars'!$C$296:$C$300,0),MATCH(U$18,'MEC - public transport &amp; cars'!$E$294:$H$294,0))*IF($E51=U$20,'General inputs'!$F$85,IF($C51=U$18,'General inputs'!$F$86,0))*IF($D51=U$19,1,0)</f>
        <v>0</v>
      </c>
      <c r="V51" s="169">
        <f>INDEX('MEC - public transport &amp; cars'!$E$296:$H$300,MATCH($C51,'MEC - public transport &amp; cars'!$C$296:$C$300,0),MATCH(V$18,'MEC - public transport &amp; cars'!$E$294:$H$294,0))*IF($E51=V$20,'General inputs'!$F$85,IF($C51=V$18,'General inputs'!$F$86,0))*IF($D51=V$19,1,0)</f>
        <v>0</v>
      </c>
      <c r="W51" s="169">
        <f>INDEX('MEC - public transport &amp; cars'!$E$296:$H$300,MATCH($C51,'MEC - public transport &amp; cars'!$C$296:$C$300,0),MATCH(W$18,'MEC - public transport &amp; cars'!$E$294:$H$294,0))*IF($E51=W$20,'General inputs'!$F$85,IF($C51=W$18,'General inputs'!$F$86,0))*IF($D51=W$19,1,0)</f>
        <v>0</v>
      </c>
      <c r="X51" s="169">
        <f>INDEX('MEC - public transport &amp; cars'!$E$296:$H$300,MATCH($C51,'MEC - public transport &amp; cars'!$C$296:$C$300,0),MATCH(X$18,'MEC - public transport &amp; cars'!$E$294:$H$294,0))*IF($E51=X$20,'General inputs'!$F$85,IF($C51=X$18,'General inputs'!$F$86,0))*IF($D51=X$19,1,0)</f>
        <v>0</v>
      </c>
      <c r="Y51" s="169">
        <f>INDEX('MEC - public transport &amp; cars'!$E$296:$H$300,MATCH($C51,'MEC - public transport &amp; cars'!$C$296:$C$300,0),MATCH(Y$18,'MEC - public transport &amp; cars'!$E$294:$H$294,0))*IF($E51=Y$20,'General inputs'!$F$85,IF($C51=Y$18,'General inputs'!$F$86,0))*IF($D51=Y$19,1,0)</f>
        <v>0</v>
      </c>
      <c r="Z51" s="169">
        <f>INDEX('MEC - public transport &amp; cars'!$E$296:$H$300,MATCH($C51,'MEC - public transport &amp; cars'!$C$296:$C$300,0),MATCH(Z$18,'MEC - public transport &amp; cars'!$E$294:$H$294,0))*IF($E51=Z$20,'General inputs'!$F$85,IF($C51=Z$18,'General inputs'!$F$86,0))*IF($D51=Z$19,1,0)</f>
        <v>0</v>
      </c>
      <c r="AA51" s="169">
        <f>INDEX('MEC - public transport &amp; cars'!$E$296:$H$300,MATCH($C51,'MEC - public transport &amp; cars'!$C$296:$C$300,0),MATCH(AA$18,'MEC - public transport &amp; cars'!$E$294:$H$294,0))*IF($E51=AA$20,'General inputs'!$F$85,IF($C51=AA$18,'General inputs'!$F$86,0))*IF($D51=AA$19,1,0)</f>
        <v>0</v>
      </c>
      <c r="AB51" s="169">
        <f>INDEX('MEC - public transport &amp; cars'!$E$296:$H$300,MATCH($C51,'MEC - public transport &amp; cars'!$C$296:$C$300,0),MATCH(AB$18,'MEC - public transport &amp; cars'!$E$294:$H$294,0))*IF($E51=AB$20,'General inputs'!$F$85,IF($C51=AB$18,'General inputs'!$F$86,0))*IF($D51=AB$19,1,0)</f>
        <v>0</v>
      </c>
      <c r="AC51" s="169">
        <f>INDEX('MEC - public transport &amp; cars'!$E$296:$H$300,MATCH($C51,'MEC - public transport &amp; cars'!$C$296:$C$300,0),MATCH(AC$18,'MEC - public transport &amp; cars'!$E$294:$H$294,0))*IF($E51=AC$20,'General inputs'!$F$85,IF($C51=AC$18,'General inputs'!$F$86,0))*IF($D51=AC$19,1,0)</f>
        <v>0</v>
      </c>
      <c r="AD51" s="169">
        <f>INDEX('MEC - public transport &amp; cars'!$E$296:$H$300,MATCH($C51,'MEC - public transport &amp; cars'!$C$296:$C$300,0),MATCH(AD$18,'MEC - public transport &amp; cars'!$E$294:$H$294,0))*IF($E51=AD$20,'General inputs'!$F$85,IF($C51=AD$18,'General inputs'!$F$86,0))*IF($D51=AD$19,1,0)</f>
        <v>0</v>
      </c>
      <c r="AE51" s="169">
        <f>INDEX('MEC - public transport &amp; cars'!$E$296:$H$300,MATCH($C51,'MEC - public transport &amp; cars'!$C$296:$C$300,0),MATCH(AE$18,'MEC - public transport &amp; cars'!$E$294:$H$294,0))*IF($E51=AE$20,'General inputs'!$F$85,IF($C51=AE$18,'General inputs'!$F$86,0))*IF($D51=AE$19,1,0)</f>
        <v>0</v>
      </c>
      <c r="AF51" s="169">
        <f>INDEX('MEC - public transport &amp; cars'!$E$296:$H$300,MATCH($C51,'MEC - public transport &amp; cars'!$C$296:$C$300,0),MATCH(AF$18,'MEC - public transport &amp; cars'!$E$294:$H$294,0))*IF($E51=AF$20,'General inputs'!$F$85,IF($C51=AF$18,'General inputs'!$F$86,0))*IF($D51=AF$19,1,0)</f>
        <v>-0.1</v>
      </c>
      <c r="AG51" s="169">
        <f>INDEX('MEC - public transport &amp; cars'!$E$296:$H$300,MATCH($C51,'MEC - public transport &amp; cars'!$C$296:$C$300,0),MATCH(AG$18,'MEC - public transport &amp; cars'!$E$294:$H$294,0))*IF($E51=AG$20,'General inputs'!$F$85,IF($C51=AG$18,'General inputs'!$F$86,0))*IF($D51=AG$19,1,0)</f>
        <v>0</v>
      </c>
      <c r="AH51" s="169">
        <f>INDEX('MEC - public transport &amp; cars'!$E$296:$H$300,MATCH($C51,'MEC - public transport &amp; cars'!$C$296:$C$300,0),MATCH(AH$18,'MEC - public transport &amp; cars'!$E$294:$H$294,0))*IF($E51=AH$20,'General inputs'!$F$85,IF($C51=AH$18,'General inputs'!$F$86,0))*IF($D51=AH$19,1,0)</f>
        <v>0</v>
      </c>
      <c r="AI51" s="169">
        <f>INDEX('MEC - public transport &amp; cars'!$E$296:$H$300,MATCH($C51,'MEC - public transport &amp; cars'!$C$296:$C$300,0),MATCH(AI$18,'MEC - public transport &amp; cars'!$E$294:$H$294,0))*IF($E51=AI$20,'General inputs'!$F$85,IF($C51=AI$18,'General inputs'!$F$86,0))*IF($D51=AI$19,1,0)</f>
        <v>0</v>
      </c>
      <c r="AJ51" s="169">
        <f>INDEX('MEC - public transport &amp; cars'!$E$296:$H$300,MATCH($C51,'MEC - public transport &amp; cars'!$C$296:$C$300,0),MATCH(AJ$18,'MEC - public transport &amp; cars'!$E$294:$H$294,0))*IF($E51=AJ$20,'General inputs'!$F$85,IF($C51=AJ$18,'General inputs'!$F$86,0))*IF($D51=AJ$19,1,0)</f>
        <v>1</v>
      </c>
      <c r="AK51" s="169">
        <f>INDEX('MEC - public transport &amp; cars'!$E$296:$H$300,MATCH($C51,'MEC - public transport &amp; cars'!$C$296:$C$300,0),MATCH(AK$18,'MEC - public transport &amp; cars'!$E$294:$H$294,0))*IF($E51=AK$20,'General inputs'!$F$85,IF($C51=AK$18,'General inputs'!$F$86,0))*IF($D51=AK$19,1,0)</f>
        <v>0</v>
      </c>
      <c r="AL51" s="169">
        <f>INDEX('MEC - public transport &amp; cars'!$E$296:$H$300,MATCH($C51,'MEC - public transport &amp; cars'!$C$296:$C$300,0),MATCH(AL$18,'MEC - public transport &amp; cars'!$E$294:$H$294,0))*IF($E51=AL$20,'General inputs'!$F$85,IF($C51=AL$18,'General inputs'!$F$86,0))*IF($D51=AL$19,1,0)</f>
        <v>0</v>
      </c>
      <c r="AM51" s="227">
        <f>INDEX('MEC - public transport &amp; cars'!$E$296:$H$300,MATCH($C51,'MEC - public transport &amp; cars'!$C$296:$C$300,0),MATCH(AM$18,'MEC - public transport &amp; cars'!$E$294:$H$294,0))*IF($E51=AM$20,'General inputs'!$F$85,IF($C51=AM$18,'General inputs'!$F$86,0))*IF($D51=AM$19,1,0)</f>
        <v>0</v>
      </c>
    </row>
    <row r="52" spans="3:39" x14ac:dyDescent="0.25">
      <c r="C52" s="244" t="str">
        <f>'Fare optimisation'!C113</f>
        <v>Light Rail</v>
      </c>
      <c r="D52" s="173">
        <f>'Fare optimisation'!D113</f>
        <v>5</v>
      </c>
      <c r="E52" s="172" t="str">
        <f>'Fare optimisation'!E113</f>
        <v>Off-peak</v>
      </c>
      <c r="F52" s="173">
        <f>'General inputs'!C58</f>
        <v>30</v>
      </c>
      <c r="H52" s="169">
        <f>INDEX('MEC - public transport &amp; cars'!$E$296:$H$300,MATCH($C52,'MEC - public transport &amp; cars'!$C$296:$C$300,0),MATCH(H$18,'MEC - public transport &amp; cars'!$E$294:$H$294,0))*IF($E52=H$20,'General inputs'!$F$85,IF($C52=H$18,'General inputs'!$F$86,0))*IF($D52=H$19,1,0)</f>
        <v>0</v>
      </c>
      <c r="I52" s="169">
        <f>INDEX('MEC - public transport &amp; cars'!$E$296:$H$300,MATCH($C52,'MEC - public transport &amp; cars'!$C$296:$C$300,0),MATCH(I$18,'MEC - public transport &amp; cars'!$E$294:$H$294,0))*IF($E52=I$20,'General inputs'!$F$85,IF($C52=I$18,'General inputs'!$F$86,0))*IF($D52=I$19,1,0)</f>
        <v>0</v>
      </c>
      <c r="J52" s="169">
        <f>INDEX('MEC - public transport &amp; cars'!$E$296:$H$300,MATCH($C52,'MEC - public transport &amp; cars'!$C$296:$C$300,0),MATCH(J$18,'MEC - public transport &amp; cars'!$E$294:$H$294,0))*IF($E52=J$20,'General inputs'!$F$85,IF($C52=J$18,'General inputs'!$F$86,0))*IF($D52=J$19,1,0)</f>
        <v>0</v>
      </c>
      <c r="K52" s="169">
        <f>INDEX('MEC - public transport &amp; cars'!$E$296:$H$300,MATCH($C52,'MEC - public transport &amp; cars'!$C$296:$C$300,0),MATCH(K$18,'MEC - public transport &amp; cars'!$E$294:$H$294,0))*IF($E52=K$20,'General inputs'!$F$85,IF($C52=K$18,'General inputs'!$F$86,0))*IF($D52=K$19,1,0)</f>
        <v>0</v>
      </c>
      <c r="L52" s="169">
        <f>INDEX('MEC - public transport &amp; cars'!$E$296:$H$300,MATCH($C52,'MEC - public transport &amp; cars'!$C$296:$C$300,0),MATCH(L$18,'MEC - public transport &amp; cars'!$E$294:$H$294,0))*IF($E52=L$20,'General inputs'!$F$85,IF($C52=L$18,'General inputs'!$F$86,0))*IF($D52=L$19,1,0)</f>
        <v>0</v>
      </c>
      <c r="M52" s="169">
        <f>INDEX('MEC - public transport &amp; cars'!$E$296:$H$300,MATCH($C52,'MEC - public transport &amp; cars'!$C$296:$C$300,0),MATCH(M$18,'MEC - public transport &amp; cars'!$E$294:$H$294,0))*IF($E52=M$20,'General inputs'!$F$85,IF($C52=M$18,'General inputs'!$F$86,0))*IF($D52=M$19,1,0)</f>
        <v>0</v>
      </c>
      <c r="N52" s="169">
        <f>INDEX('MEC - public transport &amp; cars'!$E$296:$H$300,MATCH($C52,'MEC - public transport &amp; cars'!$C$296:$C$300,0),MATCH(N$18,'MEC - public transport &amp; cars'!$E$294:$H$294,0))*IF($E52=N$20,'General inputs'!$F$85,IF($C52=N$18,'General inputs'!$F$86,0))*IF($D52=N$19,1,0)</f>
        <v>0</v>
      </c>
      <c r="O52" s="169">
        <f>INDEX('MEC - public transport &amp; cars'!$E$296:$H$300,MATCH($C52,'MEC - public transport &amp; cars'!$C$296:$C$300,0),MATCH(O$18,'MEC - public transport &amp; cars'!$E$294:$H$294,0))*IF($E52=O$20,'General inputs'!$F$85,IF($C52=O$18,'General inputs'!$F$86,0))*IF($D52=O$19,1,0)</f>
        <v>0</v>
      </c>
      <c r="P52" s="169">
        <f>INDEX('MEC - public transport &amp; cars'!$E$296:$H$300,MATCH($C52,'MEC - public transport &amp; cars'!$C$296:$C$300,0),MATCH(P$18,'MEC - public transport &amp; cars'!$E$294:$H$294,0))*IF($E52=P$20,'General inputs'!$F$85,IF($C52=P$18,'General inputs'!$F$86,0))*IF($D52=P$19,1,0)</f>
        <v>0</v>
      </c>
      <c r="Q52" s="169">
        <f>INDEX('MEC - public transport &amp; cars'!$E$296:$H$300,MATCH($C52,'MEC - public transport &amp; cars'!$C$296:$C$300,0),MATCH(Q$18,'MEC - public transport &amp; cars'!$E$294:$H$294,0))*IF($E52=Q$20,'General inputs'!$F$85,IF($C52=Q$18,'General inputs'!$F$86,0))*IF($D52=Q$19,1,0)</f>
        <v>0</v>
      </c>
      <c r="R52" s="169">
        <f>INDEX('MEC - public transport &amp; cars'!$E$296:$H$300,MATCH($C52,'MEC - public transport &amp; cars'!$C$296:$C$300,0),MATCH(R$18,'MEC - public transport &amp; cars'!$E$294:$H$294,0))*IF($E52=R$20,'General inputs'!$F$85,IF($C52=R$18,'General inputs'!$F$86,0))*IF($D52=R$19,1,0)</f>
        <v>0</v>
      </c>
      <c r="S52" s="169">
        <f>INDEX('MEC - public transport &amp; cars'!$E$296:$H$300,MATCH($C52,'MEC - public transport &amp; cars'!$C$296:$C$300,0),MATCH(S$18,'MEC - public transport &amp; cars'!$E$294:$H$294,0))*IF($E52=S$20,'General inputs'!$F$85,IF($C52=S$18,'General inputs'!$F$86,0))*IF($D52=S$19,1,0)</f>
        <v>0</v>
      </c>
      <c r="T52" s="169">
        <f>INDEX('MEC - public transport &amp; cars'!$E$296:$H$300,MATCH($C52,'MEC - public transport &amp; cars'!$C$296:$C$300,0),MATCH(T$18,'MEC - public transport &amp; cars'!$E$294:$H$294,0))*IF($E52=T$20,'General inputs'!$F$85,IF($C52=T$18,'General inputs'!$F$86,0))*IF($D52=T$19,1,0)</f>
        <v>0</v>
      </c>
      <c r="U52" s="169">
        <f>INDEX('MEC - public transport &amp; cars'!$E$296:$H$300,MATCH($C52,'MEC - public transport &amp; cars'!$C$296:$C$300,0),MATCH(U$18,'MEC - public transport &amp; cars'!$E$294:$H$294,0))*IF($E52=U$20,'General inputs'!$F$85,IF($C52=U$18,'General inputs'!$F$86,0))*IF($D52=U$19,1,0)</f>
        <v>0</v>
      </c>
      <c r="V52" s="169">
        <f>INDEX('MEC - public transport &amp; cars'!$E$296:$H$300,MATCH($C52,'MEC - public transport &amp; cars'!$C$296:$C$300,0),MATCH(V$18,'MEC - public transport &amp; cars'!$E$294:$H$294,0))*IF($E52=V$20,'General inputs'!$F$85,IF($C52=V$18,'General inputs'!$F$86,0))*IF($D52=V$19,1,0)</f>
        <v>0</v>
      </c>
      <c r="W52" s="169">
        <f>INDEX('MEC - public transport &amp; cars'!$E$296:$H$300,MATCH($C52,'MEC - public transport &amp; cars'!$C$296:$C$300,0),MATCH(W$18,'MEC - public transport &amp; cars'!$E$294:$H$294,0))*IF($E52=W$20,'General inputs'!$F$85,IF($C52=W$18,'General inputs'!$F$86,0))*IF($D52=W$19,1,0)</f>
        <v>0</v>
      </c>
      <c r="X52" s="169">
        <f>INDEX('MEC - public transport &amp; cars'!$E$296:$H$300,MATCH($C52,'MEC - public transport &amp; cars'!$C$296:$C$300,0),MATCH(X$18,'MEC - public transport &amp; cars'!$E$294:$H$294,0))*IF($E52=X$20,'General inputs'!$F$85,IF($C52=X$18,'General inputs'!$F$86,0))*IF($D52=X$19,1,0)</f>
        <v>0</v>
      </c>
      <c r="Y52" s="169">
        <f>INDEX('MEC - public transport &amp; cars'!$E$296:$H$300,MATCH($C52,'MEC - public transport &amp; cars'!$C$296:$C$300,0),MATCH(Y$18,'MEC - public transport &amp; cars'!$E$294:$H$294,0))*IF($E52=Y$20,'General inputs'!$F$85,IF($C52=Y$18,'General inputs'!$F$86,0))*IF($D52=Y$19,1,0)</f>
        <v>0</v>
      </c>
      <c r="Z52" s="169">
        <f>INDEX('MEC - public transport &amp; cars'!$E$296:$H$300,MATCH($C52,'MEC - public transport &amp; cars'!$C$296:$C$300,0),MATCH(Z$18,'MEC - public transport &amp; cars'!$E$294:$H$294,0))*IF($E52=Z$20,'General inputs'!$F$85,IF($C52=Z$18,'General inputs'!$F$86,0))*IF($D52=Z$19,1,0)</f>
        <v>0</v>
      </c>
      <c r="AA52" s="169">
        <f>INDEX('MEC - public transport &amp; cars'!$E$296:$H$300,MATCH($C52,'MEC - public transport &amp; cars'!$C$296:$C$300,0),MATCH(AA$18,'MEC - public transport &amp; cars'!$E$294:$H$294,0))*IF($E52=AA$20,'General inputs'!$F$85,IF($C52=AA$18,'General inputs'!$F$86,0))*IF($D52=AA$19,1,0)</f>
        <v>0</v>
      </c>
      <c r="AB52" s="169">
        <f>INDEX('MEC - public transport &amp; cars'!$E$296:$H$300,MATCH($C52,'MEC - public transport &amp; cars'!$C$296:$C$300,0),MATCH(AB$18,'MEC - public transport &amp; cars'!$E$294:$H$294,0))*IF($E52=AB$20,'General inputs'!$F$85,IF($C52=AB$18,'General inputs'!$F$86,0))*IF($D52=AB$19,1,0)</f>
        <v>0</v>
      </c>
      <c r="AC52" s="169">
        <f>INDEX('MEC - public transport &amp; cars'!$E$296:$H$300,MATCH($C52,'MEC - public transport &amp; cars'!$C$296:$C$300,0),MATCH(AC$18,'MEC - public transport &amp; cars'!$E$294:$H$294,0))*IF($E52=AC$20,'General inputs'!$F$85,IF($C52=AC$18,'General inputs'!$F$86,0))*IF($D52=AC$19,1,0)</f>
        <v>0</v>
      </c>
      <c r="AD52" s="169">
        <f>INDEX('MEC - public transport &amp; cars'!$E$296:$H$300,MATCH($C52,'MEC - public transport &amp; cars'!$C$296:$C$300,0),MATCH(AD$18,'MEC - public transport &amp; cars'!$E$294:$H$294,0))*IF($E52=AD$20,'General inputs'!$F$85,IF($C52=AD$18,'General inputs'!$F$86,0))*IF($D52=AD$19,1,0)</f>
        <v>0</v>
      </c>
      <c r="AE52" s="169">
        <f>INDEX('MEC - public transport &amp; cars'!$E$296:$H$300,MATCH($C52,'MEC - public transport &amp; cars'!$C$296:$C$300,0),MATCH(AE$18,'MEC - public transport &amp; cars'!$E$294:$H$294,0))*IF($E52=AE$20,'General inputs'!$F$85,IF($C52=AE$18,'General inputs'!$F$86,0))*IF($D52=AE$19,1,0)</f>
        <v>0</v>
      </c>
      <c r="AF52" s="169">
        <f>INDEX('MEC - public transport &amp; cars'!$E$296:$H$300,MATCH($C52,'MEC - public transport &amp; cars'!$C$296:$C$300,0),MATCH(AF$18,'MEC - public transport &amp; cars'!$E$294:$H$294,0))*IF($E52=AF$20,'General inputs'!$F$85,IF($C52=AF$18,'General inputs'!$F$86,0))*IF($D52=AF$19,1,0)</f>
        <v>0</v>
      </c>
      <c r="AG52" s="169">
        <f>INDEX('MEC - public transport &amp; cars'!$E$296:$H$300,MATCH($C52,'MEC - public transport &amp; cars'!$C$296:$C$300,0),MATCH(AG$18,'MEC - public transport &amp; cars'!$E$294:$H$294,0))*IF($E52=AG$20,'General inputs'!$F$85,IF($C52=AG$18,'General inputs'!$F$86,0))*IF($D52=AG$19,1,0)</f>
        <v>-0.1</v>
      </c>
      <c r="AH52" s="169">
        <f>INDEX('MEC - public transport &amp; cars'!$E$296:$H$300,MATCH($C52,'MEC - public transport &amp; cars'!$C$296:$C$300,0),MATCH(AH$18,'MEC - public transport &amp; cars'!$E$294:$H$294,0))*IF($E52=AH$20,'General inputs'!$F$85,IF($C52=AH$18,'General inputs'!$F$86,0))*IF($D52=AH$19,1,0)</f>
        <v>0</v>
      </c>
      <c r="AI52" s="169">
        <f>INDEX('MEC - public transport &amp; cars'!$E$296:$H$300,MATCH($C52,'MEC - public transport &amp; cars'!$C$296:$C$300,0),MATCH(AI$18,'MEC - public transport &amp; cars'!$E$294:$H$294,0))*IF($E52=AI$20,'General inputs'!$F$85,IF($C52=AI$18,'General inputs'!$F$86,0))*IF($D52=AI$19,1,0)</f>
        <v>0</v>
      </c>
      <c r="AJ52" s="169">
        <f>INDEX('MEC - public transport &amp; cars'!$E$296:$H$300,MATCH($C52,'MEC - public transport &amp; cars'!$C$296:$C$300,0),MATCH(AJ$18,'MEC - public transport &amp; cars'!$E$294:$H$294,0))*IF($E52=AJ$20,'General inputs'!$F$85,IF($C52=AJ$18,'General inputs'!$F$86,0))*IF($D52=AJ$19,1,0)</f>
        <v>0</v>
      </c>
      <c r="AK52" s="169">
        <f>INDEX('MEC - public transport &amp; cars'!$E$296:$H$300,MATCH($C52,'MEC - public transport &amp; cars'!$C$296:$C$300,0),MATCH(AK$18,'MEC - public transport &amp; cars'!$E$294:$H$294,0))*IF($E52=AK$20,'General inputs'!$F$85,IF($C52=AK$18,'General inputs'!$F$86,0))*IF($D52=AK$19,1,0)</f>
        <v>1</v>
      </c>
      <c r="AL52" s="169">
        <f>INDEX('MEC - public transport &amp; cars'!$E$296:$H$300,MATCH($C52,'MEC - public transport &amp; cars'!$C$296:$C$300,0),MATCH(AL$18,'MEC - public transport &amp; cars'!$E$294:$H$294,0))*IF($E52=AL$20,'General inputs'!$F$85,IF($C52=AL$18,'General inputs'!$F$86,0))*IF($D52=AL$19,1,0)</f>
        <v>0</v>
      </c>
      <c r="AM52" s="227">
        <f>INDEX('MEC - public transport &amp; cars'!$E$296:$H$300,MATCH($C52,'MEC - public transport &amp; cars'!$C$296:$C$300,0),MATCH(AM$18,'MEC - public transport &amp; cars'!$E$294:$H$294,0))*IF($E52=AM$20,'General inputs'!$F$85,IF($C52=AM$18,'General inputs'!$F$86,0))*IF($D52=AM$19,1,0)</f>
        <v>0</v>
      </c>
    </row>
    <row r="53" spans="3:39" x14ac:dyDescent="0.25">
      <c r="C53" s="244" t="str">
        <f>'Fare optimisation'!C114</f>
        <v>Light Rail</v>
      </c>
      <c r="D53" s="173">
        <f>'Fare optimisation'!D114</f>
        <v>15</v>
      </c>
      <c r="E53" s="172" t="str">
        <f>'Fare optimisation'!E114</f>
        <v>Off-peak</v>
      </c>
      <c r="F53" s="173">
        <f>'General inputs'!C59</f>
        <v>31</v>
      </c>
      <c r="H53" s="169">
        <f>INDEX('MEC - public transport &amp; cars'!$E$296:$H$300,MATCH($C53,'MEC - public transport &amp; cars'!$C$296:$C$300,0),MATCH(H$18,'MEC - public transport &amp; cars'!$E$294:$H$294,0))*IF($E53=H$20,'General inputs'!$F$85,IF($C53=H$18,'General inputs'!$F$86,0))*IF($D53=H$19,1,0)</f>
        <v>0</v>
      </c>
      <c r="I53" s="169">
        <f>INDEX('MEC - public transport &amp; cars'!$E$296:$H$300,MATCH($C53,'MEC - public transport &amp; cars'!$C$296:$C$300,0),MATCH(I$18,'MEC - public transport &amp; cars'!$E$294:$H$294,0))*IF($E53=I$20,'General inputs'!$F$85,IF($C53=I$18,'General inputs'!$F$86,0))*IF($D53=I$19,1,0)</f>
        <v>0</v>
      </c>
      <c r="J53" s="169">
        <f>INDEX('MEC - public transport &amp; cars'!$E$296:$H$300,MATCH($C53,'MEC - public transport &amp; cars'!$C$296:$C$300,0),MATCH(J$18,'MEC - public transport &amp; cars'!$E$294:$H$294,0))*IF($E53=J$20,'General inputs'!$F$85,IF($C53=J$18,'General inputs'!$F$86,0))*IF($D53=J$19,1,0)</f>
        <v>0</v>
      </c>
      <c r="K53" s="169">
        <f>INDEX('MEC - public transport &amp; cars'!$E$296:$H$300,MATCH($C53,'MEC - public transport &amp; cars'!$C$296:$C$300,0),MATCH(K$18,'MEC - public transport &amp; cars'!$E$294:$H$294,0))*IF($E53=K$20,'General inputs'!$F$85,IF($C53=K$18,'General inputs'!$F$86,0))*IF($D53=K$19,1,0)</f>
        <v>0</v>
      </c>
      <c r="L53" s="169">
        <f>INDEX('MEC - public transport &amp; cars'!$E$296:$H$300,MATCH($C53,'MEC - public transport &amp; cars'!$C$296:$C$300,0),MATCH(L$18,'MEC - public transport &amp; cars'!$E$294:$H$294,0))*IF($E53=L$20,'General inputs'!$F$85,IF($C53=L$18,'General inputs'!$F$86,0))*IF($D53=L$19,1,0)</f>
        <v>0</v>
      </c>
      <c r="M53" s="169">
        <f>INDEX('MEC - public transport &amp; cars'!$E$296:$H$300,MATCH($C53,'MEC - public transport &amp; cars'!$C$296:$C$300,0),MATCH(M$18,'MEC - public transport &amp; cars'!$E$294:$H$294,0))*IF($E53=M$20,'General inputs'!$F$85,IF($C53=M$18,'General inputs'!$F$86,0))*IF($D53=M$19,1,0)</f>
        <v>0</v>
      </c>
      <c r="N53" s="169">
        <f>INDEX('MEC - public transport &amp; cars'!$E$296:$H$300,MATCH($C53,'MEC - public transport &amp; cars'!$C$296:$C$300,0),MATCH(N$18,'MEC - public transport &amp; cars'!$E$294:$H$294,0))*IF($E53=N$20,'General inputs'!$F$85,IF($C53=N$18,'General inputs'!$F$86,0))*IF($D53=N$19,1,0)</f>
        <v>0</v>
      </c>
      <c r="O53" s="169">
        <f>INDEX('MEC - public transport &amp; cars'!$E$296:$H$300,MATCH($C53,'MEC - public transport &amp; cars'!$C$296:$C$300,0),MATCH(O$18,'MEC - public transport &amp; cars'!$E$294:$H$294,0))*IF($E53=O$20,'General inputs'!$F$85,IF($C53=O$18,'General inputs'!$F$86,0))*IF($D53=O$19,1,0)</f>
        <v>0</v>
      </c>
      <c r="P53" s="169">
        <f>INDEX('MEC - public transport &amp; cars'!$E$296:$H$300,MATCH($C53,'MEC - public transport &amp; cars'!$C$296:$C$300,0),MATCH(P$18,'MEC - public transport &amp; cars'!$E$294:$H$294,0))*IF($E53=P$20,'General inputs'!$F$85,IF($C53=P$18,'General inputs'!$F$86,0))*IF($D53=P$19,1,0)</f>
        <v>0</v>
      </c>
      <c r="Q53" s="169">
        <f>INDEX('MEC - public transport &amp; cars'!$E$296:$H$300,MATCH($C53,'MEC - public transport &amp; cars'!$C$296:$C$300,0),MATCH(Q$18,'MEC - public transport &amp; cars'!$E$294:$H$294,0))*IF($E53=Q$20,'General inputs'!$F$85,IF($C53=Q$18,'General inputs'!$F$86,0))*IF($D53=Q$19,1,0)</f>
        <v>0</v>
      </c>
      <c r="R53" s="169">
        <f>INDEX('MEC - public transport &amp; cars'!$E$296:$H$300,MATCH($C53,'MEC - public transport &amp; cars'!$C$296:$C$300,0),MATCH(R$18,'MEC - public transport &amp; cars'!$E$294:$H$294,0))*IF($E53=R$20,'General inputs'!$F$85,IF($C53=R$18,'General inputs'!$F$86,0))*IF($D53=R$19,1,0)</f>
        <v>0</v>
      </c>
      <c r="S53" s="169">
        <f>INDEX('MEC - public transport &amp; cars'!$E$296:$H$300,MATCH($C53,'MEC - public transport &amp; cars'!$C$296:$C$300,0),MATCH(S$18,'MEC - public transport &amp; cars'!$E$294:$H$294,0))*IF($E53=S$20,'General inputs'!$F$85,IF($C53=S$18,'General inputs'!$F$86,0))*IF($D53=S$19,1,0)</f>
        <v>0</v>
      </c>
      <c r="T53" s="169">
        <f>INDEX('MEC - public transport &amp; cars'!$E$296:$H$300,MATCH($C53,'MEC - public transport &amp; cars'!$C$296:$C$300,0),MATCH(T$18,'MEC - public transport &amp; cars'!$E$294:$H$294,0))*IF($E53=T$20,'General inputs'!$F$85,IF($C53=T$18,'General inputs'!$F$86,0))*IF($D53=T$19,1,0)</f>
        <v>0</v>
      </c>
      <c r="U53" s="169">
        <f>INDEX('MEC - public transport &amp; cars'!$E$296:$H$300,MATCH($C53,'MEC - public transport &amp; cars'!$C$296:$C$300,0),MATCH(U$18,'MEC - public transport &amp; cars'!$E$294:$H$294,0))*IF($E53=U$20,'General inputs'!$F$85,IF($C53=U$18,'General inputs'!$F$86,0))*IF($D53=U$19,1,0)</f>
        <v>0</v>
      </c>
      <c r="V53" s="169">
        <f>INDEX('MEC - public transport &amp; cars'!$E$296:$H$300,MATCH($C53,'MEC - public transport &amp; cars'!$C$296:$C$300,0),MATCH(V$18,'MEC - public transport &amp; cars'!$E$294:$H$294,0))*IF($E53=V$20,'General inputs'!$F$85,IF($C53=V$18,'General inputs'!$F$86,0))*IF($D53=V$19,1,0)</f>
        <v>0</v>
      </c>
      <c r="W53" s="169">
        <f>INDEX('MEC - public transport &amp; cars'!$E$296:$H$300,MATCH($C53,'MEC - public transport &amp; cars'!$C$296:$C$300,0),MATCH(W$18,'MEC - public transport &amp; cars'!$E$294:$H$294,0))*IF($E53=W$20,'General inputs'!$F$85,IF($C53=W$18,'General inputs'!$F$86,0))*IF($D53=W$19,1,0)</f>
        <v>0</v>
      </c>
      <c r="X53" s="169">
        <f>INDEX('MEC - public transport &amp; cars'!$E$296:$H$300,MATCH($C53,'MEC - public transport &amp; cars'!$C$296:$C$300,0),MATCH(X$18,'MEC - public transport &amp; cars'!$E$294:$H$294,0))*IF($E53=X$20,'General inputs'!$F$85,IF($C53=X$18,'General inputs'!$F$86,0))*IF($D53=X$19,1,0)</f>
        <v>0</v>
      </c>
      <c r="Y53" s="169">
        <f>INDEX('MEC - public transport &amp; cars'!$E$296:$H$300,MATCH($C53,'MEC - public transport &amp; cars'!$C$296:$C$300,0),MATCH(Y$18,'MEC - public transport &amp; cars'!$E$294:$H$294,0))*IF($E53=Y$20,'General inputs'!$F$85,IF($C53=Y$18,'General inputs'!$F$86,0))*IF($D53=Y$19,1,0)</f>
        <v>0</v>
      </c>
      <c r="Z53" s="169">
        <f>INDEX('MEC - public transport &amp; cars'!$E$296:$H$300,MATCH($C53,'MEC - public transport &amp; cars'!$C$296:$C$300,0),MATCH(Z$18,'MEC - public transport &amp; cars'!$E$294:$H$294,0))*IF($E53=Z$20,'General inputs'!$F$85,IF($C53=Z$18,'General inputs'!$F$86,0))*IF($D53=Z$19,1,0)</f>
        <v>0</v>
      </c>
      <c r="AA53" s="169">
        <f>INDEX('MEC - public transport &amp; cars'!$E$296:$H$300,MATCH($C53,'MEC - public transport &amp; cars'!$C$296:$C$300,0),MATCH(AA$18,'MEC - public transport &amp; cars'!$E$294:$H$294,0))*IF($E53=AA$20,'General inputs'!$F$85,IF($C53=AA$18,'General inputs'!$F$86,0))*IF($D53=AA$19,1,0)</f>
        <v>0</v>
      </c>
      <c r="AB53" s="169">
        <f>INDEX('MEC - public transport &amp; cars'!$E$296:$H$300,MATCH($C53,'MEC - public transport &amp; cars'!$C$296:$C$300,0),MATCH(AB$18,'MEC - public transport &amp; cars'!$E$294:$H$294,0))*IF($E53=AB$20,'General inputs'!$F$85,IF($C53=AB$18,'General inputs'!$F$86,0))*IF($D53=AB$19,1,0)</f>
        <v>0</v>
      </c>
      <c r="AC53" s="169">
        <f>INDEX('MEC - public transport &amp; cars'!$E$296:$H$300,MATCH($C53,'MEC - public transport &amp; cars'!$C$296:$C$300,0),MATCH(AC$18,'MEC - public transport &amp; cars'!$E$294:$H$294,0))*IF($E53=AC$20,'General inputs'!$F$85,IF($C53=AC$18,'General inputs'!$F$86,0))*IF($D53=AC$19,1,0)</f>
        <v>0</v>
      </c>
      <c r="AD53" s="169">
        <f>INDEX('MEC - public transport &amp; cars'!$E$296:$H$300,MATCH($C53,'MEC - public transport &amp; cars'!$C$296:$C$300,0),MATCH(AD$18,'MEC - public transport &amp; cars'!$E$294:$H$294,0))*IF($E53=AD$20,'General inputs'!$F$85,IF($C53=AD$18,'General inputs'!$F$86,0))*IF($D53=AD$19,1,0)</f>
        <v>0</v>
      </c>
      <c r="AE53" s="169">
        <f>INDEX('MEC - public transport &amp; cars'!$E$296:$H$300,MATCH($C53,'MEC - public transport &amp; cars'!$C$296:$C$300,0),MATCH(AE$18,'MEC - public transport &amp; cars'!$E$294:$H$294,0))*IF($E53=AE$20,'General inputs'!$F$85,IF($C53=AE$18,'General inputs'!$F$86,0))*IF($D53=AE$19,1,0)</f>
        <v>0</v>
      </c>
      <c r="AF53" s="169">
        <f>INDEX('MEC - public transport &amp; cars'!$E$296:$H$300,MATCH($C53,'MEC - public transport &amp; cars'!$C$296:$C$300,0),MATCH(AF$18,'MEC - public transport &amp; cars'!$E$294:$H$294,0))*IF($E53=AF$20,'General inputs'!$F$85,IF($C53=AF$18,'General inputs'!$F$86,0))*IF($D53=AF$19,1,0)</f>
        <v>0</v>
      </c>
      <c r="AG53" s="169">
        <f>INDEX('MEC - public transport &amp; cars'!$E$296:$H$300,MATCH($C53,'MEC - public transport &amp; cars'!$C$296:$C$300,0),MATCH(AG$18,'MEC - public transport &amp; cars'!$E$294:$H$294,0))*IF($E53=AG$20,'General inputs'!$F$85,IF($C53=AG$18,'General inputs'!$F$86,0))*IF($D53=AG$19,1,0)</f>
        <v>0</v>
      </c>
      <c r="AH53" s="169">
        <f>INDEX('MEC - public transport &amp; cars'!$E$296:$H$300,MATCH($C53,'MEC - public transport &amp; cars'!$C$296:$C$300,0),MATCH(AH$18,'MEC - public transport &amp; cars'!$E$294:$H$294,0))*IF($E53=AH$20,'General inputs'!$F$85,IF($C53=AH$18,'General inputs'!$F$86,0))*IF($D53=AH$19,1,0)</f>
        <v>-0.1</v>
      </c>
      <c r="AI53" s="169">
        <f>INDEX('MEC - public transport &amp; cars'!$E$296:$H$300,MATCH($C53,'MEC - public transport &amp; cars'!$C$296:$C$300,0),MATCH(AI$18,'MEC - public transport &amp; cars'!$E$294:$H$294,0))*IF($E53=AI$20,'General inputs'!$F$85,IF($C53=AI$18,'General inputs'!$F$86,0))*IF($D53=AI$19,1,0)</f>
        <v>0</v>
      </c>
      <c r="AJ53" s="169">
        <f>INDEX('MEC - public transport &amp; cars'!$E$296:$H$300,MATCH($C53,'MEC - public transport &amp; cars'!$C$296:$C$300,0),MATCH(AJ$18,'MEC - public transport &amp; cars'!$E$294:$H$294,0))*IF($E53=AJ$20,'General inputs'!$F$85,IF($C53=AJ$18,'General inputs'!$F$86,0))*IF($D53=AJ$19,1,0)</f>
        <v>0</v>
      </c>
      <c r="AK53" s="169">
        <f>INDEX('MEC - public transport &amp; cars'!$E$296:$H$300,MATCH($C53,'MEC - public transport &amp; cars'!$C$296:$C$300,0),MATCH(AK$18,'MEC - public transport &amp; cars'!$E$294:$H$294,0))*IF($E53=AK$20,'General inputs'!$F$85,IF($C53=AK$18,'General inputs'!$F$86,0))*IF($D53=AK$19,1,0)</f>
        <v>0</v>
      </c>
      <c r="AL53" s="169">
        <f>INDEX('MEC - public transport &amp; cars'!$E$296:$H$300,MATCH($C53,'MEC - public transport &amp; cars'!$C$296:$C$300,0),MATCH(AL$18,'MEC - public transport &amp; cars'!$E$294:$H$294,0))*IF($E53=AL$20,'General inputs'!$F$85,IF($C53=AL$18,'General inputs'!$F$86,0))*IF($D53=AL$19,1,0)</f>
        <v>1</v>
      </c>
      <c r="AM53" s="227">
        <f>INDEX('MEC - public transport &amp; cars'!$E$296:$H$300,MATCH($C53,'MEC - public transport &amp; cars'!$C$296:$C$300,0),MATCH(AM$18,'MEC - public transport &amp; cars'!$E$294:$H$294,0))*IF($E53=AM$20,'General inputs'!$F$85,IF($C53=AM$18,'General inputs'!$F$86,0))*IF($D53=AM$19,1,0)</f>
        <v>0</v>
      </c>
    </row>
    <row r="54" spans="3:39" x14ac:dyDescent="0.25">
      <c r="C54" s="244" t="str">
        <f>'Fare optimisation'!C115</f>
        <v>Light Rail</v>
      </c>
      <c r="D54" s="173">
        <f>'Fare optimisation'!D115</f>
        <v>25</v>
      </c>
      <c r="E54" s="172" t="str">
        <f>'Fare optimisation'!E115</f>
        <v>Off-peak</v>
      </c>
      <c r="F54" s="173">
        <f>'General inputs'!C60</f>
        <v>32</v>
      </c>
      <c r="H54" s="169">
        <f>INDEX('MEC - public transport &amp; cars'!$E$296:$H$300,MATCH($C54,'MEC - public transport &amp; cars'!$C$296:$C$300,0),MATCH(H$18,'MEC - public transport &amp; cars'!$E$294:$H$294,0))*IF($E54=H$20,'General inputs'!$F$85,IF($C54=H$18,'General inputs'!$F$86,0))*IF($D54=H$19,1,0)</f>
        <v>0</v>
      </c>
      <c r="I54" s="169">
        <f>INDEX('MEC - public transport &amp; cars'!$E$296:$H$300,MATCH($C54,'MEC - public transport &amp; cars'!$C$296:$C$300,0),MATCH(I$18,'MEC - public transport &amp; cars'!$E$294:$H$294,0))*IF($E54=I$20,'General inputs'!$F$85,IF($C54=I$18,'General inputs'!$F$86,0))*IF($D54=I$19,1,0)</f>
        <v>0</v>
      </c>
      <c r="J54" s="169">
        <f>INDEX('MEC - public transport &amp; cars'!$E$296:$H$300,MATCH($C54,'MEC - public transport &amp; cars'!$C$296:$C$300,0),MATCH(J$18,'MEC - public transport &amp; cars'!$E$294:$H$294,0))*IF($E54=J$20,'General inputs'!$F$85,IF($C54=J$18,'General inputs'!$F$86,0))*IF($D54=J$19,1,0)</f>
        <v>0</v>
      </c>
      <c r="K54" s="169">
        <f>INDEX('MEC - public transport &amp; cars'!$E$296:$H$300,MATCH($C54,'MEC - public transport &amp; cars'!$C$296:$C$300,0),MATCH(K$18,'MEC - public transport &amp; cars'!$E$294:$H$294,0))*IF($E54=K$20,'General inputs'!$F$85,IF($C54=K$18,'General inputs'!$F$86,0))*IF($D54=K$19,1,0)</f>
        <v>0</v>
      </c>
      <c r="L54" s="169">
        <f>INDEX('MEC - public transport &amp; cars'!$E$296:$H$300,MATCH($C54,'MEC - public transport &amp; cars'!$C$296:$C$300,0),MATCH(L$18,'MEC - public transport &amp; cars'!$E$294:$H$294,0))*IF($E54=L$20,'General inputs'!$F$85,IF($C54=L$18,'General inputs'!$F$86,0))*IF($D54=L$19,1,0)</f>
        <v>0</v>
      </c>
      <c r="M54" s="169">
        <f>INDEX('MEC - public transport &amp; cars'!$E$296:$H$300,MATCH($C54,'MEC - public transport &amp; cars'!$C$296:$C$300,0),MATCH(M$18,'MEC - public transport &amp; cars'!$E$294:$H$294,0))*IF($E54=M$20,'General inputs'!$F$85,IF($C54=M$18,'General inputs'!$F$86,0))*IF($D54=M$19,1,0)</f>
        <v>0</v>
      </c>
      <c r="N54" s="169">
        <f>INDEX('MEC - public transport &amp; cars'!$E$296:$H$300,MATCH($C54,'MEC - public transport &amp; cars'!$C$296:$C$300,0),MATCH(N$18,'MEC - public transport &amp; cars'!$E$294:$H$294,0))*IF($E54=N$20,'General inputs'!$F$85,IF($C54=N$18,'General inputs'!$F$86,0))*IF($D54=N$19,1,0)</f>
        <v>0</v>
      </c>
      <c r="O54" s="169">
        <f>INDEX('MEC - public transport &amp; cars'!$E$296:$H$300,MATCH($C54,'MEC - public transport &amp; cars'!$C$296:$C$300,0),MATCH(O$18,'MEC - public transport &amp; cars'!$E$294:$H$294,0))*IF($E54=O$20,'General inputs'!$F$85,IF($C54=O$18,'General inputs'!$F$86,0))*IF($D54=O$19,1,0)</f>
        <v>0</v>
      </c>
      <c r="P54" s="169">
        <f>INDEX('MEC - public transport &amp; cars'!$E$296:$H$300,MATCH($C54,'MEC - public transport &amp; cars'!$C$296:$C$300,0),MATCH(P$18,'MEC - public transport &amp; cars'!$E$294:$H$294,0))*IF($E54=P$20,'General inputs'!$F$85,IF($C54=P$18,'General inputs'!$F$86,0))*IF($D54=P$19,1,0)</f>
        <v>0</v>
      </c>
      <c r="Q54" s="169">
        <f>INDEX('MEC - public transport &amp; cars'!$E$296:$H$300,MATCH($C54,'MEC - public transport &amp; cars'!$C$296:$C$300,0),MATCH(Q$18,'MEC - public transport &amp; cars'!$E$294:$H$294,0))*IF($E54=Q$20,'General inputs'!$F$85,IF($C54=Q$18,'General inputs'!$F$86,0))*IF($D54=Q$19,1,0)</f>
        <v>0</v>
      </c>
      <c r="R54" s="169">
        <f>INDEX('MEC - public transport &amp; cars'!$E$296:$H$300,MATCH($C54,'MEC - public transport &amp; cars'!$C$296:$C$300,0),MATCH(R$18,'MEC - public transport &amp; cars'!$E$294:$H$294,0))*IF($E54=R$20,'General inputs'!$F$85,IF($C54=R$18,'General inputs'!$F$86,0))*IF($D54=R$19,1,0)</f>
        <v>0</v>
      </c>
      <c r="S54" s="169">
        <f>INDEX('MEC - public transport &amp; cars'!$E$296:$H$300,MATCH($C54,'MEC - public transport &amp; cars'!$C$296:$C$300,0),MATCH(S$18,'MEC - public transport &amp; cars'!$E$294:$H$294,0))*IF($E54=S$20,'General inputs'!$F$85,IF($C54=S$18,'General inputs'!$F$86,0))*IF($D54=S$19,1,0)</f>
        <v>0</v>
      </c>
      <c r="T54" s="169">
        <f>INDEX('MEC - public transport &amp; cars'!$E$296:$H$300,MATCH($C54,'MEC - public transport &amp; cars'!$C$296:$C$300,0),MATCH(T$18,'MEC - public transport &amp; cars'!$E$294:$H$294,0))*IF($E54=T$20,'General inputs'!$F$85,IF($C54=T$18,'General inputs'!$F$86,0))*IF($D54=T$19,1,0)</f>
        <v>0</v>
      </c>
      <c r="U54" s="169">
        <f>INDEX('MEC - public transport &amp; cars'!$E$296:$H$300,MATCH($C54,'MEC - public transport &amp; cars'!$C$296:$C$300,0),MATCH(U$18,'MEC - public transport &amp; cars'!$E$294:$H$294,0))*IF($E54=U$20,'General inputs'!$F$85,IF($C54=U$18,'General inputs'!$F$86,0))*IF($D54=U$19,1,0)</f>
        <v>0</v>
      </c>
      <c r="V54" s="169">
        <f>INDEX('MEC - public transport &amp; cars'!$E$296:$H$300,MATCH($C54,'MEC - public transport &amp; cars'!$C$296:$C$300,0),MATCH(V$18,'MEC - public transport &amp; cars'!$E$294:$H$294,0))*IF($E54=V$20,'General inputs'!$F$85,IF($C54=V$18,'General inputs'!$F$86,0))*IF($D54=V$19,1,0)</f>
        <v>0</v>
      </c>
      <c r="W54" s="169">
        <f>INDEX('MEC - public transport &amp; cars'!$E$296:$H$300,MATCH($C54,'MEC - public transport &amp; cars'!$C$296:$C$300,0),MATCH(W$18,'MEC - public transport &amp; cars'!$E$294:$H$294,0))*IF($E54=W$20,'General inputs'!$F$85,IF($C54=W$18,'General inputs'!$F$86,0))*IF($D54=W$19,1,0)</f>
        <v>0</v>
      </c>
      <c r="X54" s="169">
        <f>INDEX('MEC - public transport &amp; cars'!$E$296:$H$300,MATCH($C54,'MEC - public transport &amp; cars'!$C$296:$C$300,0),MATCH(X$18,'MEC - public transport &amp; cars'!$E$294:$H$294,0))*IF($E54=X$20,'General inputs'!$F$85,IF($C54=X$18,'General inputs'!$F$86,0))*IF($D54=X$19,1,0)</f>
        <v>0</v>
      </c>
      <c r="Y54" s="169">
        <f>INDEX('MEC - public transport &amp; cars'!$E$296:$H$300,MATCH($C54,'MEC - public transport &amp; cars'!$C$296:$C$300,0),MATCH(Y$18,'MEC - public transport &amp; cars'!$E$294:$H$294,0))*IF($E54=Y$20,'General inputs'!$F$85,IF($C54=Y$18,'General inputs'!$F$86,0))*IF($D54=Y$19,1,0)</f>
        <v>0</v>
      </c>
      <c r="Z54" s="169">
        <f>INDEX('MEC - public transport &amp; cars'!$E$296:$H$300,MATCH($C54,'MEC - public transport &amp; cars'!$C$296:$C$300,0),MATCH(Z$18,'MEC - public transport &amp; cars'!$E$294:$H$294,0))*IF($E54=Z$20,'General inputs'!$F$85,IF($C54=Z$18,'General inputs'!$F$86,0))*IF($D54=Z$19,1,0)</f>
        <v>0</v>
      </c>
      <c r="AA54" s="169">
        <f>INDEX('MEC - public transport &amp; cars'!$E$296:$H$300,MATCH($C54,'MEC - public transport &amp; cars'!$C$296:$C$300,0),MATCH(AA$18,'MEC - public transport &amp; cars'!$E$294:$H$294,0))*IF($E54=AA$20,'General inputs'!$F$85,IF($C54=AA$18,'General inputs'!$F$86,0))*IF($D54=AA$19,1,0)</f>
        <v>0</v>
      </c>
      <c r="AB54" s="169">
        <f>INDEX('MEC - public transport &amp; cars'!$E$296:$H$300,MATCH($C54,'MEC - public transport &amp; cars'!$C$296:$C$300,0),MATCH(AB$18,'MEC - public transport &amp; cars'!$E$294:$H$294,0))*IF($E54=AB$20,'General inputs'!$F$85,IF($C54=AB$18,'General inputs'!$F$86,0))*IF($D54=AB$19,1,0)</f>
        <v>0</v>
      </c>
      <c r="AC54" s="169">
        <f>INDEX('MEC - public transport &amp; cars'!$E$296:$H$300,MATCH($C54,'MEC - public transport &amp; cars'!$C$296:$C$300,0),MATCH(AC$18,'MEC - public transport &amp; cars'!$E$294:$H$294,0))*IF($E54=AC$20,'General inputs'!$F$85,IF($C54=AC$18,'General inputs'!$F$86,0))*IF($D54=AC$19,1,0)</f>
        <v>0</v>
      </c>
      <c r="AD54" s="169">
        <f>INDEX('MEC - public transport &amp; cars'!$E$296:$H$300,MATCH($C54,'MEC - public transport &amp; cars'!$C$296:$C$300,0),MATCH(AD$18,'MEC - public transport &amp; cars'!$E$294:$H$294,0))*IF($E54=AD$20,'General inputs'!$F$85,IF($C54=AD$18,'General inputs'!$F$86,0))*IF($D54=AD$19,1,0)</f>
        <v>0</v>
      </c>
      <c r="AE54" s="169">
        <f>INDEX('MEC - public transport &amp; cars'!$E$296:$H$300,MATCH($C54,'MEC - public transport &amp; cars'!$C$296:$C$300,0),MATCH(AE$18,'MEC - public transport &amp; cars'!$E$294:$H$294,0))*IF($E54=AE$20,'General inputs'!$F$85,IF($C54=AE$18,'General inputs'!$F$86,0))*IF($D54=AE$19,1,0)</f>
        <v>0</v>
      </c>
      <c r="AF54" s="169">
        <f>INDEX('MEC - public transport &amp; cars'!$E$296:$H$300,MATCH($C54,'MEC - public transport &amp; cars'!$C$296:$C$300,0),MATCH(AF$18,'MEC - public transport &amp; cars'!$E$294:$H$294,0))*IF($E54=AF$20,'General inputs'!$F$85,IF($C54=AF$18,'General inputs'!$F$86,0))*IF($D54=AF$19,1,0)</f>
        <v>0</v>
      </c>
      <c r="AG54" s="169">
        <f>INDEX('MEC - public transport &amp; cars'!$E$296:$H$300,MATCH($C54,'MEC - public transport &amp; cars'!$C$296:$C$300,0),MATCH(AG$18,'MEC - public transport &amp; cars'!$E$294:$H$294,0))*IF($E54=AG$20,'General inputs'!$F$85,IF($C54=AG$18,'General inputs'!$F$86,0))*IF($D54=AG$19,1,0)</f>
        <v>0</v>
      </c>
      <c r="AH54" s="169">
        <f>INDEX('MEC - public transport &amp; cars'!$E$296:$H$300,MATCH($C54,'MEC - public transport &amp; cars'!$C$296:$C$300,0),MATCH(AH$18,'MEC - public transport &amp; cars'!$E$294:$H$294,0))*IF($E54=AH$20,'General inputs'!$F$85,IF($C54=AH$18,'General inputs'!$F$86,0))*IF($D54=AH$19,1,0)</f>
        <v>0</v>
      </c>
      <c r="AI54" s="169">
        <f>INDEX('MEC - public transport &amp; cars'!$E$296:$H$300,MATCH($C54,'MEC - public transport &amp; cars'!$C$296:$C$300,0),MATCH(AI$18,'MEC - public transport &amp; cars'!$E$294:$H$294,0))*IF($E54=AI$20,'General inputs'!$F$85,IF($C54=AI$18,'General inputs'!$F$86,0))*IF($D54=AI$19,1,0)</f>
        <v>-0.1</v>
      </c>
      <c r="AJ54" s="169">
        <f>INDEX('MEC - public transport &amp; cars'!$E$296:$H$300,MATCH($C54,'MEC - public transport &amp; cars'!$C$296:$C$300,0),MATCH(AJ$18,'MEC - public transport &amp; cars'!$E$294:$H$294,0))*IF($E54=AJ$20,'General inputs'!$F$85,IF($C54=AJ$18,'General inputs'!$F$86,0))*IF($D54=AJ$19,1,0)</f>
        <v>0</v>
      </c>
      <c r="AK54" s="169">
        <f>INDEX('MEC - public transport &amp; cars'!$E$296:$H$300,MATCH($C54,'MEC - public transport &amp; cars'!$C$296:$C$300,0),MATCH(AK$18,'MEC - public transport &amp; cars'!$E$294:$H$294,0))*IF($E54=AK$20,'General inputs'!$F$85,IF($C54=AK$18,'General inputs'!$F$86,0))*IF($D54=AK$19,1,0)</f>
        <v>0</v>
      </c>
      <c r="AL54" s="169">
        <f>INDEX('MEC - public transport &amp; cars'!$E$296:$H$300,MATCH($C54,'MEC - public transport &amp; cars'!$C$296:$C$300,0),MATCH(AL$18,'MEC - public transport &amp; cars'!$E$294:$H$294,0))*IF($E54=AL$20,'General inputs'!$F$85,IF($C54=AL$18,'General inputs'!$F$86,0))*IF($D54=AL$19,1,0)</f>
        <v>0</v>
      </c>
      <c r="AM54" s="227">
        <f>INDEX('MEC - public transport &amp; cars'!$E$296:$H$300,MATCH($C54,'MEC - public transport &amp; cars'!$C$296:$C$300,0),MATCH(AM$18,'MEC - public transport &amp; cars'!$E$294:$H$294,0))*IF($E54=AM$20,'General inputs'!$F$85,IF($C54=AM$18,'General inputs'!$F$86,0))*IF($D54=AM$19,1,0)</f>
        <v>1</v>
      </c>
    </row>
    <row r="55" spans="3:39" x14ac:dyDescent="0.25">
      <c r="C55" s="244" t="str">
        <f>'Fare optimisation'!C116</f>
        <v>Car</v>
      </c>
      <c r="D55" s="173">
        <f>'Fare optimisation'!D116</f>
        <v>2</v>
      </c>
      <c r="E55" s="172" t="str">
        <f>'Fare optimisation'!E116</f>
        <v>Peak</v>
      </c>
      <c r="H55" s="169">
        <f>INDEX('MEC - public transport &amp; cars'!$E$296:$H$300,MATCH($C55,'MEC - public transport &amp; cars'!$C$296:$C$300,0),MATCH(H$18,'MEC - public transport &amp; cars'!$E$294:$H$294,0))*IF($E55=H$20,'General inputs'!$F$85,IF($C55=H$18,'General inputs'!$F$86,0))*IF($D55=H$19,1,0)</f>
        <v>-0.47460329026748327</v>
      </c>
      <c r="I55" s="169">
        <f>INDEX('MEC - public transport &amp; cars'!$E$296:$H$300,MATCH($C55,'MEC - public transport &amp; cars'!$C$296:$C$300,0),MATCH(I$18,'MEC - public transport &amp; cars'!$E$294:$H$294,0))*IF($E55=I$20,'General inputs'!$F$85,IF($C55=I$18,'General inputs'!$F$86,0))*IF($D55=I$19,1,0)</f>
        <v>0</v>
      </c>
      <c r="J55" s="169">
        <f>INDEX('MEC - public transport &amp; cars'!$E$296:$H$300,MATCH($C55,'MEC - public transport &amp; cars'!$C$296:$C$300,0),MATCH(J$18,'MEC - public transport &amp; cars'!$E$294:$H$294,0))*IF($E55=J$20,'General inputs'!$F$85,IF($C55=J$18,'General inputs'!$F$86,0))*IF($D55=J$19,1,0)</f>
        <v>0</v>
      </c>
      <c r="K55" s="169">
        <f>INDEX('MEC - public transport &amp; cars'!$E$296:$H$300,MATCH($C55,'MEC - public transport &amp; cars'!$C$296:$C$300,0),MATCH(K$18,'MEC - public transport &amp; cars'!$E$294:$H$294,0))*IF($E55=K$20,'General inputs'!$F$85,IF($C55=K$18,'General inputs'!$F$86,0))*IF($D55=K$19,1,0)</f>
        <v>0</v>
      </c>
      <c r="L55" s="169">
        <f>INDEX('MEC - public transport &amp; cars'!$E$296:$H$300,MATCH($C55,'MEC - public transport &amp; cars'!$C$296:$C$300,0),MATCH(L$18,'MEC - public transport &amp; cars'!$E$294:$H$294,0))*IF($E55=L$20,'General inputs'!$F$85,IF($C55=L$18,'General inputs'!$F$86,0))*IF($D55=L$19,1,0)</f>
        <v>0</v>
      </c>
      <c r="M55" s="169">
        <f>INDEX('MEC - public transport &amp; cars'!$E$296:$H$300,MATCH($C55,'MEC - public transport &amp; cars'!$C$296:$C$300,0),MATCH(M$18,'MEC - public transport &amp; cars'!$E$294:$H$294,0))*IF($E55=M$20,'General inputs'!$F$85,IF($C55=M$18,'General inputs'!$F$86,0))*IF($D55=M$19,1,0)</f>
        <v>0</v>
      </c>
      <c r="N55" s="169">
        <f>INDEX('MEC - public transport &amp; cars'!$E$296:$H$300,MATCH($C55,'MEC - public transport &amp; cars'!$C$296:$C$300,0),MATCH(N$18,'MEC - public transport &amp; cars'!$E$294:$H$294,0))*IF($E55=N$20,'General inputs'!$F$85,IF($C55=N$18,'General inputs'!$F$86,0))*IF($D55=N$19,1,0)</f>
        <v>0</v>
      </c>
      <c r="O55" s="169">
        <f>INDEX('MEC - public transport &amp; cars'!$E$296:$H$300,MATCH($C55,'MEC - public transport &amp; cars'!$C$296:$C$300,0),MATCH(O$18,'MEC - public transport &amp; cars'!$E$294:$H$294,0))*IF($E55=O$20,'General inputs'!$F$85,IF($C55=O$18,'General inputs'!$F$86,0))*IF($D55=O$19,1,0)</f>
        <v>0</v>
      </c>
      <c r="P55" s="169">
        <f>INDEX('MEC - public transport &amp; cars'!$E$296:$H$300,MATCH($C55,'MEC - public transport &amp; cars'!$C$296:$C$300,0),MATCH(P$18,'MEC - public transport &amp; cars'!$E$294:$H$294,0))*IF($E55=P$20,'General inputs'!$F$85,IF($C55=P$18,'General inputs'!$F$86,0))*IF($D55=P$19,1,0)</f>
        <v>-0.58175995049546914</v>
      </c>
      <c r="Q55" s="169">
        <f>INDEX('MEC - public transport &amp; cars'!$E$296:$H$300,MATCH($C55,'MEC - public transport &amp; cars'!$C$296:$C$300,0),MATCH(Q$18,'MEC - public transport &amp; cars'!$E$294:$H$294,0))*IF($E55=Q$20,'General inputs'!$F$85,IF($C55=Q$18,'General inputs'!$F$86,0))*IF($D55=Q$19,1,0)</f>
        <v>0</v>
      </c>
      <c r="R55" s="169">
        <f>INDEX('MEC - public transport &amp; cars'!$E$296:$H$300,MATCH($C55,'MEC - public transport &amp; cars'!$C$296:$C$300,0),MATCH(R$18,'MEC - public transport &amp; cars'!$E$294:$H$294,0))*IF($E55=R$20,'General inputs'!$F$85,IF($C55=R$18,'General inputs'!$F$86,0))*IF($D55=R$19,1,0)</f>
        <v>0</v>
      </c>
      <c r="S55" s="169">
        <f>INDEX('MEC - public transport &amp; cars'!$E$296:$H$300,MATCH($C55,'MEC - public transport &amp; cars'!$C$296:$C$300,0),MATCH(S$18,'MEC - public transport &amp; cars'!$E$294:$H$294,0))*IF($E55=S$20,'General inputs'!$F$85,IF($C55=S$18,'General inputs'!$F$86,0))*IF($D55=S$19,1,0)</f>
        <v>0</v>
      </c>
      <c r="T55" s="169">
        <f>INDEX('MEC - public transport &amp; cars'!$E$296:$H$300,MATCH($C55,'MEC - public transport &amp; cars'!$C$296:$C$300,0),MATCH(T$18,'MEC - public transport &amp; cars'!$E$294:$H$294,0))*IF($E55=T$20,'General inputs'!$F$85,IF($C55=T$18,'General inputs'!$F$86,0))*IF($D55=T$19,1,0)</f>
        <v>0</v>
      </c>
      <c r="U55" s="169">
        <f>INDEX('MEC - public transport &amp; cars'!$E$296:$H$300,MATCH($C55,'MEC - public transport &amp; cars'!$C$296:$C$300,0),MATCH(U$18,'MEC - public transport &amp; cars'!$E$294:$H$294,0))*IF($E55=U$20,'General inputs'!$F$85,IF($C55=U$18,'General inputs'!$F$86,0))*IF($D55=U$19,1,0)</f>
        <v>0</v>
      </c>
      <c r="V55" s="169">
        <f>INDEX('MEC - public transport &amp; cars'!$E$296:$H$300,MATCH($C55,'MEC - public transport &amp; cars'!$C$296:$C$300,0),MATCH(V$18,'MEC - public transport &amp; cars'!$E$294:$H$294,0))*IF($E55=V$20,'General inputs'!$F$85,IF($C55=V$18,'General inputs'!$F$86,0))*IF($D55=V$19,1,0)</f>
        <v>0</v>
      </c>
      <c r="W55" s="169">
        <f>INDEX('MEC - public transport &amp; cars'!$E$296:$H$300,MATCH($C55,'MEC - public transport &amp; cars'!$C$296:$C$300,0),MATCH(W$18,'MEC - public transport &amp; cars'!$E$294:$H$294,0))*IF($E55=W$20,'General inputs'!$F$85,IF($C55=W$18,'General inputs'!$F$86,0))*IF($D55=W$19,1,0)</f>
        <v>0</v>
      </c>
      <c r="X55" s="169">
        <f>INDEX('MEC - public transport &amp; cars'!$E$296:$H$300,MATCH($C55,'MEC - public transport &amp; cars'!$C$296:$C$300,0),MATCH(X$18,'MEC - public transport &amp; cars'!$E$294:$H$294,0))*IF($E55=X$20,'General inputs'!$F$85,IF($C55=X$18,'General inputs'!$F$86,0))*IF($D55=X$19,1,0)</f>
        <v>-0.71867115222876365</v>
      </c>
      <c r="Y55" s="169">
        <f>INDEX('MEC - public transport &amp; cars'!$E$296:$H$300,MATCH($C55,'MEC - public transport &amp; cars'!$C$296:$C$300,0),MATCH(Y$18,'MEC - public transport &amp; cars'!$E$294:$H$294,0))*IF($E55=Y$20,'General inputs'!$F$85,IF($C55=Y$18,'General inputs'!$F$86,0))*IF($D55=Y$19,1,0)</f>
        <v>0</v>
      </c>
      <c r="Z55" s="169">
        <f>INDEX('MEC - public transport &amp; cars'!$E$296:$H$300,MATCH($C55,'MEC - public transport &amp; cars'!$C$296:$C$300,0),MATCH(Z$18,'MEC - public transport &amp; cars'!$E$294:$H$294,0))*IF($E55=Z$20,'General inputs'!$F$85,IF($C55=Z$18,'General inputs'!$F$86,0))*IF($D55=Z$19,1,0)</f>
        <v>0</v>
      </c>
      <c r="AA55" s="169">
        <f>INDEX('MEC - public transport &amp; cars'!$E$296:$H$300,MATCH($C55,'MEC - public transport &amp; cars'!$C$296:$C$300,0),MATCH(AA$18,'MEC - public transport &amp; cars'!$E$294:$H$294,0))*IF($E55=AA$20,'General inputs'!$F$85,IF($C55=AA$18,'General inputs'!$F$86,0))*IF($D55=AA$19,1,0)</f>
        <v>0</v>
      </c>
      <c r="AB55" s="169">
        <f>INDEX('MEC - public transport &amp; cars'!$E$296:$H$300,MATCH($C55,'MEC - public transport &amp; cars'!$C$296:$C$300,0),MATCH(AB$18,'MEC - public transport &amp; cars'!$E$294:$H$294,0))*IF($E55=AB$20,'General inputs'!$F$85,IF($C55=AB$18,'General inputs'!$F$86,0))*IF($D55=AB$19,1,0)</f>
        <v>0</v>
      </c>
      <c r="AC55" s="169">
        <f>INDEX('MEC - public transport &amp; cars'!$E$296:$H$300,MATCH($C55,'MEC - public transport &amp; cars'!$C$296:$C$300,0),MATCH(AC$18,'MEC - public transport &amp; cars'!$E$294:$H$294,0))*IF($E55=AC$20,'General inputs'!$F$85,IF($C55=AC$18,'General inputs'!$F$86,0))*IF($D55=AC$19,1,0)</f>
        <v>0</v>
      </c>
      <c r="AD55" s="169">
        <f>INDEX('MEC - public transport &amp; cars'!$E$296:$H$300,MATCH($C55,'MEC - public transport &amp; cars'!$C$296:$C$300,0),MATCH(AD$18,'MEC - public transport &amp; cars'!$E$294:$H$294,0))*IF($E55=AD$20,'General inputs'!$F$85,IF($C55=AD$18,'General inputs'!$F$86,0))*IF($D55=AD$19,1,0)</f>
        <v>0</v>
      </c>
      <c r="AE55" s="169">
        <f>INDEX('MEC - public transport &amp; cars'!$E$296:$H$300,MATCH($C55,'MEC - public transport &amp; cars'!$C$296:$C$300,0),MATCH(AE$18,'MEC - public transport &amp; cars'!$E$294:$H$294,0))*IF($E55=AE$20,'General inputs'!$F$85,IF($C55=AE$18,'General inputs'!$F$86,0))*IF($D55=AE$19,1,0)</f>
        <v>0</v>
      </c>
      <c r="AF55" s="169">
        <f>INDEX('MEC - public transport &amp; cars'!$E$296:$H$300,MATCH($C55,'MEC - public transport &amp; cars'!$C$296:$C$300,0),MATCH(AF$18,'MEC - public transport &amp; cars'!$E$294:$H$294,0))*IF($E55=AF$20,'General inputs'!$F$85,IF($C55=AF$18,'General inputs'!$F$86,0))*IF($D55=AF$19,1,0)</f>
        <v>-0.64331282355196873</v>
      </c>
      <c r="AG55" s="169">
        <f>INDEX('MEC - public transport &amp; cars'!$E$296:$H$300,MATCH($C55,'MEC - public transport &amp; cars'!$C$296:$C$300,0),MATCH(AG$18,'MEC - public transport &amp; cars'!$E$294:$H$294,0))*IF($E55=AG$20,'General inputs'!$F$85,IF($C55=AG$18,'General inputs'!$F$86,0))*IF($D55=AG$19,1,0)</f>
        <v>0</v>
      </c>
      <c r="AH55" s="169">
        <f>INDEX('MEC - public transport &amp; cars'!$E$296:$H$300,MATCH($C55,'MEC - public transport &amp; cars'!$C$296:$C$300,0),MATCH(AH$18,'MEC - public transport &amp; cars'!$E$294:$H$294,0))*IF($E55=AH$20,'General inputs'!$F$85,IF($C55=AH$18,'General inputs'!$F$86,0))*IF($D55=AH$19,1,0)</f>
        <v>0</v>
      </c>
      <c r="AI55" s="169">
        <f>INDEX('MEC - public transport &amp; cars'!$E$296:$H$300,MATCH($C55,'MEC - public transport &amp; cars'!$C$296:$C$300,0),MATCH(AI$18,'MEC - public transport &amp; cars'!$E$294:$H$294,0))*IF($E55=AI$20,'General inputs'!$F$85,IF($C55=AI$18,'General inputs'!$F$86,0))*IF($D55=AI$19,1,0)</f>
        <v>0</v>
      </c>
      <c r="AJ55" s="169">
        <f>INDEX('MEC - public transport &amp; cars'!$E$296:$H$300,MATCH($C55,'MEC - public transport &amp; cars'!$C$296:$C$300,0),MATCH(AJ$18,'MEC - public transport &amp; cars'!$E$294:$H$294,0))*IF($E55=AJ$20,'General inputs'!$F$85,IF($C55=AJ$18,'General inputs'!$F$86,0))*IF($D55=AJ$19,1,0)</f>
        <v>0</v>
      </c>
      <c r="AK55" s="169">
        <f>INDEX('MEC - public transport &amp; cars'!$E$296:$H$300,MATCH($C55,'MEC - public transport &amp; cars'!$C$296:$C$300,0),MATCH(AK$18,'MEC - public transport &amp; cars'!$E$294:$H$294,0))*IF($E55=AK$20,'General inputs'!$F$85,IF($C55=AK$18,'General inputs'!$F$86,0))*IF($D55=AK$19,1,0)</f>
        <v>0</v>
      </c>
      <c r="AL55" s="169">
        <f>INDEX('MEC - public transport &amp; cars'!$E$296:$H$300,MATCH($C55,'MEC - public transport &amp; cars'!$C$296:$C$300,0),MATCH(AL$18,'MEC - public transport &amp; cars'!$E$294:$H$294,0))*IF($E55=AL$20,'General inputs'!$F$85,IF($C55=AL$18,'General inputs'!$F$86,0))*IF($D55=AL$19,1,0)</f>
        <v>0</v>
      </c>
      <c r="AM55" s="227">
        <f>INDEX('MEC - public transport &amp; cars'!$E$296:$H$300,MATCH($C55,'MEC - public transport &amp; cars'!$C$296:$C$300,0),MATCH(AM$18,'MEC - public transport &amp; cars'!$E$294:$H$294,0))*IF($E55=AM$20,'General inputs'!$F$85,IF($C55=AM$18,'General inputs'!$F$86,0))*IF($D55=AM$19,1,0)</f>
        <v>0</v>
      </c>
    </row>
    <row r="56" spans="3:39" x14ac:dyDescent="0.25">
      <c r="C56" s="244" t="str">
        <f>'Fare optimisation'!C117</f>
        <v>Car</v>
      </c>
      <c r="D56" s="173">
        <f>'Fare optimisation'!D117</f>
        <v>5</v>
      </c>
      <c r="E56" s="172" t="str">
        <f>'Fare optimisation'!E117</f>
        <v>Peak</v>
      </c>
      <c r="H56" s="169">
        <f>INDEX('MEC - public transport &amp; cars'!$E$296:$H$300,MATCH($C56,'MEC - public transport &amp; cars'!$C$296:$C$300,0),MATCH(H$18,'MEC - public transport &amp; cars'!$E$294:$H$294,0))*IF($E56=H$20,'General inputs'!$F$85,IF($C56=H$18,'General inputs'!$F$86,0))*IF($D56=H$19,1,0)</f>
        <v>0</v>
      </c>
      <c r="I56" s="169">
        <f>INDEX('MEC - public transport &amp; cars'!$E$296:$H$300,MATCH($C56,'MEC - public transport &amp; cars'!$C$296:$C$300,0),MATCH(I$18,'MEC - public transport &amp; cars'!$E$294:$H$294,0))*IF($E56=I$20,'General inputs'!$F$85,IF($C56=I$18,'General inputs'!$F$86,0))*IF($D56=I$19,1,0)</f>
        <v>-0.47460329026748327</v>
      </c>
      <c r="J56" s="169">
        <f>INDEX('MEC - public transport &amp; cars'!$E$296:$H$300,MATCH($C56,'MEC - public transport &amp; cars'!$C$296:$C$300,0),MATCH(J$18,'MEC - public transport &amp; cars'!$E$294:$H$294,0))*IF($E56=J$20,'General inputs'!$F$85,IF($C56=J$18,'General inputs'!$F$86,0))*IF($D56=J$19,1,0)</f>
        <v>0</v>
      </c>
      <c r="K56" s="169">
        <f>INDEX('MEC - public transport &amp; cars'!$E$296:$H$300,MATCH($C56,'MEC - public transport &amp; cars'!$C$296:$C$300,0),MATCH(K$18,'MEC - public transport &amp; cars'!$E$294:$H$294,0))*IF($E56=K$20,'General inputs'!$F$85,IF($C56=K$18,'General inputs'!$F$86,0))*IF($D56=K$19,1,0)</f>
        <v>0</v>
      </c>
      <c r="L56" s="169">
        <f>INDEX('MEC - public transport &amp; cars'!$E$296:$H$300,MATCH($C56,'MEC - public transport &amp; cars'!$C$296:$C$300,0),MATCH(L$18,'MEC - public transport &amp; cars'!$E$294:$H$294,0))*IF($E56=L$20,'General inputs'!$F$85,IF($C56=L$18,'General inputs'!$F$86,0))*IF($D56=L$19,1,0)</f>
        <v>0</v>
      </c>
      <c r="M56" s="169">
        <f>INDEX('MEC - public transport &amp; cars'!$E$296:$H$300,MATCH($C56,'MEC - public transport &amp; cars'!$C$296:$C$300,0),MATCH(M$18,'MEC - public transport &amp; cars'!$E$294:$H$294,0))*IF($E56=M$20,'General inputs'!$F$85,IF($C56=M$18,'General inputs'!$F$86,0))*IF($D56=M$19,1,0)</f>
        <v>0</v>
      </c>
      <c r="N56" s="169">
        <f>INDEX('MEC - public transport &amp; cars'!$E$296:$H$300,MATCH($C56,'MEC - public transport &amp; cars'!$C$296:$C$300,0),MATCH(N$18,'MEC - public transport &amp; cars'!$E$294:$H$294,0))*IF($E56=N$20,'General inputs'!$F$85,IF($C56=N$18,'General inputs'!$F$86,0))*IF($D56=N$19,1,0)</f>
        <v>0</v>
      </c>
      <c r="O56" s="169">
        <f>INDEX('MEC - public transport &amp; cars'!$E$296:$H$300,MATCH($C56,'MEC - public transport &amp; cars'!$C$296:$C$300,0),MATCH(O$18,'MEC - public transport &amp; cars'!$E$294:$H$294,0))*IF($E56=O$20,'General inputs'!$F$85,IF($C56=O$18,'General inputs'!$F$86,0))*IF($D56=O$19,1,0)</f>
        <v>0</v>
      </c>
      <c r="P56" s="169">
        <f>INDEX('MEC - public transport &amp; cars'!$E$296:$H$300,MATCH($C56,'MEC - public transport &amp; cars'!$C$296:$C$300,0),MATCH(P$18,'MEC - public transport &amp; cars'!$E$294:$H$294,0))*IF($E56=P$20,'General inputs'!$F$85,IF($C56=P$18,'General inputs'!$F$86,0))*IF($D56=P$19,1,0)</f>
        <v>0</v>
      </c>
      <c r="Q56" s="169">
        <f>INDEX('MEC - public transport &amp; cars'!$E$296:$H$300,MATCH($C56,'MEC - public transport &amp; cars'!$C$296:$C$300,0),MATCH(Q$18,'MEC - public transport &amp; cars'!$E$294:$H$294,0))*IF($E56=Q$20,'General inputs'!$F$85,IF($C56=Q$18,'General inputs'!$F$86,0))*IF($D56=Q$19,1,0)</f>
        <v>-0.58175995049546914</v>
      </c>
      <c r="R56" s="169">
        <f>INDEX('MEC - public transport &amp; cars'!$E$296:$H$300,MATCH($C56,'MEC - public transport &amp; cars'!$C$296:$C$300,0),MATCH(R$18,'MEC - public transport &amp; cars'!$E$294:$H$294,0))*IF($E56=R$20,'General inputs'!$F$85,IF($C56=R$18,'General inputs'!$F$86,0))*IF($D56=R$19,1,0)</f>
        <v>0</v>
      </c>
      <c r="S56" s="169">
        <f>INDEX('MEC - public transport &amp; cars'!$E$296:$H$300,MATCH($C56,'MEC - public transport &amp; cars'!$C$296:$C$300,0),MATCH(S$18,'MEC - public transport &amp; cars'!$E$294:$H$294,0))*IF($E56=S$20,'General inputs'!$F$85,IF($C56=S$18,'General inputs'!$F$86,0))*IF($D56=S$19,1,0)</f>
        <v>0</v>
      </c>
      <c r="T56" s="169">
        <f>INDEX('MEC - public transport &amp; cars'!$E$296:$H$300,MATCH($C56,'MEC - public transport &amp; cars'!$C$296:$C$300,0),MATCH(T$18,'MEC - public transport &amp; cars'!$E$294:$H$294,0))*IF($E56=T$20,'General inputs'!$F$85,IF($C56=T$18,'General inputs'!$F$86,0))*IF($D56=T$19,1,0)</f>
        <v>0</v>
      </c>
      <c r="U56" s="169">
        <f>INDEX('MEC - public transport &amp; cars'!$E$296:$H$300,MATCH($C56,'MEC - public transport &amp; cars'!$C$296:$C$300,0),MATCH(U$18,'MEC - public transport &amp; cars'!$E$294:$H$294,0))*IF($E56=U$20,'General inputs'!$F$85,IF($C56=U$18,'General inputs'!$F$86,0))*IF($D56=U$19,1,0)</f>
        <v>0</v>
      </c>
      <c r="V56" s="169">
        <f>INDEX('MEC - public transport &amp; cars'!$E$296:$H$300,MATCH($C56,'MEC - public transport &amp; cars'!$C$296:$C$300,0),MATCH(V$18,'MEC - public transport &amp; cars'!$E$294:$H$294,0))*IF($E56=V$20,'General inputs'!$F$85,IF($C56=V$18,'General inputs'!$F$86,0))*IF($D56=V$19,1,0)</f>
        <v>0</v>
      </c>
      <c r="W56" s="169">
        <f>INDEX('MEC - public transport &amp; cars'!$E$296:$H$300,MATCH($C56,'MEC - public transport &amp; cars'!$C$296:$C$300,0),MATCH(W$18,'MEC - public transport &amp; cars'!$E$294:$H$294,0))*IF($E56=W$20,'General inputs'!$F$85,IF($C56=W$18,'General inputs'!$F$86,0))*IF($D56=W$19,1,0)</f>
        <v>0</v>
      </c>
      <c r="X56" s="169">
        <f>INDEX('MEC - public transport &amp; cars'!$E$296:$H$300,MATCH($C56,'MEC - public transport &amp; cars'!$C$296:$C$300,0),MATCH(X$18,'MEC - public transport &amp; cars'!$E$294:$H$294,0))*IF($E56=X$20,'General inputs'!$F$85,IF($C56=X$18,'General inputs'!$F$86,0))*IF($D56=X$19,1,0)</f>
        <v>0</v>
      </c>
      <c r="Y56" s="169">
        <f>INDEX('MEC - public transport &amp; cars'!$E$296:$H$300,MATCH($C56,'MEC - public transport &amp; cars'!$C$296:$C$300,0),MATCH(Y$18,'MEC - public transport &amp; cars'!$E$294:$H$294,0))*IF($E56=Y$20,'General inputs'!$F$85,IF($C56=Y$18,'General inputs'!$F$86,0))*IF($D56=Y$19,1,0)</f>
        <v>-0.71867115222876365</v>
      </c>
      <c r="Z56" s="169">
        <f>INDEX('MEC - public transport &amp; cars'!$E$296:$H$300,MATCH($C56,'MEC - public transport &amp; cars'!$C$296:$C$300,0),MATCH(Z$18,'MEC - public transport &amp; cars'!$E$294:$H$294,0))*IF($E56=Z$20,'General inputs'!$F$85,IF($C56=Z$18,'General inputs'!$F$86,0))*IF($D56=Z$19,1,0)</f>
        <v>0</v>
      </c>
      <c r="AA56" s="169">
        <f>INDEX('MEC - public transport &amp; cars'!$E$296:$H$300,MATCH($C56,'MEC - public transport &amp; cars'!$C$296:$C$300,0),MATCH(AA$18,'MEC - public transport &amp; cars'!$E$294:$H$294,0))*IF($E56=AA$20,'General inputs'!$F$85,IF($C56=AA$18,'General inputs'!$F$86,0))*IF($D56=AA$19,1,0)</f>
        <v>0</v>
      </c>
      <c r="AB56" s="169">
        <f>INDEX('MEC - public transport &amp; cars'!$E$296:$H$300,MATCH($C56,'MEC - public transport &amp; cars'!$C$296:$C$300,0),MATCH(AB$18,'MEC - public transport &amp; cars'!$E$294:$H$294,0))*IF($E56=AB$20,'General inputs'!$F$85,IF($C56=AB$18,'General inputs'!$F$86,0))*IF($D56=AB$19,1,0)</f>
        <v>0</v>
      </c>
      <c r="AC56" s="169">
        <f>INDEX('MEC - public transport &amp; cars'!$E$296:$H$300,MATCH($C56,'MEC - public transport &amp; cars'!$C$296:$C$300,0),MATCH(AC$18,'MEC - public transport &amp; cars'!$E$294:$H$294,0))*IF($E56=AC$20,'General inputs'!$F$85,IF($C56=AC$18,'General inputs'!$F$86,0))*IF($D56=AC$19,1,0)</f>
        <v>0</v>
      </c>
      <c r="AD56" s="169">
        <f>INDEX('MEC - public transport &amp; cars'!$E$296:$H$300,MATCH($C56,'MEC - public transport &amp; cars'!$C$296:$C$300,0),MATCH(AD$18,'MEC - public transport &amp; cars'!$E$294:$H$294,0))*IF($E56=AD$20,'General inputs'!$F$85,IF($C56=AD$18,'General inputs'!$F$86,0))*IF($D56=AD$19,1,0)</f>
        <v>0</v>
      </c>
      <c r="AE56" s="169">
        <f>INDEX('MEC - public transport &amp; cars'!$E$296:$H$300,MATCH($C56,'MEC - public transport &amp; cars'!$C$296:$C$300,0),MATCH(AE$18,'MEC - public transport &amp; cars'!$E$294:$H$294,0))*IF($E56=AE$20,'General inputs'!$F$85,IF($C56=AE$18,'General inputs'!$F$86,0))*IF($D56=AE$19,1,0)</f>
        <v>0</v>
      </c>
      <c r="AF56" s="169">
        <f>INDEX('MEC - public transport &amp; cars'!$E$296:$H$300,MATCH($C56,'MEC - public transport &amp; cars'!$C$296:$C$300,0),MATCH(AF$18,'MEC - public transport &amp; cars'!$E$294:$H$294,0))*IF($E56=AF$20,'General inputs'!$F$85,IF($C56=AF$18,'General inputs'!$F$86,0))*IF($D56=AF$19,1,0)</f>
        <v>0</v>
      </c>
      <c r="AG56" s="169">
        <f>INDEX('MEC - public transport &amp; cars'!$E$296:$H$300,MATCH($C56,'MEC - public transport &amp; cars'!$C$296:$C$300,0),MATCH(AG$18,'MEC - public transport &amp; cars'!$E$294:$H$294,0))*IF($E56=AG$20,'General inputs'!$F$85,IF($C56=AG$18,'General inputs'!$F$86,0))*IF($D56=AG$19,1,0)</f>
        <v>-0.64331282355196873</v>
      </c>
      <c r="AH56" s="169">
        <f>INDEX('MEC - public transport &amp; cars'!$E$296:$H$300,MATCH($C56,'MEC - public transport &amp; cars'!$C$296:$C$300,0),MATCH(AH$18,'MEC - public transport &amp; cars'!$E$294:$H$294,0))*IF($E56=AH$20,'General inputs'!$F$85,IF($C56=AH$18,'General inputs'!$F$86,0))*IF($D56=AH$19,1,0)</f>
        <v>0</v>
      </c>
      <c r="AI56" s="169">
        <f>INDEX('MEC - public transport &amp; cars'!$E$296:$H$300,MATCH($C56,'MEC - public transport &amp; cars'!$C$296:$C$300,0),MATCH(AI$18,'MEC - public transport &amp; cars'!$E$294:$H$294,0))*IF($E56=AI$20,'General inputs'!$F$85,IF($C56=AI$18,'General inputs'!$F$86,0))*IF($D56=AI$19,1,0)</f>
        <v>0</v>
      </c>
      <c r="AJ56" s="169">
        <f>INDEX('MEC - public transport &amp; cars'!$E$296:$H$300,MATCH($C56,'MEC - public transport &amp; cars'!$C$296:$C$300,0),MATCH(AJ$18,'MEC - public transport &amp; cars'!$E$294:$H$294,0))*IF($E56=AJ$20,'General inputs'!$F$85,IF($C56=AJ$18,'General inputs'!$F$86,0))*IF($D56=AJ$19,1,0)</f>
        <v>0</v>
      </c>
      <c r="AK56" s="169">
        <f>INDEX('MEC - public transport &amp; cars'!$E$296:$H$300,MATCH($C56,'MEC - public transport &amp; cars'!$C$296:$C$300,0),MATCH(AK$18,'MEC - public transport &amp; cars'!$E$294:$H$294,0))*IF($E56=AK$20,'General inputs'!$F$85,IF($C56=AK$18,'General inputs'!$F$86,0))*IF($D56=AK$19,1,0)</f>
        <v>0</v>
      </c>
      <c r="AL56" s="169">
        <f>INDEX('MEC - public transport &amp; cars'!$E$296:$H$300,MATCH($C56,'MEC - public transport &amp; cars'!$C$296:$C$300,0),MATCH(AL$18,'MEC - public transport &amp; cars'!$E$294:$H$294,0))*IF($E56=AL$20,'General inputs'!$F$85,IF($C56=AL$18,'General inputs'!$F$86,0))*IF($D56=AL$19,1,0)</f>
        <v>0</v>
      </c>
      <c r="AM56" s="227">
        <f>INDEX('MEC - public transport &amp; cars'!$E$296:$H$300,MATCH($C56,'MEC - public transport &amp; cars'!$C$296:$C$300,0),MATCH(AM$18,'MEC - public transport &amp; cars'!$E$294:$H$294,0))*IF($E56=AM$20,'General inputs'!$F$85,IF($C56=AM$18,'General inputs'!$F$86,0))*IF($D56=AM$19,1,0)</f>
        <v>0</v>
      </c>
    </row>
    <row r="57" spans="3:39" x14ac:dyDescent="0.25">
      <c r="C57" s="244" t="str">
        <f>'Fare optimisation'!C118</f>
        <v>Car</v>
      </c>
      <c r="D57" s="173">
        <f>'Fare optimisation'!D118</f>
        <v>15</v>
      </c>
      <c r="E57" s="172" t="str">
        <f>'Fare optimisation'!E118</f>
        <v>Peak</v>
      </c>
      <c r="H57" s="169">
        <f>INDEX('MEC - public transport &amp; cars'!$E$296:$H$300,MATCH($C57,'MEC - public transport &amp; cars'!$C$296:$C$300,0),MATCH(H$18,'MEC - public transport &amp; cars'!$E$294:$H$294,0))*IF($E57=H$20,'General inputs'!$F$85,IF($C57=H$18,'General inputs'!$F$86,0))*IF($D57=H$19,1,0)</f>
        <v>0</v>
      </c>
      <c r="I57" s="169">
        <f>INDEX('MEC - public transport &amp; cars'!$E$296:$H$300,MATCH($C57,'MEC - public transport &amp; cars'!$C$296:$C$300,0),MATCH(I$18,'MEC - public transport &amp; cars'!$E$294:$H$294,0))*IF($E57=I$20,'General inputs'!$F$85,IF($C57=I$18,'General inputs'!$F$86,0))*IF($D57=I$19,1,0)</f>
        <v>0</v>
      </c>
      <c r="J57" s="169">
        <f>INDEX('MEC - public transport &amp; cars'!$E$296:$H$300,MATCH($C57,'MEC - public transport &amp; cars'!$C$296:$C$300,0),MATCH(J$18,'MEC - public transport &amp; cars'!$E$294:$H$294,0))*IF($E57=J$20,'General inputs'!$F$85,IF($C57=J$18,'General inputs'!$F$86,0))*IF($D57=J$19,1,0)</f>
        <v>-0.47460329026748327</v>
      </c>
      <c r="K57" s="169">
        <f>INDEX('MEC - public transport &amp; cars'!$E$296:$H$300,MATCH($C57,'MEC - public transport &amp; cars'!$C$296:$C$300,0),MATCH(K$18,'MEC - public transport &amp; cars'!$E$294:$H$294,0))*IF($E57=K$20,'General inputs'!$F$85,IF($C57=K$18,'General inputs'!$F$86,0))*IF($D57=K$19,1,0)</f>
        <v>0</v>
      </c>
      <c r="L57" s="169">
        <f>INDEX('MEC - public transport &amp; cars'!$E$296:$H$300,MATCH($C57,'MEC - public transport &amp; cars'!$C$296:$C$300,0),MATCH(L$18,'MEC - public transport &amp; cars'!$E$294:$H$294,0))*IF($E57=L$20,'General inputs'!$F$85,IF($C57=L$18,'General inputs'!$F$86,0))*IF($D57=L$19,1,0)</f>
        <v>0</v>
      </c>
      <c r="M57" s="169">
        <f>INDEX('MEC - public transport &amp; cars'!$E$296:$H$300,MATCH($C57,'MEC - public transport &amp; cars'!$C$296:$C$300,0),MATCH(M$18,'MEC - public transport &amp; cars'!$E$294:$H$294,0))*IF($E57=M$20,'General inputs'!$F$85,IF($C57=M$18,'General inputs'!$F$86,0))*IF($D57=M$19,1,0)</f>
        <v>0</v>
      </c>
      <c r="N57" s="169">
        <f>INDEX('MEC - public transport &amp; cars'!$E$296:$H$300,MATCH($C57,'MEC - public transport &amp; cars'!$C$296:$C$300,0),MATCH(N$18,'MEC - public transport &amp; cars'!$E$294:$H$294,0))*IF($E57=N$20,'General inputs'!$F$85,IF($C57=N$18,'General inputs'!$F$86,0))*IF($D57=N$19,1,0)</f>
        <v>0</v>
      </c>
      <c r="O57" s="169">
        <f>INDEX('MEC - public transport &amp; cars'!$E$296:$H$300,MATCH($C57,'MEC - public transport &amp; cars'!$C$296:$C$300,0),MATCH(O$18,'MEC - public transport &amp; cars'!$E$294:$H$294,0))*IF($E57=O$20,'General inputs'!$F$85,IF($C57=O$18,'General inputs'!$F$86,0))*IF($D57=O$19,1,0)</f>
        <v>0</v>
      </c>
      <c r="P57" s="169">
        <f>INDEX('MEC - public transport &amp; cars'!$E$296:$H$300,MATCH($C57,'MEC - public transport &amp; cars'!$C$296:$C$300,0),MATCH(P$18,'MEC - public transport &amp; cars'!$E$294:$H$294,0))*IF($E57=P$20,'General inputs'!$F$85,IF($C57=P$18,'General inputs'!$F$86,0))*IF($D57=P$19,1,0)</f>
        <v>0</v>
      </c>
      <c r="Q57" s="169">
        <f>INDEX('MEC - public transport &amp; cars'!$E$296:$H$300,MATCH($C57,'MEC - public transport &amp; cars'!$C$296:$C$300,0),MATCH(Q$18,'MEC - public transport &amp; cars'!$E$294:$H$294,0))*IF($E57=Q$20,'General inputs'!$F$85,IF($C57=Q$18,'General inputs'!$F$86,0))*IF($D57=Q$19,1,0)</f>
        <v>0</v>
      </c>
      <c r="R57" s="169">
        <f>INDEX('MEC - public transport &amp; cars'!$E$296:$H$300,MATCH($C57,'MEC - public transport &amp; cars'!$C$296:$C$300,0),MATCH(R$18,'MEC - public transport &amp; cars'!$E$294:$H$294,0))*IF($E57=R$20,'General inputs'!$F$85,IF($C57=R$18,'General inputs'!$F$86,0))*IF($D57=R$19,1,0)</f>
        <v>-0.58175995049546914</v>
      </c>
      <c r="S57" s="169">
        <f>INDEX('MEC - public transport &amp; cars'!$E$296:$H$300,MATCH($C57,'MEC - public transport &amp; cars'!$C$296:$C$300,0),MATCH(S$18,'MEC - public transport &amp; cars'!$E$294:$H$294,0))*IF($E57=S$20,'General inputs'!$F$85,IF($C57=S$18,'General inputs'!$F$86,0))*IF($D57=S$19,1,0)</f>
        <v>0</v>
      </c>
      <c r="T57" s="169">
        <f>INDEX('MEC - public transport &amp; cars'!$E$296:$H$300,MATCH($C57,'MEC - public transport &amp; cars'!$C$296:$C$300,0),MATCH(T$18,'MEC - public transport &amp; cars'!$E$294:$H$294,0))*IF($E57=T$20,'General inputs'!$F$85,IF($C57=T$18,'General inputs'!$F$86,0))*IF($D57=T$19,1,0)</f>
        <v>0</v>
      </c>
      <c r="U57" s="169">
        <f>INDEX('MEC - public transport &amp; cars'!$E$296:$H$300,MATCH($C57,'MEC - public transport &amp; cars'!$C$296:$C$300,0),MATCH(U$18,'MEC - public transport &amp; cars'!$E$294:$H$294,0))*IF($E57=U$20,'General inputs'!$F$85,IF($C57=U$18,'General inputs'!$F$86,0))*IF($D57=U$19,1,0)</f>
        <v>0</v>
      </c>
      <c r="V57" s="169">
        <f>INDEX('MEC - public transport &amp; cars'!$E$296:$H$300,MATCH($C57,'MEC - public transport &amp; cars'!$C$296:$C$300,0),MATCH(V$18,'MEC - public transport &amp; cars'!$E$294:$H$294,0))*IF($E57=V$20,'General inputs'!$F$85,IF($C57=V$18,'General inputs'!$F$86,0))*IF($D57=V$19,1,0)</f>
        <v>0</v>
      </c>
      <c r="W57" s="169">
        <f>INDEX('MEC - public transport &amp; cars'!$E$296:$H$300,MATCH($C57,'MEC - public transport &amp; cars'!$C$296:$C$300,0),MATCH(W$18,'MEC - public transport &amp; cars'!$E$294:$H$294,0))*IF($E57=W$20,'General inputs'!$F$85,IF($C57=W$18,'General inputs'!$F$86,0))*IF($D57=W$19,1,0)</f>
        <v>0</v>
      </c>
      <c r="X57" s="169">
        <f>INDEX('MEC - public transport &amp; cars'!$E$296:$H$300,MATCH($C57,'MEC - public transport &amp; cars'!$C$296:$C$300,0),MATCH(X$18,'MEC - public transport &amp; cars'!$E$294:$H$294,0))*IF($E57=X$20,'General inputs'!$F$85,IF($C57=X$18,'General inputs'!$F$86,0))*IF($D57=X$19,1,0)</f>
        <v>0</v>
      </c>
      <c r="Y57" s="169">
        <f>INDEX('MEC - public transport &amp; cars'!$E$296:$H$300,MATCH($C57,'MEC - public transport &amp; cars'!$C$296:$C$300,0),MATCH(Y$18,'MEC - public transport &amp; cars'!$E$294:$H$294,0))*IF($E57=Y$20,'General inputs'!$F$85,IF($C57=Y$18,'General inputs'!$F$86,0))*IF($D57=Y$19,1,0)</f>
        <v>0</v>
      </c>
      <c r="Z57" s="169">
        <f>INDEX('MEC - public transport &amp; cars'!$E$296:$H$300,MATCH($C57,'MEC - public transport &amp; cars'!$C$296:$C$300,0),MATCH(Z$18,'MEC - public transport &amp; cars'!$E$294:$H$294,0))*IF($E57=Z$20,'General inputs'!$F$85,IF($C57=Z$18,'General inputs'!$F$86,0))*IF($D57=Z$19,1,0)</f>
        <v>-0.71867115222876365</v>
      </c>
      <c r="AA57" s="169">
        <f>INDEX('MEC - public transport &amp; cars'!$E$296:$H$300,MATCH($C57,'MEC - public transport &amp; cars'!$C$296:$C$300,0),MATCH(AA$18,'MEC - public transport &amp; cars'!$E$294:$H$294,0))*IF($E57=AA$20,'General inputs'!$F$85,IF($C57=AA$18,'General inputs'!$F$86,0))*IF($D57=AA$19,1,0)</f>
        <v>0</v>
      </c>
      <c r="AB57" s="169">
        <f>INDEX('MEC - public transport &amp; cars'!$E$296:$H$300,MATCH($C57,'MEC - public transport &amp; cars'!$C$296:$C$300,0),MATCH(AB$18,'MEC - public transport &amp; cars'!$E$294:$H$294,0))*IF($E57=AB$20,'General inputs'!$F$85,IF($C57=AB$18,'General inputs'!$F$86,0))*IF($D57=AB$19,1,0)</f>
        <v>0</v>
      </c>
      <c r="AC57" s="169">
        <f>INDEX('MEC - public transport &amp; cars'!$E$296:$H$300,MATCH($C57,'MEC - public transport &amp; cars'!$C$296:$C$300,0),MATCH(AC$18,'MEC - public transport &amp; cars'!$E$294:$H$294,0))*IF($E57=AC$20,'General inputs'!$F$85,IF($C57=AC$18,'General inputs'!$F$86,0))*IF($D57=AC$19,1,0)</f>
        <v>0</v>
      </c>
      <c r="AD57" s="169">
        <f>INDEX('MEC - public transport &amp; cars'!$E$296:$H$300,MATCH($C57,'MEC - public transport &amp; cars'!$C$296:$C$300,0),MATCH(AD$18,'MEC - public transport &amp; cars'!$E$294:$H$294,0))*IF($E57=AD$20,'General inputs'!$F$85,IF($C57=AD$18,'General inputs'!$F$86,0))*IF($D57=AD$19,1,0)</f>
        <v>0</v>
      </c>
      <c r="AE57" s="169">
        <f>INDEX('MEC - public transport &amp; cars'!$E$296:$H$300,MATCH($C57,'MEC - public transport &amp; cars'!$C$296:$C$300,0),MATCH(AE$18,'MEC - public transport &amp; cars'!$E$294:$H$294,0))*IF($E57=AE$20,'General inputs'!$F$85,IF($C57=AE$18,'General inputs'!$F$86,0))*IF($D57=AE$19,1,0)</f>
        <v>0</v>
      </c>
      <c r="AF57" s="169">
        <f>INDEX('MEC - public transport &amp; cars'!$E$296:$H$300,MATCH($C57,'MEC - public transport &amp; cars'!$C$296:$C$300,0),MATCH(AF$18,'MEC - public transport &amp; cars'!$E$294:$H$294,0))*IF($E57=AF$20,'General inputs'!$F$85,IF($C57=AF$18,'General inputs'!$F$86,0))*IF($D57=AF$19,1,0)</f>
        <v>0</v>
      </c>
      <c r="AG57" s="169">
        <f>INDEX('MEC - public transport &amp; cars'!$E$296:$H$300,MATCH($C57,'MEC - public transport &amp; cars'!$C$296:$C$300,0),MATCH(AG$18,'MEC - public transport &amp; cars'!$E$294:$H$294,0))*IF($E57=AG$20,'General inputs'!$F$85,IF($C57=AG$18,'General inputs'!$F$86,0))*IF($D57=AG$19,1,0)</f>
        <v>0</v>
      </c>
      <c r="AH57" s="169">
        <f>INDEX('MEC - public transport &amp; cars'!$E$296:$H$300,MATCH($C57,'MEC - public transport &amp; cars'!$C$296:$C$300,0),MATCH(AH$18,'MEC - public transport &amp; cars'!$E$294:$H$294,0))*IF($E57=AH$20,'General inputs'!$F$85,IF($C57=AH$18,'General inputs'!$F$86,0))*IF($D57=AH$19,1,0)</f>
        <v>-0.64331282355196873</v>
      </c>
      <c r="AI57" s="169">
        <f>INDEX('MEC - public transport &amp; cars'!$E$296:$H$300,MATCH($C57,'MEC - public transport &amp; cars'!$C$296:$C$300,0),MATCH(AI$18,'MEC - public transport &amp; cars'!$E$294:$H$294,0))*IF($E57=AI$20,'General inputs'!$F$85,IF($C57=AI$18,'General inputs'!$F$86,0))*IF($D57=AI$19,1,0)</f>
        <v>0</v>
      </c>
      <c r="AJ57" s="169">
        <f>INDEX('MEC - public transport &amp; cars'!$E$296:$H$300,MATCH($C57,'MEC - public transport &amp; cars'!$C$296:$C$300,0),MATCH(AJ$18,'MEC - public transport &amp; cars'!$E$294:$H$294,0))*IF($E57=AJ$20,'General inputs'!$F$85,IF($C57=AJ$18,'General inputs'!$F$86,0))*IF($D57=AJ$19,1,0)</f>
        <v>0</v>
      </c>
      <c r="AK57" s="169">
        <f>INDEX('MEC - public transport &amp; cars'!$E$296:$H$300,MATCH($C57,'MEC - public transport &amp; cars'!$C$296:$C$300,0),MATCH(AK$18,'MEC - public transport &amp; cars'!$E$294:$H$294,0))*IF($E57=AK$20,'General inputs'!$F$85,IF($C57=AK$18,'General inputs'!$F$86,0))*IF($D57=AK$19,1,0)</f>
        <v>0</v>
      </c>
      <c r="AL57" s="169">
        <f>INDEX('MEC - public transport &amp; cars'!$E$296:$H$300,MATCH($C57,'MEC - public transport &amp; cars'!$C$296:$C$300,0),MATCH(AL$18,'MEC - public transport &amp; cars'!$E$294:$H$294,0))*IF($E57=AL$20,'General inputs'!$F$85,IF($C57=AL$18,'General inputs'!$F$86,0))*IF($D57=AL$19,1,0)</f>
        <v>0</v>
      </c>
      <c r="AM57" s="227">
        <f>INDEX('MEC - public transport &amp; cars'!$E$296:$H$300,MATCH($C57,'MEC - public transport &amp; cars'!$C$296:$C$300,0),MATCH(AM$18,'MEC - public transport &amp; cars'!$E$294:$H$294,0))*IF($E57=AM$20,'General inputs'!$F$85,IF($C57=AM$18,'General inputs'!$F$86,0))*IF($D57=AM$19,1,0)</f>
        <v>0</v>
      </c>
    </row>
    <row r="58" spans="3:39" x14ac:dyDescent="0.25">
      <c r="C58" s="244" t="str">
        <f>'Fare optimisation'!C119</f>
        <v>Car</v>
      </c>
      <c r="D58" s="173">
        <f>'Fare optimisation'!D119</f>
        <v>25</v>
      </c>
      <c r="E58" s="172" t="str">
        <f>'Fare optimisation'!E119</f>
        <v>Peak</v>
      </c>
      <c r="H58" s="169">
        <f>INDEX('MEC - public transport &amp; cars'!$E$296:$H$300,MATCH($C58,'MEC - public transport &amp; cars'!$C$296:$C$300,0),MATCH(H$18,'MEC - public transport &amp; cars'!$E$294:$H$294,0))*IF($E58=H$20,'General inputs'!$F$85,IF($C58=H$18,'General inputs'!$F$86,0))*IF($D58=H$19,1,0)</f>
        <v>0</v>
      </c>
      <c r="I58" s="169">
        <f>INDEX('MEC - public transport &amp; cars'!$E$296:$H$300,MATCH($C58,'MEC - public transport &amp; cars'!$C$296:$C$300,0),MATCH(I$18,'MEC - public transport &amp; cars'!$E$294:$H$294,0))*IF($E58=I$20,'General inputs'!$F$85,IF($C58=I$18,'General inputs'!$F$86,0))*IF($D58=I$19,1,0)</f>
        <v>0</v>
      </c>
      <c r="J58" s="169">
        <f>INDEX('MEC - public transport &amp; cars'!$E$296:$H$300,MATCH($C58,'MEC - public transport &amp; cars'!$C$296:$C$300,0),MATCH(J$18,'MEC - public transport &amp; cars'!$E$294:$H$294,0))*IF($E58=J$20,'General inputs'!$F$85,IF($C58=J$18,'General inputs'!$F$86,0))*IF($D58=J$19,1,0)</f>
        <v>0</v>
      </c>
      <c r="K58" s="169">
        <f>INDEX('MEC - public transport &amp; cars'!$E$296:$H$300,MATCH($C58,'MEC - public transport &amp; cars'!$C$296:$C$300,0),MATCH(K$18,'MEC - public transport &amp; cars'!$E$294:$H$294,0))*IF($E58=K$20,'General inputs'!$F$85,IF($C58=K$18,'General inputs'!$F$86,0))*IF($D58=K$19,1,0)</f>
        <v>-0.47460329026748327</v>
      </c>
      <c r="L58" s="169">
        <f>INDEX('MEC - public transport &amp; cars'!$E$296:$H$300,MATCH($C58,'MEC - public transport &amp; cars'!$C$296:$C$300,0),MATCH(L$18,'MEC - public transport &amp; cars'!$E$294:$H$294,0))*IF($E58=L$20,'General inputs'!$F$85,IF($C58=L$18,'General inputs'!$F$86,0))*IF($D58=L$19,1,0)</f>
        <v>0</v>
      </c>
      <c r="M58" s="169">
        <f>INDEX('MEC - public transport &amp; cars'!$E$296:$H$300,MATCH($C58,'MEC - public transport &amp; cars'!$C$296:$C$300,0),MATCH(M$18,'MEC - public transport &amp; cars'!$E$294:$H$294,0))*IF($E58=M$20,'General inputs'!$F$85,IF($C58=M$18,'General inputs'!$F$86,0))*IF($D58=M$19,1,0)</f>
        <v>0</v>
      </c>
      <c r="N58" s="169">
        <f>INDEX('MEC - public transport &amp; cars'!$E$296:$H$300,MATCH($C58,'MEC - public transport &amp; cars'!$C$296:$C$300,0),MATCH(N$18,'MEC - public transport &amp; cars'!$E$294:$H$294,0))*IF($E58=N$20,'General inputs'!$F$85,IF($C58=N$18,'General inputs'!$F$86,0))*IF($D58=N$19,1,0)</f>
        <v>0</v>
      </c>
      <c r="O58" s="169">
        <f>INDEX('MEC - public transport &amp; cars'!$E$296:$H$300,MATCH($C58,'MEC - public transport &amp; cars'!$C$296:$C$300,0),MATCH(O$18,'MEC - public transport &amp; cars'!$E$294:$H$294,0))*IF($E58=O$20,'General inputs'!$F$85,IF($C58=O$18,'General inputs'!$F$86,0))*IF($D58=O$19,1,0)</f>
        <v>0</v>
      </c>
      <c r="P58" s="169">
        <f>INDEX('MEC - public transport &amp; cars'!$E$296:$H$300,MATCH($C58,'MEC - public transport &amp; cars'!$C$296:$C$300,0),MATCH(P$18,'MEC - public transport &amp; cars'!$E$294:$H$294,0))*IF($E58=P$20,'General inputs'!$F$85,IF($C58=P$18,'General inputs'!$F$86,0))*IF($D58=P$19,1,0)</f>
        <v>0</v>
      </c>
      <c r="Q58" s="169">
        <f>INDEX('MEC - public transport &amp; cars'!$E$296:$H$300,MATCH($C58,'MEC - public transport &amp; cars'!$C$296:$C$300,0),MATCH(Q$18,'MEC - public transport &amp; cars'!$E$294:$H$294,0))*IF($E58=Q$20,'General inputs'!$F$85,IF($C58=Q$18,'General inputs'!$F$86,0))*IF($D58=Q$19,1,0)</f>
        <v>0</v>
      </c>
      <c r="R58" s="169">
        <f>INDEX('MEC - public transport &amp; cars'!$E$296:$H$300,MATCH($C58,'MEC - public transport &amp; cars'!$C$296:$C$300,0),MATCH(R$18,'MEC - public transport &amp; cars'!$E$294:$H$294,0))*IF($E58=R$20,'General inputs'!$F$85,IF($C58=R$18,'General inputs'!$F$86,0))*IF($D58=R$19,1,0)</f>
        <v>0</v>
      </c>
      <c r="S58" s="169">
        <f>INDEX('MEC - public transport &amp; cars'!$E$296:$H$300,MATCH($C58,'MEC - public transport &amp; cars'!$C$296:$C$300,0),MATCH(S$18,'MEC - public transport &amp; cars'!$E$294:$H$294,0))*IF($E58=S$20,'General inputs'!$F$85,IF($C58=S$18,'General inputs'!$F$86,0))*IF($D58=S$19,1,0)</f>
        <v>-0.58175995049546914</v>
      </c>
      <c r="T58" s="169">
        <f>INDEX('MEC - public transport &amp; cars'!$E$296:$H$300,MATCH($C58,'MEC - public transport &amp; cars'!$C$296:$C$300,0),MATCH(T$18,'MEC - public transport &amp; cars'!$E$294:$H$294,0))*IF($E58=T$20,'General inputs'!$F$85,IF($C58=T$18,'General inputs'!$F$86,0))*IF($D58=T$19,1,0)</f>
        <v>0</v>
      </c>
      <c r="U58" s="169">
        <f>INDEX('MEC - public transport &amp; cars'!$E$296:$H$300,MATCH($C58,'MEC - public transport &amp; cars'!$C$296:$C$300,0),MATCH(U$18,'MEC - public transport &amp; cars'!$E$294:$H$294,0))*IF($E58=U$20,'General inputs'!$F$85,IF($C58=U$18,'General inputs'!$F$86,0))*IF($D58=U$19,1,0)</f>
        <v>0</v>
      </c>
      <c r="V58" s="169">
        <f>INDEX('MEC - public transport &amp; cars'!$E$296:$H$300,MATCH($C58,'MEC - public transport &amp; cars'!$C$296:$C$300,0),MATCH(V$18,'MEC - public transport &amp; cars'!$E$294:$H$294,0))*IF($E58=V$20,'General inputs'!$F$85,IF($C58=V$18,'General inputs'!$F$86,0))*IF($D58=V$19,1,0)</f>
        <v>0</v>
      </c>
      <c r="W58" s="169">
        <f>INDEX('MEC - public transport &amp; cars'!$E$296:$H$300,MATCH($C58,'MEC - public transport &amp; cars'!$C$296:$C$300,0),MATCH(W$18,'MEC - public transport &amp; cars'!$E$294:$H$294,0))*IF($E58=W$20,'General inputs'!$F$85,IF($C58=W$18,'General inputs'!$F$86,0))*IF($D58=W$19,1,0)</f>
        <v>0</v>
      </c>
      <c r="X58" s="169">
        <f>INDEX('MEC - public transport &amp; cars'!$E$296:$H$300,MATCH($C58,'MEC - public transport &amp; cars'!$C$296:$C$300,0),MATCH(X$18,'MEC - public transport &amp; cars'!$E$294:$H$294,0))*IF($E58=X$20,'General inputs'!$F$85,IF($C58=X$18,'General inputs'!$F$86,0))*IF($D58=X$19,1,0)</f>
        <v>0</v>
      </c>
      <c r="Y58" s="169">
        <f>INDEX('MEC - public transport &amp; cars'!$E$296:$H$300,MATCH($C58,'MEC - public transport &amp; cars'!$C$296:$C$300,0),MATCH(Y$18,'MEC - public transport &amp; cars'!$E$294:$H$294,0))*IF($E58=Y$20,'General inputs'!$F$85,IF($C58=Y$18,'General inputs'!$F$86,0))*IF($D58=Y$19,1,0)</f>
        <v>0</v>
      </c>
      <c r="Z58" s="169">
        <f>INDEX('MEC - public transport &amp; cars'!$E$296:$H$300,MATCH($C58,'MEC - public transport &amp; cars'!$C$296:$C$300,0),MATCH(Z$18,'MEC - public transport &amp; cars'!$E$294:$H$294,0))*IF($E58=Z$20,'General inputs'!$F$85,IF($C58=Z$18,'General inputs'!$F$86,0))*IF($D58=Z$19,1,0)</f>
        <v>0</v>
      </c>
      <c r="AA58" s="169">
        <f>INDEX('MEC - public transport &amp; cars'!$E$296:$H$300,MATCH($C58,'MEC - public transport &amp; cars'!$C$296:$C$300,0),MATCH(AA$18,'MEC - public transport &amp; cars'!$E$294:$H$294,0))*IF($E58=AA$20,'General inputs'!$F$85,IF($C58=AA$18,'General inputs'!$F$86,0))*IF($D58=AA$19,1,0)</f>
        <v>-0.71867115222876365</v>
      </c>
      <c r="AB58" s="169">
        <f>INDEX('MEC - public transport &amp; cars'!$E$296:$H$300,MATCH($C58,'MEC - public transport &amp; cars'!$C$296:$C$300,0),MATCH(AB$18,'MEC - public transport &amp; cars'!$E$294:$H$294,0))*IF($E58=AB$20,'General inputs'!$F$85,IF($C58=AB$18,'General inputs'!$F$86,0))*IF($D58=AB$19,1,0)</f>
        <v>0</v>
      </c>
      <c r="AC58" s="169">
        <f>INDEX('MEC - public transport &amp; cars'!$E$296:$H$300,MATCH($C58,'MEC - public transport &amp; cars'!$C$296:$C$300,0),MATCH(AC$18,'MEC - public transport &amp; cars'!$E$294:$H$294,0))*IF($E58=AC$20,'General inputs'!$F$85,IF($C58=AC$18,'General inputs'!$F$86,0))*IF($D58=AC$19,1,0)</f>
        <v>0</v>
      </c>
      <c r="AD58" s="169">
        <f>INDEX('MEC - public transport &amp; cars'!$E$296:$H$300,MATCH($C58,'MEC - public transport &amp; cars'!$C$296:$C$300,0),MATCH(AD$18,'MEC - public transport &amp; cars'!$E$294:$H$294,0))*IF($E58=AD$20,'General inputs'!$F$85,IF($C58=AD$18,'General inputs'!$F$86,0))*IF($D58=AD$19,1,0)</f>
        <v>0</v>
      </c>
      <c r="AE58" s="169">
        <f>INDEX('MEC - public transport &amp; cars'!$E$296:$H$300,MATCH($C58,'MEC - public transport &amp; cars'!$C$296:$C$300,0),MATCH(AE$18,'MEC - public transport &amp; cars'!$E$294:$H$294,0))*IF($E58=AE$20,'General inputs'!$F$85,IF($C58=AE$18,'General inputs'!$F$86,0))*IF($D58=AE$19,1,0)</f>
        <v>0</v>
      </c>
      <c r="AF58" s="169">
        <f>INDEX('MEC - public transport &amp; cars'!$E$296:$H$300,MATCH($C58,'MEC - public transport &amp; cars'!$C$296:$C$300,0),MATCH(AF$18,'MEC - public transport &amp; cars'!$E$294:$H$294,0))*IF($E58=AF$20,'General inputs'!$F$85,IF($C58=AF$18,'General inputs'!$F$86,0))*IF($D58=AF$19,1,0)</f>
        <v>0</v>
      </c>
      <c r="AG58" s="169">
        <f>INDEX('MEC - public transport &amp; cars'!$E$296:$H$300,MATCH($C58,'MEC - public transport &amp; cars'!$C$296:$C$300,0),MATCH(AG$18,'MEC - public transport &amp; cars'!$E$294:$H$294,0))*IF($E58=AG$20,'General inputs'!$F$85,IF($C58=AG$18,'General inputs'!$F$86,0))*IF($D58=AG$19,1,0)</f>
        <v>0</v>
      </c>
      <c r="AH58" s="169">
        <f>INDEX('MEC - public transport &amp; cars'!$E$296:$H$300,MATCH($C58,'MEC - public transport &amp; cars'!$C$296:$C$300,0),MATCH(AH$18,'MEC - public transport &amp; cars'!$E$294:$H$294,0))*IF($E58=AH$20,'General inputs'!$F$85,IF($C58=AH$18,'General inputs'!$F$86,0))*IF($D58=AH$19,1,0)</f>
        <v>0</v>
      </c>
      <c r="AI58" s="169">
        <f>INDEX('MEC - public transport &amp; cars'!$E$296:$H$300,MATCH($C58,'MEC - public transport &amp; cars'!$C$296:$C$300,0),MATCH(AI$18,'MEC - public transport &amp; cars'!$E$294:$H$294,0))*IF($E58=AI$20,'General inputs'!$F$85,IF($C58=AI$18,'General inputs'!$F$86,0))*IF($D58=AI$19,1,0)</f>
        <v>-0.64331282355196873</v>
      </c>
      <c r="AJ58" s="169">
        <f>INDEX('MEC - public transport &amp; cars'!$E$296:$H$300,MATCH($C58,'MEC - public transport &amp; cars'!$C$296:$C$300,0),MATCH(AJ$18,'MEC - public transport &amp; cars'!$E$294:$H$294,0))*IF($E58=AJ$20,'General inputs'!$F$85,IF($C58=AJ$18,'General inputs'!$F$86,0))*IF($D58=AJ$19,1,0)</f>
        <v>0</v>
      </c>
      <c r="AK58" s="169">
        <f>INDEX('MEC - public transport &amp; cars'!$E$296:$H$300,MATCH($C58,'MEC - public transport &amp; cars'!$C$296:$C$300,0),MATCH(AK$18,'MEC - public transport &amp; cars'!$E$294:$H$294,0))*IF($E58=AK$20,'General inputs'!$F$85,IF($C58=AK$18,'General inputs'!$F$86,0))*IF($D58=AK$19,1,0)</f>
        <v>0</v>
      </c>
      <c r="AL58" s="169">
        <f>INDEX('MEC - public transport &amp; cars'!$E$296:$H$300,MATCH($C58,'MEC - public transport &amp; cars'!$C$296:$C$300,0),MATCH(AL$18,'MEC - public transport &amp; cars'!$E$294:$H$294,0))*IF($E58=AL$20,'General inputs'!$F$85,IF($C58=AL$18,'General inputs'!$F$86,0))*IF($D58=AL$19,1,0)</f>
        <v>0</v>
      </c>
      <c r="AM58" s="227">
        <f>INDEX('MEC - public transport &amp; cars'!$E$296:$H$300,MATCH($C58,'MEC - public transport &amp; cars'!$C$296:$C$300,0),MATCH(AM$18,'MEC - public transport &amp; cars'!$E$294:$H$294,0))*IF($E58=AM$20,'General inputs'!$F$85,IF($C58=AM$18,'General inputs'!$F$86,0))*IF($D58=AM$19,1,0)</f>
        <v>0</v>
      </c>
    </row>
    <row r="59" spans="3:39" x14ac:dyDescent="0.25">
      <c r="C59" s="244" t="str">
        <f>'Fare optimisation'!C120</f>
        <v>Car</v>
      </c>
      <c r="D59" s="173">
        <f>'Fare optimisation'!D120</f>
        <v>2</v>
      </c>
      <c r="E59" s="172" t="str">
        <f>'Fare optimisation'!E120</f>
        <v>Off-peak</v>
      </c>
      <c r="H59" s="169">
        <f>INDEX('MEC - public transport &amp; cars'!$E$296:$H$300,MATCH($C59,'MEC - public transport &amp; cars'!$C$296:$C$300,0),MATCH(H$18,'MEC - public transport &amp; cars'!$E$294:$H$294,0))*IF($E59=H$20,'General inputs'!$F$85,IF($C59=H$18,'General inputs'!$F$86,0))*IF($D59=H$19,1,0)</f>
        <v>0</v>
      </c>
      <c r="I59" s="169">
        <f>INDEX('MEC - public transport &amp; cars'!$E$296:$H$300,MATCH($C59,'MEC - public transport &amp; cars'!$C$296:$C$300,0),MATCH(I$18,'MEC - public transport &amp; cars'!$E$294:$H$294,0))*IF($E59=I$20,'General inputs'!$F$85,IF($C59=I$18,'General inputs'!$F$86,0))*IF($D59=I$19,1,0)</f>
        <v>0</v>
      </c>
      <c r="J59" s="169">
        <f>INDEX('MEC - public transport &amp; cars'!$E$296:$H$300,MATCH($C59,'MEC - public transport &amp; cars'!$C$296:$C$300,0),MATCH(J$18,'MEC - public transport &amp; cars'!$E$294:$H$294,0))*IF($E59=J$20,'General inputs'!$F$85,IF($C59=J$18,'General inputs'!$F$86,0))*IF($D59=J$19,1,0)</f>
        <v>0</v>
      </c>
      <c r="K59" s="169">
        <f>INDEX('MEC - public transport &amp; cars'!$E$296:$H$300,MATCH($C59,'MEC - public transport &amp; cars'!$C$296:$C$300,0),MATCH(K$18,'MEC - public transport &amp; cars'!$E$294:$H$294,0))*IF($E59=K$20,'General inputs'!$F$85,IF($C59=K$18,'General inputs'!$F$86,0))*IF($D59=K$19,1,0)</f>
        <v>0</v>
      </c>
      <c r="L59" s="169">
        <f>INDEX('MEC - public transport &amp; cars'!$E$296:$H$300,MATCH($C59,'MEC - public transport &amp; cars'!$C$296:$C$300,0),MATCH(L$18,'MEC - public transport &amp; cars'!$E$294:$H$294,0))*IF($E59=L$20,'General inputs'!$F$85,IF($C59=L$18,'General inputs'!$F$86,0))*IF($D59=L$19,1,0)</f>
        <v>-0.47460329026748327</v>
      </c>
      <c r="M59" s="169">
        <f>INDEX('MEC - public transport &amp; cars'!$E$296:$H$300,MATCH($C59,'MEC - public transport &amp; cars'!$C$296:$C$300,0),MATCH(M$18,'MEC - public transport &amp; cars'!$E$294:$H$294,0))*IF($E59=M$20,'General inputs'!$F$85,IF($C59=M$18,'General inputs'!$F$86,0))*IF($D59=M$19,1,0)</f>
        <v>0</v>
      </c>
      <c r="N59" s="169">
        <f>INDEX('MEC - public transport &amp; cars'!$E$296:$H$300,MATCH($C59,'MEC - public transport &amp; cars'!$C$296:$C$300,0),MATCH(N$18,'MEC - public transport &amp; cars'!$E$294:$H$294,0))*IF($E59=N$20,'General inputs'!$F$85,IF($C59=N$18,'General inputs'!$F$86,0))*IF($D59=N$19,1,0)</f>
        <v>0</v>
      </c>
      <c r="O59" s="169">
        <f>INDEX('MEC - public transport &amp; cars'!$E$296:$H$300,MATCH($C59,'MEC - public transport &amp; cars'!$C$296:$C$300,0),MATCH(O$18,'MEC - public transport &amp; cars'!$E$294:$H$294,0))*IF($E59=O$20,'General inputs'!$F$85,IF($C59=O$18,'General inputs'!$F$86,0))*IF($D59=O$19,1,0)</f>
        <v>0</v>
      </c>
      <c r="P59" s="169">
        <f>INDEX('MEC - public transport &amp; cars'!$E$296:$H$300,MATCH($C59,'MEC - public transport &amp; cars'!$C$296:$C$300,0),MATCH(P$18,'MEC - public transport &amp; cars'!$E$294:$H$294,0))*IF($E59=P$20,'General inputs'!$F$85,IF($C59=P$18,'General inputs'!$F$86,0))*IF($D59=P$19,1,0)</f>
        <v>0</v>
      </c>
      <c r="Q59" s="169">
        <f>INDEX('MEC - public transport &amp; cars'!$E$296:$H$300,MATCH($C59,'MEC - public transport &amp; cars'!$C$296:$C$300,0),MATCH(Q$18,'MEC - public transport &amp; cars'!$E$294:$H$294,0))*IF($E59=Q$20,'General inputs'!$F$85,IF($C59=Q$18,'General inputs'!$F$86,0))*IF($D59=Q$19,1,0)</f>
        <v>0</v>
      </c>
      <c r="R59" s="169">
        <f>INDEX('MEC - public transport &amp; cars'!$E$296:$H$300,MATCH($C59,'MEC - public transport &amp; cars'!$C$296:$C$300,0),MATCH(R$18,'MEC - public transport &amp; cars'!$E$294:$H$294,0))*IF($E59=R$20,'General inputs'!$F$85,IF($C59=R$18,'General inputs'!$F$86,0))*IF($D59=R$19,1,0)</f>
        <v>0</v>
      </c>
      <c r="S59" s="169">
        <f>INDEX('MEC - public transport &amp; cars'!$E$296:$H$300,MATCH($C59,'MEC - public transport &amp; cars'!$C$296:$C$300,0),MATCH(S$18,'MEC - public transport &amp; cars'!$E$294:$H$294,0))*IF($E59=S$20,'General inputs'!$F$85,IF($C59=S$18,'General inputs'!$F$86,0))*IF($D59=S$19,1,0)</f>
        <v>0</v>
      </c>
      <c r="T59" s="169">
        <f>INDEX('MEC - public transport &amp; cars'!$E$296:$H$300,MATCH($C59,'MEC - public transport &amp; cars'!$C$296:$C$300,0),MATCH(T$18,'MEC - public transport &amp; cars'!$E$294:$H$294,0))*IF($E59=T$20,'General inputs'!$F$85,IF($C59=T$18,'General inputs'!$F$86,0))*IF($D59=T$19,1,0)</f>
        <v>-0.58175995049546914</v>
      </c>
      <c r="U59" s="169">
        <f>INDEX('MEC - public transport &amp; cars'!$E$296:$H$300,MATCH($C59,'MEC - public transport &amp; cars'!$C$296:$C$300,0),MATCH(U$18,'MEC - public transport &amp; cars'!$E$294:$H$294,0))*IF($E59=U$20,'General inputs'!$F$85,IF($C59=U$18,'General inputs'!$F$86,0))*IF($D59=U$19,1,0)</f>
        <v>0</v>
      </c>
      <c r="V59" s="169">
        <f>INDEX('MEC - public transport &amp; cars'!$E$296:$H$300,MATCH($C59,'MEC - public transport &amp; cars'!$C$296:$C$300,0),MATCH(V$18,'MEC - public transport &amp; cars'!$E$294:$H$294,0))*IF($E59=V$20,'General inputs'!$F$85,IF($C59=V$18,'General inputs'!$F$86,0))*IF($D59=V$19,1,0)</f>
        <v>0</v>
      </c>
      <c r="W59" s="169">
        <f>INDEX('MEC - public transport &amp; cars'!$E$296:$H$300,MATCH($C59,'MEC - public transport &amp; cars'!$C$296:$C$300,0),MATCH(W$18,'MEC - public transport &amp; cars'!$E$294:$H$294,0))*IF($E59=W$20,'General inputs'!$F$85,IF($C59=W$18,'General inputs'!$F$86,0))*IF($D59=W$19,1,0)</f>
        <v>0</v>
      </c>
      <c r="X59" s="169">
        <f>INDEX('MEC - public transport &amp; cars'!$E$296:$H$300,MATCH($C59,'MEC - public transport &amp; cars'!$C$296:$C$300,0),MATCH(X$18,'MEC - public transport &amp; cars'!$E$294:$H$294,0))*IF($E59=X$20,'General inputs'!$F$85,IF($C59=X$18,'General inputs'!$F$86,0))*IF($D59=X$19,1,0)</f>
        <v>0</v>
      </c>
      <c r="Y59" s="169">
        <f>INDEX('MEC - public transport &amp; cars'!$E$296:$H$300,MATCH($C59,'MEC - public transport &amp; cars'!$C$296:$C$300,0),MATCH(Y$18,'MEC - public transport &amp; cars'!$E$294:$H$294,0))*IF($E59=Y$20,'General inputs'!$F$85,IF($C59=Y$18,'General inputs'!$F$86,0))*IF($D59=Y$19,1,0)</f>
        <v>0</v>
      </c>
      <c r="Z59" s="169">
        <f>INDEX('MEC - public transport &amp; cars'!$E$296:$H$300,MATCH($C59,'MEC - public transport &amp; cars'!$C$296:$C$300,0),MATCH(Z$18,'MEC - public transport &amp; cars'!$E$294:$H$294,0))*IF($E59=Z$20,'General inputs'!$F$85,IF($C59=Z$18,'General inputs'!$F$86,0))*IF($D59=Z$19,1,0)</f>
        <v>0</v>
      </c>
      <c r="AA59" s="169">
        <f>INDEX('MEC - public transport &amp; cars'!$E$296:$H$300,MATCH($C59,'MEC - public transport &amp; cars'!$C$296:$C$300,0),MATCH(AA$18,'MEC - public transport &amp; cars'!$E$294:$H$294,0))*IF($E59=AA$20,'General inputs'!$F$85,IF($C59=AA$18,'General inputs'!$F$86,0))*IF($D59=AA$19,1,0)</f>
        <v>0</v>
      </c>
      <c r="AB59" s="169">
        <f>INDEX('MEC - public transport &amp; cars'!$E$296:$H$300,MATCH($C59,'MEC - public transport &amp; cars'!$C$296:$C$300,0),MATCH(AB$18,'MEC - public transport &amp; cars'!$E$294:$H$294,0))*IF($E59=AB$20,'General inputs'!$F$85,IF($C59=AB$18,'General inputs'!$F$86,0))*IF($D59=AB$19,1,0)</f>
        <v>-0.71867115222876365</v>
      </c>
      <c r="AC59" s="169">
        <f>INDEX('MEC - public transport &amp; cars'!$E$296:$H$300,MATCH($C59,'MEC - public transport &amp; cars'!$C$296:$C$300,0),MATCH(AC$18,'MEC - public transport &amp; cars'!$E$294:$H$294,0))*IF($E59=AC$20,'General inputs'!$F$85,IF($C59=AC$18,'General inputs'!$F$86,0))*IF($D59=AC$19,1,0)</f>
        <v>0</v>
      </c>
      <c r="AD59" s="169">
        <f>INDEX('MEC - public transport &amp; cars'!$E$296:$H$300,MATCH($C59,'MEC - public transport &amp; cars'!$C$296:$C$300,0),MATCH(AD$18,'MEC - public transport &amp; cars'!$E$294:$H$294,0))*IF($E59=AD$20,'General inputs'!$F$85,IF($C59=AD$18,'General inputs'!$F$86,0))*IF($D59=AD$19,1,0)</f>
        <v>0</v>
      </c>
      <c r="AE59" s="169">
        <f>INDEX('MEC - public transport &amp; cars'!$E$296:$H$300,MATCH($C59,'MEC - public transport &amp; cars'!$C$296:$C$300,0),MATCH(AE$18,'MEC - public transport &amp; cars'!$E$294:$H$294,0))*IF($E59=AE$20,'General inputs'!$F$85,IF($C59=AE$18,'General inputs'!$F$86,0))*IF($D59=AE$19,1,0)</f>
        <v>0</v>
      </c>
      <c r="AF59" s="169">
        <f>INDEX('MEC - public transport &amp; cars'!$E$296:$H$300,MATCH($C59,'MEC - public transport &amp; cars'!$C$296:$C$300,0),MATCH(AF$18,'MEC - public transport &amp; cars'!$E$294:$H$294,0))*IF($E59=AF$20,'General inputs'!$F$85,IF($C59=AF$18,'General inputs'!$F$86,0))*IF($D59=AF$19,1,0)</f>
        <v>0</v>
      </c>
      <c r="AG59" s="169">
        <f>INDEX('MEC - public transport &amp; cars'!$E$296:$H$300,MATCH($C59,'MEC - public transport &amp; cars'!$C$296:$C$300,0),MATCH(AG$18,'MEC - public transport &amp; cars'!$E$294:$H$294,0))*IF($E59=AG$20,'General inputs'!$F$85,IF($C59=AG$18,'General inputs'!$F$86,0))*IF($D59=AG$19,1,0)</f>
        <v>0</v>
      </c>
      <c r="AH59" s="169">
        <f>INDEX('MEC - public transport &amp; cars'!$E$296:$H$300,MATCH($C59,'MEC - public transport &amp; cars'!$C$296:$C$300,0),MATCH(AH$18,'MEC - public transport &amp; cars'!$E$294:$H$294,0))*IF($E59=AH$20,'General inputs'!$F$85,IF($C59=AH$18,'General inputs'!$F$86,0))*IF($D59=AH$19,1,0)</f>
        <v>0</v>
      </c>
      <c r="AI59" s="169">
        <f>INDEX('MEC - public transport &amp; cars'!$E$296:$H$300,MATCH($C59,'MEC - public transport &amp; cars'!$C$296:$C$300,0),MATCH(AI$18,'MEC - public transport &amp; cars'!$E$294:$H$294,0))*IF($E59=AI$20,'General inputs'!$F$85,IF($C59=AI$18,'General inputs'!$F$86,0))*IF($D59=AI$19,1,0)</f>
        <v>0</v>
      </c>
      <c r="AJ59" s="169">
        <f>INDEX('MEC - public transport &amp; cars'!$E$296:$H$300,MATCH($C59,'MEC - public transport &amp; cars'!$C$296:$C$300,0),MATCH(AJ$18,'MEC - public transport &amp; cars'!$E$294:$H$294,0))*IF($E59=AJ$20,'General inputs'!$F$85,IF($C59=AJ$18,'General inputs'!$F$86,0))*IF($D59=AJ$19,1,0)</f>
        <v>-0.64331282355196873</v>
      </c>
      <c r="AK59" s="169">
        <f>INDEX('MEC - public transport &amp; cars'!$E$296:$H$300,MATCH($C59,'MEC - public transport &amp; cars'!$C$296:$C$300,0),MATCH(AK$18,'MEC - public transport &amp; cars'!$E$294:$H$294,0))*IF($E59=AK$20,'General inputs'!$F$85,IF($C59=AK$18,'General inputs'!$F$86,0))*IF($D59=AK$19,1,0)</f>
        <v>0</v>
      </c>
      <c r="AL59" s="169">
        <f>INDEX('MEC - public transport &amp; cars'!$E$296:$H$300,MATCH($C59,'MEC - public transport &amp; cars'!$C$296:$C$300,0),MATCH(AL$18,'MEC - public transport &amp; cars'!$E$294:$H$294,0))*IF($E59=AL$20,'General inputs'!$F$85,IF($C59=AL$18,'General inputs'!$F$86,0))*IF($D59=AL$19,1,0)</f>
        <v>0</v>
      </c>
      <c r="AM59" s="227">
        <f>INDEX('MEC - public transport &amp; cars'!$E$296:$H$300,MATCH($C59,'MEC - public transport &amp; cars'!$C$296:$C$300,0),MATCH(AM$18,'MEC - public transport &amp; cars'!$E$294:$H$294,0))*IF($E59=AM$20,'General inputs'!$F$85,IF($C59=AM$18,'General inputs'!$F$86,0))*IF($D59=AM$19,1,0)</f>
        <v>0</v>
      </c>
    </row>
    <row r="60" spans="3:39" x14ac:dyDescent="0.25">
      <c r="C60" s="244" t="str">
        <f>'Fare optimisation'!C121</f>
        <v>Car</v>
      </c>
      <c r="D60" s="173">
        <f>'Fare optimisation'!D121</f>
        <v>5</v>
      </c>
      <c r="E60" s="172" t="str">
        <f>'Fare optimisation'!E121</f>
        <v>Off-peak</v>
      </c>
      <c r="H60" s="169">
        <f>INDEX('MEC - public transport &amp; cars'!$E$296:$H$300,MATCH($C60,'MEC - public transport &amp; cars'!$C$296:$C$300,0),MATCH(H$18,'MEC - public transport &amp; cars'!$E$294:$H$294,0))*IF($E60=H$20,'General inputs'!$F$85,IF($C60=H$18,'General inputs'!$F$86,0))*IF($D60=H$19,1,0)</f>
        <v>0</v>
      </c>
      <c r="I60" s="169">
        <f>INDEX('MEC - public transport &amp; cars'!$E$296:$H$300,MATCH($C60,'MEC - public transport &amp; cars'!$C$296:$C$300,0),MATCH(I$18,'MEC - public transport &amp; cars'!$E$294:$H$294,0))*IF($E60=I$20,'General inputs'!$F$85,IF($C60=I$18,'General inputs'!$F$86,0))*IF($D60=I$19,1,0)</f>
        <v>0</v>
      </c>
      <c r="J60" s="169">
        <f>INDEX('MEC - public transport &amp; cars'!$E$296:$H$300,MATCH($C60,'MEC - public transport &amp; cars'!$C$296:$C$300,0),MATCH(J$18,'MEC - public transport &amp; cars'!$E$294:$H$294,0))*IF($E60=J$20,'General inputs'!$F$85,IF($C60=J$18,'General inputs'!$F$86,0))*IF($D60=J$19,1,0)</f>
        <v>0</v>
      </c>
      <c r="K60" s="169">
        <f>INDEX('MEC - public transport &amp; cars'!$E$296:$H$300,MATCH($C60,'MEC - public transport &amp; cars'!$C$296:$C$300,0),MATCH(K$18,'MEC - public transport &amp; cars'!$E$294:$H$294,0))*IF($E60=K$20,'General inputs'!$F$85,IF($C60=K$18,'General inputs'!$F$86,0))*IF($D60=K$19,1,0)</f>
        <v>0</v>
      </c>
      <c r="L60" s="169">
        <f>INDEX('MEC - public transport &amp; cars'!$E$296:$H$300,MATCH($C60,'MEC - public transport &amp; cars'!$C$296:$C$300,0),MATCH(L$18,'MEC - public transport &amp; cars'!$E$294:$H$294,0))*IF($E60=L$20,'General inputs'!$F$85,IF($C60=L$18,'General inputs'!$F$86,0))*IF($D60=L$19,1,0)</f>
        <v>0</v>
      </c>
      <c r="M60" s="169">
        <f>INDEX('MEC - public transport &amp; cars'!$E$296:$H$300,MATCH($C60,'MEC - public transport &amp; cars'!$C$296:$C$300,0),MATCH(M$18,'MEC - public transport &amp; cars'!$E$294:$H$294,0))*IF($E60=M$20,'General inputs'!$F$85,IF($C60=M$18,'General inputs'!$F$86,0))*IF($D60=M$19,1,0)</f>
        <v>-0.47460329026748327</v>
      </c>
      <c r="N60" s="169">
        <f>INDEX('MEC - public transport &amp; cars'!$E$296:$H$300,MATCH($C60,'MEC - public transport &amp; cars'!$C$296:$C$300,0),MATCH(N$18,'MEC - public transport &amp; cars'!$E$294:$H$294,0))*IF($E60=N$20,'General inputs'!$F$85,IF($C60=N$18,'General inputs'!$F$86,0))*IF($D60=N$19,1,0)</f>
        <v>0</v>
      </c>
      <c r="O60" s="169">
        <f>INDEX('MEC - public transport &amp; cars'!$E$296:$H$300,MATCH($C60,'MEC - public transport &amp; cars'!$C$296:$C$300,0),MATCH(O$18,'MEC - public transport &amp; cars'!$E$294:$H$294,0))*IF($E60=O$20,'General inputs'!$F$85,IF($C60=O$18,'General inputs'!$F$86,0))*IF($D60=O$19,1,0)</f>
        <v>0</v>
      </c>
      <c r="P60" s="169">
        <f>INDEX('MEC - public transport &amp; cars'!$E$296:$H$300,MATCH($C60,'MEC - public transport &amp; cars'!$C$296:$C$300,0),MATCH(P$18,'MEC - public transport &amp; cars'!$E$294:$H$294,0))*IF($E60=P$20,'General inputs'!$F$85,IF($C60=P$18,'General inputs'!$F$86,0))*IF($D60=P$19,1,0)</f>
        <v>0</v>
      </c>
      <c r="Q60" s="169">
        <f>INDEX('MEC - public transport &amp; cars'!$E$296:$H$300,MATCH($C60,'MEC - public transport &amp; cars'!$C$296:$C$300,0),MATCH(Q$18,'MEC - public transport &amp; cars'!$E$294:$H$294,0))*IF($E60=Q$20,'General inputs'!$F$85,IF($C60=Q$18,'General inputs'!$F$86,0))*IF($D60=Q$19,1,0)</f>
        <v>0</v>
      </c>
      <c r="R60" s="169">
        <f>INDEX('MEC - public transport &amp; cars'!$E$296:$H$300,MATCH($C60,'MEC - public transport &amp; cars'!$C$296:$C$300,0),MATCH(R$18,'MEC - public transport &amp; cars'!$E$294:$H$294,0))*IF($E60=R$20,'General inputs'!$F$85,IF($C60=R$18,'General inputs'!$F$86,0))*IF($D60=R$19,1,0)</f>
        <v>0</v>
      </c>
      <c r="S60" s="169">
        <f>INDEX('MEC - public transport &amp; cars'!$E$296:$H$300,MATCH($C60,'MEC - public transport &amp; cars'!$C$296:$C$300,0),MATCH(S$18,'MEC - public transport &amp; cars'!$E$294:$H$294,0))*IF($E60=S$20,'General inputs'!$F$85,IF($C60=S$18,'General inputs'!$F$86,0))*IF($D60=S$19,1,0)</f>
        <v>0</v>
      </c>
      <c r="T60" s="169">
        <f>INDEX('MEC - public transport &amp; cars'!$E$296:$H$300,MATCH($C60,'MEC - public transport &amp; cars'!$C$296:$C$300,0),MATCH(T$18,'MEC - public transport &amp; cars'!$E$294:$H$294,0))*IF($E60=T$20,'General inputs'!$F$85,IF($C60=T$18,'General inputs'!$F$86,0))*IF($D60=T$19,1,0)</f>
        <v>0</v>
      </c>
      <c r="U60" s="169">
        <f>INDEX('MEC - public transport &amp; cars'!$E$296:$H$300,MATCH($C60,'MEC - public transport &amp; cars'!$C$296:$C$300,0),MATCH(U$18,'MEC - public transport &amp; cars'!$E$294:$H$294,0))*IF($E60=U$20,'General inputs'!$F$85,IF($C60=U$18,'General inputs'!$F$86,0))*IF($D60=U$19,1,0)</f>
        <v>-0.58175995049546914</v>
      </c>
      <c r="V60" s="169">
        <f>INDEX('MEC - public transport &amp; cars'!$E$296:$H$300,MATCH($C60,'MEC - public transport &amp; cars'!$C$296:$C$300,0),MATCH(V$18,'MEC - public transport &amp; cars'!$E$294:$H$294,0))*IF($E60=V$20,'General inputs'!$F$85,IF($C60=V$18,'General inputs'!$F$86,0))*IF($D60=V$19,1,0)</f>
        <v>0</v>
      </c>
      <c r="W60" s="169">
        <f>INDEX('MEC - public transport &amp; cars'!$E$296:$H$300,MATCH($C60,'MEC - public transport &amp; cars'!$C$296:$C$300,0),MATCH(W$18,'MEC - public transport &amp; cars'!$E$294:$H$294,0))*IF($E60=W$20,'General inputs'!$F$85,IF($C60=W$18,'General inputs'!$F$86,0))*IF($D60=W$19,1,0)</f>
        <v>0</v>
      </c>
      <c r="X60" s="169">
        <f>INDEX('MEC - public transport &amp; cars'!$E$296:$H$300,MATCH($C60,'MEC - public transport &amp; cars'!$C$296:$C$300,0),MATCH(X$18,'MEC - public transport &amp; cars'!$E$294:$H$294,0))*IF($E60=X$20,'General inputs'!$F$85,IF($C60=X$18,'General inputs'!$F$86,0))*IF($D60=X$19,1,0)</f>
        <v>0</v>
      </c>
      <c r="Y60" s="169">
        <f>INDEX('MEC - public transport &amp; cars'!$E$296:$H$300,MATCH($C60,'MEC - public transport &amp; cars'!$C$296:$C$300,0),MATCH(Y$18,'MEC - public transport &amp; cars'!$E$294:$H$294,0))*IF($E60=Y$20,'General inputs'!$F$85,IF($C60=Y$18,'General inputs'!$F$86,0))*IF($D60=Y$19,1,0)</f>
        <v>0</v>
      </c>
      <c r="Z60" s="169">
        <f>INDEX('MEC - public transport &amp; cars'!$E$296:$H$300,MATCH($C60,'MEC - public transport &amp; cars'!$C$296:$C$300,0),MATCH(Z$18,'MEC - public transport &amp; cars'!$E$294:$H$294,0))*IF($E60=Z$20,'General inputs'!$F$85,IF($C60=Z$18,'General inputs'!$F$86,0))*IF($D60=Z$19,1,0)</f>
        <v>0</v>
      </c>
      <c r="AA60" s="169">
        <f>INDEX('MEC - public transport &amp; cars'!$E$296:$H$300,MATCH($C60,'MEC - public transport &amp; cars'!$C$296:$C$300,0),MATCH(AA$18,'MEC - public transport &amp; cars'!$E$294:$H$294,0))*IF($E60=AA$20,'General inputs'!$F$85,IF($C60=AA$18,'General inputs'!$F$86,0))*IF($D60=AA$19,1,0)</f>
        <v>0</v>
      </c>
      <c r="AB60" s="169">
        <f>INDEX('MEC - public transport &amp; cars'!$E$296:$H$300,MATCH($C60,'MEC - public transport &amp; cars'!$C$296:$C$300,0),MATCH(AB$18,'MEC - public transport &amp; cars'!$E$294:$H$294,0))*IF($E60=AB$20,'General inputs'!$F$85,IF($C60=AB$18,'General inputs'!$F$86,0))*IF($D60=AB$19,1,0)</f>
        <v>0</v>
      </c>
      <c r="AC60" s="169">
        <f>INDEX('MEC - public transport &amp; cars'!$E$296:$H$300,MATCH($C60,'MEC - public transport &amp; cars'!$C$296:$C$300,0),MATCH(AC$18,'MEC - public transport &amp; cars'!$E$294:$H$294,0))*IF($E60=AC$20,'General inputs'!$F$85,IF($C60=AC$18,'General inputs'!$F$86,0))*IF($D60=AC$19,1,0)</f>
        <v>-0.71867115222876365</v>
      </c>
      <c r="AD60" s="169">
        <f>INDEX('MEC - public transport &amp; cars'!$E$296:$H$300,MATCH($C60,'MEC - public transport &amp; cars'!$C$296:$C$300,0),MATCH(AD$18,'MEC - public transport &amp; cars'!$E$294:$H$294,0))*IF($E60=AD$20,'General inputs'!$F$85,IF($C60=AD$18,'General inputs'!$F$86,0))*IF($D60=AD$19,1,0)</f>
        <v>0</v>
      </c>
      <c r="AE60" s="169">
        <f>INDEX('MEC - public transport &amp; cars'!$E$296:$H$300,MATCH($C60,'MEC - public transport &amp; cars'!$C$296:$C$300,0),MATCH(AE$18,'MEC - public transport &amp; cars'!$E$294:$H$294,0))*IF($E60=AE$20,'General inputs'!$F$85,IF($C60=AE$18,'General inputs'!$F$86,0))*IF($D60=AE$19,1,0)</f>
        <v>0</v>
      </c>
      <c r="AF60" s="169">
        <f>INDEX('MEC - public transport &amp; cars'!$E$296:$H$300,MATCH($C60,'MEC - public transport &amp; cars'!$C$296:$C$300,0),MATCH(AF$18,'MEC - public transport &amp; cars'!$E$294:$H$294,0))*IF($E60=AF$20,'General inputs'!$F$85,IF($C60=AF$18,'General inputs'!$F$86,0))*IF($D60=AF$19,1,0)</f>
        <v>0</v>
      </c>
      <c r="AG60" s="169">
        <f>INDEX('MEC - public transport &amp; cars'!$E$296:$H$300,MATCH($C60,'MEC - public transport &amp; cars'!$C$296:$C$300,0),MATCH(AG$18,'MEC - public transport &amp; cars'!$E$294:$H$294,0))*IF($E60=AG$20,'General inputs'!$F$85,IF($C60=AG$18,'General inputs'!$F$86,0))*IF($D60=AG$19,1,0)</f>
        <v>0</v>
      </c>
      <c r="AH60" s="169">
        <f>INDEX('MEC - public transport &amp; cars'!$E$296:$H$300,MATCH($C60,'MEC - public transport &amp; cars'!$C$296:$C$300,0),MATCH(AH$18,'MEC - public transport &amp; cars'!$E$294:$H$294,0))*IF($E60=AH$20,'General inputs'!$F$85,IF($C60=AH$18,'General inputs'!$F$86,0))*IF($D60=AH$19,1,0)</f>
        <v>0</v>
      </c>
      <c r="AI60" s="169">
        <f>INDEX('MEC - public transport &amp; cars'!$E$296:$H$300,MATCH($C60,'MEC - public transport &amp; cars'!$C$296:$C$300,0),MATCH(AI$18,'MEC - public transport &amp; cars'!$E$294:$H$294,0))*IF($E60=AI$20,'General inputs'!$F$85,IF($C60=AI$18,'General inputs'!$F$86,0))*IF($D60=AI$19,1,0)</f>
        <v>0</v>
      </c>
      <c r="AJ60" s="169">
        <f>INDEX('MEC - public transport &amp; cars'!$E$296:$H$300,MATCH($C60,'MEC - public transport &amp; cars'!$C$296:$C$300,0),MATCH(AJ$18,'MEC - public transport &amp; cars'!$E$294:$H$294,0))*IF($E60=AJ$20,'General inputs'!$F$85,IF($C60=AJ$18,'General inputs'!$F$86,0))*IF($D60=AJ$19,1,0)</f>
        <v>0</v>
      </c>
      <c r="AK60" s="169">
        <f>INDEX('MEC - public transport &amp; cars'!$E$296:$H$300,MATCH($C60,'MEC - public transport &amp; cars'!$C$296:$C$300,0),MATCH(AK$18,'MEC - public transport &amp; cars'!$E$294:$H$294,0))*IF($E60=AK$20,'General inputs'!$F$85,IF($C60=AK$18,'General inputs'!$F$86,0))*IF($D60=AK$19,1,0)</f>
        <v>-0.64331282355196873</v>
      </c>
      <c r="AL60" s="169">
        <f>INDEX('MEC - public transport &amp; cars'!$E$296:$H$300,MATCH($C60,'MEC - public transport &amp; cars'!$C$296:$C$300,0),MATCH(AL$18,'MEC - public transport &amp; cars'!$E$294:$H$294,0))*IF($E60=AL$20,'General inputs'!$F$85,IF($C60=AL$18,'General inputs'!$F$86,0))*IF($D60=AL$19,1,0)</f>
        <v>0</v>
      </c>
      <c r="AM60" s="227">
        <f>INDEX('MEC - public transport &amp; cars'!$E$296:$H$300,MATCH($C60,'MEC - public transport &amp; cars'!$C$296:$C$300,0),MATCH(AM$18,'MEC - public transport &amp; cars'!$E$294:$H$294,0))*IF($E60=AM$20,'General inputs'!$F$85,IF($C60=AM$18,'General inputs'!$F$86,0))*IF($D60=AM$19,1,0)</f>
        <v>0</v>
      </c>
    </row>
    <row r="61" spans="3:39" x14ac:dyDescent="0.25">
      <c r="C61" s="244" t="str">
        <f>'Fare optimisation'!C122</f>
        <v>Car</v>
      </c>
      <c r="D61" s="173">
        <f>'Fare optimisation'!D122</f>
        <v>15</v>
      </c>
      <c r="E61" s="172" t="str">
        <f>'Fare optimisation'!E122</f>
        <v>Off-peak</v>
      </c>
      <c r="H61" s="169">
        <f>INDEX('MEC - public transport &amp; cars'!$E$296:$H$300,MATCH($C61,'MEC - public transport &amp; cars'!$C$296:$C$300,0),MATCH(H$18,'MEC - public transport &amp; cars'!$E$294:$H$294,0))*IF($E61=H$20,'General inputs'!$F$85,IF($C61=H$18,'General inputs'!$F$86,0))*IF($D61=H$19,1,0)</f>
        <v>0</v>
      </c>
      <c r="I61" s="169">
        <f>INDEX('MEC - public transport &amp; cars'!$E$296:$H$300,MATCH($C61,'MEC - public transport &amp; cars'!$C$296:$C$300,0),MATCH(I$18,'MEC - public transport &amp; cars'!$E$294:$H$294,0))*IF($E61=I$20,'General inputs'!$F$85,IF($C61=I$18,'General inputs'!$F$86,0))*IF($D61=I$19,1,0)</f>
        <v>0</v>
      </c>
      <c r="J61" s="169">
        <f>INDEX('MEC - public transport &amp; cars'!$E$296:$H$300,MATCH($C61,'MEC - public transport &amp; cars'!$C$296:$C$300,0),MATCH(J$18,'MEC - public transport &amp; cars'!$E$294:$H$294,0))*IF($E61=J$20,'General inputs'!$F$85,IF($C61=J$18,'General inputs'!$F$86,0))*IF($D61=J$19,1,0)</f>
        <v>0</v>
      </c>
      <c r="K61" s="169">
        <f>INDEX('MEC - public transport &amp; cars'!$E$296:$H$300,MATCH($C61,'MEC - public transport &amp; cars'!$C$296:$C$300,0),MATCH(K$18,'MEC - public transport &amp; cars'!$E$294:$H$294,0))*IF($E61=K$20,'General inputs'!$F$85,IF($C61=K$18,'General inputs'!$F$86,0))*IF($D61=K$19,1,0)</f>
        <v>0</v>
      </c>
      <c r="L61" s="169">
        <f>INDEX('MEC - public transport &amp; cars'!$E$296:$H$300,MATCH($C61,'MEC - public transport &amp; cars'!$C$296:$C$300,0),MATCH(L$18,'MEC - public transport &amp; cars'!$E$294:$H$294,0))*IF($E61=L$20,'General inputs'!$F$85,IF($C61=L$18,'General inputs'!$F$86,0))*IF($D61=L$19,1,0)</f>
        <v>0</v>
      </c>
      <c r="M61" s="169">
        <f>INDEX('MEC - public transport &amp; cars'!$E$296:$H$300,MATCH($C61,'MEC - public transport &amp; cars'!$C$296:$C$300,0),MATCH(M$18,'MEC - public transport &amp; cars'!$E$294:$H$294,0))*IF($E61=M$20,'General inputs'!$F$85,IF($C61=M$18,'General inputs'!$F$86,0))*IF($D61=M$19,1,0)</f>
        <v>0</v>
      </c>
      <c r="N61" s="169">
        <f>INDEX('MEC - public transport &amp; cars'!$E$296:$H$300,MATCH($C61,'MEC - public transport &amp; cars'!$C$296:$C$300,0),MATCH(N$18,'MEC - public transport &amp; cars'!$E$294:$H$294,0))*IF($E61=N$20,'General inputs'!$F$85,IF($C61=N$18,'General inputs'!$F$86,0))*IF($D61=N$19,1,0)</f>
        <v>-0.47460329026748327</v>
      </c>
      <c r="O61" s="169">
        <f>INDEX('MEC - public transport &amp; cars'!$E$296:$H$300,MATCH($C61,'MEC - public transport &amp; cars'!$C$296:$C$300,0),MATCH(O$18,'MEC - public transport &amp; cars'!$E$294:$H$294,0))*IF($E61=O$20,'General inputs'!$F$85,IF($C61=O$18,'General inputs'!$F$86,0))*IF($D61=O$19,1,0)</f>
        <v>0</v>
      </c>
      <c r="P61" s="169">
        <f>INDEX('MEC - public transport &amp; cars'!$E$296:$H$300,MATCH($C61,'MEC - public transport &amp; cars'!$C$296:$C$300,0),MATCH(P$18,'MEC - public transport &amp; cars'!$E$294:$H$294,0))*IF($E61=P$20,'General inputs'!$F$85,IF($C61=P$18,'General inputs'!$F$86,0))*IF($D61=P$19,1,0)</f>
        <v>0</v>
      </c>
      <c r="Q61" s="169">
        <f>INDEX('MEC - public transport &amp; cars'!$E$296:$H$300,MATCH($C61,'MEC - public transport &amp; cars'!$C$296:$C$300,0),MATCH(Q$18,'MEC - public transport &amp; cars'!$E$294:$H$294,0))*IF($E61=Q$20,'General inputs'!$F$85,IF($C61=Q$18,'General inputs'!$F$86,0))*IF($D61=Q$19,1,0)</f>
        <v>0</v>
      </c>
      <c r="R61" s="169">
        <f>INDEX('MEC - public transport &amp; cars'!$E$296:$H$300,MATCH($C61,'MEC - public transport &amp; cars'!$C$296:$C$300,0),MATCH(R$18,'MEC - public transport &amp; cars'!$E$294:$H$294,0))*IF($E61=R$20,'General inputs'!$F$85,IF($C61=R$18,'General inputs'!$F$86,0))*IF($D61=R$19,1,0)</f>
        <v>0</v>
      </c>
      <c r="S61" s="169">
        <f>INDEX('MEC - public transport &amp; cars'!$E$296:$H$300,MATCH($C61,'MEC - public transport &amp; cars'!$C$296:$C$300,0),MATCH(S$18,'MEC - public transport &amp; cars'!$E$294:$H$294,0))*IF($E61=S$20,'General inputs'!$F$85,IF($C61=S$18,'General inputs'!$F$86,0))*IF($D61=S$19,1,0)</f>
        <v>0</v>
      </c>
      <c r="T61" s="169">
        <f>INDEX('MEC - public transport &amp; cars'!$E$296:$H$300,MATCH($C61,'MEC - public transport &amp; cars'!$C$296:$C$300,0),MATCH(T$18,'MEC - public transport &amp; cars'!$E$294:$H$294,0))*IF($E61=T$20,'General inputs'!$F$85,IF($C61=T$18,'General inputs'!$F$86,0))*IF($D61=T$19,1,0)</f>
        <v>0</v>
      </c>
      <c r="U61" s="169">
        <f>INDEX('MEC - public transport &amp; cars'!$E$296:$H$300,MATCH($C61,'MEC - public transport &amp; cars'!$C$296:$C$300,0),MATCH(U$18,'MEC - public transport &amp; cars'!$E$294:$H$294,0))*IF($E61=U$20,'General inputs'!$F$85,IF($C61=U$18,'General inputs'!$F$86,0))*IF($D61=U$19,1,0)</f>
        <v>0</v>
      </c>
      <c r="V61" s="169">
        <f>INDEX('MEC - public transport &amp; cars'!$E$296:$H$300,MATCH($C61,'MEC - public transport &amp; cars'!$C$296:$C$300,0),MATCH(V$18,'MEC - public transport &amp; cars'!$E$294:$H$294,0))*IF($E61=V$20,'General inputs'!$F$85,IF($C61=V$18,'General inputs'!$F$86,0))*IF($D61=V$19,1,0)</f>
        <v>-0.58175995049546914</v>
      </c>
      <c r="W61" s="169">
        <f>INDEX('MEC - public transport &amp; cars'!$E$296:$H$300,MATCH($C61,'MEC - public transport &amp; cars'!$C$296:$C$300,0),MATCH(W$18,'MEC - public transport &amp; cars'!$E$294:$H$294,0))*IF($E61=W$20,'General inputs'!$F$85,IF($C61=W$18,'General inputs'!$F$86,0))*IF($D61=W$19,1,0)</f>
        <v>0</v>
      </c>
      <c r="X61" s="169">
        <f>INDEX('MEC - public transport &amp; cars'!$E$296:$H$300,MATCH($C61,'MEC - public transport &amp; cars'!$C$296:$C$300,0),MATCH(X$18,'MEC - public transport &amp; cars'!$E$294:$H$294,0))*IF($E61=X$20,'General inputs'!$F$85,IF($C61=X$18,'General inputs'!$F$86,0))*IF($D61=X$19,1,0)</f>
        <v>0</v>
      </c>
      <c r="Y61" s="169">
        <f>INDEX('MEC - public transport &amp; cars'!$E$296:$H$300,MATCH($C61,'MEC - public transport &amp; cars'!$C$296:$C$300,0),MATCH(Y$18,'MEC - public transport &amp; cars'!$E$294:$H$294,0))*IF($E61=Y$20,'General inputs'!$F$85,IF($C61=Y$18,'General inputs'!$F$86,0))*IF($D61=Y$19,1,0)</f>
        <v>0</v>
      </c>
      <c r="Z61" s="169">
        <f>INDEX('MEC - public transport &amp; cars'!$E$296:$H$300,MATCH($C61,'MEC - public transport &amp; cars'!$C$296:$C$300,0),MATCH(Z$18,'MEC - public transport &amp; cars'!$E$294:$H$294,0))*IF($E61=Z$20,'General inputs'!$F$85,IF($C61=Z$18,'General inputs'!$F$86,0))*IF($D61=Z$19,1,0)</f>
        <v>0</v>
      </c>
      <c r="AA61" s="169">
        <f>INDEX('MEC - public transport &amp; cars'!$E$296:$H$300,MATCH($C61,'MEC - public transport &amp; cars'!$C$296:$C$300,0),MATCH(AA$18,'MEC - public transport &amp; cars'!$E$294:$H$294,0))*IF($E61=AA$20,'General inputs'!$F$85,IF($C61=AA$18,'General inputs'!$F$86,0))*IF($D61=AA$19,1,0)</f>
        <v>0</v>
      </c>
      <c r="AB61" s="169">
        <f>INDEX('MEC - public transport &amp; cars'!$E$296:$H$300,MATCH($C61,'MEC - public transport &amp; cars'!$C$296:$C$300,0),MATCH(AB$18,'MEC - public transport &amp; cars'!$E$294:$H$294,0))*IF($E61=AB$20,'General inputs'!$F$85,IF($C61=AB$18,'General inputs'!$F$86,0))*IF($D61=AB$19,1,0)</f>
        <v>0</v>
      </c>
      <c r="AC61" s="169">
        <f>INDEX('MEC - public transport &amp; cars'!$E$296:$H$300,MATCH($C61,'MEC - public transport &amp; cars'!$C$296:$C$300,0),MATCH(AC$18,'MEC - public transport &amp; cars'!$E$294:$H$294,0))*IF($E61=AC$20,'General inputs'!$F$85,IF($C61=AC$18,'General inputs'!$F$86,0))*IF($D61=AC$19,1,0)</f>
        <v>0</v>
      </c>
      <c r="AD61" s="169">
        <f>INDEX('MEC - public transport &amp; cars'!$E$296:$H$300,MATCH($C61,'MEC - public transport &amp; cars'!$C$296:$C$300,0),MATCH(AD$18,'MEC - public transport &amp; cars'!$E$294:$H$294,0))*IF($E61=AD$20,'General inputs'!$F$85,IF($C61=AD$18,'General inputs'!$F$86,0))*IF($D61=AD$19,1,0)</f>
        <v>-0.71867115222876365</v>
      </c>
      <c r="AE61" s="169">
        <f>INDEX('MEC - public transport &amp; cars'!$E$296:$H$300,MATCH($C61,'MEC - public transport &amp; cars'!$C$296:$C$300,0),MATCH(AE$18,'MEC - public transport &amp; cars'!$E$294:$H$294,0))*IF($E61=AE$20,'General inputs'!$F$85,IF($C61=AE$18,'General inputs'!$F$86,0))*IF($D61=AE$19,1,0)</f>
        <v>0</v>
      </c>
      <c r="AF61" s="169">
        <f>INDEX('MEC - public transport &amp; cars'!$E$296:$H$300,MATCH($C61,'MEC - public transport &amp; cars'!$C$296:$C$300,0),MATCH(AF$18,'MEC - public transport &amp; cars'!$E$294:$H$294,0))*IF($E61=AF$20,'General inputs'!$F$85,IF($C61=AF$18,'General inputs'!$F$86,0))*IF($D61=AF$19,1,0)</f>
        <v>0</v>
      </c>
      <c r="AG61" s="169">
        <f>INDEX('MEC - public transport &amp; cars'!$E$296:$H$300,MATCH($C61,'MEC - public transport &amp; cars'!$C$296:$C$300,0),MATCH(AG$18,'MEC - public transport &amp; cars'!$E$294:$H$294,0))*IF($E61=AG$20,'General inputs'!$F$85,IF($C61=AG$18,'General inputs'!$F$86,0))*IF($D61=AG$19,1,0)</f>
        <v>0</v>
      </c>
      <c r="AH61" s="169">
        <f>INDEX('MEC - public transport &amp; cars'!$E$296:$H$300,MATCH($C61,'MEC - public transport &amp; cars'!$C$296:$C$300,0),MATCH(AH$18,'MEC - public transport &amp; cars'!$E$294:$H$294,0))*IF($E61=AH$20,'General inputs'!$F$85,IF($C61=AH$18,'General inputs'!$F$86,0))*IF($D61=AH$19,1,0)</f>
        <v>0</v>
      </c>
      <c r="AI61" s="169">
        <f>INDEX('MEC - public transport &amp; cars'!$E$296:$H$300,MATCH($C61,'MEC - public transport &amp; cars'!$C$296:$C$300,0),MATCH(AI$18,'MEC - public transport &amp; cars'!$E$294:$H$294,0))*IF($E61=AI$20,'General inputs'!$F$85,IF($C61=AI$18,'General inputs'!$F$86,0))*IF($D61=AI$19,1,0)</f>
        <v>0</v>
      </c>
      <c r="AJ61" s="169">
        <f>INDEX('MEC - public transport &amp; cars'!$E$296:$H$300,MATCH($C61,'MEC - public transport &amp; cars'!$C$296:$C$300,0),MATCH(AJ$18,'MEC - public transport &amp; cars'!$E$294:$H$294,0))*IF($E61=AJ$20,'General inputs'!$F$85,IF($C61=AJ$18,'General inputs'!$F$86,0))*IF($D61=AJ$19,1,0)</f>
        <v>0</v>
      </c>
      <c r="AK61" s="169">
        <f>INDEX('MEC - public transport &amp; cars'!$E$296:$H$300,MATCH($C61,'MEC - public transport &amp; cars'!$C$296:$C$300,0),MATCH(AK$18,'MEC - public transport &amp; cars'!$E$294:$H$294,0))*IF($E61=AK$20,'General inputs'!$F$85,IF($C61=AK$18,'General inputs'!$F$86,0))*IF($D61=AK$19,1,0)</f>
        <v>0</v>
      </c>
      <c r="AL61" s="169">
        <f>INDEX('MEC - public transport &amp; cars'!$E$296:$H$300,MATCH($C61,'MEC - public transport &amp; cars'!$C$296:$C$300,0),MATCH(AL$18,'MEC - public transport &amp; cars'!$E$294:$H$294,0))*IF($E61=AL$20,'General inputs'!$F$85,IF($C61=AL$18,'General inputs'!$F$86,0))*IF($D61=AL$19,1,0)</f>
        <v>-0.64331282355196873</v>
      </c>
      <c r="AM61" s="227">
        <f>INDEX('MEC - public transport &amp; cars'!$E$296:$H$300,MATCH($C61,'MEC - public transport &amp; cars'!$C$296:$C$300,0),MATCH(AM$18,'MEC - public transport &amp; cars'!$E$294:$H$294,0))*IF($E61=AM$20,'General inputs'!$F$85,IF($C61=AM$18,'General inputs'!$F$86,0))*IF($D61=AM$19,1,0)</f>
        <v>0</v>
      </c>
    </row>
    <row r="62" spans="3:39" x14ac:dyDescent="0.25">
      <c r="C62" s="245" t="str">
        <f>'Fare optimisation'!C123</f>
        <v>Car</v>
      </c>
      <c r="D62" s="246">
        <f>'Fare optimisation'!D123</f>
        <v>25</v>
      </c>
      <c r="E62" s="247" t="str">
        <f>'Fare optimisation'!E123</f>
        <v>Off-peak</v>
      </c>
      <c r="F62" s="197"/>
      <c r="G62" s="197"/>
      <c r="H62" s="248">
        <f>INDEX('MEC - public transport &amp; cars'!$E$296:$H$300,MATCH($C62,'MEC - public transport &amp; cars'!$C$296:$C$300,0),MATCH(H$18,'MEC - public transport &amp; cars'!$E$294:$H$294,0))*IF($E62=H$20,'General inputs'!$F$85,IF($C62=H$18,'General inputs'!$F$86,0))*IF($D62=H$19,1,0)</f>
        <v>0</v>
      </c>
      <c r="I62" s="248">
        <f>INDEX('MEC - public transport &amp; cars'!$E$296:$H$300,MATCH($C62,'MEC - public transport &amp; cars'!$C$296:$C$300,0),MATCH(I$18,'MEC - public transport &amp; cars'!$E$294:$H$294,0))*IF($E62=I$20,'General inputs'!$F$85,IF($C62=I$18,'General inputs'!$F$86,0))*IF($D62=I$19,1,0)</f>
        <v>0</v>
      </c>
      <c r="J62" s="248">
        <f>INDEX('MEC - public transport &amp; cars'!$E$296:$H$300,MATCH($C62,'MEC - public transport &amp; cars'!$C$296:$C$300,0),MATCH(J$18,'MEC - public transport &amp; cars'!$E$294:$H$294,0))*IF($E62=J$20,'General inputs'!$F$85,IF($C62=J$18,'General inputs'!$F$86,0))*IF($D62=J$19,1,0)</f>
        <v>0</v>
      </c>
      <c r="K62" s="248">
        <f>INDEX('MEC - public transport &amp; cars'!$E$296:$H$300,MATCH($C62,'MEC - public transport &amp; cars'!$C$296:$C$300,0),MATCH(K$18,'MEC - public transport &amp; cars'!$E$294:$H$294,0))*IF($E62=K$20,'General inputs'!$F$85,IF($C62=K$18,'General inputs'!$F$86,0))*IF($D62=K$19,1,0)</f>
        <v>0</v>
      </c>
      <c r="L62" s="248">
        <f>INDEX('MEC - public transport &amp; cars'!$E$296:$H$300,MATCH($C62,'MEC - public transport &amp; cars'!$C$296:$C$300,0),MATCH(L$18,'MEC - public transport &amp; cars'!$E$294:$H$294,0))*IF($E62=L$20,'General inputs'!$F$85,IF($C62=L$18,'General inputs'!$F$86,0))*IF($D62=L$19,1,0)</f>
        <v>0</v>
      </c>
      <c r="M62" s="248">
        <f>INDEX('MEC - public transport &amp; cars'!$E$296:$H$300,MATCH($C62,'MEC - public transport &amp; cars'!$C$296:$C$300,0),MATCH(M$18,'MEC - public transport &amp; cars'!$E$294:$H$294,0))*IF($E62=M$20,'General inputs'!$F$85,IF($C62=M$18,'General inputs'!$F$86,0))*IF($D62=M$19,1,0)</f>
        <v>0</v>
      </c>
      <c r="N62" s="248">
        <f>INDEX('MEC - public transport &amp; cars'!$E$296:$H$300,MATCH($C62,'MEC - public transport &amp; cars'!$C$296:$C$300,0),MATCH(N$18,'MEC - public transport &amp; cars'!$E$294:$H$294,0))*IF($E62=N$20,'General inputs'!$F$85,IF($C62=N$18,'General inputs'!$F$86,0))*IF($D62=N$19,1,0)</f>
        <v>0</v>
      </c>
      <c r="O62" s="248">
        <f>INDEX('MEC - public transport &amp; cars'!$E$296:$H$300,MATCH($C62,'MEC - public transport &amp; cars'!$C$296:$C$300,0),MATCH(O$18,'MEC - public transport &amp; cars'!$E$294:$H$294,0))*IF($E62=O$20,'General inputs'!$F$85,IF($C62=O$18,'General inputs'!$F$86,0))*IF($D62=O$19,1,0)</f>
        <v>-0.47460329026748327</v>
      </c>
      <c r="P62" s="248">
        <f>INDEX('MEC - public transport &amp; cars'!$E$296:$H$300,MATCH($C62,'MEC - public transport &amp; cars'!$C$296:$C$300,0),MATCH(P$18,'MEC - public transport &amp; cars'!$E$294:$H$294,0))*IF($E62=P$20,'General inputs'!$F$85,IF($C62=P$18,'General inputs'!$F$86,0))*IF($D62=P$19,1,0)</f>
        <v>0</v>
      </c>
      <c r="Q62" s="248">
        <f>INDEX('MEC - public transport &amp; cars'!$E$296:$H$300,MATCH($C62,'MEC - public transport &amp; cars'!$C$296:$C$300,0),MATCH(Q$18,'MEC - public transport &amp; cars'!$E$294:$H$294,0))*IF($E62=Q$20,'General inputs'!$F$85,IF($C62=Q$18,'General inputs'!$F$86,0))*IF($D62=Q$19,1,0)</f>
        <v>0</v>
      </c>
      <c r="R62" s="248">
        <f>INDEX('MEC - public transport &amp; cars'!$E$296:$H$300,MATCH($C62,'MEC - public transport &amp; cars'!$C$296:$C$300,0),MATCH(R$18,'MEC - public transport &amp; cars'!$E$294:$H$294,0))*IF($E62=R$20,'General inputs'!$F$85,IF($C62=R$18,'General inputs'!$F$86,0))*IF($D62=R$19,1,0)</f>
        <v>0</v>
      </c>
      <c r="S62" s="248">
        <f>INDEX('MEC - public transport &amp; cars'!$E$296:$H$300,MATCH($C62,'MEC - public transport &amp; cars'!$C$296:$C$300,0),MATCH(S$18,'MEC - public transport &amp; cars'!$E$294:$H$294,0))*IF($E62=S$20,'General inputs'!$F$85,IF($C62=S$18,'General inputs'!$F$86,0))*IF($D62=S$19,1,0)</f>
        <v>0</v>
      </c>
      <c r="T62" s="248">
        <f>INDEX('MEC - public transport &amp; cars'!$E$296:$H$300,MATCH($C62,'MEC - public transport &amp; cars'!$C$296:$C$300,0),MATCH(T$18,'MEC - public transport &amp; cars'!$E$294:$H$294,0))*IF($E62=T$20,'General inputs'!$F$85,IF($C62=T$18,'General inputs'!$F$86,0))*IF($D62=T$19,1,0)</f>
        <v>0</v>
      </c>
      <c r="U62" s="248">
        <f>INDEX('MEC - public transport &amp; cars'!$E$296:$H$300,MATCH($C62,'MEC - public transport &amp; cars'!$C$296:$C$300,0),MATCH(U$18,'MEC - public transport &amp; cars'!$E$294:$H$294,0))*IF($E62=U$20,'General inputs'!$F$85,IF($C62=U$18,'General inputs'!$F$86,0))*IF($D62=U$19,1,0)</f>
        <v>0</v>
      </c>
      <c r="V62" s="248">
        <f>INDEX('MEC - public transport &amp; cars'!$E$296:$H$300,MATCH($C62,'MEC - public transport &amp; cars'!$C$296:$C$300,0),MATCH(V$18,'MEC - public transport &amp; cars'!$E$294:$H$294,0))*IF($E62=V$20,'General inputs'!$F$85,IF($C62=V$18,'General inputs'!$F$86,0))*IF($D62=V$19,1,0)</f>
        <v>0</v>
      </c>
      <c r="W62" s="248">
        <f>INDEX('MEC - public transport &amp; cars'!$E$296:$H$300,MATCH($C62,'MEC - public transport &amp; cars'!$C$296:$C$300,0),MATCH(W$18,'MEC - public transport &amp; cars'!$E$294:$H$294,0))*IF($E62=W$20,'General inputs'!$F$85,IF($C62=W$18,'General inputs'!$F$86,0))*IF($D62=W$19,1,0)</f>
        <v>-0.58175995049546914</v>
      </c>
      <c r="X62" s="248">
        <f>INDEX('MEC - public transport &amp; cars'!$E$296:$H$300,MATCH($C62,'MEC - public transport &amp; cars'!$C$296:$C$300,0),MATCH(X$18,'MEC - public transport &amp; cars'!$E$294:$H$294,0))*IF($E62=X$20,'General inputs'!$F$85,IF($C62=X$18,'General inputs'!$F$86,0))*IF($D62=X$19,1,0)</f>
        <v>0</v>
      </c>
      <c r="Y62" s="248">
        <f>INDEX('MEC - public transport &amp; cars'!$E$296:$H$300,MATCH($C62,'MEC - public transport &amp; cars'!$C$296:$C$300,0),MATCH(Y$18,'MEC - public transport &amp; cars'!$E$294:$H$294,0))*IF($E62=Y$20,'General inputs'!$F$85,IF($C62=Y$18,'General inputs'!$F$86,0))*IF($D62=Y$19,1,0)</f>
        <v>0</v>
      </c>
      <c r="Z62" s="248">
        <f>INDEX('MEC - public transport &amp; cars'!$E$296:$H$300,MATCH($C62,'MEC - public transport &amp; cars'!$C$296:$C$300,0),MATCH(Z$18,'MEC - public transport &amp; cars'!$E$294:$H$294,0))*IF($E62=Z$20,'General inputs'!$F$85,IF($C62=Z$18,'General inputs'!$F$86,0))*IF($D62=Z$19,1,0)</f>
        <v>0</v>
      </c>
      <c r="AA62" s="248">
        <f>INDEX('MEC - public transport &amp; cars'!$E$296:$H$300,MATCH($C62,'MEC - public transport &amp; cars'!$C$296:$C$300,0),MATCH(AA$18,'MEC - public transport &amp; cars'!$E$294:$H$294,0))*IF($E62=AA$20,'General inputs'!$F$85,IF($C62=AA$18,'General inputs'!$F$86,0))*IF($D62=AA$19,1,0)</f>
        <v>0</v>
      </c>
      <c r="AB62" s="248">
        <f>INDEX('MEC - public transport &amp; cars'!$E$296:$H$300,MATCH($C62,'MEC - public transport &amp; cars'!$C$296:$C$300,0),MATCH(AB$18,'MEC - public transport &amp; cars'!$E$294:$H$294,0))*IF($E62=AB$20,'General inputs'!$F$85,IF($C62=AB$18,'General inputs'!$F$86,0))*IF($D62=AB$19,1,0)</f>
        <v>0</v>
      </c>
      <c r="AC62" s="248">
        <f>INDEX('MEC - public transport &amp; cars'!$E$296:$H$300,MATCH($C62,'MEC - public transport &amp; cars'!$C$296:$C$300,0),MATCH(AC$18,'MEC - public transport &amp; cars'!$E$294:$H$294,0))*IF($E62=AC$20,'General inputs'!$F$85,IF($C62=AC$18,'General inputs'!$F$86,0))*IF($D62=AC$19,1,0)</f>
        <v>0</v>
      </c>
      <c r="AD62" s="248">
        <f>INDEX('MEC - public transport &amp; cars'!$E$296:$H$300,MATCH($C62,'MEC - public transport &amp; cars'!$C$296:$C$300,0),MATCH(AD$18,'MEC - public transport &amp; cars'!$E$294:$H$294,0))*IF($E62=AD$20,'General inputs'!$F$85,IF($C62=AD$18,'General inputs'!$F$86,0))*IF($D62=AD$19,1,0)</f>
        <v>0</v>
      </c>
      <c r="AE62" s="248">
        <f>INDEX('MEC - public transport &amp; cars'!$E$296:$H$300,MATCH($C62,'MEC - public transport &amp; cars'!$C$296:$C$300,0),MATCH(AE$18,'MEC - public transport &amp; cars'!$E$294:$H$294,0))*IF($E62=AE$20,'General inputs'!$F$85,IF($C62=AE$18,'General inputs'!$F$86,0))*IF($D62=AE$19,1,0)</f>
        <v>-0.71867115222876365</v>
      </c>
      <c r="AF62" s="248">
        <f>INDEX('MEC - public transport &amp; cars'!$E$296:$H$300,MATCH($C62,'MEC - public transport &amp; cars'!$C$296:$C$300,0),MATCH(AF$18,'MEC - public transport &amp; cars'!$E$294:$H$294,0))*IF($E62=AF$20,'General inputs'!$F$85,IF($C62=AF$18,'General inputs'!$F$86,0))*IF($D62=AF$19,1,0)</f>
        <v>0</v>
      </c>
      <c r="AG62" s="248">
        <f>INDEX('MEC - public transport &amp; cars'!$E$296:$H$300,MATCH($C62,'MEC - public transport &amp; cars'!$C$296:$C$300,0),MATCH(AG$18,'MEC - public transport &amp; cars'!$E$294:$H$294,0))*IF($E62=AG$20,'General inputs'!$F$85,IF($C62=AG$18,'General inputs'!$F$86,0))*IF($D62=AG$19,1,0)</f>
        <v>0</v>
      </c>
      <c r="AH62" s="248">
        <f>INDEX('MEC - public transport &amp; cars'!$E$296:$H$300,MATCH($C62,'MEC - public transport &amp; cars'!$C$296:$C$300,0),MATCH(AH$18,'MEC - public transport &amp; cars'!$E$294:$H$294,0))*IF($E62=AH$20,'General inputs'!$F$85,IF($C62=AH$18,'General inputs'!$F$86,0))*IF($D62=AH$19,1,0)</f>
        <v>0</v>
      </c>
      <c r="AI62" s="248">
        <f>INDEX('MEC - public transport &amp; cars'!$E$296:$H$300,MATCH($C62,'MEC - public transport &amp; cars'!$C$296:$C$300,0),MATCH(AI$18,'MEC - public transport &amp; cars'!$E$294:$H$294,0))*IF($E62=AI$20,'General inputs'!$F$85,IF($C62=AI$18,'General inputs'!$F$86,0))*IF($D62=AI$19,1,0)</f>
        <v>0</v>
      </c>
      <c r="AJ62" s="248">
        <f>INDEX('MEC - public transport &amp; cars'!$E$296:$H$300,MATCH($C62,'MEC - public transport &amp; cars'!$C$296:$C$300,0),MATCH(AJ$18,'MEC - public transport &amp; cars'!$E$294:$H$294,0))*IF($E62=AJ$20,'General inputs'!$F$85,IF($C62=AJ$18,'General inputs'!$F$86,0))*IF($D62=AJ$19,1,0)</f>
        <v>0</v>
      </c>
      <c r="AK62" s="248">
        <f>INDEX('MEC - public transport &amp; cars'!$E$296:$H$300,MATCH($C62,'MEC - public transport &amp; cars'!$C$296:$C$300,0),MATCH(AK$18,'MEC - public transport &amp; cars'!$E$294:$H$294,0))*IF($E62=AK$20,'General inputs'!$F$85,IF($C62=AK$18,'General inputs'!$F$86,0))*IF($D62=AK$19,1,0)</f>
        <v>0</v>
      </c>
      <c r="AL62" s="248">
        <f>INDEX('MEC - public transport &amp; cars'!$E$296:$H$300,MATCH($C62,'MEC - public transport &amp; cars'!$C$296:$C$300,0),MATCH(AL$18,'MEC - public transport &amp; cars'!$E$294:$H$294,0))*IF($E62=AL$20,'General inputs'!$F$85,IF($C62=AL$18,'General inputs'!$F$86,0))*IF($D62=AL$19,1,0)</f>
        <v>0</v>
      </c>
      <c r="AM62" s="249">
        <f>INDEX('MEC - public transport &amp; cars'!$E$296:$H$300,MATCH($C62,'MEC - public transport &amp; cars'!$C$296:$C$300,0),MATCH(AM$18,'MEC - public transport &amp; cars'!$E$294:$H$294,0))*IF($E62=AM$20,'General inputs'!$F$85,IF($C62=AM$18,'General inputs'!$F$86,0))*IF($D62=AM$19,1,0)</f>
        <v>-0.64331282355196873</v>
      </c>
    </row>
    <row r="65" spans="3:39" ht="18.5" x14ac:dyDescent="0.45">
      <c r="C65" s="43" t="str">
        <f>C9</f>
        <v>Table 2 - Matrix transpose Z (mode j by mode i)</v>
      </c>
      <c r="I65" s="236" t="s">
        <v>237</v>
      </c>
    </row>
    <row r="66" spans="3:39" x14ac:dyDescent="0.25">
      <c r="C66" s="237" t="s">
        <v>173</v>
      </c>
      <c r="D66" s="189"/>
      <c r="E66" s="189"/>
      <c r="F66" s="189"/>
      <c r="G66" s="238"/>
      <c r="H66" s="239" t="str">
        <f t="array" ref="H66:AM68">TRANSPOSE(C71:E102)</f>
        <v>Rail</v>
      </c>
      <c r="I66" s="239" t="str">
        <v>Rail</v>
      </c>
      <c r="J66" s="239" t="str">
        <v>Rail</v>
      </c>
      <c r="K66" s="239" t="str">
        <v>Rail</v>
      </c>
      <c r="L66" s="239" t="str">
        <v>Rail</v>
      </c>
      <c r="M66" s="239" t="str">
        <v>Rail</v>
      </c>
      <c r="N66" s="239" t="str">
        <v>Rail</v>
      </c>
      <c r="O66" s="239" t="str">
        <v>Rail</v>
      </c>
      <c r="P66" s="239" t="str">
        <v>Bus</v>
      </c>
      <c r="Q66" s="239" t="str">
        <v>Bus</v>
      </c>
      <c r="R66" s="239" t="str">
        <v>Bus</v>
      </c>
      <c r="S66" s="239" t="str">
        <v>Bus</v>
      </c>
      <c r="T66" s="239" t="str">
        <v>Bus</v>
      </c>
      <c r="U66" s="239" t="str">
        <v>Bus</v>
      </c>
      <c r="V66" s="239" t="str">
        <v>Bus</v>
      </c>
      <c r="W66" s="239" t="str">
        <v>Bus</v>
      </c>
      <c r="X66" s="239" t="str">
        <v>Ferry</v>
      </c>
      <c r="Y66" s="239" t="str">
        <v>Ferry</v>
      </c>
      <c r="Z66" s="239" t="str">
        <v>Ferry</v>
      </c>
      <c r="AA66" s="239" t="str">
        <v>Ferry</v>
      </c>
      <c r="AB66" s="239" t="str">
        <v>Ferry</v>
      </c>
      <c r="AC66" s="239" t="str">
        <v>Ferry</v>
      </c>
      <c r="AD66" s="239" t="str">
        <v>Ferry</v>
      </c>
      <c r="AE66" s="239" t="str">
        <v>Ferry</v>
      </c>
      <c r="AF66" s="239" t="str">
        <v>Light Rail</v>
      </c>
      <c r="AG66" s="239" t="str">
        <v>Light Rail</v>
      </c>
      <c r="AH66" s="239" t="str">
        <v>Light Rail</v>
      </c>
      <c r="AI66" s="239" t="str">
        <v>Light Rail</v>
      </c>
      <c r="AJ66" s="239" t="str">
        <v>Light Rail</v>
      </c>
      <c r="AK66" s="239" t="str">
        <v>Light Rail</v>
      </c>
      <c r="AL66" s="239" t="str">
        <v>Light Rail</v>
      </c>
      <c r="AM66" s="240" t="str">
        <v>Light Rail</v>
      </c>
    </row>
    <row r="67" spans="3:39" x14ac:dyDescent="0.25">
      <c r="C67" s="191"/>
      <c r="D67" s="178" t="s">
        <v>201</v>
      </c>
      <c r="E67" s="175"/>
      <c r="F67" s="175"/>
      <c r="G67" s="176"/>
      <c r="H67" s="170">
        <v>2</v>
      </c>
      <c r="I67" s="170">
        <v>5</v>
      </c>
      <c r="J67" s="170">
        <v>15</v>
      </c>
      <c r="K67" s="170">
        <v>25</v>
      </c>
      <c r="L67" s="170">
        <v>2</v>
      </c>
      <c r="M67" s="170">
        <v>5</v>
      </c>
      <c r="N67" s="170">
        <v>15</v>
      </c>
      <c r="O67" s="170">
        <v>25</v>
      </c>
      <c r="P67" s="170">
        <v>2</v>
      </c>
      <c r="Q67" s="170">
        <v>5</v>
      </c>
      <c r="R67" s="170">
        <v>15</v>
      </c>
      <c r="S67" s="170">
        <v>25</v>
      </c>
      <c r="T67" s="170">
        <v>2</v>
      </c>
      <c r="U67" s="170">
        <v>5</v>
      </c>
      <c r="V67" s="170">
        <v>15</v>
      </c>
      <c r="W67" s="170">
        <v>25</v>
      </c>
      <c r="X67" s="170">
        <v>2</v>
      </c>
      <c r="Y67" s="170">
        <v>5</v>
      </c>
      <c r="Z67" s="170">
        <v>15</v>
      </c>
      <c r="AA67" s="170">
        <v>25</v>
      </c>
      <c r="AB67" s="170">
        <v>2</v>
      </c>
      <c r="AC67" s="170">
        <v>5</v>
      </c>
      <c r="AD67" s="170">
        <v>15</v>
      </c>
      <c r="AE67" s="170">
        <v>25</v>
      </c>
      <c r="AF67" s="170">
        <v>2</v>
      </c>
      <c r="AG67" s="170">
        <v>5</v>
      </c>
      <c r="AH67" s="170">
        <v>15</v>
      </c>
      <c r="AI67" s="170">
        <v>25</v>
      </c>
      <c r="AJ67" s="170">
        <v>2</v>
      </c>
      <c r="AK67" s="170">
        <v>5</v>
      </c>
      <c r="AL67" s="170">
        <v>15</v>
      </c>
      <c r="AM67" s="241">
        <v>25</v>
      </c>
    </row>
    <row r="68" spans="3:39" x14ac:dyDescent="0.25">
      <c r="C68" s="191"/>
      <c r="D68" s="177"/>
      <c r="E68" s="178" t="s">
        <v>175</v>
      </c>
      <c r="F68" s="180"/>
      <c r="G68" s="176"/>
      <c r="H68" s="171" t="str">
        <v>Peak</v>
      </c>
      <c r="I68" s="171" t="str">
        <v>Peak</v>
      </c>
      <c r="J68" s="171" t="str">
        <v>Peak</v>
      </c>
      <c r="K68" s="171" t="str">
        <v>Peak</v>
      </c>
      <c r="L68" s="171" t="str">
        <v>Off-peak</v>
      </c>
      <c r="M68" s="171" t="str">
        <v>Off-peak</v>
      </c>
      <c r="N68" s="171" t="str">
        <v>Off-peak</v>
      </c>
      <c r="O68" s="171" t="str">
        <v>Off-peak</v>
      </c>
      <c r="P68" s="171" t="str">
        <v>Peak</v>
      </c>
      <c r="Q68" s="171" t="str">
        <v>Peak</v>
      </c>
      <c r="R68" s="171" t="str">
        <v>Peak</v>
      </c>
      <c r="S68" s="171" t="str">
        <v>Peak</v>
      </c>
      <c r="T68" s="171" t="str">
        <v>Off-peak</v>
      </c>
      <c r="U68" s="171" t="str">
        <v>Off-peak</v>
      </c>
      <c r="V68" s="171" t="str">
        <v>Off-peak</v>
      </c>
      <c r="W68" s="171" t="str">
        <v>Off-peak</v>
      </c>
      <c r="X68" s="171" t="str">
        <v>Peak</v>
      </c>
      <c r="Y68" s="171" t="str">
        <v>Peak</v>
      </c>
      <c r="Z68" s="171" t="str">
        <v>Peak</v>
      </c>
      <c r="AA68" s="171" t="str">
        <v>Peak</v>
      </c>
      <c r="AB68" s="171" t="str">
        <v>Off-peak</v>
      </c>
      <c r="AC68" s="171" t="str">
        <v>Off-peak</v>
      </c>
      <c r="AD68" s="171" t="str">
        <v>Off-peak</v>
      </c>
      <c r="AE68" s="171" t="str">
        <v>Off-peak</v>
      </c>
      <c r="AF68" s="171" t="str">
        <v>Peak</v>
      </c>
      <c r="AG68" s="171" t="str">
        <v>Peak</v>
      </c>
      <c r="AH68" s="171" t="str">
        <v>Peak</v>
      </c>
      <c r="AI68" s="171" t="str">
        <v>Peak</v>
      </c>
      <c r="AJ68" s="171" t="str">
        <v>Off-peak</v>
      </c>
      <c r="AK68" s="171" t="str">
        <v>Off-peak</v>
      </c>
      <c r="AL68" s="171" t="str">
        <v>Off-peak</v>
      </c>
      <c r="AM68" s="242" t="str">
        <v>Off-peak</v>
      </c>
    </row>
    <row r="69" spans="3:39" x14ac:dyDescent="0.25">
      <c r="C69" s="191"/>
      <c r="D69" s="177"/>
      <c r="E69" s="181"/>
      <c r="F69" s="182"/>
      <c r="G69" s="176" t="s">
        <v>200</v>
      </c>
      <c r="H69" s="171">
        <f t="array" ref="H69:AM69">TRANSPOSE(F71:F102)</f>
        <v>1</v>
      </c>
      <c r="I69" s="171">
        <v>2</v>
      </c>
      <c r="J69" s="171">
        <v>3</v>
      </c>
      <c r="K69" s="171">
        <v>4</v>
      </c>
      <c r="L69" s="171">
        <v>5</v>
      </c>
      <c r="M69" s="171">
        <v>6</v>
      </c>
      <c r="N69" s="171">
        <v>7</v>
      </c>
      <c r="O69" s="171">
        <v>8</v>
      </c>
      <c r="P69" s="171">
        <v>9</v>
      </c>
      <c r="Q69" s="171">
        <v>10</v>
      </c>
      <c r="R69" s="171">
        <v>11</v>
      </c>
      <c r="S69" s="171">
        <v>12</v>
      </c>
      <c r="T69" s="171">
        <v>13</v>
      </c>
      <c r="U69" s="171">
        <v>14</v>
      </c>
      <c r="V69" s="171">
        <v>15</v>
      </c>
      <c r="W69" s="171">
        <v>16</v>
      </c>
      <c r="X69" s="171">
        <v>17</v>
      </c>
      <c r="Y69" s="171">
        <v>18</v>
      </c>
      <c r="Z69" s="171">
        <v>19</v>
      </c>
      <c r="AA69" s="171">
        <v>20</v>
      </c>
      <c r="AB69" s="171">
        <v>21</v>
      </c>
      <c r="AC69" s="171">
        <v>22</v>
      </c>
      <c r="AD69" s="171">
        <v>23</v>
      </c>
      <c r="AE69" s="171">
        <v>24</v>
      </c>
      <c r="AF69" s="171">
        <v>25</v>
      </c>
      <c r="AG69" s="171">
        <v>26</v>
      </c>
      <c r="AH69" s="171">
        <v>27</v>
      </c>
      <c r="AI69" s="171">
        <v>28</v>
      </c>
      <c r="AJ69" s="171">
        <v>29</v>
      </c>
      <c r="AK69" s="171">
        <v>30</v>
      </c>
      <c r="AL69" s="171">
        <v>31</v>
      </c>
      <c r="AM69" s="242">
        <v>32</v>
      </c>
    </row>
    <row r="70" spans="3:39" x14ac:dyDescent="0.25">
      <c r="C70" s="243"/>
      <c r="D70" s="177"/>
      <c r="E70" s="177"/>
      <c r="F70" s="179" t="s">
        <v>199</v>
      </c>
      <c r="G70" s="174"/>
      <c r="AM70" s="195"/>
    </row>
    <row r="71" spans="3:39" x14ac:dyDescent="0.25">
      <c r="C71" s="244" t="str">
        <f>'Fare optimisation'!C84</f>
        <v>Rail</v>
      </c>
      <c r="D71" s="173">
        <f>'Fare optimisation'!D84</f>
        <v>2</v>
      </c>
      <c r="E71" s="172" t="str">
        <f>'Fare optimisation'!E84</f>
        <v>Peak</v>
      </c>
      <c r="F71" s="173">
        <f>'General inputs'!C29</f>
        <v>1</v>
      </c>
      <c r="H71" s="169">
        <f t="array" ref="H71:AM102">TRANSPOSE(H23:AM54)</f>
        <v>1</v>
      </c>
      <c r="I71" s="169">
        <v>0</v>
      </c>
      <c r="J71" s="169">
        <v>0</v>
      </c>
      <c r="K71" s="169">
        <v>0</v>
      </c>
      <c r="L71" s="169">
        <v>-0.1</v>
      </c>
      <c r="M71" s="169">
        <v>0</v>
      </c>
      <c r="N71" s="169">
        <v>0</v>
      </c>
      <c r="O71" s="169">
        <v>0</v>
      </c>
      <c r="P71" s="169">
        <v>-0.21149525877594427</v>
      </c>
      <c r="Q71" s="169">
        <v>0</v>
      </c>
      <c r="R71" s="169">
        <v>0</v>
      </c>
      <c r="S71" s="169">
        <v>0</v>
      </c>
      <c r="T71" s="169">
        <v>0</v>
      </c>
      <c r="U71" s="169">
        <v>0</v>
      </c>
      <c r="V71" s="169">
        <v>0</v>
      </c>
      <c r="W71" s="169">
        <v>0</v>
      </c>
      <c r="X71" s="169">
        <v>0</v>
      </c>
      <c r="Y71" s="169">
        <v>0</v>
      </c>
      <c r="Z71" s="169">
        <v>0</v>
      </c>
      <c r="AA71" s="169">
        <v>0</v>
      </c>
      <c r="AB71" s="169">
        <v>0</v>
      </c>
      <c r="AC71" s="169">
        <v>0</v>
      </c>
      <c r="AD71" s="169">
        <v>0</v>
      </c>
      <c r="AE71" s="169">
        <v>0</v>
      </c>
      <c r="AF71" s="169">
        <v>0</v>
      </c>
      <c r="AG71" s="169">
        <v>0</v>
      </c>
      <c r="AH71" s="169">
        <v>0</v>
      </c>
      <c r="AI71" s="169">
        <v>0</v>
      </c>
      <c r="AJ71" s="169">
        <v>0</v>
      </c>
      <c r="AK71" s="169">
        <v>0</v>
      </c>
      <c r="AL71" s="169">
        <v>0</v>
      </c>
      <c r="AM71" s="227">
        <v>0</v>
      </c>
    </row>
    <row r="72" spans="3:39" x14ac:dyDescent="0.25">
      <c r="C72" s="244" t="str">
        <f>'Fare optimisation'!C85</f>
        <v>Rail</v>
      </c>
      <c r="D72" s="173">
        <f>'Fare optimisation'!D85</f>
        <v>5</v>
      </c>
      <c r="E72" s="172" t="str">
        <f>'Fare optimisation'!E85</f>
        <v>Peak</v>
      </c>
      <c r="F72" s="173">
        <f>'General inputs'!C30</f>
        <v>2</v>
      </c>
      <c r="H72" s="169">
        <v>0</v>
      </c>
      <c r="I72" s="169">
        <v>1</v>
      </c>
      <c r="J72" s="169">
        <v>0</v>
      </c>
      <c r="K72" s="169">
        <v>0</v>
      </c>
      <c r="L72" s="169">
        <v>0</v>
      </c>
      <c r="M72" s="169">
        <v>-0.1</v>
      </c>
      <c r="N72" s="169">
        <v>0</v>
      </c>
      <c r="O72" s="169">
        <v>0</v>
      </c>
      <c r="P72" s="169">
        <v>0</v>
      </c>
      <c r="Q72" s="169">
        <v>-0.21149525877594427</v>
      </c>
      <c r="R72" s="169">
        <v>0</v>
      </c>
      <c r="S72" s="169">
        <v>0</v>
      </c>
      <c r="T72" s="169">
        <v>0</v>
      </c>
      <c r="U72" s="169">
        <v>0</v>
      </c>
      <c r="V72" s="169">
        <v>0</v>
      </c>
      <c r="W72" s="169">
        <v>0</v>
      </c>
      <c r="X72" s="169">
        <v>0</v>
      </c>
      <c r="Y72" s="169">
        <v>0</v>
      </c>
      <c r="Z72" s="169">
        <v>0</v>
      </c>
      <c r="AA72" s="169">
        <v>0</v>
      </c>
      <c r="AB72" s="169">
        <v>0</v>
      </c>
      <c r="AC72" s="169">
        <v>0</v>
      </c>
      <c r="AD72" s="169">
        <v>0</v>
      </c>
      <c r="AE72" s="169">
        <v>0</v>
      </c>
      <c r="AF72" s="169">
        <v>0</v>
      </c>
      <c r="AG72" s="169">
        <v>0</v>
      </c>
      <c r="AH72" s="169">
        <v>0</v>
      </c>
      <c r="AI72" s="169">
        <v>0</v>
      </c>
      <c r="AJ72" s="169">
        <v>0</v>
      </c>
      <c r="AK72" s="169">
        <v>0</v>
      </c>
      <c r="AL72" s="169">
        <v>0</v>
      </c>
      <c r="AM72" s="227">
        <v>0</v>
      </c>
    </row>
    <row r="73" spans="3:39" x14ac:dyDescent="0.25">
      <c r="C73" s="244" t="str">
        <f>'Fare optimisation'!C86</f>
        <v>Rail</v>
      </c>
      <c r="D73" s="173">
        <f>'Fare optimisation'!D86</f>
        <v>15</v>
      </c>
      <c r="E73" s="172" t="str">
        <f>'Fare optimisation'!E86</f>
        <v>Peak</v>
      </c>
      <c r="F73" s="173">
        <f>'General inputs'!C31</f>
        <v>3</v>
      </c>
      <c r="H73" s="169">
        <v>0</v>
      </c>
      <c r="I73" s="169">
        <v>0</v>
      </c>
      <c r="J73" s="169">
        <v>1</v>
      </c>
      <c r="K73" s="169">
        <v>0</v>
      </c>
      <c r="L73" s="169">
        <v>0</v>
      </c>
      <c r="M73" s="169">
        <v>0</v>
      </c>
      <c r="N73" s="169">
        <v>-0.1</v>
      </c>
      <c r="O73" s="169">
        <v>0</v>
      </c>
      <c r="P73" s="169">
        <v>0</v>
      </c>
      <c r="Q73" s="169">
        <v>0</v>
      </c>
      <c r="R73" s="169">
        <v>-0.21149525877594427</v>
      </c>
      <c r="S73" s="169">
        <v>0</v>
      </c>
      <c r="T73" s="169">
        <v>0</v>
      </c>
      <c r="U73" s="169">
        <v>0</v>
      </c>
      <c r="V73" s="169">
        <v>0</v>
      </c>
      <c r="W73" s="169">
        <v>0</v>
      </c>
      <c r="X73" s="169">
        <v>0</v>
      </c>
      <c r="Y73" s="169">
        <v>0</v>
      </c>
      <c r="Z73" s="169">
        <v>0</v>
      </c>
      <c r="AA73" s="169">
        <v>0</v>
      </c>
      <c r="AB73" s="169">
        <v>0</v>
      </c>
      <c r="AC73" s="169">
        <v>0</v>
      </c>
      <c r="AD73" s="169">
        <v>0</v>
      </c>
      <c r="AE73" s="169">
        <v>0</v>
      </c>
      <c r="AF73" s="169">
        <v>0</v>
      </c>
      <c r="AG73" s="169">
        <v>0</v>
      </c>
      <c r="AH73" s="169">
        <v>0</v>
      </c>
      <c r="AI73" s="169">
        <v>0</v>
      </c>
      <c r="AJ73" s="169">
        <v>0</v>
      </c>
      <c r="AK73" s="169">
        <v>0</v>
      </c>
      <c r="AL73" s="169">
        <v>0</v>
      </c>
      <c r="AM73" s="227">
        <v>0</v>
      </c>
    </row>
    <row r="74" spans="3:39" x14ac:dyDescent="0.25">
      <c r="C74" s="244" t="str">
        <f>'Fare optimisation'!C87</f>
        <v>Rail</v>
      </c>
      <c r="D74" s="173">
        <f>'Fare optimisation'!D87</f>
        <v>25</v>
      </c>
      <c r="E74" s="172" t="str">
        <f>'Fare optimisation'!E87</f>
        <v>Peak</v>
      </c>
      <c r="F74" s="173">
        <f>'General inputs'!C32</f>
        <v>4</v>
      </c>
      <c r="H74" s="169">
        <v>0</v>
      </c>
      <c r="I74" s="169">
        <v>0</v>
      </c>
      <c r="J74" s="169">
        <v>0</v>
      </c>
      <c r="K74" s="169">
        <v>1</v>
      </c>
      <c r="L74" s="169">
        <v>0</v>
      </c>
      <c r="M74" s="169">
        <v>0</v>
      </c>
      <c r="N74" s="169">
        <v>0</v>
      </c>
      <c r="O74" s="169">
        <v>-0.1</v>
      </c>
      <c r="P74" s="169">
        <v>0</v>
      </c>
      <c r="Q74" s="169">
        <v>0</v>
      </c>
      <c r="R74" s="169">
        <v>0</v>
      </c>
      <c r="S74" s="169">
        <v>-0.21149525877594427</v>
      </c>
      <c r="T74" s="169">
        <v>0</v>
      </c>
      <c r="U74" s="169">
        <v>0</v>
      </c>
      <c r="V74" s="169">
        <v>0</v>
      </c>
      <c r="W74" s="169">
        <v>0</v>
      </c>
      <c r="X74" s="169">
        <v>0</v>
      </c>
      <c r="Y74" s="169">
        <v>0</v>
      </c>
      <c r="Z74" s="169">
        <v>0</v>
      </c>
      <c r="AA74" s="169">
        <v>0</v>
      </c>
      <c r="AB74" s="169">
        <v>0</v>
      </c>
      <c r="AC74" s="169">
        <v>0</v>
      </c>
      <c r="AD74" s="169">
        <v>0</v>
      </c>
      <c r="AE74" s="169">
        <v>0</v>
      </c>
      <c r="AF74" s="169">
        <v>0</v>
      </c>
      <c r="AG74" s="169">
        <v>0</v>
      </c>
      <c r="AH74" s="169">
        <v>0</v>
      </c>
      <c r="AI74" s="169">
        <v>0</v>
      </c>
      <c r="AJ74" s="169">
        <v>0</v>
      </c>
      <c r="AK74" s="169">
        <v>0</v>
      </c>
      <c r="AL74" s="169">
        <v>0</v>
      </c>
      <c r="AM74" s="227">
        <v>0</v>
      </c>
    </row>
    <row r="75" spans="3:39" x14ac:dyDescent="0.25">
      <c r="C75" s="244" t="str">
        <f>'Fare optimisation'!C88</f>
        <v>Rail</v>
      </c>
      <c r="D75" s="173">
        <f>'Fare optimisation'!D88</f>
        <v>2</v>
      </c>
      <c r="E75" s="172" t="str">
        <f>'Fare optimisation'!E88</f>
        <v>Off-peak</v>
      </c>
      <c r="F75" s="173">
        <f>'General inputs'!C33</f>
        <v>5</v>
      </c>
      <c r="H75" s="169">
        <v>-0.1</v>
      </c>
      <c r="I75" s="169">
        <v>0</v>
      </c>
      <c r="J75" s="169">
        <v>0</v>
      </c>
      <c r="K75" s="169">
        <v>0</v>
      </c>
      <c r="L75" s="169">
        <v>1</v>
      </c>
      <c r="M75" s="169">
        <v>0</v>
      </c>
      <c r="N75" s="169">
        <v>0</v>
      </c>
      <c r="O75" s="169">
        <v>0</v>
      </c>
      <c r="P75" s="169">
        <v>0</v>
      </c>
      <c r="Q75" s="169">
        <v>0</v>
      </c>
      <c r="R75" s="169">
        <v>0</v>
      </c>
      <c r="S75" s="169">
        <v>0</v>
      </c>
      <c r="T75" s="169">
        <v>-0.21149525877594427</v>
      </c>
      <c r="U75" s="169">
        <v>0</v>
      </c>
      <c r="V75" s="169">
        <v>0</v>
      </c>
      <c r="W75" s="169">
        <v>0</v>
      </c>
      <c r="X75" s="169">
        <v>0</v>
      </c>
      <c r="Y75" s="169">
        <v>0</v>
      </c>
      <c r="Z75" s="169">
        <v>0</v>
      </c>
      <c r="AA75" s="169">
        <v>0</v>
      </c>
      <c r="AB75" s="169">
        <v>0</v>
      </c>
      <c r="AC75" s="169">
        <v>0</v>
      </c>
      <c r="AD75" s="169">
        <v>0</v>
      </c>
      <c r="AE75" s="169">
        <v>0</v>
      </c>
      <c r="AF75" s="169">
        <v>0</v>
      </c>
      <c r="AG75" s="169">
        <v>0</v>
      </c>
      <c r="AH75" s="169">
        <v>0</v>
      </c>
      <c r="AI75" s="169">
        <v>0</v>
      </c>
      <c r="AJ75" s="169">
        <v>0</v>
      </c>
      <c r="AK75" s="169">
        <v>0</v>
      </c>
      <c r="AL75" s="169">
        <v>0</v>
      </c>
      <c r="AM75" s="227">
        <v>0</v>
      </c>
    </row>
    <row r="76" spans="3:39" x14ac:dyDescent="0.25">
      <c r="C76" s="244" t="str">
        <f>'Fare optimisation'!C89</f>
        <v>Rail</v>
      </c>
      <c r="D76" s="173">
        <f>'Fare optimisation'!D89</f>
        <v>5</v>
      </c>
      <c r="E76" s="172" t="str">
        <f>'Fare optimisation'!E89</f>
        <v>Off-peak</v>
      </c>
      <c r="F76" s="173">
        <f>'General inputs'!C34</f>
        <v>6</v>
      </c>
      <c r="H76" s="169">
        <v>0</v>
      </c>
      <c r="I76" s="169">
        <v>-0.1</v>
      </c>
      <c r="J76" s="169">
        <v>0</v>
      </c>
      <c r="K76" s="169">
        <v>0</v>
      </c>
      <c r="L76" s="169">
        <v>0</v>
      </c>
      <c r="M76" s="169">
        <v>1</v>
      </c>
      <c r="N76" s="169">
        <v>0</v>
      </c>
      <c r="O76" s="169">
        <v>0</v>
      </c>
      <c r="P76" s="169">
        <v>0</v>
      </c>
      <c r="Q76" s="169">
        <v>0</v>
      </c>
      <c r="R76" s="169">
        <v>0</v>
      </c>
      <c r="S76" s="169">
        <v>0</v>
      </c>
      <c r="T76" s="169">
        <v>0</v>
      </c>
      <c r="U76" s="169">
        <v>-0.21149525877594427</v>
      </c>
      <c r="V76" s="169">
        <v>0</v>
      </c>
      <c r="W76" s="169">
        <v>0</v>
      </c>
      <c r="X76" s="169">
        <v>0</v>
      </c>
      <c r="Y76" s="169">
        <v>0</v>
      </c>
      <c r="Z76" s="169">
        <v>0</v>
      </c>
      <c r="AA76" s="169">
        <v>0</v>
      </c>
      <c r="AB76" s="169">
        <v>0</v>
      </c>
      <c r="AC76" s="169">
        <v>0</v>
      </c>
      <c r="AD76" s="169">
        <v>0</v>
      </c>
      <c r="AE76" s="169">
        <v>0</v>
      </c>
      <c r="AF76" s="169">
        <v>0</v>
      </c>
      <c r="AG76" s="169">
        <v>0</v>
      </c>
      <c r="AH76" s="169">
        <v>0</v>
      </c>
      <c r="AI76" s="169">
        <v>0</v>
      </c>
      <c r="AJ76" s="169">
        <v>0</v>
      </c>
      <c r="AK76" s="169">
        <v>0</v>
      </c>
      <c r="AL76" s="169">
        <v>0</v>
      </c>
      <c r="AM76" s="227">
        <v>0</v>
      </c>
    </row>
    <row r="77" spans="3:39" x14ac:dyDescent="0.25">
      <c r="C77" s="244" t="str">
        <f>'Fare optimisation'!C90</f>
        <v>Rail</v>
      </c>
      <c r="D77" s="173">
        <f>'Fare optimisation'!D90</f>
        <v>15</v>
      </c>
      <c r="E77" s="172" t="str">
        <f>'Fare optimisation'!E90</f>
        <v>Off-peak</v>
      </c>
      <c r="F77" s="173">
        <f>'General inputs'!C35</f>
        <v>7</v>
      </c>
      <c r="H77" s="169">
        <v>0</v>
      </c>
      <c r="I77" s="169">
        <v>0</v>
      </c>
      <c r="J77" s="169">
        <v>-0.1</v>
      </c>
      <c r="K77" s="169">
        <v>0</v>
      </c>
      <c r="L77" s="169">
        <v>0</v>
      </c>
      <c r="M77" s="169">
        <v>0</v>
      </c>
      <c r="N77" s="169">
        <v>1</v>
      </c>
      <c r="O77" s="169">
        <v>0</v>
      </c>
      <c r="P77" s="169">
        <v>0</v>
      </c>
      <c r="Q77" s="169">
        <v>0</v>
      </c>
      <c r="R77" s="169">
        <v>0</v>
      </c>
      <c r="S77" s="169">
        <v>0</v>
      </c>
      <c r="T77" s="169">
        <v>0</v>
      </c>
      <c r="U77" s="169">
        <v>0</v>
      </c>
      <c r="V77" s="169">
        <v>-0.21149525877594427</v>
      </c>
      <c r="W77" s="169">
        <v>0</v>
      </c>
      <c r="X77" s="169">
        <v>0</v>
      </c>
      <c r="Y77" s="169">
        <v>0</v>
      </c>
      <c r="Z77" s="169">
        <v>0</v>
      </c>
      <c r="AA77" s="169">
        <v>0</v>
      </c>
      <c r="AB77" s="169">
        <v>0</v>
      </c>
      <c r="AC77" s="169">
        <v>0</v>
      </c>
      <c r="AD77" s="169">
        <v>0</v>
      </c>
      <c r="AE77" s="169">
        <v>0</v>
      </c>
      <c r="AF77" s="169">
        <v>0</v>
      </c>
      <c r="AG77" s="169">
        <v>0</v>
      </c>
      <c r="AH77" s="169">
        <v>0</v>
      </c>
      <c r="AI77" s="169">
        <v>0</v>
      </c>
      <c r="AJ77" s="169">
        <v>0</v>
      </c>
      <c r="AK77" s="169">
        <v>0</v>
      </c>
      <c r="AL77" s="169">
        <v>0</v>
      </c>
      <c r="AM77" s="227">
        <v>0</v>
      </c>
    </row>
    <row r="78" spans="3:39" x14ac:dyDescent="0.25">
      <c r="C78" s="244" t="str">
        <f>'Fare optimisation'!C91</f>
        <v>Rail</v>
      </c>
      <c r="D78" s="173">
        <f>'Fare optimisation'!D91</f>
        <v>25</v>
      </c>
      <c r="E78" s="172" t="str">
        <f>'Fare optimisation'!E91</f>
        <v>Off-peak</v>
      </c>
      <c r="F78" s="173">
        <f>'General inputs'!C36</f>
        <v>8</v>
      </c>
      <c r="H78" s="169">
        <v>0</v>
      </c>
      <c r="I78" s="169">
        <v>0</v>
      </c>
      <c r="J78" s="169">
        <v>0</v>
      </c>
      <c r="K78" s="169">
        <v>-0.1</v>
      </c>
      <c r="L78" s="169">
        <v>0</v>
      </c>
      <c r="M78" s="169">
        <v>0</v>
      </c>
      <c r="N78" s="169">
        <v>0</v>
      </c>
      <c r="O78" s="169">
        <v>1</v>
      </c>
      <c r="P78" s="169">
        <v>0</v>
      </c>
      <c r="Q78" s="169">
        <v>0</v>
      </c>
      <c r="R78" s="169">
        <v>0</v>
      </c>
      <c r="S78" s="169">
        <v>0</v>
      </c>
      <c r="T78" s="169">
        <v>0</v>
      </c>
      <c r="U78" s="169">
        <v>0</v>
      </c>
      <c r="V78" s="169">
        <v>0</v>
      </c>
      <c r="W78" s="169">
        <v>-0.21149525877594427</v>
      </c>
      <c r="X78" s="169">
        <v>0</v>
      </c>
      <c r="Y78" s="169">
        <v>0</v>
      </c>
      <c r="Z78" s="169">
        <v>0</v>
      </c>
      <c r="AA78" s="169">
        <v>0</v>
      </c>
      <c r="AB78" s="169">
        <v>0</v>
      </c>
      <c r="AC78" s="169">
        <v>0</v>
      </c>
      <c r="AD78" s="169">
        <v>0</v>
      </c>
      <c r="AE78" s="169">
        <v>0</v>
      </c>
      <c r="AF78" s="169">
        <v>0</v>
      </c>
      <c r="AG78" s="169">
        <v>0</v>
      </c>
      <c r="AH78" s="169">
        <v>0</v>
      </c>
      <c r="AI78" s="169">
        <v>0</v>
      </c>
      <c r="AJ78" s="169">
        <v>0</v>
      </c>
      <c r="AK78" s="169">
        <v>0</v>
      </c>
      <c r="AL78" s="169">
        <v>0</v>
      </c>
      <c r="AM78" s="227">
        <v>0</v>
      </c>
    </row>
    <row r="79" spans="3:39" x14ac:dyDescent="0.25">
      <c r="C79" s="244" t="str">
        <f>'Fare optimisation'!C92</f>
        <v>Bus</v>
      </c>
      <c r="D79" s="173">
        <f>'Fare optimisation'!D92</f>
        <v>2</v>
      </c>
      <c r="E79" s="172" t="str">
        <f>'Fare optimisation'!E92</f>
        <v>Peak</v>
      </c>
      <c r="F79" s="173">
        <f>'General inputs'!C37</f>
        <v>9</v>
      </c>
      <c r="H79" s="169">
        <v>0</v>
      </c>
      <c r="I79" s="169">
        <v>0</v>
      </c>
      <c r="J79" s="169">
        <v>0</v>
      </c>
      <c r="K79" s="169">
        <v>0</v>
      </c>
      <c r="L79" s="169">
        <v>0</v>
      </c>
      <c r="M79" s="169">
        <v>0</v>
      </c>
      <c r="N79" s="169">
        <v>0</v>
      </c>
      <c r="O79" s="169">
        <v>0</v>
      </c>
      <c r="P79" s="169">
        <v>1</v>
      </c>
      <c r="Q79" s="169">
        <v>0</v>
      </c>
      <c r="R79" s="169">
        <v>0</v>
      </c>
      <c r="S79" s="169">
        <v>0</v>
      </c>
      <c r="T79" s="169">
        <v>-0.1</v>
      </c>
      <c r="U79" s="169">
        <v>0</v>
      </c>
      <c r="V79" s="169">
        <v>0</v>
      </c>
      <c r="W79" s="169">
        <v>0</v>
      </c>
      <c r="X79" s="169">
        <v>0</v>
      </c>
      <c r="Y79" s="169">
        <v>0</v>
      </c>
      <c r="Z79" s="169">
        <v>0</v>
      </c>
      <c r="AA79" s="169">
        <v>0</v>
      </c>
      <c r="AB79" s="169">
        <v>0</v>
      </c>
      <c r="AC79" s="169">
        <v>0</v>
      </c>
      <c r="AD79" s="169">
        <v>0</v>
      </c>
      <c r="AE79" s="169">
        <v>0</v>
      </c>
      <c r="AF79" s="169">
        <v>0</v>
      </c>
      <c r="AG79" s="169">
        <v>0</v>
      </c>
      <c r="AH79" s="169">
        <v>0</v>
      </c>
      <c r="AI79" s="169">
        <v>0</v>
      </c>
      <c r="AJ79" s="169">
        <v>0</v>
      </c>
      <c r="AK79" s="169">
        <v>0</v>
      </c>
      <c r="AL79" s="169">
        <v>0</v>
      </c>
      <c r="AM79" s="227">
        <v>0</v>
      </c>
    </row>
    <row r="80" spans="3:39" x14ac:dyDescent="0.25">
      <c r="C80" s="244" t="str">
        <f>'Fare optimisation'!C93</f>
        <v>Bus</v>
      </c>
      <c r="D80" s="173">
        <f>'Fare optimisation'!D93</f>
        <v>5</v>
      </c>
      <c r="E80" s="172" t="str">
        <f>'Fare optimisation'!E93</f>
        <v>Peak</v>
      </c>
      <c r="F80" s="173">
        <f>'General inputs'!C38</f>
        <v>10</v>
      </c>
      <c r="H80" s="169">
        <v>0</v>
      </c>
      <c r="I80" s="169">
        <v>0</v>
      </c>
      <c r="J80" s="169">
        <v>0</v>
      </c>
      <c r="K80" s="169">
        <v>0</v>
      </c>
      <c r="L80" s="169">
        <v>0</v>
      </c>
      <c r="M80" s="169">
        <v>0</v>
      </c>
      <c r="N80" s="169">
        <v>0</v>
      </c>
      <c r="O80" s="169">
        <v>0</v>
      </c>
      <c r="P80" s="169">
        <v>0</v>
      </c>
      <c r="Q80" s="169">
        <v>1</v>
      </c>
      <c r="R80" s="169">
        <v>0</v>
      </c>
      <c r="S80" s="169">
        <v>0</v>
      </c>
      <c r="T80" s="169">
        <v>0</v>
      </c>
      <c r="U80" s="169">
        <v>-0.1</v>
      </c>
      <c r="V80" s="169">
        <v>0</v>
      </c>
      <c r="W80" s="169">
        <v>0</v>
      </c>
      <c r="X80" s="169">
        <v>0</v>
      </c>
      <c r="Y80" s="169">
        <v>0</v>
      </c>
      <c r="Z80" s="169">
        <v>0</v>
      </c>
      <c r="AA80" s="169">
        <v>0</v>
      </c>
      <c r="AB80" s="169">
        <v>0</v>
      </c>
      <c r="AC80" s="169">
        <v>0</v>
      </c>
      <c r="AD80" s="169">
        <v>0</v>
      </c>
      <c r="AE80" s="169">
        <v>0</v>
      </c>
      <c r="AF80" s="169">
        <v>0</v>
      </c>
      <c r="AG80" s="169">
        <v>0</v>
      </c>
      <c r="AH80" s="169">
        <v>0</v>
      </c>
      <c r="AI80" s="169">
        <v>0</v>
      </c>
      <c r="AJ80" s="169">
        <v>0</v>
      </c>
      <c r="AK80" s="169">
        <v>0</v>
      </c>
      <c r="AL80" s="169">
        <v>0</v>
      </c>
      <c r="AM80" s="227">
        <v>0</v>
      </c>
    </row>
    <row r="81" spans="3:39" x14ac:dyDescent="0.25">
      <c r="C81" s="244" t="str">
        <f>'Fare optimisation'!C94</f>
        <v>Bus</v>
      </c>
      <c r="D81" s="173">
        <f>'Fare optimisation'!D94</f>
        <v>15</v>
      </c>
      <c r="E81" s="172" t="str">
        <f>'Fare optimisation'!E94</f>
        <v>Peak</v>
      </c>
      <c r="F81" s="173">
        <f>'General inputs'!C39</f>
        <v>11</v>
      </c>
      <c r="H81" s="169">
        <v>0</v>
      </c>
      <c r="I81" s="169">
        <v>0</v>
      </c>
      <c r="J81" s="169">
        <v>0</v>
      </c>
      <c r="K81" s="169">
        <v>0</v>
      </c>
      <c r="L81" s="169">
        <v>0</v>
      </c>
      <c r="M81" s="169">
        <v>0</v>
      </c>
      <c r="N81" s="169">
        <v>0</v>
      </c>
      <c r="O81" s="169">
        <v>0</v>
      </c>
      <c r="P81" s="169">
        <v>0</v>
      </c>
      <c r="Q81" s="169">
        <v>0</v>
      </c>
      <c r="R81" s="169">
        <v>1</v>
      </c>
      <c r="S81" s="169">
        <v>0</v>
      </c>
      <c r="T81" s="169">
        <v>0</v>
      </c>
      <c r="U81" s="169">
        <v>0</v>
      </c>
      <c r="V81" s="169">
        <v>-0.1</v>
      </c>
      <c r="W81" s="169">
        <v>0</v>
      </c>
      <c r="X81" s="169">
        <v>0</v>
      </c>
      <c r="Y81" s="169">
        <v>0</v>
      </c>
      <c r="Z81" s="169">
        <v>0</v>
      </c>
      <c r="AA81" s="169">
        <v>0</v>
      </c>
      <c r="AB81" s="169">
        <v>0</v>
      </c>
      <c r="AC81" s="169">
        <v>0</v>
      </c>
      <c r="AD81" s="169">
        <v>0</v>
      </c>
      <c r="AE81" s="169">
        <v>0</v>
      </c>
      <c r="AF81" s="169">
        <v>0</v>
      </c>
      <c r="AG81" s="169">
        <v>0</v>
      </c>
      <c r="AH81" s="169">
        <v>0</v>
      </c>
      <c r="AI81" s="169">
        <v>0</v>
      </c>
      <c r="AJ81" s="169">
        <v>0</v>
      </c>
      <c r="AK81" s="169">
        <v>0</v>
      </c>
      <c r="AL81" s="169">
        <v>0</v>
      </c>
      <c r="AM81" s="227">
        <v>0</v>
      </c>
    </row>
    <row r="82" spans="3:39" x14ac:dyDescent="0.25">
      <c r="C82" s="244" t="str">
        <f>'Fare optimisation'!C95</f>
        <v>Bus</v>
      </c>
      <c r="D82" s="173">
        <f>'Fare optimisation'!D95</f>
        <v>25</v>
      </c>
      <c r="E82" s="172" t="str">
        <f>'Fare optimisation'!E95</f>
        <v>Peak</v>
      </c>
      <c r="F82" s="173">
        <f>'General inputs'!C40</f>
        <v>12</v>
      </c>
      <c r="H82" s="169">
        <v>0</v>
      </c>
      <c r="I82" s="169">
        <v>0</v>
      </c>
      <c r="J82" s="169">
        <v>0</v>
      </c>
      <c r="K82" s="169">
        <v>0</v>
      </c>
      <c r="L82" s="169">
        <v>0</v>
      </c>
      <c r="M82" s="169">
        <v>0</v>
      </c>
      <c r="N82" s="169">
        <v>0</v>
      </c>
      <c r="O82" s="169">
        <v>0</v>
      </c>
      <c r="P82" s="169">
        <v>0</v>
      </c>
      <c r="Q82" s="169">
        <v>0</v>
      </c>
      <c r="R82" s="169">
        <v>0</v>
      </c>
      <c r="S82" s="169">
        <v>1</v>
      </c>
      <c r="T82" s="169">
        <v>0</v>
      </c>
      <c r="U82" s="169">
        <v>0</v>
      </c>
      <c r="V82" s="169">
        <v>0</v>
      </c>
      <c r="W82" s="169">
        <v>-0.1</v>
      </c>
      <c r="X82" s="169">
        <v>0</v>
      </c>
      <c r="Y82" s="169">
        <v>0</v>
      </c>
      <c r="Z82" s="169">
        <v>0</v>
      </c>
      <c r="AA82" s="169">
        <v>0</v>
      </c>
      <c r="AB82" s="169">
        <v>0</v>
      </c>
      <c r="AC82" s="169">
        <v>0</v>
      </c>
      <c r="AD82" s="169">
        <v>0</v>
      </c>
      <c r="AE82" s="169">
        <v>0</v>
      </c>
      <c r="AF82" s="169">
        <v>0</v>
      </c>
      <c r="AG82" s="169">
        <v>0</v>
      </c>
      <c r="AH82" s="169">
        <v>0</v>
      </c>
      <c r="AI82" s="169">
        <v>0</v>
      </c>
      <c r="AJ82" s="169">
        <v>0</v>
      </c>
      <c r="AK82" s="169">
        <v>0</v>
      </c>
      <c r="AL82" s="169">
        <v>0</v>
      </c>
      <c r="AM82" s="227">
        <v>0</v>
      </c>
    </row>
    <row r="83" spans="3:39" x14ac:dyDescent="0.25">
      <c r="C83" s="244" t="str">
        <f>'Fare optimisation'!C96</f>
        <v>Bus</v>
      </c>
      <c r="D83" s="173">
        <f>'Fare optimisation'!D96</f>
        <v>2</v>
      </c>
      <c r="E83" s="172" t="str">
        <f>'Fare optimisation'!E96</f>
        <v>Off-peak</v>
      </c>
      <c r="F83" s="173">
        <f>'General inputs'!C41</f>
        <v>13</v>
      </c>
      <c r="H83" s="169">
        <v>0</v>
      </c>
      <c r="I83" s="169">
        <v>0</v>
      </c>
      <c r="J83" s="169">
        <v>0</v>
      </c>
      <c r="K83" s="169">
        <v>0</v>
      </c>
      <c r="L83" s="169">
        <v>0</v>
      </c>
      <c r="M83" s="169">
        <v>0</v>
      </c>
      <c r="N83" s="169">
        <v>0</v>
      </c>
      <c r="O83" s="169">
        <v>0</v>
      </c>
      <c r="P83" s="169">
        <v>-0.1</v>
      </c>
      <c r="Q83" s="169">
        <v>0</v>
      </c>
      <c r="R83" s="169">
        <v>0</v>
      </c>
      <c r="S83" s="169">
        <v>0</v>
      </c>
      <c r="T83" s="169">
        <v>1</v>
      </c>
      <c r="U83" s="169">
        <v>0</v>
      </c>
      <c r="V83" s="169">
        <v>0</v>
      </c>
      <c r="W83" s="169">
        <v>0</v>
      </c>
      <c r="X83" s="169">
        <v>0</v>
      </c>
      <c r="Y83" s="169">
        <v>0</v>
      </c>
      <c r="Z83" s="169">
        <v>0</v>
      </c>
      <c r="AA83" s="169">
        <v>0</v>
      </c>
      <c r="AB83" s="169">
        <v>0</v>
      </c>
      <c r="AC83" s="169">
        <v>0</v>
      </c>
      <c r="AD83" s="169">
        <v>0</v>
      </c>
      <c r="AE83" s="169">
        <v>0</v>
      </c>
      <c r="AF83" s="169">
        <v>0</v>
      </c>
      <c r="AG83" s="169">
        <v>0</v>
      </c>
      <c r="AH83" s="169">
        <v>0</v>
      </c>
      <c r="AI83" s="169">
        <v>0</v>
      </c>
      <c r="AJ83" s="169">
        <v>0</v>
      </c>
      <c r="AK83" s="169">
        <v>0</v>
      </c>
      <c r="AL83" s="169">
        <v>0</v>
      </c>
      <c r="AM83" s="227">
        <v>0</v>
      </c>
    </row>
    <row r="84" spans="3:39" x14ac:dyDescent="0.25">
      <c r="C84" s="244" t="str">
        <f>'Fare optimisation'!C97</f>
        <v>Bus</v>
      </c>
      <c r="D84" s="173">
        <f>'Fare optimisation'!D97</f>
        <v>5</v>
      </c>
      <c r="E84" s="172" t="str">
        <f>'Fare optimisation'!E97</f>
        <v>Off-peak</v>
      </c>
      <c r="F84" s="173">
        <f>'General inputs'!C42</f>
        <v>14</v>
      </c>
      <c r="H84" s="169">
        <v>0</v>
      </c>
      <c r="I84" s="169">
        <v>0</v>
      </c>
      <c r="J84" s="169">
        <v>0</v>
      </c>
      <c r="K84" s="169">
        <v>0</v>
      </c>
      <c r="L84" s="169">
        <v>0</v>
      </c>
      <c r="M84" s="169">
        <v>0</v>
      </c>
      <c r="N84" s="169">
        <v>0</v>
      </c>
      <c r="O84" s="169">
        <v>0</v>
      </c>
      <c r="P84" s="169">
        <v>0</v>
      </c>
      <c r="Q84" s="169">
        <v>-0.1</v>
      </c>
      <c r="R84" s="169">
        <v>0</v>
      </c>
      <c r="S84" s="169">
        <v>0</v>
      </c>
      <c r="T84" s="169">
        <v>0</v>
      </c>
      <c r="U84" s="169">
        <v>1</v>
      </c>
      <c r="V84" s="169">
        <v>0</v>
      </c>
      <c r="W84" s="169">
        <v>0</v>
      </c>
      <c r="X84" s="169">
        <v>0</v>
      </c>
      <c r="Y84" s="169">
        <v>0</v>
      </c>
      <c r="Z84" s="169">
        <v>0</v>
      </c>
      <c r="AA84" s="169">
        <v>0</v>
      </c>
      <c r="AB84" s="169">
        <v>0</v>
      </c>
      <c r="AC84" s="169">
        <v>0</v>
      </c>
      <c r="AD84" s="169">
        <v>0</v>
      </c>
      <c r="AE84" s="169">
        <v>0</v>
      </c>
      <c r="AF84" s="169">
        <v>0</v>
      </c>
      <c r="AG84" s="169">
        <v>0</v>
      </c>
      <c r="AH84" s="169">
        <v>0</v>
      </c>
      <c r="AI84" s="169">
        <v>0</v>
      </c>
      <c r="AJ84" s="169">
        <v>0</v>
      </c>
      <c r="AK84" s="169">
        <v>0</v>
      </c>
      <c r="AL84" s="169">
        <v>0</v>
      </c>
      <c r="AM84" s="227">
        <v>0</v>
      </c>
    </row>
    <row r="85" spans="3:39" x14ac:dyDescent="0.25">
      <c r="C85" s="244" t="str">
        <f>'Fare optimisation'!C98</f>
        <v>Bus</v>
      </c>
      <c r="D85" s="173">
        <f>'Fare optimisation'!D98</f>
        <v>15</v>
      </c>
      <c r="E85" s="172" t="str">
        <f>'Fare optimisation'!E98</f>
        <v>Off-peak</v>
      </c>
      <c r="F85" s="173">
        <f>'General inputs'!C43</f>
        <v>15</v>
      </c>
      <c r="H85" s="169">
        <v>0</v>
      </c>
      <c r="I85" s="169">
        <v>0</v>
      </c>
      <c r="J85" s="169">
        <v>0</v>
      </c>
      <c r="K85" s="169">
        <v>0</v>
      </c>
      <c r="L85" s="169">
        <v>0</v>
      </c>
      <c r="M85" s="169">
        <v>0</v>
      </c>
      <c r="N85" s="169">
        <v>0</v>
      </c>
      <c r="O85" s="169">
        <v>0</v>
      </c>
      <c r="P85" s="169">
        <v>0</v>
      </c>
      <c r="Q85" s="169">
        <v>0</v>
      </c>
      <c r="R85" s="169">
        <v>-0.1</v>
      </c>
      <c r="S85" s="169">
        <v>0</v>
      </c>
      <c r="T85" s="169">
        <v>0</v>
      </c>
      <c r="U85" s="169">
        <v>0</v>
      </c>
      <c r="V85" s="169">
        <v>1</v>
      </c>
      <c r="W85" s="169">
        <v>0</v>
      </c>
      <c r="X85" s="169">
        <v>0</v>
      </c>
      <c r="Y85" s="169">
        <v>0</v>
      </c>
      <c r="Z85" s="169">
        <v>0</v>
      </c>
      <c r="AA85" s="169">
        <v>0</v>
      </c>
      <c r="AB85" s="169">
        <v>0</v>
      </c>
      <c r="AC85" s="169">
        <v>0</v>
      </c>
      <c r="AD85" s="169">
        <v>0</v>
      </c>
      <c r="AE85" s="169">
        <v>0</v>
      </c>
      <c r="AF85" s="169">
        <v>0</v>
      </c>
      <c r="AG85" s="169">
        <v>0</v>
      </c>
      <c r="AH85" s="169">
        <v>0</v>
      </c>
      <c r="AI85" s="169">
        <v>0</v>
      </c>
      <c r="AJ85" s="169">
        <v>0</v>
      </c>
      <c r="AK85" s="169">
        <v>0</v>
      </c>
      <c r="AL85" s="169">
        <v>0</v>
      </c>
      <c r="AM85" s="227">
        <v>0</v>
      </c>
    </row>
    <row r="86" spans="3:39" x14ac:dyDescent="0.25">
      <c r="C86" s="244" t="str">
        <f>'Fare optimisation'!C99</f>
        <v>Bus</v>
      </c>
      <c r="D86" s="173">
        <f>'Fare optimisation'!D99</f>
        <v>25</v>
      </c>
      <c r="E86" s="172" t="str">
        <f>'Fare optimisation'!E99</f>
        <v>Off-peak</v>
      </c>
      <c r="F86" s="173">
        <f>'General inputs'!C44</f>
        <v>16</v>
      </c>
      <c r="H86" s="169">
        <v>0</v>
      </c>
      <c r="I86" s="169">
        <v>0</v>
      </c>
      <c r="J86" s="169">
        <v>0</v>
      </c>
      <c r="K86" s="169">
        <v>0</v>
      </c>
      <c r="L86" s="169">
        <v>0</v>
      </c>
      <c r="M86" s="169">
        <v>0</v>
      </c>
      <c r="N86" s="169">
        <v>0</v>
      </c>
      <c r="O86" s="169">
        <v>0</v>
      </c>
      <c r="P86" s="169">
        <v>0</v>
      </c>
      <c r="Q86" s="169">
        <v>0</v>
      </c>
      <c r="R86" s="169">
        <v>0</v>
      </c>
      <c r="S86" s="169">
        <v>-0.1</v>
      </c>
      <c r="T86" s="169">
        <v>0</v>
      </c>
      <c r="U86" s="169">
        <v>0</v>
      </c>
      <c r="V86" s="169">
        <v>0</v>
      </c>
      <c r="W86" s="169">
        <v>1</v>
      </c>
      <c r="X86" s="169">
        <v>0</v>
      </c>
      <c r="Y86" s="169">
        <v>0</v>
      </c>
      <c r="Z86" s="169">
        <v>0</v>
      </c>
      <c r="AA86" s="169">
        <v>0</v>
      </c>
      <c r="AB86" s="169">
        <v>0</v>
      </c>
      <c r="AC86" s="169">
        <v>0</v>
      </c>
      <c r="AD86" s="169">
        <v>0</v>
      </c>
      <c r="AE86" s="169">
        <v>0</v>
      </c>
      <c r="AF86" s="169">
        <v>0</v>
      </c>
      <c r="AG86" s="169">
        <v>0</v>
      </c>
      <c r="AH86" s="169">
        <v>0</v>
      </c>
      <c r="AI86" s="169">
        <v>0</v>
      </c>
      <c r="AJ86" s="169">
        <v>0</v>
      </c>
      <c r="AK86" s="169">
        <v>0</v>
      </c>
      <c r="AL86" s="169">
        <v>0</v>
      </c>
      <c r="AM86" s="227">
        <v>0</v>
      </c>
    </row>
    <row r="87" spans="3:39" x14ac:dyDescent="0.25">
      <c r="C87" s="244" t="str">
        <f>'Fare optimisation'!C100</f>
        <v>Ferry</v>
      </c>
      <c r="D87" s="173">
        <f>'Fare optimisation'!D100</f>
        <v>2</v>
      </c>
      <c r="E87" s="172" t="str">
        <f>'Fare optimisation'!E100</f>
        <v>Peak</v>
      </c>
      <c r="F87" s="173">
        <f>'General inputs'!C45</f>
        <v>17</v>
      </c>
      <c r="H87" s="169">
        <v>0</v>
      </c>
      <c r="I87" s="169">
        <v>0</v>
      </c>
      <c r="J87" s="169">
        <v>0</v>
      </c>
      <c r="K87" s="169">
        <v>0</v>
      </c>
      <c r="L87" s="169">
        <v>0</v>
      </c>
      <c r="M87" s="169">
        <v>0</v>
      </c>
      <c r="N87" s="169">
        <v>0</v>
      </c>
      <c r="O87" s="169">
        <v>0</v>
      </c>
      <c r="P87" s="169">
        <v>-0.9</v>
      </c>
      <c r="Q87" s="169">
        <v>0</v>
      </c>
      <c r="R87" s="169">
        <v>0</v>
      </c>
      <c r="S87" s="169">
        <v>0</v>
      </c>
      <c r="T87" s="169">
        <v>0</v>
      </c>
      <c r="U87" s="169">
        <v>0</v>
      </c>
      <c r="V87" s="169">
        <v>0</v>
      </c>
      <c r="W87" s="169">
        <v>0</v>
      </c>
      <c r="X87" s="169">
        <v>1</v>
      </c>
      <c r="Y87" s="169">
        <v>0</v>
      </c>
      <c r="Z87" s="169">
        <v>0</v>
      </c>
      <c r="AA87" s="169">
        <v>0</v>
      </c>
      <c r="AB87" s="169">
        <v>-0.1</v>
      </c>
      <c r="AC87" s="169">
        <v>0</v>
      </c>
      <c r="AD87" s="169">
        <v>0</v>
      </c>
      <c r="AE87" s="169">
        <v>0</v>
      </c>
      <c r="AF87" s="169">
        <v>0</v>
      </c>
      <c r="AG87" s="169">
        <v>0</v>
      </c>
      <c r="AH87" s="169">
        <v>0</v>
      </c>
      <c r="AI87" s="169">
        <v>0</v>
      </c>
      <c r="AJ87" s="169">
        <v>0</v>
      </c>
      <c r="AK87" s="169">
        <v>0</v>
      </c>
      <c r="AL87" s="169">
        <v>0</v>
      </c>
      <c r="AM87" s="227">
        <v>0</v>
      </c>
    </row>
    <row r="88" spans="3:39" x14ac:dyDescent="0.25">
      <c r="C88" s="244" t="str">
        <f>'Fare optimisation'!C101</f>
        <v>Ferry</v>
      </c>
      <c r="D88" s="173">
        <f>'Fare optimisation'!D101</f>
        <v>5</v>
      </c>
      <c r="E88" s="172" t="str">
        <f>'Fare optimisation'!E101</f>
        <v>Peak</v>
      </c>
      <c r="F88" s="173">
        <f>'General inputs'!C46</f>
        <v>18</v>
      </c>
      <c r="H88" s="169">
        <v>0</v>
      </c>
      <c r="I88" s="169">
        <v>0</v>
      </c>
      <c r="J88" s="169">
        <v>0</v>
      </c>
      <c r="K88" s="169">
        <v>0</v>
      </c>
      <c r="L88" s="169">
        <v>0</v>
      </c>
      <c r="M88" s="169">
        <v>0</v>
      </c>
      <c r="N88" s="169">
        <v>0</v>
      </c>
      <c r="O88" s="169">
        <v>0</v>
      </c>
      <c r="P88" s="169">
        <v>0</v>
      </c>
      <c r="Q88" s="169">
        <v>-0.9</v>
      </c>
      <c r="R88" s="169">
        <v>0</v>
      </c>
      <c r="S88" s="169">
        <v>0</v>
      </c>
      <c r="T88" s="169">
        <v>0</v>
      </c>
      <c r="U88" s="169">
        <v>0</v>
      </c>
      <c r="V88" s="169">
        <v>0</v>
      </c>
      <c r="W88" s="169">
        <v>0</v>
      </c>
      <c r="X88" s="169">
        <v>0</v>
      </c>
      <c r="Y88" s="169">
        <v>1</v>
      </c>
      <c r="Z88" s="169">
        <v>0</v>
      </c>
      <c r="AA88" s="169">
        <v>0</v>
      </c>
      <c r="AB88" s="169">
        <v>0</v>
      </c>
      <c r="AC88" s="169">
        <v>-0.1</v>
      </c>
      <c r="AD88" s="169">
        <v>0</v>
      </c>
      <c r="AE88" s="169">
        <v>0</v>
      </c>
      <c r="AF88" s="169">
        <v>0</v>
      </c>
      <c r="AG88" s="169">
        <v>0</v>
      </c>
      <c r="AH88" s="169">
        <v>0</v>
      </c>
      <c r="AI88" s="169">
        <v>0</v>
      </c>
      <c r="AJ88" s="169">
        <v>0</v>
      </c>
      <c r="AK88" s="169">
        <v>0</v>
      </c>
      <c r="AL88" s="169">
        <v>0</v>
      </c>
      <c r="AM88" s="227">
        <v>0</v>
      </c>
    </row>
    <row r="89" spans="3:39" x14ac:dyDescent="0.25">
      <c r="C89" s="244" t="str">
        <f>'Fare optimisation'!C102</f>
        <v>Ferry</v>
      </c>
      <c r="D89" s="173">
        <f>'Fare optimisation'!D102</f>
        <v>15</v>
      </c>
      <c r="E89" s="172" t="str">
        <f>'Fare optimisation'!E102</f>
        <v>Peak</v>
      </c>
      <c r="F89" s="173">
        <f>'General inputs'!C47</f>
        <v>19</v>
      </c>
      <c r="H89" s="169">
        <v>0</v>
      </c>
      <c r="I89" s="169">
        <v>0</v>
      </c>
      <c r="J89" s="169">
        <v>0</v>
      </c>
      <c r="K89" s="169">
        <v>0</v>
      </c>
      <c r="L89" s="169">
        <v>0</v>
      </c>
      <c r="M89" s="169">
        <v>0</v>
      </c>
      <c r="N89" s="169">
        <v>0</v>
      </c>
      <c r="O89" s="169">
        <v>0</v>
      </c>
      <c r="P89" s="169">
        <v>0</v>
      </c>
      <c r="Q89" s="169">
        <v>0</v>
      </c>
      <c r="R89" s="169">
        <v>-0.9</v>
      </c>
      <c r="S89" s="169">
        <v>0</v>
      </c>
      <c r="T89" s="169">
        <v>0</v>
      </c>
      <c r="U89" s="169">
        <v>0</v>
      </c>
      <c r="V89" s="169">
        <v>0</v>
      </c>
      <c r="W89" s="169">
        <v>0</v>
      </c>
      <c r="X89" s="169">
        <v>0</v>
      </c>
      <c r="Y89" s="169">
        <v>0</v>
      </c>
      <c r="Z89" s="169">
        <v>1</v>
      </c>
      <c r="AA89" s="169">
        <v>0</v>
      </c>
      <c r="AB89" s="169">
        <v>0</v>
      </c>
      <c r="AC89" s="169">
        <v>0</v>
      </c>
      <c r="AD89" s="169">
        <v>-0.1</v>
      </c>
      <c r="AE89" s="169">
        <v>0</v>
      </c>
      <c r="AF89" s="169">
        <v>0</v>
      </c>
      <c r="AG89" s="169">
        <v>0</v>
      </c>
      <c r="AH89" s="169">
        <v>0</v>
      </c>
      <c r="AI89" s="169">
        <v>0</v>
      </c>
      <c r="AJ89" s="169">
        <v>0</v>
      </c>
      <c r="AK89" s="169">
        <v>0</v>
      </c>
      <c r="AL89" s="169">
        <v>0</v>
      </c>
      <c r="AM89" s="227">
        <v>0</v>
      </c>
    </row>
    <row r="90" spans="3:39" x14ac:dyDescent="0.25">
      <c r="C90" s="244" t="str">
        <f>'Fare optimisation'!C103</f>
        <v>Ferry</v>
      </c>
      <c r="D90" s="173">
        <f>'Fare optimisation'!D103</f>
        <v>25</v>
      </c>
      <c r="E90" s="172" t="str">
        <f>'Fare optimisation'!E103</f>
        <v>Peak</v>
      </c>
      <c r="F90" s="173">
        <f>'General inputs'!C48</f>
        <v>20</v>
      </c>
      <c r="H90" s="169">
        <v>0</v>
      </c>
      <c r="I90" s="169">
        <v>0</v>
      </c>
      <c r="J90" s="169">
        <v>0</v>
      </c>
      <c r="K90" s="169">
        <v>0</v>
      </c>
      <c r="L90" s="169">
        <v>0</v>
      </c>
      <c r="M90" s="169">
        <v>0</v>
      </c>
      <c r="N90" s="169">
        <v>0</v>
      </c>
      <c r="O90" s="169">
        <v>0</v>
      </c>
      <c r="P90" s="169">
        <v>0</v>
      </c>
      <c r="Q90" s="169">
        <v>0</v>
      </c>
      <c r="R90" s="169">
        <v>0</v>
      </c>
      <c r="S90" s="169">
        <v>-0.9</v>
      </c>
      <c r="T90" s="169">
        <v>0</v>
      </c>
      <c r="U90" s="169">
        <v>0</v>
      </c>
      <c r="V90" s="169">
        <v>0</v>
      </c>
      <c r="W90" s="169">
        <v>0</v>
      </c>
      <c r="X90" s="169">
        <v>0</v>
      </c>
      <c r="Y90" s="169">
        <v>0</v>
      </c>
      <c r="Z90" s="169">
        <v>0</v>
      </c>
      <c r="AA90" s="169">
        <v>1</v>
      </c>
      <c r="AB90" s="169">
        <v>0</v>
      </c>
      <c r="AC90" s="169">
        <v>0</v>
      </c>
      <c r="AD90" s="169">
        <v>0</v>
      </c>
      <c r="AE90" s="169">
        <v>-0.1</v>
      </c>
      <c r="AF90" s="169">
        <v>0</v>
      </c>
      <c r="AG90" s="169">
        <v>0</v>
      </c>
      <c r="AH90" s="169">
        <v>0</v>
      </c>
      <c r="AI90" s="169">
        <v>0</v>
      </c>
      <c r="AJ90" s="169">
        <v>0</v>
      </c>
      <c r="AK90" s="169">
        <v>0</v>
      </c>
      <c r="AL90" s="169">
        <v>0</v>
      </c>
      <c r="AM90" s="227">
        <v>0</v>
      </c>
    </row>
    <row r="91" spans="3:39" x14ac:dyDescent="0.25">
      <c r="C91" s="244" t="str">
        <f>'Fare optimisation'!C104</f>
        <v>Ferry</v>
      </c>
      <c r="D91" s="173">
        <f>'Fare optimisation'!D104</f>
        <v>2</v>
      </c>
      <c r="E91" s="172" t="str">
        <f>'Fare optimisation'!E104</f>
        <v>Off-peak</v>
      </c>
      <c r="F91" s="173">
        <f>'General inputs'!C49</f>
        <v>21</v>
      </c>
      <c r="H91" s="169">
        <v>0</v>
      </c>
      <c r="I91" s="169">
        <v>0</v>
      </c>
      <c r="J91" s="169">
        <v>0</v>
      </c>
      <c r="K91" s="169">
        <v>0</v>
      </c>
      <c r="L91" s="169">
        <v>0</v>
      </c>
      <c r="M91" s="169">
        <v>0</v>
      </c>
      <c r="N91" s="169">
        <v>0</v>
      </c>
      <c r="O91" s="169">
        <v>0</v>
      </c>
      <c r="P91" s="169">
        <v>0</v>
      </c>
      <c r="Q91" s="169">
        <v>0</v>
      </c>
      <c r="R91" s="169">
        <v>0</v>
      </c>
      <c r="S91" s="169">
        <v>0</v>
      </c>
      <c r="T91" s="169">
        <v>-0.9</v>
      </c>
      <c r="U91" s="169">
        <v>0</v>
      </c>
      <c r="V91" s="169">
        <v>0</v>
      </c>
      <c r="W91" s="169">
        <v>0</v>
      </c>
      <c r="X91" s="169">
        <v>-0.1</v>
      </c>
      <c r="Y91" s="169">
        <v>0</v>
      </c>
      <c r="Z91" s="169">
        <v>0</v>
      </c>
      <c r="AA91" s="169">
        <v>0</v>
      </c>
      <c r="AB91" s="169">
        <v>1</v>
      </c>
      <c r="AC91" s="169">
        <v>0</v>
      </c>
      <c r="AD91" s="169">
        <v>0</v>
      </c>
      <c r="AE91" s="169">
        <v>0</v>
      </c>
      <c r="AF91" s="169">
        <v>0</v>
      </c>
      <c r="AG91" s="169">
        <v>0</v>
      </c>
      <c r="AH91" s="169">
        <v>0</v>
      </c>
      <c r="AI91" s="169">
        <v>0</v>
      </c>
      <c r="AJ91" s="169">
        <v>0</v>
      </c>
      <c r="AK91" s="169">
        <v>0</v>
      </c>
      <c r="AL91" s="169">
        <v>0</v>
      </c>
      <c r="AM91" s="227">
        <v>0</v>
      </c>
    </row>
    <row r="92" spans="3:39" x14ac:dyDescent="0.25">
      <c r="C92" s="244" t="str">
        <f>'Fare optimisation'!C105</f>
        <v>Ferry</v>
      </c>
      <c r="D92" s="173">
        <f>'Fare optimisation'!D105</f>
        <v>5</v>
      </c>
      <c r="E92" s="172" t="str">
        <f>'Fare optimisation'!E105</f>
        <v>Off-peak</v>
      </c>
      <c r="F92" s="173">
        <f>'General inputs'!C50</f>
        <v>22</v>
      </c>
      <c r="H92" s="169">
        <v>0</v>
      </c>
      <c r="I92" s="169">
        <v>0</v>
      </c>
      <c r="J92" s="169">
        <v>0</v>
      </c>
      <c r="K92" s="169">
        <v>0</v>
      </c>
      <c r="L92" s="169">
        <v>0</v>
      </c>
      <c r="M92" s="169">
        <v>0</v>
      </c>
      <c r="N92" s="169">
        <v>0</v>
      </c>
      <c r="O92" s="169">
        <v>0</v>
      </c>
      <c r="P92" s="169">
        <v>0</v>
      </c>
      <c r="Q92" s="169">
        <v>0</v>
      </c>
      <c r="R92" s="169">
        <v>0</v>
      </c>
      <c r="S92" s="169">
        <v>0</v>
      </c>
      <c r="T92" s="169">
        <v>0</v>
      </c>
      <c r="U92" s="169">
        <v>-0.9</v>
      </c>
      <c r="V92" s="169">
        <v>0</v>
      </c>
      <c r="W92" s="169">
        <v>0</v>
      </c>
      <c r="X92" s="169">
        <v>0</v>
      </c>
      <c r="Y92" s="169">
        <v>-0.1</v>
      </c>
      <c r="Z92" s="169">
        <v>0</v>
      </c>
      <c r="AA92" s="169">
        <v>0</v>
      </c>
      <c r="AB92" s="169">
        <v>0</v>
      </c>
      <c r="AC92" s="169">
        <v>1</v>
      </c>
      <c r="AD92" s="169">
        <v>0</v>
      </c>
      <c r="AE92" s="169">
        <v>0</v>
      </c>
      <c r="AF92" s="169">
        <v>0</v>
      </c>
      <c r="AG92" s="169">
        <v>0</v>
      </c>
      <c r="AH92" s="169">
        <v>0</v>
      </c>
      <c r="AI92" s="169">
        <v>0</v>
      </c>
      <c r="AJ92" s="169">
        <v>0</v>
      </c>
      <c r="AK92" s="169">
        <v>0</v>
      </c>
      <c r="AL92" s="169">
        <v>0</v>
      </c>
      <c r="AM92" s="227">
        <v>0</v>
      </c>
    </row>
    <row r="93" spans="3:39" x14ac:dyDescent="0.25">
      <c r="C93" s="244" t="str">
        <f>'Fare optimisation'!C106</f>
        <v>Ferry</v>
      </c>
      <c r="D93" s="173">
        <f>'Fare optimisation'!D106</f>
        <v>15</v>
      </c>
      <c r="E93" s="172" t="str">
        <f>'Fare optimisation'!E106</f>
        <v>Off-peak</v>
      </c>
      <c r="F93" s="173">
        <f>'General inputs'!C51</f>
        <v>23</v>
      </c>
      <c r="H93" s="169">
        <v>0</v>
      </c>
      <c r="I93" s="169">
        <v>0</v>
      </c>
      <c r="J93" s="169">
        <v>0</v>
      </c>
      <c r="K93" s="169">
        <v>0</v>
      </c>
      <c r="L93" s="169">
        <v>0</v>
      </c>
      <c r="M93" s="169">
        <v>0</v>
      </c>
      <c r="N93" s="169">
        <v>0</v>
      </c>
      <c r="O93" s="169">
        <v>0</v>
      </c>
      <c r="P93" s="169">
        <v>0</v>
      </c>
      <c r="Q93" s="169">
        <v>0</v>
      </c>
      <c r="R93" s="169">
        <v>0</v>
      </c>
      <c r="S93" s="169">
        <v>0</v>
      </c>
      <c r="T93" s="169">
        <v>0</v>
      </c>
      <c r="U93" s="169">
        <v>0</v>
      </c>
      <c r="V93" s="169">
        <v>-0.9</v>
      </c>
      <c r="W93" s="169">
        <v>0</v>
      </c>
      <c r="X93" s="169">
        <v>0</v>
      </c>
      <c r="Y93" s="169">
        <v>0</v>
      </c>
      <c r="Z93" s="169">
        <v>-0.1</v>
      </c>
      <c r="AA93" s="169">
        <v>0</v>
      </c>
      <c r="AB93" s="169">
        <v>0</v>
      </c>
      <c r="AC93" s="169">
        <v>0</v>
      </c>
      <c r="AD93" s="169">
        <v>1</v>
      </c>
      <c r="AE93" s="169">
        <v>0</v>
      </c>
      <c r="AF93" s="169">
        <v>0</v>
      </c>
      <c r="AG93" s="169">
        <v>0</v>
      </c>
      <c r="AH93" s="169">
        <v>0</v>
      </c>
      <c r="AI93" s="169">
        <v>0</v>
      </c>
      <c r="AJ93" s="169">
        <v>0</v>
      </c>
      <c r="AK93" s="169">
        <v>0</v>
      </c>
      <c r="AL93" s="169">
        <v>0</v>
      </c>
      <c r="AM93" s="227">
        <v>0</v>
      </c>
    </row>
    <row r="94" spans="3:39" x14ac:dyDescent="0.25">
      <c r="C94" s="244" t="str">
        <f>'Fare optimisation'!C107</f>
        <v>Ferry</v>
      </c>
      <c r="D94" s="173">
        <f>'Fare optimisation'!D107</f>
        <v>25</v>
      </c>
      <c r="E94" s="172" t="str">
        <f>'Fare optimisation'!E107</f>
        <v>Off-peak</v>
      </c>
      <c r="F94" s="173">
        <f>'General inputs'!C52</f>
        <v>24</v>
      </c>
      <c r="H94" s="169">
        <v>0</v>
      </c>
      <c r="I94" s="169">
        <v>0</v>
      </c>
      <c r="J94" s="169">
        <v>0</v>
      </c>
      <c r="K94" s="169">
        <v>0</v>
      </c>
      <c r="L94" s="169">
        <v>0</v>
      </c>
      <c r="M94" s="169">
        <v>0</v>
      </c>
      <c r="N94" s="169">
        <v>0</v>
      </c>
      <c r="O94" s="169">
        <v>0</v>
      </c>
      <c r="P94" s="169">
        <v>0</v>
      </c>
      <c r="Q94" s="169">
        <v>0</v>
      </c>
      <c r="R94" s="169">
        <v>0</v>
      </c>
      <c r="S94" s="169">
        <v>0</v>
      </c>
      <c r="T94" s="169">
        <v>0</v>
      </c>
      <c r="U94" s="169">
        <v>0</v>
      </c>
      <c r="V94" s="169">
        <v>0</v>
      </c>
      <c r="W94" s="169">
        <v>-0.9</v>
      </c>
      <c r="X94" s="169">
        <v>0</v>
      </c>
      <c r="Y94" s="169">
        <v>0</v>
      </c>
      <c r="Z94" s="169">
        <v>0</v>
      </c>
      <c r="AA94" s="169">
        <v>-0.1</v>
      </c>
      <c r="AB94" s="169">
        <v>0</v>
      </c>
      <c r="AC94" s="169">
        <v>0</v>
      </c>
      <c r="AD94" s="169">
        <v>0</v>
      </c>
      <c r="AE94" s="169">
        <v>1</v>
      </c>
      <c r="AF94" s="169">
        <v>0</v>
      </c>
      <c r="AG94" s="169">
        <v>0</v>
      </c>
      <c r="AH94" s="169">
        <v>0</v>
      </c>
      <c r="AI94" s="169">
        <v>0</v>
      </c>
      <c r="AJ94" s="169">
        <v>0</v>
      </c>
      <c r="AK94" s="169">
        <v>0</v>
      </c>
      <c r="AL94" s="169">
        <v>0</v>
      </c>
      <c r="AM94" s="227">
        <v>0</v>
      </c>
    </row>
    <row r="95" spans="3:39" x14ac:dyDescent="0.25">
      <c r="C95" s="244" t="str">
        <f>'Fare optimisation'!C108</f>
        <v>Light Rail</v>
      </c>
      <c r="D95" s="173">
        <f>'Fare optimisation'!D108</f>
        <v>2</v>
      </c>
      <c r="E95" s="172" t="str">
        <f>'Fare optimisation'!E108</f>
        <v>Peak</v>
      </c>
      <c r="F95" s="173">
        <f>'General inputs'!C53</f>
        <v>25</v>
      </c>
      <c r="H95" s="169">
        <v>0</v>
      </c>
      <c r="I95" s="169">
        <v>0</v>
      </c>
      <c r="J95" s="169">
        <v>0</v>
      </c>
      <c r="K95" s="169">
        <v>0</v>
      </c>
      <c r="L95" s="169">
        <v>0</v>
      </c>
      <c r="M95" s="169">
        <v>0</v>
      </c>
      <c r="N95" s="169">
        <v>0</v>
      </c>
      <c r="O95" s="169">
        <v>0</v>
      </c>
      <c r="P95" s="169">
        <v>-0.49191926234508726</v>
      </c>
      <c r="Q95" s="169">
        <v>0</v>
      </c>
      <c r="R95" s="169">
        <v>0</v>
      </c>
      <c r="S95" s="169">
        <v>0</v>
      </c>
      <c r="T95" s="169">
        <v>0</v>
      </c>
      <c r="U95" s="169">
        <v>0</v>
      </c>
      <c r="V95" s="169">
        <v>0</v>
      </c>
      <c r="W95" s="169">
        <v>0</v>
      </c>
      <c r="X95" s="169">
        <v>0</v>
      </c>
      <c r="Y95" s="169">
        <v>0</v>
      </c>
      <c r="Z95" s="169">
        <v>0</v>
      </c>
      <c r="AA95" s="169">
        <v>0</v>
      </c>
      <c r="AB95" s="169">
        <v>0</v>
      </c>
      <c r="AC95" s="169">
        <v>0</v>
      </c>
      <c r="AD95" s="169">
        <v>0</v>
      </c>
      <c r="AE95" s="169">
        <v>0</v>
      </c>
      <c r="AF95" s="169">
        <v>1</v>
      </c>
      <c r="AG95" s="169">
        <v>0</v>
      </c>
      <c r="AH95" s="169">
        <v>0</v>
      </c>
      <c r="AI95" s="169">
        <v>0</v>
      </c>
      <c r="AJ95" s="169">
        <v>-0.1</v>
      </c>
      <c r="AK95" s="169">
        <v>0</v>
      </c>
      <c r="AL95" s="169">
        <v>0</v>
      </c>
      <c r="AM95" s="227">
        <v>0</v>
      </c>
    </row>
    <row r="96" spans="3:39" x14ac:dyDescent="0.25">
      <c r="C96" s="244" t="str">
        <f>'Fare optimisation'!C109</f>
        <v>Light Rail</v>
      </c>
      <c r="D96" s="173">
        <f>'Fare optimisation'!D109</f>
        <v>5</v>
      </c>
      <c r="E96" s="172" t="str">
        <f>'Fare optimisation'!E109</f>
        <v>Peak</v>
      </c>
      <c r="F96" s="173">
        <f>'General inputs'!C54</f>
        <v>26</v>
      </c>
      <c r="H96" s="169">
        <v>0</v>
      </c>
      <c r="I96" s="169">
        <v>0</v>
      </c>
      <c r="J96" s="169">
        <v>0</v>
      </c>
      <c r="K96" s="169">
        <v>0</v>
      </c>
      <c r="L96" s="169">
        <v>0</v>
      </c>
      <c r="M96" s="169">
        <v>0</v>
      </c>
      <c r="N96" s="169">
        <v>0</v>
      </c>
      <c r="O96" s="169">
        <v>0</v>
      </c>
      <c r="P96" s="169">
        <v>0</v>
      </c>
      <c r="Q96" s="169">
        <v>-0.49191926234508726</v>
      </c>
      <c r="R96" s="169">
        <v>0</v>
      </c>
      <c r="S96" s="169">
        <v>0</v>
      </c>
      <c r="T96" s="169">
        <v>0</v>
      </c>
      <c r="U96" s="169">
        <v>0</v>
      </c>
      <c r="V96" s="169">
        <v>0</v>
      </c>
      <c r="W96" s="169">
        <v>0</v>
      </c>
      <c r="X96" s="169">
        <v>0</v>
      </c>
      <c r="Y96" s="169">
        <v>0</v>
      </c>
      <c r="Z96" s="169">
        <v>0</v>
      </c>
      <c r="AA96" s="169">
        <v>0</v>
      </c>
      <c r="AB96" s="169">
        <v>0</v>
      </c>
      <c r="AC96" s="169">
        <v>0</v>
      </c>
      <c r="AD96" s="169">
        <v>0</v>
      </c>
      <c r="AE96" s="169">
        <v>0</v>
      </c>
      <c r="AF96" s="169">
        <v>0</v>
      </c>
      <c r="AG96" s="169">
        <v>1</v>
      </c>
      <c r="AH96" s="169">
        <v>0</v>
      </c>
      <c r="AI96" s="169">
        <v>0</v>
      </c>
      <c r="AJ96" s="169">
        <v>0</v>
      </c>
      <c r="AK96" s="169">
        <v>-0.1</v>
      </c>
      <c r="AL96" s="169">
        <v>0</v>
      </c>
      <c r="AM96" s="227">
        <v>0</v>
      </c>
    </row>
    <row r="97" spans="3:39" x14ac:dyDescent="0.25">
      <c r="C97" s="244" t="str">
        <f>'Fare optimisation'!C110</f>
        <v>Light Rail</v>
      </c>
      <c r="D97" s="173">
        <f>'Fare optimisation'!D110</f>
        <v>15</v>
      </c>
      <c r="E97" s="172" t="str">
        <f>'Fare optimisation'!E110</f>
        <v>Peak</v>
      </c>
      <c r="F97" s="173">
        <f>'General inputs'!C55</f>
        <v>27</v>
      </c>
      <c r="H97" s="169">
        <v>0</v>
      </c>
      <c r="I97" s="169">
        <v>0</v>
      </c>
      <c r="J97" s="169">
        <v>0</v>
      </c>
      <c r="K97" s="169">
        <v>0</v>
      </c>
      <c r="L97" s="169">
        <v>0</v>
      </c>
      <c r="M97" s="169">
        <v>0</v>
      </c>
      <c r="N97" s="169">
        <v>0</v>
      </c>
      <c r="O97" s="169">
        <v>0</v>
      </c>
      <c r="P97" s="169">
        <v>0</v>
      </c>
      <c r="Q97" s="169">
        <v>0</v>
      </c>
      <c r="R97" s="169">
        <v>-0.49191926234508726</v>
      </c>
      <c r="S97" s="169">
        <v>0</v>
      </c>
      <c r="T97" s="169">
        <v>0</v>
      </c>
      <c r="U97" s="169">
        <v>0</v>
      </c>
      <c r="V97" s="169">
        <v>0</v>
      </c>
      <c r="W97" s="169">
        <v>0</v>
      </c>
      <c r="X97" s="169">
        <v>0</v>
      </c>
      <c r="Y97" s="169">
        <v>0</v>
      </c>
      <c r="Z97" s="169">
        <v>0</v>
      </c>
      <c r="AA97" s="169">
        <v>0</v>
      </c>
      <c r="AB97" s="169">
        <v>0</v>
      </c>
      <c r="AC97" s="169">
        <v>0</v>
      </c>
      <c r="AD97" s="169">
        <v>0</v>
      </c>
      <c r="AE97" s="169">
        <v>0</v>
      </c>
      <c r="AF97" s="169">
        <v>0</v>
      </c>
      <c r="AG97" s="169">
        <v>0</v>
      </c>
      <c r="AH97" s="169">
        <v>1</v>
      </c>
      <c r="AI97" s="169">
        <v>0</v>
      </c>
      <c r="AJ97" s="169">
        <v>0</v>
      </c>
      <c r="AK97" s="169">
        <v>0</v>
      </c>
      <c r="AL97" s="169">
        <v>-0.1</v>
      </c>
      <c r="AM97" s="227">
        <v>0</v>
      </c>
    </row>
    <row r="98" spans="3:39" x14ac:dyDescent="0.25">
      <c r="C98" s="244" t="str">
        <f>'Fare optimisation'!C111</f>
        <v>Light Rail</v>
      </c>
      <c r="D98" s="173">
        <f>'Fare optimisation'!D111</f>
        <v>25</v>
      </c>
      <c r="E98" s="172" t="str">
        <f>'Fare optimisation'!E111</f>
        <v>Peak</v>
      </c>
      <c r="F98" s="173">
        <f>'General inputs'!C56</f>
        <v>28</v>
      </c>
      <c r="H98" s="169">
        <v>0</v>
      </c>
      <c r="I98" s="169">
        <v>0</v>
      </c>
      <c r="J98" s="169">
        <v>0</v>
      </c>
      <c r="K98" s="169">
        <v>0</v>
      </c>
      <c r="L98" s="169">
        <v>0</v>
      </c>
      <c r="M98" s="169">
        <v>0</v>
      </c>
      <c r="N98" s="169">
        <v>0</v>
      </c>
      <c r="O98" s="169">
        <v>0</v>
      </c>
      <c r="P98" s="169">
        <v>0</v>
      </c>
      <c r="Q98" s="169">
        <v>0</v>
      </c>
      <c r="R98" s="169">
        <v>0</v>
      </c>
      <c r="S98" s="169">
        <v>-0.49191926234508726</v>
      </c>
      <c r="T98" s="169">
        <v>0</v>
      </c>
      <c r="U98" s="169">
        <v>0</v>
      </c>
      <c r="V98" s="169">
        <v>0</v>
      </c>
      <c r="W98" s="169">
        <v>0</v>
      </c>
      <c r="X98" s="169">
        <v>0</v>
      </c>
      <c r="Y98" s="169">
        <v>0</v>
      </c>
      <c r="Z98" s="169">
        <v>0</v>
      </c>
      <c r="AA98" s="169">
        <v>0</v>
      </c>
      <c r="AB98" s="169">
        <v>0</v>
      </c>
      <c r="AC98" s="169">
        <v>0</v>
      </c>
      <c r="AD98" s="169">
        <v>0</v>
      </c>
      <c r="AE98" s="169">
        <v>0</v>
      </c>
      <c r="AF98" s="169">
        <v>0</v>
      </c>
      <c r="AG98" s="169">
        <v>0</v>
      </c>
      <c r="AH98" s="169">
        <v>0</v>
      </c>
      <c r="AI98" s="169">
        <v>1</v>
      </c>
      <c r="AJ98" s="169">
        <v>0</v>
      </c>
      <c r="AK98" s="169">
        <v>0</v>
      </c>
      <c r="AL98" s="169">
        <v>0</v>
      </c>
      <c r="AM98" s="227">
        <v>-0.1</v>
      </c>
    </row>
    <row r="99" spans="3:39" x14ac:dyDescent="0.25">
      <c r="C99" s="244" t="str">
        <f>'Fare optimisation'!C112</f>
        <v>Light Rail</v>
      </c>
      <c r="D99" s="173">
        <f>'Fare optimisation'!D112</f>
        <v>2</v>
      </c>
      <c r="E99" s="172" t="str">
        <f>'Fare optimisation'!E112</f>
        <v>Off-peak</v>
      </c>
      <c r="F99" s="173">
        <f>'General inputs'!C57</f>
        <v>29</v>
      </c>
      <c r="H99" s="169">
        <v>0</v>
      </c>
      <c r="I99" s="169">
        <v>0</v>
      </c>
      <c r="J99" s="169">
        <v>0</v>
      </c>
      <c r="K99" s="169">
        <v>0</v>
      </c>
      <c r="L99" s="169">
        <v>0</v>
      </c>
      <c r="M99" s="169">
        <v>0</v>
      </c>
      <c r="N99" s="169">
        <v>0</v>
      </c>
      <c r="O99" s="169">
        <v>0</v>
      </c>
      <c r="P99" s="169">
        <v>0</v>
      </c>
      <c r="Q99" s="169">
        <v>0</v>
      </c>
      <c r="R99" s="169">
        <v>0</v>
      </c>
      <c r="S99" s="169">
        <v>0</v>
      </c>
      <c r="T99" s="169">
        <v>-0.49191926234508726</v>
      </c>
      <c r="U99" s="169">
        <v>0</v>
      </c>
      <c r="V99" s="169">
        <v>0</v>
      </c>
      <c r="W99" s="169">
        <v>0</v>
      </c>
      <c r="X99" s="169">
        <v>0</v>
      </c>
      <c r="Y99" s="169">
        <v>0</v>
      </c>
      <c r="Z99" s="169">
        <v>0</v>
      </c>
      <c r="AA99" s="169">
        <v>0</v>
      </c>
      <c r="AB99" s="169">
        <v>0</v>
      </c>
      <c r="AC99" s="169">
        <v>0</v>
      </c>
      <c r="AD99" s="169">
        <v>0</v>
      </c>
      <c r="AE99" s="169">
        <v>0</v>
      </c>
      <c r="AF99" s="169">
        <v>-0.1</v>
      </c>
      <c r="AG99" s="169">
        <v>0</v>
      </c>
      <c r="AH99" s="169">
        <v>0</v>
      </c>
      <c r="AI99" s="169">
        <v>0</v>
      </c>
      <c r="AJ99" s="169">
        <v>1</v>
      </c>
      <c r="AK99" s="169">
        <v>0</v>
      </c>
      <c r="AL99" s="169">
        <v>0</v>
      </c>
      <c r="AM99" s="227">
        <v>0</v>
      </c>
    </row>
    <row r="100" spans="3:39" x14ac:dyDescent="0.25">
      <c r="C100" s="244" t="str">
        <f>'Fare optimisation'!C113</f>
        <v>Light Rail</v>
      </c>
      <c r="D100" s="173">
        <f>'Fare optimisation'!D113</f>
        <v>5</v>
      </c>
      <c r="E100" s="172" t="str">
        <f>'Fare optimisation'!E113</f>
        <v>Off-peak</v>
      </c>
      <c r="F100" s="173">
        <f>'General inputs'!C58</f>
        <v>30</v>
      </c>
      <c r="H100" s="169">
        <v>0</v>
      </c>
      <c r="I100" s="169">
        <v>0</v>
      </c>
      <c r="J100" s="169">
        <v>0</v>
      </c>
      <c r="K100" s="169">
        <v>0</v>
      </c>
      <c r="L100" s="169">
        <v>0</v>
      </c>
      <c r="M100" s="169">
        <v>0</v>
      </c>
      <c r="N100" s="169">
        <v>0</v>
      </c>
      <c r="O100" s="169">
        <v>0</v>
      </c>
      <c r="P100" s="169">
        <v>0</v>
      </c>
      <c r="Q100" s="169">
        <v>0</v>
      </c>
      <c r="R100" s="169">
        <v>0</v>
      </c>
      <c r="S100" s="169">
        <v>0</v>
      </c>
      <c r="T100" s="169">
        <v>0</v>
      </c>
      <c r="U100" s="169">
        <v>-0.49191926234508726</v>
      </c>
      <c r="V100" s="169">
        <v>0</v>
      </c>
      <c r="W100" s="169">
        <v>0</v>
      </c>
      <c r="X100" s="169">
        <v>0</v>
      </c>
      <c r="Y100" s="169">
        <v>0</v>
      </c>
      <c r="Z100" s="169">
        <v>0</v>
      </c>
      <c r="AA100" s="169">
        <v>0</v>
      </c>
      <c r="AB100" s="169">
        <v>0</v>
      </c>
      <c r="AC100" s="169">
        <v>0</v>
      </c>
      <c r="AD100" s="169">
        <v>0</v>
      </c>
      <c r="AE100" s="169">
        <v>0</v>
      </c>
      <c r="AF100" s="169">
        <v>0</v>
      </c>
      <c r="AG100" s="169">
        <v>-0.1</v>
      </c>
      <c r="AH100" s="169">
        <v>0</v>
      </c>
      <c r="AI100" s="169">
        <v>0</v>
      </c>
      <c r="AJ100" s="169">
        <v>0</v>
      </c>
      <c r="AK100" s="169">
        <v>1</v>
      </c>
      <c r="AL100" s="169">
        <v>0</v>
      </c>
      <c r="AM100" s="227">
        <v>0</v>
      </c>
    </row>
    <row r="101" spans="3:39" x14ac:dyDescent="0.25">
      <c r="C101" s="244" t="str">
        <f>'Fare optimisation'!C114</f>
        <v>Light Rail</v>
      </c>
      <c r="D101" s="173">
        <f>'Fare optimisation'!D114</f>
        <v>15</v>
      </c>
      <c r="E101" s="172" t="str">
        <f>'Fare optimisation'!E114</f>
        <v>Off-peak</v>
      </c>
      <c r="F101" s="173">
        <f>'General inputs'!C59</f>
        <v>31</v>
      </c>
      <c r="H101" s="169">
        <v>0</v>
      </c>
      <c r="I101" s="169">
        <v>0</v>
      </c>
      <c r="J101" s="169">
        <v>0</v>
      </c>
      <c r="K101" s="169">
        <v>0</v>
      </c>
      <c r="L101" s="169">
        <v>0</v>
      </c>
      <c r="M101" s="169">
        <v>0</v>
      </c>
      <c r="N101" s="169">
        <v>0</v>
      </c>
      <c r="O101" s="169">
        <v>0</v>
      </c>
      <c r="P101" s="169">
        <v>0</v>
      </c>
      <c r="Q101" s="169">
        <v>0</v>
      </c>
      <c r="R101" s="169">
        <v>0</v>
      </c>
      <c r="S101" s="169">
        <v>0</v>
      </c>
      <c r="T101" s="169">
        <v>0</v>
      </c>
      <c r="U101" s="169">
        <v>0</v>
      </c>
      <c r="V101" s="169">
        <v>-0.49191926234508726</v>
      </c>
      <c r="W101" s="169">
        <v>0</v>
      </c>
      <c r="X101" s="169">
        <v>0</v>
      </c>
      <c r="Y101" s="169">
        <v>0</v>
      </c>
      <c r="Z101" s="169">
        <v>0</v>
      </c>
      <c r="AA101" s="169">
        <v>0</v>
      </c>
      <c r="AB101" s="169">
        <v>0</v>
      </c>
      <c r="AC101" s="169">
        <v>0</v>
      </c>
      <c r="AD101" s="169">
        <v>0</v>
      </c>
      <c r="AE101" s="169">
        <v>0</v>
      </c>
      <c r="AF101" s="169">
        <v>0</v>
      </c>
      <c r="AG101" s="169">
        <v>0</v>
      </c>
      <c r="AH101" s="169">
        <v>-0.1</v>
      </c>
      <c r="AI101" s="169">
        <v>0</v>
      </c>
      <c r="AJ101" s="169">
        <v>0</v>
      </c>
      <c r="AK101" s="169">
        <v>0</v>
      </c>
      <c r="AL101" s="169">
        <v>1</v>
      </c>
      <c r="AM101" s="227">
        <v>0</v>
      </c>
    </row>
    <row r="102" spans="3:39" x14ac:dyDescent="0.25">
      <c r="C102" s="253" t="str">
        <f>'Fare optimisation'!C115</f>
        <v>Light Rail</v>
      </c>
      <c r="D102" s="254">
        <f>'Fare optimisation'!D115</f>
        <v>25</v>
      </c>
      <c r="E102" s="255" t="str">
        <f>'Fare optimisation'!E115</f>
        <v>Off-peak</v>
      </c>
      <c r="F102" s="254">
        <f>'General inputs'!C60</f>
        <v>32</v>
      </c>
      <c r="H102" s="169">
        <v>0</v>
      </c>
      <c r="I102" s="169">
        <v>0</v>
      </c>
      <c r="J102" s="169">
        <v>0</v>
      </c>
      <c r="K102" s="169">
        <v>0</v>
      </c>
      <c r="L102" s="169">
        <v>0</v>
      </c>
      <c r="M102" s="169">
        <v>0</v>
      </c>
      <c r="N102" s="169">
        <v>0</v>
      </c>
      <c r="O102" s="169">
        <v>0</v>
      </c>
      <c r="P102" s="169">
        <v>0</v>
      </c>
      <c r="Q102" s="169">
        <v>0</v>
      </c>
      <c r="R102" s="169">
        <v>0</v>
      </c>
      <c r="S102" s="169">
        <v>0</v>
      </c>
      <c r="T102" s="169">
        <v>0</v>
      </c>
      <c r="U102" s="169">
        <v>0</v>
      </c>
      <c r="V102" s="169">
        <v>0</v>
      </c>
      <c r="W102" s="169">
        <v>-0.49191926234508726</v>
      </c>
      <c r="X102" s="169">
        <v>0</v>
      </c>
      <c r="Y102" s="169">
        <v>0</v>
      </c>
      <c r="Z102" s="169">
        <v>0</v>
      </c>
      <c r="AA102" s="169">
        <v>0</v>
      </c>
      <c r="AB102" s="169">
        <v>0</v>
      </c>
      <c r="AC102" s="169">
        <v>0</v>
      </c>
      <c r="AD102" s="169">
        <v>0</v>
      </c>
      <c r="AE102" s="169">
        <v>0</v>
      </c>
      <c r="AF102" s="169">
        <v>0</v>
      </c>
      <c r="AG102" s="169">
        <v>0</v>
      </c>
      <c r="AH102" s="169">
        <v>0</v>
      </c>
      <c r="AI102" s="169">
        <v>-0.1</v>
      </c>
      <c r="AJ102" s="169">
        <v>0</v>
      </c>
      <c r="AK102" s="169">
        <v>0</v>
      </c>
      <c r="AL102" s="169">
        <v>0</v>
      </c>
      <c r="AM102" s="227">
        <v>1</v>
      </c>
    </row>
    <row r="103" spans="3:39" x14ac:dyDescent="0.25">
      <c r="C103" s="226"/>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row>
    <row r="105" spans="3:39" ht="18.5" x14ac:dyDescent="0.45">
      <c r="C105" s="43" t="str">
        <f>C10</f>
        <v>Table 3 - Matrix A (mode i by mode j)</v>
      </c>
      <c r="H105" s="236" t="s">
        <v>238</v>
      </c>
    </row>
    <row r="106" spans="3:39" x14ac:dyDescent="0.25">
      <c r="C106" s="237" t="s">
        <v>173</v>
      </c>
      <c r="D106" s="189"/>
      <c r="E106" s="189"/>
      <c r="F106" s="189"/>
      <c r="G106" s="238"/>
      <c r="H106" s="239" t="str">
        <f t="array" ref="H106:AM108">TRANSPOSE(C111:E142)</f>
        <v>Rail</v>
      </c>
      <c r="I106" s="239" t="str">
        <v>Rail</v>
      </c>
      <c r="J106" s="239" t="str">
        <v>Rail</v>
      </c>
      <c r="K106" s="239" t="str">
        <v>Rail</v>
      </c>
      <c r="L106" s="239" t="str">
        <v>Rail</v>
      </c>
      <c r="M106" s="239" t="str">
        <v>Rail</v>
      </c>
      <c r="N106" s="239" t="str">
        <v>Rail</v>
      </c>
      <c r="O106" s="239" t="str">
        <v>Rail</v>
      </c>
      <c r="P106" s="239" t="str">
        <v>Bus</v>
      </c>
      <c r="Q106" s="239" t="str">
        <v>Bus</v>
      </c>
      <c r="R106" s="239" t="str">
        <v>Bus</v>
      </c>
      <c r="S106" s="239" t="str">
        <v>Bus</v>
      </c>
      <c r="T106" s="239" t="str">
        <v>Bus</v>
      </c>
      <c r="U106" s="239" t="str">
        <v>Bus</v>
      </c>
      <c r="V106" s="239" t="str">
        <v>Bus</v>
      </c>
      <c r="W106" s="239" t="str">
        <v>Bus</v>
      </c>
      <c r="X106" s="239" t="str">
        <v>Ferry</v>
      </c>
      <c r="Y106" s="239" t="str">
        <v>Ferry</v>
      </c>
      <c r="Z106" s="239" t="str">
        <v>Ferry</v>
      </c>
      <c r="AA106" s="239" t="str">
        <v>Ferry</v>
      </c>
      <c r="AB106" s="239" t="str">
        <v>Ferry</v>
      </c>
      <c r="AC106" s="239" t="str">
        <v>Ferry</v>
      </c>
      <c r="AD106" s="239" t="str">
        <v>Ferry</v>
      </c>
      <c r="AE106" s="239" t="str">
        <v>Ferry</v>
      </c>
      <c r="AF106" s="239" t="str">
        <v>Light Rail</v>
      </c>
      <c r="AG106" s="239" t="str">
        <v>Light Rail</v>
      </c>
      <c r="AH106" s="239" t="str">
        <v>Light Rail</v>
      </c>
      <c r="AI106" s="239" t="str">
        <v>Light Rail</v>
      </c>
      <c r="AJ106" s="239" t="str">
        <v>Light Rail</v>
      </c>
      <c r="AK106" s="239" t="str">
        <v>Light Rail</v>
      </c>
      <c r="AL106" s="239" t="str">
        <v>Light Rail</v>
      </c>
      <c r="AM106" s="240" t="str">
        <v>Light Rail</v>
      </c>
    </row>
    <row r="107" spans="3:39" x14ac:dyDescent="0.25">
      <c r="C107" s="191"/>
      <c r="D107" s="178" t="s">
        <v>201</v>
      </c>
      <c r="E107" s="175"/>
      <c r="F107" s="175"/>
      <c r="G107" s="176"/>
      <c r="H107" s="170">
        <v>2</v>
      </c>
      <c r="I107" s="170">
        <v>5</v>
      </c>
      <c r="J107" s="170">
        <v>15</v>
      </c>
      <c r="K107" s="170">
        <v>25</v>
      </c>
      <c r="L107" s="170">
        <v>2</v>
      </c>
      <c r="M107" s="170">
        <v>5</v>
      </c>
      <c r="N107" s="170">
        <v>15</v>
      </c>
      <c r="O107" s="170">
        <v>25</v>
      </c>
      <c r="P107" s="170">
        <v>2</v>
      </c>
      <c r="Q107" s="170">
        <v>5</v>
      </c>
      <c r="R107" s="170">
        <v>15</v>
      </c>
      <c r="S107" s="170">
        <v>25</v>
      </c>
      <c r="T107" s="170">
        <v>2</v>
      </c>
      <c r="U107" s="170">
        <v>5</v>
      </c>
      <c r="V107" s="170">
        <v>15</v>
      </c>
      <c r="W107" s="170">
        <v>25</v>
      </c>
      <c r="X107" s="170">
        <v>2</v>
      </c>
      <c r="Y107" s="170">
        <v>5</v>
      </c>
      <c r="Z107" s="170">
        <v>15</v>
      </c>
      <c r="AA107" s="170">
        <v>25</v>
      </c>
      <c r="AB107" s="170">
        <v>2</v>
      </c>
      <c r="AC107" s="170">
        <v>5</v>
      </c>
      <c r="AD107" s="170">
        <v>15</v>
      </c>
      <c r="AE107" s="170">
        <v>25</v>
      </c>
      <c r="AF107" s="170">
        <v>2</v>
      </c>
      <c r="AG107" s="170">
        <v>5</v>
      </c>
      <c r="AH107" s="170">
        <v>15</v>
      </c>
      <c r="AI107" s="170">
        <v>25</v>
      </c>
      <c r="AJ107" s="170">
        <v>2</v>
      </c>
      <c r="AK107" s="170">
        <v>5</v>
      </c>
      <c r="AL107" s="170">
        <v>15</v>
      </c>
      <c r="AM107" s="241">
        <v>25</v>
      </c>
    </row>
    <row r="108" spans="3:39" x14ac:dyDescent="0.25">
      <c r="C108" s="191"/>
      <c r="D108" s="177"/>
      <c r="E108" s="178" t="s">
        <v>175</v>
      </c>
      <c r="F108" s="180"/>
      <c r="G108" s="176"/>
      <c r="H108" s="171" t="str">
        <v>Peak</v>
      </c>
      <c r="I108" s="171" t="str">
        <v>Peak</v>
      </c>
      <c r="J108" s="171" t="str">
        <v>Peak</v>
      </c>
      <c r="K108" s="171" t="str">
        <v>Peak</v>
      </c>
      <c r="L108" s="171" t="str">
        <v>Off-peak</v>
      </c>
      <c r="M108" s="171" t="str">
        <v>Off-peak</v>
      </c>
      <c r="N108" s="171" t="str">
        <v>Off-peak</v>
      </c>
      <c r="O108" s="171" t="str">
        <v>Off-peak</v>
      </c>
      <c r="P108" s="171" t="str">
        <v>Peak</v>
      </c>
      <c r="Q108" s="171" t="str">
        <v>Peak</v>
      </c>
      <c r="R108" s="171" t="str">
        <v>Peak</v>
      </c>
      <c r="S108" s="171" t="str">
        <v>Peak</v>
      </c>
      <c r="T108" s="171" t="str">
        <v>Off-peak</v>
      </c>
      <c r="U108" s="171" t="str">
        <v>Off-peak</v>
      </c>
      <c r="V108" s="171" t="str">
        <v>Off-peak</v>
      </c>
      <c r="W108" s="171" t="str">
        <v>Off-peak</v>
      </c>
      <c r="X108" s="171" t="str">
        <v>Peak</v>
      </c>
      <c r="Y108" s="171" t="str">
        <v>Peak</v>
      </c>
      <c r="Z108" s="171" t="str">
        <v>Peak</v>
      </c>
      <c r="AA108" s="171" t="str">
        <v>Peak</v>
      </c>
      <c r="AB108" s="171" t="str">
        <v>Off-peak</v>
      </c>
      <c r="AC108" s="171" t="str">
        <v>Off-peak</v>
      </c>
      <c r="AD108" s="171" t="str">
        <v>Off-peak</v>
      </c>
      <c r="AE108" s="171" t="str">
        <v>Off-peak</v>
      </c>
      <c r="AF108" s="171" t="str">
        <v>Peak</v>
      </c>
      <c r="AG108" s="171" t="str">
        <v>Peak</v>
      </c>
      <c r="AH108" s="171" t="str">
        <v>Peak</v>
      </c>
      <c r="AI108" s="171" t="str">
        <v>Peak</v>
      </c>
      <c r="AJ108" s="171" t="str">
        <v>Off-peak</v>
      </c>
      <c r="AK108" s="171" t="str">
        <v>Off-peak</v>
      </c>
      <c r="AL108" s="171" t="str">
        <v>Off-peak</v>
      </c>
      <c r="AM108" s="242" t="str">
        <v>Off-peak</v>
      </c>
    </row>
    <row r="109" spans="3:39" x14ac:dyDescent="0.25">
      <c r="C109" s="191"/>
      <c r="D109" s="177"/>
      <c r="E109" s="181"/>
      <c r="F109" s="182"/>
      <c r="G109" s="176" t="s">
        <v>199</v>
      </c>
      <c r="H109" s="171">
        <f t="array" ref="H109:AM109">TRANSPOSE(F111:F142)</f>
        <v>1</v>
      </c>
      <c r="I109" s="171">
        <v>2</v>
      </c>
      <c r="J109" s="171">
        <v>3</v>
      </c>
      <c r="K109" s="171">
        <v>4</v>
      </c>
      <c r="L109" s="171">
        <v>5</v>
      </c>
      <c r="M109" s="171">
        <v>6</v>
      </c>
      <c r="N109" s="171">
        <v>7</v>
      </c>
      <c r="O109" s="171">
        <v>8</v>
      </c>
      <c r="P109" s="171">
        <v>9</v>
      </c>
      <c r="Q109" s="171">
        <v>10</v>
      </c>
      <c r="R109" s="171">
        <v>11</v>
      </c>
      <c r="S109" s="171">
        <v>12</v>
      </c>
      <c r="T109" s="171">
        <v>13</v>
      </c>
      <c r="U109" s="171">
        <v>14</v>
      </c>
      <c r="V109" s="171">
        <v>15</v>
      </c>
      <c r="W109" s="171">
        <v>16</v>
      </c>
      <c r="X109" s="171">
        <v>17</v>
      </c>
      <c r="Y109" s="171">
        <v>18</v>
      </c>
      <c r="Z109" s="171">
        <v>19</v>
      </c>
      <c r="AA109" s="171">
        <v>20</v>
      </c>
      <c r="AB109" s="171">
        <v>21</v>
      </c>
      <c r="AC109" s="171">
        <v>22</v>
      </c>
      <c r="AD109" s="171">
        <v>23</v>
      </c>
      <c r="AE109" s="171">
        <v>24</v>
      </c>
      <c r="AF109" s="171">
        <v>25</v>
      </c>
      <c r="AG109" s="171">
        <v>26</v>
      </c>
      <c r="AH109" s="171">
        <v>27</v>
      </c>
      <c r="AI109" s="171">
        <v>28</v>
      </c>
      <c r="AJ109" s="171">
        <v>29</v>
      </c>
      <c r="AK109" s="171">
        <v>30</v>
      </c>
      <c r="AL109" s="171">
        <v>31</v>
      </c>
      <c r="AM109" s="242">
        <v>32</v>
      </c>
    </row>
    <row r="110" spans="3:39" x14ac:dyDescent="0.25">
      <c r="C110" s="243"/>
      <c r="D110" s="177"/>
      <c r="E110" s="177"/>
      <c r="F110" s="179" t="s">
        <v>200</v>
      </c>
      <c r="G110" s="174"/>
      <c r="AM110" s="195"/>
    </row>
    <row r="111" spans="3:39" x14ac:dyDescent="0.25">
      <c r="C111" s="244" t="str">
        <f>'Fare optimisation'!C84</f>
        <v>Rail</v>
      </c>
      <c r="D111" s="173">
        <f>'Fare optimisation'!D84</f>
        <v>2</v>
      </c>
      <c r="E111" s="172" t="str">
        <f>'Fare optimisation'!E84</f>
        <v>Peak</v>
      </c>
      <c r="F111" s="173">
        <f>'General inputs'!C29</f>
        <v>1</v>
      </c>
      <c r="H111" s="169">
        <f t="shared" ref="H111:AM111" si="0">IF($F111=H$109,(1+λ)*(1-μ)+λ,λ*H191+(1+λ)*(1-μ)*H23)</f>
        <v>1.0952000000000002</v>
      </c>
      <c r="I111" s="169">
        <f t="shared" si="0"/>
        <v>0</v>
      </c>
      <c r="J111" s="169">
        <f t="shared" si="0"/>
        <v>0</v>
      </c>
      <c r="K111" s="169">
        <f t="shared" si="0"/>
        <v>0</v>
      </c>
      <c r="L111" s="169">
        <f t="shared" si="0"/>
        <v>-0.1067862051561641</v>
      </c>
      <c r="M111" s="169">
        <f t="shared" si="0"/>
        <v>0</v>
      </c>
      <c r="N111" s="169">
        <f t="shared" si="0"/>
        <v>0</v>
      </c>
      <c r="O111" s="169">
        <f t="shared" si="0"/>
        <v>0</v>
      </c>
      <c r="P111" s="169">
        <f t="shared" si="0"/>
        <v>-2.3817492891065116E-3</v>
      </c>
      <c r="Q111" s="169">
        <f t="shared" si="0"/>
        <v>0</v>
      </c>
      <c r="R111" s="169">
        <f t="shared" si="0"/>
        <v>0</v>
      </c>
      <c r="S111" s="169">
        <f t="shared" si="0"/>
        <v>0</v>
      </c>
      <c r="T111" s="169">
        <f t="shared" si="0"/>
        <v>0</v>
      </c>
      <c r="U111" s="169">
        <f t="shared" si="0"/>
        <v>0</v>
      </c>
      <c r="V111" s="169">
        <f t="shared" si="0"/>
        <v>0</v>
      </c>
      <c r="W111" s="169">
        <f t="shared" si="0"/>
        <v>0</v>
      </c>
      <c r="X111" s="169">
        <f t="shared" si="0"/>
        <v>0</v>
      </c>
      <c r="Y111" s="169">
        <f t="shared" si="0"/>
        <v>0</v>
      </c>
      <c r="Z111" s="169">
        <f t="shared" si="0"/>
        <v>0</v>
      </c>
      <c r="AA111" s="169">
        <f t="shared" si="0"/>
        <v>0</v>
      </c>
      <c r="AB111" s="169">
        <f t="shared" si="0"/>
        <v>0</v>
      </c>
      <c r="AC111" s="169">
        <f t="shared" si="0"/>
        <v>0</v>
      </c>
      <c r="AD111" s="169">
        <f t="shared" si="0"/>
        <v>0</v>
      </c>
      <c r="AE111" s="169">
        <f t="shared" si="0"/>
        <v>0</v>
      </c>
      <c r="AF111" s="169">
        <f t="shared" si="0"/>
        <v>0</v>
      </c>
      <c r="AG111" s="169">
        <f t="shared" si="0"/>
        <v>0</v>
      </c>
      <c r="AH111" s="169">
        <f t="shared" si="0"/>
        <v>0</v>
      </c>
      <c r="AI111" s="169">
        <f t="shared" si="0"/>
        <v>0</v>
      </c>
      <c r="AJ111" s="169">
        <f t="shared" si="0"/>
        <v>0</v>
      </c>
      <c r="AK111" s="169">
        <f t="shared" si="0"/>
        <v>0</v>
      </c>
      <c r="AL111" s="169">
        <f t="shared" si="0"/>
        <v>0</v>
      </c>
      <c r="AM111" s="227">
        <f t="shared" si="0"/>
        <v>0</v>
      </c>
    </row>
    <row r="112" spans="3:39" x14ac:dyDescent="0.25">
      <c r="C112" s="244" t="str">
        <f>'Fare optimisation'!C85</f>
        <v>Rail</v>
      </c>
      <c r="D112" s="173">
        <f>'Fare optimisation'!D85</f>
        <v>5</v>
      </c>
      <c r="E112" s="172" t="str">
        <f>'Fare optimisation'!E85</f>
        <v>Peak</v>
      </c>
      <c r="F112" s="173">
        <f>'General inputs'!C30</f>
        <v>2</v>
      </c>
      <c r="H112" s="169">
        <f t="shared" ref="H112:AM112" si="1">IF($F112=H$109,(1+λ)*(1-μ)+λ,λ*H192+(1+λ)*(1-μ)*H24)</f>
        <v>0</v>
      </c>
      <c r="I112" s="169">
        <f t="shared" si="1"/>
        <v>1.0952000000000002</v>
      </c>
      <c r="J112" s="169">
        <f t="shared" si="1"/>
        <v>0</v>
      </c>
      <c r="K112" s="169">
        <f t="shared" si="1"/>
        <v>0</v>
      </c>
      <c r="L112" s="169">
        <f t="shared" si="1"/>
        <v>0</v>
      </c>
      <c r="M112" s="169">
        <f t="shared" si="1"/>
        <v>-0.10755293372925413</v>
      </c>
      <c r="N112" s="169">
        <f t="shared" si="1"/>
        <v>0</v>
      </c>
      <c r="O112" s="169">
        <f t="shared" si="1"/>
        <v>0</v>
      </c>
      <c r="P112" s="169">
        <f t="shared" si="1"/>
        <v>0</v>
      </c>
      <c r="Q112" s="169">
        <f t="shared" si="1"/>
        <v>-1.5062936877736098E-2</v>
      </c>
      <c r="R112" s="169">
        <f t="shared" si="1"/>
        <v>0</v>
      </c>
      <c r="S112" s="169">
        <f t="shared" si="1"/>
        <v>0</v>
      </c>
      <c r="T112" s="169">
        <f t="shared" si="1"/>
        <v>0</v>
      </c>
      <c r="U112" s="169">
        <f t="shared" si="1"/>
        <v>0</v>
      </c>
      <c r="V112" s="169">
        <f t="shared" si="1"/>
        <v>0</v>
      </c>
      <c r="W112" s="169">
        <f t="shared" si="1"/>
        <v>0</v>
      </c>
      <c r="X112" s="169">
        <f t="shared" si="1"/>
        <v>0</v>
      </c>
      <c r="Y112" s="169">
        <f t="shared" si="1"/>
        <v>0</v>
      </c>
      <c r="Z112" s="169">
        <f t="shared" si="1"/>
        <v>0</v>
      </c>
      <c r="AA112" s="169">
        <f t="shared" si="1"/>
        <v>0</v>
      </c>
      <c r="AB112" s="169">
        <f t="shared" si="1"/>
        <v>0</v>
      </c>
      <c r="AC112" s="169">
        <f t="shared" si="1"/>
        <v>0</v>
      </c>
      <c r="AD112" s="169">
        <f t="shared" si="1"/>
        <v>0</v>
      </c>
      <c r="AE112" s="169">
        <f t="shared" si="1"/>
        <v>0</v>
      </c>
      <c r="AF112" s="169">
        <f t="shared" si="1"/>
        <v>0</v>
      </c>
      <c r="AG112" s="169">
        <f t="shared" si="1"/>
        <v>0</v>
      </c>
      <c r="AH112" s="169">
        <f t="shared" si="1"/>
        <v>0</v>
      </c>
      <c r="AI112" s="169">
        <f t="shared" si="1"/>
        <v>0</v>
      </c>
      <c r="AJ112" s="169">
        <f t="shared" si="1"/>
        <v>0</v>
      </c>
      <c r="AK112" s="169">
        <f t="shared" si="1"/>
        <v>0</v>
      </c>
      <c r="AL112" s="169">
        <f t="shared" si="1"/>
        <v>0</v>
      </c>
      <c r="AM112" s="227">
        <f t="shared" si="1"/>
        <v>0</v>
      </c>
    </row>
    <row r="113" spans="3:39" x14ac:dyDescent="0.25">
      <c r="C113" s="244" t="str">
        <f>'Fare optimisation'!C86</f>
        <v>Rail</v>
      </c>
      <c r="D113" s="173">
        <f>'Fare optimisation'!D86</f>
        <v>15</v>
      </c>
      <c r="E113" s="172" t="str">
        <f>'Fare optimisation'!E86</f>
        <v>Peak</v>
      </c>
      <c r="F113" s="173">
        <f>'General inputs'!C31</f>
        <v>3</v>
      </c>
      <c r="H113" s="169">
        <f t="shared" ref="H113:AM113" si="2">IF($F113=H$109,(1+λ)*(1-μ)+λ,λ*H193+(1+λ)*(1-μ)*H25)</f>
        <v>0</v>
      </c>
      <c r="I113" s="169">
        <f t="shared" si="2"/>
        <v>0</v>
      </c>
      <c r="J113" s="169">
        <f t="shared" si="2"/>
        <v>1.0952000000000002</v>
      </c>
      <c r="K113" s="169">
        <f t="shared" si="2"/>
        <v>0</v>
      </c>
      <c r="L113" s="169">
        <f t="shared" si="2"/>
        <v>0</v>
      </c>
      <c r="M113" s="169">
        <f t="shared" si="2"/>
        <v>0</v>
      </c>
      <c r="N113" s="169">
        <f t="shared" si="2"/>
        <v>-0.10831482809574425</v>
      </c>
      <c r="O113" s="169">
        <f t="shared" si="2"/>
        <v>0</v>
      </c>
      <c r="P113" s="169">
        <f t="shared" si="2"/>
        <v>0</v>
      </c>
      <c r="Q113" s="169">
        <f t="shared" si="2"/>
        <v>0</v>
      </c>
      <c r="R113" s="169">
        <f t="shared" si="2"/>
        <v>-5.929913093381381E-2</v>
      </c>
      <c r="S113" s="169">
        <f t="shared" si="2"/>
        <v>0</v>
      </c>
      <c r="T113" s="169">
        <f t="shared" si="2"/>
        <v>0</v>
      </c>
      <c r="U113" s="169">
        <f t="shared" si="2"/>
        <v>0</v>
      </c>
      <c r="V113" s="169">
        <f t="shared" si="2"/>
        <v>0</v>
      </c>
      <c r="W113" s="169">
        <f t="shared" si="2"/>
        <v>0</v>
      </c>
      <c r="X113" s="169">
        <f t="shared" si="2"/>
        <v>0</v>
      </c>
      <c r="Y113" s="169">
        <f t="shared" si="2"/>
        <v>0</v>
      </c>
      <c r="Z113" s="169">
        <f t="shared" si="2"/>
        <v>0</v>
      </c>
      <c r="AA113" s="169">
        <f t="shared" si="2"/>
        <v>0</v>
      </c>
      <c r="AB113" s="169">
        <f t="shared" si="2"/>
        <v>0</v>
      </c>
      <c r="AC113" s="169">
        <f t="shared" si="2"/>
        <v>0</v>
      </c>
      <c r="AD113" s="169">
        <f t="shared" si="2"/>
        <v>0</v>
      </c>
      <c r="AE113" s="169">
        <f t="shared" si="2"/>
        <v>0</v>
      </c>
      <c r="AF113" s="169">
        <f t="shared" si="2"/>
        <v>0</v>
      </c>
      <c r="AG113" s="169">
        <f t="shared" si="2"/>
        <v>0</v>
      </c>
      <c r="AH113" s="169">
        <f t="shared" si="2"/>
        <v>0</v>
      </c>
      <c r="AI113" s="169">
        <f t="shared" si="2"/>
        <v>0</v>
      </c>
      <c r="AJ113" s="169">
        <f t="shared" si="2"/>
        <v>0</v>
      </c>
      <c r="AK113" s="169">
        <f t="shared" si="2"/>
        <v>0</v>
      </c>
      <c r="AL113" s="169">
        <f t="shared" si="2"/>
        <v>0</v>
      </c>
      <c r="AM113" s="227">
        <f t="shared" si="2"/>
        <v>0</v>
      </c>
    </row>
    <row r="114" spans="3:39" x14ac:dyDescent="0.25">
      <c r="C114" s="244" t="str">
        <f>'Fare optimisation'!C87</f>
        <v>Rail</v>
      </c>
      <c r="D114" s="173">
        <f>'Fare optimisation'!D87</f>
        <v>25</v>
      </c>
      <c r="E114" s="172" t="str">
        <f>'Fare optimisation'!E87</f>
        <v>Peak</v>
      </c>
      <c r="F114" s="173">
        <f>'General inputs'!C32</f>
        <v>4</v>
      </c>
      <c r="H114" s="169">
        <f t="shared" ref="H114:AM114" si="3">IF($F114=H$109,(1+λ)*(1-μ)+λ,λ*H194+(1+λ)*(1-μ)*H26)</f>
        <v>0</v>
      </c>
      <c r="I114" s="169">
        <f t="shared" si="3"/>
        <v>0</v>
      </c>
      <c r="J114" s="169">
        <f t="shared" si="3"/>
        <v>0</v>
      </c>
      <c r="K114" s="169">
        <f t="shared" si="3"/>
        <v>1.0952000000000002</v>
      </c>
      <c r="L114" s="169">
        <f t="shared" si="3"/>
        <v>0</v>
      </c>
      <c r="M114" s="169">
        <f t="shared" si="3"/>
        <v>0</v>
      </c>
      <c r="N114" s="169">
        <f t="shared" si="3"/>
        <v>0</v>
      </c>
      <c r="O114" s="169">
        <f t="shared" si="3"/>
        <v>-0.10864948315686997</v>
      </c>
      <c r="P114" s="169">
        <f t="shared" si="3"/>
        <v>0</v>
      </c>
      <c r="Q114" s="169">
        <f t="shared" si="3"/>
        <v>0</v>
      </c>
      <c r="R114" s="169">
        <f t="shared" si="3"/>
        <v>0</v>
      </c>
      <c r="S114" s="169">
        <f t="shared" si="3"/>
        <v>-0.14932953001170907</v>
      </c>
      <c r="T114" s="169">
        <f t="shared" si="3"/>
        <v>0</v>
      </c>
      <c r="U114" s="169">
        <f t="shared" si="3"/>
        <v>0</v>
      </c>
      <c r="V114" s="169">
        <f t="shared" si="3"/>
        <v>0</v>
      </c>
      <c r="W114" s="169">
        <f t="shared" si="3"/>
        <v>0</v>
      </c>
      <c r="X114" s="169">
        <f t="shared" si="3"/>
        <v>0</v>
      </c>
      <c r="Y114" s="169">
        <f t="shared" si="3"/>
        <v>0</v>
      </c>
      <c r="Z114" s="169">
        <f t="shared" si="3"/>
        <v>0</v>
      </c>
      <c r="AA114" s="169">
        <f t="shared" si="3"/>
        <v>0</v>
      </c>
      <c r="AB114" s="169">
        <f t="shared" si="3"/>
        <v>0</v>
      </c>
      <c r="AC114" s="169">
        <f t="shared" si="3"/>
        <v>0</v>
      </c>
      <c r="AD114" s="169">
        <f t="shared" si="3"/>
        <v>0</v>
      </c>
      <c r="AE114" s="169">
        <f t="shared" si="3"/>
        <v>0</v>
      </c>
      <c r="AF114" s="169">
        <f t="shared" si="3"/>
        <v>0</v>
      </c>
      <c r="AG114" s="169">
        <f t="shared" si="3"/>
        <v>0</v>
      </c>
      <c r="AH114" s="169">
        <f t="shared" si="3"/>
        <v>0</v>
      </c>
      <c r="AI114" s="169">
        <f t="shared" si="3"/>
        <v>0</v>
      </c>
      <c r="AJ114" s="169">
        <f t="shared" si="3"/>
        <v>0</v>
      </c>
      <c r="AK114" s="169">
        <f t="shared" si="3"/>
        <v>0</v>
      </c>
      <c r="AL114" s="169">
        <f t="shared" si="3"/>
        <v>0</v>
      </c>
      <c r="AM114" s="227">
        <f t="shared" si="3"/>
        <v>0</v>
      </c>
    </row>
    <row r="115" spans="3:39" x14ac:dyDescent="0.25">
      <c r="C115" s="244" t="str">
        <f>'Fare optimisation'!C88</f>
        <v>Rail</v>
      </c>
      <c r="D115" s="173">
        <f>'Fare optimisation'!D88</f>
        <v>2</v>
      </c>
      <c r="E115" s="172" t="str">
        <f>'Fare optimisation'!E88</f>
        <v>Off-peak</v>
      </c>
      <c r="F115" s="173">
        <f>'General inputs'!C33</f>
        <v>5</v>
      </c>
      <c r="H115" s="169">
        <f t="shared" ref="H115:AM115" si="4">IF($F115=H$109,(1+λ)*(1-μ)+λ,λ*H195+(1+λ)*(1-μ)*H27)</f>
        <v>-0.11367296368108409</v>
      </c>
      <c r="I115" s="169">
        <f t="shared" si="4"/>
        <v>0</v>
      </c>
      <c r="J115" s="169">
        <f t="shared" si="4"/>
        <v>0</v>
      </c>
      <c r="K115" s="169">
        <f t="shared" si="4"/>
        <v>0</v>
      </c>
      <c r="L115" s="169">
        <f t="shared" si="4"/>
        <v>1.0952000000000002</v>
      </c>
      <c r="M115" s="169">
        <f t="shared" si="4"/>
        <v>0</v>
      </c>
      <c r="N115" s="169">
        <f t="shared" si="4"/>
        <v>0</v>
      </c>
      <c r="O115" s="169">
        <f t="shared" si="4"/>
        <v>0</v>
      </c>
      <c r="P115" s="169">
        <f t="shared" si="4"/>
        <v>0</v>
      </c>
      <c r="Q115" s="169">
        <f t="shared" si="4"/>
        <v>0</v>
      </c>
      <c r="R115" s="169">
        <f t="shared" si="4"/>
        <v>0</v>
      </c>
      <c r="S115" s="169">
        <f t="shared" si="4"/>
        <v>0</v>
      </c>
      <c r="T115" s="169">
        <f t="shared" si="4"/>
        <v>-2.5968098371005051E-3</v>
      </c>
      <c r="U115" s="169">
        <f t="shared" si="4"/>
        <v>0</v>
      </c>
      <c r="V115" s="169">
        <f t="shared" si="4"/>
        <v>0</v>
      </c>
      <c r="W115" s="169">
        <f t="shared" si="4"/>
        <v>0</v>
      </c>
      <c r="X115" s="169">
        <f t="shared" si="4"/>
        <v>0</v>
      </c>
      <c r="Y115" s="169">
        <f t="shared" si="4"/>
        <v>0</v>
      </c>
      <c r="Z115" s="169">
        <f t="shared" si="4"/>
        <v>0</v>
      </c>
      <c r="AA115" s="169">
        <f t="shared" si="4"/>
        <v>0</v>
      </c>
      <c r="AB115" s="169">
        <f t="shared" si="4"/>
        <v>0</v>
      </c>
      <c r="AC115" s="169">
        <f t="shared" si="4"/>
        <v>0</v>
      </c>
      <c r="AD115" s="169">
        <f t="shared" si="4"/>
        <v>0</v>
      </c>
      <c r="AE115" s="169">
        <f t="shared" si="4"/>
        <v>0</v>
      </c>
      <c r="AF115" s="169">
        <f t="shared" si="4"/>
        <v>0</v>
      </c>
      <c r="AG115" s="169">
        <f t="shared" si="4"/>
        <v>0</v>
      </c>
      <c r="AH115" s="169">
        <f t="shared" si="4"/>
        <v>0</v>
      </c>
      <c r="AI115" s="169">
        <f t="shared" si="4"/>
        <v>0</v>
      </c>
      <c r="AJ115" s="169">
        <f t="shared" si="4"/>
        <v>0</v>
      </c>
      <c r="AK115" s="169">
        <f t="shared" si="4"/>
        <v>0</v>
      </c>
      <c r="AL115" s="169">
        <f t="shared" si="4"/>
        <v>0</v>
      </c>
      <c r="AM115" s="227">
        <f t="shared" si="4"/>
        <v>0</v>
      </c>
    </row>
    <row r="116" spans="3:39" x14ac:dyDescent="0.25">
      <c r="C116" s="244" t="str">
        <f>'Fare optimisation'!C89</f>
        <v>Rail</v>
      </c>
      <c r="D116" s="173">
        <f>'Fare optimisation'!D89</f>
        <v>5</v>
      </c>
      <c r="E116" s="172" t="str">
        <f>'Fare optimisation'!E89</f>
        <v>Off-peak</v>
      </c>
      <c r="F116" s="173">
        <f>'General inputs'!C34</f>
        <v>6</v>
      </c>
      <c r="H116" s="169">
        <f t="shared" ref="H116:AM116" si="5">IF($F116=H$109,(1+λ)*(1-μ)+λ,λ*H196+(1+λ)*(1-μ)*H28)</f>
        <v>0</v>
      </c>
      <c r="I116" s="169">
        <f t="shared" si="5"/>
        <v>-0.11212843743229924</v>
      </c>
      <c r="J116" s="169">
        <f t="shared" si="5"/>
        <v>0</v>
      </c>
      <c r="K116" s="169">
        <f t="shared" si="5"/>
        <v>0</v>
      </c>
      <c r="L116" s="169">
        <f t="shared" si="5"/>
        <v>0</v>
      </c>
      <c r="M116" s="169">
        <f t="shared" si="5"/>
        <v>1.0952000000000002</v>
      </c>
      <c r="N116" s="169">
        <f t="shared" si="5"/>
        <v>0</v>
      </c>
      <c r="O116" s="169">
        <f t="shared" si="5"/>
        <v>0</v>
      </c>
      <c r="P116" s="169">
        <f t="shared" si="5"/>
        <v>0</v>
      </c>
      <c r="Q116" s="169">
        <f t="shared" si="5"/>
        <v>0</v>
      </c>
      <c r="R116" s="169">
        <f t="shared" si="5"/>
        <v>0</v>
      </c>
      <c r="S116" s="169">
        <f t="shared" si="5"/>
        <v>0</v>
      </c>
      <c r="T116" s="169">
        <f t="shared" si="5"/>
        <v>0</v>
      </c>
      <c r="U116" s="169">
        <f t="shared" si="5"/>
        <v>-1.4995064385531545E-2</v>
      </c>
      <c r="V116" s="169">
        <f t="shared" si="5"/>
        <v>0</v>
      </c>
      <c r="W116" s="169">
        <f t="shared" si="5"/>
        <v>0</v>
      </c>
      <c r="X116" s="169">
        <f t="shared" si="5"/>
        <v>0</v>
      </c>
      <c r="Y116" s="169">
        <f t="shared" si="5"/>
        <v>0</v>
      </c>
      <c r="Z116" s="169">
        <f t="shared" si="5"/>
        <v>0</v>
      </c>
      <c r="AA116" s="169">
        <f t="shared" si="5"/>
        <v>0</v>
      </c>
      <c r="AB116" s="169">
        <f t="shared" si="5"/>
        <v>0</v>
      </c>
      <c r="AC116" s="169">
        <f t="shared" si="5"/>
        <v>0</v>
      </c>
      <c r="AD116" s="169">
        <f t="shared" si="5"/>
        <v>0</v>
      </c>
      <c r="AE116" s="169">
        <f t="shared" si="5"/>
        <v>0</v>
      </c>
      <c r="AF116" s="169">
        <f t="shared" si="5"/>
        <v>0</v>
      </c>
      <c r="AG116" s="169">
        <f t="shared" si="5"/>
        <v>0</v>
      </c>
      <c r="AH116" s="169">
        <f t="shared" si="5"/>
        <v>0</v>
      </c>
      <c r="AI116" s="169">
        <f t="shared" si="5"/>
        <v>0</v>
      </c>
      <c r="AJ116" s="169">
        <f t="shared" si="5"/>
        <v>0</v>
      </c>
      <c r="AK116" s="169">
        <f t="shared" si="5"/>
        <v>0</v>
      </c>
      <c r="AL116" s="169">
        <f t="shared" si="5"/>
        <v>0</v>
      </c>
      <c r="AM116" s="227">
        <f t="shared" si="5"/>
        <v>0</v>
      </c>
    </row>
    <row r="117" spans="3:39" x14ac:dyDescent="0.25">
      <c r="C117" s="244" t="str">
        <f>'Fare optimisation'!C90</f>
        <v>Rail</v>
      </c>
      <c r="D117" s="173">
        <f>'Fare optimisation'!D90</f>
        <v>15</v>
      </c>
      <c r="E117" s="172" t="str">
        <f>'Fare optimisation'!E90</f>
        <v>Off-peak</v>
      </c>
      <c r="F117" s="173">
        <f>'General inputs'!C35</f>
        <v>7</v>
      </c>
      <c r="H117" s="169">
        <f t="shared" ref="H117:AM117" si="6">IF($F117=H$109,(1+λ)*(1-μ)+λ,λ*H197+(1+λ)*(1-μ)*H29)</f>
        <v>0</v>
      </c>
      <c r="I117" s="169">
        <f t="shared" si="6"/>
        <v>0</v>
      </c>
      <c r="J117" s="169">
        <f t="shared" si="6"/>
        <v>-0.11093892849946931</v>
      </c>
      <c r="K117" s="169">
        <f t="shared" si="6"/>
        <v>0</v>
      </c>
      <c r="L117" s="169">
        <f t="shared" si="6"/>
        <v>0</v>
      </c>
      <c r="M117" s="169">
        <f t="shared" si="6"/>
        <v>0</v>
      </c>
      <c r="N117" s="169">
        <f t="shared" si="6"/>
        <v>1.0952000000000002</v>
      </c>
      <c r="O117" s="169">
        <f t="shared" si="6"/>
        <v>0</v>
      </c>
      <c r="P117" s="169">
        <f t="shared" si="6"/>
        <v>0</v>
      </c>
      <c r="Q117" s="169">
        <f t="shared" si="6"/>
        <v>0</v>
      </c>
      <c r="R117" s="169">
        <f t="shared" si="6"/>
        <v>0</v>
      </c>
      <c r="S117" s="169">
        <f t="shared" si="6"/>
        <v>0</v>
      </c>
      <c r="T117" s="169">
        <f t="shared" si="6"/>
        <v>0</v>
      </c>
      <c r="U117" s="169">
        <f t="shared" si="6"/>
        <v>0</v>
      </c>
      <c r="V117" s="169">
        <f t="shared" si="6"/>
        <v>-6.0826664053433073E-2</v>
      </c>
      <c r="W117" s="169">
        <f t="shared" si="6"/>
        <v>0</v>
      </c>
      <c r="X117" s="169">
        <f t="shared" si="6"/>
        <v>0</v>
      </c>
      <c r="Y117" s="169">
        <f t="shared" si="6"/>
        <v>0</v>
      </c>
      <c r="Z117" s="169">
        <f t="shared" si="6"/>
        <v>0</v>
      </c>
      <c r="AA117" s="169">
        <f t="shared" si="6"/>
        <v>0</v>
      </c>
      <c r="AB117" s="169">
        <f t="shared" si="6"/>
        <v>0</v>
      </c>
      <c r="AC117" s="169">
        <f t="shared" si="6"/>
        <v>0</v>
      </c>
      <c r="AD117" s="169">
        <f t="shared" si="6"/>
        <v>0</v>
      </c>
      <c r="AE117" s="169">
        <f t="shared" si="6"/>
        <v>0</v>
      </c>
      <c r="AF117" s="169">
        <f t="shared" si="6"/>
        <v>0</v>
      </c>
      <c r="AG117" s="169">
        <f t="shared" si="6"/>
        <v>0</v>
      </c>
      <c r="AH117" s="169">
        <f t="shared" si="6"/>
        <v>0</v>
      </c>
      <c r="AI117" s="169">
        <f t="shared" si="6"/>
        <v>0</v>
      </c>
      <c r="AJ117" s="169">
        <f t="shared" si="6"/>
        <v>0</v>
      </c>
      <c r="AK117" s="169">
        <f t="shared" si="6"/>
        <v>0</v>
      </c>
      <c r="AL117" s="169">
        <f t="shared" si="6"/>
        <v>0</v>
      </c>
      <c r="AM117" s="227">
        <f t="shared" si="6"/>
        <v>0</v>
      </c>
    </row>
    <row r="118" spans="3:39" x14ac:dyDescent="0.25">
      <c r="C118" s="244" t="str">
        <f>'Fare optimisation'!C91</f>
        <v>Rail</v>
      </c>
      <c r="D118" s="173">
        <f>'Fare optimisation'!D91</f>
        <v>25</v>
      </c>
      <c r="E118" s="172" t="str">
        <f>'Fare optimisation'!E91</f>
        <v>Off-peak</v>
      </c>
      <c r="F118" s="173">
        <f>'General inputs'!C36</f>
        <v>8</v>
      </c>
      <c r="H118" s="169">
        <f t="shared" ref="H118:AM118" si="7">IF($F118=H$109,(1+λ)*(1-μ)+λ,λ*H198+(1+λ)*(1-μ)*H30)</f>
        <v>0</v>
      </c>
      <c r="I118" s="169">
        <f t="shared" si="7"/>
        <v>0</v>
      </c>
      <c r="J118" s="169">
        <f t="shared" si="7"/>
        <v>0</v>
      </c>
      <c r="K118" s="169">
        <f t="shared" si="7"/>
        <v>-0.11049680779823848</v>
      </c>
      <c r="L118" s="169">
        <f t="shared" si="7"/>
        <v>0</v>
      </c>
      <c r="M118" s="169">
        <f t="shared" si="7"/>
        <v>0</v>
      </c>
      <c r="N118" s="169">
        <f t="shared" si="7"/>
        <v>0</v>
      </c>
      <c r="O118" s="169">
        <f t="shared" si="7"/>
        <v>1.0952000000000002</v>
      </c>
      <c r="P118" s="169">
        <f t="shared" si="7"/>
        <v>0</v>
      </c>
      <c r="Q118" s="169">
        <f t="shared" si="7"/>
        <v>0</v>
      </c>
      <c r="R118" s="169">
        <f t="shared" si="7"/>
        <v>0</v>
      </c>
      <c r="S118" s="169">
        <f t="shared" si="7"/>
        <v>0</v>
      </c>
      <c r="T118" s="169">
        <f t="shared" si="7"/>
        <v>0</v>
      </c>
      <c r="U118" s="169">
        <f t="shared" si="7"/>
        <v>0</v>
      </c>
      <c r="V118" s="169">
        <f t="shared" si="7"/>
        <v>0</v>
      </c>
      <c r="W118" s="169">
        <f t="shared" si="7"/>
        <v>-0.18952455112414449</v>
      </c>
      <c r="X118" s="169">
        <f t="shared" si="7"/>
        <v>0</v>
      </c>
      <c r="Y118" s="169">
        <f t="shared" si="7"/>
        <v>0</v>
      </c>
      <c r="Z118" s="169">
        <f t="shared" si="7"/>
        <v>0</v>
      </c>
      <c r="AA118" s="169">
        <f t="shared" si="7"/>
        <v>0</v>
      </c>
      <c r="AB118" s="169">
        <f t="shared" si="7"/>
        <v>0</v>
      </c>
      <c r="AC118" s="169">
        <f t="shared" si="7"/>
        <v>0</v>
      </c>
      <c r="AD118" s="169">
        <f t="shared" si="7"/>
        <v>0</v>
      </c>
      <c r="AE118" s="169">
        <f t="shared" si="7"/>
        <v>0</v>
      </c>
      <c r="AF118" s="169">
        <f t="shared" si="7"/>
        <v>0</v>
      </c>
      <c r="AG118" s="169">
        <f t="shared" si="7"/>
        <v>0</v>
      </c>
      <c r="AH118" s="169">
        <f t="shared" si="7"/>
        <v>0</v>
      </c>
      <c r="AI118" s="169">
        <f t="shared" si="7"/>
        <v>0</v>
      </c>
      <c r="AJ118" s="169">
        <f t="shared" si="7"/>
        <v>0</v>
      </c>
      <c r="AK118" s="169">
        <f t="shared" si="7"/>
        <v>0</v>
      </c>
      <c r="AL118" s="169">
        <f t="shared" si="7"/>
        <v>0</v>
      </c>
      <c r="AM118" s="227">
        <f t="shared" si="7"/>
        <v>0</v>
      </c>
    </row>
    <row r="119" spans="3:39" x14ac:dyDescent="0.25">
      <c r="C119" s="244" t="str">
        <f>'Fare optimisation'!C92</f>
        <v>Bus</v>
      </c>
      <c r="D119" s="173">
        <f>'Fare optimisation'!D92</f>
        <v>2</v>
      </c>
      <c r="E119" s="172" t="str">
        <f>'Fare optimisation'!E92</f>
        <v>Peak</v>
      </c>
      <c r="F119" s="173">
        <f>'General inputs'!C37</f>
        <v>9</v>
      </c>
      <c r="H119" s="169">
        <f t="shared" ref="H119:AM119" si="8">IF($F119=H$109,(1+λ)*(1-μ)+λ,λ*H199+(1+λ)*(1-μ)*H31)</f>
        <v>-0.21470998670933863</v>
      </c>
      <c r="I119" s="169">
        <f t="shared" si="8"/>
        <v>0</v>
      </c>
      <c r="J119" s="169">
        <f t="shared" si="8"/>
        <v>0</v>
      </c>
      <c r="K119" s="169">
        <f t="shared" si="8"/>
        <v>0</v>
      </c>
      <c r="L119" s="169">
        <f t="shared" si="8"/>
        <v>0</v>
      </c>
      <c r="M119" s="169">
        <f t="shared" si="8"/>
        <v>0</v>
      </c>
      <c r="N119" s="169">
        <f t="shared" si="8"/>
        <v>0</v>
      </c>
      <c r="O119" s="169">
        <f t="shared" si="8"/>
        <v>0</v>
      </c>
      <c r="P119" s="169">
        <f t="shared" si="8"/>
        <v>1.0952000000000002</v>
      </c>
      <c r="Q119" s="169">
        <f t="shared" si="8"/>
        <v>0</v>
      </c>
      <c r="R119" s="169">
        <f t="shared" si="8"/>
        <v>0</v>
      </c>
      <c r="S119" s="169">
        <f t="shared" si="8"/>
        <v>0</v>
      </c>
      <c r="T119" s="169">
        <f t="shared" si="8"/>
        <v>-0.10726171824728307</v>
      </c>
      <c r="U119" s="169">
        <f t="shared" si="8"/>
        <v>0</v>
      </c>
      <c r="V119" s="169">
        <f t="shared" si="8"/>
        <v>0</v>
      </c>
      <c r="W119" s="169">
        <f t="shared" si="8"/>
        <v>0</v>
      </c>
      <c r="X119" s="169">
        <f t="shared" si="8"/>
        <v>-0.91368000000000016</v>
      </c>
      <c r="Y119" s="169">
        <f t="shared" si="8"/>
        <v>0</v>
      </c>
      <c r="Z119" s="169">
        <f t="shared" si="8"/>
        <v>0</v>
      </c>
      <c r="AA119" s="169">
        <f t="shared" si="8"/>
        <v>0</v>
      </c>
      <c r="AB119" s="169">
        <f t="shared" si="8"/>
        <v>0</v>
      </c>
      <c r="AC119" s="169">
        <f t="shared" si="8"/>
        <v>0</v>
      </c>
      <c r="AD119" s="169">
        <f t="shared" si="8"/>
        <v>0</v>
      </c>
      <c r="AE119" s="169">
        <f t="shared" si="8"/>
        <v>0</v>
      </c>
      <c r="AF119" s="169">
        <f t="shared" si="8"/>
        <v>-0.49939643513273263</v>
      </c>
      <c r="AG119" s="169">
        <f t="shared" si="8"/>
        <v>0</v>
      </c>
      <c r="AH119" s="169">
        <f t="shared" si="8"/>
        <v>0</v>
      </c>
      <c r="AI119" s="169">
        <f t="shared" si="8"/>
        <v>0</v>
      </c>
      <c r="AJ119" s="169">
        <f t="shared" si="8"/>
        <v>0</v>
      </c>
      <c r="AK119" s="169">
        <f t="shared" si="8"/>
        <v>0</v>
      </c>
      <c r="AL119" s="169">
        <f t="shared" si="8"/>
        <v>0</v>
      </c>
      <c r="AM119" s="227">
        <f t="shared" si="8"/>
        <v>0</v>
      </c>
    </row>
    <row r="120" spans="3:39" x14ac:dyDescent="0.25">
      <c r="C120" s="244" t="str">
        <f>'Fare optimisation'!C93</f>
        <v>Bus</v>
      </c>
      <c r="D120" s="173">
        <f>'Fare optimisation'!D93</f>
        <v>5</v>
      </c>
      <c r="E120" s="172" t="str">
        <f>'Fare optimisation'!E93</f>
        <v>Peak</v>
      </c>
      <c r="F120" s="173">
        <f>'General inputs'!C38</f>
        <v>10</v>
      </c>
      <c r="H120" s="169">
        <f t="shared" ref="H120:AM120" si="9">IF($F120=H$109,(1+λ)*(1-μ)+λ,λ*H200+(1+λ)*(1-μ)*H32)</f>
        <v>0</v>
      </c>
      <c r="I120" s="169">
        <f t="shared" si="9"/>
        <v>-0.21470998670933863</v>
      </c>
      <c r="J120" s="169">
        <f t="shared" si="9"/>
        <v>0</v>
      </c>
      <c r="K120" s="169">
        <f t="shared" si="9"/>
        <v>0</v>
      </c>
      <c r="L120" s="169">
        <f t="shared" si="9"/>
        <v>0</v>
      </c>
      <c r="M120" s="169">
        <f t="shared" si="9"/>
        <v>0</v>
      </c>
      <c r="N120" s="169">
        <f t="shared" si="9"/>
        <v>0</v>
      </c>
      <c r="O120" s="169">
        <f t="shared" si="9"/>
        <v>0</v>
      </c>
      <c r="P120" s="169">
        <f t="shared" si="9"/>
        <v>0</v>
      </c>
      <c r="Q120" s="169">
        <f t="shared" si="9"/>
        <v>1.0952000000000002</v>
      </c>
      <c r="R120" s="169">
        <f t="shared" si="9"/>
        <v>0</v>
      </c>
      <c r="S120" s="169">
        <f t="shared" si="9"/>
        <v>0</v>
      </c>
      <c r="T120" s="169">
        <f t="shared" si="9"/>
        <v>0</v>
      </c>
      <c r="U120" s="169">
        <f t="shared" si="9"/>
        <v>-0.10752574977098404</v>
      </c>
      <c r="V120" s="169">
        <f t="shared" si="9"/>
        <v>0</v>
      </c>
      <c r="W120" s="169">
        <f t="shared" si="9"/>
        <v>0</v>
      </c>
      <c r="X120" s="169">
        <f t="shared" si="9"/>
        <v>0</v>
      </c>
      <c r="Y120" s="169">
        <f t="shared" si="9"/>
        <v>-0.91368000000000016</v>
      </c>
      <c r="Z120" s="169">
        <f t="shared" si="9"/>
        <v>0</v>
      </c>
      <c r="AA120" s="169">
        <f t="shared" si="9"/>
        <v>0</v>
      </c>
      <c r="AB120" s="169">
        <f t="shared" si="9"/>
        <v>0</v>
      </c>
      <c r="AC120" s="169">
        <f t="shared" si="9"/>
        <v>0</v>
      </c>
      <c r="AD120" s="169">
        <f t="shared" si="9"/>
        <v>0</v>
      </c>
      <c r="AE120" s="169">
        <f t="shared" si="9"/>
        <v>0</v>
      </c>
      <c r="AF120" s="169">
        <f t="shared" si="9"/>
        <v>0</v>
      </c>
      <c r="AG120" s="169">
        <f t="shared" si="9"/>
        <v>-0.49939643513273263</v>
      </c>
      <c r="AH120" s="169">
        <f t="shared" si="9"/>
        <v>0</v>
      </c>
      <c r="AI120" s="169">
        <f t="shared" si="9"/>
        <v>0</v>
      </c>
      <c r="AJ120" s="169">
        <f t="shared" si="9"/>
        <v>0</v>
      </c>
      <c r="AK120" s="169">
        <f t="shared" si="9"/>
        <v>0</v>
      </c>
      <c r="AL120" s="169">
        <f t="shared" si="9"/>
        <v>0</v>
      </c>
      <c r="AM120" s="227">
        <f t="shared" si="9"/>
        <v>0</v>
      </c>
    </row>
    <row r="121" spans="3:39" x14ac:dyDescent="0.25">
      <c r="C121" s="244" t="str">
        <f>'Fare optimisation'!C94</f>
        <v>Bus</v>
      </c>
      <c r="D121" s="173">
        <f>'Fare optimisation'!D94</f>
        <v>15</v>
      </c>
      <c r="E121" s="172" t="str">
        <f>'Fare optimisation'!E94</f>
        <v>Peak</v>
      </c>
      <c r="F121" s="173">
        <f>'General inputs'!C39</f>
        <v>11</v>
      </c>
      <c r="H121" s="169">
        <f t="shared" ref="H121:AM121" si="10">IF($F121=H$109,(1+λ)*(1-μ)+λ,λ*H201+(1+λ)*(1-μ)*H33)</f>
        <v>0</v>
      </c>
      <c r="I121" s="169">
        <f t="shared" si="10"/>
        <v>0</v>
      </c>
      <c r="J121" s="169">
        <f t="shared" si="10"/>
        <v>-0.21470998670933863</v>
      </c>
      <c r="K121" s="169">
        <f t="shared" si="10"/>
        <v>0</v>
      </c>
      <c r="L121" s="169">
        <f t="shared" si="10"/>
        <v>0</v>
      </c>
      <c r="M121" s="169">
        <f t="shared" si="10"/>
        <v>0</v>
      </c>
      <c r="N121" s="169">
        <f t="shared" si="10"/>
        <v>0</v>
      </c>
      <c r="O121" s="169">
        <f t="shared" si="10"/>
        <v>0</v>
      </c>
      <c r="P121" s="169">
        <f t="shared" si="10"/>
        <v>0</v>
      </c>
      <c r="Q121" s="169">
        <f t="shared" si="10"/>
        <v>0</v>
      </c>
      <c r="R121" s="169">
        <f t="shared" si="10"/>
        <v>1.0952000000000002</v>
      </c>
      <c r="S121" s="169">
        <f t="shared" si="10"/>
        <v>0</v>
      </c>
      <c r="T121" s="169">
        <f t="shared" si="10"/>
        <v>0</v>
      </c>
      <c r="U121" s="169">
        <f t="shared" si="10"/>
        <v>0</v>
      </c>
      <c r="V121" s="169">
        <f t="shared" si="10"/>
        <v>-0.10848986143594537</v>
      </c>
      <c r="W121" s="169">
        <f t="shared" si="10"/>
        <v>0</v>
      </c>
      <c r="X121" s="169">
        <f t="shared" si="10"/>
        <v>0</v>
      </c>
      <c r="Y121" s="169">
        <f t="shared" si="10"/>
        <v>0</v>
      </c>
      <c r="Z121" s="169">
        <f t="shared" si="10"/>
        <v>-0.91368000000000016</v>
      </c>
      <c r="AA121" s="169">
        <f t="shared" si="10"/>
        <v>0</v>
      </c>
      <c r="AB121" s="169">
        <f t="shared" si="10"/>
        <v>0</v>
      </c>
      <c r="AC121" s="169">
        <f t="shared" si="10"/>
        <v>0</v>
      </c>
      <c r="AD121" s="169">
        <f t="shared" si="10"/>
        <v>0</v>
      </c>
      <c r="AE121" s="169">
        <f t="shared" si="10"/>
        <v>0</v>
      </c>
      <c r="AF121" s="169">
        <f t="shared" si="10"/>
        <v>0</v>
      </c>
      <c r="AG121" s="169">
        <f t="shared" si="10"/>
        <v>0</v>
      </c>
      <c r="AH121" s="169">
        <f t="shared" si="10"/>
        <v>-0.49939643513273263</v>
      </c>
      <c r="AI121" s="169">
        <f t="shared" si="10"/>
        <v>0</v>
      </c>
      <c r="AJ121" s="169">
        <f t="shared" si="10"/>
        <v>0</v>
      </c>
      <c r="AK121" s="169">
        <f t="shared" si="10"/>
        <v>0</v>
      </c>
      <c r="AL121" s="169">
        <f t="shared" si="10"/>
        <v>0</v>
      </c>
      <c r="AM121" s="227">
        <f t="shared" si="10"/>
        <v>0</v>
      </c>
    </row>
    <row r="122" spans="3:39" x14ac:dyDescent="0.25">
      <c r="C122" s="244" t="str">
        <f>'Fare optimisation'!C95</f>
        <v>Bus</v>
      </c>
      <c r="D122" s="173">
        <f>'Fare optimisation'!D95</f>
        <v>25</v>
      </c>
      <c r="E122" s="172" t="str">
        <f>'Fare optimisation'!E95</f>
        <v>Peak</v>
      </c>
      <c r="F122" s="173">
        <f>'General inputs'!C40</f>
        <v>12</v>
      </c>
      <c r="H122" s="169">
        <f t="shared" ref="H122:AM122" si="11">IF($F122=H$109,(1+λ)*(1-μ)+λ,λ*H202+(1+λ)*(1-μ)*H34)</f>
        <v>0</v>
      </c>
      <c r="I122" s="169">
        <f t="shared" si="11"/>
        <v>0</v>
      </c>
      <c r="J122" s="169">
        <f t="shared" si="11"/>
        <v>0</v>
      </c>
      <c r="K122" s="169">
        <f t="shared" si="11"/>
        <v>-0.21470998670933863</v>
      </c>
      <c r="L122" s="169">
        <f t="shared" si="11"/>
        <v>0</v>
      </c>
      <c r="M122" s="169">
        <f t="shared" si="11"/>
        <v>0</v>
      </c>
      <c r="N122" s="169">
        <f t="shared" si="11"/>
        <v>0</v>
      </c>
      <c r="O122" s="169">
        <f t="shared" si="11"/>
        <v>0</v>
      </c>
      <c r="P122" s="169">
        <f t="shared" si="11"/>
        <v>0</v>
      </c>
      <c r="Q122" s="169">
        <f t="shared" si="11"/>
        <v>0</v>
      </c>
      <c r="R122" s="169">
        <f t="shared" si="11"/>
        <v>0</v>
      </c>
      <c r="S122" s="169">
        <f t="shared" si="11"/>
        <v>1.0952000000000002</v>
      </c>
      <c r="T122" s="169">
        <f t="shared" si="11"/>
        <v>0</v>
      </c>
      <c r="U122" s="169">
        <f t="shared" si="11"/>
        <v>0</v>
      </c>
      <c r="V122" s="169">
        <f t="shared" si="11"/>
        <v>0</v>
      </c>
      <c r="W122" s="169">
        <f t="shared" si="11"/>
        <v>-0.11056852573330257</v>
      </c>
      <c r="X122" s="169">
        <f t="shared" si="11"/>
        <v>0</v>
      </c>
      <c r="Y122" s="169">
        <f t="shared" si="11"/>
        <v>0</v>
      </c>
      <c r="Z122" s="169">
        <f t="shared" si="11"/>
        <v>0</v>
      </c>
      <c r="AA122" s="169">
        <f t="shared" si="11"/>
        <v>-0.91368000000000016</v>
      </c>
      <c r="AB122" s="169">
        <f t="shared" si="11"/>
        <v>0</v>
      </c>
      <c r="AC122" s="169">
        <f t="shared" si="11"/>
        <v>0</v>
      </c>
      <c r="AD122" s="169">
        <f t="shared" si="11"/>
        <v>0</v>
      </c>
      <c r="AE122" s="169">
        <f t="shared" si="11"/>
        <v>0</v>
      </c>
      <c r="AF122" s="169">
        <f t="shared" si="11"/>
        <v>0</v>
      </c>
      <c r="AG122" s="169">
        <f t="shared" si="11"/>
        <v>0</v>
      </c>
      <c r="AH122" s="169">
        <f t="shared" si="11"/>
        <v>0</v>
      </c>
      <c r="AI122" s="169">
        <f t="shared" si="11"/>
        <v>-0.49939643513273263</v>
      </c>
      <c r="AJ122" s="169">
        <f t="shared" si="11"/>
        <v>0</v>
      </c>
      <c r="AK122" s="169">
        <f t="shared" si="11"/>
        <v>0</v>
      </c>
      <c r="AL122" s="169">
        <f t="shared" si="11"/>
        <v>0</v>
      </c>
      <c r="AM122" s="227">
        <f t="shared" si="11"/>
        <v>0</v>
      </c>
    </row>
    <row r="123" spans="3:39" x14ac:dyDescent="0.25">
      <c r="C123" s="244" t="str">
        <f>'Fare optimisation'!C96</f>
        <v>Bus</v>
      </c>
      <c r="D123" s="173">
        <f>'Fare optimisation'!D96</f>
        <v>2</v>
      </c>
      <c r="E123" s="172" t="str">
        <f>'Fare optimisation'!E96</f>
        <v>Off-peak</v>
      </c>
      <c r="F123" s="173">
        <f>'General inputs'!C41</f>
        <v>13</v>
      </c>
      <c r="H123" s="169">
        <f t="shared" ref="H123:AM123" si="12">IF($F123=H$109,(1+λ)*(1-μ)+λ,λ*H203+(1+λ)*(1-μ)*H35)</f>
        <v>0</v>
      </c>
      <c r="I123" s="169">
        <f t="shared" si="12"/>
        <v>0</v>
      </c>
      <c r="J123" s="169">
        <f t="shared" si="12"/>
        <v>0</v>
      </c>
      <c r="K123" s="169">
        <f t="shared" si="12"/>
        <v>0</v>
      </c>
      <c r="L123" s="169">
        <f t="shared" si="12"/>
        <v>-0.21470998670933863</v>
      </c>
      <c r="M123" s="169">
        <f t="shared" si="12"/>
        <v>0</v>
      </c>
      <c r="N123" s="169">
        <f t="shared" si="12"/>
        <v>0</v>
      </c>
      <c r="O123" s="169">
        <f t="shared" si="12"/>
        <v>0</v>
      </c>
      <c r="P123" s="169">
        <f t="shared" si="12"/>
        <v>-0.11266648912462474</v>
      </c>
      <c r="Q123" s="169">
        <f t="shared" si="12"/>
        <v>0</v>
      </c>
      <c r="R123" s="169">
        <f t="shared" si="12"/>
        <v>0</v>
      </c>
      <c r="S123" s="169">
        <f t="shared" si="12"/>
        <v>0</v>
      </c>
      <c r="T123" s="169">
        <f t="shared" si="12"/>
        <v>1.0952000000000002</v>
      </c>
      <c r="U123" s="169">
        <f t="shared" si="12"/>
        <v>0</v>
      </c>
      <c r="V123" s="169">
        <f t="shared" si="12"/>
        <v>0</v>
      </c>
      <c r="W123" s="169">
        <f t="shared" si="12"/>
        <v>0</v>
      </c>
      <c r="X123" s="169">
        <f t="shared" si="12"/>
        <v>0</v>
      </c>
      <c r="Y123" s="169">
        <f t="shared" si="12"/>
        <v>0</v>
      </c>
      <c r="Z123" s="169">
        <f t="shared" si="12"/>
        <v>0</v>
      </c>
      <c r="AA123" s="169">
        <f t="shared" si="12"/>
        <v>0</v>
      </c>
      <c r="AB123" s="169">
        <f t="shared" si="12"/>
        <v>-0.91368000000000016</v>
      </c>
      <c r="AC123" s="169">
        <f t="shared" si="12"/>
        <v>0</v>
      </c>
      <c r="AD123" s="169">
        <f t="shared" si="12"/>
        <v>0</v>
      </c>
      <c r="AE123" s="169">
        <f t="shared" si="12"/>
        <v>0</v>
      </c>
      <c r="AF123" s="169">
        <f t="shared" si="12"/>
        <v>0</v>
      </c>
      <c r="AG123" s="169">
        <f t="shared" si="12"/>
        <v>0</v>
      </c>
      <c r="AH123" s="169">
        <f t="shared" si="12"/>
        <v>0</v>
      </c>
      <c r="AI123" s="169">
        <f t="shared" si="12"/>
        <v>0</v>
      </c>
      <c r="AJ123" s="169">
        <f t="shared" si="12"/>
        <v>-0.49939643513273263</v>
      </c>
      <c r="AK123" s="169">
        <f t="shared" si="12"/>
        <v>0</v>
      </c>
      <c r="AL123" s="169">
        <f t="shared" si="12"/>
        <v>0</v>
      </c>
      <c r="AM123" s="227">
        <f t="shared" si="12"/>
        <v>0</v>
      </c>
    </row>
    <row r="124" spans="3:39" x14ac:dyDescent="0.25">
      <c r="C124" s="244" t="str">
        <f>'Fare optimisation'!C97</f>
        <v>Bus</v>
      </c>
      <c r="D124" s="173">
        <f>'Fare optimisation'!D97</f>
        <v>5</v>
      </c>
      <c r="E124" s="172" t="str">
        <f>'Fare optimisation'!E97</f>
        <v>Off-peak</v>
      </c>
      <c r="F124" s="173">
        <f>'General inputs'!C42</f>
        <v>14</v>
      </c>
      <c r="H124" s="169">
        <f t="shared" ref="H124:AM124" si="13">IF($F124=H$109,(1+λ)*(1-μ)+λ,λ*H204+(1+λ)*(1-μ)*H36)</f>
        <v>0</v>
      </c>
      <c r="I124" s="169">
        <f t="shared" si="13"/>
        <v>0</v>
      </c>
      <c r="J124" s="169">
        <f t="shared" si="13"/>
        <v>0</v>
      </c>
      <c r="K124" s="169">
        <f t="shared" si="13"/>
        <v>0</v>
      </c>
      <c r="L124" s="169">
        <f t="shared" si="13"/>
        <v>0</v>
      </c>
      <c r="M124" s="169">
        <f t="shared" si="13"/>
        <v>-0.21470998670933863</v>
      </c>
      <c r="N124" s="169">
        <f t="shared" si="13"/>
        <v>0</v>
      </c>
      <c r="O124" s="169">
        <f t="shared" si="13"/>
        <v>0</v>
      </c>
      <c r="P124" s="169">
        <f t="shared" si="13"/>
        <v>0</v>
      </c>
      <c r="Q124" s="169">
        <f t="shared" si="13"/>
        <v>-0.11217645463772191</v>
      </c>
      <c r="R124" s="169">
        <f t="shared" si="13"/>
        <v>0</v>
      </c>
      <c r="S124" s="169">
        <f t="shared" si="13"/>
        <v>0</v>
      </c>
      <c r="T124" s="169">
        <f t="shared" si="13"/>
        <v>0</v>
      </c>
      <c r="U124" s="169">
        <f t="shared" si="13"/>
        <v>1.0952000000000002</v>
      </c>
      <c r="V124" s="169">
        <f t="shared" si="13"/>
        <v>0</v>
      </c>
      <c r="W124" s="169">
        <f t="shared" si="13"/>
        <v>0</v>
      </c>
      <c r="X124" s="169">
        <f t="shared" si="13"/>
        <v>0</v>
      </c>
      <c r="Y124" s="169">
        <f t="shared" si="13"/>
        <v>0</v>
      </c>
      <c r="Z124" s="169">
        <f t="shared" si="13"/>
        <v>0</v>
      </c>
      <c r="AA124" s="169">
        <f t="shared" si="13"/>
        <v>0</v>
      </c>
      <c r="AB124" s="169">
        <f t="shared" si="13"/>
        <v>0</v>
      </c>
      <c r="AC124" s="169">
        <f t="shared" si="13"/>
        <v>-0.91368000000000016</v>
      </c>
      <c r="AD124" s="169">
        <f t="shared" si="13"/>
        <v>0</v>
      </c>
      <c r="AE124" s="169">
        <f t="shared" si="13"/>
        <v>0</v>
      </c>
      <c r="AF124" s="169">
        <f t="shared" si="13"/>
        <v>0</v>
      </c>
      <c r="AG124" s="169">
        <f t="shared" si="13"/>
        <v>0</v>
      </c>
      <c r="AH124" s="169">
        <f t="shared" si="13"/>
        <v>0</v>
      </c>
      <c r="AI124" s="169">
        <f t="shared" si="13"/>
        <v>0</v>
      </c>
      <c r="AJ124" s="169">
        <f t="shared" si="13"/>
        <v>0</v>
      </c>
      <c r="AK124" s="169">
        <f t="shared" si="13"/>
        <v>-0.49939643513273263</v>
      </c>
      <c r="AL124" s="169">
        <f t="shared" si="13"/>
        <v>0</v>
      </c>
      <c r="AM124" s="227">
        <f t="shared" si="13"/>
        <v>0</v>
      </c>
    </row>
    <row r="125" spans="3:39" x14ac:dyDescent="0.25">
      <c r="C125" s="244" t="str">
        <f>'Fare optimisation'!C98</f>
        <v>Bus</v>
      </c>
      <c r="D125" s="173">
        <f>'Fare optimisation'!D98</f>
        <v>15</v>
      </c>
      <c r="E125" s="172" t="str">
        <f>'Fare optimisation'!E98</f>
        <v>Off-peak</v>
      </c>
      <c r="F125" s="173">
        <f>'General inputs'!C43</f>
        <v>15</v>
      </c>
      <c r="H125" s="169">
        <f t="shared" ref="H125:AM125" si="14">IF($F125=H$109,(1+λ)*(1-μ)+λ,λ*H205+(1+λ)*(1-μ)*H37)</f>
        <v>0</v>
      </c>
      <c r="I125" s="169">
        <f t="shared" si="14"/>
        <v>0</v>
      </c>
      <c r="J125" s="169">
        <f t="shared" si="14"/>
        <v>0</v>
      </c>
      <c r="K125" s="169">
        <f t="shared" si="14"/>
        <v>0</v>
      </c>
      <c r="L125" s="169">
        <f t="shared" si="14"/>
        <v>0</v>
      </c>
      <c r="M125" s="169">
        <f t="shared" si="14"/>
        <v>0</v>
      </c>
      <c r="N125" s="169">
        <f t="shared" si="14"/>
        <v>-0.21470998670933863</v>
      </c>
      <c r="O125" s="169">
        <f t="shared" si="14"/>
        <v>0</v>
      </c>
      <c r="P125" s="169">
        <f t="shared" si="14"/>
        <v>0</v>
      </c>
      <c r="Q125" s="169">
        <f t="shared" si="14"/>
        <v>0</v>
      </c>
      <c r="R125" s="169">
        <f t="shared" si="14"/>
        <v>-0.11070239201570577</v>
      </c>
      <c r="S125" s="169">
        <f t="shared" si="14"/>
        <v>0</v>
      </c>
      <c r="T125" s="169">
        <f t="shared" si="14"/>
        <v>0</v>
      </c>
      <c r="U125" s="169">
        <f t="shared" si="14"/>
        <v>0</v>
      </c>
      <c r="V125" s="169">
        <f t="shared" si="14"/>
        <v>1.0952000000000002</v>
      </c>
      <c r="W125" s="169">
        <f t="shared" si="14"/>
        <v>0</v>
      </c>
      <c r="X125" s="169">
        <f t="shared" si="14"/>
        <v>0</v>
      </c>
      <c r="Y125" s="169">
        <f t="shared" si="14"/>
        <v>0</v>
      </c>
      <c r="Z125" s="169">
        <f t="shared" si="14"/>
        <v>0</v>
      </c>
      <c r="AA125" s="169">
        <f t="shared" si="14"/>
        <v>0</v>
      </c>
      <c r="AB125" s="169">
        <f t="shared" si="14"/>
        <v>0</v>
      </c>
      <c r="AC125" s="169">
        <f t="shared" si="14"/>
        <v>0</v>
      </c>
      <c r="AD125" s="169">
        <f t="shared" si="14"/>
        <v>-0.91368000000000016</v>
      </c>
      <c r="AE125" s="169">
        <f t="shared" si="14"/>
        <v>0</v>
      </c>
      <c r="AF125" s="169">
        <f t="shared" si="14"/>
        <v>0</v>
      </c>
      <c r="AG125" s="169">
        <f t="shared" si="14"/>
        <v>0</v>
      </c>
      <c r="AH125" s="169">
        <f t="shared" si="14"/>
        <v>0</v>
      </c>
      <c r="AI125" s="169">
        <f t="shared" si="14"/>
        <v>0</v>
      </c>
      <c r="AJ125" s="169">
        <f t="shared" si="14"/>
        <v>0</v>
      </c>
      <c r="AK125" s="169">
        <f t="shared" si="14"/>
        <v>0</v>
      </c>
      <c r="AL125" s="169">
        <f t="shared" si="14"/>
        <v>-0.49939643513273263</v>
      </c>
      <c r="AM125" s="227">
        <f t="shared" si="14"/>
        <v>0</v>
      </c>
    </row>
    <row r="126" spans="3:39" x14ac:dyDescent="0.25">
      <c r="C126" s="244" t="str">
        <f>'Fare optimisation'!C99</f>
        <v>Bus</v>
      </c>
      <c r="D126" s="173">
        <f>'Fare optimisation'!D99</f>
        <v>25</v>
      </c>
      <c r="E126" s="172" t="str">
        <f>'Fare optimisation'!E99</f>
        <v>Off-peak</v>
      </c>
      <c r="F126" s="173">
        <f>'General inputs'!C44</f>
        <v>16</v>
      </c>
      <c r="H126" s="169">
        <f t="shared" ref="H126:AM126" si="15">IF($F126=H$109,(1+λ)*(1-μ)+λ,λ*H206+(1+λ)*(1-μ)*H38)</f>
        <v>0</v>
      </c>
      <c r="I126" s="169">
        <f t="shared" si="15"/>
        <v>0</v>
      </c>
      <c r="J126" s="169">
        <f t="shared" si="15"/>
        <v>0</v>
      </c>
      <c r="K126" s="169">
        <f t="shared" si="15"/>
        <v>0</v>
      </c>
      <c r="L126" s="169">
        <f t="shared" si="15"/>
        <v>0</v>
      </c>
      <c r="M126" s="169">
        <f t="shared" si="15"/>
        <v>0</v>
      </c>
      <c r="N126" s="169">
        <f t="shared" si="15"/>
        <v>0</v>
      </c>
      <c r="O126" s="169">
        <f t="shared" si="15"/>
        <v>-0.21470998670933863</v>
      </c>
      <c r="P126" s="169">
        <f t="shared" si="15"/>
        <v>0</v>
      </c>
      <c r="Q126" s="169">
        <f t="shared" si="15"/>
        <v>0</v>
      </c>
      <c r="R126" s="169">
        <f t="shared" si="15"/>
        <v>0</v>
      </c>
      <c r="S126" s="169">
        <f t="shared" si="15"/>
        <v>-0.10859297540907155</v>
      </c>
      <c r="T126" s="169">
        <f t="shared" si="15"/>
        <v>0</v>
      </c>
      <c r="U126" s="169">
        <f t="shared" si="15"/>
        <v>0</v>
      </c>
      <c r="V126" s="169">
        <f t="shared" si="15"/>
        <v>0</v>
      </c>
      <c r="W126" s="169">
        <f t="shared" si="15"/>
        <v>1.0952000000000002</v>
      </c>
      <c r="X126" s="169">
        <f t="shared" si="15"/>
        <v>0</v>
      </c>
      <c r="Y126" s="169">
        <f t="shared" si="15"/>
        <v>0</v>
      </c>
      <c r="Z126" s="169">
        <f t="shared" si="15"/>
        <v>0</v>
      </c>
      <c r="AA126" s="169">
        <f t="shared" si="15"/>
        <v>0</v>
      </c>
      <c r="AB126" s="169">
        <f t="shared" si="15"/>
        <v>0</v>
      </c>
      <c r="AC126" s="169">
        <f t="shared" si="15"/>
        <v>0</v>
      </c>
      <c r="AD126" s="169">
        <f t="shared" si="15"/>
        <v>0</v>
      </c>
      <c r="AE126" s="169">
        <f t="shared" si="15"/>
        <v>-0.91368000000000016</v>
      </c>
      <c r="AF126" s="169">
        <f t="shared" si="15"/>
        <v>0</v>
      </c>
      <c r="AG126" s="169">
        <f t="shared" si="15"/>
        <v>0</v>
      </c>
      <c r="AH126" s="169">
        <f t="shared" si="15"/>
        <v>0</v>
      </c>
      <c r="AI126" s="169">
        <f t="shared" si="15"/>
        <v>0</v>
      </c>
      <c r="AJ126" s="169">
        <f t="shared" si="15"/>
        <v>0</v>
      </c>
      <c r="AK126" s="169">
        <f t="shared" si="15"/>
        <v>0</v>
      </c>
      <c r="AL126" s="169">
        <f t="shared" si="15"/>
        <v>0</v>
      </c>
      <c r="AM126" s="227">
        <f t="shared" si="15"/>
        <v>-0.49939643513273263</v>
      </c>
    </row>
    <row r="127" spans="3:39" x14ac:dyDescent="0.25">
      <c r="C127" s="244" t="str">
        <f>'Fare optimisation'!C100</f>
        <v>Ferry</v>
      </c>
      <c r="D127" s="173">
        <f>'Fare optimisation'!D100</f>
        <v>2</v>
      </c>
      <c r="E127" s="172" t="str">
        <f>'Fare optimisation'!E100</f>
        <v>Peak</v>
      </c>
      <c r="F127" s="173">
        <f>'General inputs'!C45</f>
        <v>17</v>
      </c>
      <c r="H127" s="169">
        <f t="shared" ref="H127:AM127" si="16">IF($F127=H$109,(1+λ)*(1-μ)+λ,λ*H207+(1+λ)*(1-μ)*H39)</f>
        <v>0</v>
      </c>
      <c r="I127" s="169">
        <f t="shared" si="16"/>
        <v>0</v>
      </c>
      <c r="J127" s="169">
        <f t="shared" si="16"/>
        <v>0</v>
      </c>
      <c r="K127" s="169">
        <f t="shared" si="16"/>
        <v>0</v>
      </c>
      <c r="L127" s="169">
        <f t="shared" si="16"/>
        <v>0</v>
      </c>
      <c r="M127" s="169">
        <f t="shared" si="16"/>
        <v>0</v>
      </c>
      <c r="N127" s="169">
        <f t="shared" si="16"/>
        <v>0</v>
      </c>
      <c r="O127" s="169">
        <f t="shared" si="16"/>
        <v>0</v>
      </c>
      <c r="P127" s="169">
        <f t="shared" si="16"/>
        <v>-1.3863202552002183E-3</v>
      </c>
      <c r="Q127" s="169">
        <f t="shared" si="16"/>
        <v>0</v>
      </c>
      <c r="R127" s="169">
        <f t="shared" si="16"/>
        <v>0</v>
      </c>
      <c r="S127" s="169">
        <f t="shared" si="16"/>
        <v>0</v>
      </c>
      <c r="T127" s="169">
        <f t="shared" si="16"/>
        <v>0</v>
      </c>
      <c r="U127" s="169">
        <f t="shared" si="16"/>
        <v>0</v>
      </c>
      <c r="V127" s="169">
        <f t="shared" si="16"/>
        <v>0</v>
      </c>
      <c r="W127" s="169">
        <f t="shared" si="16"/>
        <v>0</v>
      </c>
      <c r="X127" s="169">
        <f t="shared" si="16"/>
        <v>1.0952000000000002</v>
      </c>
      <c r="Y127" s="169">
        <f t="shared" si="16"/>
        <v>0</v>
      </c>
      <c r="Z127" s="169">
        <f t="shared" si="16"/>
        <v>0</v>
      </c>
      <c r="AA127" s="169">
        <f t="shared" si="16"/>
        <v>0</v>
      </c>
      <c r="AB127" s="169">
        <f t="shared" si="16"/>
        <v>-0.10866138926933469</v>
      </c>
      <c r="AC127" s="169">
        <f t="shared" si="16"/>
        <v>0</v>
      </c>
      <c r="AD127" s="169">
        <f t="shared" si="16"/>
        <v>0</v>
      </c>
      <c r="AE127" s="169">
        <f t="shared" si="16"/>
        <v>0</v>
      </c>
      <c r="AF127" s="169">
        <f t="shared" si="16"/>
        <v>0</v>
      </c>
      <c r="AG127" s="169">
        <f t="shared" si="16"/>
        <v>0</v>
      </c>
      <c r="AH127" s="169">
        <f t="shared" si="16"/>
        <v>0</v>
      </c>
      <c r="AI127" s="169">
        <f t="shared" si="16"/>
        <v>0</v>
      </c>
      <c r="AJ127" s="169">
        <f t="shared" si="16"/>
        <v>0</v>
      </c>
      <c r="AK127" s="169">
        <f t="shared" si="16"/>
        <v>0</v>
      </c>
      <c r="AL127" s="169">
        <f t="shared" si="16"/>
        <v>0</v>
      </c>
      <c r="AM127" s="227">
        <f t="shared" si="16"/>
        <v>0</v>
      </c>
    </row>
    <row r="128" spans="3:39" x14ac:dyDescent="0.25">
      <c r="C128" s="244" t="str">
        <f>'Fare optimisation'!C101</f>
        <v>Ferry</v>
      </c>
      <c r="D128" s="173">
        <f>'Fare optimisation'!D101</f>
        <v>5</v>
      </c>
      <c r="E128" s="172" t="str">
        <f>'Fare optimisation'!E101</f>
        <v>Peak</v>
      </c>
      <c r="F128" s="173">
        <f>'General inputs'!C46</f>
        <v>18</v>
      </c>
      <c r="H128" s="169">
        <f t="shared" ref="H128:AM128" si="17">IF($F128=H$109,(1+λ)*(1-μ)+λ,λ*H208+(1+λ)*(1-μ)*H40)</f>
        <v>0</v>
      </c>
      <c r="I128" s="169">
        <f t="shared" si="17"/>
        <v>0</v>
      </c>
      <c r="J128" s="169">
        <f t="shared" si="17"/>
        <v>0</v>
      </c>
      <c r="K128" s="169">
        <f t="shared" si="17"/>
        <v>0</v>
      </c>
      <c r="L128" s="169">
        <f t="shared" si="17"/>
        <v>0</v>
      </c>
      <c r="M128" s="169">
        <f t="shared" si="17"/>
        <v>0</v>
      </c>
      <c r="N128" s="169">
        <f t="shared" si="17"/>
        <v>0</v>
      </c>
      <c r="O128" s="169">
        <f t="shared" si="17"/>
        <v>0</v>
      </c>
      <c r="P128" s="169">
        <f t="shared" si="17"/>
        <v>0</v>
      </c>
      <c r="Q128" s="169">
        <f t="shared" si="17"/>
        <v>-2.6649282383085305E-3</v>
      </c>
      <c r="R128" s="169">
        <f t="shared" si="17"/>
        <v>0</v>
      </c>
      <c r="S128" s="169">
        <f t="shared" si="17"/>
        <v>0</v>
      </c>
      <c r="T128" s="169">
        <f t="shared" si="17"/>
        <v>0</v>
      </c>
      <c r="U128" s="169">
        <f t="shared" si="17"/>
        <v>0</v>
      </c>
      <c r="V128" s="169">
        <f t="shared" si="17"/>
        <v>0</v>
      </c>
      <c r="W128" s="169">
        <f t="shared" si="17"/>
        <v>0</v>
      </c>
      <c r="X128" s="169">
        <f t="shared" si="17"/>
        <v>0</v>
      </c>
      <c r="Y128" s="169">
        <f t="shared" si="17"/>
        <v>1.0952000000000002</v>
      </c>
      <c r="Z128" s="169">
        <f t="shared" si="17"/>
        <v>0</v>
      </c>
      <c r="AA128" s="169">
        <f t="shared" si="17"/>
        <v>0</v>
      </c>
      <c r="AB128" s="169">
        <f t="shared" si="17"/>
        <v>0</v>
      </c>
      <c r="AC128" s="169">
        <f t="shared" si="17"/>
        <v>-0.11097037676872849</v>
      </c>
      <c r="AD128" s="169">
        <f t="shared" si="17"/>
        <v>0</v>
      </c>
      <c r="AE128" s="169">
        <f t="shared" si="17"/>
        <v>0</v>
      </c>
      <c r="AF128" s="169">
        <f t="shared" si="17"/>
        <v>0</v>
      </c>
      <c r="AG128" s="169">
        <f t="shared" si="17"/>
        <v>0</v>
      </c>
      <c r="AH128" s="169">
        <f t="shared" si="17"/>
        <v>0</v>
      </c>
      <c r="AI128" s="169">
        <f t="shared" si="17"/>
        <v>0</v>
      </c>
      <c r="AJ128" s="169">
        <f t="shared" si="17"/>
        <v>0</v>
      </c>
      <c r="AK128" s="169">
        <f t="shared" si="17"/>
        <v>0</v>
      </c>
      <c r="AL128" s="169">
        <f t="shared" si="17"/>
        <v>0</v>
      </c>
      <c r="AM128" s="227">
        <f t="shared" si="17"/>
        <v>0</v>
      </c>
    </row>
    <row r="129" spans="3:39" x14ac:dyDescent="0.25">
      <c r="C129" s="244" t="str">
        <f>'Fare optimisation'!C102</f>
        <v>Ferry</v>
      </c>
      <c r="D129" s="173">
        <f>'Fare optimisation'!D102</f>
        <v>15</v>
      </c>
      <c r="E129" s="172" t="str">
        <f>'Fare optimisation'!E102</f>
        <v>Peak</v>
      </c>
      <c r="F129" s="173">
        <f>'General inputs'!C47</f>
        <v>19</v>
      </c>
      <c r="H129" s="169">
        <f t="shared" ref="H129:AM129" si="18">IF($F129=H$109,(1+λ)*(1-μ)+λ,λ*H209+(1+λ)*(1-μ)*H41)</f>
        <v>0</v>
      </c>
      <c r="I129" s="169">
        <f t="shared" si="18"/>
        <v>0</v>
      </c>
      <c r="J129" s="169">
        <f t="shared" si="18"/>
        <v>0</v>
      </c>
      <c r="K129" s="169">
        <f t="shared" si="18"/>
        <v>0</v>
      </c>
      <c r="L129" s="169">
        <f t="shared" si="18"/>
        <v>0</v>
      </c>
      <c r="M129" s="169">
        <f t="shared" si="18"/>
        <v>0</v>
      </c>
      <c r="N129" s="169">
        <f t="shared" si="18"/>
        <v>0</v>
      </c>
      <c r="O129" s="169">
        <f t="shared" si="18"/>
        <v>0</v>
      </c>
      <c r="P129" s="169">
        <f t="shared" si="18"/>
        <v>0</v>
      </c>
      <c r="Q129" s="169">
        <f t="shared" si="18"/>
        <v>0</v>
      </c>
      <c r="R129" s="169">
        <f t="shared" si="18"/>
        <v>-7.0295231859362961E-3</v>
      </c>
      <c r="S129" s="169">
        <f t="shared" si="18"/>
        <v>0</v>
      </c>
      <c r="T129" s="169">
        <f t="shared" si="18"/>
        <v>0</v>
      </c>
      <c r="U129" s="169">
        <f t="shared" si="18"/>
        <v>0</v>
      </c>
      <c r="V129" s="169">
        <f t="shared" si="18"/>
        <v>0</v>
      </c>
      <c r="W129" s="169">
        <f t="shared" si="18"/>
        <v>0</v>
      </c>
      <c r="X129" s="169">
        <f t="shared" si="18"/>
        <v>0</v>
      </c>
      <c r="Y129" s="169">
        <f t="shared" si="18"/>
        <v>0</v>
      </c>
      <c r="Z129" s="169">
        <f t="shared" si="18"/>
        <v>1.0952000000000002</v>
      </c>
      <c r="AA129" s="169">
        <f t="shared" si="18"/>
        <v>0</v>
      </c>
      <c r="AB129" s="169">
        <f t="shared" si="18"/>
        <v>0</v>
      </c>
      <c r="AC129" s="169">
        <f t="shared" si="18"/>
        <v>0</v>
      </c>
      <c r="AD129" s="169">
        <f t="shared" si="18"/>
        <v>-0.10791593283805632</v>
      </c>
      <c r="AE129" s="169">
        <f t="shared" si="18"/>
        <v>0</v>
      </c>
      <c r="AF129" s="169">
        <f t="shared" si="18"/>
        <v>0</v>
      </c>
      <c r="AG129" s="169">
        <f t="shared" si="18"/>
        <v>0</v>
      </c>
      <c r="AH129" s="169">
        <f t="shared" si="18"/>
        <v>0</v>
      </c>
      <c r="AI129" s="169">
        <f t="shared" si="18"/>
        <v>0</v>
      </c>
      <c r="AJ129" s="169">
        <f t="shared" si="18"/>
        <v>0</v>
      </c>
      <c r="AK129" s="169">
        <f t="shared" si="18"/>
        <v>0</v>
      </c>
      <c r="AL129" s="169">
        <f t="shared" si="18"/>
        <v>0</v>
      </c>
      <c r="AM129" s="227">
        <f t="shared" si="18"/>
        <v>0</v>
      </c>
    </row>
    <row r="130" spans="3:39" x14ac:dyDescent="0.25">
      <c r="C130" s="244" t="str">
        <f>'Fare optimisation'!C103</f>
        <v>Ferry</v>
      </c>
      <c r="D130" s="173">
        <f>'Fare optimisation'!D103</f>
        <v>25</v>
      </c>
      <c r="E130" s="172" t="str">
        <f>'Fare optimisation'!E103</f>
        <v>Peak</v>
      </c>
      <c r="F130" s="173">
        <f>'General inputs'!C48</f>
        <v>20</v>
      </c>
      <c r="H130" s="169">
        <f t="shared" ref="H130:AM130" si="19">IF($F130=H$109,(1+λ)*(1-μ)+λ,λ*H210+(1+λ)*(1-μ)*H42)</f>
        <v>0</v>
      </c>
      <c r="I130" s="169">
        <f t="shared" si="19"/>
        <v>0</v>
      </c>
      <c r="J130" s="169">
        <f t="shared" si="19"/>
        <v>0</v>
      </c>
      <c r="K130" s="169">
        <f t="shared" si="19"/>
        <v>0</v>
      </c>
      <c r="L130" s="169">
        <f t="shared" si="19"/>
        <v>0</v>
      </c>
      <c r="M130" s="169">
        <f t="shared" si="19"/>
        <v>0</v>
      </c>
      <c r="N130" s="169">
        <f t="shared" si="19"/>
        <v>0</v>
      </c>
      <c r="O130" s="169">
        <f t="shared" si="19"/>
        <v>0</v>
      </c>
      <c r="P130" s="169">
        <f t="shared" si="19"/>
        <v>0</v>
      </c>
      <c r="Q130" s="169">
        <f t="shared" si="19"/>
        <v>0</v>
      </c>
      <c r="R130" s="169">
        <f t="shared" si="19"/>
        <v>0</v>
      </c>
      <c r="S130" s="169">
        <f t="shared" si="19"/>
        <v>-7.5263380111457534E-4</v>
      </c>
      <c r="T130" s="169">
        <f t="shared" si="19"/>
        <v>0</v>
      </c>
      <c r="U130" s="169">
        <f t="shared" si="19"/>
        <v>0</v>
      </c>
      <c r="V130" s="169">
        <f t="shared" si="19"/>
        <v>0</v>
      </c>
      <c r="W130" s="169">
        <f t="shared" si="19"/>
        <v>0</v>
      </c>
      <c r="X130" s="169">
        <f t="shared" si="19"/>
        <v>0</v>
      </c>
      <c r="Y130" s="169">
        <f t="shared" si="19"/>
        <v>0</v>
      </c>
      <c r="Z130" s="169">
        <f t="shared" si="19"/>
        <v>0</v>
      </c>
      <c r="AA130" s="169">
        <f t="shared" si="19"/>
        <v>1.0952000000000002</v>
      </c>
      <c r="AB130" s="169">
        <f t="shared" si="19"/>
        <v>0</v>
      </c>
      <c r="AC130" s="169">
        <f t="shared" si="19"/>
        <v>0</v>
      </c>
      <c r="AD130" s="169">
        <f t="shared" si="19"/>
        <v>0</v>
      </c>
      <c r="AE130" s="169">
        <f t="shared" si="19"/>
        <v>-0.10677419724862314</v>
      </c>
      <c r="AF130" s="169">
        <f t="shared" si="19"/>
        <v>0</v>
      </c>
      <c r="AG130" s="169">
        <f t="shared" si="19"/>
        <v>0</v>
      </c>
      <c r="AH130" s="169">
        <f t="shared" si="19"/>
        <v>0</v>
      </c>
      <c r="AI130" s="169">
        <f t="shared" si="19"/>
        <v>0</v>
      </c>
      <c r="AJ130" s="169">
        <f t="shared" si="19"/>
        <v>0</v>
      </c>
      <c r="AK130" s="169">
        <f t="shared" si="19"/>
        <v>0</v>
      </c>
      <c r="AL130" s="169">
        <f t="shared" si="19"/>
        <v>0</v>
      </c>
      <c r="AM130" s="227">
        <f t="shared" si="19"/>
        <v>0</v>
      </c>
    </row>
    <row r="131" spans="3:39" x14ac:dyDescent="0.25">
      <c r="C131" s="244" t="str">
        <f>'Fare optimisation'!C104</f>
        <v>Ferry</v>
      </c>
      <c r="D131" s="173">
        <f>'Fare optimisation'!D104</f>
        <v>2</v>
      </c>
      <c r="E131" s="172" t="str">
        <f>'Fare optimisation'!E104</f>
        <v>Off-peak</v>
      </c>
      <c r="F131" s="173">
        <f>'General inputs'!C49</f>
        <v>21</v>
      </c>
      <c r="H131" s="169">
        <f t="shared" ref="H131:AM131" si="20">IF($F131=H$109,(1+λ)*(1-μ)+λ,λ*H211+(1+λ)*(1-μ)*H43)</f>
        <v>0</v>
      </c>
      <c r="I131" s="169">
        <f t="shared" si="20"/>
        <v>0</v>
      </c>
      <c r="J131" s="169">
        <f t="shared" si="20"/>
        <v>0</v>
      </c>
      <c r="K131" s="169">
        <f t="shared" si="20"/>
        <v>0</v>
      </c>
      <c r="L131" s="169">
        <f t="shared" si="20"/>
        <v>0</v>
      </c>
      <c r="M131" s="169">
        <f t="shared" si="20"/>
        <v>0</v>
      </c>
      <c r="N131" s="169">
        <f t="shared" si="20"/>
        <v>0</v>
      </c>
      <c r="O131" s="169">
        <f t="shared" si="20"/>
        <v>0</v>
      </c>
      <c r="P131" s="169">
        <f t="shared" si="20"/>
        <v>0</v>
      </c>
      <c r="Q131" s="169">
        <f t="shared" si="20"/>
        <v>0</v>
      </c>
      <c r="R131" s="169">
        <f t="shared" si="20"/>
        <v>0</v>
      </c>
      <c r="S131" s="169">
        <f t="shared" si="20"/>
        <v>0</v>
      </c>
      <c r="T131" s="169">
        <f t="shared" si="20"/>
        <v>-1.1146094976282944E-3</v>
      </c>
      <c r="U131" s="169">
        <f t="shared" si="20"/>
        <v>0</v>
      </c>
      <c r="V131" s="169">
        <f t="shared" si="20"/>
        <v>0</v>
      </c>
      <c r="W131" s="169">
        <f t="shared" si="20"/>
        <v>0</v>
      </c>
      <c r="X131" s="169">
        <f t="shared" si="20"/>
        <v>-0.11048184167901585</v>
      </c>
      <c r="Y131" s="169">
        <f t="shared" si="20"/>
        <v>0</v>
      </c>
      <c r="Z131" s="169">
        <f t="shared" si="20"/>
        <v>0</v>
      </c>
      <c r="AA131" s="169">
        <f t="shared" si="20"/>
        <v>0</v>
      </c>
      <c r="AB131" s="169">
        <f t="shared" si="20"/>
        <v>1.0952000000000002</v>
      </c>
      <c r="AC131" s="169">
        <f t="shared" si="20"/>
        <v>0</v>
      </c>
      <c r="AD131" s="169">
        <f t="shared" si="20"/>
        <v>0</v>
      </c>
      <c r="AE131" s="169">
        <f t="shared" si="20"/>
        <v>0</v>
      </c>
      <c r="AF131" s="169">
        <f t="shared" si="20"/>
        <v>0</v>
      </c>
      <c r="AG131" s="169">
        <f t="shared" si="20"/>
        <v>0</v>
      </c>
      <c r="AH131" s="169">
        <f t="shared" si="20"/>
        <v>0</v>
      </c>
      <c r="AI131" s="169">
        <f t="shared" si="20"/>
        <v>0</v>
      </c>
      <c r="AJ131" s="169">
        <f t="shared" si="20"/>
        <v>0</v>
      </c>
      <c r="AK131" s="169">
        <f t="shared" si="20"/>
        <v>0</v>
      </c>
      <c r="AL131" s="169">
        <f t="shared" si="20"/>
        <v>0</v>
      </c>
      <c r="AM131" s="227">
        <f t="shared" si="20"/>
        <v>0</v>
      </c>
    </row>
    <row r="132" spans="3:39" x14ac:dyDescent="0.25">
      <c r="C132" s="244" t="str">
        <f>'Fare optimisation'!C105</f>
        <v>Ferry</v>
      </c>
      <c r="D132" s="173">
        <f>'Fare optimisation'!D105</f>
        <v>5</v>
      </c>
      <c r="E132" s="172" t="str">
        <f>'Fare optimisation'!E105</f>
        <v>Off-peak</v>
      </c>
      <c r="F132" s="173">
        <f>'General inputs'!C50</f>
        <v>22</v>
      </c>
      <c r="H132" s="169">
        <f t="shared" ref="H132:AM132" si="21">IF($F132=H$109,(1+λ)*(1-μ)+λ,λ*H212+(1+λ)*(1-μ)*H44)</f>
        <v>0</v>
      </c>
      <c r="I132" s="169">
        <f t="shared" si="21"/>
        <v>0</v>
      </c>
      <c r="J132" s="169">
        <f t="shared" si="21"/>
        <v>0</v>
      </c>
      <c r="K132" s="169">
        <f t="shared" si="21"/>
        <v>0</v>
      </c>
      <c r="L132" s="169">
        <f t="shared" si="21"/>
        <v>0</v>
      </c>
      <c r="M132" s="169">
        <f t="shared" si="21"/>
        <v>0</v>
      </c>
      <c r="N132" s="169">
        <f t="shared" si="21"/>
        <v>0</v>
      </c>
      <c r="O132" s="169">
        <f t="shared" si="21"/>
        <v>0</v>
      </c>
      <c r="P132" s="169">
        <f t="shared" si="21"/>
        <v>0</v>
      </c>
      <c r="Q132" s="169">
        <f t="shared" si="21"/>
        <v>0</v>
      </c>
      <c r="R132" s="169">
        <f t="shared" si="21"/>
        <v>0</v>
      </c>
      <c r="S132" s="169">
        <f t="shared" si="21"/>
        <v>0</v>
      </c>
      <c r="T132" s="169">
        <f t="shared" si="21"/>
        <v>0</v>
      </c>
      <c r="U132" s="169">
        <f t="shared" si="21"/>
        <v>-1.6935718594702925E-3</v>
      </c>
      <c r="V132" s="169">
        <f t="shared" si="21"/>
        <v>0</v>
      </c>
      <c r="W132" s="169">
        <f t="shared" si="21"/>
        <v>0</v>
      </c>
      <c r="X132" s="169">
        <f t="shared" si="21"/>
        <v>0</v>
      </c>
      <c r="Y132" s="169">
        <f t="shared" si="21"/>
        <v>-0.1082922167661905</v>
      </c>
      <c r="Z132" s="169">
        <f t="shared" si="21"/>
        <v>0</v>
      </c>
      <c r="AA132" s="169">
        <f t="shared" si="21"/>
        <v>0</v>
      </c>
      <c r="AB132" s="169">
        <f t="shared" si="21"/>
        <v>0</v>
      </c>
      <c r="AC132" s="169">
        <f t="shared" si="21"/>
        <v>1.0952000000000002</v>
      </c>
      <c r="AD132" s="169">
        <f t="shared" si="21"/>
        <v>0</v>
      </c>
      <c r="AE132" s="169">
        <f t="shared" si="21"/>
        <v>0</v>
      </c>
      <c r="AF132" s="169">
        <f t="shared" si="21"/>
        <v>0</v>
      </c>
      <c r="AG132" s="169">
        <f t="shared" si="21"/>
        <v>0</v>
      </c>
      <c r="AH132" s="169">
        <f t="shared" si="21"/>
        <v>0</v>
      </c>
      <c r="AI132" s="169">
        <f t="shared" si="21"/>
        <v>0</v>
      </c>
      <c r="AJ132" s="169">
        <f t="shared" si="21"/>
        <v>0</v>
      </c>
      <c r="AK132" s="169">
        <f t="shared" si="21"/>
        <v>0</v>
      </c>
      <c r="AL132" s="169">
        <f t="shared" si="21"/>
        <v>0</v>
      </c>
      <c r="AM132" s="227">
        <f t="shared" si="21"/>
        <v>0</v>
      </c>
    </row>
    <row r="133" spans="3:39" x14ac:dyDescent="0.25">
      <c r="C133" s="244" t="str">
        <f>'Fare optimisation'!C106</f>
        <v>Ferry</v>
      </c>
      <c r="D133" s="173">
        <f>'Fare optimisation'!D106</f>
        <v>15</v>
      </c>
      <c r="E133" s="172" t="str">
        <f>'Fare optimisation'!E106</f>
        <v>Off-peak</v>
      </c>
      <c r="F133" s="173">
        <f>'General inputs'!C51</f>
        <v>23</v>
      </c>
      <c r="H133" s="169">
        <f t="shared" ref="H133:AM133" si="22">IF($F133=H$109,(1+λ)*(1-μ)+λ,λ*H213+(1+λ)*(1-μ)*H45)</f>
        <v>0</v>
      </c>
      <c r="I133" s="169">
        <f t="shared" si="22"/>
        <v>0</v>
      </c>
      <c r="J133" s="169">
        <f t="shared" si="22"/>
        <v>0</v>
      </c>
      <c r="K133" s="169">
        <f t="shared" si="22"/>
        <v>0</v>
      </c>
      <c r="L133" s="169">
        <f t="shared" si="22"/>
        <v>0</v>
      </c>
      <c r="M133" s="169">
        <f t="shared" si="22"/>
        <v>0</v>
      </c>
      <c r="N133" s="169">
        <f t="shared" si="22"/>
        <v>0</v>
      </c>
      <c r="O133" s="169">
        <f t="shared" si="22"/>
        <v>0</v>
      </c>
      <c r="P133" s="169">
        <f t="shared" si="22"/>
        <v>0</v>
      </c>
      <c r="Q133" s="169">
        <f t="shared" si="22"/>
        <v>0</v>
      </c>
      <c r="R133" s="169">
        <f t="shared" si="22"/>
        <v>0</v>
      </c>
      <c r="S133" s="169">
        <f t="shared" si="22"/>
        <v>0</v>
      </c>
      <c r="T133" s="169">
        <f t="shared" si="22"/>
        <v>0</v>
      </c>
      <c r="U133" s="169">
        <f t="shared" si="22"/>
        <v>0</v>
      </c>
      <c r="V133" s="169">
        <f t="shared" si="22"/>
        <v>-7.660305979953084E-3</v>
      </c>
      <c r="W133" s="169">
        <f t="shared" si="22"/>
        <v>0</v>
      </c>
      <c r="X133" s="169">
        <f t="shared" si="22"/>
        <v>0</v>
      </c>
      <c r="Y133" s="169">
        <f t="shared" si="22"/>
        <v>0</v>
      </c>
      <c r="Z133" s="169">
        <f t="shared" si="22"/>
        <v>-0.11152635898163203</v>
      </c>
      <c r="AA133" s="169">
        <f t="shared" si="22"/>
        <v>0</v>
      </c>
      <c r="AB133" s="169">
        <f t="shared" si="22"/>
        <v>0</v>
      </c>
      <c r="AC133" s="169">
        <f t="shared" si="22"/>
        <v>0</v>
      </c>
      <c r="AD133" s="169">
        <f t="shared" si="22"/>
        <v>1.0952000000000002</v>
      </c>
      <c r="AE133" s="169">
        <f t="shared" si="22"/>
        <v>0</v>
      </c>
      <c r="AF133" s="169">
        <f t="shared" si="22"/>
        <v>0</v>
      </c>
      <c r="AG133" s="169">
        <f t="shared" si="22"/>
        <v>0</v>
      </c>
      <c r="AH133" s="169">
        <f t="shared" si="22"/>
        <v>0</v>
      </c>
      <c r="AI133" s="169">
        <f t="shared" si="22"/>
        <v>0</v>
      </c>
      <c r="AJ133" s="169">
        <f t="shared" si="22"/>
        <v>0</v>
      </c>
      <c r="AK133" s="169">
        <f t="shared" si="22"/>
        <v>0</v>
      </c>
      <c r="AL133" s="169">
        <f t="shared" si="22"/>
        <v>0</v>
      </c>
      <c r="AM133" s="227">
        <f t="shared" si="22"/>
        <v>0</v>
      </c>
    </row>
    <row r="134" spans="3:39" x14ac:dyDescent="0.25">
      <c r="C134" s="244" t="str">
        <f>'Fare optimisation'!C107</f>
        <v>Ferry</v>
      </c>
      <c r="D134" s="173">
        <f>'Fare optimisation'!D107</f>
        <v>25</v>
      </c>
      <c r="E134" s="172" t="str">
        <f>'Fare optimisation'!E107</f>
        <v>Off-peak</v>
      </c>
      <c r="F134" s="173">
        <f>'General inputs'!C52</f>
        <v>24</v>
      </c>
      <c r="H134" s="169">
        <f t="shared" ref="H134:AM134" si="23">IF($F134=H$109,(1+λ)*(1-μ)+λ,λ*H214+(1+λ)*(1-μ)*H46)</f>
        <v>0</v>
      </c>
      <c r="I134" s="169">
        <f t="shared" si="23"/>
        <v>0</v>
      </c>
      <c r="J134" s="169">
        <f t="shared" si="23"/>
        <v>0</v>
      </c>
      <c r="K134" s="169">
        <f t="shared" si="23"/>
        <v>0</v>
      </c>
      <c r="L134" s="169">
        <f t="shared" si="23"/>
        <v>0</v>
      </c>
      <c r="M134" s="169">
        <f t="shared" si="23"/>
        <v>0</v>
      </c>
      <c r="N134" s="169">
        <f t="shared" si="23"/>
        <v>0</v>
      </c>
      <c r="O134" s="169">
        <f t="shared" si="23"/>
        <v>0</v>
      </c>
      <c r="P134" s="169">
        <f t="shared" si="23"/>
        <v>0</v>
      </c>
      <c r="Q134" s="169">
        <f t="shared" si="23"/>
        <v>0</v>
      </c>
      <c r="R134" s="169">
        <f t="shared" si="23"/>
        <v>0</v>
      </c>
      <c r="S134" s="169">
        <f t="shared" si="23"/>
        <v>0</v>
      </c>
      <c r="T134" s="169">
        <f t="shared" si="23"/>
        <v>0</v>
      </c>
      <c r="U134" s="169">
        <f t="shared" si="23"/>
        <v>0</v>
      </c>
      <c r="V134" s="169">
        <f t="shared" si="23"/>
        <v>0</v>
      </c>
      <c r="W134" s="169">
        <f t="shared" si="23"/>
        <v>-1.2961497246650165E-3</v>
      </c>
      <c r="X134" s="169">
        <f t="shared" si="23"/>
        <v>0</v>
      </c>
      <c r="Y134" s="169">
        <f t="shared" si="23"/>
        <v>0</v>
      </c>
      <c r="Z134" s="169">
        <f t="shared" si="23"/>
        <v>0</v>
      </c>
      <c r="AA134" s="169">
        <f t="shared" si="23"/>
        <v>-0.11370073798367036</v>
      </c>
      <c r="AB134" s="169">
        <f t="shared" si="23"/>
        <v>0</v>
      </c>
      <c r="AC134" s="169">
        <f t="shared" si="23"/>
        <v>0</v>
      </c>
      <c r="AD134" s="169">
        <f t="shared" si="23"/>
        <v>0</v>
      </c>
      <c r="AE134" s="169">
        <f t="shared" si="23"/>
        <v>1.0952000000000002</v>
      </c>
      <c r="AF134" s="169">
        <f t="shared" si="23"/>
        <v>0</v>
      </c>
      <c r="AG134" s="169">
        <f t="shared" si="23"/>
        <v>0</v>
      </c>
      <c r="AH134" s="169">
        <f t="shared" si="23"/>
        <v>0</v>
      </c>
      <c r="AI134" s="169">
        <f t="shared" si="23"/>
        <v>0</v>
      </c>
      <c r="AJ134" s="169">
        <f t="shared" si="23"/>
        <v>0</v>
      </c>
      <c r="AK134" s="169">
        <f t="shared" si="23"/>
        <v>0</v>
      </c>
      <c r="AL134" s="169">
        <f t="shared" si="23"/>
        <v>0</v>
      </c>
      <c r="AM134" s="227">
        <f t="shared" si="23"/>
        <v>0</v>
      </c>
    </row>
    <row r="135" spans="3:39" x14ac:dyDescent="0.25">
      <c r="C135" s="244" t="str">
        <f>'Fare optimisation'!C108</f>
        <v>Light Rail</v>
      </c>
      <c r="D135" s="173">
        <f>'Fare optimisation'!D108</f>
        <v>2</v>
      </c>
      <c r="E135" s="172" t="str">
        <f>'Fare optimisation'!E108</f>
        <v>Peak</v>
      </c>
      <c r="F135" s="173">
        <f>'General inputs'!C53</f>
        <v>25</v>
      </c>
      <c r="H135" s="169">
        <f t="shared" ref="H135:AM135" si="24">IF($F135=H$109,(1+λ)*(1-μ)+λ,λ*H215+(1+λ)*(1-μ)*H47)</f>
        <v>0</v>
      </c>
      <c r="I135" s="169">
        <f t="shared" si="24"/>
        <v>0</v>
      </c>
      <c r="J135" s="169">
        <f t="shared" si="24"/>
        <v>0</v>
      </c>
      <c r="K135" s="169">
        <f t="shared" si="24"/>
        <v>0</v>
      </c>
      <c r="L135" s="169">
        <f t="shared" si="24"/>
        <v>0</v>
      </c>
      <c r="M135" s="169">
        <f t="shared" si="24"/>
        <v>0</v>
      </c>
      <c r="N135" s="169">
        <f t="shared" si="24"/>
        <v>0</v>
      </c>
      <c r="O135" s="169">
        <f t="shared" si="24"/>
        <v>0</v>
      </c>
      <c r="P135" s="169">
        <f t="shared" si="24"/>
        <v>-8.1703837982004396E-3</v>
      </c>
      <c r="Q135" s="169">
        <f t="shared" si="24"/>
        <v>0</v>
      </c>
      <c r="R135" s="169">
        <f t="shared" si="24"/>
        <v>0</v>
      </c>
      <c r="S135" s="169">
        <f t="shared" si="24"/>
        <v>0</v>
      </c>
      <c r="T135" s="169">
        <f t="shared" si="24"/>
        <v>0</v>
      </c>
      <c r="U135" s="169">
        <f t="shared" si="24"/>
        <v>0</v>
      </c>
      <c r="V135" s="169">
        <f t="shared" si="24"/>
        <v>0</v>
      </c>
      <c r="W135" s="169">
        <f t="shared" si="24"/>
        <v>0</v>
      </c>
      <c r="X135" s="169">
        <f t="shared" si="24"/>
        <v>0</v>
      </c>
      <c r="Y135" s="169">
        <f t="shared" si="24"/>
        <v>0</v>
      </c>
      <c r="Z135" s="169">
        <f t="shared" si="24"/>
        <v>0</v>
      </c>
      <c r="AA135" s="169">
        <f t="shared" si="24"/>
        <v>0</v>
      </c>
      <c r="AB135" s="169">
        <f t="shared" si="24"/>
        <v>0</v>
      </c>
      <c r="AC135" s="169">
        <f t="shared" si="24"/>
        <v>0</v>
      </c>
      <c r="AD135" s="169">
        <f t="shared" si="24"/>
        <v>0</v>
      </c>
      <c r="AE135" s="169">
        <f t="shared" si="24"/>
        <v>0</v>
      </c>
      <c r="AF135" s="169">
        <f t="shared" si="24"/>
        <v>1.0952000000000002</v>
      </c>
      <c r="AG135" s="169">
        <f t="shared" si="24"/>
        <v>0</v>
      </c>
      <c r="AH135" s="169">
        <f t="shared" si="24"/>
        <v>0</v>
      </c>
      <c r="AI135" s="169">
        <f t="shared" si="24"/>
        <v>0</v>
      </c>
      <c r="AJ135" s="169">
        <f t="shared" si="24"/>
        <v>-0.10625856841490869</v>
      </c>
      <c r="AK135" s="169">
        <f t="shared" si="24"/>
        <v>0</v>
      </c>
      <c r="AL135" s="169">
        <f t="shared" si="24"/>
        <v>0</v>
      </c>
      <c r="AM135" s="227">
        <f t="shared" si="24"/>
        <v>0</v>
      </c>
    </row>
    <row r="136" spans="3:39" x14ac:dyDescent="0.25">
      <c r="C136" s="244" t="str">
        <f>'Fare optimisation'!C109</f>
        <v>Light Rail</v>
      </c>
      <c r="D136" s="173">
        <f>'Fare optimisation'!D109</f>
        <v>5</v>
      </c>
      <c r="E136" s="172" t="str">
        <f>'Fare optimisation'!E109</f>
        <v>Peak</v>
      </c>
      <c r="F136" s="173">
        <f>'General inputs'!C54</f>
        <v>26</v>
      </c>
      <c r="H136" s="169">
        <f t="shared" ref="H136:AM136" si="25">IF($F136=H$109,(1+λ)*(1-μ)+λ,λ*H216+(1+λ)*(1-μ)*H48)</f>
        <v>0</v>
      </c>
      <c r="I136" s="169">
        <f t="shared" si="25"/>
        <v>0</v>
      </c>
      <c r="J136" s="169">
        <f t="shared" si="25"/>
        <v>0</v>
      </c>
      <c r="K136" s="169">
        <f t="shared" si="25"/>
        <v>0</v>
      </c>
      <c r="L136" s="169">
        <f t="shared" si="25"/>
        <v>0</v>
      </c>
      <c r="M136" s="169">
        <f t="shared" si="25"/>
        <v>0</v>
      </c>
      <c r="N136" s="169">
        <f t="shared" si="25"/>
        <v>0</v>
      </c>
      <c r="O136" s="169">
        <f t="shared" si="25"/>
        <v>0</v>
      </c>
      <c r="P136" s="169">
        <f t="shared" si="25"/>
        <v>0</v>
      </c>
      <c r="Q136" s="169">
        <f t="shared" si="25"/>
        <v>-7.6735568701783762E-3</v>
      </c>
      <c r="R136" s="169">
        <f t="shared" si="25"/>
        <v>0</v>
      </c>
      <c r="S136" s="169">
        <f t="shared" si="25"/>
        <v>0</v>
      </c>
      <c r="T136" s="169">
        <f t="shared" si="25"/>
        <v>0</v>
      </c>
      <c r="U136" s="169">
        <f t="shared" si="25"/>
        <v>0</v>
      </c>
      <c r="V136" s="169">
        <f t="shared" si="25"/>
        <v>0</v>
      </c>
      <c r="W136" s="169">
        <f t="shared" si="25"/>
        <v>0</v>
      </c>
      <c r="X136" s="169">
        <f t="shared" si="25"/>
        <v>0</v>
      </c>
      <c r="Y136" s="169">
        <f t="shared" si="25"/>
        <v>0</v>
      </c>
      <c r="Z136" s="169">
        <f t="shared" si="25"/>
        <v>0</v>
      </c>
      <c r="AA136" s="169">
        <f t="shared" si="25"/>
        <v>0</v>
      </c>
      <c r="AB136" s="169">
        <f t="shared" si="25"/>
        <v>0</v>
      </c>
      <c r="AC136" s="169">
        <f t="shared" si="25"/>
        <v>0</v>
      </c>
      <c r="AD136" s="169">
        <f t="shared" si="25"/>
        <v>0</v>
      </c>
      <c r="AE136" s="169">
        <f t="shared" si="25"/>
        <v>0</v>
      </c>
      <c r="AF136" s="169">
        <f t="shared" si="25"/>
        <v>0</v>
      </c>
      <c r="AG136" s="169">
        <f t="shared" si="25"/>
        <v>1.0952000000000002</v>
      </c>
      <c r="AH136" s="169">
        <f t="shared" si="25"/>
        <v>0</v>
      </c>
      <c r="AI136" s="169">
        <f t="shared" si="25"/>
        <v>0</v>
      </c>
      <c r="AJ136" s="169">
        <f t="shared" si="25"/>
        <v>0</v>
      </c>
      <c r="AK136" s="169">
        <f t="shared" si="25"/>
        <v>-0.10788453770267568</v>
      </c>
      <c r="AL136" s="169">
        <f t="shared" si="25"/>
        <v>0</v>
      </c>
      <c r="AM136" s="227">
        <f t="shared" si="25"/>
        <v>0</v>
      </c>
    </row>
    <row r="137" spans="3:39" x14ac:dyDescent="0.25">
      <c r="C137" s="244" t="str">
        <f>'Fare optimisation'!C110</f>
        <v>Light Rail</v>
      </c>
      <c r="D137" s="173">
        <f>'Fare optimisation'!D110</f>
        <v>15</v>
      </c>
      <c r="E137" s="172" t="str">
        <f>'Fare optimisation'!E110</f>
        <v>Peak</v>
      </c>
      <c r="F137" s="173">
        <f>'General inputs'!C55</f>
        <v>27</v>
      </c>
      <c r="H137" s="169">
        <f t="shared" ref="H137:AM137" si="26">IF($F137=H$109,(1+λ)*(1-μ)+λ,λ*H217+(1+λ)*(1-μ)*H49)</f>
        <v>0</v>
      </c>
      <c r="I137" s="169">
        <f t="shared" si="26"/>
        <v>0</v>
      </c>
      <c r="J137" s="169">
        <f t="shared" si="26"/>
        <v>0</v>
      </c>
      <c r="K137" s="169">
        <f t="shared" si="26"/>
        <v>0</v>
      </c>
      <c r="L137" s="169">
        <f t="shared" si="26"/>
        <v>0</v>
      </c>
      <c r="M137" s="169">
        <f t="shared" si="26"/>
        <v>0</v>
      </c>
      <c r="N137" s="169">
        <f t="shared" si="26"/>
        <v>0</v>
      </c>
      <c r="O137" s="169">
        <f t="shared" si="26"/>
        <v>0</v>
      </c>
      <c r="P137" s="169">
        <f t="shared" si="26"/>
        <v>0</v>
      </c>
      <c r="Q137" s="169">
        <f t="shared" si="26"/>
        <v>0</v>
      </c>
      <c r="R137" s="169">
        <f t="shared" si="26"/>
        <v>-2.1551132751840021E-3</v>
      </c>
      <c r="S137" s="169">
        <f t="shared" si="26"/>
        <v>0</v>
      </c>
      <c r="T137" s="169">
        <f t="shared" si="26"/>
        <v>0</v>
      </c>
      <c r="U137" s="169">
        <f t="shared" si="26"/>
        <v>0</v>
      </c>
      <c r="V137" s="169">
        <f t="shared" si="26"/>
        <v>0</v>
      </c>
      <c r="W137" s="169">
        <f t="shared" si="26"/>
        <v>0</v>
      </c>
      <c r="X137" s="169">
        <f t="shared" si="26"/>
        <v>0</v>
      </c>
      <c r="Y137" s="169">
        <f t="shared" si="26"/>
        <v>0</v>
      </c>
      <c r="Z137" s="169">
        <f t="shared" si="26"/>
        <v>0</v>
      </c>
      <c r="AA137" s="169">
        <f t="shared" si="26"/>
        <v>0</v>
      </c>
      <c r="AB137" s="169">
        <f t="shared" si="26"/>
        <v>0</v>
      </c>
      <c r="AC137" s="169">
        <f t="shared" si="26"/>
        <v>0</v>
      </c>
      <c r="AD137" s="169">
        <f t="shared" si="26"/>
        <v>0</v>
      </c>
      <c r="AE137" s="169">
        <f t="shared" si="26"/>
        <v>0</v>
      </c>
      <c r="AF137" s="169">
        <f t="shared" si="26"/>
        <v>0</v>
      </c>
      <c r="AG137" s="169">
        <f t="shared" si="26"/>
        <v>0</v>
      </c>
      <c r="AH137" s="169">
        <f t="shared" si="26"/>
        <v>1.0952000000000002</v>
      </c>
      <c r="AI137" s="169">
        <f t="shared" si="26"/>
        <v>0</v>
      </c>
      <c r="AJ137" s="169">
        <f t="shared" si="26"/>
        <v>0</v>
      </c>
      <c r="AK137" s="169">
        <f t="shared" si="26"/>
        <v>0</v>
      </c>
      <c r="AL137" s="169">
        <f t="shared" si="26"/>
        <v>-0.10817233403547913</v>
      </c>
      <c r="AM137" s="227">
        <f t="shared" si="26"/>
        <v>0</v>
      </c>
    </row>
    <row r="138" spans="3:39" x14ac:dyDescent="0.25">
      <c r="C138" s="244" t="str">
        <f>'Fare optimisation'!C111</f>
        <v>Light Rail</v>
      </c>
      <c r="D138" s="173">
        <f>'Fare optimisation'!D111</f>
        <v>25</v>
      </c>
      <c r="E138" s="172" t="str">
        <f>'Fare optimisation'!E111</f>
        <v>Peak</v>
      </c>
      <c r="F138" s="173">
        <f>'General inputs'!C56</f>
        <v>28</v>
      </c>
      <c r="H138" s="169">
        <f t="shared" ref="H138:AM138" si="27">IF($F138=H$109,(1+λ)*(1-μ)+λ,λ*H218+(1+λ)*(1-μ)*H50)</f>
        <v>0</v>
      </c>
      <c r="I138" s="169">
        <f t="shared" si="27"/>
        <v>0</v>
      </c>
      <c r="J138" s="169">
        <f t="shared" si="27"/>
        <v>0</v>
      </c>
      <c r="K138" s="169">
        <f t="shared" si="27"/>
        <v>0</v>
      </c>
      <c r="L138" s="169">
        <f t="shared" si="27"/>
        <v>0</v>
      </c>
      <c r="M138" s="169">
        <f t="shared" si="27"/>
        <v>0</v>
      </c>
      <c r="N138" s="169">
        <f t="shared" si="27"/>
        <v>0</v>
      </c>
      <c r="O138" s="169">
        <f t="shared" si="27"/>
        <v>0</v>
      </c>
      <c r="P138" s="169">
        <f t="shared" si="27"/>
        <v>0</v>
      </c>
      <c r="Q138" s="169">
        <f t="shared" si="27"/>
        <v>0</v>
      </c>
      <c r="R138" s="169">
        <f t="shared" si="27"/>
        <v>0</v>
      </c>
      <c r="S138" s="169">
        <f t="shared" si="27"/>
        <v>0</v>
      </c>
      <c r="T138" s="169">
        <f t="shared" si="27"/>
        <v>0</v>
      </c>
      <c r="U138" s="169">
        <f t="shared" si="27"/>
        <v>0</v>
      </c>
      <c r="V138" s="169">
        <f t="shared" si="27"/>
        <v>0</v>
      </c>
      <c r="W138" s="169">
        <f t="shared" si="27"/>
        <v>0</v>
      </c>
      <c r="X138" s="169">
        <f t="shared" si="27"/>
        <v>0</v>
      </c>
      <c r="Y138" s="169">
        <f t="shared" si="27"/>
        <v>0</v>
      </c>
      <c r="Z138" s="169">
        <f t="shared" si="27"/>
        <v>0</v>
      </c>
      <c r="AA138" s="169">
        <f t="shared" si="27"/>
        <v>0</v>
      </c>
      <c r="AB138" s="169">
        <f t="shared" si="27"/>
        <v>0</v>
      </c>
      <c r="AC138" s="169">
        <f t="shared" si="27"/>
        <v>0</v>
      </c>
      <c r="AD138" s="169">
        <f t="shared" si="27"/>
        <v>0</v>
      </c>
      <c r="AE138" s="169">
        <f t="shared" si="27"/>
        <v>0</v>
      </c>
      <c r="AF138" s="169">
        <f t="shared" si="27"/>
        <v>0</v>
      </c>
      <c r="AG138" s="169">
        <f t="shared" si="27"/>
        <v>0</v>
      </c>
      <c r="AH138" s="169">
        <f t="shared" si="27"/>
        <v>0</v>
      </c>
      <c r="AI138" s="169">
        <f t="shared" si="27"/>
        <v>1.0952000000000002</v>
      </c>
      <c r="AJ138" s="169">
        <f t="shared" si="27"/>
        <v>0</v>
      </c>
      <c r="AK138" s="169">
        <f t="shared" si="27"/>
        <v>0</v>
      </c>
      <c r="AL138" s="169">
        <f t="shared" si="27"/>
        <v>0</v>
      </c>
      <c r="AM138" s="227">
        <f t="shared" si="27"/>
        <v>-0.10152000000000001</v>
      </c>
    </row>
    <row r="139" spans="3:39" x14ac:dyDescent="0.25">
      <c r="C139" s="244" t="str">
        <f>'Fare optimisation'!C112</f>
        <v>Light Rail</v>
      </c>
      <c r="D139" s="173">
        <f>'Fare optimisation'!D112</f>
        <v>2</v>
      </c>
      <c r="E139" s="172" t="str">
        <f>'Fare optimisation'!E112</f>
        <v>Off-peak</v>
      </c>
      <c r="F139" s="173">
        <f>'General inputs'!C57</f>
        <v>29</v>
      </c>
      <c r="H139" s="169">
        <f t="shared" ref="H139:AM139" si="28">IF($F139=H$109,(1+λ)*(1-μ)+λ,λ*H219+(1+λ)*(1-μ)*H51)</f>
        <v>0</v>
      </c>
      <c r="I139" s="169">
        <f t="shared" si="28"/>
        <v>0</v>
      </c>
      <c r="J139" s="169">
        <f t="shared" si="28"/>
        <v>0</v>
      </c>
      <c r="K139" s="169">
        <f t="shared" si="28"/>
        <v>0</v>
      </c>
      <c r="L139" s="169">
        <f t="shared" si="28"/>
        <v>0</v>
      </c>
      <c r="M139" s="169">
        <f t="shared" si="28"/>
        <v>0</v>
      </c>
      <c r="N139" s="169">
        <f t="shared" si="28"/>
        <v>0</v>
      </c>
      <c r="O139" s="169">
        <f t="shared" si="28"/>
        <v>0</v>
      </c>
      <c r="P139" s="169">
        <f t="shared" si="28"/>
        <v>0</v>
      </c>
      <c r="Q139" s="169">
        <f t="shared" si="28"/>
        <v>0</v>
      </c>
      <c r="R139" s="169">
        <f t="shared" si="28"/>
        <v>0</v>
      </c>
      <c r="S139" s="169">
        <f t="shared" si="28"/>
        <v>0</v>
      </c>
      <c r="T139" s="169">
        <f t="shared" si="28"/>
        <v>-9.9000452528735915E-3</v>
      </c>
      <c r="U139" s="169">
        <f t="shared" si="28"/>
        <v>0</v>
      </c>
      <c r="V139" s="169">
        <f t="shared" si="28"/>
        <v>0</v>
      </c>
      <c r="W139" s="169">
        <f t="shared" si="28"/>
        <v>0</v>
      </c>
      <c r="X139" s="169">
        <f t="shared" si="28"/>
        <v>0</v>
      </c>
      <c r="Y139" s="169">
        <f t="shared" si="28"/>
        <v>0</v>
      </c>
      <c r="Z139" s="169">
        <f t="shared" si="28"/>
        <v>0</v>
      </c>
      <c r="AA139" s="169">
        <f t="shared" si="28"/>
        <v>0</v>
      </c>
      <c r="AB139" s="169">
        <f t="shared" si="28"/>
        <v>0</v>
      </c>
      <c r="AC139" s="169">
        <f t="shared" si="28"/>
        <v>0</v>
      </c>
      <c r="AD139" s="169">
        <f t="shared" si="28"/>
        <v>0</v>
      </c>
      <c r="AE139" s="169">
        <f t="shared" si="28"/>
        <v>0</v>
      </c>
      <c r="AF139" s="169">
        <f t="shared" si="28"/>
        <v>-0.11502618887312899</v>
      </c>
      <c r="AG139" s="169">
        <f t="shared" si="28"/>
        <v>0</v>
      </c>
      <c r="AH139" s="169">
        <f t="shared" si="28"/>
        <v>0</v>
      </c>
      <c r="AI139" s="169">
        <f t="shared" si="28"/>
        <v>0</v>
      </c>
      <c r="AJ139" s="169">
        <f t="shared" si="28"/>
        <v>1.0952000000000002</v>
      </c>
      <c r="AK139" s="169">
        <f t="shared" si="28"/>
        <v>0</v>
      </c>
      <c r="AL139" s="169">
        <f t="shared" si="28"/>
        <v>0</v>
      </c>
      <c r="AM139" s="227">
        <f t="shared" si="28"/>
        <v>0</v>
      </c>
    </row>
    <row r="140" spans="3:39" x14ac:dyDescent="0.25">
      <c r="C140" s="244" t="str">
        <f>'Fare optimisation'!C113</f>
        <v>Light Rail</v>
      </c>
      <c r="D140" s="173">
        <f>'Fare optimisation'!D113</f>
        <v>5</v>
      </c>
      <c r="E140" s="172" t="str">
        <f>'Fare optimisation'!E113</f>
        <v>Off-peak</v>
      </c>
      <c r="F140" s="173">
        <f>'General inputs'!C58</f>
        <v>30</v>
      </c>
      <c r="H140" s="169">
        <f t="shared" ref="H140:AM140" si="29">IF($F140=H$109,(1+λ)*(1-μ)+λ,λ*H220+(1+λ)*(1-μ)*H52)</f>
        <v>0</v>
      </c>
      <c r="I140" s="169">
        <f t="shared" si="29"/>
        <v>0</v>
      </c>
      <c r="J140" s="169">
        <f t="shared" si="29"/>
        <v>0</v>
      </c>
      <c r="K140" s="169">
        <f t="shared" si="29"/>
        <v>0</v>
      </c>
      <c r="L140" s="169">
        <f t="shared" si="29"/>
        <v>0</v>
      </c>
      <c r="M140" s="169">
        <f t="shared" si="29"/>
        <v>0</v>
      </c>
      <c r="N140" s="169">
        <f t="shared" si="29"/>
        <v>0</v>
      </c>
      <c r="O140" s="169">
        <f t="shared" si="29"/>
        <v>0</v>
      </c>
      <c r="P140" s="169">
        <f t="shared" si="29"/>
        <v>0</v>
      </c>
      <c r="Q140" s="169">
        <f t="shared" si="29"/>
        <v>0</v>
      </c>
      <c r="R140" s="169">
        <f t="shared" si="29"/>
        <v>0</v>
      </c>
      <c r="S140" s="169">
        <f t="shared" si="29"/>
        <v>0</v>
      </c>
      <c r="T140" s="169">
        <f t="shared" si="29"/>
        <v>0</v>
      </c>
      <c r="U140" s="169">
        <f t="shared" si="29"/>
        <v>-7.2409756322650565E-3</v>
      </c>
      <c r="V140" s="169">
        <f t="shared" si="29"/>
        <v>0</v>
      </c>
      <c r="W140" s="169">
        <f t="shared" si="29"/>
        <v>0</v>
      </c>
      <c r="X140" s="169">
        <f t="shared" si="29"/>
        <v>0</v>
      </c>
      <c r="Y140" s="169">
        <f t="shared" si="29"/>
        <v>0</v>
      </c>
      <c r="Z140" s="169">
        <f t="shared" si="29"/>
        <v>0</v>
      </c>
      <c r="AA140" s="169">
        <f t="shared" si="29"/>
        <v>0</v>
      </c>
      <c r="AB140" s="169">
        <f t="shared" si="29"/>
        <v>0</v>
      </c>
      <c r="AC140" s="169">
        <f t="shared" si="29"/>
        <v>0</v>
      </c>
      <c r="AD140" s="169">
        <f t="shared" si="29"/>
        <v>0</v>
      </c>
      <c r="AE140" s="169">
        <f t="shared" si="29"/>
        <v>0</v>
      </c>
      <c r="AF140" s="169">
        <f t="shared" si="29"/>
        <v>0</v>
      </c>
      <c r="AG140" s="169">
        <f t="shared" si="29"/>
        <v>-0.11157571857530113</v>
      </c>
      <c r="AH140" s="169">
        <f t="shared" si="29"/>
        <v>0</v>
      </c>
      <c r="AI140" s="169">
        <f t="shared" si="29"/>
        <v>0</v>
      </c>
      <c r="AJ140" s="169">
        <f t="shared" si="29"/>
        <v>0</v>
      </c>
      <c r="AK140" s="169">
        <f t="shared" si="29"/>
        <v>1.0952000000000002</v>
      </c>
      <c r="AL140" s="169">
        <f t="shared" si="29"/>
        <v>0</v>
      </c>
      <c r="AM140" s="227">
        <f t="shared" si="29"/>
        <v>0</v>
      </c>
    </row>
    <row r="141" spans="3:39" x14ac:dyDescent="0.25">
      <c r="C141" s="244" t="str">
        <f>'Fare optimisation'!C114</f>
        <v>Light Rail</v>
      </c>
      <c r="D141" s="173">
        <f>'Fare optimisation'!D114</f>
        <v>15</v>
      </c>
      <c r="E141" s="172" t="str">
        <f>'Fare optimisation'!E114</f>
        <v>Off-peak</v>
      </c>
      <c r="F141" s="173">
        <f>'General inputs'!C59</f>
        <v>31</v>
      </c>
      <c r="H141" s="169">
        <f t="shared" ref="H141:AM141" si="30">IF($F141=H$109,(1+λ)*(1-μ)+λ,λ*H221+(1+λ)*(1-μ)*H53)</f>
        <v>0</v>
      </c>
      <c r="I141" s="169">
        <f t="shared" si="30"/>
        <v>0</v>
      </c>
      <c r="J141" s="169">
        <f t="shared" si="30"/>
        <v>0</v>
      </c>
      <c r="K141" s="169">
        <f t="shared" si="30"/>
        <v>0</v>
      </c>
      <c r="L141" s="169">
        <f t="shared" si="30"/>
        <v>0</v>
      </c>
      <c r="M141" s="169">
        <f t="shared" si="30"/>
        <v>0</v>
      </c>
      <c r="N141" s="169">
        <f t="shared" si="30"/>
        <v>0</v>
      </c>
      <c r="O141" s="169">
        <f t="shared" si="30"/>
        <v>0</v>
      </c>
      <c r="P141" s="169">
        <f t="shared" si="30"/>
        <v>0</v>
      </c>
      <c r="Q141" s="169">
        <f t="shared" si="30"/>
        <v>0</v>
      </c>
      <c r="R141" s="169">
        <f t="shared" si="30"/>
        <v>0</v>
      </c>
      <c r="S141" s="169">
        <f t="shared" si="30"/>
        <v>0</v>
      </c>
      <c r="T141" s="169">
        <f t="shared" si="30"/>
        <v>0</v>
      </c>
      <c r="U141" s="169">
        <f t="shared" si="30"/>
        <v>0</v>
      </c>
      <c r="V141" s="169">
        <f t="shared" si="30"/>
        <v>-2.2579805564013626E-3</v>
      </c>
      <c r="W141" s="169">
        <f t="shared" si="30"/>
        <v>0</v>
      </c>
      <c r="X141" s="169">
        <f t="shared" si="30"/>
        <v>0</v>
      </c>
      <c r="Y141" s="169">
        <f t="shared" si="30"/>
        <v>0</v>
      </c>
      <c r="Z141" s="169">
        <f t="shared" si="30"/>
        <v>0</v>
      </c>
      <c r="AA141" s="169">
        <f t="shared" si="30"/>
        <v>0</v>
      </c>
      <c r="AB141" s="169">
        <f t="shared" si="30"/>
        <v>0</v>
      </c>
      <c r="AC141" s="169">
        <f t="shared" si="30"/>
        <v>0</v>
      </c>
      <c r="AD141" s="169">
        <f t="shared" si="30"/>
        <v>0</v>
      </c>
      <c r="AE141" s="169">
        <f t="shared" si="30"/>
        <v>0</v>
      </c>
      <c r="AF141" s="169">
        <f t="shared" si="30"/>
        <v>0</v>
      </c>
      <c r="AG141" s="169">
        <f t="shared" si="30"/>
        <v>0</v>
      </c>
      <c r="AH141" s="169">
        <f t="shared" si="30"/>
        <v>-0.11114068345616242</v>
      </c>
      <c r="AI141" s="169">
        <f t="shared" si="30"/>
        <v>0</v>
      </c>
      <c r="AJ141" s="169">
        <f t="shared" si="30"/>
        <v>0</v>
      </c>
      <c r="AK141" s="169">
        <f t="shared" si="30"/>
        <v>0</v>
      </c>
      <c r="AL141" s="169">
        <f t="shared" si="30"/>
        <v>1.0952000000000002</v>
      </c>
      <c r="AM141" s="227">
        <f t="shared" si="30"/>
        <v>0</v>
      </c>
    </row>
    <row r="142" spans="3:39" x14ac:dyDescent="0.25">
      <c r="C142" s="253" t="str">
        <f>'Fare optimisation'!C115</f>
        <v>Light Rail</v>
      </c>
      <c r="D142" s="254">
        <f>'Fare optimisation'!D115</f>
        <v>25</v>
      </c>
      <c r="E142" s="255" t="str">
        <f>'Fare optimisation'!E115</f>
        <v>Off-peak</v>
      </c>
      <c r="F142" s="254">
        <f>'General inputs'!C60</f>
        <v>32</v>
      </c>
      <c r="H142" s="169">
        <f t="shared" ref="H142:AM142" si="31">IF($F142=H$109,(1+λ)*(1-μ)+λ,λ*H222+(1+λ)*(1-μ)*H54)</f>
        <v>0</v>
      </c>
      <c r="I142" s="169">
        <f t="shared" si="31"/>
        <v>0</v>
      </c>
      <c r="J142" s="169">
        <f t="shared" si="31"/>
        <v>0</v>
      </c>
      <c r="K142" s="169">
        <f t="shared" si="31"/>
        <v>0</v>
      </c>
      <c r="L142" s="169">
        <f t="shared" si="31"/>
        <v>0</v>
      </c>
      <c r="M142" s="169">
        <f t="shared" si="31"/>
        <v>0</v>
      </c>
      <c r="N142" s="169">
        <f t="shared" si="31"/>
        <v>0</v>
      </c>
      <c r="O142" s="169">
        <f t="shared" si="31"/>
        <v>0</v>
      </c>
      <c r="P142" s="169">
        <f t="shared" si="31"/>
        <v>0</v>
      </c>
      <c r="Q142" s="169">
        <f t="shared" si="31"/>
        <v>0</v>
      </c>
      <c r="R142" s="169">
        <f t="shared" si="31"/>
        <v>0</v>
      </c>
      <c r="S142" s="169">
        <f t="shared" si="31"/>
        <v>0</v>
      </c>
      <c r="T142" s="169">
        <f t="shared" si="31"/>
        <v>0</v>
      </c>
      <c r="U142" s="169">
        <f t="shared" si="31"/>
        <v>0</v>
      </c>
      <c r="V142" s="169">
        <f t="shared" si="31"/>
        <v>0</v>
      </c>
      <c r="W142" s="169">
        <f t="shared" si="31"/>
        <v>0</v>
      </c>
      <c r="X142" s="169">
        <f t="shared" si="31"/>
        <v>0</v>
      </c>
      <c r="Y142" s="169">
        <f t="shared" si="31"/>
        <v>0</v>
      </c>
      <c r="Z142" s="169">
        <f t="shared" si="31"/>
        <v>0</v>
      </c>
      <c r="AA142" s="169">
        <f t="shared" si="31"/>
        <v>0</v>
      </c>
      <c r="AB142" s="169">
        <f t="shared" si="31"/>
        <v>0</v>
      </c>
      <c r="AC142" s="169">
        <f t="shared" si="31"/>
        <v>0</v>
      </c>
      <c r="AD142" s="169">
        <f t="shared" si="31"/>
        <v>0</v>
      </c>
      <c r="AE142" s="169">
        <f t="shared" si="31"/>
        <v>0</v>
      </c>
      <c r="AF142" s="169">
        <f t="shared" si="31"/>
        <v>0</v>
      </c>
      <c r="AG142" s="169">
        <f t="shared" si="31"/>
        <v>0</v>
      </c>
      <c r="AH142" s="169">
        <f t="shared" si="31"/>
        <v>0</v>
      </c>
      <c r="AI142" s="169">
        <f t="shared" si="31"/>
        <v>-0.10152000000000001</v>
      </c>
      <c r="AJ142" s="169">
        <f t="shared" si="31"/>
        <v>0</v>
      </c>
      <c r="AK142" s="169">
        <f t="shared" si="31"/>
        <v>0</v>
      </c>
      <c r="AL142" s="169">
        <f t="shared" si="31"/>
        <v>0</v>
      </c>
      <c r="AM142" s="227">
        <f t="shared" si="31"/>
        <v>1.0952000000000002</v>
      </c>
    </row>
    <row r="143" spans="3:39" x14ac:dyDescent="0.25">
      <c r="C143" s="226"/>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row>
    <row r="144" spans="3:39" x14ac:dyDescent="0.25">
      <c r="C144" s="164"/>
    </row>
    <row r="145" spans="3:39" ht="17.5" x14ac:dyDescent="0.35">
      <c r="C145" s="43" t="str">
        <f>C11</f>
        <v>Table 4 - Matrix inverse A (mode i by mode j)</v>
      </c>
      <c r="G145" s="236"/>
      <c r="I145" s="236" t="s">
        <v>239</v>
      </c>
    </row>
    <row r="146" spans="3:39" x14ac:dyDescent="0.25">
      <c r="C146" s="237" t="s">
        <v>173</v>
      </c>
      <c r="D146" s="189"/>
      <c r="E146" s="189"/>
      <c r="F146" s="189"/>
      <c r="G146" s="238"/>
      <c r="H146" s="239" t="str">
        <f t="array" ref="H146:AM148">TRANSPOSE(C151:E182)</f>
        <v>Rail</v>
      </c>
      <c r="I146" s="239" t="str">
        <v>Rail</v>
      </c>
      <c r="J146" s="239" t="str">
        <v>Rail</v>
      </c>
      <c r="K146" s="239" t="str">
        <v>Rail</v>
      </c>
      <c r="L146" s="239" t="str">
        <v>Rail</v>
      </c>
      <c r="M146" s="239" t="str">
        <v>Rail</v>
      </c>
      <c r="N146" s="239" t="str">
        <v>Rail</v>
      </c>
      <c r="O146" s="239" t="str">
        <v>Rail</v>
      </c>
      <c r="P146" s="239" t="str">
        <v>Bus</v>
      </c>
      <c r="Q146" s="239" t="str">
        <v>Bus</v>
      </c>
      <c r="R146" s="239" t="str">
        <v>Bus</v>
      </c>
      <c r="S146" s="239" t="str">
        <v>Bus</v>
      </c>
      <c r="T146" s="239" t="str">
        <v>Bus</v>
      </c>
      <c r="U146" s="239" t="str">
        <v>Bus</v>
      </c>
      <c r="V146" s="239" t="str">
        <v>Bus</v>
      </c>
      <c r="W146" s="239" t="str">
        <v>Bus</v>
      </c>
      <c r="X146" s="239" t="str">
        <v>Ferry</v>
      </c>
      <c r="Y146" s="239" t="str">
        <v>Ferry</v>
      </c>
      <c r="Z146" s="239" t="str">
        <v>Ferry</v>
      </c>
      <c r="AA146" s="239" t="str">
        <v>Ferry</v>
      </c>
      <c r="AB146" s="239" t="str">
        <v>Ferry</v>
      </c>
      <c r="AC146" s="239" t="str">
        <v>Ferry</v>
      </c>
      <c r="AD146" s="239" t="str">
        <v>Ferry</v>
      </c>
      <c r="AE146" s="239" t="str">
        <v>Ferry</v>
      </c>
      <c r="AF146" s="239" t="str">
        <v>Light Rail</v>
      </c>
      <c r="AG146" s="239" t="str">
        <v>Light Rail</v>
      </c>
      <c r="AH146" s="239" t="str">
        <v>Light Rail</v>
      </c>
      <c r="AI146" s="239" t="str">
        <v>Light Rail</v>
      </c>
      <c r="AJ146" s="239" t="str">
        <v>Light Rail</v>
      </c>
      <c r="AK146" s="239" t="str">
        <v>Light Rail</v>
      </c>
      <c r="AL146" s="239" t="str">
        <v>Light Rail</v>
      </c>
      <c r="AM146" s="240" t="str">
        <v>Light Rail</v>
      </c>
    </row>
    <row r="147" spans="3:39" x14ac:dyDescent="0.25">
      <c r="C147" s="191"/>
      <c r="D147" s="178" t="s">
        <v>201</v>
      </c>
      <c r="E147" s="175"/>
      <c r="F147" s="175"/>
      <c r="G147" s="176"/>
      <c r="H147" s="170">
        <v>2</v>
      </c>
      <c r="I147" s="170">
        <v>5</v>
      </c>
      <c r="J147" s="170">
        <v>15</v>
      </c>
      <c r="K147" s="170">
        <v>25</v>
      </c>
      <c r="L147" s="170">
        <v>2</v>
      </c>
      <c r="M147" s="170">
        <v>5</v>
      </c>
      <c r="N147" s="170">
        <v>15</v>
      </c>
      <c r="O147" s="170">
        <v>25</v>
      </c>
      <c r="P147" s="170">
        <v>2</v>
      </c>
      <c r="Q147" s="170">
        <v>5</v>
      </c>
      <c r="R147" s="170">
        <v>15</v>
      </c>
      <c r="S147" s="170">
        <v>25</v>
      </c>
      <c r="T147" s="170">
        <v>2</v>
      </c>
      <c r="U147" s="170">
        <v>5</v>
      </c>
      <c r="V147" s="170">
        <v>15</v>
      </c>
      <c r="W147" s="170">
        <v>25</v>
      </c>
      <c r="X147" s="170">
        <v>2</v>
      </c>
      <c r="Y147" s="170">
        <v>5</v>
      </c>
      <c r="Z147" s="170">
        <v>15</v>
      </c>
      <c r="AA147" s="170">
        <v>25</v>
      </c>
      <c r="AB147" s="170">
        <v>2</v>
      </c>
      <c r="AC147" s="170">
        <v>5</v>
      </c>
      <c r="AD147" s="170">
        <v>15</v>
      </c>
      <c r="AE147" s="170">
        <v>25</v>
      </c>
      <c r="AF147" s="170">
        <v>2</v>
      </c>
      <c r="AG147" s="170">
        <v>5</v>
      </c>
      <c r="AH147" s="170">
        <v>15</v>
      </c>
      <c r="AI147" s="170">
        <v>25</v>
      </c>
      <c r="AJ147" s="170">
        <v>2</v>
      </c>
      <c r="AK147" s="170">
        <v>5</v>
      </c>
      <c r="AL147" s="170">
        <v>15</v>
      </c>
      <c r="AM147" s="241">
        <v>25</v>
      </c>
    </row>
    <row r="148" spans="3:39" x14ac:dyDescent="0.25">
      <c r="C148" s="191"/>
      <c r="D148" s="177"/>
      <c r="E148" s="178" t="s">
        <v>175</v>
      </c>
      <c r="F148" s="180"/>
      <c r="G148" s="176"/>
      <c r="H148" s="171" t="str">
        <v>Peak</v>
      </c>
      <c r="I148" s="171" t="str">
        <v>Peak</v>
      </c>
      <c r="J148" s="171" t="str">
        <v>Peak</v>
      </c>
      <c r="K148" s="171" t="str">
        <v>Peak</v>
      </c>
      <c r="L148" s="171" t="str">
        <v>Off-peak</v>
      </c>
      <c r="M148" s="171" t="str">
        <v>Off-peak</v>
      </c>
      <c r="N148" s="171" t="str">
        <v>Off-peak</v>
      </c>
      <c r="O148" s="171" t="str">
        <v>Off-peak</v>
      </c>
      <c r="P148" s="171" t="str">
        <v>Peak</v>
      </c>
      <c r="Q148" s="171" t="str">
        <v>Peak</v>
      </c>
      <c r="R148" s="171" t="str">
        <v>Peak</v>
      </c>
      <c r="S148" s="171" t="str">
        <v>Peak</v>
      </c>
      <c r="T148" s="171" t="str">
        <v>Off-peak</v>
      </c>
      <c r="U148" s="171" t="str">
        <v>Off-peak</v>
      </c>
      <c r="V148" s="171" t="str">
        <v>Off-peak</v>
      </c>
      <c r="W148" s="171" t="str">
        <v>Off-peak</v>
      </c>
      <c r="X148" s="171" t="str">
        <v>Peak</v>
      </c>
      <c r="Y148" s="171" t="str">
        <v>Peak</v>
      </c>
      <c r="Z148" s="171" t="str">
        <v>Peak</v>
      </c>
      <c r="AA148" s="171" t="str">
        <v>Peak</v>
      </c>
      <c r="AB148" s="171" t="str">
        <v>Off-peak</v>
      </c>
      <c r="AC148" s="171" t="str">
        <v>Off-peak</v>
      </c>
      <c r="AD148" s="171" t="str">
        <v>Off-peak</v>
      </c>
      <c r="AE148" s="171" t="str">
        <v>Off-peak</v>
      </c>
      <c r="AF148" s="171" t="str">
        <v>Peak</v>
      </c>
      <c r="AG148" s="171" t="str">
        <v>Peak</v>
      </c>
      <c r="AH148" s="171" t="str">
        <v>Peak</v>
      </c>
      <c r="AI148" s="171" t="str">
        <v>Peak</v>
      </c>
      <c r="AJ148" s="171" t="str">
        <v>Off-peak</v>
      </c>
      <c r="AK148" s="171" t="str">
        <v>Off-peak</v>
      </c>
      <c r="AL148" s="171" t="str">
        <v>Off-peak</v>
      </c>
      <c r="AM148" s="242" t="str">
        <v>Off-peak</v>
      </c>
    </row>
    <row r="149" spans="3:39" x14ac:dyDescent="0.25">
      <c r="C149" s="191"/>
      <c r="D149" s="177"/>
      <c r="E149" s="181"/>
      <c r="F149" s="182"/>
      <c r="G149" s="176" t="s">
        <v>199</v>
      </c>
      <c r="H149" s="171">
        <f t="array" ref="H149:AM149">TRANSPOSE(F151:F182)</f>
        <v>1</v>
      </c>
      <c r="I149" s="171">
        <v>2</v>
      </c>
      <c r="J149" s="171">
        <v>3</v>
      </c>
      <c r="K149" s="171">
        <v>4</v>
      </c>
      <c r="L149" s="171">
        <v>5</v>
      </c>
      <c r="M149" s="171">
        <v>6</v>
      </c>
      <c r="N149" s="171">
        <v>7</v>
      </c>
      <c r="O149" s="171">
        <v>8</v>
      </c>
      <c r="P149" s="171">
        <v>9</v>
      </c>
      <c r="Q149" s="171">
        <v>10</v>
      </c>
      <c r="R149" s="171">
        <v>11</v>
      </c>
      <c r="S149" s="171">
        <v>12</v>
      </c>
      <c r="T149" s="171">
        <v>13</v>
      </c>
      <c r="U149" s="171">
        <v>14</v>
      </c>
      <c r="V149" s="171">
        <v>15</v>
      </c>
      <c r="W149" s="171">
        <v>16</v>
      </c>
      <c r="X149" s="171">
        <v>17</v>
      </c>
      <c r="Y149" s="171">
        <v>18</v>
      </c>
      <c r="Z149" s="171">
        <v>19</v>
      </c>
      <c r="AA149" s="171">
        <v>20</v>
      </c>
      <c r="AB149" s="171">
        <v>21</v>
      </c>
      <c r="AC149" s="171">
        <v>22</v>
      </c>
      <c r="AD149" s="171">
        <v>23</v>
      </c>
      <c r="AE149" s="171">
        <v>24</v>
      </c>
      <c r="AF149" s="171">
        <v>25</v>
      </c>
      <c r="AG149" s="171">
        <v>26</v>
      </c>
      <c r="AH149" s="171">
        <v>27</v>
      </c>
      <c r="AI149" s="171">
        <v>28</v>
      </c>
      <c r="AJ149" s="171">
        <v>29</v>
      </c>
      <c r="AK149" s="171">
        <v>30</v>
      </c>
      <c r="AL149" s="171">
        <v>31</v>
      </c>
      <c r="AM149" s="242">
        <v>32</v>
      </c>
    </row>
    <row r="150" spans="3:39" x14ac:dyDescent="0.25">
      <c r="C150" s="243"/>
      <c r="D150" s="177"/>
      <c r="E150" s="177"/>
      <c r="F150" s="179" t="s">
        <v>200</v>
      </c>
      <c r="G150" s="174"/>
      <c r="AM150" s="195"/>
    </row>
    <row r="151" spans="3:39" x14ac:dyDescent="0.25">
      <c r="C151" s="244" t="str">
        <f>'Fare optimisation'!C84</f>
        <v>Rail</v>
      </c>
      <c r="D151" s="173">
        <f>'Fare optimisation'!D84</f>
        <v>2</v>
      </c>
      <c r="E151" s="172" t="str">
        <f>'Fare optimisation'!E84</f>
        <v>Peak</v>
      </c>
      <c r="F151" s="173">
        <f>'General inputs'!C29</f>
        <v>1</v>
      </c>
      <c r="H151" s="169">
        <f t="array" ref="H151:AM182">MINVERSE(H111:AM142)</f>
        <v>0.92282659802750167</v>
      </c>
      <c r="I151" s="169">
        <v>0</v>
      </c>
      <c r="J151" s="169">
        <v>0</v>
      </c>
      <c r="K151" s="169">
        <v>0</v>
      </c>
      <c r="L151" s="169">
        <v>9.0061151334946812E-2</v>
      </c>
      <c r="M151" s="169">
        <v>0</v>
      </c>
      <c r="N151" s="169">
        <v>0</v>
      </c>
      <c r="O151" s="169">
        <v>0</v>
      </c>
      <c r="P151" s="169">
        <v>2.0593926799709478E-3</v>
      </c>
      <c r="Q151" s="169">
        <v>0</v>
      </c>
      <c r="R151" s="169">
        <v>0</v>
      </c>
      <c r="S151" s="169">
        <v>0</v>
      </c>
      <c r="T151" s="169">
        <v>4.1834347288932368E-4</v>
      </c>
      <c r="U151" s="169">
        <v>0</v>
      </c>
      <c r="V151" s="169">
        <v>0</v>
      </c>
      <c r="W151" s="169">
        <v>0</v>
      </c>
      <c r="X151" s="169">
        <v>1.7709986517278333E-3</v>
      </c>
      <c r="Y151" s="169">
        <v>0</v>
      </c>
      <c r="Z151" s="169">
        <v>0</v>
      </c>
      <c r="AA151" s="169">
        <v>0</v>
      </c>
      <c r="AB151" s="169">
        <v>5.2471807724651417E-4</v>
      </c>
      <c r="AC151" s="169">
        <v>0</v>
      </c>
      <c r="AD151" s="169">
        <v>0</v>
      </c>
      <c r="AE151" s="169">
        <v>0</v>
      </c>
      <c r="AF151" s="169">
        <v>9.6896398476148393E-4</v>
      </c>
      <c r="AG151" s="169">
        <v>0</v>
      </c>
      <c r="AH151" s="169">
        <v>0</v>
      </c>
      <c r="AI151" s="169">
        <v>0</v>
      </c>
      <c r="AJ151" s="169">
        <v>2.8476987298058423E-4</v>
      </c>
      <c r="AK151" s="169">
        <v>0</v>
      </c>
      <c r="AL151" s="169">
        <v>0</v>
      </c>
      <c r="AM151" s="227">
        <v>0</v>
      </c>
    </row>
    <row r="152" spans="3:39" x14ac:dyDescent="0.25">
      <c r="C152" s="244" t="str">
        <f>'Fare optimisation'!C85</f>
        <v>Rail</v>
      </c>
      <c r="D152" s="173">
        <f>'Fare optimisation'!D85</f>
        <v>5</v>
      </c>
      <c r="E152" s="172" t="str">
        <f>'Fare optimisation'!E85</f>
        <v>Peak</v>
      </c>
      <c r="F152" s="173">
        <f>'General inputs'!C30</f>
        <v>2</v>
      </c>
      <c r="H152" s="169">
        <v>0</v>
      </c>
      <c r="I152" s="169">
        <v>0.92498549333916813</v>
      </c>
      <c r="J152" s="169">
        <v>0</v>
      </c>
      <c r="K152" s="169">
        <v>0</v>
      </c>
      <c r="L152" s="169">
        <v>0</v>
      </c>
      <c r="M152" s="169">
        <v>9.1336889363878571E-2</v>
      </c>
      <c r="N152" s="169">
        <v>0</v>
      </c>
      <c r="O152" s="169">
        <v>0</v>
      </c>
      <c r="P152" s="169">
        <v>0</v>
      </c>
      <c r="Q152" s="169">
        <v>1.3053187062754788E-2</v>
      </c>
      <c r="R152" s="169">
        <v>0</v>
      </c>
      <c r="S152" s="169">
        <v>0</v>
      </c>
      <c r="T152" s="169">
        <v>0</v>
      </c>
      <c r="U152" s="169">
        <v>2.548823061647716E-3</v>
      </c>
      <c r="V152" s="169">
        <v>0</v>
      </c>
      <c r="W152" s="169">
        <v>0</v>
      </c>
      <c r="X152" s="169">
        <v>0</v>
      </c>
      <c r="Y152" s="169">
        <v>1.1212321755364787E-2</v>
      </c>
      <c r="Z152" s="169">
        <v>0</v>
      </c>
      <c r="AA152" s="169">
        <v>0</v>
      </c>
      <c r="AB152" s="169">
        <v>0</v>
      </c>
      <c r="AC152" s="169">
        <v>3.2624582036261205E-3</v>
      </c>
      <c r="AD152" s="169">
        <v>0</v>
      </c>
      <c r="AE152" s="169">
        <v>0</v>
      </c>
      <c r="AF152" s="169">
        <v>0</v>
      </c>
      <c r="AG152" s="169">
        <v>6.1320200681726379E-3</v>
      </c>
      <c r="AH152" s="169">
        <v>0</v>
      </c>
      <c r="AI152" s="169">
        <v>0</v>
      </c>
      <c r="AJ152" s="169">
        <v>0</v>
      </c>
      <c r="AK152" s="169">
        <v>1.7662740148003116E-3</v>
      </c>
      <c r="AL152" s="169">
        <v>0</v>
      </c>
      <c r="AM152" s="227">
        <v>0</v>
      </c>
    </row>
    <row r="153" spans="3:39" x14ac:dyDescent="0.25">
      <c r="C153" s="244" t="str">
        <f>'Fare optimisation'!C86</f>
        <v>Rail</v>
      </c>
      <c r="D153" s="173">
        <f>'Fare optimisation'!D86</f>
        <v>15</v>
      </c>
      <c r="E153" s="172" t="str">
        <f>'Fare optimisation'!E86</f>
        <v>Peak</v>
      </c>
      <c r="F153" s="173">
        <f>'General inputs'!C31</f>
        <v>3</v>
      </c>
      <c r="H153" s="169">
        <v>0</v>
      </c>
      <c r="I153" s="169">
        <v>0</v>
      </c>
      <c r="J153" s="169">
        <v>0.93280331764379998</v>
      </c>
      <c r="K153" s="169">
        <v>0</v>
      </c>
      <c r="L153" s="169">
        <v>0</v>
      </c>
      <c r="M153" s="169">
        <v>0</v>
      </c>
      <c r="N153" s="169">
        <v>9.4309588859034718E-2</v>
      </c>
      <c r="O153" s="169">
        <v>0</v>
      </c>
      <c r="P153" s="169">
        <v>0</v>
      </c>
      <c r="Q153" s="169">
        <v>0</v>
      </c>
      <c r="R153" s="169">
        <v>5.1900654082423871E-2</v>
      </c>
      <c r="S153" s="169">
        <v>0</v>
      </c>
      <c r="T153" s="169">
        <v>0</v>
      </c>
      <c r="U153" s="169">
        <v>0</v>
      </c>
      <c r="V153" s="169">
        <v>1.0485915234741922E-2</v>
      </c>
      <c r="W153" s="169">
        <v>0</v>
      </c>
      <c r="X153" s="169">
        <v>0</v>
      </c>
      <c r="Y153" s="169">
        <v>0</v>
      </c>
      <c r="Z153" s="169">
        <v>4.4637281169923174E-2</v>
      </c>
      <c r="AA153" s="169">
        <v>0</v>
      </c>
      <c r="AB153" s="169">
        <v>0</v>
      </c>
      <c r="AC153" s="169">
        <v>0</v>
      </c>
      <c r="AD153" s="169">
        <v>1.3146315621334793E-2</v>
      </c>
      <c r="AE153" s="169">
        <v>0</v>
      </c>
      <c r="AF153" s="169">
        <v>0</v>
      </c>
      <c r="AG153" s="169">
        <v>0</v>
      </c>
      <c r="AH153" s="169">
        <v>2.4395738878056652E-2</v>
      </c>
      <c r="AI153" s="169">
        <v>0</v>
      </c>
      <c r="AJ153" s="169">
        <v>0</v>
      </c>
      <c r="AK153" s="169">
        <v>0</v>
      </c>
      <c r="AL153" s="169">
        <v>7.1909904148042313E-3</v>
      </c>
      <c r="AM153" s="227">
        <v>0</v>
      </c>
    </row>
    <row r="154" spans="3:39" x14ac:dyDescent="0.25">
      <c r="C154" s="244" t="str">
        <f>'Fare optimisation'!C87</f>
        <v>Rail</v>
      </c>
      <c r="D154" s="173">
        <f>'Fare optimisation'!D87</f>
        <v>25</v>
      </c>
      <c r="E154" s="172" t="str">
        <f>'Fare optimisation'!E87</f>
        <v>Peak</v>
      </c>
      <c r="F154" s="173">
        <f>'General inputs'!C32</f>
        <v>4</v>
      </c>
      <c r="H154" s="169">
        <v>0</v>
      </c>
      <c r="I154" s="169">
        <v>0</v>
      </c>
      <c r="J154" s="169">
        <v>0</v>
      </c>
      <c r="K154" s="169">
        <v>0.94916938594666256</v>
      </c>
      <c r="L154" s="169">
        <v>0</v>
      </c>
      <c r="M154" s="169">
        <v>0</v>
      </c>
      <c r="N154" s="169">
        <v>0</v>
      </c>
      <c r="O154" s="169">
        <v>0.10019361106256212</v>
      </c>
      <c r="P154" s="169">
        <v>0</v>
      </c>
      <c r="Q154" s="169">
        <v>0</v>
      </c>
      <c r="R154" s="169">
        <v>0</v>
      </c>
      <c r="S154" s="169">
        <v>0.13254733857871315</v>
      </c>
      <c r="T154" s="169">
        <v>0</v>
      </c>
      <c r="U154" s="169">
        <v>0</v>
      </c>
      <c r="V154" s="169">
        <v>0</v>
      </c>
      <c r="W154" s="169">
        <v>3.0763727973358645E-2</v>
      </c>
      <c r="X154" s="169">
        <v>0</v>
      </c>
      <c r="Y154" s="169">
        <v>0</v>
      </c>
      <c r="Z154" s="169">
        <v>0</v>
      </c>
      <c r="AA154" s="169">
        <v>0.11440112184595801</v>
      </c>
      <c r="AB154" s="169">
        <v>0</v>
      </c>
      <c r="AC154" s="169">
        <v>0</v>
      </c>
      <c r="AD154" s="169">
        <v>0</v>
      </c>
      <c r="AE154" s="169">
        <v>3.6818198433292933E-2</v>
      </c>
      <c r="AF154" s="169">
        <v>0</v>
      </c>
      <c r="AG154" s="169">
        <v>0</v>
      </c>
      <c r="AH154" s="169">
        <v>0</v>
      </c>
      <c r="AI154" s="169">
        <v>6.2275211985462174E-2</v>
      </c>
      <c r="AJ154" s="169">
        <v>0</v>
      </c>
      <c r="AK154" s="169">
        <v>0</v>
      </c>
      <c r="AL154" s="169">
        <v>0</v>
      </c>
      <c r="AM154" s="227">
        <v>1.9800470783466532E-2</v>
      </c>
    </row>
    <row r="155" spans="3:39" x14ac:dyDescent="0.25">
      <c r="C155" s="244" t="str">
        <f>'Fare optimisation'!C88</f>
        <v>Rail</v>
      </c>
      <c r="D155" s="173">
        <f>'Fare optimisation'!D88</f>
        <v>2</v>
      </c>
      <c r="E155" s="172" t="str">
        <f>'Fare optimisation'!E88</f>
        <v>Off-peak</v>
      </c>
      <c r="F155" s="173">
        <f>'General inputs'!C33</f>
        <v>5</v>
      </c>
      <c r="H155" s="169">
        <v>9.5872464207449992E-2</v>
      </c>
      <c r="I155" s="169">
        <v>0</v>
      </c>
      <c r="J155" s="169">
        <v>0</v>
      </c>
      <c r="K155" s="169">
        <v>0</v>
      </c>
      <c r="L155" s="169">
        <v>0.92286289902650509</v>
      </c>
      <c r="M155" s="169">
        <v>0</v>
      </c>
      <c r="N155" s="169">
        <v>0</v>
      </c>
      <c r="O155" s="169">
        <v>0</v>
      </c>
      <c r="P155" s="169">
        <v>4.4228029536371751E-4</v>
      </c>
      <c r="Q155" s="169">
        <v>0</v>
      </c>
      <c r="R155" s="169">
        <v>0</v>
      </c>
      <c r="S155" s="169">
        <v>0</v>
      </c>
      <c r="T155" s="169">
        <v>2.2429808204349555E-3</v>
      </c>
      <c r="U155" s="169">
        <v>0</v>
      </c>
      <c r="V155" s="169">
        <v>0</v>
      </c>
      <c r="W155" s="169">
        <v>0</v>
      </c>
      <c r="X155" s="169">
        <v>5.633808372605719E-4</v>
      </c>
      <c r="Y155" s="169">
        <v>0</v>
      </c>
      <c r="Z155" s="169">
        <v>0</v>
      </c>
      <c r="AA155" s="169">
        <v>0</v>
      </c>
      <c r="AB155" s="169">
        <v>1.9271224073041137E-3</v>
      </c>
      <c r="AC155" s="169">
        <v>0</v>
      </c>
      <c r="AD155" s="169">
        <v>0</v>
      </c>
      <c r="AE155" s="169">
        <v>0</v>
      </c>
      <c r="AF155" s="169">
        <v>3.1227486933467442E-4</v>
      </c>
      <c r="AG155" s="169">
        <v>0</v>
      </c>
      <c r="AH155" s="169">
        <v>0</v>
      </c>
      <c r="AI155" s="169">
        <v>0</v>
      </c>
      <c r="AJ155" s="169">
        <v>1.0530665689954014E-3</v>
      </c>
      <c r="AK155" s="169">
        <v>0</v>
      </c>
      <c r="AL155" s="169">
        <v>0</v>
      </c>
      <c r="AM155" s="227">
        <v>0</v>
      </c>
    </row>
    <row r="156" spans="3:39" x14ac:dyDescent="0.25">
      <c r="C156" s="244" t="str">
        <f>'Fare optimisation'!C89</f>
        <v>Rail</v>
      </c>
      <c r="D156" s="173">
        <f>'Fare optimisation'!D89</f>
        <v>5</v>
      </c>
      <c r="E156" s="172" t="str">
        <f>'Fare optimisation'!E89</f>
        <v>Off-peak</v>
      </c>
      <c r="F156" s="173">
        <f>'General inputs'!C34</f>
        <v>6</v>
      </c>
      <c r="H156" s="169">
        <v>0</v>
      </c>
      <c r="I156" s="169">
        <v>9.5221733387817462E-2</v>
      </c>
      <c r="J156" s="169">
        <v>0</v>
      </c>
      <c r="K156" s="169">
        <v>0</v>
      </c>
      <c r="L156" s="169">
        <v>0</v>
      </c>
      <c r="M156" s="169">
        <v>0.92497168705169841</v>
      </c>
      <c r="N156" s="169">
        <v>0</v>
      </c>
      <c r="O156" s="169">
        <v>0</v>
      </c>
      <c r="P156" s="169">
        <v>0</v>
      </c>
      <c r="Q156" s="169">
        <v>2.6603907757971864E-3</v>
      </c>
      <c r="R156" s="169">
        <v>0</v>
      </c>
      <c r="S156" s="169">
        <v>0</v>
      </c>
      <c r="T156" s="169">
        <v>0</v>
      </c>
      <c r="U156" s="169">
        <v>1.2983163573799833E-2</v>
      </c>
      <c r="V156" s="169">
        <v>0</v>
      </c>
      <c r="W156" s="169">
        <v>0</v>
      </c>
      <c r="X156" s="169">
        <v>0</v>
      </c>
      <c r="Y156" s="169">
        <v>3.3237429128736705E-3</v>
      </c>
      <c r="Z156" s="169">
        <v>0</v>
      </c>
      <c r="AA156" s="169">
        <v>0</v>
      </c>
      <c r="AB156" s="169">
        <v>0</v>
      </c>
      <c r="AC156" s="169">
        <v>1.1168091579102826E-2</v>
      </c>
      <c r="AD156" s="169">
        <v>0</v>
      </c>
      <c r="AE156" s="169">
        <v>0</v>
      </c>
      <c r="AF156" s="169">
        <v>0</v>
      </c>
      <c r="AG156" s="169">
        <v>1.8346410205944714E-3</v>
      </c>
      <c r="AH156" s="169">
        <v>0</v>
      </c>
      <c r="AI156" s="169">
        <v>0</v>
      </c>
      <c r="AJ156" s="169">
        <v>0</v>
      </c>
      <c r="AK156" s="169">
        <v>6.1008719903743458E-3</v>
      </c>
      <c r="AL156" s="169">
        <v>0</v>
      </c>
      <c r="AM156" s="227">
        <v>0</v>
      </c>
    </row>
    <row r="157" spans="3:39" x14ac:dyDescent="0.25">
      <c r="C157" s="244" t="str">
        <f>'Fare optimisation'!C90</f>
        <v>Rail</v>
      </c>
      <c r="D157" s="173">
        <f>'Fare optimisation'!D90</f>
        <v>15</v>
      </c>
      <c r="E157" s="172" t="str">
        <f>'Fare optimisation'!E90</f>
        <v>Off-peak</v>
      </c>
      <c r="F157" s="173">
        <f>'General inputs'!C35</f>
        <v>7</v>
      </c>
      <c r="H157" s="169">
        <v>0</v>
      </c>
      <c r="I157" s="169">
        <v>0</v>
      </c>
      <c r="J157" s="169">
        <v>9.6616865313178354E-2</v>
      </c>
      <c r="K157" s="169">
        <v>0</v>
      </c>
      <c r="L157" s="169">
        <v>0</v>
      </c>
      <c r="M157" s="169">
        <v>0</v>
      </c>
      <c r="N157" s="169">
        <v>0.93307113051976798</v>
      </c>
      <c r="O157" s="169">
        <v>0</v>
      </c>
      <c r="P157" s="169">
        <v>0</v>
      </c>
      <c r="Q157" s="169">
        <v>0</v>
      </c>
      <c r="R157" s="169">
        <v>1.0716220016613447E-2</v>
      </c>
      <c r="S157" s="169">
        <v>0</v>
      </c>
      <c r="T157" s="169">
        <v>0</v>
      </c>
      <c r="U157" s="169">
        <v>0</v>
      </c>
      <c r="V157" s="169">
        <v>5.32553849168768E-2</v>
      </c>
      <c r="W157" s="169">
        <v>0</v>
      </c>
      <c r="X157" s="169">
        <v>0</v>
      </c>
      <c r="Y157" s="169">
        <v>0</v>
      </c>
      <c r="Z157" s="169">
        <v>1.3600837763000227E-2</v>
      </c>
      <c r="AA157" s="169">
        <v>0</v>
      </c>
      <c r="AB157" s="169">
        <v>0</v>
      </c>
      <c r="AC157" s="169">
        <v>0</v>
      </c>
      <c r="AD157" s="169">
        <v>4.5768925479752781E-2</v>
      </c>
      <c r="AE157" s="169">
        <v>0</v>
      </c>
      <c r="AF157" s="169">
        <v>0</v>
      </c>
      <c r="AG157" s="169">
        <v>0</v>
      </c>
      <c r="AH157" s="169">
        <v>7.4251842536202598E-3</v>
      </c>
      <c r="AI157" s="169">
        <v>0</v>
      </c>
      <c r="AJ157" s="169">
        <v>0</v>
      </c>
      <c r="AK157" s="169">
        <v>0</v>
      </c>
      <c r="AL157" s="169">
        <v>2.5017119147614463E-2</v>
      </c>
      <c r="AM157" s="227">
        <v>0</v>
      </c>
    </row>
    <row r="158" spans="3:39" x14ac:dyDescent="0.25">
      <c r="C158" s="244" t="str">
        <f>'Fare optimisation'!C91</f>
        <v>Rail</v>
      </c>
      <c r="D158" s="173">
        <f>'Fare optimisation'!D91</f>
        <v>25</v>
      </c>
      <c r="E158" s="172" t="str">
        <f>'Fare optimisation'!E91</f>
        <v>Off-peak</v>
      </c>
      <c r="F158" s="173">
        <f>'General inputs'!C36</f>
        <v>8</v>
      </c>
      <c r="H158" s="169">
        <v>0</v>
      </c>
      <c r="I158" s="169">
        <v>0</v>
      </c>
      <c r="J158" s="169">
        <v>0</v>
      </c>
      <c r="K158" s="169">
        <v>0.10251242922903932</v>
      </c>
      <c r="L158" s="169">
        <v>0</v>
      </c>
      <c r="M158" s="169">
        <v>0</v>
      </c>
      <c r="N158" s="169">
        <v>0</v>
      </c>
      <c r="O158" s="169">
        <v>0.95633135211178522</v>
      </c>
      <c r="P158" s="169">
        <v>0</v>
      </c>
      <c r="Q158" s="169">
        <v>0</v>
      </c>
      <c r="R158" s="169">
        <v>0</v>
      </c>
      <c r="S158" s="169">
        <v>3.0739375410856674E-2</v>
      </c>
      <c r="T158" s="169">
        <v>0</v>
      </c>
      <c r="U158" s="169">
        <v>0</v>
      </c>
      <c r="V158" s="169">
        <v>0</v>
      </c>
      <c r="W158" s="169">
        <v>0.16876799693994449</v>
      </c>
      <c r="X158" s="169">
        <v>0</v>
      </c>
      <c r="Y158" s="169">
        <v>0</v>
      </c>
      <c r="Z158" s="169">
        <v>0</v>
      </c>
      <c r="AA158" s="169">
        <v>4.0673341080637082E-2</v>
      </c>
      <c r="AB158" s="169">
        <v>0</v>
      </c>
      <c r="AC158" s="169">
        <v>0</v>
      </c>
      <c r="AD158" s="169">
        <v>0</v>
      </c>
      <c r="AE158" s="169">
        <v>0.14476151094539166</v>
      </c>
      <c r="AF158" s="169">
        <v>0</v>
      </c>
      <c r="AG158" s="169">
        <v>0</v>
      </c>
      <c r="AH158" s="169">
        <v>0</v>
      </c>
      <c r="AI158" s="169">
        <v>2.1333508293371713E-2</v>
      </c>
      <c r="AJ158" s="169">
        <v>0</v>
      </c>
      <c r="AK158" s="169">
        <v>0</v>
      </c>
      <c r="AL158" s="169">
        <v>0</v>
      </c>
      <c r="AM158" s="227">
        <v>7.8933449414027815E-2</v>
      </c>
    </row>
    <row r="159" spans="3:39" x14ac:dyDescent="0.25">
      <c r="C159" s="244" t="str">
        <f>'Fare optimisation'!C92</f>
        <v>Bus</v>
      </c>
      <c r="D159" s="173">
        <f>'Fare optimisation'!D92</f>
        <v>2</v>
      </c>
      <c r="E159" s="172" t="str">
        <f>'Fare optimisation'!E92</f>
        <v>Peak</v>
      </c>
      <c r="F159" s="173">
        <f>'General inputs'!C37</f>
        <v>9</v>
      </c>
      <c r="H159" s="169">
        <v>0.18550799198596352</v>
      </c>
      <c r="I159" s="169">
        <v>0</v>
      </c>
      <c r="J159" s="169">
        <v>0</v>
      </c>
      <c r="K159" s="169">
        <v>0</v>
      </c>
      <c r="L159" s="169">
        <v>3.6085273949750848E-2</v>
      </c>
      <c r="M159" s="169">
        <v>0</v>
      </c>
      <c r="N159" s="169">
        <v>0</v>
      </c>
      <c r="O159" s="169">
        <v>0</v>
      </c>
      <c r="P159" s="169">
        <v>0.927141004658527</v>
      </c>
      <c r="Q159" s="169">
        <v>0</v>
      </c>
      <c r="R159" s="169">
        <v>0</v>
      </c>
      <c r="S159" s="169">
        <v>0</v>
      </c>
      <c r="T159" s="169">
        <v>9.1802425408974653E-2</v>
      </c>
      <c r="U159" s="169">
        <v>0</v>
      </c>
      <c r="V159" s="169">
        <v>0</v>
      </c>
      <c r="W159" s="169">
        <v>0</v>
      </c>
      <c r="X159" s="169">
        <v>0.7890991844941897</v>
      </c>
      <c r="Y159" s="169">
        <v>0</v>
      </c>
      <c r="Z159" s="169">
        <v>0</v>
      </c>
      <c r="AA159" s="169">
        <v>0</v>
      </c>
      <c r="AB159" s="169">
        <v>0.15487824480104972</v>
      </c>
      <c r="AC159" s="169">
        <v>0</v>
      </c>
      <c r="AD159" s="169">
        <v>0</v>
      </c>
      <c r="AE159" s="169">
        <v>0</v>
      </c>
      <c r="AF159" s="169">
        <v>0.43155789425447144</v>
      </c>
      <c r="AG159" s="169">
        <v>0</v>
      </c>
      <c r="AH159" s="169">
        <v>0</v>
      </c>
      <c r="AI159" s="169">
        <v>0</v>
      </c>
      <c r="AJ159" s="169">
        <v>8.3731307539639505E-2</v>
      </c>
      <c r="AK159" s="169">
        <v>0</v>
      </c>
      <c r="AL159" s="169">
        <v>0</v>
      </c>
      <c r="AM159" s="227">
        <v>0</v>
      </c>
    </row>
    <row r="160" spans="3:39" x14ac:dyDescent="0.25">
      <c r="C160" s="244" t="str">
        <f>'Fare optimisation'!C93</f>
        <v>Bus</v>
      </c>
      <c r="D160" s="173">
        <f>'Fare optimisation'!D93</f>
        <v>5</v>
      </c>
      <c r="E160" s="172" t="str">
        <f>'Fare optimisation'!E93</f>
        <v>Peak</v>
      </c>
      <c r="F160" s="173">
        <f>'General inputs'!C38</f>
        <v>10</v>
      </c>
      <c r="H160" s="169">
        <v>0</v>
      </c>
      <c r="I160" s="169">
        <v>0.18606833097435715</v>
      </c>
      <c r="J160" s="169">
        <v>0</v>
      </c>
      <c r="K160" s="169">
        <v>0</v>
      </c>
      <c r="L160" s="169">
        <v>0</v>
      </c>
      <c r="M160" s="169">
        <v>3.6429992163293005E-2</v>
      </c>
      <c r="N160" s="169">
        <v>0</v>
      </c>
      <c r="O160" s="169">
        <v>0</v>
      </c>
      <c r="P160" s="169">
        <v>0</v>
      </c>
      <c r="Q160" s="169">
        <v>0.93007875901232739</v>
      </c>
      <c r="R160" s="169">
        <v>0</v>
      </c>
      <c r="S160" s="169">
        <v>0</v>
      </c>
      <c r="T160" s="169">
        <v>0</v>
      </c>
      <c r="U160" s="169">
        <v>9.2617641366448886E-2</v>
      </c>
      <c r="V160" s="169">
        <v>0</v>
      </c>
      <c r="W160" s="169">
        <v>0</v>
      </c>
      <c r="X160" s="169">
        <v>0</v>
      </c>
      <c r="Y160" s="169">
        <v>0.79149614593790996</v>
      </c>
      <c r="Z160" s="169">
        <v>0</v>
      </c>
      <c r="AA160" s="169">
        <v>0</v>
      </c>
      <c r="AB160" s="169">
        <v>0</v>
      </c>
      <c r="AC160" s="169">
        <v>0.15746485764191329</v>
      </c>
      <c r="AD160" s="169">
        <v>0</v>
      </c>
      <c r="AE160" s="169">
        <v>0</v>
      </c>
      <c r="AF160" s="169">
        <v>0</v>
      </c>
      <c r="AG160" s="169">
        <v>0.43274876655643307</v>
      </c>
      <c r="AH160" s="169">
        <v>0</v>
      </c>
      <c r="AI160" s="169">
        <v>0</v>
      </c>
      <c r="AJ160" s="169">
        <v>0</v>
      </c>
      <c r="AK160" s="169">
        <v>8.4861048712701226E-2</v>
      </c>
      <c r="AL160" s="169">
        <v>0</v>
      </c>
      <c r="AM160" s="227">
        <v>0</v>
      </c>
    </row>
    <row r="161" spans="3:39" x14ac:dyDescent="0.25">
      <c r="C161" s="244" t="str">
        <f>'Fare optimisation'!C94</f>
        <v>Bus</v>
      </c>
      <c r="D161" s="173">
        <f>'Fare optimisation'!D94</f>
        <v>15</v>
      </c>
      <c r="E161" s="172" t="str">
        <f>'Fare optimisation'!E94</f>
        <v>Peak</v>
      </c>
      <c r="F161" s="173">
        <f>'General inputs'!C39</f>
        <v>11</v>
      </c>
      <c r="H161" s="169">
        <v>0</v>
      </c>
      <c r="I161" s="169">
        <v>0</v>
      </c>
      <c r="J161" s="169">
        <v>0.18788056672160205</v>
      </c>
      <c r="K161" s="169">
        <v>0</v>
      </c>
      <c r="L161" s="169">
        <v>0</v>
      </c>
      <c r="M161" s="169">
        <v>0</v>
      </c>
      <c r="N161" s="169">
        <v>3.7478165026481582E-2</v>
      </c>
      <c r="O161" s="169">
        <v>0</v>
      </c>
      <c r="P161" s="169">
        <v>0</v>
      </c>
      <c r="Q161" s="169">
        <v>0</v>
      </c>
      <c r="R161" s="169">
        <v>0.93898291501578113</v>
      </c>
      <c r="S161" s="169">
        <v>0</v>
      </c>
      <c r="T161" s="169">
        <v>0</v>
      </c>
      <c r="U161" s="169">
        <v>0</v>
      </c>
      <c r="V161" s="169">
        <v>9.6389717903704528E-2</v>
      </c>
      <c r="W161" s="169">
        <v>0</v>
      </c>
      <c r="X161" s="169">
        <v>0</v>
      </c>
      <c r="Y161" s="169">
        <v>0</v>
      </c>
      <c r="Z161" s="169">
        <v>0.79956615192156244</v>
      </c>
      <c r="AA161" s="169">
        <v>0</v>
      </c>
      <c r="AB161" s="169">
        <v>0</v>
      </c>
      <c r="AC161" s="169">
        <v>0</v>
      </c>
      <c r="AD161" s="169">
        <v>0.15919949288221988</v>
      </c>
      <c r="AE161" s="169">
        <v>0</v>
      </c>
      <c r="AF161" s="169">
        <v>0</v>
      </c>
      <c r="AG161" s="169">
        <v>0</v>
      </c>
      <c r="AH161" s="169">
        <v>0.43700397046562406</v>
      </c>
      <c r="AI161" s="169">
        <v>0</v>
      </c>
      <c r="AJ161" s="169">
        <v>0</v>
      </c>
      <c r="AK161" s="169">
        <v>0</v>
      </c>
      <c r="AL161" s="169">
        <v>8.7115066629472146E-2</v>
      </c>
      <c r="AM161" s="227">
        <v>0</v>
      </c>
    </row>
    <row r="162" spans="3:39" x14ac:dyDescent="0.25">
      <c r="C162" s="244" t="str">
        <f>'Fare optimisation'!C95</f>
        <v>Bus</v>
      </c>
      <c r="D162" s="173">
        <f>'Fare optimisation'!D95</f>
        <v>25</v>
      </c>
      <c r="E162" s="172" t="str">
        <f>'Fare optimisation'!E95</f>
        <v>Peak</v>
      </c>
      <c r="F162" s="173">
        <f>'General inputs'!C40</f>
        <v>12</v>
      </c>
      <c r="H162" s="169">
        <v>0</v>
      </c>
      <c r="I162" s="169">
        <v>0</v>
      </c>
      <c r="J162" s="169">
        <v>0</v>
      </c>
      <c r="K162" s="169">
        <v>0.190132447571947</v>
      </c>
      <c r="L162" s="169">
        <v>0</v>
      </c>
      <c r="M162" s="169">
        <v>0</v>
      </c>
      <c r="N162" s="169">
        <v>0</v>
      </c>
      <c r="O162" s="169">
        <v>3.9021991843174335E-2</v>
      </c>
      <c r="P162" s="169">
        <v>0</v>
      </c>
      <c r="Q162" s="169">
        <v>0</v>
      </c>
      <c r="R162" s="169">
        <v>0</v>
      </c>
      <c r="S162" s="169">
        <v>0.94975205472977364</v>
      </c>
      <c r="T162" s="169">
        <v>0</v>
      </c>
      <c r="U162" s="169">
        <v>0</v>
      </c>
      <c r="V162" s="169">
        <v>0</v>
      </c>
      <c r="W162" s="169">
        <v>0.10283216745055815</v>
      </c>
      <c r="X162" s="169">
        <v>0</v>
      </c>
      <c r="Y162" s="169">
        <v>0</v>
      </c>
      <c r="Z162" s="169">
        <v>0</v>
      </c>
      <c r="AA162" s="169">
        <v>0.80943783288905535</v>
      </c>
      <c r="AB162" s="169">
        <v>0</v>
      </c>
      <c r="AC162" s="169">
        <v>0</v>
      </c>
      <c r="AD162" s="169">
        <v>0</v>
      </c>
      <c r="AE162" s="169">
        <v>0.16470304016218043</v>
      </c>
      <c r="AF162" s="169">
        <v>0</v>
      </c>
      <c r="AG162" s="169">
        <v>0</v>
      </c>
      <c r="AH162" s="169">
        <v>0</v>
      </c>
      <c r="AI162" s="169">
        <v>0.4412117115169007</v>
      </c>
      <c r="AJ162" s="169">
        <v>0</v>
      </c>
      <c r="AK162" s="169">
        <v>0</v>
      </c>
      <c r="AL162" s="169">
        <v>0</v>
      </c>
      <c r="AM162" s="227">
        <v>8.7788377278101445E-2</v>
      </c>
    </row>
    <row r="163" spans="3:39" x14ac:dyDescent="0.25">
      <c r="C163" s="244" t="str">
        <f>'Fare optimisation'!C96</f>
        <v>Bus</v>
      </c>
      <c r="D163" s="173">
        <f>'Fare optimisation'!D96</f>
        <v>2</v>
      </c>
      <c r="E163" s="172" t="str">
        <f>'Fare optimisation'!E96</f>
        <v>Off-peak</v>
      </c>
      <c r="F163" s="173">
        <f>'General inputs'!C41</f>
        <v>13</v>
      </c>
      <c r="H163" s="169">
        <v>3.8157756900408235E-2</v>
      </c>
      <c r="I163" s="169">
        <v>0</v>
      </c>
      <c r="J163" s="169">
        <v>0</v>
      </c>
      <c r="K163" s="169">
        <v>0</v>
      </c>
      <c r="L163" s="169">
        <v>0.18558502904961274</v>
      </c>
      <c r="M163" s="169">
        <v>0</v>
      </c>
      <c r="N163" s="169">
        <v>0</v>
      </c>
      <c r="O163" s="169">
        <v>0</v>
      </c>
      <c r="P163" s="169">
        <v>9.6382918221835312E-2</v>
      </c>
      <c r="Q163" s="169">
        <v>0</v>
      </c>
      <c r="R163" s="169">
        <v>0</v>
      </c>
      <c r="S163" s="169">
        <v>0</v>
      </c>
      <c r="T163" s="169">
        <v>0.92766063102646901</v>
      </c>
      <c r="U163" s="169">
        <v>0</v>
      </c>
      <c r="V163" s="169">
        <v>0</v>
      </c>
      <c r="W163" s="169">
        <v>0</v>
      </c>
      <c r="X163" s="169">
        <v>0.16008104313669178</v>
      </c>
      <c r="Y163" s="169">
        <v>0</v>
      </c>
      <c r="Z163" s="169">
        <v>0</v>
      </c>
      <c r="AA163" s="169">
        <v>0</v>
      </c>
      <c r="AB163" s="169">
        <v>0.78979144804527168</v>
      </c>
      <c r="AC163" s="169">
        <v>0</v>
      </c>
      <c r="AD163" s="169">
        <v>0</v>
      </c>
      <c r="AE163" s="169">
        <v>0</v>
      </c>
      <c r="AF163" s="169">
        <v>8.9285871354426435E-2</v>
      </c>
      <c r="AG163" s="169">
        <v>0</v>
      </c>
      <c r="AH163" s="169">
        <v>0</v>
      </c>
      <c r="AI163" s="169">
        <v>0</v>
      </c>
      <c r="AJ163" s="169">
        <v>0.43166344139645613</v>
      </c>
      <c r="AK163" s="169">
        <v>0</v>
      </c>
      <c r="AL163" s="169">
        <v>0</v>
      </c>
      <c r="AM163" s="227">
        <v>0</v>
      </c>
    </row>
    <row r="164" spans="3:39" x14ac:dyDescent="0.25">
      <c r="C164" s="244" t="str">
        <f>'Fare optimisation'!C97</f>
        <v>Bus</v>
      </c>
      <c r="D164" s="173">
        <f>'Fare optimisation'!D97</f>
        <v>5</v>
      </c>
      <c r="E164" s="172" t="str">
        <f>'Fare optimisation'!E97</f>
        <v>Off-peak</v>
      </c>
      <c r="F164" s="173">
        <f>'General inputs'!C42</f>
        <v>14</v>
      </c>
      <c r="H164" s="169">
        <v>0</v>
      </c>
      <c r="I164" s="169">
        <v>3.799012635264247E-2</v>
      </c>
      <c r="J164" s="169">
        <v>0</v>
      </c>
      <c r="K164" s="169">
        <v>0</v>
      </c>
      <c r="L164" s="169">
        <v>0</v>
      </c>
      <c r="M164" s="169">
        <v>0.18589643252292454</v>
      </c>
      <c r="N164" s="169">
        <v>0</v>
      </c>
      <c r="O164" s="169">
        <v>0</v>
      </c>
      <c r="P164" s="169">
        <v>0</v>
      </c>
      <c r="Q164" s="169">
        <v>9.6700252263937234E-2</v>
      </c>
      <c r="R164" s="169">
        <v>0</v>
      </c>
      <c r="S164" s="169">
        <v>0</v>
      </c>
      <c r="T164" s="169">
        <v>0</v>
      </c>
      <c r="U164" s="169">
        <v>0.92919675705265081</v>
      </c>
      <c r="V164" s="169">
        <v>0</v>
      </c>
      <c r="W164" s="169">
        <v>0</v>
      </c>
      <c r="X164" s="169">
        <v>0</v>
      </c>
      <c r="Y164" s="169">
        <v>0.15891516424972965</v>
      </c>
      <c r="Z164" s="169">
        <v>0</v>
      </c>
      <c r="AA164" s="169">
        <v>0</v>
      </c>
      <c r="AB164" s="169">
        <v>0</v>
      </c>
      <c r="AC164" s="169">
        <v>0.79129233805234023</v>
      </c>
      <c r="AD164" s="169">
        <v>0</v>
      </c>
      <c r="AE164" s="169">
        <v>0</v>
      </c>
      <c r="AF164" s="169">
        <v>0</v>
      </c>
      <c r="AG164" s="169">
        <v>8.8144004135298964E-2</v>
      </c>
      <c r="AH164" s="169">
        <v>0</v>
      </c>
      <c r="AI164" s="169">
        <v>0</v>
      </c>
      <c r="AJ164" s="169">
        <v>0</v>
      </c>
      <c r="AK164" s="169">
        <v>0.43238396927172118</v>
      </c>
      <c r="AL164" s="169">
        <v>0</v>
      </c>
      <c r="AM164" s="227">
        <v>0</v>
      </c>
    </row>
    <row r="165" spans="3:39" x14ac:dyDescent="0.25">
      <c r="C165" s="244" t="str">
        <f>'Fare optimisation'!C98</f>
        <v>Bus</v>
      </c>
      <c r="D165" s="173">
        <f>'Fare optimisation'!D98</f>
        <v>15</v>
      </c>
      <c r="E165" s="172" t="str">
        <f>'Fare optimisation'!E98</f>
        <v>Off-peak</v>
      </c>
      <c r="F165" s="173">
        <f>'General inputs'!C43</f>
        <v>15</v>
      </c>
      <c r="H165" s="169">
        <v>0</v>
      </c>
      <c r="I165" s="169">
        <v>0</v>
      </c>
      <c r="J165" s="169">
        <v>3.8315274511723119E-2</v>
      </c>
      <c r="K165" s="169">
        <v>0</v>
      </c>
      <c r="L165" s="169">
        <v>0</v>
      </c>
      <c r="M165" s="169">
        <v>0</v>
      </c>
      <c r="N165" s="169">
        <v>0.18802440653257593</v>
      </c>
      <c r="O165" s="169">
        <v>0</v>
      </c>
      <c r="P165" s="169">
        <v>0</v>
      </c>
      <c r="Q165" s="169">
        <v>0</v>
      </c>
      <c r="R165" s="169">
        <v>9.8289151688763454E-2</v>
      </c>
      <c r="S165" s="169">
        <v>0</v>
      </c>
      <c r="T165" s="169">
        <v>0</v>
      </c>
      <c r="U165" s="169">
        <v>0</v>
      </c>
      <c r="V165" s="169">
        <v>0.93975236436229836</v>
      </c>
      <c r="W165" s="169">
        <v>0</v>
      </c>
      <c r="X165" s="169">
        <v>0</v>
      </c>
      <c r="Y165" s="169">
        <v>0</v>
      </c>
      <c r="Z165" s="169">
        <v>0.16347477752819184</v>
      </c>
      <c r="AA165" s="169">
        <v>0</v>
      </c>
      <c r="AB165" s="169">
        <v>0</v>
      </c>
      <c r="AC165" s="169">
        <v>0</v>
      </c>
      <c r="AD165" s="169">
        <v>0.8001045228113528</v>
      </c>
      <c r="AE165" s="169">
        <v>0</v>
      </c>
      <c r="AF165" s="169">
        <v>0</v>
      </c>
      <c r="AG165" s="169">
        <v>0</v>
      </c>
      <c r="AH165" s="169">
        <v>8.9198129601753745E-2</v>
      </c>
      <c r="AI165" s="169">
        <v>0</v>
      </c>
      <c r="AJ165" s="169">
        <v>0</v>
      </c>
      <c r="AK165" s="169">
        <v>0</v>
      </c>
      <c r="AL165" s="169">
        <v>0.43732446177931833</v>
      </c>
      <c r="AM165" s="227">
        <v>0</v>
      </c>
    </row>
    <row r="166" spans="3:39" x14ac:dyDescent="0.25">
      <c r="C166" s="244" t="str">
        <f>'Fare optimisation'!C99</f>
        <v>Bus</v>
      </c>
      <c r="D166" s="173">
        <f>'Fare optimisation'!D99</f>
        <v>25</v>
      </c>
      <c r="E166" s="172" t="str">
        <f>'Fare optimisation'!E99</f>
        <v>Off-peak</v>
      </c>
      <c r="F166" s="173">
        <f>'General inputs'!C44</f>
        <v>16</v>
      </c>
      <c r="H166" s="169">
        <v>0</v>
      </c>
      <c r="I166" s="169">
        <v>0</v>
      </c>
      <c r="J166" s="169">
        <v>0</v>
      </c>
      <c r="K166" s="169">
        <v>3.8999830053056538E-2</v>
      </c>
      <c r="L166" s="169">
        <v>0</v>
      </c>
      <c r="M166" s="169">
        <v>0</v>
      </c>
      <c r="N166" s="169">
        <v>0</v>
      </c>
      <c r="O166" s="169">
        <v>0.19154786244477903</v>
      </c>
      <c r="P166" s="169">
        <v>0</v>
      </c>
      <c r="Q166" s="169">
        <v>0</v>
      </c>
      <c r="R166" s="169">
        <v>0</v>
      </c>
      <c r="S166" s="169">
        <v>0.10035484079533122</v>
      </c>
      <c r="T166" s="169">
        <v>0</v>
      </c>
      <c r="U166" s="169">
        <v>0</v>
      </c>
      <c r="V166" s="169">
        <v>0</v>
      </c>
      <c r="W166" s="169">
        <v>0.95731880347655796</v>
      </c>
      <c r="X166" s="169">
        <v>0</v>
      </c>
      <c r="Y166" s="169">
        <v>0</v>
      </c>
      <c r="Z166" s="169">
        <v>0</v>
      </c>
      <c r="AA166" s="169">
        <v>0.16833958550361963</v>
      </c>
      <c r="AB166" s="169">
        <v>0</v>
      </c>
      <c r="AC166" s="169">
        <v>0</v>
      </c>
      <c r="AD166" s="169">
        <v>0</v>
      </c>
      <c r="AE166" s="169">
        <v>0.81506333863018288</v>
      </c>
      <c r="AF166" s="169">
        <v>0</v>
      </c>
      <c r="AG166" s="169">
        <v>0</v>
      </c>
      <c r="AH166" s="169">
        <v>0</v>
      </c>
      <c r="AI166" s="169">
        <v>8.6971561498391289E-2</v>
      </c>
      <c r="AJ166" s="169">
        <v>0</v>
      </c>
      <c r="AK166" s="169">
        <v>0</v>
      </c>
      <c r="AL166" s="169">
        <v>0</v>
      </c>
      <c r="AM166" s="227">
        <v>0.44458633187093005</v>
      </c>
    </row>
    <row r="167" spans="3:39" x14ac:dyDescent="0.25">
      <c r="C167" s="244" t="str">
        <f>'Fare optimisation'!C100</f>
        <v>Ferry</v>
      </c>
      <c r="D167" s="173">
        <f>'Fare optimisation'!D100</f>
        <v>2</v>
      </c>
      <c r="E167" s="172" t="str">
        <f>'Fare optimisation'!E100</f>
        <v>Peak</v>
      </c>
      <c r="F167" s="173">
        <f>'General inputs'!C45</f>
        <v>17</v>
      </c>
      <c r="H167" s="169">
        <v>2.4108465062746911E-4</v>
      </c>
      <c r="I167" s="169">
        <v>0</v>
      </c>
      <c r="J167" s="169">
        <v>0</v>
      </c>
      <c r="K167" s="169">
        <v>0</v>
      </c>
      <c r="L167" s="169">
        <v>6.5067847170990428E-5</v>
      </c>
      <c r="M167" s="169">
        <v>0</v>
      </c>
      <c r="N167" s="169">
        <v>0</v>
      </c>
      <c r="O167" s="169">
        <v>0</v>
      </c>
      <c r="P167" s="169">
        <v>1.1952841983375131E-3</v>
      </c>
      <c r="Q167" s="169">
        <v>0</v>
      </c>
      <c r="R167" s="169">
        <v>0</v>
      </c>
      <c r="S167" s="169">
        <v>0</v>
      </c>
      <c r="T167" s="169">
        <v>2.1199661905517645E-4</v>
      </c>
      <c r="U167" s="169">
        <v>0</v>
      </c>
      <c r="V167" s="169">
        <v>0</v>
      </c>
      <c r="W167" s="169">
        <v>0</v>
      </c>
      <c r="X167" s="169">
        <v>0.92333163858863743</v>
      </c>
      <c r="Y167" s="169">
        <v>0</v>
      </c>
      <c r="Z167" s="169">
        <v>0</v>
      </c>
      <c r="AA167" s="169">
        <v>0</v>
      </c>
      <c r="AB167" s="169">
        <v>9.178615383151105E-2</v>
      </c>
      <c r="AC167" s="169">
        <v>0</v>
      </c>
      <c r="AD167" s="169">
        <v>0</v>
      </c>
      <c r="AE167" s="169">
        <v>0</v>
      </c>
      <c r="AF167" s="169">
        <v>5.6090182778613157E-4</v>
      </c>
      <c r="AG167" s="169">
        <v>0</v>
      </c>
      <c r="AH167" s="169">
        <v>0</v>
      </c>
      <c r="AI167" s="169">
        <v>0</v>
      </c>
      <c r="AJ167" s="169">
        <v>1.5108745531246075E-4</v>
      </c>
      <c r="AK167" s="169">
        <v>0</v>
      </c>
      <c r="AL167" s="169">
        <v>0</v>
      </c>
      <c r="AM167" s="227">
        <v>0</v>
      </c>
    </row>
    <row r="168" spans="3:39" x14ac:dyDescent="0.25">
      <c r="C168" s="244" t="str">
        <f>'Fare optimisation'!C101</f>
        <v>Ferry</v>
      </c>
      <c r="D168" s="173">
        <f>'Fare optimisation'!D101</f>
        <v>5</v>
      </c>
      <c r="E168" s="172" t="str">
        <f>'Fare optimisation'!E101</f>
        <v>Peak</v>
      </c>
      <c r="F168" s="173">
        <f>'General inputs'!C46</f>
        <v>18</v>
      </c>
      <c r="H168" s="169">
        <v>0</v>
      </c>
      <c r="I168" s="169">
        <v>4.6335101860122481E-4</v>
      </c>
      <c r="J168" s="169">
        <v>0</v>
      </c>
      <c r="K168" s="169">
        <v>0</v>
      </c>
      <c r="L168" s="169">
        <v>0</v>
      </c>
      <c r="M168" s="169">
        <v>1.1896318473474252E-4</v>
      </c>
      <c r="N168" s="169">
        <v>0</v>
      </c>
      <c r="O168" s="169">
        <v>0</v>
      </c>
      <c r="P168" s="169">
        <v>0</v>
      </c>
      <c r="Q168" s="169">
        <v>2.3013502405209428E-3</v>
      </c>
      <c r="R168" s="169">
        <v>0</v>
      </c>
      <c r="S168" s="169">
        <v>0</v>
      </c>
      <c r="T168" s="169">
        <v>0</v>
      </c>
      <c r="U168" s="169">
        <v>3.7470878629135914E-4</v>
      </c>
      <c r="V168" s="169">
        <v>0</v>
      </c>
      <c r="W168" s="169">
        <v>0</v>
      </c>
      <c r="X168" s="169">
        <v>0</v>
      </c>
      <c r="Y168" s="169">
        <v>0.92428634540867038</v>
      </c>
      <c r="Z168" s="169">
        <v>0</v>
      </c>
      <c r="AA168" s="169">
        <v>0</v>
      </c>
      <c r="AB168" s="169">
        <v>0</v>
      </c>
      <c r="AC168" s="169">
        <v>9.3965273845918518E-2</v>
      </c>
      <c r="AD168" s="169">
        <v>0</v>
      </c>
      <c r="AE168" s="169">
        <v>0</v>
      </c>
      <c r="AF168" s="169">
        <v>0</v>
      </c>
      <c r="AG168" s="169">
        <v>1.0776060023639418E-3</v>
      </c>
      <c r="AH168" s="169">
        <v>0</v>
      </c>
      <c r="AI168" s="169">
        <v>0</v>
      </c>
      <c r="AJ168" s="169">
        <v>0</v>
      </c>
      <c r="AK168" s="169">
        <v>2.7701356599477725E-4</v>
      </c>
      <c r="AL168" s="169">
        <v>0</v>
      </c>
      <c r="AM168" s="227">
        <v>0</v>
      </c>
    </row>
    <row r="169" spans="3:39" x14ac:dyDescent="0.25">
      <c r="C169" s="244" t="str">
        <f>'Fare optimisation'!C102</f>
        <v>Ferry</v>
      </c>
      <c r="D169" s="173">
        <f>'Fare optimisation'!D102</f>
        <v>15</v>
      </c>
      <c r="E169" s="172" t="str">
        <f>'Fare optimisation'!E102</f>
        <v>Peak</v>
      </c>
      <c r="F169" s="173">
        <f>'General inputs'!C47</f>
        <v>19</v>
      </c>
      <c r="H169" s="169">
        <v>0</v>
      </c>
      <c r="I169" s="169">
        <v>0</v>
      </c>
      <c r="J169" s="169">
        <v>1.2448056276976717E-3</v>
      </c>
      <c r="K169" s="169">
        <v>0</v>
      </c>
      <c r="L169" s="169">
        <v>0</v>
      </c>
      <c r="M169" s="169">
        <v>0</v>
      </c>
      <c r="N169" s="169">
        <v>3.7389091148041441E-4</v>
      </c>
      <c r="O169" s="169">
        <v>0</v>
      </c>
      <c r="P169" s="169">
        <v>0</v>
      </c>
      <c r="Q169" s="169">
        <v>0</v>
      </c>
      <c r="R169" s="169">
        <v>6.1563604311921406E-3</v>
      </c>
      <c r="S169" s="169">
        <v>0</v>
      </c>
      <c r="T169" s="169">
        <v>0</v>
      </c>
      <c r="U169" s="169">
        <v>0</v>
      </c>
      <c r="V169" s="169">
        <v>1.2791879077728799E-3</v>
      </c>
      <c r="W169" s="169">
        <v>0</v>
      </c>
      <c r="X169" s="169">
        <v>0</v>
      </c>
      <c r="Y169" s="169">
        <v>0</v>
      </c>
      <c r="Z169" s="169">
        <v>0.92762776889519549</v>
      </c>
      <c r="AA169" s="169">
        <v>0</v>
      </c>
      <c r="AB169" s="169">
        <v>0</v>
      </c>
      <c r="AC169" s="169">
        <v>0</v>
      </c>
      <c r="AD169" s="169">
        <v>9.2471315206705498E-2</v>
      </c>
      <c r="AE169" s="169">
        <v>0</v>
      </c>
      <c r="AF169" s="169">
        <v>0</v>
      </c>
      <c r="AG169" s="169">
        <v>0</v>
      </c>
      <c r="AH169" s="169">
        <v>2.895430980050062E-3</v>
      </c>
      <c r="AI169" s="169">
        <v>0</v>
      </c>
      <c r="AJ169" s="169">
        <v>0</v>
      </c>
      <c r="AK169" s="169">
        <v>0</v>
      </c>
      <c r="AL169" s="169">
        <v>8.6927265171413875E-4</v>
      </c>
      <c r="AM169" s="227">
        <v>0</v>
      </c>
    </row>
    <row r="170" spans="3:39" x14ac:dyDescent="0.25">
      <c r="C170" s="244" t="str">
        <f>'Fare optimisation'!C103</f>
        <v>Ferry</v>
      </c>
      <c r="D170" s="173">
        <f>'Fare optimisation'!D103</f>
        <v>25</v>
      </c>
      <c r="E170" s="172" t="str">
        <f>'Fare optimisation'!E103</f>
        <v>Peak</v>
      </c>
      <c r="F170" s="173">
        <f>'General inputs'!C48</f>
        <v>20</v>
      </c>
      <c r="H170" s="169">
        <v>0</v>
      </c>
      <c r="I170" s="169">
        <v>0</v>
      </c>
      <c r="J170" s="169">
        <v>0</v>
      </c>
      <c r="K170" s="169">
        <v>1.3654301994298884E-4</v>
      </c>
      <c r="L170" s="169">
        <v>0</v>
      </c>
      <c r="M170" s="169">
        <v>0</v>
      </c>
      <c r="N170" s="169">
        <v>0</v>
      </c>
      <c r="O170" s="169">
        <v>4.9417530378822625E-5</v>
      </c>
      <c r="P170" s="169">
        <v>0</v>
      </c>
      <c r="Q170" s="169">
        <v>0</v>
      </c>
      <c r="R170" s="169">
        <v>0</v>
      </c>
      <c r="S170" s="169">
        <v>6.7105139492406435E-4</v>
      </c>
      <c r="T170" s="169">
        <v>0</v>
      </c>
      <c r="U170" s="169">
        <v>0</v>
      </c>
      <c r="V170" s="169">
        <v>0</v>
      </c>
      <c r="W170" s="169">
        <v>1.8297588914011092E-4</v>
      </c>
      <c r="X170" s="169">
        <v>0</v>
      </c>
      <c r="Y170" s="169">
        <v>0</v>
      </c>
      <c r="Z170" s="169">
        <v>0</v>
      </c>
      <c r="AA170" s="169">
        <v>0.92299294220878625</v>
      </c>
      <c r="AB170" s="169">
        <v>0</v>
      </c>
      <c r="AC170" s="169">
        <v>0</v>
      </c>
      <c r="AD170" s="169">
        <v>0</v>
      </c>
      <c r="AE170" s="169">
        <v>9.013788520898236E-2</v>
      </c>
      <c r="AF170" s="169">
        <v>0</v>
      </c>
      <c r="AG170" s="169">
        <v>0</v>
      </c>
      <c r="AH170" s="169">
        <v>0</v>
      </c>
      <c r="AI170" s="169">
        <v>3.1644340711282253E-4</v>
      </c>
      <c r="AJ170" s="169">
        <v>0</v>
      </c>
      <c r="AK170" s="169">
        <v>0</v>
      </c>
      <c r="AL170" s="169">
        <v>0</v>
      </c>
      <c r="AM170" s="227">
        <v>1.1276738626908983E-4</v>
      </c>
    </row>
    <row r="171" spans="3:39" x14ac:dyDescent="0.25">
      <c r="C171" s="244" t="str">
        <f>'Fare optimisation'!C104</f>
        <v>Ferry</v>
      </c>
      <c r="D171" s="173">
        <f>'Fare optimisation'!D104</f>
        <v>2</v>
      </c>
      <c r="E171" s="172" t="str">
        <f>'Fare optimisation'!E104</f>
        <v>Off-peak</v>
      </c>
      <c r="F171" s="173">
        <f>'General inputs'!C49</f>
        <v>21</v>
      </c>
      <c r="H171" s="169">
        <v>6.3154195079667168E-5</v>
      </c>
      <c r="I171" s="169">
        <v>0</v>
      </c>
      <c r="J171" s="169">
        <v>0</v>
      </c>
      <c r="K171" s="169">
        <v>0</v>
      </c>
      <c r="L171" s="169">
        <v>1.9543795798562913E-4</v>
      </c>
      <c r="M171" s="169">
        <v>0</v>
      </c>
      <c r="N171" s="169">
        <v>0</v>
      </c>
      <c r="O171" s="169">
        <v>0</v>
      </c>
      <c r="P171" s="169">
        <v>2.1866920710495184E-4</v>
      </c>
      <c r="Q171" s="169">
        <v>0</v>
      </c>
      <c r="R171" s="169">
        <v>0</v>
      </c>
      <c r="S171" s="169">
        <v>0</v>
      </c>
      <c r="T171" s="169">
        <v>9.6548678489855695E-4</v>
      </c>
      <c r="U171" s="169">
        <v>0</v>
      </c>
      <c r="V171" s="169">
        <v>0</v>
      </c>
      <c r="W171" s="169">
        <v>0</v>
      </c>
      <c r="X171" s="169">
        <v>9.3306982982876652E-2</v>
      </c>
      <c r="Y171" s="169">
        <v>0</v>
      </c>
      <c r="Z171" s="169">
        <v>0</v>
      </c>
      <c r="AA171" s="169">
        <v>0</v>
      </c>
      <c r="AB171" s="169">
        <v>0.92313825088118651</v>
      </c>
      <c r="AC171" s="169">
        <v>0</v>
      </c>
      <c r="AD171" s="169">
        <v>0</v>
      </c>
      <c r="AE171" s="169">
        <v>0</v>
      </c>
      <c r="AF171" s="169">
        <v>1.4745101091179669E-4</v>
      </c>
      <c r="AG171" s="169">
        <v>0</v>
      </c>
      <c r="AH171" s="169">
        <v>0</v>
      </c>
      <c r="AI171" s="169">
        <v>0</v>
      </c>
      <c r="AJ171" s="169">
        <v>4.5455495971230954E-4</v>
      </c>
      <c r="AK171" s="169">
        <v>0</v>
      </c>
      <c r="AL171" s="169">
        <v>0</v>
      </c>
      <c r="AM171" s="227">
        <v>0</v>
      </c>
    </row>
    <row r="172" spans="3:39" x14ac:dyDescent="0.25">
      <c r="C172" s="244" t="str">
        <f>'Fare optimisation'!C105</f>
        <v>Ferry</v>
      </c>
      <c r="D172" s="173">
        <f>'Fare optimisation'!D105</f>
        <v>5</v>
      </c>
      <c r="E172" s="172" t="str">
        <f>'Fare optimisation'!E105</f>
        <v>Off-peak</v>
      </c>
      <c r="F172" s="173">
        <f>'General inputs'!C50</f>
        <v>22</v>
      </c>
      <c r="H172" s="169">
        <v>0</v>
      </c>
      <c r="I172" s="169">
        <v>1.0456201412870258E-4</v>
      </c>
      <c r="J172" s="169">
        <v>0</v>
      </c>
      <c r="K172" s="169">
        <v>0</v>
      </c>
      <c r="L172" s="169">
        <v>0</v>
      </c>
      <c r="M172" s="169">
        <v>2.9922548747738688E-4</v>
      </c>
      <c r="N172" s="169">
        <v>0</v>
      </c>
      <c r="O172" s="169">
        <v>0</v>
      </c>
      <c r="P172" s="169">
        <v>0</v>
      </c>
      <c r="Q172" s="169">
        <v>3.7708833559103454E-4</v>
      </c>
      <c r="R172" s="169">
        <v>0</v>
      </c>
      <c r="S172" s="169">
        <v>0</v>
      </c>
      <c r="T172" s="169">
        <v>0</v>
      </c>
      <c r="U172" s="169">
        <v>1.473922137294269E-3</v>
      </c>
      <c r="V172" s="169">
        <v>0</v>
      </c>
      <c r="W172" s="169">
        <v>0</v>
      </c>
      <c r="X172" s="169">
        <v>0</v>
      </c>
      <c r="Y172" s="169">
        <v>9.1638195326188998E-2</v>
      </c>
      <c r="Z172" s="169">
        <v>0</v>
      </c>
      <c r="AA172" s="169">
        <v>0</v>
      </c>
      <c r="AB172" s="169">
        <v>0</v>
      </c>
      <c r="AC172" s="169">
        <v>0.92359004587304283</v>
      </c>
      <c r="AD172" s="169">
        <v>0</v>
      </c>
      <c r="AE172" s="169">
        <v>0</v>
      </c>
      <c r="AF172" s="169">
        <v>0</v>
      </c>
      <c r="AG172" s="169">
        <v>2.4285477335748664E-4</v>
      </c>
      <c r="AH172" s="169">
        <v>0</v>
      </c>
      <c r="AI172" s="169">
        <v>0</v>
      </c>
      <c r="AJ172" s="169">
        <v>0</v>
      </c>
      <c r="AK172" s="169">
        <v>6.9601144629340454E-4</v>
      </c>
      <c r="AL172" s="169">
        <v>0</v>
      </c>
      <c r="AM172" s="227">
        <v>0</v>
      </c>
    </row>
    <row r="173" spans="3:39" x14ac:dyDescent="0.25">
      <c r="C173" s="244" t="str">
        <f>'Fare optimisation'!C106</f>
        <v>Ferry</v>
      </c>
      <c r="D173" s="173">
        <f>'Fare optimisation'!D106</f>
        <v>15</v>
      </c>
      <c r="E173" s="172" t="str">
        <f>'Fare optimisation'!E106</f>
        <v>Off-peak</v>
      </c>
      <c r="F173" s="173">
        <f>'General inputs'!C51</f>
        <v>23</v>
      </c>
      <c r="H173" s="169">
        <v>0</v>
      </c>
      <c r="I173" s="169">
        <v>0</v>
      </c>
      <c r="J173" s="169">
        <v>3.9475471672996979E-4</v>
      </c>
      <c r="K173" s="169">
        <v>0</v>
      </c>
      <c r="L173" s="169">
        <v>0</v>
      </c>
      <c r="M173" s="169">
        <v>0</v>
      </c>
      <c r="N173" s="169">
        <v>1.3531986648578844E-3</v>
      </c>
      <c r="O173" s="169">
        <v>0</v>
      </c>
      <c r="P173" s="169">
        <v>0</v>
      </c>
      <c r="Q173" s="169">
        <v>0</v>
      </c>
      <c r="R173" s="169">
        <v>1.3143913804925128E-3</v>
      </c>
      <c r="S173" s="169">
        <v>0</v>
      </c>
      <c r="T173" s="169">
        <v>0</v>
      </c>
      <c r="U173" s="169">
        <v>0</v>
      </c>
      <c r="V173" s="169">
        <v>6.703299695221699E-3</v>
      </c>
      <c r="W173" s="169">
        <v>0</v>
      </c>
      <c r="X173" s="169">
        <v>0</v>
      </c>
      <c r="Y173" s="169">
        <v>0</v>
      </c>
      <c r="Z173" s="169">
        <v>9.5605564619253708E-2</v>
      </c>
      <c r="AA173" s="169">
        <v>0</v>
      </c>
      <c r="AB173" s="169">
        <v>0</v>
      </c>
      <c r="AC173" s="169">
        <v>0</v>
      </c>
      <c r="AD173" s="169">
        <v>0.92808805200504552</v>
      </c>
      <c r="AE173" s="169">
        <v>0</v>
      </c>
      <c r="AF173" s="169">
        <v>0</v>
      </c>
      <c r="AG173" s="169">
        <v>0</v>
      </c>
      <c r="AH173" s="169">
        <v>9.1873798436499824E-4</v>
      </c>
      <c r="AI173" s="169">
        <v>0</v>
      </c>
      <c r="AJ173" s="169">
        <v>0</v>
      </c>
      <c r="AK173" s="169">
        <v>0</v>
      </c>
      <c r="AL173" s="169">
        <v>3.1473575635097358E-3</v>
      </c>
      <c r="AM173" s="227">
        <v>0</v>
      </c>
    </row>
    <row r="174" spans="3:39" x14ac:dyDescent="0.25">
      <c r="C174" s="244" t="str">
        <f>'Fare optimisation'!C107</f>
        <v>Ferry</v>
      </c>
      <c r="D174" s="173">
        <f>'Fare optimisation'!D107</f>
        <v>25</v>
      </c>
      <c r="E174" s="172" t="str">
        <f>'Fare optimisation'!E107</f>
        <v>Off-peak</v>
      </c>
      <c r="F174" s="173">
        <f>'General inputs'!C52</f>
        <v>24</v>
      </c>
      <c r="H174" s="169">
        <v>0</v>
      </c>
      <c r="I174" s="169">
        <v>0</v>
      </c>
      <c r="J174" s="169">
        <v>0</v>
      </c>
      <c r="K174" s="169">
        <v>6.0331136887589943E-5</v>
      </c>
      <c r="L174" s="169">
        <v>0</v>
      </c>
      <c r="M174" s="169">
        <v>0</v>
      </c>
      <c r="N174" s="169">
        <v>0</v>
      </c>
      <c r="O174" s="169">
        <v>2.3182388499029888E-4</v>
      </c>
      <c r="P174" s="169">
        <v>0</v>
      </c>
      <c r="Q174" s="169">
        <v>0</v>
      </c>
      <c r="R174" s="169">
        <v>0</v>
      </c>
      <c r="S174" s="169">
        <v>1.8843493251781193E-4</v>
      </c>
      <c r="T174" s="169">
        <v>0</v>
      </c>
      <c r="U174" s="169">
        <v>0</v>
      </c>
      <c r="V174" s="169">
        <v>0</v>
      </c>
      <c r="W174" s="169">
        <v>1.1519658484032433E-3</v>
      </c>
      <c r="X174" s="169">
        <v>0</v>
      </c>
      <c r="Y174" s="169">
        <v>0</v>
      </c>
      <c r="Z174" s="169">
        <v>0</v>
      </c>
      <c r="AA174" s="169">
        <v>9.6021888230696614E-2</v>
      </c>
      <c r="AB174" s="169">
        <v>0</v>
      </c>
      <c r="AC174" s="169">
        <v>0</v>
      </c>
      <c r="AD174" s="169">
        <v>0</v>
      </c>
      <c r="AE174" s="169">
        <v>0.9233977247904479</v>
      </c>
      <c r="AF174" s="169">
        <v>0</v>
      </c>
      <c r="AG174" s="169">
        <v>0</v>
      </c>
      <c r="AH174" s="169">
        <v>0</v>
      </c>
      <c r="AI174" s="169">
        <v>1.3578160555936941E-4</v>
      </c>
      <c r="AJ174" s="169">
        <v>0</v>
      </c>
      <c r="AK174" s="169">
        <v>0</v>
      </c>
      <c r="AL174" s="169">
        <v>0</v>
      </c>
      <c r="AM174" s="227">
        <v>5.3786722670162582E-4</v>
      </c>
    </row>
    <row r="175" spans="3:39" x14ac:dyDescent="0.25">
      <c r="C175" s="244" t="str">
        <f>'Fare optimisation'!C108</f>
        <v>Light Rail</v>
      </c>
      <c r="D175" s="173">
        <f>'Fare optimisation'!D108</f>
        <v>2</v>
      </c>
      <c r="E175" s="172" t="str">
        <f>'Fare optimisation'!E108</f>
        <v>Peak</v>
      </c>
      <c r="F175" s="173">
        <f>'General inputs'!C53</f>
        <v>25</v>
      </c>
      <c r="H175" s="169">
        <v>1.4319794496388187E-3</v>
      </c>
      <c r="I175" s="169">
        <v>0</v>
      </c>
      <c r="J175" s="169">
        <v>0</v>
      </c>
      <c r="K175" s="169">
        <v>0</v>
      </c>
      <c r="L175" s="169">
        <v>4.3641307955762624E-4</v>
      </c>
      <c r="M175" s="169">
        <v>0</v>
      </c>
      <c r="N175" s="169">
        <v>0</v>
      </c>
      <c r="O175" s="169">
        <v>0</v>
      </c>
      <c r="P175" s="169">
        <v>7.0732412049275013E-3</v>
      </c>
      <c r="Q175" s="169">
        <v>0</v>
      </c>
      <c r="R175" s="169">
        <v>0</v>
      </c>
      <c r="S175" s="169">
        <v>0</v>
      </c>
      <c r="T175" s="169">
        <v>1.5138744053065181E-3</v>
      </c>
      <c r="U175" s="169">
        <v>0</v>
      </c>
      <c r="V175" s="169">
        <v>0</v>
      </c>
      <c r="W175" s="169">
        <v>0</v>
      </c>
      <c r="X175" s="169">
        <v>6.0892634704697241E-3</v>
      </c>
      <c r="Y175" s="169">
        <v>0</v>
      </c>
      <c r="Z175" s="169">
        <v>0</v>
      </c>
      <c r="AA175" s="169">
        <v>0</v>
      </c>
      <c r="AB175" s="169">
        <v>1.8671152255010136E-3</v>
      </c>
      <c r="AC175" s="169">
        <v>0</v>
      </c>
      <c r="AD175" s="169">
        <v>0</v>
      </c>
      <c r="AE175" s="169">
        <v>0</v>
      </c>
      <c r="AF175" s="169">
        <v>0.9258070067352987</v>
      </c>
      <c r="AG175" s="169">
        <v>0</v>
      </c>
      <c r="AH175" s="169">
        <v>0</v>
      </c>
      <c r="AI175" s="169">
        <v>0</v>
      </c>
      <c r="AJ175" s="169">
        <v>9.0514016294223246E-2</v>
      </c>
      <c r="AK175" s="169">
        <v>0</v>
      </c>
      <c r="AL175" s="169">
        <v>0</v>
      </c>
      <c r="AM175" s="227">
        <v>0</v>
      </c>
    </row>
    <row r="176" spans="3:39" x14ac:dyDescent="0.25">
      <c r="C176" s="244" t="str">
        <f>'Fare optimisation'!C109</f>
        <v>Light Rail</v>
      </c>
      <c r="D176" s="173">
        <f>'Fare optimisation'!D109</f>
        <v>5</v>
      </c>
      <c r="E176" s="172" t="str">
        <f>'Fare optimisation'!E109</f>
        <v>Peak</v>
      </c>
      <c r="F176" s="173">
        <f>'General inputs'!C54</f>
        <v>26</v>
      </c>
      <c r="H176" s="169">
        <v>0</v>
      </c>
      <c r="I176" s="169">
        <v>1.3419032979604052E-3</v>
      </c>
      <c r="J176" s="169">
        <v>0</v>
      </c>
      <c r="K176" s="169">
        <v>0</v>
      </c>
      <c r="L176" s="169">
        <v>0</v>
      </c>
      <c r="M176" s="169">
        <v>3.8013396389242221E-4</v>
      </c>
      <c r="N176" s="169">
        <v>0</v>
      </c>
      <c r="O176" s="169">
        <v>0</v>
      </c>
      <c r="P176" s="169">
        <v>0</v>
      </c>
      <c r="Q176" s="169">
        <v>6.6463078239199823E-3</v>
      </c>
      <c r="R176" s="169">
        <v>0</v>
      </c>
      <c r="S176" s="169">
        <v>0</v>
      </c>
      <c r="T176" s="169">
        <v>0</v>
      </c>
      <c r="U176" s="169">
        <v>1.2668115020965046E-3</v>
      </c>
      <c r="V176" s="169">
        <v>0</v>
      </c>
      <c r="W176" s="169">
        <v>0</v>
      </c>
      <c r="X176" s="169">
        <v>0</v>
      </c>
      <c r="Y176" s="169">
        <v>5.7064110128081883E-3</v>
      </c>
      <c r="Z176" s="169">
        <v>0</v>
      </c>
      <c r="AA176" s="169">
        <v>0</v>
      </c>
      <c r="AB176" s="169">
        <v>0</v>
      </c>
      <c r="AC176" s="169">
        <v>1.6350464876954717E-3</v>
      </c>
      <c r="AD176" s="169">
        <v>0</v>
      </c>
      <c r="AE176" s="169">
        <v>0</v>
      </c>
      <c r="AF176" s="169">
        <v>0</v>
      </c>
      <c r="AG176" s="169">
        <v>0.92545215281267379</v>
      </c>
      <c r="AH176" s="169">
        <v>0</v>
      </c>
      <c r="AI176" s="169">
        <v>0</v>
      </c>
      <c r="AJ176" s="169">
        <v>0</v>
      </c>
      <c r="AK176" s="169">
        <v>9.1740886431951635E-2</v>
      </c>
      <c r="AL176" s="169">
        <v>0</v>
      </c>
      <c r="AM176" s="227">
        <v>0</v>
      </c>
    </row>
    <row r="177" spans="3:39" x14ac:dyDescent="0.25">
      <c r="C177" s="244" t="str">
        <f>'Fare optimisation'!C110</f>
        <v>Light Rail</v>
      </c>
      <c r="D177" s="173">
        <f>'Fare optimisation'!D110</f>
        <v>15</v>
      </c>
      <c r="E177" s="172" t="str">
        <f>'Fare optimisation'!E110</f>
        <v>Peak</v>
      </c>
      <c r="F177" s="173">
        <f>'General inputs'!C55</f>
        <v>27</v>
      </c>
      <c r="H177" s="169">
        <v>0</v>
      </c>
      <c r="I177" s="169">
        <v>0</v>
      </c>
      <c r="J177" s="169">
        <v>3.8133213976346752E-4</v>
      </c>
      <c r="K177" s="169">
        <v>0</v>
      </c>
      <c r="L177" s="169">
        <v>0</v>
      </c>
      <c r="M177" s="169">
        <v>0</v>
      </c>
      <c r="N177" s="169">
        <v>1.1317122679225401E-4</v>
      </c>
      <c r="O177" s="169">
        <v>0</v>
      </c>
      <c r="P177" s="169">
        <v>0</v>
      </c>
      <c r="Q177" s="169">
        <v>0</v>
      </c>
      <c r="R177" s="169">
        <v>1.8866372777528006E-3</v>
      </c>
      <c r="S177" s="169">
        <v>0</v>
      </c>
      <c r="T177" s="169">
        <v>0</v>
      </c>
      <c r="U177" s="169">
        <v>0</v>
      </c>
      <c r="V177" s="169">
        <v>3.8489687267732425E-4</v>
      </c>
      <c r="W177" s="169">
        <v>0</v>
      </c>
      <c r="X177" s="169">
        <v>0</v>
      </c>
      <c r="Y177" s="169">
        <v>0</v>
      </c>
      <c r="Z177" s="169">
        <v>1.6229264653776056E-3</v>
      </c>
      <c r="AA177" s="169">
        <v>0</v>
      </c>
      <c r="AB177" s="169">
        <v>0</v>
      </c>
      <c r="AC177" s="169">
        <v>0</v>
      </c>
      <c r="AD177" s="169">
        <v>4.810191728146561E-4</v>
      </c>
      <c r="AE177" s="169">
        <v>0</v>
      </c>
      <c r="AF177" s="169">
        <v>0</v>
      </c>
      <c r="AG177" s="169">
        <v>0</v>
      </c>
      <c r="AH177" s="169">
        <v>0.92320672946423388</v>
      </c>
      <c r="AI177" s="169">
        <v>0</v>
      </c>
      <c r="AJ177" s="169">
        <v>0</v>
      </c>
      <c r="AK177" s="169">
        <v>0</v>
      </c>
      <c r="AL177" s="169">
        <v>9.1360155998462464E-2</v>
      </c>
      <c r="AM177" s="227">
        <v>0</v>
      </c>
    </row>
    <row r="178" spans="3:39" x14ac:dyDescent="0.25">
      <c r="C178" s="244" t="str">
        <f>'Fare optimisation'!C111</f>
        <v>Light Rail</v>
      </c>
      <c r="D178" s="173">
        <f>'Fare optimisation'!D111</f>
        <v>25</v>
      </c>
      <c r="E178" s="172" t="str">
        <f>'Fare optimisation'!E111</f>
        <v>Peak</v>
      </c>
      <c r="F178" s="173">
        <f>'General inputs'!C56</f>
        <v>28</v>
      </c>
      <c r="H178" s="169">
        <v>0</v>
      </c>
      <c r="I178" s="169">
        <v>0</v>
      </c>
      <c r="J178" s="169">
        <v>0</v>
      </c>
      <c r="K178" s="169">
        <v>0</v>
      </c>
      <c r="L178" s="169">
        <v>0</v>
      </c>
      <c r="M178" s="169">
        <v>0</v>
      </c>
      <c r="N178" s="169">
        <v>0</v>
      </c>
      <c r="O178" s="169">
        <v>0</v>
      </c>
      <c r="P178" s="169">
        <v>0</v>
      </c>
      <c r="Q178" s="169">
        <v>0</v>
      </c>
      <c r="R178" s="169">
        <v>0</v>
      </c>
      <c r="S178" s="169">
        <v>0</v>
      </c>
      <c r="T178" s="169">
        <v>0</v>
      </c>
      <c r="U178" s="169">
        <v>0</v>
      </c>
      <c r="V178" s="169">
        <v>0</v>
      </c>
      <c r="W178" s="169">
        <v>0</v>
      </c>
      <c r="X178" s="169">
        <v>0</v>
      </c>
      <c r="Y178" s="169">
        <v>0</v>
      </c>
      <c r="Z178" s="169">
        <v>0</v>
      </c>
      <c r="AA178" s="169">
        <v>0</v>
      </c>
      <c r="AB178" s="169">
        <v>0</v>
      </c>
      <c r="AC178" s="169">
        <v>0</v>
      </c>
      <c r="AD178" s="169">
        <v>0</v>
      </c>
      <c r="AE178" s="169">
        <v>0</v>
      </c>
      <c r="AF178" s="169">
        <v>0</v>
      </c>
      <c r="AG178" s="169">
        <v>0</v>
      </c>
      <c r="AH178" s="169">
        <v>0</v>
      </c>
      <c r="AI178" s="169">
        <v>0.92098877527136003</v>
      </c>
      <c r="AJ178" s="169">
        <v>0</v>
      </c>
      <c r="AK178" s="169">
        <v>0</v>
      </c>
      <c r="AL178" s="169">
        <v>0</v>
      </c>
      <c r="AM178" s="227">
        <v>8.5371421170150161E-2</v>
      </c>
    </row>
    <row r="179" spans="3:39" x14ac:dyDescent="0.25">
      <c r="C179" s="244" t="str">
        <f>'Fare optimisation'!C112</f>
        <v>Light Rail</v>
      </c>
      <c r="D179" s="173">
        <f>'Fare optimisation'!D112</f>
        <v>2</v>
      </c>
      <c r="E179" s="172" t="str">
        <f>'Fare optimisation'!E112</f>
        <v>Off-peak</v>
      </c>
      <c r="F179" s="173">
        <f>'General inputs'!C57</f>
        <v>29</v>
      </c>
      <c r="H179" s="169">
        <v>4.9532383007558887E-4</v>
      </c>
      <c r="I179" s="169">
        <v>0</v>
      </c>
      <c r="J179" s="169">
        <v>0</v>
      </c>
      <c r="K179" s="169">
        <v>0</v>
      </c>
      <c r="L179" s="169">
        <v>1.7234287063211515E-3</v>
      </c>
      <c r="M179" s="169">
        <v>0</v>
      </c>
      <c r="N179" s="169">
        <v>0</v>
      </c>
      <c r="O179" s="169">
        <v>0</v>
      </c>
      <c r="P179" s="169">
        <v>1.6141373546232404E-3</v>
      </c>
      <c r="Q179" s="169">
        <v>0</v>
      </c>
      <c r="R179" s="169">
        <v>0</v>
      </c>
      <c r="S179" s="169">
        <v>0</v>
      </c>
      <c r="T179" s="169">
        <v>8.5445739862548345E-3</v>
      </c>
      <c r="U179" s="169">
        <v>0</v>
      </c>
      <c r="V179" s="169">
        <v>0</v>
      </c>
      <c r="W179" s="169">
        <v>0</v>
      </c>
      <c r="X179" s="169">
        <v>2.0865908886349097E-3</v>
      </c>
      <c r="Y179" s="169">
        <v>0</v>
      </c>
      <c r="Z179" s="169">
        <v>0</v>
      </c>
      <c r="AA179" s="169">
        <v>0</v>
      </c>
      <c r="AB179" s="169">
        <v>7.3354074365934285E-3</v>
      </c>
      <c r="AC179" s="169">
        <v>0</v>
      </c>
      <c r="AD179" s="169">
        <v>0</v>
      </c>
      <c r="AE179" s="169">
        <v>0</v>
      </c>
      <c r="AF179" s="169">
        <v>9.804235371041975E-2</v>
      </c>
      <c r="AG179" s="169">
        <v>0</v>
      </c>
      <c r="AH179" s="169">
        <v>0</v>
      </c>
      <c r="AI179" s="169">
        <v>0</v>
      </c>
      <c r="AJ179" s="169">
        <v>0.92648371981168787</v>
      </c>
      <c r="AK179" s="169">
        <v>0</v>
      </c>
      <c r="AL179" s="169">
        <v>0</v>
      </c>
      <c r="AM179" s="227">
        <v>0</v>
      </c>
    </row>
    <row r="180" spans="3:39" x14ac:dyDescent="0.25">
      <c r="C180" s="244" t="str">
        <f>'Fare optimisation'!C113</f>
        <v>Light Rail</v>
      </c>
      <c r="D180" s="173">
        <f>'Fare optimisation'!D113</f>
        <v>5</v>
      </c>
      <c r="E180" s="172" t="str">
        <f>'Fare optimisation'!E113</f>
        <v>Off-peak</v>
      </c>
      <c r="F180" s="173">
        <f>'General inputs'!C58</f>
        <v>30</v>
      </c>
      <c r="H180" s="169">
        <v>0</v>
      </c>
      <c r="I180" s="169">
        <v>3.8788294732893831E-4</v>
      </c>
      <c r="J180" s="169">
        <v>0</v>
      </c>
      <c r="K180" s="169">
        <v>0</v>
      </c>
      <c r="L180" s="169">
        <v>0</v>
      </c>
      <c r="M180" s="169">
        <v>1.2677915067564611E-3</v>
      </c>
      <c r="N180" s="169">
        <v>0</v>
      </c>
      <c r="O180" s="169">
        <v>0</v>
      </c>
      <c r="P180" s="169">
        <v>0</v>
      </c>
      <c r="Q180" s="169">
        <v>1.3164451621654231E-3</v>
      </c>
      <c r="R180" s="169">
        <v>0</v>
      </c>
      <c r="S180" s="169">
        <v>0</v>
      </c>
      <c r="T180" s="169">
        <v>0</v>
      </c>
      <c r="U180" s="169">
        <v>6.2724949589516368E-3</v>
      </c>
      <c r="V180" s="169">
        <v>0</v>
      </c>
      <c r="W180" s="169">
        <v>0</v>
      </c>
      <c r="X180" s="169">
        <v>0</v>
      </c>
      <c r="Y180" s="169">
        <v>1.6320286168460341E-3</v>
      </c>
      <c r="Z180" s="169">
        <v>0</v>
      </c>
      <c r="AA180" s="169">
        <v>0</v>
      </c>
      <c r="AB180" s="169">
        <v>0</v>
      </c>
      <c r="AC180" s="169">
        <v>5.3982469180092066E-3</v>
      </c>
      <c r="AD180" s="169">
        <v>0</v>
      </c>
      <c r="AE180" s="169">
        <v>0</v>
      </c>
      <c r="AF180" s="169">
        <v>0</v>
      </c>
      <c r="AG180" s="169">
        <v>9.4865081759685388E-2</v>
      </c>
      <c r="AH180" s="169">
        <v>0</v>
      </c>
      <c r="AI180" s="169">
        <v>0</v>
      </c>
      <c r="AJ180" s="169">
        <v>0</v>
      </c>
      <c r="AK180" s="169">
        <v>0.92528025667609437</v>
      </c>
      <c r="AL180" s="169">
        <v>0</v>
      </c>
      <c r="AM180" s="227">
        <v>0</v>
      </c>
    </row>
    <row r="181" spans="3:39" x14ac:dyDescent="0.25">
      <c r="C181" s="244" t="str">
        <f>'Fare optimisation'!C114</f>
        <v>Light Rail</v>
      </c>
      <c r="D181" s="173">
        <f>'Fare optimisation'!D114</f>
        <v>15</v>
      </c>
      <c r="E181" s="172" t="str">
        <f>'Fare optimisation'!E114</f>
        <v>Off-peak</v>
      </c>
      <c r="F181" s="173">
        <f>'General inputs'!C59</f>
        <v>31</v>
      </c>
      <c r="H181" s="169">
        <v>0</v>
      </c>
      <c r="I181" s="169">
        <v>0</v>
      </c>
      <c r="J181" s="169">
        <v>1.1769234797093147E-4</v>
      </c>
      <c r="K181" s="169">
        <v>0</v>
      </c>
      <c r="L181" s="169">
        <v>0</v>
      </c>
      <c r="M181" s="169">
        <v>0</v>
      </c>
      <c r="N181" s="169">
        <v>3.9913566615478932E-4</v>
      </c>
      <c r="O181" s="169">
        <v>0</v>
      </c>
      <c r="P181" s="169">
        <v>0</v>
      </c>
      <c r="Q181" s="169">
        <v>0</v>
      </c>
      <c r="R181" s="169">
        <v>3.9409893161224618E-4</v>
      </c>
      <c r="S181" s="169">
        <v>0</v>
      </c>
      <c r="T181" s="169">
        <v>0</v>
      </c>
      <c r="U181" s="169">
        <v>0</v>
      </c>
      <c r="V181" s="169">
        <v>1.9765524726550183E-3</v>
      </c>
      <c r="W181" s="169">
        <v>0</v>
      </c>
      <c r="X181" s="169">
        <v>0</v>
      </c>
      <c r="Y181" s="169">
        <v>0</v>
      </c>
      <c r="Z181" s="169">
        <v>5.0173121409957688E-4</v>
      </c>
      <c r="AA181" s="169">
        <v>0</v>
      </c>
      <c r="AB181" s="169">
        <v>0</v>
      </c>
      <c r="AC181" s="169">
        <v>0</v>
      </c>
      <c r="AD181" s="169">
        <v>1.6983941336915298E-3</v>
      </c>
      <c r="AE181" s="169">
        <v>0</v>
      </c>
      <c r="AF181" s="169">
        <v>0</v>
      </c>
      <c r="AG181" s="169">
        <v>0</v>
      </c>
      <c r="AH181" s="169">
        <v>9.3870740071486047E-2</v>
      </c>
      <c r="AI181" s="169">
        <v>0</v>
      </c>
      <c r="AJ181" s="169">
        <v>0</v>
      </c>
      <c r="AK181" s="169">
        <v>0</v>
      </c>
      <c r="AL181" s="169">
        <v>0.92324808282493331</v>
      </c>
      <c r="AM181" s="227">
        <v>0</v>
      </c>
    </row>
    <row r="182" spans="3:39" x14ac:dyDescent="0.25">
      <c r="C182" s="253" t="str">
        <f>'Fare optimisation'!C115</f>
        <v>Light Rail</v>
      </c>
      <c r="D182" s="254">
        <f>'Fare optimisation'!D115</f>
        <v>25</v>
      </c>
      <c r="E182" s="255" t="str">
        <f>'Fare optimisation'!E115</f>
        <v>Off-peak</v>
      </c>
      <c r="F182" s="254">
        <f>'General inputs'!C60</f>
        <v>32</v>
      </c>
      <c r="H182" s="169">
        <v>0</v>
      </c>
      <c r="I182" s="169">
        <v>0</v>
      </c>
      <c r="J182" s="169">
        <v>0</v>
      </c>
      <c r="K182" s="169">
        <v>0</v>
      </c>
      <c r="L182" s="169">
        <v>0</v>
      </c>
      <c r="M182" s="169">
        <v>0</v>
      </c>
      <c r="N182" s="169">
        <v>0</v>
      </c>
      <c r="O182" s="169">
        <v>0</v>
      </c>
      <c r="P182" s="169">
        <v>0</v>
      </c>
      <c r="Q182" s="169">
        <v>0</v>
      </c>
      <c r="R182" s="169">
        <v>0</v>
      </c>
      <c r="S182" s="169">
        <v>0</v>
      </c>
      <c r="T182" s="169">
        <v>0</v>
      </c>
      <c r="U182" s="169">
        <v>0</v>
      </c>
      <c r="V182" s="169">
        <v>0</v>
      </c>
      <c r="W182" s="169">
        <v>0</v>
      </c>
      <c r="X182" s="169">
        <v>0</v>
      </c>
      <c r="Y182" s="169">
        <v>0</v>
      </c>
      <c r="Z182" s="169">
        <v>0</v>
      </c>
      <c r="AA182" s="169">
        <v>0</v>
      </c>
      <c r="AB182" s="169">
        <v>0</v>
      </c>
      <c r="AC182" s="169">
        <v>0</v>
      </c>
      <c r="AD182" s="169">
        <v>0</v>
      </c>
      <c r="AE182" s="169">
        <v>0</v>
      </c>
      <c r="AF182" s="169">
        <v>0</v>
      </c>
      <c r="AG182" s="169">
        <v>0</v>
      </c>
      <c r="AH182" s="169">
        <v>0</v>
      </c>
      <c r="AI182" s="169">
        <v>8.5371421170150161E-2</v>
      </c>
      <c r="AJ182" s="169">
        <v>0</v>
      </c>
      <c r="AK182" s="169">
        <v>0</v>
      </c>
      <c r="AL182" s="169">
        <v>0</v>
      </c>
      <c r="AM182" s="227">
        <v>0.92098877527135992</v>
      </c>
    </row>
    <row r="183" spans="3:39" x14ac:dyDescent="0.25">
      <c r="C183" s="226"/>
      <c r="D183" s="189"/>
      <c r="E183" s="189"/>
      <c r="F183" s="189"/>
      <c r="G183" s="189"/>
      <c r="H183" s="189"/>
      <c r="I183" s="189"/>
      <c r="J183" s="189"/>
      <c r="K183" s="189"/>
      <c r="L183" s="189"/>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89"/>
      <c r="AL183" s="189"/>
      <c r="AM183" s="189"/>
    </row>
    <row r="184" spans="3:39" x14ac:dyDescent="0.25">
      <c r="C184" s="164"/>
      <c r="H184" s="252"/>
    </row>
    <row r="185" spans="3:39" ht="18.5" x14ac:dyDescent="0.45">
      <c r="C185" s="43" t="str">
        <f>C12</f>
        <v>Table 5 - Matrix V (mode i by mode j)</v>
      </c>
      <c r="G185" s="236"/>
      <c r="H185" s="236" t="s">
        <v>240</v>
      </c>
      <c r="I185" s="236"/>
    </row>
    <row r="186" spans="3:39" x14ac:dyDescent="0.25">
      <c r="C186" s="237" t="s">
        <v>173</v>
      </c>
      <c r="D186" s="189"/>
      <c r="E186" s="189"/>
      <c r="F186" s="189"/>
      <c r="G186" s="238"/>
      <c r="H186" s="239" t="str">
        <f t="array" ref="H186:AM188">TRANSPOSE(C191:E222)</f>
        <v>Rail</v>
      </c>
      <c r="I186" s="239" t="str">
        <v>Rail</v>
      </c>
      <c r="J186" s="239" t="str">
        <v>Rail</v>
      </c>
      <c r="K186" s="239" t="str">
        <v>Rail</v>
      </c>
      <c r="L186" s="239" t="str">
        <v>Rail</v>
      </c>
      <c r="M186" s="239" t="str">
        <v>Rail</v>
      </c>
      <c r="N186" s="239" t="str">
        <v>Rail</v>
      </c>
      <c r="O186" s="239" t="str">
        <v>Rail</v>
      </c>
      <c r="P186" s="239" t="str">
        <v>Bus</v>
      </c>
      <c r="Q186" s="239" t="str">
        <v>Bus</v>
      </c>
      <c r="R186" s="239" t="str">
        <v>Bus</v>
      </c>
      <c r="S186" s="239" t="str">
        <v>Bus</v>
      </c>
      <c r="T186" s="239" t="str">
        <v>Bus</v>
      </c>
      <c r="U186" s="239" t="str">
        <v>Bus</v>
      </c>
      <c r="V186" s="239" t="str">
        <v>Bus</v>
      </c>
      <c r="W186" s="239" t="str">
        <v>Bus</v>
      </c>
      <c r="X186" s="239" t="str">
        <v>Ferry</v>
      </c>
      <c r="Y186" s="239" t="str">
        <v>Ferry</v>
      </c>
      <c r="Z186" s="239" t="str">
        <v>Ferry</v>
      </c>
      <c r="AA186" s="239" t="str">
        <v>Ferry</v>
      </c>
      <c r="AB186" s="239" t="str">
        <v>Ferry</v>
      </c>
      <c r="AC186" s="239" t="str">
        <v>Ferry</v>
      </c>
      <c r="AD186" s="239" t="str">
        <v>Ferry</v>
      </c>
      <c r="AE186" s="239" t="str">
        <v>Ferry</v>
      </c>
      <c r="AF186" s="239" t="str">
        <v>Light Rail</v>
      </c>
      <c r="AG186" s="239" t="str">
        <v>Light Rail</v>
      </c>
      <c r="AH186" s="239" t="str">
        <v>Light Rail</v>
      </c>
      <c r="AI186" s="239" t="str">
        <v>Light Rail</v>
      </c>
      <c r="AJ186" s="239" t="str">
        <v>Light Rail</v>
      </c>
      <c r="AK186" s="239" t="str">
        <v>Light Rail</v>
      </c>
      <c r="AL186" s="239" t="str">
        <v>Light Rail</v>
      </c>
      <c r="AM186" s="240" t="str">
        <v>Light Rail</v>
      </c>
    </row>
    <row r="187" spans="3:39" x14ac:dyDescent="0.25">
      <c r="C187" s="191"/>
      <c r="D187" s="178" t="s">
        <v>201</v>
      </c>
      <c r="E187" s="175"/>
      <c r="F187" s="175"/>
      <c r="G187" s="176"/>
      <c r="H187" s="170">
        <v>2</v>
      </c>
      <c r="I187" s="170">
        <v>5</v>
      </c>
      <c r="J187" s="170">
        <v>15</v>
      </c>
      <c r="K187" s="170">
        <v>25</v>
      </c>
      <c r="L187" s="170">
        <v>2</v>
      </c>
      <c r="M187" s="170">
        <v>5</v>
      </c>
      <c r="N187" s="170">
        <v>15</v>
      </c>
      <c r="O187" s="170">
        <v>25</v>
      </c>
      <c r="P187" s="170">
        <v>2</v>
      </c>
      <c r="Q187" s="170">
        <v>5</v>
      </c>
      <c r="R187" s="170">
        <v>15</v>
      </c>
      <c r="S187" s="170">
        <v>25</v>
      </c>
      <c r="T187" s="170">
        <v>2</v>
      </c>
      <c r="U187" s="170">
        <v>5</v>
      </c>
      <c r="V187" s="170">
        <v>15</v>
      </c>
      <c r="W187" s="170">
        <v>25</v>
      </c>
      <c r="X187" s="170">
        <v>2</v>
      </c>
      <c r="Y187" s="170">
        <v>5</v>
      </c>
      <c r="Z187" s="170">
        <v>15</v>
      </c>
      <c r="AA187" s="170">
        <v>25</v>
      </c>
      <c r="AB187" s="170">
        <v>2</v>
      </c>
      <c r="AC187" s="170">
        <v>5</v>
      </c>
      <c r="AD187" s="170">
        <v>15</v>
      </c>
      <c r="AE187" s="170">
        <v>25</v>
      </c>
      <c r="AF187" s="170">
        <v>2</v>
      </c>
      <c r="AG187" s="170">
        <v>5</v>
      </c>
      <c r="AH187" s="170">
        <v>15</v>
      </c>
      <c r="AI187" s="170">
        <v>25</v>
      </c>
      <c r="AJ187" s="170">
        <v>2</v>
      </c>
      <c r="AK187" s="170">
        <v>5</v>
      </c>
      <c r="AL187" s="170">
        <v>15</v>
      </c>
      <c r="AM187" s="241">
        <v>25</v>
      </c>
    </row>
    <row r="188" spans="3:39" x14ac:dyDescent="0.25">
      <c r="C188" s="191"/>
      <c r="D188" s="177"/>
      <c r="E188" s="178" t="s">
        <v>175</v>
      </c>
      <c r="F188" s="180"/>
      <c r="G188" s="176"/>
      <c r="H188" s="171" t="str">
        <v>Peak</v>
      </c>
      <c r="I188" s="171" t="str">
        <v>Peak</v>
      </c>
      <c r="J188" s="171" t="str">
        <v>Peak</v>
      </c>
      <c r="K188" s="171" t="str">
        <v>Peak</v>
      </c>
      <c r="L188" s="171" t="str">
        <v>Off-peak</v>
      </c>
      <c r="M188" s="171" t="str">
        <v>Off-peak</v>
      </c>
      <c r="N188" s="171" t="str">
        <v>Off-peak</v>
      </c>
      <c r="O188" s="171" t="str">
        <v>Off-peak</v>
      </c>
      <c r="P188" s="171" t="str">
        <v>Peak</v>
      </c>
      <c r="Q188" s="171" t="str">
        <v>Peak</v>
      </c>
      <c r="R188" s="171" t="str">
        <v>Peak</v>
      </c>
      <c r="S188" s="171" t="str">
        <v>Peak</v>
      </c>
      <c r="T188" s="171" t="str">
        <v>Off-peak</v>
      </c>
      <c r="U188" s="171" t="str">
        <v>Off-peak</v>
      </c>
      <c r="V188" s="171" t="str">
        <v>Off-peak</v>
      </c>
      <c r="W188" s="171" t="str">
        <v>Off-peak</v>
      </c>
      <c r="X188" s="171" t="str">
        <v>Peak</v>
      </c>
      <c r="Y188" s="171" t="str">
        <v>Peak</v>
      </c>
      <c r="Z188" s="171" t="str">
        <v>Peak</v>
      </c>
      <c r="AA188" s="171" t="str">
        <v>Peak</v>
      </c>
      <c r="AB188" s="171" t="str">
        <v>Off-peak</v>
      </c>
      <c r="AC188" s="171" t="str">
        <v>Off-peak</v>
      </c>
      <c r="AD188" s="171" t="str">
        <v>Off-peak</v>
      </c>
      <c r="AE188" s="171" t="str">
        <v>Off-peak</v>
      </c>
      <c r="AF188" s="171" t="str">
        <v>Peak</v>
      </c>
      <c r="AG188" s="171" t="str">
        <v>Peak</v>
      </c>
      <c r="AH188" s="171" t="str">
        <v>Peak</v>
      </c>
      <c r="AI188" s="171" t="str">
        <v>Peak</v>
      </c>
      <c r="AJ188" s="171" t="str">
        <v>Off-peak</v>
      </c>
      <c r="AK188" s="171" t="str">
        <v>Off-peak</v>
      </c>
      <c r="AL188" s="171" t="str">
        <v>Off-peak</v>
      </c>
      <c r="AM188" s="242" t="str">
        <v>Off-peak</v>
      </c>
    </row>
    <row r="189" spans="3:39" x14ac:dyDescent="0.25">
      <c r="C189" s="191"/>
      <c r="D189" s="177"/>
      <c r="E189" s="181"/>
      <c r="F189" s="182"/>
      <c r="G189" s="176" t="s">
        <v>200</v>
      </c>
      <c r="H189" s="171">
        <f t="array" ref="H189:AM189">TRANSPOSE(F191:F222)</f>
        <v>1</v>
      </c>
      <c r="I189" s="171">
        <v>2</v>
      </c>
      <c r="J189" s="171">
        <v>3</v>
      </c>
      <c r="K189" s="171">
        <v>4</v>
      </c>
      <c r="L189" s="171">
        <v>5</v>
      </c>
      <c r="M189" s="171">
        <v>6</v>
      </c>
      <c r="N189" s="171">
        <v>7</v>
      </c>
      <c r="O189" s="171">
        <v>8</v>
      </c>
      <c r="P189" s="171">
        <v>9</v>
      </c>
      <c r="Q189" s="171">
        <v>10</v>
      </c>
      <c r="R189" s="171">
        <v>11</v>
      </c>
      <c r="S189" s="171">
        <v>12</v>
      </c>
      <c r="T189" s="171">
        <v>13</v>
      </c>
      <c r="U189" s="171">
        <v>14</v>
      </c>
      <c r="V189" s="171">
        <v>15</v>
      </c>
      <c r="W189" s="171">
        <v>16</v>
      </c>
      <c r="X189" s="171">
        <v>17</v>
      </c>
      <c r="Y189" s="171">
        <v>18</v>
      </c>
      <c r="Z189" s="171">
        <v>19</v>
      </c>
      <c r="AA189" s="171">
        <v>20</v>
      </c>
      <c r="AB189" s="171">
        <v>21</v>
      </c>
      <c r="AC189" s="171">
        <v>22</v>
      </c>
      <c r="AD189" s="171">
        <v>23</v>
      </c>
      <c r="AE189" s="171">
        <v>24</v>
      </c>
      <c r="AF189" s="171">
        <v>25</v>
      </c>
      <c r="AG189" s="171">
        <v>26</v>
      </c>
      <c r="AH189" s="171">
        <v>27</v>
      </c>
      <c r="AI189" s="171">
        <v>28</v>
      </c>
      <c r="AJ189" s="171">
        <v>29</v>
      </c>
      <c r="AK189" s="171">
        <v>30</v>
      </c>
      <c r="AL189" s="171">
        <v>31</v>
      </c>
      <c r="AM189" s="242">
        <v>32</v>
      </c>
    </row>
    <row r="190" spans="3:39" x14ac:dyDescent="0.25">
      <c r="C190" s="243"/>
      <c r="D190" s="177"/>
      <c r="E190" s="177"/>
      <c r="F190" s="179" t="s">
        <v>199</v>
      </c>
      <c r="G190" s="174" t="s">
        <v>202</v>
      </c>
      <c r="H190" s="183">
        <f t="array" ref="H190:AM190">TRANSPOSE(G191:G222)</f>
        <v>-0.71162054619945081</v>
      </c>
      <c r="I190" s="183">
        <v>-1.9206332435154452</v>
      </c>
      <c r="J190" s="183">
        <v>-3.9272600636751327</v>
      </c>
      <c r="K190" s="183">
        <v>-1.9355572623990993</v>
      </c>
      <c r="L190" s="183">
        <v>-1.0810373315843926</v>
      </c>
      <c r="M190" s="183">
        <v>-2.5468646992784398</v>
      </c>
      <c r="N190" s="183">
        <v>-4.6238227173221604</v>
      </c>
      <c r="O190" s="183">
        <v>-2.1718906908801676</v>
      </c>
      <c r="P190" s="183">
        <v>-5.0552548836974118</v>
      </c>
      <c r="Q190" s="183">
        <v>-2.1573738409612524</v>
      </c>
      <c r="R190" s="183">
        <v>-1.1205518467034086</v>
      </c>
      <c r="S190" s="183">
        <v>-0.21930621977027981</v>
      </c>
      <c r="T190" s="183">
        <v>-7.0435429479173992</v>
      </c>
      <c r="U190" s="183">
        <v>-2.873744559101429</v>
      </c>
      <c r="V190" s="183">
        <v>-1.2861682912942141</v>
      </c>
      <c r="W190" s="183">
        <v>-0.19389343743645346</v>
      </c>
      <c r="X190" s="183">
        <v>-9.7336142228743691E-2</v>
      </c>
      <c r="Y190" s="183">
        <v>-7.9850645407858037E-2</v>
      </c>
      <c r="Z190" s="183">
        <v>-0.10940201649229644</v>
      </c>
      <c r="AA190" s="183">
        <v>-2.2924621360246407E-3</v>
      </c>
      <c r="AB190" s="183">
        <v>-0.10903888703752121</v>
      </c>
      <c r="AC190" s="183">
        <v>-6.7595734952778375E-2</v>
      </c>
      <c r="AD190" s="183">
        <v>-0.13683948129204315</v>
      </c>
      <c r="AE190" s="183">
        <v>-3.4904850770501768E-3</v>
      </c>
      <c r="AF190" s="183">
        <v>-1.0495465353560443</v>
      </c>
      <c r="AG190" s="183">
        <v>-0.42066686868316788</v>
      </c>
      <c r="AH190" s="183">
        <v>-6.1364647240332401E-2</v>
      </c>
      <c r="AI190" s="183">
        <v>0</v>
      </c>
      <c r="AJ190" s="183">
        <v>-1.7719217172071091</v>
      </c>
      <c r="AK190" s="183">
        <v>-0.52876345567888572</v>
      </c>
      <c r="AL190" s="183">
        <v>-7.3796230812288463E-2</v>
      </c>
      <c r="AM190" s="218">
        <v>0</v>
      </c>
    </row>
    <row r="191" spans="3:39" x14ac:dyDescent="0.25">
      <c r="C191" s="244" t="str">
        <f>'Fare optimisation'!C84</f>
        <v>Rail</v>
      </c>
      <c r="D191" s="173">
        <f>'Fare optimisation'!D84</f>
        <v>2</v>
      </c>
      <c r="E191" s="172" t="str">
        <f>'Fare optimisation'!E84</f>
        <v>Peak</v>
      </c>
      <c r="F191" s="173">
        <f>'General inputs'!C29</f>
        <v>1</v>
      </c>
      <c r="G191" s="250">
        <f>'General inputs'!H29*'Fare optimisation'!I216/'General inputs'!G29/1000000</f>
        <v>-0.71162054619945081</v>
      </c>
      <c r="H191" s="169">
        <f>IF($F191=H$189,H71,IF(ABS(H$190)&lt;0.001,0,H71*$G191/H$190))</f>
        <v>1</v>
      </c>
      <c r="I191" s="169">
        <f t="shared" ref="I191:AM191" si="32">IF($F191=I$189,I71,IF(ABS(I$190)&lt;0.001,0,I71*$G191/I$190))</f>
        <v>0</v>
      </c>
      <c r="J191" s="169">
        <f t="shared" si="32"/>
        <v>0</v>
      </c>
      <c r="K191" s="169">
        <f t="shared" si="32"/>
        <v>0</v>
      </c>
      <c r="L191" s="169">
        <f t="shared" si="32"/>
        <v>-6.5827564452051235E-2</v>
      </c>
      <c r="M191" s="169">
        <f t="shared" si="32"/>
        <v>0</v>
      </c>
      <c r="N191" s="169">
        <f t="shared" si="32"/>
        <v>0</v>
      </c>
      <c r="O191" s="169">
        <f t="shared" si="32"/>
        <v>0</v>
      </c>
      <c r="P191" s="169">
        <f t="shared" si="32"/>
        <v>-2.9771866113831393E-2</v>
      </c>
      <c r="Q191" s="169">
        <f t="shared" si="32"/>
        <v>0</v>
      </c>
      <c r="R191" s="169">
        <f t="shared" si="32"/>
        <v>0</v>
      </c>
      <c r="S191" s="169">
        <f t="shared" si="32"/>
        <v>0</v>
      </c>
      <c r="T191" s="169">
        <f t="shared" si="32"/>
        <v>0</v>
      </c>
      <c r="U191" s="169">
        <f t="shared" si="32"/>
        <v>0</v>
      </c>
      <c r="V191" s="169">
        <f t="shared" si="32"/>
        <v>0</v>
      </c>
      <c r="W191" s="169">
        <f t="shared" si="32"/>
        <v>0</v>
      </c>
      <c r="X191" s="169">
        <f t="shared" si="32"/>
        <v>0</v>
      </c>
      <c r="Y191" s="169">
        <f t="shared" si="32"/>
        <v>0</v>
      </c>
      <c r="Z191" s="169">
        <f t="shared" si="32"/>
        <v>0</v>
      </c>
      <c r="AA191" s="169">
        <f t="shared" si="32"/>
        <v>0</v>
      </c>
      <c r="AB191" s="169">
        <f t="shared" si="32"/>
        <v>0</v>
      </c>
      <c r="AC191" s="169">
        <f t="shared" si="32"/>
        <v>0</v>
      </c>
      <c r="AD191" s="169">
        <f t="shared" si="32"/>
        <v>0</v>
      </c>
      <c r="AE191" s="169">
        <f t="shared" si="32"/>
        <v>0</v>
      </c>
      <c r="AF191" s="169">
        <f t="shared" si="32"/>
        <v>0</v>
      </c>
      <c r="AG191" s="169">
        <f t="shared" si="32"/>
        <v>0</v>
      </c>
      <c r="AH191" s="169">
        <f t="shared" si="32"/>
        <v>0</v>
      </c>
      <c r="AI191" s="169">
        <f t="shared" si="32"/>
        <v>0</v>
      </c>
      <c r="AJ191" s="169">
        <f t="shared" si="32"/>
        <v>0</v>
      </c>
      <c r="AK191" s="169">
        <f t="shared" si="32"/>
        <v>0</v>
      </c>
      <c r="AL191" s="169">
        <f t="shared" si="32"/>
        <v>0</v>
      </c>
      <c r="AM191" s="227">
        <f t="shared" si="32"/>
        <v>0</v>
      </c>
    </row>
    <row r="192" spans="3:39" x14ac:dyDescent="0.25">
      <c r="C192" s="244" t="str">
        <f>'Fare optimisation'!C85</f>
        <v>Rail</v>
      </c>
      <c r="D192" s="173">
        <f>'Fare optimisation'!D85</f>
        <v>5</v>
      </c>
      <c r="E192" s="172" t="str">
        <f>'Fare optimisation'!E85</f>
        <v>Peak</v>
      </c>
      <c r="F192" s="173">
        <f>'General inputs'!C30</f>
        <v>2</v>
      </c>
      <c r="G192" s="250">
        <f>'General inputs'!H30*'Fare optimisation'!I217/'General inputs'!G30/1000000</f>
        <v>-1.9206332435154452</v>
      </c>
      <c r="H192" s="169">
        <f t="shared" ref="H192:AM192" si="33">IF($F192=H$189,H72,IF(ABS(H$190)&lt;0.001,0,H72*$G192/H$190))</f>
        <v>0</v>
      </c>
      <c r="I192" s="169">
        <f t="shared" si="33"/>
        <v>1</v>
      </c>
      <c r="J192" s="169">
        <f t="shared" si="33"/>
        <v>0</v>
      </c>
      <c r="K192" s="169">
        <f t="shared" si="33"/>
        <v>0</v>
      </c>
      <c r="L192" s="169">
        <f t="shared" si="33"/>
        <v>0</v>
      </c>
      <c r="M192" s="169">
        <f t="shared" si="33"/>
        <v>-7.5411671615676551E-2</v>
      </c>
      <c r="N192" s="169">
        <f t="shared" si="33"/>
        <v>0</v>
      </c>
      <c r="O192" s="169">
        <f t="shared" si="33"/>
        <v>0</v>
      </c>
      <c r="P192" s="169">
        <f t="shared" si="33"/>
        <v>0</v>
      </c>
      <c r="Q192" s="169">
        <f t="shared" si="33"/>
        <v>-0.18828671097170122</v>
      </c>
      <c r="R192" s="169">
        <f t="shared" si="33"/>
        <v>0</v>
      </c>
      <c r="S192" s="169">
        <f t="shared" si="33"/>
        <v>0</v>
      </c>
      <c r="T192" s="169">
        <f t="shared" si="33"/>
        <v>0</v>
      </c>
      <c r="U192" s="169">
        <f t="shared" si="33"/>
        <v>0</v>
      </c>
      <c r="V192" s="169">
        <f t="shared" si="33"/>
        <v>0</v>
      </c>
      <c r="W192" s="169">
        <f t="shared" si="33"/>
        <v>0</v>
      </c>
      <c r="X192" s="169">
        <f t="shared" si="33"/>
        <v>0</v>
      </c>
      <c r="Y192" s="169">
        <f t="shared" si="33"/>
        <v>0</v>
      </c>
      <c r="Z192" s="169">
        <f t="shared" si="33"/>
        <v>0</v>
      </c>
      <c r="AA192" s="169">
        <f t="shared" si="33"/>
        <v>0</v>
      </c>
      <c r="AB192" s="169">
        <f t="shared" si="33"/>
        <v>0</v>
      </c>
      <c r="AC192" s="169">
        <f t="shared" si="33"/>
        <v>0</v>
      </c>
      <c r="AD192" s="169">
        <f t="shared" si="33"/>
        <v>0</v>
      </c>
      <c r="AE192" s="169">
        <f t="shared" si="33"/>
        <v>0</v>
      </c>
      <c r="AF192" s="169">
        <f t="shared" si="33"/>
        <v>0</v>
      </c>
      <c r="AG192" s="169">
        <f t="shared" si="33"/>
        <v>0</v>
      </c>
      <c r="AH192" s="169">
        <f t="shared" si="33"/>
        <v>0</v>
      </c>
      <c r="AI192" s="169">
        <f t="shared" si="33"/>
        <v>0</v>
      </c>
      <c r="AJ192" s="169">
        <f t="shared" si="33"/>
        <v>0</v>
      </c>
      <c r="AK192" s="169">
        <f t="shared" si="33"/>
        <v>0</v>
      </c>
      <c r="AL192" s="169">
        <f t="shared" si="33"/>
        <v>0</v>
      </c>
      <c r="AM192" s="227">
        <f t="shared" si="33"/>
        <v>0</v>
      </c>
    </row>
    <row r="193" spans="3:39" x14ac:dyDescent="0.25">
      <c r="C193" s="244" t="str">
        <f>'Fare optimisation'!C86</f>
        <v>Rail</v>
      </c>
      <c r="D193" s="173">
        <f>'Fare optimisation'!D86</f>
        <v>15</v>
      </c>
      <c r="E193" s="172" t="str">
        <f>'Fare optimisation'!E86</f>
        <v>Peak</v>
      </c>
      <c r="F193" s="173">
        <f>'General inputs'!C31</f>
        <v>3</v>
      </c>
      <c r="G193" s="250">
        <f>'General inputs'!H31*'Fare optimisation'!I218/'General inputs'!G31/1000000</f>
        <v>-3.9272600636751327</v>
      </c>
      <c r="H193" s="169">
        <f t="shared" ref="H193:AM193" si="34">IF($F193=H$189,H73,IF(ABS(H$190)&lt;0.001,0,H73*$G193/H$190))</f>
        <v>0</v>
      </c>
      <c r="I193" s="169">
        <f t="shared" si="34"/>
        <v>0</v>
      </c>
      <c r="J193" s="169">
        <f t="shared" si="34"/>
        <v>1</v>
      </c>
      <c r="K193" s="169">
        <f t="shared" si="34"/>
        <v>0</v>
      </c>
      <c r="L193" s="169">
        <f t="shared" si="34"/>
        <v>0</v>
      </c>
      <c r="M193" s="169">
        <f t="shared" si="34"/>
        <v>0</v>
      </c>
      <c r="N193" s="169">
        <f t="shared" si="34"/>
        <v>-8.4935351196802927E-2</v>
      </c>
      <c r="O193" s="169">
        <f t="shared" si="34"/>
        <v>0</v>
      </c>
      <c r="P193" s="169">
        <f t="shared" si="34"/>
        <v>0</v>
      </c>
      <c r="Q193" s="169">
        <f t="shared" si="34"/>
        <v>0</v>
      </c>
      <c r="R193" s="169">
        <f t="shared" si="34"/>
        <v>-0.7412391366726726</v>
      </c>
      <c r="S193" s="169">
        <f t="shared" si="34"/>
        <v>0</v>
      </c>
      <c r="T193" s="169">
        <f t="shared" si="34"/>
        <v>0</v>
      </c>
      <c r="U193" s="169">
        <f t="shared" si="34"/>
        <v>0</v>
      </c>
      <c r="V193" s="169">
        <f t="shared" si="34"/>
        <v>0</v>
      </c>
      <c r="W193" s="169">
        <f t="shared" si="34"/>
        <v>0</v>
      </c>
      <c r="X193" s="169">
        <f t="shared" si="34"/>
        <v>0</v>
      </c>
      <c r="Y193" s="169">
        <f t="shared" si="34"/>
        <v>0</v>
      </c>
      <c r="Z193" s="169">
        <f t="shared" si="34"/>
        <v>0</v>
      </c>
      <c r="AA193" s="169">
        <f t="shared" si="34"/>
        <v>0</v>
      </c>
      <c r="AB193" s="169">
        <f t="shared" si="34"/>
        <v>0</v>
      </c>
      <c r="AC193" s="169">
        <f t="shared" si="34"/>
        <v>0</v>
      </c>
      <c r="AD193" s="169">
        <f t="shared" si="34"/>
        <v>0</v>
      </c>
      <c r="AE193" s="169">
        <f t="shared" si="34"/>
        <v>0</v>
      </c>
      <c r="AF193" s="169">
        <f t="shared" si="34"/>
        <v>0</v>
      </c>
      <c r="AG193" s="169">
        <f t="shared" si="34"/>
        <v>0</v>
      </c>
      <c r="AH193" s="169">
        <f t="shared" si="34"/>
        <v>0</v>
      </c>
      <c r="AI193" s="169">
        <f t="shared" si="34"/>
        <v>0</v>
      </c>
      <c r="AJ193" s="169">
        <f t="shared" si="34"/>
        <v>0</v>
      </c>
      <c r="AK193" s="169">
        <f t="shared" si="34"/>
        <v>0</v>
      </c>
      <c r="AL193" s="169">
        <f t="shared" si="34"/>
        <v>0</v>
      </c>
      <c r="AM193" s="227">
        <f t="shared" si="34"/>
        <v>0</v>
      </c>
    </row>
    <row r="194" spans="3:39" x14ac:dyDescent="0.25">
      <c r="C194" s="244" t="str">
        <f>'Fare optimisation'!C87</f>
        <v>Rail</v>
      </c>
      <c r="D194" s="173">
        <f>'Fare optimisation'!D87</f>
        <v>25</v>
      </c>
      <c r="E194" s="172" t="str">
        <f>'Fare optimisation'!E87</f>
        <v>Peak</v>
      </c>
      <c r="F194" s="173">
        <f>'General inputs'!C32</f>
        <v>4</v>
      </c>
      <c r="G194" s="250">
        <f>'General inputs'!H32*'Fare optimisation'!I219/'General inputs'!G32/1000000</f>
        <v>-1.9355572623990993</v>
      </c>
      <c r="H194" s="169">
        <f t="shared" ref="H194:AM194" si="35">IF($F194=H$189,H74,IF(ABS(H$190)&lt;0.001,0,H74*$G194/H$190))</f>
        <v>0</v>
      </c>
      <c r="I194" s="169">
        <f t="shared" si="35"/>
        <v>0</v>
      </c>
      <c r="J194" s="169">
        <f t="shared" si="35"/>
        <v>0</v>
      </c>
      <c r="K194" s="169">
        <f t="shared" si="35"/>
        <v>1</v>
      </c>
      <c r="L194" s="169">
        <f t="shared" si="35"/>
        <v>0</v>
      </c>
      <c r="M194" s="169">
        <f t="shared" si="35"/>
        <v>0</v>
      </c>
      <c r="N194" s="169">
        <f t="shared" si="35"/>
        <v>0</v>
      </c>
      <c r="O194" s="169">
        <f t="shared" si="35"/>
        <v>-8.9118539460874377E-2</v>
      </c>
      <c r="P194" s="169">
        <f t="shared" si="35"/>
        <v>0</v>
      </c>
      <c r="Q194" s="169">
        <f t="shared" si="35"/>
        <v>0</v>
      </c>
      <c r="R194" s="169">
        <f t="shared" si="35"/>
        <v>0</v>
      </c>
      <c r="S194" s="169">
        <f t="shared" si="35"/>
        <v>-1.8666191251463633</v>
      </c>
      <c r="T194" s="169">
        <f t="shared" si="35"/>
        <v>0</v>
      </c>
      <c r="U194" s="169">
        <f t="shared" si="35"/>
        <v>0</v>
      </c>
      <c r="V194" s="169">
        <f t="shared" si="35"/>
        <v>0</v>
      </c>
      <c r="W194" s="169">
        <f t="shared" si="35"/>
        <v>0</v>
      </c>
      <c r="X194" s="169">
        <f t="shared" si="35"/>
        <v>0</v>
      </c>
      <c r="Y194" s="169">
        <f t="shared" si="35"/>
        <v>0</v>
      </c>
      <c r="Z194" s="169">
        <f t="shared" si="35"/>
        <v>0</v>
      </c>
      <c r="AA194" s="169">
        <f t="shared" si="35"/>
        <v>0</v>
      </c>
      <c r="AB194" s="169">
        <f t="shared" si="35"/>
        <v>0</v>
      </c>
      <c r="AC194" s="169">
        <f t="shared" si="35"/>
        <v>0</v>
      </c>
      <c r="AD194" s="169">
        <f t="shared" si="35"/>
        <v>0</v>
      </c>
      <c r="AE194" s="169">
        <f t="shared" si="35"/>
        <v>0</v>
      </c>
      <c r="AF194" s="169">
        <f t="shared" si="35"/>
        <v>0</v>
      </c>
      <c r="AG194" s="169">
        <f t="shared" si="35"/>
        <v>0</v>
      </c>
      <c r="AH194" s="169">
        <f t="shared" si="35"/>
        <v>0</v>
      </c>
      <c r="AI194" s="169">
        <f t="shared" si="35"/>
        <v>0</v>
      </c>
      <c r="AJ194" s="169">
        <f t="shared" si="35"/>
        <v>0</v>
      </c>
      <c r="AK194" s="169">
        <f t="shared" si="35"/>
        <v>0</v>
      </c>
      <c r="AL194" s="169">
        <f t="shared" si="35"/>
        <v>0</v>
      </c>
      <c r="AM194" s="227">
        <f t="shared" si="35"/>
        <v>0</v>
      </c>
    </row>
    <row r="195" spans="3:39" x14ac:dyDescent="0.25">
      <c r="C195" s="244" t="str">
        <f>'Fare optimisation'!C88</f>
        <v>Rail</v>
      </c>
      <c r="D195" s="173">
        <f>'Fare optimisation'!D88</f>
        <v>2</v>
      </c>
      <c r="E195" s="172" t="str">
        <f>'Fare optimisation'!E88</f>
        <v>Off-peak</v>
      </c>
      <c r="F195" s="173">
        <f>'General inputs'!C33</f>
        <v>5</v>
      </c>
      <c r="G195" s="250">
        <f>'General inputs'!H33*'Fare optimisation'!I220/'General inputs'!G33/1000000</f>
        <v>-1.0810373315843926</v>
      </c>
      <c r="H195" s="169">
        <f t="shared" ref="H195:AM195" si="36">IF($F195=H$189,H75,IF(ABS(H$190)&lt;0.001,0,H75*$G195/H$190))</f>
        <v>-0.15191204601355102</v>
      </c>
      <c r="I195" s="169">
        <f t="shared" si="36"/>
        <v>0</v>
      </c>
      <c r="J195" s="169">
        <f t="shared" si="36"/>
        <v>0</v>
      </c>
      <c r="K195" s="169">
        <f t="shared" si="36"/>
        <v>0</v>
      </c>
      <c r="L195" s="169">
        <f t="shared" si="36"/>
        <v>1</v>
      </c>
      <c r="M195" s="169">
        <f t="shared" si="36"/>
        <v>0</v>
      </c>
      <c r="N195" s="169">
        <f t="shared" si="36"/>
        <v>0</v>
      </c>
      <c r="O195" s="169">
        <f t="shared" si="36"/>
        <v>0</v>
      </c>
      <c r="P195" s="169">
        <f t="shared" si="36"/>
        <v>0</v>
      </c>
      <c r="Q195" s="169">
        <f t="shared" si="36"/>
        <v>0</v>
      </c>
      <c r="R195" s="169">
        <f t="shared" si="36"/>
        <v>0</v>
      </c>
      <c r="S195" s="169">
        <f t="shared" si="36"/>
        <v>0</v>
      </c>
      <c r="T195" s="169">
        <f t="shared" si="36"/>
        <v>-3.2460122963756312E-2</v>
      </c>
      <c r="U195" s="169">
        <f t="shared" si="36"/>
        <v>0</v>
      </c>
      <c r="V195" s="169">
        <f t="shared" si="36"/>
        <v>0</v>
      </c>
      <c r="W195" s="169">
        <f t="shared" si="36"/>
        <v>0</v>
      </c>
      <c r="X195" s="169">
        <f t="shared" si="36"/>
        <v>0</v>
      </c>
      <c r="Y195" s="169">
        <f t="shared" si="36"/>
        <v>0</v>
      </c>
      <c r="Z195" s="169">
        <f t="shared" si="36"/>
        <v>0</v>
      </c>
      <c r="AA195" s="169">
        <f t="shared" si="36"/>
        <v>0</v>
      </c>
      <c r="AB195" s="169">
        <f t="shared" si="36"/>
        <v>0</v>
      </c>
      <c r="AC195" s="169">
        <f t="shared" si="36"/>
        <v>0</v>
      </c>
      <c r="AD195" s="169">
        <f t="shared" si="36"/>
        <v>0</v>
      </c>
      <c r="AE195" s="169">
        <f t="shared" si="36"/>
        <v>0</v>
      </c>
      <c r="AF195" s="169">
        <f t="shared" si="36"/>
        <v>0</v>
      </c>
      <c r="AG195" s="169">
        <f t="shared" si="36"/>
        <v>0</v>
      </c>
      <c r="AH195" s="169">
        <f t="shared" si="36"/>
        <v>0</v>
      </c>
      <c r="AI195" s="169">
        <f t="shared" si="36"/>
        <v>0</v>
      </c>
      <c r="AJ195" s="169">
        <f t="shared" si="36"/>
        <v>0</v>
      </c>
      <c r="AK195" s="169">
        <f t="shared" si="36"/>
        <v>0</v>
      </c>
      <c r="AL195" s="169">
        <f t="shared" si="36"/>
        <v>0</v>
      </c>
      <c r="AM195" s="227">
        <f t="shared" si="36"/>
        <v>0</v>
      </c>
    </row>
    <row r="196" spans="3:39" x14ac:dyDescent="0.25">
      <c r="C196" s="244" t="str">
        <f>'Fare optimisation'!C89</f>
        <v>Rail</v>
      </c>
      <c r="D196" s="173">
        <f>'Fare optimisation'!D89</f>
        <v>5</v>
      </c>
      <c r="E196" s="172" t="str">
        <f>'Fare optimisation'!E89</f>
        <v>Off-peak</v>
      </c>
      <c r="F196" s="173">
        <f>'General inputs'!C34</f>
        <v>6</v>
      </c>
      <c r="G196" s="250">
        <f>'General inputs'!H34*'Fare optimisation'!I221/'General inputs'!G34/1000000</f>
        <v>-2.5468646992784398</v>
      </c>
      <c r="H196" s="169">
        <f t="shared" ref="H196:AM196" si="37">IF($F196=H$189,H76,IF(ABS(H$190)&lt;0.001,0,H76*$G196/H$190))</f>
        <v>0</v>
      </c>
      <c r="I196" s="169">
        <f t="shared" si="37"/>
        <v>-0.13260546790374031</v>
      </c>
      <c r="J196" s="169">
        <f t="shared" si="37"/>
        <v>0</v>
      </c>
      <c r="K196" s="169">
        <f t="shared" si="37"/>
        <v>0</v>
      </c>
      <c r="L196" s="169">
        <f t="shared" si="37"/>
        <v>0</v>
      </c>
      <c r="M196" s="169">
        <f t="shared" si="37"/>
        <v>1</v>
      </c>
      <c r="N196" s="169">
        <f t="shared" si="37"/>
        <v>0</v>
      </c>
      <c r="O196" s="169">
        <f t="shared" si="37"/>
        <v>0</v>
      </c>
      <c r="P196" s="169">
        <f t="shared" si="37"/>
        <v>0</v>
      </c>
      <c r="Q196" s="169">
        <f t="shared" si="37"/>
        <v>0</v>
      </c>
      <c r="R196" s="169">
        <f t="shared" si="37"/>
        <v>0</v>
      </c>
      <c r="S196" s="169">
        <f t="shared" si="37"/>
        <v>0</v>
      </c>
      <c r="T196" s="169">
        <f t="shared" si="37"/>
        <v>0</v>
      </c>
      <c r="U196" s="169">
        <f t="shared" si="37"/>
        <v>-0.18743830481914431</v>
      </c>
      <c r="V196" s="169">
        <f t="shared" si="37"/>
        <v>0</v>
      </c>
      <c r="W196" s="169">
        <f t="shared" si="37"/>
        <v>0</v>
      </c>
      <c r="X196" s="169">
        <f t="shared" si="37"/>
        <v>0</v>
      </c>
      <c r="Y196" s="169">
        <f t="shared" si="37"/>
        <v>0</v>
      </c>
      <c r="Z196" s="169">
        <f t="shared" si="37"/>
        <v>0</v>
      </c>
      <c r="AA196" s="169">
        <f t="shared" si="37"/>
        <v>0</v>
      </c>
      <c r="AB196" s="169">
        <f t="shared" si="37"/>
        <v>0</v>
      </c>
      <c r="AC196" s="169">
        <f t="shared" si="37"/>
        <v>0</v>
      </c>
      <c r="AD196" s="169">
        <f t="shared" si="37"/>
        <v>0</v>
      </c>
      <c r="AE196" s="169">
        <f t="shared" si="37"/>
        <v>0</v>
      </c>
      <c r="AF196" s="169">
        <f t="shared" si="37"/>
        <v>0</v>
      </c>
      <c r="AG196" s="169">
        <f t="shared" si="37"/>
        <v>0</v>
      </c>
      <c r="AH196" s="169">
        <f t="shared" si="37"/>
        <v>0</v>
      </c>
      <c r="AI196" s="169">
        <f t="shared" si="37"/>
        <v>0</v>
      </c>
      <c r="AJ196" s="169">
        <f t="shared" si="37"/>
        <v>0</v>
      </c>
      <c r="AK196" s="169">
        <f t="shared" si="37"/>
        <v>0</v>
      </c>
      <c r="AL196" s="169">
        <f t="shared" si="37"/>
        <v>0</v>
      </c>
      <c r="AM196" s="227">
        <f t="shared" si="37"/>
        <v>0</v>
      </c>
    </row>
    <row r="197" spans="3:39" x14ac:dyDescent="0.25">
      <c r="C197" s="244" t="str">
        <f>'Fare optimisation'!C90</f>
        <v>Rail</v>
      </c>
      <c r="D197" s="173">
        <f>'Fare optimisation'!D90</f>
        <v>15</v>
      </c>
      <c r="E197" s="172" t="str">
        <f>'Fare optimisation'!E90</f>
        <v>Off-peak</v>
      </c>
      <c r="F197" s="173">
        <f>'General inputs'!C35</f>
        <v>7</v>
      </c>
      <c r="G197" s="250">
        <f>'General inputs'!H35*'Fare optimisation'!I222/'General inputs'!G35/1000000</f>
        <v>-4.6238227173221604</v>
      </c>
      <c r="H197" s="169">
        <f t="shared" ref="H197:AM197" si="38">IF($F197=H$189,H77,IF(ABS(H$190)&lt;0.001,0,H77*$G197/H$190))</f>
        <v>0</v>
      </c>
      <c r="I197" s="169">
        <f t="shared" si="38"/>
        <v>0</v>
      </c>
      <c r="J197" s="169">
        <f t="shared" si="38"/>
        <v>-0.11773660624336613</v>
      </c>
      <c r="K197" s="169">
        <f t="shared" si="38"/>
        <v>0</v>
      </c>
      <c r="L197" s="169">
        <f t="shared" si="38"/>
        <v>0</v>
      </c>
      <c r="M197" s="169">
        <f t="shared" si="38"/>
        <v>0</v>
      </c>
      <c r="N197" s="169">
        <f t="shared" si="38"/>
        <v>1</v>
      </c>
      <c r="O197" s="169">
        <f t="shared" si="38"/>
        <v>0</v>
      </c>
      <c r="P197" s="169">
        <f t="shared" si="38"/>
        <v>0</v>
      </c>
      <c r="Q197" s="169">
        <f t="shared" si="38"/>
        <v>0</v>
      </c>
      <c r="R197" s="169">
        <f t="shared" si="38"/>
        <v>0</v>
      </c>
      <c r="S197" s="169">
        <f t="shared" si="38"/>
        <v>0</v>
      </c>
      <c r="T197" s="169">
        <f t="shared" si="38"/>
        <v>0</v>
      </c>
      <c r="U197" s="169">
        <f t="shared" si="38"/>
        <v>0</v>
      </c>
      <c r="V197" s="169">
        <f t="shared" si="38"/>
        <v>-0.76033330066791338</v>
      </c>
      <c r="W197" s="169">
        <f t="shared" si="38"/>
        <v>0</v>
      </c>
      <c r="X197" s="169">
        <f t="shared" si="38"/>
        <v>0</v>
      </c>
      <c r="Y197" s="169">
        <f t="shared" si="38"/>
        <v>0</v>
      </c>
      <c r="Z197" s="169">
        <f t="shared" si="38"/>
        <v>0</v>
      </c>
      <c r="AA197" s="169">
        <f t="shared" si="38"/>
        <v>0</v>
      </c>
      <c r="AB197" s="169">
        <f t="shared" si="38"/>
        <v>0</v>
      </c>
      <c r="AC197" s="169">
        <f t="shared" si="38"/>
        <v>0</v>
      </c>
      <c r="AD197" s="169">
        <f t="shared" si="38"/>
        <v>0</v>
      </c>
      <c r="AE197" s="169">
        <f t="shared" si="38"/>
        <v>0</v>
      </c>
      <c r="AF197" s="169">
        <f t="shared" si="38"/>
        <v>0</v>
      </c>
      <c r="AG197" s="169">
        <f t="shared" si="38"/>
        <v>0</v>
      </c>
      <c r="AH197" s="169">
        <f t="shared" si="38"/>
        <v>0</v>
      </c>
      <c r="AI197" s="169">
        <f t="shared" si="38"/>
        <v>0</v>
      </c>
      <c r="AJ197" s="169">
        <f t="shared" si="38"/>
        <v>0</v>
      </c>
      <c r="AK197" s="169">
        <f t="shared" si="38"/>
        <v>0</v>
      </c>
      <c r="AL197" s="169">
        <f t="shared" si="38"/>
        <v>0</v>
      </c>
      <c r="AM197" s="227">
        <f t="shared" si="38"/>
        <v>0</v>
      </c>
    </row>
    <row r="198" spans="3:39" x14ac:dyDescent="0.25">
      <c r="C198" s="244" t="str">
        <f>'Fare optimisation'!C91</f>
        <v>Rail</v>
      </c>
      <c r="D198" s="173">
        <f>'Fare optimisation'!D91</f>
        <v>25</v>
      </c>
      <c r="E198" s="172" t="str">
        <f>'Fare optimisation'!E91</f>
        <v>Off-peak</v>
      </c>
      <c r="F198" s="173">
        <f>'General inputs'!C36</f>
        <v>8</v>
      </c>
      <c r="G198" s="250">
        <f>'General inputs'!H36*'Fare optimisation'!I223/'General inputs'!G36/1000000</f>
        <v>-2.1718906908801676</v>
      </c>
      <c r="H198" s="169">
        <f t="shared" ref="H198:AM198" si="39">IF($F198=H$189,H78,IF(ABS(H$190)&lt;0.001,0,H78*$G198/H$190))</f>
        <v>0</v>
      </c>
      <c r="I198" s="169">
        <f t="shared" si="39"/>
        <v>0</v>
      </c>
      <c r="J198" s="169">
        <f t="shared" si="39"/>
        <v>0</v>
      </c>
      <c r="K198" s="169">
        <f t="shared" si="39"/>
        <v>-0.11221009747798089</v>
      </c>
      <c r="L198" s="169">
        <f t="shared" si="39"/>
        <v>0</v>
      </c>
      <c r="M198" s="169">
        <f t="shared" si="39"/>
        <v>0</v>
      </c>
      <c r="N198" s="169">
        <f t="shared" si="39"/>
        <v>0</v>
      </c>
      <c r="O198" s="169">
        <f t="shared" si="39"/>
        <v>1</v>
      </c>
      <c r="P198" s="169">
        <f t="shared" si="39"/>
        <v>0</v>
      </c>
      <c r="Q198" s="169">
        <f t="shared" si="39"/>
        <v>0</v>
      </c>
      <c r="R198" s="169">
        <f t="shared" si="39"/>
        <v>0</v>
      </c>
      <c r="S198" s="169">
        <f t="shared" si="39"/>
        <v>0</v>
      </c>
      <c r="T198" s="169">
        <f t="shared" si="39"/>
        <v>0</v>
      </c>
      <c r="U198" s="169">
        <f t="shared" si="39"/>
        <v>0</v>
      </c>
      <c r="V198" s="169">
        <f t="shared" si="39"/>
        <v>0</v>
      </c>
      <c r="W198" s="169">
        <f t="shared" si="39"/>
        <v>-2.369056889051806</v>
      </c>
      <c r="X198" s="169">
        <f t="shared" si="39"/>
        <v>0</v>
      </c>
      <c r="Y198" s="169">
        <f t="shared" si="39"/>
        <v>0</v>
      </c>
      <c r="Z198" s="169">
        <f t="shared" si="39"/>
        <v>0</v>
      </c>
      <c r="AA198" s="169">
        <f t="shared" si="39"/>
        <v>0</v>
      </c>
      <c r="AB198" s="169">
        <f t="shared" si="39"/>
        <v>0</v>
      </c>
      <c r="AC198" s="169">
        <f t="shared" si="39"/>
        <v>0</v>
      </c>
      <c r="AD198" s="169">
        <f t="shared" si="39"/>
        <v>0</v>
      </c>
      <c r="AE198" s="169">
        <f t="shared" si="39"/>
        <v>0</v>
      </c>
      <c r="AF198" s="169">
        <f t="shared" si="39"/>
        <v>0</v>
      </c>
      <c r="AG198" s="169">
        <f t="shared" si="39"/>
        <v>0</v>
      </c>
      <c r="AH198" s="169">
        <f t="shared" si="39"/>
        <v>0</v>
      </c>
      <c r="AI198" s="169">
        <f t="shared" si="39"/>
        <v>0</v>
      </c>
      <c r="AJ198" s="169">
        <f t="shared" si="39"/>
        <v>0</v>
      </c>
      <c r="AK198" s="169">
        <f t="shared" si="39"/>
        <v>0</v>
      </c>
      <c r="AL198" s="169">
        <f t="shared" si="39"/>
        <v>0</v>
      </c>
      <c r="AM198" s="227">
        <f t="shared" si="39"/>
        <v>0</v>
      </c>
    </row>
    <row r="199" spans="3:39" x14ac:dyDescent="0.25">
      <c r="C199" s="244" t="str">
        <f>'Fare optimisation'!C92</f>
        <v>Bus</v>
      </c>
      <c r="D199" s="173">
        <f>'Fare optimisation'!D92</f>
        <v>2</v>
      </c>
      <c r="E199" s="172" t="str">
        <f>'Fare optimisation'!E92</f>
        <v>Peak</v>
      </c>
      <c r="F199" s="173">
        <f>'General inputs'!C37</f>
        <v>9</v>
      </c>
      <c r="G199" s="250">
        <f>'General inputs'!H37*'Fare optimisation'!I224/'General inputs'!G37/1000000</f>
        <v>-5.0552548836974118</v>
      </c>
      <c r="H199" s="169">
        <f t="shared" ref="H199:AM199" si="40">IF($F199=H$189,H79,IF(ABS(H$190)&lt;0.001,0,H79*$G199/H$190))</f>
        <v>0</v>
      </c>
      <c r="I199" s="169">
        <f t="shared" si="40"/>
        <v>0</v>
      </c>
      <c r="J199" s="169">
        <f t="shared" si="40"/>
        <v>0</v>
      </c>
      <c r="K199" s="169">
        <f t="shared" si="40"/>
        <v>0</v>
      </c>
      <c r="L199" s="169">
        <f t="shared" si="40"/>
        <v>0</v>
      </c>
      <c r="M199" s="169">
        <f t="shared" si="40"/>
        <v>0</v>
      </c>
      <c r="N199" s="169">
        <f t="shared" si="40"/>
        <v>0</v>
      </c>
      <c r="O199" s="169">
        <f t="shared" si="40"/>
        <v>0</v>
      </c>
      <c r="P199" s="169">
        <f t="shared" si="40"/>
        <v>1</v>
      </c>
      <c r="Q199" s="169">
        <f t="shared" si="40"/>
        <v>0</v>
      </c>
      <c r="R199" s="169">
        <f t="shared" si="40"/>
        <v>0</v>
      </c>
      <c r="S199" s="169">
        <f t="shared" si="40"/>
        <v>0</v>
      </c>
      <c r="T199" s="169">
        <f t="shared" si="40"/>
        <v>-7.1771478091038343E-2</v>
      </c>
      <c r="U199" s="169">
        <f t="shared" si="40"/>
        <v>0</v>
      </c>
      <c r="V199" s="169">
        <f t="shared" si="40"/>
        <v>0</v>
      </c>
      <c r="W199" s="169">
        <f t="shared" si="40"/>
        <v>0</v>
      </c>
      <c r="X199" s="169">
        <f t="shared" si="40"/>
        <v>0</v>
      </c>
      <c r="Y199" s="169">
        <f t="shared" si="40"/>
        <v>0</v>
      </c>
      <c r="Z199" s="169">
        <f t="shared" si="40"/>
        <v>0</v>
      </c>
      <c r="AA199" s="169">
        <f t="shared" si="40"/>
        <v>0</v>
      </c>
      <c r="AB199" s="169">
        <f t="shared" si="40"/>
        <v>0</v>
      </c>
      <c r="AC199" s="169">
        <f t="shared" si="40"/>
        <v>0</v>
      </c>
      <c r="AD199" s="169">
        <f t="shared" si="40"/>
        <v>0</v>
      </c>
      <c r="AE199" s="169">
        <f t="shared" si="40"/>
        <v>0</v>
      </c>
      <c r="AF199" s="169">
        <f t="shared" si="40"/>
        <v>0</v>
      </c>
      <c r="AG199" s="169">
        <f t="shared" si="40"/>
        <v>0</v>
      </c>
      <c r="AH199" s="169">
        <f t="shared" si="40"/>
        <v>0</v>
      </c>
      <c r="AI199" s="169">
        <f t="shared" si="40"/>
        <v>0</v>
      </c>
      <c r="AJ199" s="169">
        <f t="shared" si="40"/>
        <v>0</v>
      </c>
      <c r="AK199" s="169">
        <f t="shared" si="40"/>
        <v>0</v>
      </c>
      <c r="AL199" s="169">
        <f t="shared" si="40"/>
        <v>0</v>
      </c>
      <c r="AM199" s="227">
        <f t="shared" si="40"/>
        <v>0</v>
      </c>
    </row>
    <row r="200" spans="3:39" x14ac:dyDescent="0.25">
      <c r="C200" s="244" t="str">
        <f>'Fare optimisation'!C93</f>
        <v>Bus</v>
      </c>
      <c r="D200" s="173">
        <f>'Fare optimisation'!D93</f>
        <v>5</v>
      </c>
      <c r="E200" s="172" t="str">
        <f>'Fare optimisation'!E93</f>
        <v>Peak</v>
      </c>
      <c r="F200" s="173">
        <f>'General inputs'!C38</f>
        <v>10</v>
      </c>
      <c r="G200" s="250">
        <f>'General inputs'!H38*'Fare optimisation'!I225/'General inputs'!G38/1000000</f>
        <v>-2.1573738409612524</v>
      </c>
      <c r="H200" s="169">
        <f t="shared" ref="H200:AM200" si="41">IF($F200=H$189,H80,IF(ABS(H$190)&lt;0.001,0,H80*$G200/H$190))</f>
        <v>0</v>
      </c>
      <c r="I200" s="169">
        <f t="shared" si="41"/>
        <v>0</v>
      </c>
      <c r="J200" s="169">
        <f t="shared" si="41"/>
        <v>0</v>
      </c>
      <c r="K200" s="169">
        <f t="shared" si="41"/>
        <v>0</v>
      </c>
      <c r="L200" s="169">
        <f t="shared" si="41"/>
        <v>0</v>
      </c>
      <c r="M200" s="169">
        <f t="shared" si="41"/>
        <v>0</v>
      </c>
      <c r="N200" s="169">
        <f t="shared" si="41"/>
        <v>0</v>
      </c>
      <c r="O200" s="169">
        <f t="shared" si="41"/>
        <v>0</v>
      </c>
      <c r="P200" s="169">
        <f t="shared" si="41"/>
        <v>0</v>
      </c>
      <c r="Q200" s="169">
        <f t="shared" si="41"/>
        <v>1</v>
      </c>
      <c r="R200" s="169">
        <f t="shared" si="41"/>
        <v>0</v>
      </c>
      <c r="S200" s="169">
        <f t="shared" si="41"/>
        <v>0</v>
      </c>
      <c r="T200" s="169">
        <f t="shared" si="41"/>
        <v>0</v>
      </c>
      <c r="U200" s="169">
        <f t="shared" si="41"/>
        <v>-7.5071872137300419E-2</v>
      </c>
      <c r="V200" s="169">
        <f t="shared" si="41"/>
        <v>0</v>
      </c>
      <c r="W200" s="169">
        <f t="shared" si="41"/>
        <v>0</v>
      </c>
      <c r="X200" s="169">
        <f t="shared" si="41"/>
        <v>0</v>
      </c>
      <c r="Y200" s="169">
        <f t="shared" si="41"/>
        <v>0</v>
      </c>
      <c r="Z200" s="169">
        <f t="shared" si="41"/>
        <v>0</v>
      </c>
      <c r="AA200" s="169">
        <f t="shared" si="41"/>
        <v>0</v>
      </c>
      <c r="AB200" s="169">
        <f t="shared" si="41"/>
        <v>0</v>
      </c>
      <c r="AC200" s="169">
        <f t="shared" si="41"/>
        <v>0</v>
      </c>
      <c r="AD200" s="169">
        <f t="shared" si="41"/>
        <v>0</v>
      </c>
      <c r="AE200" s="169">
        <f t="shared" si="41"/>
        <v>0</v>
      </c>
      <c r="AF200" s="169">
        <f t="shared" si="41"/>
        <v>0</v>
      </c>
      <c r="AG200" s="169">
        <f t="shared" si="41"/>
        <v>0</v>
      </c>
      <c r="AH200" s="169">
        <f t="shared" si="41"/>
        <v>0</v>
      </c>
      <c r="AI200" s="169">
        <f t="shared" si="41"/>
        <v>0</v>
      </c>
      <c r="AJ200" s="169">
        <f t="shared" si="41"/>
        <v>0</v>
      </c>
      <c r="AK200" s="169">
        <f t="shared" si="41"/>
        <v>0</v>
      </c>
      <c r="AL200" s="169">
        <f t="shared" si="41"/>
        <v>0</v>
      </c>
      <c r="AM200" s="227">
        <f t="shared" si="41"/>
        <v>0</v>
      </c>
    </row>
    <row r="201" spans="3:39" x14ac:dyDescent="0.25">
      <c r="C201" s="244" t="str">
        <f>'Fare optimisation'!C94</f>
        <v>Bus</v>
      </c>
      <c r="D201" s="173">
        <f>'Fare optimisation'!D94</f>
        <v>15</v>
      </c>
      <c r="E201" s="172" t="str">
        <f>'Fare optimisation'!E94</f>
        <v>Peak</v>
      </c>
      <c r="F201" s="173">
        <f>'General inputs'!C39</f>
        <v>11</v>
      </c>
      <c r="G201" s="250">
        <f>'General inputs'!H39*'Fare optimisation'!I226/'General inputs'!G39/1000000</f>
        <v>-1.1205518467034086</v>
      </c>
      <c r="H201" s="169">
        <f t="shared" ref="H201:AM201" si="42">IF($F201=H$189,H81,IF(ABS(H$190)&lt;0.001,0,H81*$G201/H$190))</f>
        <v>0</v>
      </c>
      <c r="I201" s="169">
        <f t="shared" si="42"/>
        <v>0</v>
      </c>
      <c r="J201" s="169">
        <f t="shared" si="42"/>
        <v>0</v>
      </c>
      <c r="K201" s="169">
        <f t="shared" si="42"/>
        <v>0</v>
      </c>
      <c r="L201" s="169">
        <f t="shared" si="42"/>
        <v>0</v>
      </c>
      <c r="M201" s="169">
        <f t="shared" si="42"/>
        <v>0</v>
      </c>
      <c r="N201" s="169">
        <f t="shared" si="42"/>
        <v>0</v>
      </c>
      <c r="O201" s="169">
        <f t="shared" si="42"/>
        <v>0</v>
      </c>
      <c r="P201" s="169">
        <f t="shared" si="42"/>
        <v>0</v>
      </c>
      <c r="Q201" s="169">
        <f t="shared" si="42"/>
        <v>0</v>
      </c>
      <c r="R201" s="169">
        <f t="shared" si="42"/>
        <v>1</v>
      </c>
      <c r="S201" s="169">
        <f t="shared" si="42"/>
        <v>0</v>
      </c>
      <c r="T201" s="169">
        <f t="shared" si="42"/>
        <v>0</v>
      </c>
      <c r="U201" s="169">
        <f t="shared" si="42"/>
        <v>0</v>
      </c>
      <c r="V201" s="169">
        <f t="shared" si="42"/>
        <v>-8.7123267949316893E-2</v>
      </c>
      <c r="W201" s="169">
        <f t="shared" si="42"/>
        <v>0</v>
      </c>
      <c r="X201" s="169">
        <f t="shared" si="42"/>
        <v>0</v>
      </c>
      <c r="Y201" s="169">
        <f t="shared" si="42"/>
        <v>0</v>
      </c>
      <c r="Z201" s="169">
        <f t="shared" si="42"/>
        <v>0</v>
      </c>
      <c r="AA201" s="169">
        <f t="shared" si="42"/>
        <v>0</v>
      </c>
      <c r="AB201" s="169">
        <f t="shared" si="42"/>
        <v>0</v>
      </c>
      <c r="AC201" s="169">
        <f t="shared" si="42"/>
        <v>0</v>
      </c>
      <c r="AD201" s="169">
        <f t="shared" si="42"/>
        <v>0</v>
      </c>
      <c r="AE201" s="169">
        <f t="shared" si="42"/>
        <v>0</v>
      </c>
      <c r="AF201" s="169">
        <f t="shared" si="42"/>
        <v>0</v>
      </c>
      <c r="AG201" s="169">
        <f t="shared" si="42"/>
        <v>0</v>
      </c>
      <c r="AH201" s="169">
        <f t="shared" si="42"/>
        <v>0</v>
      </c>
      <c r="AI201" s="169">
        <f t="shared" si="42"/>
        <v>0</v>
      </c>
      <c r="AJ201" s="169">
        <f t="shared" si="42"/>
        <v>0</v>
      </c>
      <c r="AK201" s="169">
        <f t="shared" si="42"/>
        <v>0</v>
      </c>
      <c r="AL201" s="169">
        <f t="shared" si="42"/>
        <v>0</v>
      </c>
      <c r="AM201" s="227">
        <f t="shared" si="42"/>
        <v>0</v>
      </c>
    </row>
    <row r="202" spans="3:39" x14ac:dyDescent="0.25">
      <c r="C202" s="244" t="str">
        <f>'Fare optimisation'!C95</f>
        <v>Bus</v>
      </c>
      <c r="D202" s="173">
        <f>'Fare optimisation'!D95</f>
        <v>25</v>
      </c>
      <c r="E202" s="172" t="str">
        <f>'Fare optimisation'!E95</f>
        <v>Peak</v>
      </c>
      <c r="F202" s="173">
        <f>'General inputs'!C40</f>
        <v>12</v>
      </c>
      <c r="G202" s="250">
        <f>'General inputs'!H40*'Fare optimisation'!I227/'General inputs'!G40/1000000</f>
        <v>-0.21930621977027981</v>
      </c>
      <c r="H202" s="169">
        <f t="shared" ref="H202:AM202" si="43">IF($F202=H$189,H82,IF(ABS(H$190)&lt;0.001,0,H82*$G202/H$190))</f>
        <v>0</v>
      </c>
      <c r="I202" s="169">
        <f t="shared" si="43"/>
        <v>0</v>
      </c>
      <c r="J202" s="169">
        <f t="shared" si="43"/>
        <v>0</v>
      </c>
      <c r="K202" s="169">
        <f t="shared" si="43"/>
        <v>0</v>
      </c>
      <c r="L202" s="169">
        <f t="shared" si="43"/>
        <v>0</v>
      </c>
      <c r="M202" s="169">
        <f t="shared" si="43"/>
        <v>0</v>
      </c>
      <c r="N202" s="169">
        <f t="shared" si="43"/>
        <v>0</v>
      </c>
      <c r="O202" s="169">
        <f t="shared" si="43"/>
        <v>0</v>
      </c>
      <c r="P202" s="169">
        <f t="shared" si="43"/>
        <v>0</v>
      </c>
      <c r="Q202" s="169">
        <f t="shared" si="43"/>
        <v>0</v>
      </c>
      <c r="R202" s="169">
        <f t="shared" si="43"/>
        <v>0</v>
      </c>
      <c r="S202" s="169">
        <f t="shared" si="43"/>
        <v>1</v>
      </c>
      <c r="T202" s="169">
        <f t="shared" si="43"/>
        <v>0</v>
      </c>
      <c r="U202" s="169">
        <f t="shared" si="43"/>
        <v>0</v>
      </c>
      <c r="V202" s="169">
        <f t="shared" si="43"/>
        <v>0</v>
      </c>
      <c r="W202" s="169">
        <f t="shared" si="43"/>
        <v>-0.11310657166628198</v>
      </c>
      <c r="X202" s="169">
        <f t="shared" si="43"/>
        <v>0</v>
      </c>
      <c r="Y202" s="169">
        <f t="shared" si="43"/>
        <v>0</v>
      </c>
      <c r="Z202" s="169">
        <f t="shared" si="43"/>
        <v>0</v>
      </c>
      <c r="AA202" s="169">
        <f t="shared" si="43"/>
        <v>0</v>
      </c>
      <c r="AB202" s="169">
        <f t="shared" si="43"/>
        <v>0</v>
      </c>
      <c r="AC202" s="169">
        <f t="shared" si="43"/>
        <v>0</v>
      </c>
      <c r="AD202" s="169">
        <f t="shared" si="43"/>
        <v>0</v>
      </c>
      <c r="AE202" s="169">
        <f t="shared" si="43"/>
        <v>0</v>
      </c>
      <c r="AF202" s="169">
        <f t="shared" si="43"/>
        <v>0</v>
      </c>
      <c r="AG202" s="169">
        <f t="shared" si="43"/>
        <v>0</v>
      </c>
      <c r="AH202" s="169">
        <f t="shared" si="43"/>
        <v>0</v>
      </c>
      <c r="AI202" s="169">
        <f t="shared" si="43"/>
        <v>0</v>
      </c>
      <c r="AJ202" s="169">
        <f t="shared" si="43"/>
        <v>0</v>
      </c>
      <c r="AK202" s="169">
        <f t="shared" si="43"/>
        <v>0</v>
      </c>
      <c r="AL202" s="169">
        <f t="shared" si="43"/>
        <v>0</v>
      </c>
      <c r="AM202" s="227">
        <f t="shared" si="43"/>
        <v>0</v>
      </c>
    </row>
    <row r="203" spans="3:39" x14ac:dyDescent="0.25">
      <c r="C203" s="244" t="str">
        <f>'Fare optimisation'!C96</f>
        <v>Bus</v>
      </c>
      <c r="D203" s="173">
        <f>'Fare optimisation'!D96</f>
        <v>2</v>
      </c>
      <c r="E203" s="172" t="str">
        <f>'Fare optimisation'!E96</f>
        <v>Off-peak</v>
      </c>
      <c r="F203" s="173">
        <f>'General inputs'!C41</f>
        <v>13</v>
      </c>
      <c r="G203" s="250">
        <f>'General inputs'!H41*'Fare optimisation'!I228/'General inputs'!G41/1000000</f>
        <v>-7.0435429479173992</v>
      </c>
      <c r="H203" s="169">
        <f t="shared" ref="H203:AM203" si="44">IF($F203=H$189,H83,IF(ABS(H$190)&lt;0.001,0,H83*$G203/H$190))</f>
        <v>0</v>
      </c>
      <c r="I203" s="169">
        <f t="shared" si="44"/>
        <v>0</v>
      </c>
      <c r="J203" s="169">
        <f t="shared" si="44"/>
        <v>0</v>
      </c>
      <c r="K203" s="169">
        <f t="shared" si="44"/>
        <v>0</v>
      </c>
      <c r="L203" s="169">
        <f t="shared" si="44"/>
        <v>0</v>
      </c>
      <c r="M203" s="169">
        <f t="shared" si="44"/>
        <v>0</v>
      </c>
      <c r="N203" s="169">
        <f t="shared" si="44"/>
        <v>0</v>
      </c>
      <c r="O203" s="169">
        <f t="shared" si="44"/>
        <v>0</v>
      </c>
      <c r="P203" s="169">
        <f t="shared" si="44"/>
        <v>-0.13933111405780899</v>
      </c>
      <c r="Q203" s="169">
        <f t="shared" si="44"/>
        <v>0</v>
      </c>
      <c r="R203" s="169">
        <f t="shared" si="44"/>
        <v>0</v>
      </c>
      <c r="S203" s="169">
        <f t="shared" si="44"/>
        <v>0</v>
      </c>
      <c r="T203" s="169">
        <f t="shared" si="44"/>
        <v>1</v>
      </c>
      <c r="U203" s="169">
        <f t="shared" si="44"/>
        <v>0</v>
      </c>
      <c r="V203" s="169">
        <f t="shared" si="44"/>
        <v>0</v>
      </c>
      <c r="W203" s="169">
        <f t="shared" si="44"/>
        <v>0</v>
      </c>
      <c r="X203" s="169">
        <f t="shared" si="44"/>
        <v>0</v>
      </c>
      <c r="Y203" s="169">
        <f t="shared" si="44"/>
        <v>0</v>
      </c>
      <c r="Z203" s="169">
        <f t="shared" si="44"/>
        <v>0</v>
      </c>
      <c r="AA203" s="169">
        <f t="shared" si="44"/>
        <v>0</v>
      </c>
      <c r="AB203" s="169">
        <f t="shared" si="44"/>
        <v>0</v>
      </c>
      <c r="AC203" s="169">
        <f t="shared" si="44"/>
        <v>0</v>
      </c>
      <c r="AD203" s="169">
        <f t="shared" si="44"/>
        <v>0</v>
      </c>
      <c r="AE203" s="169">
        <f t="shared" si="44"/>
        <v>0</v>
      </c>
      <c r="AF203" s="169">
        <f t="shared" si="44"/>
        <v>0</v>
      </c>
      <c r="AG203" s="169">
        <f t="shared" si="44"/>
        <v>0</v>
      </c>
      <c r="AH203" s="169">
        <f t="shared" si="44"/>
        <v>0</v>
      </c>
      <c r="AI203" s="169">
        <f t="shared" si="44"/>
        <v>0</v>
      </c>
      <c r="AJ203" s="169">
        <f t="shared" si="44"/>
        <v>0</v>
      </c>
      <c r="AK203" s="169">
        <f t="shared" si="44"/>
        <v>0</v>
      </c>
      <c r="AL203" s="169">
        <f t="shared" si="44"/>
        <v>0</v>
      </c>
      <c r="AM203" s="227">
        <f t="shared" si="44"/>
        <v>0</v>
      </c>
    </row>
    <row r="204" spans="3:39" x14ac:dyDescent="0.25">
      <c r="C204" s="244" t="str">
        <f>'Fare optimisation'!C97</f>
        <v>Bus</v>
      </c>
      <c r="D204" s="173">
        <f>'Fare optimisation'!D97</f>
        <v>5</v>
      </c>
      <c r="E204" s="172" t="str">
        <f>'Fare optimisation'!E97</f>
        <v>Off-peak</v>
      </c>
      <c r="F204" s="173">
        <f>'General inputs'!C42</f>
        <v>14</v>
      </c>
      <c r="G204" s="250">
        <f>'General inputs'!H42*'Fare optimisation'!I229/'General inputs'!G42/1000000</f>
        <v>-2.873744559101429</v>
      </c>
      <c r="H204" s="169">
        <f t="shared" ref="H204:AM204" si="45">IF($F204=H$189,H84,IF(ABS(H$190)&lt;0.001,0,H84*$G204/H$190))</f>
        <v>0</v>
      </c>
      <c r="I204" s="169">
        <f t="shared" si="45"/>
        <v>0</v>
      </c>
      <c r="J204" s="169">
        <f t="shared" si="45"/>
        <v>0</v>
      </c>
      <c r="K204" s="169">
        <f t="shared" si="45"/>
        <v>0</v>
      </c>
      <c r="L204" s="169">
        <f t="shared" si="45"/>
        <v>0</v>
      </c>
      <c r="M204" s="169">
        <f t="shared" si="45"/>
        <v>0</v>
      </c>
      <c r="N204" s="169">
        <f t="shared" si="45"/>
        <v>0</v>
      </c>
      <c r="O204" s="169">
        <f t="shared" si="45"/>
        <v>0</v>
      </c>
      <c r="P204" s="169">
        <f t="shared" si="45"/>
        <v>0</v>
      </c>
      <c r="Q204" s="169">
        <f t="shared" si="45"/>
        <v>-0.13320568297152369</v>
      </c>
      <c r="R204" s="169">
        <f t="shared" si="45"/>
        <v>0</v>
      </c>
      <c r="S204" s="169">
        <f t="shared" si="45"/>
        <v>0</v>
      </c>
      <c r="T204" s="169">
        <f t="shared" si="45"/>
        <v>0</v>
      </c>
      <c r="U204" s="169">
        <f t="shared" si="45"/>
        <v>1</v>
      </c>
      <c r="V204" s="169">
        <f t="shared" si="45"/>
        <v>0</v>
      </c>
      <c r="W204" s="169">
        <f t="shared" si="45"/>
        <v>0</v>
      </c>
      <c r="X204" s="169">
        <f t="shared" si="45"/>
        <v>0</v>
      </c>
      <c r="Y204" s="169">
        <f t="shared" si="45"/>
        <v>0</v>
      </c>
      <c r="Z204" s="169">
        <f t="shared" si="45"/>
        <v>0</v>
      </c>
      <c r="AA204" s="169">
        <f t="shared" si="45"/>
        <v>0</v>
      </c>
      <c r="AB204" s="169">
        <f t="shared" si="45"/>
        <v>0</v>
      </c>
      <c r="AC204" s="169">
        <f t="shared" si="45"/>
        <v>0</v>
      </c>
      <c r="AD204" s="169">
        <f t="shared" si="45"/>
        <v>0</v>
      </c>
      <c r="AE204" s="169">
        <f t="shared" si="45"/>
        <v>0</v>
      </c>
      <c r="AF204" s="169">
        <f t="shared" si="45"/>
        <v>0</v>
      </c>
      <c r="AG204" s="169">
        <f t="shared" si="45"/>
        <v>0</v>
      </c>
      <c r="AH204" s="169">
        <f t="shared" si="45"/>
        <v>0</v>
      </c>
      <c r="AI204" s="169">
        <f t="shared" si="45"/>
        <v>0</v>
      </c>
      <c r="AJ204" s="169">
        <f t="shared" si="45"/>
        <v>0</v>
      </c>
      <c r="AK204" s="169">
        <f t="shared" si="45"/>
        <v>0</v>
      </c>
      <c r="AL204" s="169">
        <f t="shared" si="45"/>
        <v>0</v>
      </c>
      <c r="AM204" s="227">
        <f t="shared" si="45"/>
        <v>0</v>
      </c>
    </row>
    <row r="205" spans="3:39" x14ac:dyDescent="0.25">
      <c r="C205" s="244" t="str">
        <f>'Fare optimisation'!C98</f>
        <v>Bus</v>
      </c>
      <c r="D205" s="173">
        <f>'Fare optimisation'!D98</f>
        <v>15</v>
      </c>
      <c r="E205" s="172" t="str">
        <f>'Fare optimisation'!E98</f>
        <v>Off-peak</v>
      </c>
      <c r="F205" s="173">
        <f>'General inputs'!C43</f>
        <v>15</v>
      </c>
      <c r="G205" s="250">
        <f>'General inputs'!H43*'Fare optimisation'!I230/'General inputs'!G43/1000000</f>
        <v>-1.2861682912942141</v>
      </c>
      <c r="H205" s="169">
        <f t="shared" ref="H205:AM205" si="46">IF($F205=H$189,H85,IF(ABS(H$190)&lt;0.001,0,H85*$G205/H$190))</f>
        <v>0</v>
      </c>
      <c r="I205" s="169">
        <f t="shared" si="46"/>
        <v>0</v>
      </c>
      <c r="J205" s="169">
        <f t="shared" si="46"/>
        <v>0</v>
      </c>
      <c r="K205" s="169">
        <f t="shared" si="46"/>
        <v>0</v>
      </c>
      <c r="L205" s="169">
        <f t="shared" si="46"/>
        <v>0</v>
      </c>
      <c r="M205" s="169">
        <f t="shared" si="46"/>
        <v>0</v>
      </c>
      <c r="N205" s="169">
        <f t="shared" si="46"/>
        <v>0</v>
      </c>
      <c r="O205" s="169">
        <f t="shared" si="46"/>
        <v>0</v>
      </c>
      <c r="P205" s="169">
        <f t="shared" si="46"/>
        <v>0</v>
      </c>
      <c r="Q205" s="169">
        <f t="shared" si="46"/>
        <v>0</v>
      </c>
      <c r="R205" s="169">
        <f t="shared" si="46"/>
        <v>-0.11477990019632188</v>
      </c>
      <c r="S205" s="169">
        <f t="shared" si="46"/>
        <v>0</v>
      </c>
      <c r="T205" s="169">
        <f t="shared" si="46"/>
        <v>0</v>
      </c>
      <c r="U205" s="169">
        <f t="shared" si="46"/>
        <v>0</v>
      </c>
      <c r="V205" s="169">
        <f t="shared" si="46"/>
        <v>1</v>
      </c>
      <c r="W205" s="169">
        <f t="shared" si="46"/>
        <v>0</v>
      </c>
      <c r="X205" s="169">
        <f t="shared" si="46"/>
        <v>0</v>
      </c>
      <c r="Y205" s="169">
        <f t="shared" si="46"/>
        <v>0</v>
      </c>
      <c r="Z205" s="169">
        <f t="shared" si="46"/>
        <v>0</v>
      </c>
      <c r="AA205" s="169">
        <f t="shared" si="46"/>
        <v>0</v>
      </c>
      <c r="AB205" s="169">
        <f t="shared" si="46"/>
        <v>0</v>
      </c>
      <c r="AC205" s="169">
        <f t="shared" si="46"/>
        <v>0</v>
      </c>
      <c r="AD205" s="169">
        <f t="shared" si="46"/>
        <v>0</v>
      </c>
      <c r="AE205" s="169">
        <f t="shared" si="46"/>
        <v>0</v>
      </c>
      <c r="AF205" s="169">
        <f t="shared" si="46"/>
        <v>0</v>
      </c>
      <c r="AG205" s="169">
        <f t="shared" si="46"/>
        <v>0</v>
      </c>
      <c r="AH205" s="169">
        <f t="shared" si="46"/>
        <v>0</v>
      </c>
      <c r="AI205" s="169">
        <f t="shared" si="46"/>
        <v>0</v>
      </c>
      <c r="AJ205" s="169">
        <f t="shared" si="46"/>
        <v>0</v>
      </c>
      <c r="AK205" s="169">
        <f t="shared" si="46"/>
        <v>0</v>
      </c>
      <c r="AL205" s="169">
        <f t="shared" si="46"/>
        <v>0</v>
      </c>
      <c r="AM205" s="227">
        <f t="shared" si="46"/>
        <v>0</v>
      </c>
    </row>
    <row r="206" spans="3:39" x14ac:dyDescent="0.25">
      <c r="C206" s="244" t="str">
        <f>'Fare optimisation'!C99</f>
        <v>Bus</v>
      </c>
      <c r="D206" s="173">
        <f>'Fare optimisation'!D99</f>
        <v>25</v>
      </c>
      <c r="E206" s="172" t="str">
        <f>'Fare optimisation'!E99</f>
        <v>Off-peak</v>
      </c>
      <c r="F206" s="173">
        <f>'General inputs'!C44</f>
        <v>16</v>
      </c>
      <c r="G206" s="250">
        <f>'General inputs'!H44*'Fare optimisation'!I231/'General inputs'!G44/1000000</f>
        <v>-0.19389343743645346</v>
      </c>
      <c r="H206" s="169">
        <f t="shared" ref="H206:AM206" si="47">IF($F206=H$189,H86,IF(ABS(H$190)&lt;0.001,0,H86*$G206/H$190))</f>
        <v>0</v>
      </c>
      <c r="I206" s="169">
        <f t="shared" si="47"/>
        <v>0</v>
      </c>
      <c r="J206" s="169">
        <f t="shared" si="47"/>
        <v>0</v>
      </c>
      <c r="K206" s="169">
        <f t="shared" si="47"/>
        <v>0</v>
      </c>
      <c r="L206" s="169">
        <f t="shared" si="47"/>
        <v>0</v>
      </c>
      <c r="M206" s="169">
        <f t="shared" si="47"/>
        <v>0</v>
      </c>
      <c r="N206" s="169">
        <f t="shared" si="47"/>
        <v>0</v>
      </c>
      <c r="O206" s="169">
        <f t="shared" si="47"/>
        <v>0</v>
      </c>
      <c r="P206" s="169">
        <f t="shared" si="47"/>
        <v>0</v>
      </c>
      <c r="Q206" s="169">
        <f t="shared" si="47"/>
        <v>0</v>
      </c>
      <c r="R206" s="169">
        <f t="shared" si="47"/>
        <v>0</v>
      </c>
      <c r="S206" s="169">
        <f t="shared" si="47"/>
        <v>-8.8412192613394239E-2</v>
      </c>
      <c r="T206" s="169">
        <f t="shared" si="47"/>
        <v>0</v>
      </c>
      <c r="U206" s="169">
        <f t="shared" si="47"/>
        <v>0</v>
      </c>
      <c r="V206" s="169">
        <f t="shared" si="47"/>
        <v>0</v>
      </c>
      <c r="W206" s="169">
        <f t="shared" si="47"/>
        <v>1</v>
      </c>
      <c r="X206" s="169">
        <f t="shared" si="47"/>
        <v>0</v>
      </c>
      <c r="Y206" s="169">
        <f t="shared" si="47"/>
        <v>0</v>
      </c>
      <c r="Z206" s="169">
        <f t="shared" si="47"/>
        <v>0</v>
      </c>
      <c r="AA206" s="169">
        <f t="shared" si="47"/>
        <v>0</v>
      </c>
      <c r="AB206" s="169">
        <f t="shared" si="47"/>
        <v>0</v>
      </c>
      <c r="AC206" s="169">
        <f t="shared" si="47"/>
        <v>0</v>
      </c>
      <c r="AD206" s="169">
        <f t="shared" si="47"/>
        <v>0</v>
      </c>
      <c r="AE206" s="169">
        <f t="shared" si="47"/>
        <v>0</v>
      </c>
      <c r="AF206" s="169">
        <f t="shared" si="47"/>
        <v>0</v>
      </c>
      <c r="AG206" s="169">
        <f t="shared" si="47"/>
        <v>0</v>
      </c>
      <c r="AH206" s="169">
        <f t="shared" si="47"/>
        <v>0</v>
      </c>
      <c r="AI206" s="169">
        <f t="shared" si="47"/>
        <v>0</v>
      </c>
      <c r="AJ206" s="169">
        <f t="shared" si="47"/>
        <v>0</v>
      </c>
      <c r="AK206" s="169">
        <f t="shared" si="47"/>
        <v>0</v>
      </c>
      <c r="AL206" s="169">
        <f t="shared" si="47"/>
        <v>0</v>
      </c>
      <c r="AM206" s="227">
        <f t="shared" si="47"/>
        <v>0</v>
      </c>
    </row>
    <row r="207" spans="3:39" x14ac:dyDescent="0.25">
      <c r="C207" s="244" t="str">
        <f>'Fare optimisation'!C100</f>
        <v>Ferry</v>
      </c>
      <c r="D207" s="173">
        <f>'Fare optimisation'!D100</f>
        <v>2</v>
      </c>
      <c r="E207" s="172" t="str">
        <f>'Fare optimisation'!E100</f>
        <v>Peak</v>
      </c>
      <c r="F207" s="173">
        <f>'General inputs'!C45</f>
        <v>17</v>
      </c>
      <c r="G207" s="250">
        <f>'General inputs'!H45*'Fare optimisation'!I232/'General inputs'!G45/1000000</f>
        <v>-9.7336142228743691E-2</v>
      </c>
      <c r="H207" s="169">
        <f t="shared" ref="H207:AM207" si="48">IF($F207=H$189,H87,IF(ABS(H$190)&lt;0.001,0,H87*$G207/H$190))</f>
        <v>0</v>
      </c>
      <c r="I207" s="169">
        <f t="shared" si="48"/>
        <v>0</v>
      </c>
      <c r="J207" s="169">
        <f t="shared" si="48"/>
        <v>0</v>
      </c>
      <c r="K207" s="169">
        <f t="shared" si="48"/>
        <v>0</v>
      </c>
      <c r="L207" s="169">
        <f t="shared" si="48"/>
        <v>0</v>
      </c>
      <c r="M207" s="169">
        <f t="shared" si="48"/>
        <v>0</v>
      </c>
      <c r="N207" s="169">
        <f t="shared" si="48"/>
        <v>0</v>
      </c>
      <c r="O207" s="169">
        <f t="shared" si="48"/>
        <v>0</v>
      </c>
      <c r="P207" s="169">
        <f t="shared" si="48"/>
        <v>-1.7329003190002728E-2</v>
      </c>
      <c r="Q207" s="169">
        <f t="shared" si="48"/>
        <v>0</v>
      </c>
      <c r="R207" s="169">
        <f t="shared" si="48"/>
        <v>0</v>
      </c>
      <c r="S207" s="169">
        <f t="shared" si="48"/>
        <v>0</v>
      </c>
      <c r="T207" s="169">
        <f t="shared" si="48"/>
        <v>0</v>
      </c>
      <c r="U207" s="169">
        <f t="shared" si="48"/>
        <v>0</v>
      </c>
      <c r="V207" s="169">
        <f t="shared" si="48"/>
        <v>0</v>
      </c>
      <c r="W207" s="169">
        <f t="shared" si="48"/>
        <v>0</v>
      </c>
      <c r="X207" s="169">
        <f t="shared" si="48"/>
        <v>1</v>
      </c>
      <c r="Y207" s="169">
        <f t="shared" si="48"/>
        <v>0</v>
      </c>
      <c r="Z207" s="169">
        <f t="shared" si="48"/>
        <v>0</v>
      </c>
      <c r="AA207" s="169">
        <f t="shared" si="48"/>
        <v>0</v>
      </c>
      <c r="AB207" s="169">
        <f t="shared" si="48"/>
        <v>-8.9267365866683421E-2</v>
      </c>
      <c r="AC207" s="169">
        <f t="shared" si="48"/>
        <v>0</v>
      </c>
      <c r="AD207" s="169">
        <f t="shared" si="48"/>
        <v>0</v>
      </c>
      <c r="AE207" s="169">
        <f t="shared" si="48"/>
        <v>0</v>
      </c>
      <c r="AF207" s="169">
        <f t="shared" si="48"/>
        <v>0</v>
      </c>
      <c r="AG207" s="169">
        <f t="shared" si="48"/>
        <v>0</v>
      </c>
      <c r="AH207" s="169">
        <f t="shared" si="48"/>
        <v>0</v>
      </c>
      <c r="AI207" s="169">
        <f t="shared" si="48"/>
        <v>0</v>
      </c>
      <c r="AJ207" s="169">
        <f t="shared" si="48"/>
        <v>0</v>
      </c>
      <c r="AK207" s="169">
        <f t="shared" si="48"/>
        <v>0</v>
      </c>
      <c r="AL207" s="169">
        <f t="shared" si="48"/>
        <v>0</v>
      </c>
      <c r="AM207" s="227">
        <f t="shared" si="48"/>
        <v>0</v>
      </c>
    </row>
    <row r="208" spans="3:39" x14ac:dyDescent="0.25">
      <c r="C208" s="244" t="str">
        <f>'Fare optimisation'!C101</f>
        <v>Ferry</v>
      </c>
      <c r="D208" s="173">
        <f>'Fare optimisation'!D101</f>
        <v>5</v>
      </c>
      <c r="E208" s="172" t="str">
        <f>'Fare optimisation'!E101</f>
        <v>Peak</v>
      </c>
      <c r="F208" s="173">
        <f>'General inputs'!C46</f>
        <v>18</v>
      </c>
      <c r="G208" s="250">
        <f>'General inputs'!H46*'Fare optimisation'!I233/'General inputs'!G46/1000000</f>
        <v>-7.9850645407858037E-2</v>
      </c>
      <c r="H208" s="169">
        <f t="shared" ref="H208:AM208" si="49">IF($F208=H$189,H88,IF(ABS(H$190)&lt;0.001,0,H88*$G208/H$190))</f>
        <v>0</v>
      </c>
      <c r="I208" s="169">
        <f t="shared" si="49"/>
        <v>0</v>
      </c>
      <c r="J208" s="169">
        <f t="shared" si="49"/>
        <v>0</v>
      </c>
      <c r="K208" s="169">
        <f t="shared" si="49"/>
        <v>0</v>
      </c>
      <c r="L208" s="169">
        <f t="shared" si="49"/>
        <v>0</v>
      </c>
      <c r="M208" s="169">
        <f t="shared" si="49"/>
        <v>0</v>
      </c>
      <c r="N208" s="169">
        <f t="shared" si="49"/>
        <v>0</v>
      </c>
      <c r="O208" s="169">
        <f t="shared" si="49"/>
        <v>0</v>
      </c>
      <c r="P208" s="169">
        <f t="shared" si="49"/>
        <v>0</v>
      </c>
      <c r="Q208" s="169">
        <f t="shared" si="49"/>
        <v>-3.331160297885663E-2</v>
      </c>
      <c r="R208" s="169">
        <f t="shared" si="49"/>
        <v>0</v>
      </c>
      <c r="S208" s="169">
        <f t="shared" si="49"/>
        <v>0</v>
      </c>
      <c r="T208" s="169">
        <f t="shared" si="49"/>
        <v>0</v>
      </c>
      <c r="U208" s="169">
        <f t="shared" si="49"/>
        <v>0</v>
      </c>
      <c r="V208" s="169">
        <f t="shared" si="49"/>
        <v>0</v>
      </c>
      <c r="W208" s="169">
        <f t="shared" si="49"/>
        <v>0</v>
      </c>
      <c r="X208" s="169">
        <f t="shared" si="49"/>
        <v>0</v>
      </c>
      <c r="Y208" s="169">
        <f t="shared" si="49"/>
        <v>1</v>
      </c>
      <c r="Z208" s="169">
        <f t="shared" si="49"/>
        <v>0</v>
      </c>
      <c r="AA208" s="169">
        <f t="shared" si="49"/>
        <v>0</v>
      </c>
      <c r="AB208" s="169">
        <f t="shared" si="49"/>
        <v>0</v>
      </c>
      <c r="AC208" s="169">
        <f t="shared" si="49"/>
        <v>-0.11812970960910596</v>
      </c>
      <c r="AD208" s="169">
        <f t="shared" si="49"/>
        <v>0</v>
      </c>
      <c r="AE208" s="169">
        <f t="shared" si="49"/>
        <v>0</v>
      </c>
      <c r="AF208" s="169">
        <f t="shared" si="49"/>
        <v>0</v>
      </c>
      <c r="AG208" s="169">
        <f t="shared" si="49"/>
        <v>0</v>
      </c>
      <c r="AH208" s="169">
        <f t="shared" si="49"/>
        <v>0</v>
      </c>
      <c r="AI208" s="169">
        <f t="shared" si="49"/>
        <v>0</v>
      </c>
      <c r="AJ208" s="169">
        <f t="shared" si="49"/>
        <v>0</v>
      </c>
      <c r="AK208" s="169">
        <f t="shared" si="49"/>
        <v>0</v>
      </c>
      <c r="AL208" s="169">
        <f t="shared" si="49"/>
        <v>0</v>
      </c>
      <c r="AM208" s="227">
        <f t="shared" si="49"/>
        <v>0</v>
      </c>
    </row>
    <row r="209" spans="3:39" x14ac:dyDescent="0.25">
      <c r="C209" s="244" t="str">
        <f>'Fare optimisation'!C102</f>
        <v>Ferry</v>
      </c>
      <c r="D209" s="173">
        <f>'Fare optimisation'!D102</f>
        <v>15</v>
      </c>
      <c r="E209" s="172" t="str">
        <f>'Fare optimisation'!E102</f>
        <v>Peak</v>
      </c>
      <c r="F209" s="173">
        <f>'General inputs'!C47</f>
        <v>19</v>
      </c>
      <c r="G209" s="250">
        <f>'General inputs'!H47*'Fare optimisation'!I234/'General inputs'!G47/1000000</f>
        <v>-0.10940201649229644</v>
      </c>
      <c r="H209" s="169">
        <f t="shared" ref="H209:AM209" si="50">IF($F209=H$189,H89,IF(ABS(H$190)&lt;0.001,0,H89*$G209/H$190))</f>
        <v>0</v>
      </c>
      <c r="I209" s="169">
        <f t="shared" si="50"/>
        <v>0</v>
      </c>
      <c r="J209" s="169">
        <f t="shared" si="50"/>
        <v>0</v>
      </c>
      <c r="K209" s="169">
        <f t="shared" si="50"/>
        <v>0</v>
      </c>
      <c r="L209" s="169">
        <f t="shared" si="50"/>
        <v>0</v>
      </c>
      <c r="M209" s="169">
        <f t="shared" si="50"/>
        <v>0</v>
      </c>
      <c r="N209" s="169">
        <f t="shared" si="50"/>
        <v>0</v>
      </c>
      <c r="O209" s="169">
        <f t="shared" si="50"/>
        <v>0</v>
      </c>
      <c r="P209" s="169">
        <f t="shared" si="50"/>
        <v>0</v>
      </c>
      <c r="Q209" s="169">
        <f t="shared" si="50"/>
        <v>0</v>
      </c>
      <c r="R209" s="169">
        <f t="shared" si="50"/>
        <v>-8.7869039824203701E-2</v>
      </c>
      <c r="S209" s="169">
        <f t="shared" si="50"/>
        <v>0</v>
      </c>
      <c r="T209" s="169">
        <f t="shared" si="50"/>
        <v>0</v>
      </c>
      <c r="U209" s="169">
        <f t="shared" si="50"/>
        <v>0</v>
      </c>
      <c r="V209" s="169">
        <f t="shared" si="50"/>
        <v>0</v>
      </c>
      <c r="W209" s="169">
        <f t="shared" si="50"/>
        <v>0</v>
      </c>
      <c r="X209" s="169">
        <f t="shared" si="50"/>
        <v>0</v>
      </c>
      <c r="Y209" s="169">
        <f t="shared" si="50"/>
        <v>0</v>
      </c>
      <c r="Z209" s="169">
        <f t="shared" si="50"/>
        <v>1</v>
      </c>
      <c r="AA209" s="169">
        <f t="shared" si="50"/>
        <v>0</v>
      </c>
      <c r="AB209" s="169">
        <f t="shared" si="50"/>
        <v>0</v>
      </c>
      <c r="AC209" s="169">
        <f t="shared" si="50"/>
        <v>0</v>
      </c>
      <c r="AD209" s="169">
        <f t="shared" si="50"/>
        <v>-7.994916047570394E-2</v>
      </c>
      <c r="AE209" s="169">
        <f t="shared" si="50"/>
        <v>0</v>
      </c>
      <c r="AF209" s="169">
        <f t="shared" si="50"/>
        <v>0</v>
      </c>
      <c r="AG209" s="169">
        <f t="shared" si="50"/>
        <v>0</v>
      </c>
      <c r="AH209" s="169">
        <f t="shared" si="50"/>
        <v>0</v>
      </c>
      <c r="AI209" s="169">
        <f t="shared" si="50"/>
        <v>0</v>
      </c>
      <c r="AJ209" s="169">
        <f t="shared" si="50"/>
        <v>0</v>
      </c>
      <c r="AK209" s="169">
        <f t="shared" si="50"/>
        <v>0</v>
      </c>
      <c r="AL209" s="169">
        <f t="shared" si="50"/>
        <v>0</v>
      </c>
      <c r="AM209" s="227">
        <f t="shared" si="50"/>
        <v>0</v>
      </c>
    </row>
    <row r="210" spans="3:39" x14ac:dyDescent="0.25">
      <c r="C210" s="244" t="str">
        <f>'Fare optimisation'!C103</f>
        <v>Ferry</v>
      </c>
      <c r="D210" s="173">
        <f>'Fare optimisation'!D103</f>
        <v>25</v>
      </c>
      <c r="E210" s="172" t="str">
        <f>'Fare optimisation'!E103</f>
        <v>Peak</v>
      </c>
      <c r="F210" s="173">
        <f>'General inputs'!C48</f>
        <v>20</v>
      </c>
      <c r="G210" s="250">
        <f>'General inputs'!H48*'Fare optimisation'!I235/'General inputs'!G48/1000000</f>
        <v>-2.2924621360246407E-3</v>
      </c>
      <c r="H210" s="169">
        <f t="shared" ref="H210:AM210" si="51">IF($F210=H$189,H90,IF(ABS(H$190)&lt;0.001,0,H90*$G210/H$190))</f>
        <v>0</v>
      </c>
      <c r="I210" s="169">
        <f t="shared" si="51"/>
        <v>0</v>
      </c>
      <c r="J210" s="169">
        <f t="shared" si="51"/>
        <v>0</v>
      </c>
      <c r="K210" s="169">
        <f t="shared" si="51"/>
        <v>0</v>
      </c>
      <c r="L210" s="169">
        <f t="shared" si="51"/>
        <v>0</v>
      </c>
      <c r="M210" s="169">
        <f t="shared" si="51"/>
        <v>0</v>
      </c>
      <c r="N210" s="169">
        <f t="shared" si="51"/>
        <v>0</v>
      </c>
      <c r="O210" s="169">
        <f t="shared" si="51"/>
        <v>0</v>
      </c>
      <c r="P210" s="169">
        <f t="shared" si="51"/>
        <v>0</v>
      </c>
      <c r="Q210" s="169">
        <f t="shared" si="51"/>
        <v>0</v>
      </c>
      <c r="R210" s="169">
        <f t="shared" si="51"/>
        <v>0</v>
      </c>
      <c r="S210" s="169">
        <f t="shared" si="51"/>
        <v>-9.4079225139321911E-3</v>
      </c>
      <c r="T210" s="169">
        <f t="shared" si="51"/>
        <v>0</v>
      </c>
      <c r="U210" s="169">
        <f t="shared" si="51"/>
        <v>0</v>
      </c>
      <c r="V210" s="169">
        <f t="shared" si="51"/>
        <v>0</v>
      </c>
      <c r="W210" s="169">
        <f t="shared" si="51"/>
        <v>0</v>
      </c>
      <c r="X210" s="169">
        <f t="shared" si="51"/>
        <v>0</v>
      </c>
      <c r="Y210" s="169">
        <f t="shared" si="51"/>
        <v>0</v>
      </c>
      <c r="Z210" s="169">
        <f t="shared" si="51"/>
        <v>0</v>
      </c>
      <c r="AA210" s="169">
        <f t="shared" si="51"/>
        <v>1</v>
      </c>
      <c r="AB210" s="169">
        <f t="shared" si="51"/>
        <v>0</v>
      </c>
      <c r="AC210" s="169">
        <f t="shared" si="51"/>
        <v>0</v>
      </c>
      <c r="AD210" s="169">
        <f t="shared" si="51"/>
        <v>0</v>
      </c>
      <c r="AE210" s="169">
        <f t="shared" si="51"/>
        <v>-6.5677465607789101E-2</v>
      </c>
      <c r="AF210" s="169">
        <f t="shared" si="51"/>
        <v>0</v>
      </c>
      <c r="AG210" s="169">
        <f t="shared" si="51"/>
        <v>0</v>
      </c>
      <c r="AH210" s="169">
        <f t="shared" si="51"/>
        <v>0</v>
      </c>
      <c r="AI210" s="169">
        <f t="shared" si="51"/>
        <v>0</v>
      </c>
      <c r="AJ210" s="169">
        <f t="shared" si="51"/>
        <v>0</v>
      </c>
      <c r="AK210" s="169">
        <f t="shared" si="51"/>
        <v>0</v>
      </c>
      <c r="AL210" s="169">
        <f t="shared" si="51"/>
        <v>0</v>
      </c>
      <c r="AM210" s="227">
        <f t="shared" si="51"/>
        <v>0</v>
      </c>
    </row>
    <row r="211" spans="3:39" x14ac:dyDescent="0.25">
      <c r="C211" s="244" t="str">
        <f>'Fare optimisation'!C104</f>
        <v>Ferry</v>
      </c>
      <c r="D211" s="173">
        <f>'Fare optimisation'!D104</f>
        <v>2</v>
      </c>
      <c r="E211" s="172" t="str">
        <f>'Fare optimisation'!E104</f>
        <v>Off-peak</v>
      </c>
      <c r="F211" s="173">
        <f>'General inputs'!C49</f>
        <v>21</v>
      </c>
      <c r="G211" s="250">
        <f>'General inputs'!H49*'Fare optimisation'!I236/'General inputs'!G49/1000000</f>
        <v>-0.10903888703752121</v>
      </c>
      <c r="H211" s="169">
        <f t="shared" ref="H211:AM211" si="52">IF($F211=H$189,H91,IF(ABS(H$190)&lt;0.001,0,H91*$G211/H$190))</f>
        <v>0</v>
      </c>
      <c r="I211" s="169">
        <f t="shared" si="52"/>
        <v>0</v>
      </c>
      <c r="J211" s="169">
        <f t="shared" si="52"/>
        <v>0</v>
      </c>
      <c r="K211" s="169">
        <f t="shared" si="52"/>
        <v>0</v>
      </c>
      <c r="L211" s="169">
        <f t="shared" si="52"/>
        <v>0</v>
      </c>
      <c r="M211" s="169">
        <f t="shared" si="52"/>
        <v>0</v>
      </c>
      <c r="N211" s="169">
        <f t="shared" si="52"/>
        <v>0</v>
      </c>
      <c r="O211" s="169">
        <f t="shared" si="52"/>
        <v>0</v>
      </c>
      <c r="P211" s="169">
        <f t="shared" si="52"/>
        <v>0</v>
      </c>
      <c r="Q211" s="169">
        <f t="shared" si="52"/>
        <v>0</v>
      </c>
      <c r="R211" s="169">
        <f t="shared" si="52"/>
        <v>0</v>
      </c>
      <c r="S211" s="169">
        <f t="shared" si="52"/>
        <v>0</v>
      </c>
      <c r="T211" s="169">
        <f t="shared" si="52"/>
        <v>-1.3932618720353679E-2</v>
      </c>
      <c r="U211" s="169">
        <f t="shared" si="52"/>
        <v>0</v>
      </c>
      <c r="V211" s="169">
        <f t="shared" si="52"/>
        <v>0</v>
      </c>
      <c r="W211" s="169">
        <f t="shared" si="52"/>
        <v>0</v>
      </c>
      <c r="X211" s="169">
        <f t="shared" si="52"/>
        <v>-0.11202302098769809</v>
      </c>
      <c r="Y211" s="169">
        <f t="shared" si="52"/>
        <v>0</v>
      </c>
      <c r="Z211" s="169">
        <f t="shared" si="52"/>
        <v>0</v>
      </c>
      <c r="AA211" s="169">
        <f t="shared" si="52"/>
        <v>0</v>
      </c>
      <c r="AB211" s="169">
        <f t="shared" si="52"/>
        <v>1</v>
      </c>
      <c r="AC211" s="169">
        <f t="shared" si="52"/>
        <v>0</v>
      </c>
      <c r="AD211" s="169">
        <f t="shared" si="52"/>
        <v>0</v>
      </c>
      <c r="AE211" s="169">
        <f t="shared" si="52"/>
        <v>0</v>
      </c>
      <c r="AF211" s="169">
        <f t="shared" si="52"/>
        <v>0</v>
      </c>
      <c r="AG211" s="169">
        <f t="shared" si="52"/>
        <v>0</v>
      </c>
      <c r="AH211" s="169">
        <f t="shared" si="52"/>
        <v>0</v>
      </c>
      <c r="AI211" s="169">
        <f t="shared" si="52"/>
        <v>0</v>
      </c>
      <c r="AJ211" s="169">
        <f t="shared" si="52"/>
        <v>0</v>
      </c>
      <c r="AK211" s="169">
        <f t="shared" si="52"/>
        <v>0</v>
      </c>
      <c r="AL211" s="169">
        <f t="shared" si="52"/>
        <v>0</v>
      </c>
      <c r="AM211" s="227">
        <f t="shared" si="52"/>
        <v>0</v>
      </c>
    </row>
    <row r="212" spans="3:39" x14ac:dyDescent="0.25">
      <c r="C212" s="244" t="str">
        <f>'Fare optimisation'!C105</f>
        <v>Ferry</v>
      </c>
      <c r="D212" s="173">
        <f>'Fare optimisation'!D105</f>
        <v>5</v>
      </c>
      <c r="E212" s="172" t="str">
        <f>'Fare optimisation'!E105</f>
        <v>Off-peak</v>
      </c>
      <c r="F212" s="173">
        <f>'General inputs'!C50</f>
        <v>22</v>
      </c>
      <c r="G212" s="250">
        <f>'General inputs'!H50*'Fare optimisation'!I237/'General inputs'!G50/1000000</f>
        <v>-6.7595734952778375E-2</v>
      </c>
      <c r="H212" s="169">
        <f t="shared" ref="H212:AM212" si="53">IF($F212=H$189,H92,IF(ABS(H$190)&lt;0.001,0,H92*$G212/H$190))</f>
        <v>0</v>
      </c>
      <c r="I212" s="169">
        <f t="shared" si="53"/>
        <v>0</v>
      </c>
      <c r="J212" s="169">
        <f t="shared" si="53"/>
        <v>0</v>
      </c>
      <c r="K212" s="169">
        <f t="shared" si="53"/>
        <v>0</v>
      </c>
      <c r="L212" s="169">
        <f t="shared" si="53"/>
        <v>0</v>
      </c>
      <c r="M212" s="169">
        <f t="shared" si="53"/>
        <v>0</v>
      </c>
      <c r="N212" s="169">
        <f t="shared" si="53"/>
        <v>0</v>
      </c>
      <c r="O212" s="169">
        <f t="shared" si="53"/>
        <v>0</v>
      </c>
      <c r="P212" s="169">
        <f t="shared" si="53"/>
        <v>0</v>
      </c>
      <c r="Q212" s="169">
        <f t="shared" si="53"/>
        <v>0</v>
      </c>
      <c r="R212" s="169">
        <f t="shared" si="53"/>
        <v>0</v>
      </c>
      <c r="S212" s="169">
        <f t="shared" si="53"/>
        <v>0</v>
      </c>
      <c r="T212" s="169">
        <f t="shared" si="53"/>
        <v>0</v>
      </c>
      <c r="U212" s="169">
        <f t="shared" si="53"/>
        <v>-2.1169648243378657E-2</v>
      </c>
      <c r="V212" s="169">
        <f t="shared" si="53"/>
        <v>0</v>
      </c>
      <c r="W212" s="169">
        <f t="shared" si="53"/>
        <v>0</v>
      </c>
      <c r="X212" s="169">
        <f t="shared" si="53"/>
        <v>0</v>
      </c>
      <c r="Y212" s="169">
        <f t="shared" si="53"/>
        <v>-8.4652709577380997E-2</v>
      </c>
      <c r="Z212" s="169">
        <f t="shared" si="53"/>
        <v>0</v>
      </c>
      <c r="AA212" s="169">
        <f t="shared" si="53"/>
        <v>0</v>
      </c>
      <c r="AB212" s="169">
        <f t="shared" si="53"/>
        <v>0</v>
      </c>
      <c r="AC212" s="169">
        <f t="shared" si="53"/>
        <v>1</v>
      </c>
      <c r="AD212" s="169">
        <f t="shared" si="53"/>
        <v>0</v>
      </c>
      <c r="AE212" s="169">
        <f t="shared" si="53"/>
        <v>0</v>
      </c>
      <c r="AF212" s="169">
        <f t="shared" si="53"/>
        <v>0</v>
      </c>
      <c r="AG212" s="169">
        <f t="shared" si="53"/>
        <v>0</v>
      </c>
      <c r="AH212" s="169">
        <f t="shared" si="53"/>
        <v>0</v>
      </c>
      <c r="AI212" s="169">
        <f t="shared" si="53"/>
        <v>0</v>
      </c>
      <c r="AJ212" s="169">
        <f t="shared" si="53"/>
        <v>0</v>
      </c>
      <c r="AK212" s="169">
        <f t="shared" si="53"/>
        <v>0</v>
      </c>
      <c r="AL212" s="169">
        <f t="shared" si="53"/>
        <v>0</v>
      </c>
      <c r="AM212" s="227">
        <f t="shared" si="53"/>
        <v>0</v>
      </c>
    </row>
    <row r="213" spans="3:39" x14ac:dyDescent="0.25">
      <c r="C213" s="244" t="str">
        <f>'Fare optimisation'!C106</f>
        <v>Ferry</v>
      </c>
      <c r="D213" s="173">
        <f>'Fare optimisation'!D106</f>
        <v>15</v>
      </c>
      <c r="E213" s="172" t="str">
        <f>'Fare optimisation'!E106</f>
        <v>Off-peak</v>
      </c>
      <c r="F213" s="173">
        <f>'General inputs'!C51</f>
        <v>23</v>
      </c>
      <c r="G213" s="250">
        <f>'General inputs'!H51*'Fare optimisation'!I238/'General inputs'!G51/1000000</f>
        <v>-0.13683948129204315</v>
      </c>
      <c r="H213" s="169">
        <f t="shared" ref="H213:AM213" si="54">IF($F213=H$189,H93,IF(ABS(H$190)&lt;0.001,0,H93*$G213/H$190))</f>
        <v>0</v>
      </c>
      <c r="I213" s="169">
        <f t="shared" si="54"/>
        <v>0</v>
      </c>
      <c r="J213" s="169">
        <f t="shared" si="54"/>
        <v>0</v>
      </c>
      <c r="K213" s="169">
        <f t="shared" si="54"/>
        <v>0</v>
      </c>
      <c r="L213" s="169">
        <f t="shared" si="54"/>
        <v>0</v>
      </c>
      <c r="M213" s="169">
        <f t="shared" si="54"/>
        <v>0</v>
      </c>
      <c r="N213" s="169">
        <f t="shared" si="54"/>
        <v>0</v>
      </c>
      <c r="O213" s="169">
        <f t="shared" si="54"/>
        <v>0</v>
      </c>
      <c r="P213" s="169">
        <f t="shared" si="54"/>
        <v>0</v>
      </c>
      <c r="Q213" s="169">
        <f t="shared" si="54"/>
        <v>0</v>
      </c>
      <c r="R213" s="169">
        <f t="shared" si="54"/>
        <v>0</v>
      </c>
      <c r="S213" s="169">
        <f t="shared" si="54"/>
        <v>0</v>
      </c>
      <c r="T213" s="169">
        <f t="shared" si="54"/>
        <v>0</v>
      </c>
      <c r="U213" s="169">
        <f t="shared" si="54"/>
        <v>0</v>
      </c>
      <c r="V213" s="169">
        <f t="shared" si="54"/>
        <v>-9.5753824749413546E-2</v>
      </c>
      <c r="W213" s="169">
        <f t="shared" si="54"/>
        <v>0</v>
      </c>
      <c r="X213" s="169">
        <f t="shared" si="54"/>
        <v>0</v>
      </c>
      <c r="Y213" s="169">
        <f t="shared" si="54"/>
        <v>0</v>
      </c>
      <c r="Z213" s="169">
        <f t="shared" si="54"/>
        <v>-0.12507948727040027</v>
      </c>
      <c r="AA213" s="169">
        <f t="shared" si="54"/>
        <v>0</v>
      </c>
      <c r="AB213" s="169">
        <f t="shared" si="54"/>
        <v>0</v>
      </c>
      <c r="AC213" s="169">
        <f t="shared" si="54"/>
        <v>0</v>
      </c>
      <c r="AD213" s="169">
        <f t="shared" si="54"/>
        <v>1</v>
      </c>
      <c r="AE213" s="169">
        <f t="shared" si="54"/>
        <v>0</v>
      </c>
      <c r="AF213" s="169">
        <f t="shared" si="54"/>
        <v>0</v>
      </c>
      <c r="AG213" s="169">
        <f t="shared" si="54"/>
        <v>0</v>
      </c>
      <c r="AH213" s="169">
        <f t="shared" si="54"/>
        <v>0</v>
      </c>
      <c r="AI213" s="169">
        <f t="shared" si="54"/>
        <v>0</v>
      </c>
      <c r="AJ213" s="169">
        <f t="shared" si="54"/>
        <v>0</v>
      </c>
      <c r="AK213" s="169">
        <f t="shared" si="54"/>
        <v>0</v>
      </c>
      <c r="AL213" s="169">
        <f t="shared" si="54"/>
        <v>0</v>
      </c>
      <c r="AM213" s="227">
        <f t="shared" si="54"/>
        <v>0</v>
      </c>
    </row>
    <row r="214" spans="3:39" x14ac:dyDescent="0.25">
      <c r="C214" s="244" t="str">
        <f>'Fare optimisation'!C107</f>
        <v>Ferry</v>
      </c>
      <c r="D214" s="173">
        <f>'Fare optimisation'!D107</f>
        <v>25</v>
      </c>
      <c r="E214" s="172" t="str">
        <f>'Fare optimisation'!E107</f>
        <v>Off-peak</v>
      </c>
      <c r="F214" s="173">
        <f>'General inputs'!C52</f>
        <v>24</v>
      </c>
      <c r="G214" s="250">
        <f>'General inputs'!H52*'Fare optimisation'!I239/'General inputs'!G52/1000000</f>
        <v>-3.4904850770501768E-3</v>
      </c>
      <c r="H214" s="169">
        <f t="shared" ref="H214:AM214" si="55">IF($F214=H$189,H94,IF(ABS(H$190)&lt;0.001,0,H94*$G214/H$190))</f>
        <v>0</v>
      </c>
      <c r="I214" s="169">
        <f t="shared" si="55"/>
        <v>0</v>
      </c>
      <c r="J214" s="169">
        <f t="shared" si="55"/>
        <v>0</v>
      </c>
      <c r="K214" s="169">
        <f t="shared" si="55"/>
        <v>0</v>
      </c>
      <c r="L214" s="169">
        <f t="shared" si="55"/>
        <v>0</v>
      </c>
      <c r="M214" s="169">
        <f t="shared" si="55"/>
        <v>0</v>
      </c>
      <c r="N214" s="169">
        <f t="shared" si="55"/>
        <v>0</v>
      </c>
      <c r="O214" s="169">
        <f t="shared" si="55"/>
        <v>0</v>
      </c>
      <c r="P214" s="169">
        <f t="shared" si="55"/>
        <v>0</v>
      </c>
      <c r="Q214" s="169">
        <f t="shared" si="55"/>
        <v>0</v>
      </c>
      <c r="R214" s="169">
        <f t="shared" si="55"/>
        <v>0</v>
      </c>
      <c r="S214" s="169">
        <f t="shared" si="55"/>
        <v>0</v>
      </c>
      <c r="T214" s="169">
        <f t="shared" si="55"/>
        <v>0</v>
      </c>
      <c r="U214" s="169">
        <f t="shared" si="55"/>
        <v>0</v>
      </c>
      <c r="V214" s="169">
        <f t="shared" si="55"/>
        <v>0</v>
      </c>
      <c r="W214" s="169">
        <f t="shared" si="55"/>
        <v>-1.6201871558312705E-2</v>
      </c>
      <c r="X214" s="169">
        <f t="shared" si="55"/>
        <v>0</v>
      </c>
      <c r="Y214" s="169">
        <f t="shared" si="55"/>
        <v>0</v>
      </c>
      <c r="Z214" s="169">
        <f t="shared" si="55"/>
        <v>0</v>
      </c>
      <c r="AA214" s="169">
        <f t="shared" si="55"/>
        <v>-0.15225922479587944</v>
      </c>
      <c r="AB214" s="169">
        <f t="shared" si="55"/>
        <v>0</v>
      </c>
      <c r="AC214" s="169">
        <f t="shared" si="55"/>
        <v>0</v>
      </c>
      <c r="AD214" s="169">
        <f t="shared" si="55"/>
        <v>0</v>
      </c>
      <c r="AE214" s="169">
        <f t="shared" si="55"/>
        <v>1</v>
      </c>
      <c r="AF214" s="169">
        <f t="shared" si="55"/>
        <v>0</v>
      </c>
      <c r="AG214" s="169">
        <f t="shared" si="55"/>
        <v>0</v>
      </c>
      <c r="AH214" s="169">
        <f t="shared" si="55"/>
        <v>0</v>
      </c>
      <c r="AI214" s="169">
        <f t="shared" si="55"/>
        <v>0</v>
      </c>
      <c r="AJ214" s="169">
        <f t="shared" si="55"/>
        <v>0</v>
      </c>
      <c r="AK214" s="169">
        <f t="shared" si="55"/>
        <v>0</v>
      </c>
      <c r="AL214" s="169">
        <f t="shared" si="55"/>
        <v>0</v>
      </c>
      <c r="AM214" s="227">
        <f t="shared" si="55"/>
        <v>0</v>
      </c>
    </row>
    <row r="215" spans="3:39" x14ac:dyDescent="0.25">
      <c r="C215" s="244" t="str">
        <f>'Fare optimisation'!C108</f>
        <v>Light Rail</v>
      </c>
      <c r="D215" s="173">
        <f>'Fare optimisation'!D108</f>
        <v>2</v>
      </c>
      <c r="E215" s="172" t="str">
        <f>'Fare optimisation'!E108</f>
        <v>Peak</v>
      </c>
      <c r="F215" s="173">
        <f>'General inputs'!C53</f>
        <v>25</v>
      </c>
      <c r="G215" s="250">
        <f>'General inputs'!H53*'Fare optimisation'!I240/'General inputs'!G53/1000000</f>
        <v>-1.0495465353560443</v>
      </c>
      <c r="H215" s="169">
        <f t="shared" ref="H215:AM215" si="56">IF($F215=H$189,H95,IF(ABS(H$190)&lt;0.001,0,H95*$G215/H$190))</f>
        <v>0</v>
      </c>
      <c r="I215" s="169">
        <f t="shared" si="56"/>
        <v>0</v>
      </c>
      <c r="J215" s="169">
        <f t="shared" si="56"/>
        <v>0</v>
      </c>
      <c r="K215" s="169">
        <f t="shared" si="56"/>
        <v>0</v>
      </c>
      <c r="L215" s="169">
        <f t="shared" si="56"/>
        <v>0</v>
      </c>
      <c r="M215" s="169">
        <f t="shared" si="56"/>
        <v>0</v>
      </c>
      <c r="N215" s="169">
        <f t="shared" si="56"/>
        <v>0</v>
      </c>
      <c r="O215" s="169">
        <f t="shared" si="56"/>
        <v>0</v>
      </c>
      <c r="P215" s="169">
        <f t="shared" si="56"/>
        <v>-0.1021297974775055</v>
      </c>
      <c r="Q215" s="169">
        <f t="shared" si="56"/>
        <v>0</v>
      </c>
      <c r="R215" s="169">
        <f t="shared" si="56"/>
        <v>0</v>
      </c>
      <c r="S215" s="169">
        <f t="shared" si="56"/>
        <v>0</v>
      </c>
      <c r="T215" s="169">
        <f t="shared" si="56"/>
        <v>0</v>
      </c>
      <c r="U215" s="169">
        <f t="shared" si="56"/>
        <v>0</v>
      </c>
      <c r="V215" s="169">
        <f t="shared" si="56"/>
        <v>0</v>
      </c>
      <c r="W215" s="169">
        <f t="shared" si="56"/>
        <v>0</v>
      </c>
      <c r="X215" s="169">
        <f t="shared" si="56"/>
        <v>0</v>
      </c>
      <c r="Y215" s="169">
        <f t="shared" si="56"/>
        <v>0</v>
      </c>
      <c r="Z215" s="169">
        <f t="shared" si="56"/>
        <v>0</v>
      </c>
      <c r="AA215" s="169">
        <f t="shared" si="56"/>
        <v>0</v>
      </c>
      <c r="AB215" s="169">
        <f t="shared" si="56"/>
        <v>0</v>
      </c>
      <c r="AC215" s="169">
        <f t="shared" si="56"/>
        <v>0</v>
      </c>
      <c r="AD215" s="169">
        <f t="shared" si="56"/>
        <v>0</v>
      </c>
      <c r="AE215" s="169">
        <f t="shared" si="56"/>
        <v>0</v>
      </c>
      <c r="AF215" s="169">
        <f t="shared" si="56"/>
        <v>1</v>
      </c>
      <c r="AG215" s="169">
        <f t="shared" si="56"/>
        <v>0</v>
      </c>
      <c r="AH215" s="169">
        <f t="shared" si="56"/>
        <v>0</v>
      </c>
      <c r="AI215" s="169">
        <f t="shared" si="56"/>
        <v>0</v>
      </c>
      <c r="AJ215" s="169">
        <f t="shared" si="56"/>
        <v>-5.9232105186358477E-2</v>
      </c>
      <c r="AK215" s="169">
        <f t="shared" si="56"/>
        <v>0</v>
      </c>
      <c r="AL215" s="169">
        <f t="shared" si="56"/>
        <v>0</v>
      </c>
      <c r="AM215" s="227">
        <f t="shared" si="56"/>
        <v>0</v>
      </c>
    </row>
    <row r="216" spans="3:39" x14ac:dyDescent="0.25">
      <c r="C216" s="244" t="str">
        <f>'Fare optimisation'!C109</f>
        <v>Light Rail</v>
      </c>
      <c r="D216" s="173">
        <f>'Fare optimisation'!D109</f>
        <v>5</v>
      </c>
      <c r="E216" s="172" t="str">
        <f>'Fare optimisation'!E109</f>
        <v>Peak</v>
      </c>
      <c r="F216" s="173">
        <f>'General inputs'!C54</f>
        <v>26</v>
      </c>
      <c r="G216" s="250">
        <f>'General inputs'!H54*'Fare optimisation'!I241/'General inputs'!G54/1000000</f>
        <v>-0.42066686868316788</v>
      </c>
      <c r="H216" s="169">
        <f t="shared" ref="H216:AM216" si="57">IF($F216=H$189,H96,IF(ABS(H$190)&lt;0.001,0,H96*$G216/H$190))</f>
        <v>0</v>
      </c>
      <c r="I216" s="169">
        <f t="shared" si="57"/>
        <v>0</v>
      </c>
      <c r="J216" s="169">
        <f t="shared" si="57"/>
        <v>0</v>
      </c>
      <c r="K216" s="169">
        <f t="shared" si="57"/>
        <v>0</v>
      </c>
      <c r="L216" s="169">
        <f t="shared" si="57"/>
        <v>0</v>
      </c>
      <c r="M216" s="169">
        <f t="shared" si="57"/>
        <v>0</v>
      </c>
      <c r="N216" s="169">
        <f t="shared" si="57"/>
        <v>0</v>
      </c>
      <c r="O216" s="169">
        <f t="shared" si="57"/>
        <v>0</v>
      </c>
      <c r="P216" s="169">
        <f t="shared" si="57"/>
        <v>0</v>
      </c>
      <c r="Q216" s="169">
        <f t="shared" si="57"/>
        <v>-9.5919460877229704E-2</v>
      </c>
      <c r="R216" s="169">
        <f t="shared" si="57"/>
        <v>0</v>
      </c>
      <c r="S216" s="169">
        <f t="shared" si="57"/>
        <v>0</v>
      </c>
      <c r="T216" s="169">
        <f t="shared" si="57"/>
        <v>0</v>
      </c>
      <c r="U216" s="169">
        <f t="shared" si="57"/>
        <v>0</v>
      </c>
      <c r="V216" s="169">
        <f t="shared" si="57"/>
        <v>0</v>
      </c>
      <c r="W216" s="169">
        <f t="shared" si="57"/>
        <v>0</v>
      </c>
      <c r="X216" s="169">
        <f t="shared" si="57"/>
        <v>0</v>
      </c>
      <c r="Y216" s="169">
        <f t="shared" si="57"/>
        <v>0</v>
      </c>
      <c r="Z216" s="169">
        <f t="shared" si="57"/>
        <v>0</v>
      </c>
      <c r="AA216" s="169">
        <f t="shared" si="57"/>
        <v>0</v>
      </c>
      <c r="AB216" s="169">
        <f t="shared" si="57"/>
        <v>0</v>
      </c>
      <c r="AC216" s="169">
        <f t="shared" si="57"/>
        <v>0</v>
      </c>
      <c r="AD216" s="169">
        <f t="shared" si="57"/>
        <v>0</v>
      </c>
      <c r="AE216" s="169">
        <f t="shared" si="57"/>
        <v>0</v>
      </c>
      <c r="AF216" s="169">
        <f t="shared" si="57"/>
        <v>0</v>
      </c>
      <c r="AG216" s="169">
        <f t="shared" si="57"/>
        <v>1</v>
      </c>
      <c r="AH216" s="169">
        <f t="shared" si="57"/>
        <v>0</v>
      </c>
      <c r="AI216" s="169">
        <f t="shared" si="57"/>
        <v>0</v>
      </c>
      <c r="AJ216" s="169">
        <f t="shared" si="57"/>
        <v>0</v>
      </c>
      <c r="AK216" s="169">
        <f t="shared" si="57"/>
        <v>-7.9556721283445861E-2</v>
      </c>
      <c r="AL216" s="169">
        <f t="shared" si="57"/>
        <v>0</v>
      </c>
      <c r="AM216" s="227">
        <f t="shared" si="57"/>
        <v>0</v>
      </c>
    </row>
    <row r="217" spans="3:39" x14ac:dyDescent="0.25">
      <c r="C217" s="244" t="str">
        <f>'Fare optimisation'!C110</f>
        <v>Light Rail</v>
      </c>
      <c r="D217" s="173">
        <f>'Fare optimisation'!D110</f>
        <v>15</v>
      </c>
      <c r="E217" s="172" t="str">
        <f>'Fare optimisation'!E110</f>
        <v>Peak</v>
      </c>
      <c r="F217" s="173">
        <f>'General inputs'!C55</f>
        <v>27</v>
      </c>
      <c r="G217" s="250">
        <f>'General inputs'!H55*'Fare optimisation'!I242/'General inputs'!G55/1000000</f>
        <v>-6.1364647240332401E-2</v>
      </c>
      <c r="H217" s="169">
        <f t="shared" ref="H217:AM217" si="58">IF($F217=H$189,H97,IF(ABS(H$190)&lt;0.001,0,H97*$G217/H$190))</f>
        <v>0</v>
      </c>
      <c r="I217" s="169">
        <f t="shared" si="58"/>
        <v>0</v>
      </c>
      <c r="J217" s="169">
        <f t="shared" si="58"/>
        <v>0</v>
      </c>
      <c r="K217" s="169">
        <f t="shared" si="58"/>
        <v>0</v>
      </c>
      <c r="L217" s="169">
        <f t="shared" si="58"/>
        <v>0</v>
      </c>
      <c r="M217" s="169">
        <f t="shared" si="58"/>
        <v>0</v>
      </c>
      <c r="N217" s="169">
        <f t="shared" si="58"/>
        <v>0</v>
      </c>
      <c r="O217" s="169">
        <f t="shared" si="58"/>
        <v>0</v>
      </c>
      <c r="P217" s="169">
        <f t="shared" si="58"/>
        <v>0</v>
      </c>
      <c r="Q217" s="169">
        <f t="shared" si="58"/>
        <v>0</v>
      </c>
      <c r="R217" s="169">
        <f t="shared" si="58"/>
        <v>-2.6938915939800027E-2</v>
      </c>
      <c r="S217" s="169">
        <f t="shared" si="58"/>
        <v>0</v>
      </c>
      <c r="T217" s="169">
        <f t="shared" si="58"/>
        <v>0</v>
      </c>
      <c r="U217" s="169">
        <f t="shared" si="58"/>
        <v>0</v>
      </c>
      <c r="V217" s="169">
        <f t="shared" si="58"/>
        <v>0</v>
      </c>
      <c r="W217" s="169">
        <f t="shared" si="58"/>
        <v>0</v>
      </c>
      <c r="X217" s="169">
        <f t="shared" si="58"/>
        <v>0</v>
      </c>
      <c r="Y217" s="169">
        <f t="shared" si="58"/>
        <v>0</v>
      </c>
      <c r="Z217" s="169">
        <f t="shared" si="58"/>
        <v>0</v>
      </c>
      <c r="AA217" s="169">
        <f t="shared" si="58"/>
        <v>0</v>
      </c>
      <c r="AB217" s="169">
        <f t="shared" si="58"/>
        <v>0</v>
      </c>
      <c r="AC217" s="169">
        <f t="shared" si="58"/>
        <v>0</v>
      </c>
      <c r="AD217" s="169">
        <f t="shared" si="58"/>
        <v>0</v>
      </c>
      <c r="AE217" s="169">
        <f t="shared" si="58"/>
        <v>0</v>
      </c>
      <c r="AF217" s="169">
        <f t="shared" si="58"/>
        <v>0</v>
      </c>
      <c r="AG217" s="169">
        <f t="shared" si="58"/>
        <v>0</v>
      </c>
      <c r="AH217" s="169">
        <f t="shared" si="58"/>
        <v>1</v>
      </c>
      <c r="AI217" s="169">
        <f t="shared" si="58"/>
        <v>0</v>
      </c>
      <c r="AJ217" s="169">
        <f t="shared" si="58"/>
        <v>0</v>
      </c>
      <c r="AK217" s="169">
        <f t="shared" si="58"/>
        <v>0</v>
      </c>
      <c r="AL217" s="169">
        <f t="shared" si="58"/>
        <v>-8.3154175443488965E-2</v>
      </c>
      <c r="AM217" s="227">
        <f t="shared" si="58"/>
        <v>0</v>
      </c>
    </row>
    <row r="218" spans="3:39" x14ac:dyDescent="0.25">
      <c r="C218" s="244" t="str">
        <f>'Fare optimisation'!C111</f>
        <v>Light Rail</v>
      </c>
      <c r="D218" s="173">
        <f>'Fare optimisation'!D111</f>
        <v>25</v>
      </c>
      <c r="E218" s="172" t="str">
        <f>'Fare optimisation'!E111</f>
        <v>Peak</v>
      </c>
      <c r="F218" s="173">
        <f>'General inputs'!C56</f>
        <v>28</v>
      </c>
      <c r="G218" s="250">
        <f>'General inputs'!H56*'Fare optimisation'!I243/'General inputs'!G56/1000000</f>
        <v>0</v>
      </c>
      <c r="H218" s="169">
        <f t="shared" ref="H218:AM218" si="59">IF($F218=H$189,H98,IF(ABS(H$190)&lt;0.001,0,H98*$G218/H$190))</f>
        <v>0</v>
      </c>
      <c r="I218" s="169">
        <f t="shared" si="59"/>
        <v>0</v>
      </c>
      <c r="J218" s="169">
        <f t="shared" si="59"/>
        <v>0</v>
      </c>
      <c r="K218" s="169">
        <f t="shared" si="59"/>
        <v>0</v>
      </c>
      <c r="L218" s="169">
        <f t="shared" si="59"/>
        <v>0</v>
      </c>
      <c r="M218" s="169">
        <f t="shared" si="59"/>
        <v>0</v>
      </c>
      <c r="N218" s="169">
        <f t="shared" si="59"/>
        <v>0</v>
      </c>
      <c r="O218" s="169">
        <f t="shared" si="59"/>
        <v>0</v>
      </c>
      <c r="P218" s="169">
        <f t="shared" si="59"/>
        <v>0</v>
      </c>
      <c r="Q218" s="169">
        <f t="shared" si="59"/>
        <v>0</v>
      </c>
      <c r="R218" s="169">
        <f t="shared" si="59"/>
        <v>0</v>
      </c>
      <c r="S218" s="169">
        <f t="shared" si="59"/>
        <v>0</v>
      </c>
      <c r="T218" s="169">
        <f t="shared" si="59"/>
        <v>0</v>
      </c>
      <c r="U218" s="169">
        <f t="shared" si="59"/>
        <v>0</v>
      </c>
      <c r="V218" s="169">
        <f t="shared" si="59"/>
        <v>0</v>
      </c>
      <c r="W218" s="169">
        <f t="shared" si="59"/>
        <v>0</v>
      </c>
      <c r="X218" s="169">
        <f t="shared" si="59"/>
        <v>0</v>
      </c>
      <c r="Y218" s="169">
        <f t="shared" si="59"/>
        <v>0</v>
      </c>
      <c r="Z218" s="169">
        <f t="shared" si="59"/>
        <v>0</v>
      </c>
      <c r="AA218" s="169">
        <f t="shared" si="59"/>
        <v>0</v>
      </c>
      <c r="AB218" s="169">
        <f t="shared" si="59"/>
        <v>0</v>
      </c>
      <c r="AC218" s="169">
        <f t="shared" si="59"/>
        <v>0</v>
      </c>
      <c r="AD218" s="169">
        <f t="shared" si="59"/>
        <v>0</v>
      </c>
      <c r="AE218" s="169">
        <f t="shared" si="59"/>
        <v>0</v>
      </c>
      <c r="AF218" s="169">
        <f t="shared" si="59"/>
        <v>0</v>
      </c>
      <c r="AG218" s="169">
        <f t="shared" si="59"/>
        <v>0</v>
      </c>
      <c r="AH218" s="169">
        <f t="shared" si="59"/>
        <v>0</v>
      </c>
      <c r="AI218" s="169">
        <f t="shared" si="59"/>
        <v>1</v>
      </c>
      <c r="AJ218" s="169">
        <f t="shared" si="59"/>
        <v>0</v>
      </c>
      <c r="AK218" s="169">
        <f t="shared" si="59"/>
        <v>0</v>
      </c>
      <c r="AL218" s="169">
        <f t="shared" si="59"/>
        <v>0</v>
      </c>
      <c r="AM218" s="227">
        <f t="shared" si="59"/>
        <v>0</v>
      </c>
    </row>
    <row r="219" spans="3:39" x14ac:dyDescent="0.25">
      <c r="C219" s="244" t="str">
        <f>'Fare optimisation'!C112</f>
        <v>Light Rail</v>
      </c>
      <c r="D219" s="173">
        <f>'Fare optimisation'!D112</f>
        <v>2</v>
      </c>
      <c r="E219" s="172" t="str">
        <f>'Fare optimisation'!E112</f>
        <v>Off-peak</v>
      </c>
      <c r="F219" s="173">
        <f>'General inputs'!C57</f>
        <v>29</v>
      </c>
      <c r="G219" s="250">
        <f>'General inputs'!H57*'Fare optimisation'!I244/'General inputs'!G57/1000000</f>
        <v>-1.7719217172071091</v>
      </c>
      <c r="H219" s="169">
        <f t="shared" ref="H219:AM219" si="60">IF($F219=H$189,H99,IF(ABS(H$190)&lt;0.001,0,H99*$G219/H$190))</f>
        <v>0</v>
      </c>
      <c r="I219" s="169">
        <f t="shared" si="60"/>
        <v>0</v>
      </c>
      <c r="J219" s="169">
        <f t="shared" si="60"/>
        <v>0</v>
      </c>
      <c r="K219" s="169">
        <f t="shared" si="60"/>
        <v>0</v>
      </c>
      <c r="L219" s="169">
        <f t="shared" si="60"/>
        <v>0</v>
      </c>
      <c r="M219" s="169">
        <f t="shared" si="60"/>
        <v>0</v>
      </c>
      <c r="N219" s="169">
        <f t="shared" si="60"/>
        <v>0</v>
      </c>
      <c r="O219" s="169">
        <f t="shared" si="60"/>
        <v>0</v>
      </c>
      <c r="P219" s="169">
        <f t="shared" si="60"/>
        <v>0</v>
      </c>
      <c r="Q219" s="169">
        <f t="shared" si="60"/>
        <v>0</v>
      </c>
      <c r="R219" s="169">
        <f t="shared" si="60"/>
        <v>0</v>
      </c>
      <c r="S219" s="169">
        <f t="shared" si="60"/>
        <v>0</v>
      </c>
      <c r="T219" s="169">
        <f t="shared" si="60"/>
        <v>-0.1237505656609199</v>
      </c>
      <c r="U219" s="169">
        <f t="shared" si="60"/>
        <v>0</v>
      </c>
      <c r="V219" s="169">
        <f t="shared" si="60"/>
        <v>0</v>
      </c>
      <c r="W219" s="169">
        <f t="shared" si="60"/>
        <v>0</v>
      </c>
      <c r="X219" s="169">
        <f t="shared" si="60"/>
        <v>0</v>
      </c>
      <c r="Y219" s="169">
        <f t="shared" si="60"/>
        <v>0</v>
      </c>
      <c r="Z219" s="169">
        <f t="shared" si="60"/>
        <v>0</v>
      </c>
      <c r="AA219" s="169">
        <f t="shared" si="60"/>
        <v>0</v>
      </c>
      <c r="AB219" s="169">
        <f t="shared" si="60"/>
        <v>0</v>
      </c>
      <c r="AC219" s="169">
        <f t="shared" si="60"/>
        <v>0</v>
      </c>
      <c r="AD219" s="169">
        <f t="shared" si="60"/>
        <v>0</v>
      </c>
      <c r="AE219" s="169">
        <f t="shared" si="60"/>
        <v>0</v>
      </c>
      <c r="AF219" s="169">
        <f t="shared" si="60"/>
        <v>-0.16882736091411221</v>
      </c>
      <c r="AG219" s="169">
        <f t="shared" si="60"/>
        <v>0</v>
      </c>
      <c r="AH219" s="169">
        <f t="shared" si="60"/>
        <v>0</v>
      </c>
      <c r="AI219" s="169">
        <f t="shared" si="60"/>
        <v>0</v>
      </c>
      <c r="AJ219" s="169">
        <f t="shared" si="60"/>
        <v>1</v>
      </c>
      <c r="AK219" s="169">
        <f t="shared" si="60"/>
        <v>0</v>
      </c>
      <c r="AL219" s="169">
        <f t="shared" si="60"/>
        <v>0</v>
      </c>
      <c r="AM219" s="227">
        <f t="shared" si="60"/>
        <v>0</v>
      </c>
    </row>
    <row r="220" spans="3:39" x14ac:dyDescent="0.25">
      <c r="C220" s="244" t="str">
        <f>'Fare optimisation'!C113</f>
        <v>Light Rail</v>
      </c>
      <c r="D220" s="173">
        <f>'Fare optimisation'!D113</f>
        <v>5</v>
      </c>
      <c r="E220" s="172" t="str">
        <f>'Fare optimisation'!E113</f>
        <v>Off-peak</v>
      </c>
      <c r="F220" s="173">
        <f>'General inputs'!C58</f>
        <v>30</v>
      </c>
      <c r="G220" s="250">
        <f>'General inputs'!H58*'Fare optimisation'!I245/'General inputs'!G58/1000000</f>
        <v>-0.52876345567888572</v>
      </c>
      <c r="H220" s="169">
        <f t="shared" ref="H220:AM220" si="61">IF($F220=H$189,H100,IF(ABS(H$190)&lt;0.001,0,H100*$G220/H$190))</f>
        <v>0</v>
      </c>
      <c r="I220" s="169">
        <f t="shared" si="61"/>
        <v>0</v>
      </c>
      <c r="J220" s="169">
        <f t="shared" si="61"/>
        <v>0</v>
      </c>
      <c r="K220" s="169">
        <f t="shared" si="61"/>
        <v>0</v>
      </c>
      <c r="L220" s="169">
        <f t="shared" si="61"/>
        <v>0</v>
      </c>
      <c r="M220" s="169">
        <f t="shared" si="61"/>
        <v>0</v>
      </c>
      <c r="N220" s="169">
        <f t="shared" si="61"/>
        <v>0</v>
      </c>
      <c r="O220" s="169">
        <f t="shared" si="61"/>
        <v>0</v>
      </c>
      <c r="P220" s="169">
        <f t="shared" si="61"/>
        <v>0</v>
      </c>
      <c r="Q220" s="169">
        <f t="shared" si="61"/>
        <v>0</v>
      </c>
      <c r="R220" s="169">
        <f t="shared" si="61"/>
        <v>0</v>
      </c>
      <c r="S220" s="169">
        <f t="shared" si="61"/>
        <v>0</v>
      </c>
      <c r="T220" s="169">
        <f t="shared" si="61"/>
        <v>0</v>
      </c>
      <c r="U220" s="169">
        <f t="shared" si="61"/>
        <v>-9.0512195403313206E-2</v>
      </c>
      <c r="V220" s="169">
        <f t="shared" si="61"/>
        <v>0</v>
      </c>
      <c r="W220" s="169">
        <f t="shared" si="61"/>
        <v>0</v>
      </c>
      <c r="X220" s="169">
        <f t="shared" si="61"/>
        <v>0</v>
      </c>
      <c r="Y220" s="169">
        <f t="shared" si="61"/>
        <v>0</v>
      </c>
      <c r="Z220" s="169">
        <f t="shared" si="61"/>
        <v>0</v>
      </c>
      <c r="AA220" s="169">
        <f t="shared" si="61"/>
        <v>0</v>
      </c>
      <c r="AB220" s="169">
        <f t="shared" si="61"/>
        <v>0</v>
      </c>
      <c r="AC220" s="169">
        <f t="shared" si="61"/>
        <v>0</v>
      </c>
      <c r="AD220" s="169">
        <f t="shared" si="61"/>
        <v>0</v>
      </c>
      <c r="AE220" s="169">
        <f t="shared" si="61"/>
        <v>0</v>
      </c>
      <c r="AF220" s="169">
        <f t="shared" si="61"/>
        <v>0</v>
      </c>
      <c r="AG220" s="169">
        <f t="shared" si="61"/>
        <v>-0.12569648219126392</v>
      </c>
      <c r="AH220" s="169">
        <f t="shared" si="61"/>
        <v>0</v>
      </c>
      <c r="AI220" s="169">
        <f t="shared" si="61"/>
        <v>0</v>
      </c>
      <c r="AJ220" s="169">
        <f t="shared" si="61"/>
        <v>0</v>
      </c>
      <c r="AK220" s="169">
        <f t="shared" si="61"/>
        <v>1</v>
      </c>
      <c r="AL220" s="169">
        <f t="shared" si="61"/>
        <v>0</v>
      </c>
      <c r="AM220" s="227">
        <f t="shared" si="61"/>
        <v>0</v>
      </c>
    </row>
    <row r="221" spans="3:39" x14ac:dyDescent="0.25">
      <c r="C221" s="244" t="str">
        <f>'Fare optimisation'!C114</f>
        <v>Light Rail</v>
      </c>
      <c r="D221" s="173">
        <f>'Fare optimisation'!D114</f>
        <v>15</v>
      </c>
      <c r="E221" s="172" t="str">
        <f>'Fare optimisation'!E114</f>
        <v>Off-peak</v>
      </c>
      <c r="F221" s="173">
        <f>'General inputs'!C59</f>
        <v>31</v>
      </c>
      <c r="G221" s="250">
        <f>'General inputs'!H59*'Fare optimisation'!I246/'General inputs'!G59/1000000</f>
        <v>-7.3796230812288463E-2</v>
      </c>
      <c r="H221" s="169">
        <f t="shared" ref="H221:AM221" si="62">IF($F221=H$189,H101,IF(ABS(H$190)&lt;0.001,0,H101*$G221/H$190))</f>
        <v>0</v>
      </c>
      <c r="I221" s="169">
        <f t="shared" si="62"/>
        <v>0</v>
      </c>
      <c r="J221" s="169">
        <f t="shared" si="62"/>
        <v>0</v>
      </c>
      <c r="K221" s="169">
        <f t="shared" si="62"/>
        <v>0</v>
      </c>
      <c r="L221" s="169">
        <f t="shared" si="62"/>
        <v>0</v>
      </c>
      <c r="M221" s="169">
        <f t="shared" si="62"/>
        <v>0</v>
      </c>
      <c r="N221" s="169">
        <f t="shared" si="62"/>
        <v>0</v>
      </c>
      <c r="O221" s="169">
        <f t="shared" si="62"/>
        <v>0</v>
      </c>
      <c r="P221" s="169">
        <f t="shared" si="62"/>
        <v>0</v>
      </c>
      <c r="Q221" s="169">
        <f t="shared" si="62"/>
        <v>0</v>
      </c>
      <c r="R221" s="169">
        <f t="shared" si="62"/>
        <v>0</v>
      </c>
      <c r="S221" s="169">
        <f t="shared" si="62"/>
        <v>0</v>
      </c>
      <c r="T221" s="169">
        <f t="shared" si="62"/>
        <v>0</v>
      </c>
      <c r="U221" s="169">
        <f t="shared" si="62"/>
        <v>0</v>
      </c>
      <c r="V221" s="169">
        <f t="shared" si="62"/>
        <v>-2.8224756955017034E-2</v>
      </c>
      <c r="W221" s="169">
        <f t="shared" si="62"/>
        <v>0</v>
      </c>
      <c r="X221" s="169">
        <f t="shared" si="62"/>
        <v>0</v>
      </c>
      <c r="Y221" s="169">
        <f t="shared" si="62"/>
        <v>0</v>
      </c>
      <c r="Z221" s="169">
        <f t="shared" si="62"/>
        <v>0</v>
      </c>
      <c r="AA221" s="169">
        <f t="shared" si="62"/>
        <v>0</v>
      </c>
      <c r="AB221" s="169">
        <f t="shared" si="62"/>
        <v>0</v>
      </c>
      <c r="AC221" s="169">
        <f t="shared" si="62"/>
        <v>0</v>
      </c>
      <c r="AD221" s="169">
        <f t="shared" si="62"/>
        <v>0</v>
      </c>
      <c r="AE221" s="169">
        <f t="shared" si="62"/>
        <v>0</v>
      </c>
      <c r="AF221" s="169">
        <f t="shared" si="62"/>
        <v>0</v>
      </c>
      <c r="AG221" s="169">
        <f t="shared" si="62"/>
        <v>0</v>
      </c>
      <c r="AH221" s="169">
        <f t="shared" si="62"/>
        <v>-0.12025854320203003</v>
      </c>
      <c r="AI221" s="169">
        <f t="shared" si="62"/>
        <v>0</v>
      </c>
      <c r="AJ221" s="169">
        <f t="shared" si="62"/>
        <v>0</v>
      </c>
      <c r="AK221" s="169">
        <f t="shared" si="62"/>
        <v>0</v>
      </c>
      <c r="AL221" s="169">
        <f t="shared" si="62"/>
        <v>1</v>
      </c>
      <c r="AM221" s="227">
        <f t="shared" si="62"/>
        <v>0</v>
      </c>
    </row>
    <row r="222" spans="3:39" x14ac:dyDescent="0.25">
      <c r="C222" s="253" t="str">
        <f>'Fare optimisation'!C115</f>
        <v>Light Rail</v>
      </c>
      <c r="D222" s="254">
        <f>'Fare optimisation'!D115</f>
        <v>25</v>
      </c>
      <c r="E222" s="255" t="str">
        <f>'Fare optimisation'!E115</f>
        <v>Off-peak</v>
      </c>
      <c r="F222" s="254">
        <f>'General inputs'!C60</f>
        <v>32</v>
      </c>
      <c r="G222" s="250">
        <f>'General inputs'!H60*'Fare optimisation'!I247/'General inputs'!G60/1000000</f>
        <v>0</v>
      </c>
      <c r="H222" s="169">
        <f t="shared" ref="H222:AM222" si="63">IF($F222=H$189,H102,IF(ABS(H$190)&lt;0.001,0,H102*$G222/H$190))</f>
        <v>0</v>
      </c>
      <c r="I222" s="169">
        <f t="shared" si="63"/>
        <v>0</v>
      </c>
      <c r="J222" s="169">
        <f t="shared" si="63"/>
        <v>0</v>
      </c>
      <c r="K222" s="169">
        <f t="shared" si="63"/>
        <v>0</v>
      </c>
      <c r="L222" s="169">
        <f t="shared" si="63"/>
        <v>0</v>
      </c>
      <c r="M222" s="169">
        <f t="shared" si="63"/>
        <v>0</v>
      </c>
      <c r="N222" s="169">
        <f t="shared" si="63"/>
        <v>0</v>
      </c>
      <c r="O222" s="169">
        <f t="shared" si="63"/>
        <v>0</v>
      </c>
      <c r="P222" s="169">
        <f t="shared" si="63"/>
        <v>0</v>
      </c>
      <c r="Q222" s="169">
        <f t="shared" si="63"/>
        <v>0</v>
      </c>
      <c r="R222" s="169">
        <f t="shared" si="63"/>
        <v>0</v>
      </c>
      <c r="S222" s="169">
        <f t="shared" si="63"/>
        <v>0</v>
      </c>
      <c r="T222" s="169">
        <f t="shared" si="63"/>
        <v>0</v>
      </c>
      <c r="U222" s="169">
        <f t="shared" si="63"/>
        <v>0</v>
      </c>
      <c r="V222" s="169">
        <f t="shared" si="63"/>
        <v>0</v>
      </c>
      <c r="W222" s="169">
        <f t="shared" si="63"/>
        <v>0</v>
      </c>
      <c r="X222" s="169">
        <f t="shared" si="63"/>
        <v>0</v>
      </c>
      <c r="Y222" s="169">
        <f t="shared" si="63"/>
        <v>0</v>
      </c>
      <c r="Z222" s="169">
        <f t="shared" si="63"/>
        <v>0</v>
      </c>
      <c r="AA222" s="169">
        <f t="shared" si="63"/>
        <v>0</v>
      </c>
      <c r="AB222" s="169">
        <f t="shared" si="63"/>
        <v>0</v>
      </c>
      <c r="AC222" s="169">
        <f t="shared" si="63"/>
        <v>0</v>
      </c>
      <c r="AD222" s="169">
        <f t="shared" si="63"/>
        <v>0</v>
      </c>
      <c r="AE222" s="169">
        <f t="shared" si="63"/>
        <v>0</v>
      </c>
      <c r="AF222" s="169">
        <f t="shared" si="63"/>
        <v>0</v>
      </c>
      <c r="AG222" s="169">
        <f t="shared" si="63"/>
        <v>0</v>
      </c>
      <c r="AH222" s="169">
        <f t="shared" si="63"/>
        <v>0</v>
      </c>
      <c r="AI222" s="169">
        <f t="shared" si="63"/>
        <v>0</v>
      </c>
      <c r="AJ222" s="169">
        <f t="shared" si="63"/>
        <v>0</v>
      </c>
      <c r="AK222" s="169">
        <f t="shared" si="63"/>
        <v>0</v>
      </c>
      <c r="AL222" s="169">
        <f t="shared" si="63"/>
        <v>0</v>
      </c>
      <c r="AM222" s="227">
        <f t="shared" si="63"/>
        <v>1</v>
      </c>
    </row>
    <row r="223" spans="3:39" x14ac:dyDescent="0.25">
      <c r="C223" s="226"/>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89"/>
      <c r="AL223" s="189"/>
      <c r="AM223" s="189"/>
    </row>
    <row r="224" spans="3:39" x14ac:dyDescent="0.25">
      <c r="C224" s="164"/>
      <c r="H224" s="251"/>
    </row>
    <row r="225" spans="3:36" ht="15.5" x14ac:dyDescent="0.35">
      <c r="C225" s="43" t="str">
        <f>C13</f>
        <v>Table 6 - Array for RHS calculations (on diagonal = 0, off diagonal = 1 (mode i by mode j)</v>
      </c>
      <c r="G225" s="236"/>
      <c r="H225" s="236"/>
      <c r="I225" s="236"/>
    </row>
    <row r="226" spans="3:36" x14ac:dyDescent="0.25">
      <c r="C226" s="188"/>
      <c r="D226" s="189"/>
      <c r="E226" s="189"/>
      <c r="F226" s="189"/>
      <c r="G226" s="189"/>
      <c r="H226" s="189"/>
      <c r="I226" s="189"/>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90"/>
    </row>
    <row r="227" spans="3:36" x14ac:dyDescent="0.25">
      <c r="C227" s="191"/>
      <c r="D227" t="s">
        <v>199</v>
      </c>
      <c r="E227">
        <f t="array" ref="E227:AJ227">TRANSPOSE(C229:C260)</f>
        <v>1</v>
      </c>
      <c r="F227">
        <v>2</v>
      </c>
      <c r="G227">
        <v>3</v>
      </c>
      <c r="H227">
        <v>4</v>
      </c>
      <c r="I227">
        <v>5</v>
      </c>
      <c r="J227">
        <v>6</v>
      </c>
      <c r="K227">
        <v>7</v>
      </c>
      <c r="L227">
        <v>8</v>
      </c>
      <c r="M227">
        <v>9</v>
      </c>
      <c r="N227">
        <v>10</v>
      </c>
      <c r="O227">
        <v>11</v>
      </c>
      <c r="P227">
        <v>12</v>
      </c>
      <c r="Q227">
        <v>13</v>
      </c>
      <c r="R227">
        <v>14</v>
      </c>
      <c r="S227">
        <v>15</v>
      </c>
      <c r="T227">
        <v>16</v>
      </c>
      <c r="U227">
        <v>17</v>
      </c>
      <c r="V227">
        <v>18</v>
      </c>
      <c r="W227">
        <v>19</v>
      </c>
      <c r="X227">
        <v>20</v>
      </c>
      <c r="Y227">
        <v>21</v>
      </c>
      <c r="Z227">
        <v>22</v>
      </c>
      <c r="AA227">
        <v>23</v>
      </c>
      <c r="AB227">
        <v>24</v>
      </c>
      <c r="AC227">
        <v>25</v>
      </c>
      <c r="AD227">
        <v>26</v>
      </c>
      <c r="AE227">
        <v>27</v>
      </c>
      <c r="AF227">
        <v>28</v>
      </c>
      <c r="AG227">
        <v>29</v>
      </c>
      <c r="AH227">
        <v>30</v>
      </c>
      <c r="AI227">
        <v>31</v>
      </c>
      <c r="AJ227" s="195">
        <v>32</v>
      </c>
    </row>
    <row r="228" spans="3:36" x14ac:dyDescent="0.25">
      <c r="C228" s="191" t="s">
        <v>200</v>
      </c>
      <c r="AJ228" s="195"/>
    </row>
    <row r="229" spans="3:36" x14ac:dyDescent="0.25">
      <c r="C229" s="191">
        <f>'General inputs'!C29</f>
        <v>1</v>
      </c>
      <c r="E229">
        <f t="shared" ref="E229:N238" si="64">IF($C229=E$227,0,1)</f>
        <v>0</v>
      </c>
      <c r="F229">
        <f t="shared" si="64"/>
        <v>1</v>
      </c>
      <c r="G229">
        <f t="shared" si="64"/>
        <v>1</v>
      </c>
      <c r="H229">
        <f t="shared" si="64"/>
        <v>1</v>
      </c>
      <c r="I229">
        <f t="shared" si="64"/>
        <v>1</v>
      </c>
      <c r="J229">
        <f t="shared" si="64"/>
        <v>1</v>
      </c>
      <c r="K229">
        <f t="shared" si="64"/>
        <v>1</v>
      </c>
      <c r="L229">
        <f t="shared" si="64"/>
        <v>1</v>
      </c>
      <c r="M229">
        <f t="shared" si="64"/>
        <v>1</v>
      </c>
      <c r="N229">
        <f t="shared" si="64"/>
        <v>1</v>
      </c>
      <c r="O229">
        <f t="shared" ref="O229:X238" si="65">IF($C229=O$227,0,1)</f>
        <v>1</v>
      </c>
      <c r="P229">
        <f t="shared" si="65"/>
        <v>1</v>
      </c>
      <c r="Q229">
        <f t="shared" si="65"/>
        <v>1</v>
      </c>
      <c r="R229">
        <f t="shared" si="65"/>
        <v>1</v>
      </c>
      <c r="S229">
        <f t="shared" si="65"/>
        <v>1</v>
      </c>
      <c r="T229">
        <f t="shared" si="65"/>
        <v>1</v>
      </c>
      <c r="U229">
        <f t="shared" si="65"/>
        <v>1</v>
      </c>
      <c r="V229">
        <f t="shared" si="65"/>
        <v>1</v>
      </c>
      <c r="W229">
        <f t="shared" si="65"/>
        <v>1</v>
      </c>
      <c r="X229">
        <f t="shared" si="65"/>
        <v>1</v>
      </c>
      <c r="Y229">
        <f t="shared" ref="Y229:AJ238" si="66">IF($C229=Y$227,0,1)</f>
        <v>1</v>
      </c>
      <c r="Z229">
        <f t="shared" si="66"/>
        <v>1</v>
      </c>
      <c r="AA229">
        <f t="shared" si="66"/>
        <v>1</v>
      </c>
      <c r="AB229">
        <f t="shared" si="66"/>
        <v>1</v>
      </c>
      <c r="AC229">
        <f t="shared" si="66"/>
        <v>1</v>
      </c>
      <c r="AD229">
        <f t="shared" si="66"/>
        <v>1</v>
      </c>
      <c r="AE229">
        <f t="shared" si="66"/>
        <v>1</v>
      </c>
      <c r="AF229">
        <f t="shared" si="66"/>
        <v>1</v>
      </c>
      <c r="AG229">
        <f t="shared" si="66"/>
        <v>1</v>
      </c>
      <c r="AH229">
        <f t="shared" si="66"/>
        <v>1</v>
      </c>
      <c r="AI229">
        <f t="shared" si="66"/>
        <v>1</v>
      </c>
      <c r="AJ229" s="195">
        <f t="shared" si="66"/>
        <v>1</v>
      </c>
    </row>
    <row r="230" spans="3:36" x14ac:dyDescent="0.25">
      <c r="C230" s="191">
        <f>'General inputs'!C30</f>
        <v>2</v>
      </c>
      <c r="E230">
        <f t="shared" si="64"/>
        <v>1</v>
      </c>
      <c r="F230">
        <f t="shared" si="64"/>
        <v>0</v>
      </c>
      <c r="G230">
        <f t="shared" si="64"/>
        <v>1</v>
      </c>
      <c r="H230">
        <f t="shared" si="64"/>
        <v>1</v>
      </c>
      <c r="I230">
        <f t="shared" si="64"/>
        <v>1</v>
      </c>
      <c r="J230">
        <f t="shared" si="64"/>
        <v>1</v>
      </c>
      <c r="K230">
        <f t="shared" si="64"/>
        <v>1</v>
      </c>
      <c r="L230">
        <f t="shared" si="64"/>
        <v>1</v>
      </c>
      <c r="M230">
        <f t="shared" si="64"/>
        <v>1</v>
      </c>
      <c r="N230">
        <f t="shared" si="64"/>
        <v>1</v>
      </c>
      <c r="O230">
        <f t="shared" si="65"/>
        <v>1</v>
      </c>
      <c r="P230">
        <f t="shared" si="65"/>
        <v>1</v>
      </c>
      <c r="Q230">
        <f t="shared" si="65"/>
        <v>1</v>
      </c>
      <c r="R230">
        <f t="shared" si="65"/>
        <v>1</v>
      </c>
      <c r="S230">
        <f t="shared" si="65"/>
        <v>1</v>
      </c>
      <c r="T230">
        <f t="shared" si="65"/>
        <v>1</v>
      </c>
      <c r="U230">
        <f t="shared" si="65"/>
        <v>1</v>
      </c>
      <c r="V230">
        <f t="shared" si="65"/>
        <v>1</v>
      </c>
      <c r="W230">
        <f t="shared" si="65"/>
        <v>1</v>
      </c>
      <c r="X230">
        <f t="shared" si="65"/>
        <v>1</v>
      </c>
      <c r="Y230">
        <f t="shared" si="66"/>
        <v>1</v>
      </c>
      <c r="Z230">
        <f t="shared" si="66"/>
        <v>1</v>
      </c>
      <c r="AA230">
        <f t="shared" si="66"/>
        <v>1</v>
      </c>
      <c r="AB230">
        <f t="shared" si="66"/>
        <v>1</v>
      </c>
      <c r="AC230">
        <f t="shared" si="66"/>
        <v>1</v>
      </c>
      <c r="AD230">
        <f t="shared" si="66"/>
        <v>1</v>
      </c>
      <c r="AE230">
        <f t="shared" si="66"/>
        <v>1</v>
      </c>
      <c r="AF230">
        <f t="shared" si="66"/>
        <v>1</v>
      </c>
      <c r="AG230">
        <f t="shared" si="66"/>
        <v>1</v>
      </c>
      <c r="AH230">
        <f t="shared" si="66"/>
        <v>1</v>
      </c>
      <c r="AI230">
        <f t="shared" si="66"/>
        <v>1</v>
      </c>
      <c r="AJ230" s="195">
        <f t="shared" si="66"/>
        <v>1</v>
      </c>
    </row>
    <row r="231" spans="3:36" x14ac:dyDescent="0.25">
      <c r="C231" s="191">
        <f>'General inputs'!C31</f>
        <v>3</v>
      </c>
      <c r="E231">
        <f t="shared" si="64"/>
        <v>1</v>
      </c>
      <c r="F231">
        <f t="shared" si="64"/>
        <v>1</v>
      </c>
      <c r="G231">
        <f t="shared" si="64"/>
        <v>0</v>
      </c>
      <c r="H231">
        <f t="shared" si="64"/>
        <v>1</v>
      </c>
      <c r="I231">
        <f t="shared" si="64"/>
        <v>1</v>
      </c>
      <c r="J231">
        <f t="shared" si="64"/>
        <v>1</v>
      </c>
      <c r="K231">
        <f t="shared" si="64"/>
        <v>1</v>
      </c>
      <c r="L231">
        <f t="shared" si="64"/>
        <v>1</v>
      </c>
      <c r="M231">
        <f t="shared" si="64"/>
        <v>1</v>
      </c>
      <c r="N231">
        <f t="shared" si="64"/>
        <v>1</v>
      </c>
      <c r="O231">
        <f t="shared" si="65"/>
        <v>1</v>
      </c>
      <c r="P231">
        <f t="shared" si="65"/>
        <v>1</v>
      </c>
      <c r="Q231">
        <f t="shared" si="65"/>
        <v>1</v>
      </c>
      <c r="R231">
        <f t="shared" si="65"/>
        <v>1</v>
      </c>
      <c r="S231">
        <f t="shared" si="65"/>
        <v>1</v>
      </c>
      <c r="T231">
        <f t="shared" si="65"/>
        <v>1</v>
      </c>
      <c r="U231">
        <f t="shared" si="65"/>
        <v>1</v>
      </c>
      <c r="V231">
        <f t="shared" si="65"/>
        <v>1</v>
      </c>
      <c r="W231">
        <f t="shared" si="65"/>
        <v>1</v>
      </c>
      <c r="X231">
        <f t="shared" si="65"/>
        <v>1</v>
      </c>
      <c r="Y231">
        <f t="shared" si="66"/>
        <v>1</v>
      </c>
      <c r="Z231">
        <f t="shared" si="66"/>
        <v>1</v>
      </c>
      <c r="AA231">
        <f t="shared" si="66"/>
        <v>1</v>
      </c>
      <c r="AB231">
        <f t="shared" si="66"/>
        <v>1</v>
      </c>
      <c r="AC231">
        <f t="shared" si="66"/>
        <v>1</v>
      </c>
      <c r="AD231">
        <f t="shared" si="66"/>
        <v>1</v>
      </c>
      <c r="AE231">
        <f t="shared" si="66"/>
        <v>1</v>
      </c>
      <c r="AF231">
        <f t="shared" si="66"/>
        <v>1</v>
      </c>
      <c r="AG231">
        <f t="shared" si="66"/>
        <v>1</v>
      </c>
      <c r="AH231">
        <f t="shared" si="66"/>
        <v>1</v>
      </c>
      <c r="AI231">
        <f t="shared" si="66"/>
        <v>1</v>
      </c>
      <c r="AJ231" s="195">
        <f t="shared" si="66"/>
        <v>1</v>
      </c>
    </row>
    <row r="232" spans="3:36" x14ac:dyDescent="0.25">
      <c r="C232" s="191">
        <f>'General inputs'!C32</f>
        <v>4</v>
      </c>
      <c r="E232">
        <f t="shared" si="64"/>
        <v>1</v>
      </c>
      <c r="F232">
        <f t="shared" si="64"/>
        <v>1</v>
      </c>
      <c r="G232">
        <f t="shared" si="64"/>
        <v>1</v>
      </c>
      <c r="H232">
        <f t="shared" si="64"/>
        <v>0</v>
      </c>
      <c r="I232">
        <f t="shared" si="64"/>
        <v>1</v>
      </c>
      <c r="J232">
        <f t="shared" si="64"/>
        <v>1</v>
      </c>
      <c r="K232">
        <f t="shared" si="64"/>
        <v>1</v>
      </c>
      <c r="L232">
        <f t="shared" si="64"/>
        <v>1</v>
      </c>
      <c r="M232">
        <f t="shared" si="64"/>
        <v>1</v>
      </c>
      <c r="N232">
        <f t="shared" si="64"/>
        <v>1</v>
      </c>
      <c r="O232">
        <f t="shared" si="65"/>
        <v>1</v>
      </c>
      <c r="P232">
        <f t="shared" si="65"/>
        <v>1</v>
      </c>
      <c r="Q232">
        <f t="shared" si="65"/>
        <v>1</v>
      </c>
      <c r="R232">
        <f t="shared" si="65"/>
        <v>1</v>
      </c>
      <c r="S232">
        <f t="shared" si="65"/>
        <v>1</v>
      </c>
      <c r="T232">
        <f t="shared" si="65"/>
        <v>1</v>
      </c>
      <c r="U232">
        <f t="shared" si="65"/>
        <v>1</v>
      </c>
      <c r="V232">
        <f t="shared" si="65"/>
        <v>1</v>
      </c>
      <c r="W232">
        <f t="shared" si="65"/>
        <v>1</v>
      </c>
      <c r="X232">
        <f t="shared" si="65"/>
        <v>1</v>
      </c>
      <c r="Y232">
        <f t="shared" si="66"/>
        <v>1</v>
      </c>
      <c r="Z232">
        <f t="shared" si="66"/>
        <v>1</v>
      </c>
      <c r="AA232">
        <f t="shared" si="66"/>
        <v>1</v>
      </c>
      <c r="AB232">
        <f t="shared" si="66"/>
        <v>1</v>
      </c>
      <c r="AC232">
        <f t="shared" si="66"/>
        <v>1</v>
      </c>
      <c r="AD232">
        <f t="shared" si="66"/>
        <v>1</v>
      </c>
      <c r="AE232">
        <f t="shared" si="66"/>
        <v>1</v>
      </c>
      <c r="AF232">
        <f t="shared" si="66"/>
        <v>1</v>
      </c>
      <c r="AG232">
        <f t="shared" si="66"/>
        <v>1</v>
      </c>
      <c r="AH232">
        <f t="shared" si="66"/>
        <v>1</v>
      </c>
      <c r="AI232">
        <f t="shared" si="66"/>
        <v>1</v>
      </c>
      <c r="AJ232" s="195">
        <f t="shared" si="66"/>
        <v>1</v>
      </c>
    </row>
    <row r="233" spans="3:36" x14ac:dyDescent="0.25">
      <c r="C233" s="191">
        <f>'General inputs'!C33</f>
        <v>5</v>
      </c>
      <c r="E233">
        <f t="shared" si="64"/>
        <v>1</v>
      </c>
      <c r="F233">
        <f t="shared" si="64"/>
        <v>1</v>
      </c>
      <c r="G233">
        <f t="shared" si="64"/>
        <v>1</v>
      </c>
      <c r="H233">
        <f t="shared" si="64"/>
        <v>1</v>
      </c>
      <c r="I233">
        <f t="shared" si="64"/>
        <v>0</v>
      </c>
      <c r="J233">
        <f t="shared" si="64"/>
        <v>1</v>
      </c>
      <c r="K233">
        <f t="shared" si="64"/>
        <v>1</v>
      </c>
      <c r="L233">
        <f t="shared" si="64"/>
        <v>1</v>
      </c>
      <c r="M233">
        <f t="shared" si="64"/>
        <v>1</v>
      </c>
      <c r="N233">
        <f t="shared" si="64"/>
        <v>1</v>
      </c>
      <c r="O233">
        <f t="shared" si="65"/>
        <v>1</v>
      </c>
      <c r="P233">
        <f t="shared" si="65"/>
        <v>1</v>
      </c>
      <c r="Q233">
        <f t="shared" si="65"/>
        <v>1</v>
      </c>
      <c r="R233">
        <f t="shared" si="65"/>
        <v>1</v>
      </c>
      <c r="S233">
        <f t="shared" si="65"/>
        <v>1</v>
      </c>
      <c r="T233">
        <f t="shared" si="65"/>
        <v>1</v>
      </c>
      <c r="U233">
        <f t="shared" si="65"/>
        <v>1</v>
      </c>
      <c r="V233">
        <f t="shared" si="65"/>
        <v>1</v>
      </c>
      <c r="W233">
        <f t="shared" si="65"/>
        <v>1</v>
      </c>
      <c r="X233">
        <f t="shared" si="65"/>
        <v>1</v>
      </c>
      <c r="Y233">
        <f t="shared" si="66"/>
        <v>1</v>
      </c>
      <c r="Z233">
        <f t="shared" si="66"/>
        <v>1</v>
      </c>
      <c r="AA233">
        <f t="shared" si="66"/>
        <v>1</v>
      </c>
      <c r="AB233">
        <f t="shared" si="66"/>
        <v>1</v>
      </c>
      <c r="AC233">
        <f t="shared" si="66"/>
        <v>1</v>
      </c>
      <c r="AD233">
        <f t="shared" si="66"/>
        <v>1</v>
      </c>
      <c r="AE233">
        <f t="shared" si="66"/>
        <v>1</v>
      </c>
      <c r="AF233">
        <f t="shared" si="66"/>
        <v>1</v>
      </c>
      <c r="AG233">
        <f t="shared" si="66"/>
        <v>1</v>
      </c>
      <c r="AH233">
        <f t="shared" si="66"/>
        <v>1</v>
      </c>
      <c r="AI233">
        <f t="shared" si="66"/>
        <v>1</v>
      </c>
      <c r="AJ233" s="195">
        <f t="shared" si="66"/>
        <v>1</v>
      </c>
    </row>
    <row r="234" spans="3:36" x14ac:dyDescent="0.25">
      <c r="C234" s="191">
        <f>'General inputs'!C34</f>
        <v>6</v>
      </c>
      <c r="E234">
        <f t="shared" si="64"/>
        <v>1</v>
      </c>
      <c r="F234">
        <f t="shared" si="64"/>
        <v>1</v>
      </c>
      <c r="G234">
        <f t="shared" si="64"/>
        <v>1</v>
      </c>
      <c r="H234">
        <f t="shared" si="64"/>
        <v>1</v>
      </c>
      <c r="I234">
        <f t="shared" si="64"/>
        <v>1</v>
      </c>
      <c r="J234">
        <f t="shared" si="64"/>
        <v>0</v>
      </c>
      <c r="K234">
        <f t="shared" si="64"/>
        <v>1</v>
      </c>
      <c r="L234">
        <f t="shared" si="64"/>
        <v>1</v>
      </c>
      <c r="M234">
        <f t="shared" si="64"/>
        <v>1</v>
      </c>
      <c r="N234">
        <f t="shared" si="64"/>
        <v>1</v>
      </c>
      <c r="O234">
        <f t="shared" si="65"/>
        <v>1</v>
      </c>
      <c r="P234">
        <f t="shared" si="65"/>
        <v>1</v>
      </c>
      <c r="Q234">
        <f t="shared" si="65"/>
        <v>1</v>
      </c>
      <c r="R234">
        <f t="shared" si="65"/>
        <v>1</v>
      </c>
      <c r="S234">
        <f t="shared" si="65"/>
        <v>1</v>
      </c>
      <c r="T234">
        <f t="shared" si="65"/>
        <v>1</v>
      </c>
      <c r="U234">
        <f t="shared" si="65"/>
        <v>1</v>
      </c>
      <c r="V234">
        <f t="shared" si="65"/>
        <v>1</v>
      </c>
      <c r="W234">
        <f t="shared" si="65"/>
        <v>1</v>
      </c>
      <c r="X234">
        <f t="shared" si="65"/>
        <v>1</v>
      </c>
      <c r="Y234">
        <f t="shared" si="66"/>
        <v>1</v>
      </c>
      <c r="Z234">
        <f t="shared" si="66"/>
        <v>1</v>
      </c>
      <c r="AA234">
        <f t="shared" si="66"/>
        <v>1</v>
      </c>
      <c r="AB234">
        <f t="shared" si="66"/>
        <v>1</v>
      </c>
      <c r="AC234">
        <f t="shared" si="66"/>
        <v>1</v>
      </c>
      <c r="AD234">
        <f t="shared" si="66"/>
        <v>1</v>
      </c>
      <c r="AE234">
        <f t="shared" si="66"/>
        <v>1</v>
      </c>
      <c r="AF234">
        <f t="shared" si="66"/>
        <v>1</v>
      </c>
      <c r="AG234">
        <f t="shared" si="66"/>
        <v>1</v>
      </c>
      <c r="AH234">
        <f t="shared" si="66"/>
        <v>1</v>
      </c>
      <c r="AI234">
        <f t="shared" si="66"/>
        <v>1</v>
      </c>
      <c r="AJ234" s="195">
        <f t="shared" si="66"/>
        <v>1</v>
      </c>
    </row>
    <row r="235" spans="3:36" x14ac:dyDescent="0.25">
      <c r="C235" s="191">
        <f>'General inputs'!C35</f>
        <v>7</v>
      </c>
      <c r="E235">
        <f t="shared" si="64"/>
        <v>1</v>
      </c>
      <c r="F235">
        <f t="shared" si="64"/>
        <v>1</v>
      </c>
      <c r="G235">
        <f t="shared" si="64"/>
        <v>1</v>
      </c>
      <c r="H235">
        <f t="shared" si="64"/>
        <v>1</v>
      </c>
      <c r="I235">
        <f t="shared" si="64"/>
        <v>1</v>
      </c>
      <c r="J235">
        <f t="shared" si="64"/>
        <v>1</v>
      </c>
      <c r="K235">
        <f t="shared" si="64"/>
        <v>0</v>
      </c>
      <c r="L235">
        <f t="shared" si="64"/>
        <v>1</v>
      </c>
      <c r="M235">
        <f t="shared" si="64"/>
        <v>1</v>
      </c>
      <c r="N235">
        <f t="shared" si="64"/>
        <v>1</v>
      </c>
      <c r="O235">
        <f t="shared" si="65"/>
        <v>1</v>
      </c>
      <c r="P235">
        <f t="shared" si="65"/>
        <v>1</v>
      </c>
      <c r="Q235">
        <f t="shared" si="65"/>
        <v>1</v>
      </c>
      <c r="R235">
        <f t="shared" si="65"/>
        <v>1</v>
      </c>
      <c r="S235">
        <f t="shared" si="65"/>
        <v>1</v>
      </c>
      <c r="T235">
        <f t="shared" si="65"/>
        <v>1</v>
      </c>
      <c r="U235">
        <f t="shared" si="65"/>
        <v>1</v>
      </c>
      <c r="V235">
        <f t="shared" si="65"/>
        <v>1</v>
      </c>
      <c r="W235">
        <f t="shared" si="65"/>
        <v>1</v>
      </c>
      <c r="X235">
        <f t="shared" si="65"/>
        <v>1</v>
      </c>
      <c r="Y235">
        <f t="shared" si="66"/>
        <v>1</v>
      </c>
      <c r="Z235">
        <f t="shared" si="66"/>
        <v>1</v>
      </c>
      <c r="AA235">
        <f t="shared" si="66"/>
        <v>1</v>
      </c>
      <c r="AB235">
        <f t="shared" si="66"/>
        <v>1</v>
      </c>
      <c r="AC235">
        <f t="shared" si="66"/>
        <v>1</v>
      </c>
      <c r="AD235">
        <f t="shared" si="66"/>
        <v>1</v>
      </c>
      <c r="AE235">
        <f t="shared" si="66"/>
        <v>1</v>
      </c>
      <c r="AF235">
        <f t="shared" si="66"/>
        <v>1</v>
      </c>
      <c r="AG235">
        <f t="shared" si="66"/>
        <v>1</v>
      </c>
      <c r="AH235">
        <f t="shared" si="66"/>
        <v>1</v>
      </c>
      <c r="AI235">
        <f t="shared" si="66"/>
        <v>1</v>
      </c>
      <c r="AJ235" s="195">
        <f t="shared" si="66"/>
        <v>1</v>
      </c>
    </row>
    <row r="236" spans="3:36" x14ac:dyDescent="0.25">
      <c r="C236" s="191">
        <f>'General inputs'!C36</f>
        <v>8</v>
      </c>
      <c r="E236">
        <f t="shared" si="64"/>
        <v>1</v>
      </c>
      <c r="F236">
        <f t="shared" si="64"/>
        <v>1</v>
      </c>
      <c r="G236">
        <f t="shared" si="64"/>
        <v>1</v>
      </c>
      <c r="H236">
        <f t="shared" si="64"/>
        <v>1</v>
      </c>
      <c r="I236">
        <f t="shared" si="64"/>
        <v>1</v>
      </c>
      <c r="J236">
        <f t="shared" si="64"/>
        <v>1</v>
      </c>
      <c r="K236">
        <f t="shared" si="64"/>
        <v>1</v>
      </c>
      <c r="L236">
        <f t="shared" si="64"/>
        <v>0</v>
      </c>
      <c r="M236">
        <f t="shared" si="64"/>
        <v>1</v>
      </c>
      <c r="N236">
        <f t="shared" si="64"/>
        <v>1</v>
      </c>
      <c r="O236">
        <f t="shared" si="65"/>
        <v>1</v>
      </c>
      <c r="P236">
        <f t="shared" si="65"/>
        <v>1</v>
      </c>
      <c r="Q236">
        <f t="shared" si="65"/>
        <v>1</v>
      </c>
      <c r="R236">
        <f t="shared" si="65"/>
        <v>1</v>
      </c>
      <c r="S236">
        <f t="shared" si="65"/>
        <v>1</v>
      </c>
      <c r="T236">
        <f t="shared" si="65"/>
        <v>1</v>
      </c>
      <c r="U236">
        <f t="shared" si="65"/>
        <v>1</v>
      </c>
      <c r="V236">
        <f t="shared" si="65"/>
        <v>1</v>
      </c>
      <c r="W236">
        <f t="shared" si="65"/>
        <v>1</v>
      </c>
      <c r="X236">
        <f t="shared" si="65"/>
        <v>1</v>
      </c>
      <c r="Y236">
        <f t="shared" si="66"/>
        <v>1</v>
      </c>
      <c r="Z236">
        <f t="shared" si="66"/>
        <v>1</v>
      </c>
      <c r="AA236">
        <f t="shared" si="66"/>
        <v>1</v>
      </c>
      <c r="AB236">
        <f t="shared" si="66"/>
        <v>1</v>
      </c>
      <c r="AC236">
        <f t="shared" si="66"/>
        <v>1</v>
      </c>
      <c r="AD236">
        <f t="shared" si="66"/>
        <v>1</v>
      </c>
      <c r="AE236">
        <f t="shared" si="66"/>
        <v>1</v>
      </c>
      <c r="AF236">
        <f t="shared" si="66"/>
        <v>1</v>
      </c>
      <c r="AG236">
        <f t="shared" si="66"/>
        <v>1</v>
      </c>
      <c r="AH236">
        <f t="shared" si="66"/>
        <v>1</v>
      </c>
      <c r="AI236">
        <f t="shared" si="66"/>
        <v>1</v>
      </c>
      <c r="AJ236" s="195">
        <f t="shared" si="66"/>
        <v>1</v>
      </c>
    </row>
    <row r="237" spans="3:36" x14ac:dyDescent="0.25">
      <c r="C237" s="191">
        <f>'General inputs'!C37</f>
        <v>9</v>
      </c>
      <c r="E237">
        <f t="shared" si="64"/>
        <v>1</v>
      </c>
      <c r="F237">
        <f t="shared" si="64"/>
        <v>1</v>
      </c>
      <c r="G237">
        <f t="shared" si="64"/>
        <v>1</v>
      </c>
      <c r="H237">
        <f t="shared" si="64"/>
        <v>1</v>
      </c>
      <c r="I237">
        <f t="shared" si="64"/>
        <v>1</v>
      </c>
      <c r="J237">
        <f t="shared" si="64"/>
        <v>1</v>
      </c>
      <c r="K237">
        <f t="shared" si="64"/>
        <v>1</v>
      </c>
      <c r="L237">
        <f t="shared" si="64"/>
        <v>1</v>
      </c>
      <c r="M237">
        <f t="shared" si="64"/>
        <v>0</v>
      </c>
      <c r="N237">
        <f t="shared" si="64"/>
        <v>1</v>
      </c>
      <c r="O237">
        <f t="shared" si="65"/>
        <v>1</v>
      </c>
      <c r="P237">
        <f t="shared" si="65"/>
        <v>1</v>
      </c>
      <c r="Q237">
        <f t="shared" si="65"/>
        <v>1</v>
      </c>
      <c r="R237">
        <f t="shared" si="65"/>
        <v>1</v>
      </c>
      <c r="S237">
        <f t="shared" si="65"/>
        <v>1</v>
      </c>
      <c r="T237">
        <f t="shared" si="65"/>
        <v>1</v>
      </c>
      <c r="U237">
        <f t="shared" si="65"/>
        <v>1</v>
      </c>
      <c r="V237">
        <f t="shared" si="65"/>
        <v>1</v>
      </c>
      <c r="W237">
        <f t="shared" si="65"/>
        <v>1</v>
      </c>
      <c r="X237">
        <f t="shared" si="65"/>
        <v>1</v>
      </c>
      <c r="Y237">
        <f t="shared" si="66"/>
        <v>1</v>
      </c>
      <c r="Z237">
        <f t="shared" si="66"/>
        <v>1</v>
      </c>
      <c r="AA237">
        <f t="shared" si="66"/>
        <v>1</v>
      </c>
      <c r="AB237">
        <f t="shared" si="66"/>
        <v>1</v>
      </c>
      <c r="AC237">
        <f t="shared" si="66"/>
        <v>1</v>
      </c>
      <c r="AD237">
        <f t="shared" si="66"/>
        <v>1</v>
      </c>
      <c r="AE237">
        <f t="shared" si="66"/>
        <v>1</v>
      </c>
      <c r="AF237">
        <f t="shared" si="66"/>
        <v>1</v>
      </c>
      <c r="AG237">
        <f t="shared" si="66"/>
        <v>1</v>
      </c>
      <c r="AH237">
        <f t="shared" si="66"/>
        <v>1</v>
      </c>
      <c r="AI237">
        <f t="shared" si="66"/>
        <v>1</v>
      </c>
      <c r="AJ237" s="195">
        <f t="shared" si="66"/>
        <v>1</v>
      </c>
    </row>
    <row r="238" spans="3:36" x14ac:dyDescent="0.25">
      <c r="C238" s="191">
        <f>'General inputs'!C38</f>
        <v>10</v>
      </c>
      <c r="E238">
        <f t="shared" si="64"/>
        <v>1</v>
      </c>
      <c r="F238">
        <f t="shared" si="64"/>
        <v>1</v>
      </c>
      <c r="G238">
        <f t="shared" si="64"/>
        <v>1</v>
      </c>
      <c r="H238">
        <f t="shared" si="64"/>
        <v>1</v>
      </c>
      <c r="I238">
        <f t="shared" si="64"/>
        <v>1</v>
      </c>
      <c r="J238">
        <f t="shared" si="64"/>
        <v>1</v>
      </c>
      <c r="K238">
        <f t="shared" si="64"/>
        <v>1</v>
      </c>
      <c r="L238">
        <f t="shared" si="64"/>
        <v>1</v>
      </c>
      <c r="M238">
        <f t="shared" si="64"/>
        <v>1</v>
      </c>
      <c r="N238">
        <f t="shared" si="64"/>
        <v>0</v>
      </c>
      <c r="O238">
        <f t="shared" si="65"/>
        <v>1</v>
      </c>
      <c r="P238">
        <f t="shared" si="65"/>
        <v>1</v>
      </c>
      <c r="Q238">
        <f t="shared" si="65"/>
        <v>1</v>
      </c>
      <c r="R238">
        <f t="shared" si="65"/>
        <v>1</v>
      </c>
      <c r="S238">
        <f t="shared" si="65"/>
        <v>1</v>
      </c>
      <c r="T238">
        <f t="shared" si="65"/>
        <v>1</v>
      </c>
      <c r="U238">
        <f t="shared" si="65"/>
        <v>1</v>
      </c>
      <c r="V238">
        <f t="shared" si="65"/>
        <v>1</v>
      </c>
      <c r="W238">
        <f t="shared" si="65"/>
        <v>1</v>
      </c>
      <c r="X238">
        <f t="shared" si="65"/>
        <v>1</v>
      </c>
      <c r="Y238">
        <f t="shared" si="66"/>
        <v>1</v>
      </c>
      <c r="Z238">
        <f t="shared" si="66"/>
        <v>1</v>
      </c>
      <c r="AA238">
        <f t="shared" si="66"/>
        <v>1</v>
      </c>
      <c r="AB238">
        <f t="shared" si="66"/>
        <v>1</v>
      </c>
      <c r="AC238">
        <f t="shared" si="66"/>
        <v>1</v>
      </c>
      <c r="AD238">
        <f t="shared" si="66"/>
        <v>1</v>
      </c>
      <c r="AE238">
        <f t="shared" si="66"/>
        <v>1</v>
      </c>
      <c r="AF238">
        <f t="shared" si="66"/>
        <v>1</v>
      </c>
      <c r="AG238">
        <f t="shared" si="66"/>
        <v>1</v>
      </c>
      <c r="AH238">
        <f t="shared" si="66"/>
        <v>1</v>
      </c>
      <c r="AI238">
        <f t="shared" si="66"/>
        <v>1</v>
      </c>
      <c r="AJ238" s="195">
        <f t="shared" si="66"/>
        <v>1</v>
      </c>
    </row>
    <row r="239" spans="3:36" x14ac:dyDescent="0.25">
      <c r="C239" s="191">
        <f>'General inputs'!C39</f>
        <v>11</v>
      </c>
      <c r="E239">
        <f t="shared" ref="E239:N248" si="67">IF($C239=E$227,0,1)</f>
        <v>1</v>
      </c>
      <c r="F239">
        <f t="shared" si="67"/>
        <v>1</v>
      </c>
      <c r="G239">
        <f t="shared" si="67"/>
        <v>1</v>
      </c>
      <c r="H239">
        <f t="shared" si="67"/>
        <v>1</v>
      </c>
      <c r="I239">
        <f t="shared" si="67"/>
        <v>1</v>
      </c>
      <c r="J239">
        <f t="shared" si="67"/>
        <v>1</v>
      </c>
      <c r="K239">
        <f t="shared" si="67"/>
        <v>1</v>
      </c>
      <c r="L239">
        <f t="shared" si="67"/>
        <v>1</v>
      </c>
      <c r="M239">
        <f t="shared" si="67"/>
        <v>1</v>
      </c>
      <c r="N239">
        <f t="shared" si="67"/>
        <v>1</v>
      </c>
      <c r="O239">
        <f t="shared" ref="O239:X248" si="68">IF($C239=O$227,0,1)</f>
        <v>0</v>
      </c>
      <c r="P239">
        <f t="shared" si="68"/>
        <v>1</v>
      </c>
      <c r="Q239">
        <f t="shared" si="68"/>
        <v>1</v>
      </c>
      <c r="R239">
        <f t="shared" si="68"/>
        <v>1</v>
      </c>
      <c r="S239">
        <f t="shared" si="68"/>
        <v>1</v>
      </c>
      <c r="T239">
        <f t="shared" si="68"/>
        <v>1</v>
      </c>
      <c r="U239">
        <f t="shared" si="68"/>
        <v>1</v>
      </c>
      <c r="V239">
        <f t="shared" si="68"/>
        <v>1</v>
      </c>
      <c r="W239">
        <f t="shared" si="68"/>
        <v>1</v>
      </c>
      <c r="X239">
        <f t="shared" si="68"/>
        <v>1</v>
      </c>
      <c r="Y239">
        <f t="shared" ref="Y239:AJ248" si="69">IF($C239=Y$227,0,1)</f>
        <v>1</v>
      </c>
      <c r="Z239">
        <f t="shared" si="69"/>
        <v>1</v>
      </c>
      <c r="AA239">
        <f t="shared" si="69"/>
        <v>1</v>
      </c>
      <c r="AB239">
        <f t="shared" si="69"/>
        <v>1</v>
      </c>
      <c r="AC239">
        <f t="shared" si="69"/>
        <v>1</v>
      </c>
      <c r="AD239">
        <f t="shared" si="69"/>
        <v>1</v>
      </c>
      <c r="AE239">
        <f t="shared" si="69"/>
        <v>1</v>
      </c>
      <c r="AF239">
        <f t="shared" si="69"/>
        <v>1</v>
      </c>
      <c r="AG239">
        <f t="shared" si="69"/>
        <v>1</v>
      </c>
      <c r="AH239">
        <f t="shared" si="69"/>
        <v>1</v>
      </c>
      <c r="AI239">
        <f t="shared" si="69"/>
        <v>1</v>
      </c>
      <c r="AJ239" s="195">
        <f t="shared" si="69"/>
        <v>1</v>
      </c>
    </row>
    <row r="240" spans="3:36" x14ac:dyDescent="0.25">
      <c r="C240" s="191">
        <f>'General inputs'!C40</f>
        <v>12</v>
      </c>
      <c r="E240">
        <f t="shared" si="67"/>
        <v>1</v>
      </c>
      <c r="F240">
        <f t="shared" si="67"/>
        <v>1</v>
      </c>
      <c r="G240">
        <f t="shared" si="67"/>
        <v>1</v>
      </c>
      <c r="H240">
        <f t="shared" si="67"/>
        <v>1</v>
      </c>
      <c r="I240">
        <f t="shared" si="67"/>
        <v>1</v>
      </c>
      <c r="J240">
        <f t="shared" si="67"/>
        <v>1</v>
      </c>
      <c r="K240">
        <f t="shared" si="67"/>
        <v>1</v>
      </c>
      <c r="L240">
        <f t="shared" si="67"/>
        <v>1</v>
      </c>
      <c r="M240">
        <f t="shared" si="67"/>
        <v>1</v>
      </c>
      <c r="N240">
        <f t="shared" si="67"/>
        <v>1</v>
      </c>
      <c r="O240">
        <f t="shared" si="68"/>
        <v>1</v>
      </c>
      <c r="P240">
        <f t="shared" si="68"/>
        <v>0</v>
      </c>
      <c r="Q240">
        <f t="shared" si="68"/>
        <v>1</v>
      </c>
      <c r="R240">
        <f t="shared" si="68"/>
        <v>1</v>
      </c>
      <c r="S240">
        <f t="shared" si="68"/>
        <v>1</v>
      </c>
      <c r="T240">
        <f t="shared" si="68"/>
        <v>1</v>
      </c>
      <c r="U240">
        <f t="shared" si="68"/>
        <v>1</v>
      </c>
      <c r="V240">
        <f t="shared" si="68"/>
        <v>1</v>
      </c>
      <c r="W240">
        <f t="shared" si="68"/>
        <v>1</v>
      </c>
      <c r="X240">
        <f t="shared" si="68"/>
        <v>1</v>
      </c>
      <c r="Y240">
        <f t="shared" si="69"/>
        <v>1</v>
      </c>
      <c r="Z240">
        <f t="shared" si="69"/>
        <v>1</v>
      </c>
      <c r="AA240">
        <f t="shared" si="69"/>
        <v>1</v>
      </c>
      <c r="AB240">
        <f t="shared" si="69"/>
        <v>1</v>
      </c>
      <c r="AC240">
        <f t="shared" si="69"/>
        <v>1</v>
      </c>
      <c r="AD240">
        <f t="shared" si="69"/>
        <v>1</v>
      </c>
      <c r="AE240">
        <f t="shared" si="69"/>
        <v>1</v>
      </c>
      <c r="AF240">
        <f t="shared" si="69"/>
        <v>1</v>
      </c>
      <c r="AG240">
        <f t="shared" si="69"/>
        <v>1</v>
      </c>
      <c r="AH240">
        <f t="shared" si="69"/>
        <v>1</v>
      </c>
      <c r="AI240">
        <f t="shared" si="69"/>
        <v>1</v>
      </c>
      <c r="AJ240" s="195">
        <f t="shared" si="69"/>
        <v>1</v>
      </c>
    </row>
    <row r="241" spans="3:36" x14ac:dyDescent="0.25">
      <c r="C241" s="191">
        <f>'General inputs'!C41</f>
        <v>13</v>
      </c>
      <c r="E241">
        <f t="shared" si="67"/>
        <v>1</v>
      </c>
      <c r="F241">
        <f t="shared" si="67"/>
        <v>1</v>
      </c>
      <c r="G241">
        <f t="shared" si="67"/>
        <v>1</v>
      </c>
      <c r="H241">
        <f t="shared" si="67"/>
        <v>1</v>
      </c>
      <c r="I241">
        <f t="shared" si="67"/>
        <v>1</v>
      </c>
      <c r="J241">
        <f t="shared" si="67"/>
        <v>1</v>
      </c>
      <c r="K241">
        <f t="shared" si="67"/>
        <v>1</v>
      </c>
      <c r="L241">
        <f t="shared" si="67"/>
        <v>1</v>
      </c>
      <c r="M241">
        <f t="shared" si="67"/>
        <v>1</v>
      </c>
      <c r="N241">
        <f t="shared" si="67"/>
        <v>1</v>
      </c>
      <c r="O241">
        <f t="shared" si="68"/>
        <v>1</v>
      </c>
      <c r="P241">
        <f t="shared" si="68"/>
        <v>1</v>
      </c>
      <c r="Q241">
        <f t="shared" si="68"/>
        <v>0</v>
      </c>
      <c r="R241">
        <f t="shared" si="68"/>
        <v>1</v>
      </c>
      <c r="S241">
        <f t="shared" si="68"/>
        <v>1</v>
      </c>
      <c r="T241">
        <f t="shared" si="68"/>
        <v>1</v>
      </c>
      <c r="U241">
        <f t="shared" si="68"/>
        <v>1</v>
      </c>
      <c r="V241">
        <f t="shared" si="68"/>
        <v>1</v>
      </c>
      <c r="W241">
        <f t="shared" si="68"/>
        <v>1</v>
      </c>
      <c r="X241">
        <f t="shared" si="68"/>
        <v>1</v>
      </c>
      <c r="Y241">
        <f t="shared" si="69"/>
        <v>1</v>
      </c>
      <c r="Z241">
        <f t="shared" si="69"/>
        <v>1</v>
      </c>
      <c r="AA241">
        <f t="shared" si="69"/>
        <v>1</v>
      </c>
      <c r="AB241">
        <f t="shared" si="69"/>
        <v>1</v>
      </c>
      <c r="AC241">
        <f t="shared" si="69"/>
        <v>1</v>
      </c>
      <c r="AD241">
        <f t="shared" si="69"/>
        <v>1</v>
      </c>
      <c r="AE241">
        <f t="shared" si="69"/>
        <v>1</v>
      </c>
      <c r="AF241">
        <f t="shared" si="69"/>
        <v>1</v>
      </c>
      <c r="AG241">
        <f t="shared" si="69"/>
        <v>1</v>
      </c>
      <c r="AH241">
        <f t="shared" si="69"/>
        <v>1</v>
      </c>
      <c r="AI241">
        <f t="shared" si="69"/>
        <v>1</v>
      </c>
      <c r="AJ241" s="195">
        <f t="shared" si="69"/>
        <v>1</v>
      </c>
    </row>
    <row r="242" spans="3:36" x14ac:dyDescent="0.25">
      <c r="C242" s="191">
        <f>'General inputs'!C42</f>
        <v>14</v>
      </c>
      <c r="E242">
        <f t="shared" si="67"/>
        <v>1</v>
      </c>
      <c r="F242">
        <f t="shared" si="67"/>
        <v>1</v>
      </c>
      <c r="G242">
        <f t="shared" si="67"/>
        <v>1</v>
      </c>
      <c r="H242">
        <f t="shared" si="67"/>
        <v>1</v>
      </c>
      <c r="I242">
        <f t="shared" si="67"/>
        <v>1</v>
      </c>
      <c r="J242">
        <f t="shared" si="67"/>
        <v>1</v>
      </c>
      <c r="K242">
        <f t="shared" si="67"/>
        <v>1</v>
      </c>
      <c r="L242">
        <f t="shared" si="67"/>
        <v>1</v>
      </c>
      <c r="M242">
        <f t="shared" si="67"/>
        <v>1</v>
      </c>
      <c r="N242">
        <f t="shared" si="67"/>
        <v>1</v>
      </c>
      <c r="O242">
        <f t="shared" si="68"/>
        <v>1</v>
      </c>
      <c r="P242">
        <f t="shared" si="68"/>
        <v>1</v>
      </c>
      <c r="Q242">
        <f t="shared" si="68"/>
        <v>1</v>
      </c>
      <c r="R242">
        <f t="shared" si="68"/>
        <v>0</v>
      </c>
      <c r="S242">
        <f t="shared" si="68"/>
        <v>1</v>
      </c>
      <c r="T242">
        <f t="shared" si="68"/>
        <v>1</v>
      </c>
      <c r="U242">
        <f t="shared" si="68"/>
        <v>1</v>
      </c>
      <c r="V242">
        <f t="shared" si="68"/>
        <v>1</v>
      </c>
      <c r="W242">
        <f t="shared" si="68"/>
        <v>1</v>
      </c>
      <c r="X242">
        <f t="shared" si="68"/>
        <v>1</v>
      </c>
      <c r="Y242">
        <f t="shared" si="69"/>
        <v>1</v>
      </c>
      <c r="Z242">
        <f t="shared" si="69"/>
        <v>1</v>
      </c>
      <c r="AA242">
        <f t="shared" si="69"/>
        <v>1</v>
      </c>
      <c r="AB242">
        <f t="shared" si="69"/>
        <v>1</v>
      </c>
      <c r="AC242">
        <f t="shared" si="69"/>
        <v>1</v>
      </c>
      <c r="AD242">
        <f t="shared" si="69"/>
        <v>1</v>
      </c>
      <c r="AE242">
        <f t="shared" si="69"/>
        <v>1</v>
      </c>
      <c r="AF242">
        <f t="shared" si="69"/>
        <v>1</v>
      </c>
      <c r="AG242">
        <f t="shared" si="69"/>
        <v>1</v>
      </c>
      <c r="AH242">
        <f t="shared" si="69"/>
        <v>1</v>
      </c>
      <c r="AI242">
        <f t="shared" si="69"/>
        <v>1</v>
      </c>
      <c r="AJ242" s="195">
        <f t="shared" si="69"/>
        <v>1</v>
      </c>
    </row>
    <row r="243" spans="3:36" x14ac:dyDescent="0.25">
      <c r="C243" s="191">
        <f>'General inputs'!C43</f>
        <v>15</v>
      </c>
      <c r="E243">
        <f t="shared" si="67"/>
        <v>1</v>
      </c>
      <c r="F243">
        <f t="shared" si="67"/>
        <v>1</v>
      </c>
      <c r="G243">
        <f t="shared" si="67"/>
        <v>1</v>
      </c>
      <c r="H243">
        <f t="shared" si="67"/>
        <v>1</v>
      </c>
      <c r="I243">
        <f t="shared" si="67"/>
        <v>1</v>
      </c>
      <c r="J243">
        <f t="shared" si="67"/>
        <v>1</v>
      </c>
      <c r="K243">
        <f t="shared" si="67"/>
        <v>1</v>
      </c>
      <c r="L243">
        <f t="shared" si="67"/>
        <v>1</v>
      </c>
      <c r="M243">
        <f t="shared" si="67"/>
        <v>1</v>
      </c>
      <c r="N243">
        <f t="shared" si="67"/>
        <v>1</v>
      </c>
      <c r="O243">
        <f t="shared" si="68"/>
        <v>1</v>
      </c>
      <c r="P243">
        <f t="shared" si="68"/>
        <v>1</v>
      </c>
      <c r="Q243">
        <f t="shared" si="68"/>
        <v>1</v>
      </c>
      <c r="R243">
        <f t="shared" si="68"/>
        <v>1</v>
      </c>
      <c r="S243">
        <f t="shared" si="68"/>
        <v>0</v>
      </c>
      <c r="T243">
        <f t="shared" si="68"/>
        <v>1</v>
      </c>
      <c r="U243">
        <f t="shared" si="68"/>
        <v>1</v>
      </c>
      <c r="V243">
        <f t="shared" si="68"/>
        <v>1</v>
      </c>
      <c r="W243">
        <f t="shared" si="68"/>
        <v>1</v>
      </c>
      <c r="X243">
        <f t="shared" si="68"/>
        <v>1</v>
      </c>
      <c r="Y243">
        <f t="shared" si="69"/>
        <v>1</v>
      </c>
      <c r="Z243">
        <f t="shared" si="69"/>
        <v>1</v>
      </c>
      <c r="AA243">
        <f t="shared" si="69"/>
        <v>1</v>
      </c>
      <c r="AB243">
        <f t="shared" si="69"/>
        <v>1</v>
      </c>
      <c r="AC243">
        <f t="shared" si="69"/>
        <v>1</v>
      </c>
      <c r="AD243">
        <f t="shared" si="69"/>
        <v>1</v>
      </c>
      <c r="AE243">
        <f t="shared" si="69"/>
        <v>1</v>
      </c>
      <c r="AF243">
        <f t="shared" si="69"/>
        <v>1</v>
      </c>
      <c r="AG243">
        <f t="shared" si="69"/>
        <v>1</v>
      </c>
      <c r="AH243">
        <f t="shared" si="69"/>
        <v>1</v>
      </c>
      <c r="AI243">
        <f t="shared" si="69"/>
        <v>1</v>
      </c>
      <c r="AJ243" s="195">
        <f t="shared" si="69"/>
        <v>1</v>
      </c>
    </row>
    <row r="244" spans="3:36" x14ac:dyDescent="0.25">
      <c r="C244" s="191">
        <f>'General inputs'!C44</f>
        <v>16</v>
      </c>
      <c r="E244">
        <f t="shared" si="67"/>
        <v>1</v>
      </c>
      <c r="F244">
        <f t="shared" si="67"/>
        <v>1</v>
      </c>
      <c r="G244">
        <f t="shared" si="67"/>
        <v>1</v>
      </c>
      <c r="H244">
        <f t="shared" si="67"/>
        <v>1</v>
      </c>
      <c r="I244">
        <f t="shared" si="67"/>
        <v>1</v>
      </c>
      <c r="J244">
        <f t="shared" si="67"/>
        <v>1</v>
      </c>
      <c r="K244">
        <f t="shared" si="67"/>
        <v>1</v>
      </c>
      <c r="L244">
        <f t="shared" si="67"/>
        <v>1</v>
      </c>
      <c r="M244">
        <f t="shared" si="67"/>
        <v>1</v>
      </c>
      <c r="N244">
        <f t="shared" si="67"/>
        <v>1</v>
      </c>
      <c r="O244">
        <f t="shared" si="68"/>
        <v>1</v>
      </c>
      <c r="P244">
        <f t="shared" si="68"/>
        <v>1</v>
      </c>
      <c r="Q244">
        <f t="shared" si="68"/>
        <v>1</v>
      </c>
      <c r="R244">
        <f t="shared" si="68"/>
        <v>1</v>
      </c>
      <c r="S244">
        <f t="shared" si="68"/>
        <v>1</v>
      </c>
      <c r="T244">
        <f t="shared" si="68"/>
        <v>0</v>
      </c>
      <c r="U244">
        <f t="shared" si="68"/>
        <v>1</v>
      </c>
      <c r="V244">
        <f t="shared" si="68"/>
        <v>1</v>
      </c>
      <c r="W244">
        <f t="shared" si="68"/>
        <v>1</v>
      </c>
      <c r="X244">
        <f t="shared" si="68"/>
        <v>1</v>
      </c>
      <c r="Y244">
        <f t="shared" si="69"/>
        <v>1</v>
      </c>
      <c r="Z244">
        <f t="shared" si="69"/>
        <v>1</v>
      </c>
      <c r="AA244">
        <f t="shared" si="69"/>
        <v>1</v>
      </c>
      <c r="AB244">
        <f t="shared" si="69"/>
        <v>1</v>
      </c>
      <c r="AC244">
        <f t="shared" si="69"/>
        <v>1</v>
      </c>
      <c r="AD244">
        <f t="shared" si="69"/>
        <v>1</v>
      </c>
      <c r="AE244">
        <f t="shared" si="69"/>
        <v>1</v>
      </c>
      <c r="AF244">
        <f t="shared" si="69"/>
        <v>1</v>
      </c>
      <c r="AG244">
        <f t="shared" si="69"/>
        <v>1</v>
      </c>
      <c r="AH244">
        <f t="shared" si="69"/>
        <v>1</v>
      </c>
      <c r="AI244">
        <f t="shared" si="69"/>
        <v>1</v>
      </c>
      <c r="AJ244" s="195">
        <f t="shared" si="69"/>
        <v>1</v>
      </c>
    </row>
    <row r="245" spans="3:36" x14ac:dyDescent="0.25">
      <c r="C245" s="191">
        <f>'General inputs'!C45</f>
        <v>17</v>
      </c>
      <c r="E245">
        <f t="shared" si="67"/>
        <v>1</v>
      </c>
      <c r="F245">
        <f t="shared" si="67"/>
        <v>1</v>
      </c>
      <c r="G245">
        <f t="shared" si="67"/>
        <v>1</v>
      </c>
      <c r="H245">
        <f t="shared" si="67"/>
        <v>1</v>
      </c>
      <c r="I245">
        <f t="shared" si="67"/>
        <v>1</v>
      </c>
      <c r="J245">
        <f t="shared" si="67"/>
        <v>1</v>
      </c>
      <c r="K245">
        <f t="shared" si="67"/>
        <v>1</v>
      </c>
      <c r="L245">
        <f t="shared" si="67"/>
        <v>1</v>
      </c>
      <c r="M245">
        <f t="shared" si="67"/>
        <v>1</v>
      </c>
      <c r="N245">
        <f t="shared" si="67"/>
        <v>1</v>
      </c>
      <c r="O245">
        <f t="shared" si="68"/>
        <v>1</v>
      </c>
      <c r="P245">
        <f t="shared" si="68"/>
        <v>1</v>
      </c>
      <c r="Q245">
        <f t="shared" si="68"/>
        <v>1</v>
      </c>
      <c r="R245">
        <f t="shared" si="68"/>
        <v>1</v>
      </c>
      <c r="S245">
        <f t="shared" si="68"/>
        <v>1</v>
      </c>
      <c r="T245">
        <f t="shared" si="68"/>
        <v>1</v>
      </c>
      <c r="U245">
        <f t="shared" si="68"/>
        <v>0</v>
      </c>
      <c r="V245">
        <f t="shared" si="68"/>
        <v>1</v>
      </c>
      <c r="W245">
        <f t="shared" si="68"/>
        <v>1</v>
      </c>
      <c r="X245">
        <f t="shared" si="68"/>
        <v>1</v>
      </c>
      <c r="Y245">
        <f t="shared" si="69"/>
        <v>1</v>
      </c>
      <c r="Z245">
        <f t="shared" si="69"/>
        <v>1</v>
      </c>
      <c r="AA245">
        <f t="shared" si="69"/>
        <v>1</v>
      </c>
      <c r="AB245">
        <f t="shared" si="69"/>
        <v>1</v>
      </c>
      <c r="AC245">
        <f t="shared" si="69"/>
        <v>1</v>
      </c>
      <c r="AD245">
        <f t="shared" si="69"/>
        <v>1</v>
      </c>
      <c r="AE245">
        <f t="shared" si="69"/>
        <v>1</v>
      </c>
      <c r="AF245">
        <f t="shared" si="69"/>
        <v>1</v>
      </c>
      <c r="AG245">
        <f t="shared" si="69"/>
        <v>1</v>
      </c>
      <c r="AH245">
        <f t="shared" si="69"/>
        <v>1</v>
      </c>
      <c r="AI245">
        <f t="shared" si="69"/>
        <v>1</v>
      </c>
      <c r="AJ245" s="195">
        <f t="shared" si="69"/>
        <v>1</v>
      </c>
    </row>
    <row r="246" spans="3:36" x14ac:dyDescent="0.25">
      <c r="C246" s="191">
        <f>'General inputs'!C46</f>
        <v>18</v>
      </c>
      <c r="E246">
        <f t="shared" si="67"/>
        <v>1</v>
      </c>
      <c r="F246">
        <f t="shared" si="67"/>
        <v>1</v>
      </c>
      <c r="G246">
        <f t="shared" si="67"/>
        <v>1</v>
      </c>
      <c r="H246">
        <f t="shared" si="67"/>
        <v>1</v>
      </c>
      <c r="I246">
        <f t="shared" si="67"/>
        <v>1</v>
      </c>
      <c r="J246">
        <f t="shared" si="67"/>
        <v>1</v>
      </c>
      <c r="K246">
        <f t="shared" si="67"/>
        <v>1</v>
      </c>
      <c r="L246">
        <f t="shared" si="67"/>
        <v>1</v>
      </c>
      <c r="M246">
        <f t="shared" si="67"/>
        <v>1</v>
      </c>
      <c r="N246">
        <f t="shared" si="67"/>
        <v>1</v>
      </c>
      <c r="O246">
        <f t="shared" si="68"/>
        <v>1</v>
      </c>
      <c r="P246">
        <f t="shared" si="68"/>
        <v>1</v>
      </c>
      <c r="Q246">
        <f t="shared" si="68"/>
        <v>1</v>
      </c>
      <c r="R246">
        <f t="shared" si="68"/>
        <v>1</v>
      </c>
      <c r="S246">
        <f t="shared" si="68"/>
        <v>1</v>
      </c>
      <c r="T246">
        <f t="shared" si="68"/>
        <v>1</v>
      </c>
      <c r="U246">
        <f t="shared" si="68"/>
        <v>1</v>
      </c>
      <c r="V246">
        <f t="shared" si="68"/>
        <v>0</v>
      </c>
      <c r="W246">
        <f t="shared" si="68"/>
        <v>1</v>
      </c>
      <c r="X246">
        <f t="shared" si="68"/>
        <v>1</v>
      </c>
      <c r="Y246">
        <f t="shared" si="69"/>
        <v>1</v>
      </c>
      <c r="Z246">
        <f t="shared" si="69"/>
        <v>1</v>
      </c>
      <c r="AA246">
        <f t="shared" si="69"/>
        <v>1</v>
      </c>
      <c r="AB246">
        <f t="shared" si="69"/>
        <v>1</v>
      </c>
      <c r="AC246">
        <f t="shared" si="69"/>
        <v>1</v>
      </c>
      <c r="AD246">
        <f t="shared" si="69"/>
        <v>1</v>
      </c>
      <c r="AE246">
        <f t="shared" si="69"/>
        <v>1</v>
      </c>
      <c r="AF246">
        <f t="shared" si="69"/>
        <v>1</v>
      </c>
      <c r="AG246">
        <f t="shared" si="69"/>
        <v>1</v>
      </c>
      <c r="AH246">
        <f t="shared" si="69"/>
        <v>1</v>
      </c>
      <c r="AI246">
        <f t="shared" si="69"/>
        <v>1</v>
      </c>
      <c r="AJ246" s="195">
        <f t="shared" si="69"/>
        <v>1</v>
      </c>
    </row>
    <row r="247" spans="3:36" x14ac:dyDescent="0.25">
      <c r="C247" s="191">
        <f>'General inputs'!C47</f>
        <v>19</v>
      </c>
      <c r="E247">
        <f t="shared" si="67"/>
        <v>1</v>
      </c>
      <c r="F247">
        <f t="shared" si="67"/>
        <v>1</v>
      </c>
      <c r="G247">
        <f t="shared" si="67"/>
        <v>1</v>
      </c>
      <c r="H247">
        <f t="shared" si="67"/>
        <v>1</v>
      </c>
      <c r="I247">
        <f t="shared" si="67"/>
        <v>1</v>
      </c>
      <c r="J247">
        <f t="shared" si="67"/>
        <v>1</v>
      </c>
      <c r="K247">
        <f t="shared" si="67"/>
        <v>1</v>
      </c>
      <c r="L247">
        <f t="shared" si="67"/>
        <v>1</v>
      </c>
      <c r="M247">
        <f t="shared" si="67"/>
        <v>1</v>
      </c>
      <c r="N247">
        <f t="shared" si="67"/>
        <v>1</v>
      </c>
      <c r="O247">
        <f t="shared" si="68"/>
        <v>1</v>
      </c>
      <c r="P247">
        <f t="shared" si="68"/>
        <v>1</v>
      </c>
      <c r="Q247">
        <f t="shared" si="68"/>
        <v>1</v>
      </c>
      <c r="R247">
        <f t="shared" si="68"/>
        <v>1</v>
      </c>
      <c r="S247">
        <f t="shared" si="68"/>
        <v>1</v>
      </c>
      <c r="T247">
        <f t="shared" si="68"/>
        <v>1</v>
      </c>
      <c r="U247">
        <f t="shared" si="68"/>
        <v>1</v>
      </c>
      <c r="V247">
        <f t="shared" si="68"/>
        <v>1</v>
      </c>
      <c r="W247">
        <f t="shared" si="68"/>
        <v>0</v>
      </c>
      <c r="X247">
        <f t="shared" si="68"/>
        <v>1</v>
      </c>
      <c r="Y247">
        <f t="shared" si="69"/>
        <v>1</v>
      </c>
      <c r="Z247">
        <f t="shared" si="69"/>
        <v>1</v>
      </c>
      <c r="AA247">
        <f t="shared" si="69"/>
        <v>1</v>
      </c>
      <c r="AB247">
        <f t="shared" si="69"/>
        <v>1</v>
      </c>
      <c r="AC247">
        <f t="shared" si="69"/>
        <v>1</v>
      </c>
      <c r="AD247">
        <f t="shared" si="69"/>
        <v>1</v>
      </c>
      <c r="AE247">
        <f t="shared" si="69"/>
        <v>1</v>
      </c>
      <c r="AF247">
        <f t="shared" si="69"/>
        <v>1</v>
      </c>
      <c r="AG247">
        <f t="shared" si="69"/>
        <v>1</v>
      </c>
      <c r="AH247">
        <f t="shared" si="69"/>
        <v>1</v>
      </c>
      <c r="AI247">
        <f t="shared" si="69"/>
        <v>1</v>
      </c>
      <c r="AJ247" s="195">
        <f t="shared" si="69"/>
        <v>1</v>
      </c>
    </row>
    <row r="248" spans="3:36" x14ac:dyDescent="0.25">
      <c r="C248" s="191">
        <f>'General inputs'!C48</f>
        <v>20</v>
      </c>
      <c r="E248">
        <f t="shared" si="67"/>
        <v>1</v>
      </c>
      <c r="F248">
        <f t="shared" si="67"/>
        <v>1</v>
      </c>
      <c r="G248">
        <f t="shared" si="67"/>
        <v>1</v>
      </c>
      <c r="H248">
        <f t="shared" si="67"/>
        <v>1</v>
      </c>
      <c r="I248">
        <f t="shared" si="67"/>
        <v>1</v>
      </c>
      <c r="J248">
        <f t="shared" si="67"/>
        <v>1</v>
      </c>
      <c r="K248">
        <f t="shared" si="67"/>
        <v>1</v>
      </c>
      <c r="L248">
        <f t="shared" si="67"/>
        <v>1</v>
      </c>
      <c r="M248">
        <f t="shared" si="67"/>
        <v>1</v>
      </c>
      <c r="N248">
        <f t="shared" si="67"/>
        <v>1</v>
      </c>
      <c r="O248">
        <f t="shared" si="68"/>
        <v>1</v>
      </c>
      <c r="P248">
        <f t="shared" si="68"/>
        <v>1</v>
      </c>
      <c r="Q248">
        <f t="shared" si="68"/>
        <v>1</v>
      </c>
      <c r="R248">
        <f t="shared" si="68"/>
        <v>1</v>
      </c>
      <c r="S248">
        <f t="shared" si="68"/>
        <v>1</v>
      </c>
      <c r="T248">
        <f t="shared" si="68"/>
        <v>1</v>
      </c>
      <c r="U248">
        <f t="shared" si="68"/>
        <v>1</v>
      </c>
      <c r="V248">
        <f t="shared" si="68"/>
        <v>1</v>
      </c>
      <c r="W248">
        <f t="shared" si="68"/>
        <v>1</v>
      </c>
      <c r="X248">
        <f t="shared" si="68"/>
        <v>0</v>
      </c>
      <c r="Y248">
        <f t="shared" si="69"/>
        <v>1</v>
      </c>
      <c r="Z248">
        <f t="shared" si="69"/>
        <v>1</v>
      </c>
      <c r="AA248">
        <f t="shared" si="69"/>
        <v>1</v>
      </c>
      <c r="AB248">
        <f t="shared" si="69"/>
        <v>1</v>
      </c>
      <c r="AC248">
        <f t="shared" si="69"/>
        <v>1</v>
      </c>
      <c r="AD248">
        <f t="shared" si="69"/>
        <v>1</v>
      </c>
      <c r="AE248">
        <f t="shared" si="69"/>
        <v>1</v>
      </c>
      <c r="AF248">
        <f t="shared" si="69"/>
        <v>1</v>
      </c>
      <c r="AG248">
        <f t="shared" si="69"/>
        <v>1</v>
      </c>
      <c r="AH248">
        <f t="shared" si="69"/>
        <v>1</v>
      </c>
      <c r="AI248">
        <f t="shared" si="69"/>
        <v>1</v>
      </c>
      <c r="AJ248" s="195">
        <f t="shared" si="69"/>
        <v>1</v>
      </c>
    </row>
    <row r="249" spans="3:36" x14ac:dyDescent="0.25">
      <c r="C249" s="191">
        <f>'General inputs'!C49</f>
        <v>21</v>
      </c>
      <c r="E249">
        <f t="shared" ref="E249:N260" si="70">IF($C249=E$227,0,1)</f>
        <v>1</v>
      </c>
      <c r="F249">
        <f t="shared" si="70"/>
        <v>1</v>
      </c>
      <c r="G249">
        <f t="shared" si="70"/>
        <v>1</v>
      </c>
      <c r="H249">
        <f t="shared" si="70"/>
        <v>1</v>
      </c>
      <c r="I249">
        <f t="shared" si="70"/>
        <v>1</v>
      </c>
      <c r="J249">
        <f t="shared" si="70"/>
        <v>1</v>
      </c>
      <c r="K249">
        <f t="shared" si="70"/>
        <v>1</v>
      </c>
      <c r="L249">
        <f t="shared" si="70"/>
        <v>1</v>
      </c>
      <c r="M249">
        <f t="shared" si="70"/>
        <v>1</v>
      </c>
      <c r="N249">
        <f t="shared" si="70"/>
        <v>1</v>
      </c>
      <c r="O249">
        <f t="shared" ref="O249:X260" si="71">IF($C249=O$227,0,1)</f>
        <v>1</v>
      </c>
      <c r="P249">
        <f t="shared" si="71"/>
        <v>1</v>
      </c>
      <c r="Q249">
        <f t="shared" si="71"/>
        <v>1</v>
      </c>
      <c r="R249">
        <f t="shared" si="71"/>
        <v>1</v>
      </c>
      <c r="S249">
        <f t="shared" si="71"/>
        <v>1</v>
      </c>
      <c r="T249">
        <f t="shared" si="71"/>
        <v>1</v>
      </c>
      <c r="U249">
        <f t="shared" si="71"/>
        <v>1</v>
      </c>
      <c r="V249">
        <f t="shared" si="71"/>
        <v>1</v>
      </c>
      <c r="W249">
        <f t="shared" si="71"/>
        <v>1</v>
      </c>
      <c r="X249">
        <f t="shared" si="71"/>
        <v>1</v>
      </c>
      <c r="Y249">
        <f t="shared" ref="Y249:AJ260" si="72">IF($C249=Y$227,0,1)</f>
        <v>0</v>
      </c>
      <c r="Z249">
        <f t="shared" si="72"/>
        <v>1</v>
      </c>
      <c r="AA249">
        <f t="shared" si="72"/>
        <v>1</v>
      </c>
      <c r="AB249">
        <f t="shared" si="72"/>
        <v>1</v>
      </c>
      <c r="AC249">
        <f t="shared" si="72"/>
        <v>1</v>
      </c>
      <c r="AD249">
        <f t="shared" si="72"/>
        <v>1</v>
      </c>
      <c r="AE249">
        <f t="shared" si="72"/>
        <v>1</v>
      </c>
      <c r="AF249">
        <f t="shared" si="72"/>
        <v>1</v>
      </c>
      <c r="AG249">
        <f t="shared" si="72"/>
        <v>1</v>
      </c>
      <c r="AH249">
        <f t="shared" si="72"/>
        <v>1</v>
      </c>
      <c r="AI249">
        <f t="shared" si="72"/>
        <v>1</v>
      </c>
      <c r="AJ249" s="195">
        <f t="shared" si="72"/>
        <v>1</v>
      </c>
    </row>
    <row r="250" spans="3:36" x14ac:dyDescent="0.25">
      <c r="C250" s="191">
        <f>'General inputs'!C50</f>
        <v>22</v>
      </c>
      <c r="E250">
        <f t="shared" si="70"/>
        <v>1</v>
      </c>
      <c r="F250">
        <f t="shared" si="70"/>
        <v>1</v>
      </c>
      <c r="G250">
        <f t="shared" si="70"/>
        <v>1</v>
      </c>
      <c r="H250">
        <f t="shared" si="70"/>
        <v>1</v>
      </c>
      <c r="I250">
        <f t="shared" si="70"/>
        <v>1</v>
      </c>
      <c r="J250">
        <f t="shared" si="70"/>
        <v>1</v>
      </c>
      <c r="K250">
        <f t="shared" si="70"/>
        <v>1</v>
      </c>
      <c r="L250">
        <f t="shared" si="70"/>
        <v>1</v>
      </c>
      <c r="M250">
        <f t="shared" si="70"/>
        <v>1</v>
      </c>
      <c r="N250">
        <f t="shared" si="70"/>
        <v>1</v>
      </c>
      <c r="O250">
        <f t="shared" si="71"/>
        <v>1</v>
      </c>
      <c r="P250">
        <f t="shared" si="71"/>
        <v>1</v>
      </c>
      <c r="Q250">
        <f t="shared" si="71"/>
        <v>1</v>
      </c>
      <c r="R250">
        <f t="shared" si="71"/>
        <v>1</v>
      </c>
      <c r="S250">
        <f t="shared" si="71"/>
        <v>1</v>
      </c>
      <c r="T250">
        <f t="shared" si="71"/>
        <v>1</v>
      </c>
      <c r="U250">
        <f t="shared" si="71"/>
        <v>1</v>
      </c>
      <c r="V250">
        <f t="shared" si="71"/>
        <v>1</v>
      </c>
      <c r="W250">
        <f t="shared" si="71"/>
        <v>1</v>
      </c>
      <c r="X250">
        <f t="shared" si="71"/>
        <v>1</v>
      </c>
      <c r="Y250">
        <f t="shared" si="72"/>
        <v>1</v>
      </c>
      <c r="Z250">
        <f t="shared" si="72"/>
        <v>0</v>
      </c>
      <c r="AA250">
        <f t="shared" si="72"/>
        <v>1</v>
      </c>
      <c r="AB250">
        <f t="shared" si="72"/>
        <v>1</v>
      </c>
      <c r="AC250">
        <f t="shared" si="72"/>
        <v>1</v>
      </c>
      <c r="AD250">
        <f t="shared" si="72"/>
        <v>1</v>
      </c>
      <c r="AE250">
        <f t="shared" si="72"/>
        <v>1</v>
      </c>
      <c r="AF250">
        <f t="shared" si="72"/>
        <v>1</v>
      </c>
      <c r="AG250">
        <f t="shared" si="72"/>
        <v>1</v>
      </c>
      <c r="AH250">
        <f t="shared" si="72"/>
        <v>1</v>
      </c>
      <c r="AI250">
        <f t="shared" si="72"/>
        <v>1</v>
      </c>
      <c r="AJ250" s="195">
        <f t="shared" si="72"/>
        <v>1</v>
      </c>
    </row>
    <row r="251" spans="3:36" x14ac:dyDescent="0.25">
      <c r="C251" s="191">
        <f>'General inputs'!C51</f>
        <v>23</v>
      </c>
      <c r="E251">
        <f t="shared" si="70"/>
        <v>1</v>
      </c>
      <c r="F251">
        <f t="shared" si="70"/>
        <v>1</v>
      </c>
      <c r="G251">
        <f t="shared" si="70"/>
        <v>1</v>
      </c>
      <c r="H251">
        <f t="shared" si="70"/>
        <v>1</v>
      </c>
      <c r="I251">
        <f t="shared" si="70"/>
        <v>1</v>
      </c>
      <c r="J251">
        <f t="shared" si="70"/>
        <v>1</v>
      </c>
      <c r="K251">
        <f t="shared" si="70"/>
        <v>1</v>
      </c>
      <c r="L251">
        <f t="shared" si="70"/>
        <v>1</v>
      </c>
      <c r="M251">
        <f t="shared" si="70"/>
        <v>1</v>
      </c>
      <c r="N251">
        <f t="shared" si="70"/>
        <v>1</v>
      </c>
      <c r="O251">
        <f t="shared" si="71"/>
        <v>1</v>
      </c>
      <c r="P251">
        <f t="shared" si="71"/>
        <v>1</v>
      </c>
      <c r="Q251">
        <f t="shared" si="71"/>
        <v>1</v>
      </c>
      <c r="R251">
        <f t="shared" si="71"/>
        <v>1</v>
      </c>
      <c r="S251">
        <f t="shared" si="71"/>
        <v>1</v>
      </c>
      <c r="T251">
        <f t="shared" si="71"/>
        <v>1</v>
      </c>
      <c r="U251">
        <f t="shared" si="71"/>
        <v>1</v>
      </c>
      <c r="V251">
        <f t="shared" si="71"/>
        <v>1</v>
      </c>
      <c r="W251">
        <f t="shared" si="71"/>
        <v>1</v>
      </c>
      <c r="X251">
        <f t="shared" si="71"/>
        <v>1</v>
      </c>
      <c r="Y251">
        <f t="shared" si="72"/>
        <v>1</v>
      </c>
      <c r="Z251">
        <f t="shared" si="72"/>
        <v>1</v>
      </c>
      <c r="AA251">
        <f t="shared" si="72"/>
        <v>0</v>
      </c>
      <c r="AB251">
        <f t="shared" si="72"/>
        <v>1</v>
      </c>
      <c r="AC251">
        <f t="shared" si="72"/>
        <v>1</v>
      </c>
      <c r="AD251">
        <f t="shared" si="72"/>
        <v>1</v>
      </c>
      <c r="AE251">
        <f t="shared" si="72"/>
        <v>1</v>
      </c>
      <c r="AF251">
        <f t="shared" si="72"/>
        <v>1</v>
      </c>
      <c r="AG251">
        <f t="shared" si="72"/>
        <v>1</v>
      </c>
      <c r="AH251">
        <f t="shared" si="72"/>
        <v>1</v>
      </c>
      <c r="AI251">
        <f t="shared" si="72"/>
        <v>1</v>
      </c>
      <c r="AJ251" s="195">
        <f t="shared" si="72"/>
        <v>1</v>
      </c>
    </row>
    <row r="252" spans="3:36" x14ac:dyDescent="0.25">
      <c r="C252" s="191">
        <f>'General inputs'!C52</f>
        <v>24</v>
      </c>
      <c r="E252">
        <f t="shared" si="70"/>
        <v>1</v>
      </c>
      <c r="F252">
        <f t="shared" si="70"/>
        <v>1</v>
      </c>
      <c r="G252">
        <f t="shared" si="70"/>
        <v>1</v>
      </c>
      <c r="H252">
        <f t="shared" si="70"/>
        <v>1</v>
      </c>
      <c r="I252">
        <f t="shared" si="70"/>
        <v>1</v>
      </c>
      <c r="J252">
        <f t="shared" si="70"/>
        <v>1</v>
      </c>
      <c r="K252">
        <f t="shared" si="70"/>
        <v>1</v>
      </c>
      <c r="L252">
        <f t="shared" si="70"/>
        <v>1</v>
      </c>
      <c r="M252">
        <f t="shared" si="70"/>
        <v>1</v>
      </c>
      <c r="N252">
        <f t="shared" si="70"/>
        <v>1</v>
      </c>
      <c r="O252">
        <f t="shared" si="71"/>
        <v>1</v>
      </c>
      <c r="P252">
        <f t="shared" si="71"/>
        <v>1</v>
      </c>
      <c r="Q252">
        <f t="shared" si="71"/>
        <v>1</v>
      </c>
      <c r="R252">
        <f t="shared" si="71"/>
        <v>1</v>
      </c>
      <c r="S252">
        <f t="shared" si="71"/>
        <v>1</v>
      </c>
      <c r="T252">
        <f t="shared" si="71"/>
        <v>1</v>
      </c>
      <c r="U252">
        <f t="shared" si="71"/>
        <v>1</v>
      </c>
      <c r="V252">
        <f t="shared" si="71"/>
        <v>1</v>
      </c>
      <c r="W252">
        <f t="shared" si="71"/>
        <v>1</v>
      </c>
      <c r="X252">
        <f t="shared" si="71"/>
        <v>1</v>
      </c>
      <c r="Y252">
        <f t="shared" si="72"/>
        <v>1</v>
      </c>
      <c r="Z252">
        <f t="shared" si="72"/>
        <v>1</v>
      </c>
      <c r="AA252">
        <f t="shared" si="72"/>
        <v>1</v>
      </c>
      <c r="AB252">
        <f t="shared" si="72"/>
        <v>0</v>
      </c>
      <c r="AC252">
        <f t="shared" si="72"/>
        <v>1</v>
      </c>
      <c r="AD252">
        <f t="shared" si="72"/>
        <v>1</v>
      </c>
      <c r="AE252">
        <f t="shared" si="72"/>
        <v>1</v>
      </c>
      <c r="AF252">
        <f t="shared" si="72"/>
        <v>1</v>
      </c>
      <c r="AG252">
        <f t="shared" si="72"/>
        <v>1</v>
      </c>
      <c r="AH252">
        <f t="shared" si="72"/>
        <v>1</v>
      </c>
      <c r="AI252">
        <f t="shared" si="72"/>
        <v>1</v>
      </c>
      <c r="AJ252" s="195">
        <f t="shared" si="72"/>
        <v>1</v>
      </c>
    </row>
    <row r="253" spans="3:36" x14ac:dyDescent="0.25">
      <c r="C253" s="191">
        <f>'General inputs'!C53</f>
        <v>25</v>
      </c>
      <c r="E253">
        <f t="shared" si="70"/>
        <v>1</v>
      </c>
      <c r="F253">
        <f t="shared" si="70"/>
        <v>1</v>
      </c>
      <c r="G253">
        <f t="shared" si="70"/>
        <v>1</v>
      </c>
      <c r="H253">
        <f t="shared" si="70"/>
        <v>1</v>
      </c>
      <c r="I253">
        <f t="shared" si="70"/>
        <v>1</v>
      </c>
      <c r="J253">
        <f t="shared" si="70"/>
        <v>1</v>
      </c>
      <c r="K253">
        <f t="shared" si="70"/>
        <v>1</v>
      </c>
      <c r="L253">
        <f t="shared" si="70"/>
        <v>1</v>
      </c>
      <c r="M253">
        <f t="shared" si="70"/>
        <v>1</v>
      </c>
      <c r="N253">
        <f t="shared" si="70"/>
        <v>1</v>
      </c>
      <c r="O253">
        <f t="shared" si="71"/>
        <v>1</v>
      </c>
      <c r="P253">
        <f t="shared" si="71"/>
        <v>1</v>
      </c>
      <c r="Q253">
        <f t="shared" si="71"/>
        <v>1</v>
      </c>
      <c r="R253">
        <f t="shared" si="71"/>
        <v>1</v>
      </c>
      <c r="S253">
        <f t="shared" si="71"/>
        <v>1</v>
      </c>
      <c r="T253">
        <f t="shared" si="71"/>
        <v>1</v>
      </c>
      <c r="U253">
        <f t="shared" si="71"/>
        <v>1</v>
      </c>
      <c r="V253">
        <f t="shared" si="71"/>
        <v>1</v>
      </c>
      <c r="W253">
        <f t="shared" si="71"/>
        <v>1</v>
      </c>
      <c r="X253">
        <f t="shared" si="71"/>
        <v>1</v>
      </c>
      <c r="Y253">
        <f t="shared" si="72"/>
        <v>1</v>
      </c>
      <c r="Z253">
        <f t="shared" si="72"/>
        <v>1</v>
      </c>
      <c r="AA253">
        <f t="shared" si="72"/>
        <v>1</v>
      </c>
      <c r="AB253">
        <f t="shared" si="72"/>
        <v>1</v>
      </c>
      <c r="AC253">
        <f t="shared" si="72"/>
        <v>0</v>
      </c>
      <c r="AD253">
        <f t="shared" si="72"/>
        <v>1</v>
      </c>
      <c r="AE253">
        <f t="shared" si="72"/>
        <v>1</v>
      </c>
      <c r="AF253">
        <f t="shared" si="72"/>
        <v>1</v>
      </c>
      <c r="AG253">
        <f t="shared" si="72"/>
        <v>1</v>
      </c>
      <c r="AH253">
        <f t="shared" si="72"/>
        <v>1</v>
      </c>
      <c r="AI253">
        <f t="shared" si="72"/>
        <v>1</v>
      </c>
      <c r="AJ253" s="195">
        <f t="shared" si="72"/>
        <v>1</v>
      </c>
    </row>
    <row r="254" spans="3:36" x14ac:dyDescent="0.25">
      <c r="C254" s="191">
        <f>'General inputs'!C54</f>
        <v>26</v>
      </c>
      <c r="E254">
        <f t="shared" si="70"/>
        <v>1</v>
      </c>
      <c r="F254">
        <f t="shared" si="70"/>
        <v>1</v>
      </c>
      <c r="G254">
        <f t="shared" si="70"/>
        <v>1</v>
      </c>
      <c r="H254">
        <f t="shared" si="70"/>
        <v>1</v>
      </c>
      <c r="I254">
        <f t="shared" si="70"/>
        <v>1</v>
      </c>
      <c r="J254">
        <f t="shared" si="70"/>
        <v>1</v>
      </c>
      <c r="K254">
        <f t="shared" si="70"/>
        <v>1</v>
      </c>
      <c r="L254">
        <f t="shared" si="70"/>
        <v>1</v>
      </c>
      <c r="M254">
        <f t="shared" si="70"/>
        <v>1</v>
      </c>
      <c r="N254">
        <f t="shared" si="70"/>
        <v>1</v>
      </c>
      <c r="O254">
        <f t="shared" si="71"/>
        <v>1</v>
      </c>
      <c r="P254">
        <f t="shared" si="71"/>
        <v>1</v>
      </c>
      <c r="Q254">
        <f t="shared" si="71"/>
        <v>1</v>
      </c>
      <c r="R254">
        <f t="shared" si="71"/>
        <v>1</v>
      </c>
      <c r="S254">
        <f t="shared" si="71"/>
        <v>1</v>
      </c>
      <c r="T254">
        <f t="shared" si="71"/>
        <v>1</v>
      </c>
      <c r="U254">
        <f t="shared" si="71"/>
        <v>1</v>
      </c>
      <c r="V254">
        <f t="shared" si="71"/>
        <v>1</v>
      </c>
      <c r="W254">
        <f t="shared" si="71"/>
        <v>1</v>
      </c>
      <c r="X254">
        <f t="shared" si="71"/>
        <v>1</v>
      </c>
      <c r="Y254">
        <f t="shared" si="72"/>
        <v>1</v>
      </c>
      <c r="Z254">
        <f t="shared" si="72"/>
        <v>1</v>
      </c>
      <c r="AA254">
        <f t="shared" si="72"/>
        <v>1</v>
      </c>
      <c r="AB254">
        <f t="shared" si="72"/>
        <v>1</v>
      </c>
      <c r="AC254">
        <f t="shared" si="72"/>
        <v>1</v>
      </c>
      <c r="AD254">
        <f t="shared" si="72"/>
        <v>0</v>
      </c>
      <c r="AE254">
        <f t="shared" si="72"/>
        <v>1</v>
      </c>
      <c r="AF254">
        <f t="shared" si="72"/>
        <v>1</v>
      </c>
      <c r="AG254">
        <f t="shared" si="72"/>
        <v>1</v>
      </c>
      <c r="AH254">
        <f t="shared" si="72"/>
        <v>1</v>
      </c>
      <c r="AI254">
        <f t="shared" si="72"/>
        <v>1</v>
      </c>
      <c r="AJ254" s="195">
        <f t="shared" si="72"/>
        <v>1</v>
      </c>
    </row>
    <row r="255" spans="3:36" x14ac:dyDescent="0.25">
      <c r="C255" s="191">
        <f>'General inputs'!C55</f>
        <v>27</v>
      </c>
      <c r="E255">
        <f t="shared" si="70"/>
        <v>1</v>
      </c>
      <c r="F255">
        <f t="shared" si="70"/>
        <v>1</v>
      </c>
      <c r="G255">
        <f t="shared" si="70"/>
        <v>1</v>
      </c>
      <c r="H255">
        <f t="shared" si="70"/>
        <v>1</v>
      </c>
      <c r="I255">
        <f t="shared" si="70"/>
        <v>1</v>
      </c>
      <c r="J255">
        <f t="shared" si="70"/>
        <v>1</v>
      </c>
      <c r="K255">
        <f t="shared" si="70"/>
        <v>1</v>
      </c>
      <c r="L255">
        <f t="shared" si="70"/>
        <v>1</v>
      </c>
      <c r="M255">
        <f t="shared" si="70"/>
        <v>1</v>
      </c>
      <c r="N255">
        <f t="shared" si="70"/>
        <v>1</v>
      </c>
      <c r="O255">
        <f t="shared" si="71"/>
        <v>1</v>
      </c>
      <c r="P255">
        <f t="shared" si="71"/>
        <v>1</v>
      </c>
      <c r="Q255">
        <f t="shared" si="71"/>
        <v>1</v>
      </c>
      <c r="R255">
        <f t="shared" si="71"/>
        <v>1</v>
      </c>
      <c r="S255">
        <f t="shared" si="71"/>
        <v>1</v>
      </c>
      <c r="T255">
        <f t="shared" si="71"/>
        <v>1</v>
      </c>
      <c r="U255">
        <f t="shared" si="71"/>
        <v>1</v>
      </c>
      <c r="V255">
        <f t="shared" si="71"/>
        <v>1</v>
      </c>
      <c r="W255">
        <f t="shared" si="71"/>
        <v>1</v>
      </c>
      <c r="X255">
        <f t="shared" si="71"/>
        <v>1</v>
      </c>
      <c r="Y255">
        <f t="shared" si="72"/>
        <v>1</v>
      </c>
      <c r="Z255">
        <f t="shared" si="72"/>
        <v>1</v>
      </c>
      <c r="AA255">
        <f t="shared" si="72"/>
        <v>1</v>
      </c>
      <c r="AB255">
        <f t="shared" si="72"/>
        <v>1</v>
      </c>
      <c r="AC255">
        <f t="shared" si="72"/>
        <v>1</v>
      </c>
      <c r="AD255">
        <f t="shared" si="72"/>
        <v>1</v>
      </c>
      <c r="AE255">
        <f t="shared" si="72"/>
        <v>0</v>
      </c>
      <c r="AF255">
        <f t="shared" si="72"/>
        <v>1</v>
      </c>
      <c r="AG255">
        <f t="shared" si="72"/>
        <v>1</v>
      </c>
      <c r="AH255">
        <f t="shared" si="72"/>
        <v>1</v>
      </c>
      <c r="AI255">
        <f t="shared" si="72"/>
        <v>1</v>
      </c>
      <c r="AJ255" s="195">
        <f t="shared" si="72"/>
        <v>1</v>
      </c>
    </row>
    <row r="256" spans="3:36" x14ac:dyDescent="0.25">
      <c r="C256" s="191">
        <f>'General inputs'!C56</f>
        <v>28</v>
      </c>
      <c r="E256">
        <f t="shared" si="70"/>
        <v>1</v>
      </c>
      <c r="F256">
        <f t="shared" si="70"/>
        <v>1</v>
      </c>
      <c r="G256">
        <f t="shared" si="70"/>
        <v>1</v>
      </c>
      <c r="H256">
        <f t="shared" si="70"/>
        <v>1</v>
      </c>
      <c r="I256">
        <f t="shared" si="70"/>
        <v>1</v>
      </c>
      <c r="J256">
        <f t="shared" si="70"/>
        <v>1</v>
      </c>
      <c r="K256">
        <f t="shared" si="70"/>
        <v>1</v>
      </c>
      <c r="L256">
        <f t="shared" si="70"/>
        <v>1</v>
      </c>
      <c r="M256">
        <f t="shared" si="70"/>
        <v>1</v>
      </c>
      <c r="N256">
        <f t="shared" si="70"/>
        <v>1</v>
      </c>
      <c r="O256">
        <f t="shared" si="71"/>
        <v>1</v>
      </c>
      <c r="P256">
        <f t="shared" si="71"/>
        <v>1</v>
      </c>
      <c r="Q256">
        <f t="shared" si="71"/>
        <v>1</v>
      </c>
      <c r="R256">
        <f t="shared" si="71"/>
        <v>1</v>
      </c>
      <c r="S256">
        <f t="shared" si="71"/>
        <v>1</v>
      </c>
      <c r="T256">
        <f t="shared" si="71"/>
        <v>1</v>
      </c>
      <c r="U256">
        <f t="shared" si="71"/>
        <v>1</v>
      </c>
      <c r="V256">
        <f t="shared" si="71"/>
        <v>1</v>
      </c>
      <c r="W256">
        <f t="shared" si="71"/>
        <v>1</v>
      </c>
      <c r="X256">
        <f t="shared" si="71"/>
        <v>1</v>
      </c>
      <c r="Y256">
        <f t="shared" si="72"/>
        <v>1</v>
      </c>
      <c r="Z256">
        <f t="shared" si="72"/>
        <v>1</v>
      </c>
      <c r="AA256">
        <f t="shared" si="72"/>
        <v>1</v>
      </c>
      <c r="AB256">
        <f t="shared" si="72"/>
        <v>1</v>
      </c>
      <c r="AC256">
        <f t="shared" si="72"/>
        <v>1</v>
      </c>
      <c r="AD256">
        <f t="shared" si="72"/>
        <v>1</v>
      </c>
      <c r="AE256">
        <f t="shared" si="72"/>
        <v>1</v>
      </c>
      <c r="AF256">
        <f t="shared" si="72"/>
        <v>0</v>
      </c>
      <c r="AG256">
        <f t="shared" si="72"/>
        <v>1</v>
      </c>
      <c r="AH256">
        <f t="shared" si="72"/>
        <v>1</v>
      </c>
      <c r="AI256">
        <f t="shared" si="72"/>
        <v>1</v>
      </c>
      <c r="AJ256" s="195">
        <f t="shared" si="72"/>
        <v>1</v>
      </c>
    </row>
    <row r="257" spans="3:36" x14ac:dyDescent="0.25">
      <c r="C257" s="191">
        <f>'General inputs'!C57</f>
        <v>29</v>
      </c>
      <c r="E257">
        <f t="shared" si="70"/>
        <v>1</v>
      </c>
      <c r="F257">
        <f t="shared" si="70"/>
        <v>1</v>
      </c>
      <c r="G257">
        <f t="shared" si="70"/>
        <v>1</v>
      </c>
      <c r="H257">
        <f t="shared" si="70"/>
        <v>1</v>
      </c>
      <c r="I257">
        <f t="shared" si="70"/>
        <v>1</v>
      </c>
      <c r="J257">
        <f t="shared" si="70"/>
        <v>1</v>
      </c>
      <c r="K257">
        <f t="shared" si="70"/>
        <v>1</v>
      </c>
      <c r="L257">
        <f t="shared" si="70"/>
        <v>1</v>
      </c>
      <c r="M257">
        <f t="shared" si="70"/>
        <v>1</v>
      </c>
      <c r="N257">
        <f t="shared" si="70"/>
        <v>1</v>
      </c>
      <c r="O257">
        <f t="shared" si="71"/>
        <v>1</v>
      </c>
      <c r="P257">
        <f t="shared" si="71"/>
        <v>1</v>
      </c>
      <c r="Q257">
        <f t="shared" si="71"/>
        <v>1</v>
      </c>
      <c r="R257">
        <f t="shared" si="71"/>
        <v>1</v>
      </c>
      <c r="S257">
        <f t="shared" si="71"/>
        <v>1</v>
      </c>
      <c r="T257">
        <f t="shared" si="71"/>
        <v>1</v>
      </c>
      <c r="U257">
        <f t="shared" si="71"/>
        <v>1</v>
      </c>
      <c r="V257">
        <f t="shared" si="71"/>
        <v>1</v>
      </c>
      <c r="W257">
        <f t="shared" si="71"/>
        <v>1</v>
      </c>
      <c r="X257">
        <f t="shared" si="71"/>
        <v>1</v>
      </c>
      <c r="Y257">
        <f t="shared" si="72"/>
        <v>1</v>
      </c>
      <c r="Z257">
        <f t="shared" si="72"/>
        <v>1</v>
      </c>
      <c r="AA257">
        <f t="shared" si="72"/>
        <v>1</v>
      </c>
      <c r="AB257">
        <f t="shared" si="72"/>
        <v>1</v>
      </c>
      <c r="AC257">
        <f t="shared" si="72"/>
        <v>1</v>
      </c>
      <c r="AD257">
        <f t="shared" si="72"/>
        <v>1</v>
      </c>
      <c r="AE257">
        <f t="shared" si="72"/>
        <v>1</v>
      </c>
      <c r="AF257">
        <f t="shared" si="72"/>
        <v>1</v>
      </c>
      <c r="AG257">
        <f t="shared" si="72"/>
        <v>0</v>
      </c>
      <c r="AH257">
        <f t="shared" si="72"/>
        <v>1</v>
      </c>
      <c r="AI257">
        <f t="shared" si="72"/>
        <v>1</v>
      </c>
      <c r="AJ257" s="195">
        <f t="shared" si="72"/>
        <v>1</v>
      </c>
    </row>
    <row r="258" spans="3:36" x14ac:dyDescent="0.25">
      <c r="C258" s="191">
        <f>'General inputs'!C58</f>
        <v>30</v>
      </c>
      <c r="E258">
        <f t="shared" si="70"/>
        <v>1</v>
      </c>
      <c r="F258">
        <f t="shared" si="70"/>
        <v>1</v>
      </c>
      <c r="G258">
        <f t="shared" si="70"/>
        <v>1</v>
      </c>
      <c r="H258">
        <f t="shared" si="70"/>
        <v>1</v>
      </c>
      <c r="I258">
        <f t="shared" si="70"/>
        <v>1</v>
      </c>
      <c r="J258">
        <f t="shared" si="70"/>
        <v>1</v>
      </c>
      <c r="K258">
        <f t="shared" si="70"/>
        <v>1</v>
      </c>
      <c r="L258">
        <f t="shared" si="70"/>
        <v>1</v>
      </c>
      <c r="M258">
        <f t="shared" si="70"/>
        <v>1</v>
      </c>
      <c r="N258">
        <f t="shared" si="70"/>
        <v>1</v>
      </c>
      <c r="O258">
        <f t="shared" si="71"/>
        <v>1</v>
      </c>
      <c r="P258">
        <f t="shared" si="71"/>
        <v>1</v>
      </c>
      <c r="Q258">
        <f t="shared" si="71"/>
        <v>1</v>
      </c>
      <c r="R258">
        <f t="shared" si="71"/>
        <v>1</v>
      </c>
      <c r="S258">
        <f t="shared" si="71"/>
        <v>1</v>
      </c>
      <c r="T258">
        <f t="shared" si="71"/>
        <v>1</v>
      </c>
      <c r="U258">
        <f t="shared" si="71"/>
        <v>1</v>
      </c>
      <c r="V258">
        <f t="shared" si="71"/>
        <v>1</v>
      </c>
      <c r="W258">
        <f t="shared" si="71"/>
        <v>1</v>
      </c>
      <c r="X258">
        <f t="shared" si="71"/>
        <v>1</v>
      </c>
      <c r="Y258">
        <f t="shared" si="72"/>
        <v>1</v>
      </c>
      <c r="Z258">
        <f t="shared" si="72"/>
        <v>1</v>
      </c>
      <c r="AA258">
        <f t="shared" si="72"/>
        <v>1</v>
      </c>
      <c r="AB258">
        <f t="shared" si="72"/>
        <v>1</v>
      </c>
      <c r="AC258">
        <f t="shared" si="72"/>
        <v>1</v>
      </c>
      <c r="AD258">
        <f t="shared" si="72"/>
        <v>1</v>
      </c>
      <c r="AE258">
        <f t="shared" si="72"/>
        <v>1</v>
      </c>
      <c r="AF258">
        <f t="shared" si="72"/>
        <v>1</v>
      </c>
      <c r="AG258">
        <f t="shared" si="72"/>
        <v>1</v>
      </c>
      <c r="AH258">
        <f t="shared" si="72"/>
        <v>0</v>
      </c>
      <c r="AI258">
        <f t="shared" si="72"/>
        <v>1</v>
      </c>
      <c r="AJ258" s="195">
        <f t="shared" si="72"/>
        <v>1</v>
      </c>
    </row>
    <row r="259" spans="3:36" x14ac:dyDescent="0.25">
      <c r="C259" s="191">
        <f>'General inputs'!C59</f>
        <v>31</v>
      </c>
      <c r="E259">
        <f t="shared" si="70"/>
        <v>1</v>
      </c>
      <c r="F259">
        <f t="shared" si="70"/>
        <v>1</v>
      </c>
      <c r="G259">
        <f t="shared" si="70"/>
        <v>1</v>
      </c>
      <c r="H259">
        <f t="shared" si="70"/>
        <v>1</v>
      </c>
      <c r="I259">
        <f t="shared" si="70"/>
        <v>1</v>
      </c>
      <c r="J259">
        <f t="shared" si="70"/>
        <v>1</v>
      </c>
      <c r="K259">
        <f t="shared" si="70"/>
        <v>1</v>
      </c>
      <c r="L259">
        <f t="shared" si="70"/>
        <v>1</v>
      </c>
      <c r="M259">
        <f t="shared" si="70"/>
        <v>1</v>
      </c>
      <c r="N259">
        <f t="shared" si="70"/>
        <v>1</v>
      </c>
      <c r="O259">
        <f t="shared" si="71"/>
        <v>1</v>
      </c>
      <c r="P259">
        <f t="shared" si="71"/>
        <v>1</v>
      </c>
      <c r="Q259">
        <f t="shared" si="71"/>
        <v>1</v>
      </c>
      <c r="R259">
        <f t="shared" si="71"/>
        <v>1</v>
      </c>
      <c r="S259">
        <f t="shared" si="71"/>
        <v>1</v>
      </c>
      <c r="T259">
        <f t="shared" si="71"/>
        <v>1</v>
      </c>
      <c r="U259">
        <f t="shared" si="71"/>
        <v>1</v>
      </c>
      <c r="V259">
        <f t="shared" si="71"/>
        <v>1</v>
      </c>
      <c r="W259">
        <f t="shared" si="71"/>
        <v>1</v>
      </c>
      <c r="X259">
        <f t="shared" si="71"/>
        <v>1</v>
      </c>
      <c r="Y259">
        <f t="shared" si="72"/>
        <v>1</v>
      </c>
      <c r="Z259">
        <f t="shared" si="72"/>
        <v>1</v>
      </c>
      <c r="AA259">
        <f t="shared" si="72"/>
        <v>1</v>
      </c>
      <c r="AB259">
        <f t="shared" si="72"/>
        <v>1</v>
      </c>
      <c r="AC259">
        <f t="shared" si="72"/>
        <v>1</v>
      </c>
      <c r="AD259">
        <f t="shared" si="72"/>
        <v>1</v>
      </c>
      <c r="AE259">
        <f t="shared" si="72"/>
        <v>1</v>
      </c>
      <c r="AF259">
        <f t="shared" si="72"/>
        <v>1</v>
      </c>
      <c r="AG259">
        <f t="shared" si="72"/>
        <v>1</v>
      </c>
      <c r="AH259">
        <f t="shared" si="72"/>
        <v>1</v>
      </c>
      <c r="AI259">
        <f t="shared" si="72"/>
        <v>0</v>
      </c>
      <c r="AJ259" s="195">
        <f t="shared" si="72"/>
        <v>1</v>
      </c>
    </row>
    <row r="260" spans="3:36" x14ac:dyDescent="0.25">
      <c r="C260" s="191">
        <f>'General inputs'!C60</f>
        <v>32</v>
      </c>
      <c r="E260">
        <f t="shared" si="70"/>
        <v>1</v>
      </c>
      <c r="F260">
        <f t="shared" si="70"/>
        <v>1</v>
      </c>
      <c r="G260">
        <f t="shared" si="70"/>
        <v>1</v>
      </c>
      <c r="H260">
        <f t="shared" si="70"/>
        <v>1</v>
      </c>
      <c r="I260">
        <f t="shared" si="70"/>
        <v>1</v>
      </c>
      <c r="J260">
        <f t="shared" si="70"/>
        <v>1</v>
      </c>
      <c r="K260">
        <f t="shared" si="70"/>
        <v>1</v>
      </c>
      <c r="L260">
        <f t="shared" si="70"/>
        <v>1</v>
      </c>
      <c r="M260">
        <f t="shared" si="70"/>
        <v>1</v>
      </c>
      <c r="N260">
        <f t="shared" si="70"/>
        <v>1</v>
      </c>
      <c r="O260">
        <f t="shared" si="71"/>
        <v>1</v>
      </c>
      <c r="P260">
        <f t="shared" si="71"/>
        <v>1</v>
      </c>
      <c r="Q260">
        <f t="shared" si="71"/>
        <v>1</v>
      </c>
      <c r="R260">
        <f t="shared" si="71"/>
        <v>1</v>
      </c>
      <c r="S260">
        <f t="shared" si="71"/>
        <v>1</v>
      </c>
      <c r="T260">
        <f t="shared" si="71"/>
        <v>1</v>
      </c>
      <c r="U260">
        <f t="shared" si="71"/>
        <v>1</v>
      </c>
      <c r="V260">
        <f t="shared" si="71"/>
        <v>1</v>
      </c>
      <c r="W260">
        <f t="shared" si="71"/>
        <v>1</v>
      </c>
      <c r="X260">
        <f t="shared" si="71"/>
        <v>1</v>
      </c>
      <c r="Y260">
        <f t="shared" si="72"/>
        <v>1</v>
      </c>
      <c r="Z260">
        <f t="shared" si="72"/>
        <v>1</v>
      </c>
      <c r="AA260">
        <f t="shared" si="72"/>
        <v>1</v>
      </c>
      <c r="AB260">
        <f t="shared" si="72"/>
        <v>1</v>
      </c>
      <c r="AC260">
        <f t="shared" si="72"/>
        <v>1</v>
      </c>
      <c r="AD260">
        <f t="shared" si="72"/>
        <v>1</v>
      </c>
      <c r="AE260">
        <f t="shared" si="72"/>
        <v>1</v>
      </c>
      <c r="AF260">
        <f t="shared" si="72"/>
        <v>1</v>
      </c>
      <c r="AG260">
        <f t="shared" si="72"/>
        <v>1</v>
      </c>
      <c r="AH260">
        <f t="shared" si="72"/>
        <v>1</v>
      </c>
      <c r="AI260">
        <f t="shared" si="72"/>
        <v>1</v>
      </c>
      <c r="AJ260" s="195">
        <f t="shared" si="72"/>
        <v>0</v>
      </c>
    </row>
    <row r="261" spans="3:36" x14ac:dyDescent="0.25">
      <c r="C261" s="196"/>
      <c r="D261" s="197"/>
      <c r="E261" s="197"/>
      <c r="F261" s="197"/>
      <c r="G261" s="197"/>
      <c r="H261" s="197"/>
      <c r="I261" s="197"/>
      <c r="J261" s="197"/>
      <c r="K261" s="197"/>
      <c r="L261" s="197"/>
      <c r="M261" s="197"/>
      <c r="N261" s="197"/>
      <c r="O261" s="197"/>
      <c r="P261" s="197"/>
      <c r="Q261" s="197"/>
      <c r="R261" s="197"/>
      <c r="S261" s="197"/>
      <c r="T261" s="197"/>
      <c r="U261" s="197"/>
      <c r="V261" s="197"/>
      <c r="W261" s="197"/>
      <c r="X261" s="197"/>
      <c r="Y261" s="197"/>
      <c r="Z261" s="197"/>
      <c r="AA261" s="197"/>
      <c r="AB261" s="197"/>
      <c r="AC261" s="197"/>
      <c r="AD261" s="197"/>
      <c r="AE261" s="197"/>
      <c r="AF261" s="197"/>
      <c r="AG261" s="197"/>
      <c r="AH261" s="197"/>
      <c r="AI261" s="197"/>
      <c r="AJ261" s="198"/>
    </row>
  </sheetData>
  <conditionalFormatting sqref="H23:AM62">
    <cfRule type="expression" dxfId="5" priority="5">
      <formula>H23=0</formula>
    </cfRule>
  </conditionalFormatting>
  <conditionalFormatting sqref="H71:AM102">
    <cfRule type="expression" dxfId="4" priority="4">
      <formula>H71=0</formula>
    </cfRule>
  </conditionalFormatting>
  <conditionalFormatting sqref="H111:AM142">
    <cfRule type="expression" dxfId="3" priority="3">
      <formula>H111=0</formula>
    </cfRule>
  </conditionalFormatting>
  <conditionalFormatting sqref="H151:AM182">
    <cfRule type="expression" dxfId="2" priority="2">
      <formula>H151=0</formula>
    </cfRule>
  </conditionalFormatting>
  <conditionalFormatting sqref="H191:AM222">
    <cfRule type="expression" dxfId="1" priority="1">
      <formula>H191=0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9DA1-7769-4825-BD60-443B97E03E29}">
  <sheetPr codeName="Sheet12"/>
  <dimension ref="A1:AJ163"/>
  <sheetViews>
    <sheetView showGridLines="0" zoomScaleNormal="100" workbookViewId="0"/>
  </sheetViews>
  <sheetFormatPr defaultRowHeight="11.5" x14ac:dyDescent="0.25"/>
  <cols>
    <col min="1" max="2" width="3.69921875" customWidth="1"/>
    <col min="3" max="3" width="20.3984375" customWidth="1"/>
    <col min="4" max="11" width="13.69921875" customWidth="1"/>
    <col min="12" max="17" width="10.69921875" customWidth="1"/>
  </cols>
  <sheetData>
    <row r="1" spans="1:36" x14ac:dyDescent="0.25">
      <c r="A1" s="347"/>
      <c r="C1" s="42" t="str">
        <f>'Fare optimisation'!$C$1</f>
        <v>Fare Optimisation Model for the 2025 Opal Review - Independent Pricing and Regulatory Tribunal of NSW</v>
      </c>
    </row>
    <row r="4" spans="1:36" ht="23" x14ac:dyDescent="0.5">
      <c r="C4" s="184" t="s">
        <v>1224</v>
      </c>
    </row>
    <row r="7" spans="1:36" x14ac:dyDescent="0.25">
      <c r="C7" s="11" t="s">
        <v>225</v>
      </c>
      <c r="D7" s="11"/>
      <c r="E7" s="11"/>
      <c r="F7" s="11"/>
      <c r="G7" s="11"/>
      <c r="H7" s="11"/>
      <c r="I7" s="11"/>
      <c r="J7" s="11"/>
      <c r="K7" s="185" t="s">
        <v>226</v>
      </c>
    </row>
    <row r="8" spans="1:36" x14ac:dyDescent="0.25">
      <c r="B8" s="186">
        <v>1</v>
      </c>
      <c r="C8" s="187" t="str">
        <f>"Table "&amp;B8&amp;" - Marginal cost of PT ($, $2022-23)"</f>
        <v>Table 1 - Marginal cost of PT ($, $2022-23)</v>
      </c>
      <c r="D8" s="187"/>
      <c r="E8" s="187"/>
      <c r="F8" s="187"/>
      <c r="G8" s="187"/>
      <c r="H8" s="187"/>
      <c r="I8" s="187"/>
      <c r="J8" s="187"/>
      <c r="K8" s="187">
        <f>ROW(C21)</f>
        <v>21</v>
      </c>
    </row>
    <row r="9" spans="1:36" x14ac:dyDescent="0.25">
      <c r="B9" s="357">
        <f>B8+1</f>
        <v>2</v>
      </c>
      <c r="C9" s="11" t="str">
        <f>"Table "&amp;B9&amp;" - Output table for Fare Optimisation Model ($, $2022-23)"</f>
        <v>Table 2 - Output table for Fare Optimisation Model ($, $2022-23)</v>
      </c>
      <c r="D9" s="11"/>
      <c r="E9" s="11"/>
      <c r="F9" s="11"/>
      <c r="G9" s="11"/>
      <c r="H9" s="11"/>
      <c r="I9" s="11"/>
      <c r="J9" s="11"/>
      <c r="K9" s="11">
        <f>ROW(C35)</f>
        <v>35</v>
      </c>
    </row>
    <row r="10" spans="1:36" x14ac:dyDescent="0.25">
      <c r="B10" s="357">
        <f>B9+1</f>
        <v>3</v>
      </c>
      <c r="C10" s="11" t="str">
        <f>"Table "&amp;B10&amp;" - Capacity costs - all days of the week ($'000, $2022-23)"</f>
        <v>Table 3 - Capacity costs - all days of the week ($'000, $2022-23)</v>
      </c>
      <c r="D10" s="11"/>
      <c r="E10" s="11"/>
      <c r="F10" s="11"/>
      <c r="G10" s="11"/>
      <c r="H10" s="11"/>
      <c r="I10" s="11"/>
      <c r="J10" s="11"/>
      <c r="K10" s="11">
        <f>ROW(C51)</f>
        <v>51</v>
      </c>
    </row>
    <row r="11" spans="1:36" x14ac:dyDescent="0.25">
      <c r="B11" s="357">
        <f>B10+1</f>
        <v>4</v>
      </c>
      <c r="C11" s="11" t="str">
        <f>"Table "&amp;B11&amp;" - Passenger journeys - all days of the week"</f>
        <v>Table 4 - Passenger journeys - all days of the week</v>
      </c>
      <c r="D11" s="11"/>
      <c r="E11" s="11"/>
      <c r="F11" s="11"/>
      <c r="G11" s="11"/>
      <c r="H11" s="11"/>
      <c r="I11" s="11"/>
      <c r="J11" s="11"/>
      <c r="K11" s="11">
        <f>ROW(C65)</f>
        <v>65</v>
      </c>
    </row>
    <row r="12" spans="1:36" x14ac:dyDescent="0.25">
      <c r="B12" s="357">
        <f>B11+1</f>
        <v>5</v>
      </c>
      <c r="C12" s="11" t="str">
        <f>"Table "&amp;B12&amp;" - Ownership cost calculations ($'000, $2022-23)"</f>
        <v>Table 5 - Ownership cost calculations ($'000, $2022-23)</v>
      </c>
      <c r="D12" s="11"/>
      <c r="E12" s="11"/>
      <c r="F12" s="11"/>
      <c r="G12" s="11"/>
      <c r="H12" s="11"/>
      <c r="I12" s="11"/>
      <c r="J12" s="11"/>
      <c r="K12" s="11">
        <f>ROW(C91)</f>
        <v>91</v>
      </c>
    </row>
    <row r="13" spans="1:36" x14ac:dyDescent="0.25">
      <c r="B13" s="357">
        <f>B12+1</f>
        <v>6</v>
      </c>
      <c r="C13" s="209" t="str">
        <f>"Table "&amp;B13&amp;" - Total costs by category by vehicle type ($'000, $2022-23)"</f>
        <v>Table 6 - Total costs by category by vehicle type ($'000, $2022-23)</v>
      </c>
      <c r="D13" s="209"/>
      <c r="E13" s="209"/>
      <c r="F13" s="209"/>
      <c r="G13" s="209"/>
      <c r="H13" s="209"/>
      <c r="I13" s="209"/>
      <c r="J13" s="209"/>
      <c r="K13" s="209">
        <f>ROW(C111)</f>
        <v>111</v>
      </c>
    </row>
    <row r="16" spans="1:36" x14ac:dyDescent="0.25">
      <c r="B16" s="563"/>
      <c r="C16" s="563"/>
      <c r="D16" s="563"/>
      <c r="E16" s="563"/>
      <c r="F16" s="563"/>
      <c r="G16" s="563"/>
      <c r="H16" s="563"/>
      <c r="I16" s="563"/>
      <c r="J16" s="563"/>
      <c r="K16" s="563"/>
      <c r="L16" s="564"/>
      <c r="M16" s="564"/>
      <c r="N16" s="564"/>
      <c r="O16" s="564"/>
      <c r="P16" s="564"/>
      <c r="Q16" s="564"/>
      <c r="R16" s="564"/>
      <c r="S16" s="564"/>
      <c r="T16" s="564"/>
      <c r="U16" s="564"/>
      <c r="V16" s="564"/>
      <c r="W16" s="564"/>
      <c r="X16" s="564"/>
      <c r="Y16" s="564"/>
      <c r="Z16" s="564"/>
      <c r="AA16" s="564"/>
      <c r="AB16" s="564"/>
      <c r="AC16" s="564"/>
      <c r="AD16" s="564"/>
      <c r="AE16" s="564"/>
      <c r="AF16" s="564"/>
      <c r="AG16" s="564"/>
      <c r="AH16" s="564"/>
      <c r="AI16" s="564"/>
      <c r="AJ16" s="564"/>
    </row>
    <row r="18" spans="3:22" ht="20" x14ac:dyDescent="0.4">
      <c r="C18" s="26" t="s">
        <v>257</v>
      </c>
    </row>
    <row r="21" spans="3:22" ht="15.5" x14ac:dyDescent="0.35">
      <c r="C21" s="43" t="str">
        <f>C8</f>
        <v>Table 1 - Marginal cost of PT ($, $2022-23)</v>
      </c>
    </row>
    <row r="22" spans="3:22" x14ac:dyDescent="0.25">
      <c r="C22" s="188"/>
      <c r="D22" s="189"/>
      <c r="E22" s="189"/>
      <c r="F22" s="189"/>
      <c r="G22" s="189"/>
      <c r="H22" s="189"/>
      <c r="I22" s="189"/>
      <c r="J22" s="190"/>
    </row>
    <row r="23" spans="3:22" x14ac:dyDescent="0.25">
      <c r="C23" s="191"/>
      <c r="E23" s="301" t="s">
        <v>674</v>
      </c>
      <c r="F23" s="301"/>
      <c r="H23" s="301" t="s">
        <v>675</v>
      </c>
      <c r="I23" s="301"/>
      <c r="J23" s="195"/>
    </row>
    <row r="24" spans="3:22" x14ac:dyDescent="0.25">
      <c r="C24" s="191"/>
      <c r="E24" s="302" t="s">
        <v>176</v>
      </c>
      <c r="F24" s="302" t="s">
        <v>676</v>
      </c>
      <c r="G24" s="302"/>
      <c r="H24" s="302" t="s">
        <v>176</v>
      </c>
      <c r="I24" s="302" t="s">
        <v>676</v>
      </c>
      <c r="J24" s="195"/>
    </row>
    <row r="25" spans="3:22" x14ac:dyDescent="0.25">
      <c r="C25" s="191"/>
      <c r="J25" s="195"/>
    </row>
    <row r="26" spans="3:22" x14ac:dyDescent="0.25">
      <c r="C26" s="191" t="s">
        <v>253</v>
      </c>
      <c r="E26" s="183">
        <f t="shared" ref="E26:E31" si="0">E56*1000/E82+H26</f>
        <v>4.5659743276486715</v>
      </c>
      <c r="F26" s="358">
        <f>SUM(F56,G56*'Scenario Analysis'!$I$19)*1000/F82+I26</f>
        <v>0.51423634208507663</v>
      </c>
      <c r="H26" s="183">
        <f>I56*1000/H82</f>
        <v>0.77873989083219197</v>
      </c>
      <c r="I26" s="183">
        <f>J56*1000/I82</f>
        <v>0.42506650063948292</v>
      </c>
      <c r="J26" s="195"/>
      <c r="R26" s="183"/>
      <c r="S26" s="183"/>
      <c r="T26" s="183"/>
      <c r="U26" s="183"/>
      <c r="V26" s="183"/>
    </row>
    <row r="27" spans="3:22" x14ac:dyDescent="0.25">
      <c r="C27" s="191" t="s">
        <v>252</v>
      </c>
      <c r="E27" s="183">
        <f t="shared" si="0"/>
        <v>8.2766542811000683</v>
      </c>
      <c r="F27" s="358">
        <f>SUM(F57,G57*'Scenario Analysis'!$I$19)*1000/F83+I27</f>
        <v>0.65692749522481186</v>
      </c>
      <c r="H27" s="183">
        <f t="shared" ref="H27:I31" si="1">I57*1000/H83</f>
        <v>1.9416636003286374</v>
      </c>
      <c r="I27" s="183">
        <f t="shared" si="1"/>
        <v>0.47827259243850623</v>
      </c>
      <c r="J27" s="195"/>
      <c r="R27" s="183"/>
      <c r="S27" s="183"/>
      <c r="T27" s="183"/>
      <c r="U27" s="183"/>
      <c r="V27" s="183"/>
    </row>
    <row r="28" spans="3:22" x14ac:dyDescent="0.25">
      <c r="C28" s="191" t="s">
        <v>251</v>
      </c>
      <c r="E28" s="183">
        <f t="shared" si="0"/>
        <v>0.30980976945160554</v>
      </c>
      <c r="F28" s="358">
        <f>SUM(F58,G58*'Scenario Analysis'!$I$19)*1000/F84+I28</f>
        <v>1.5114627684571946</v>
      </c>
      <c r="H28" s="183">
        <f t="shared" si="1"/>
        <v>0</v>
      </c>
      <c r="I28" s="183">
        <f t="shared" si="1"/>
        <v>1.1213562793046596</v>
      </c>
      <c r="J28" s="195"/>
      <c r="R28" s="183"/>
      <c r="S28" s="183"/>
      <c r="T28" s="183"/>
      <c r="U28" s="183"/>
      <c r="V28" s="183"/>
    </row>
    <row r="29" spans="3:22" x14ac:dyDescent="0.25">
      <c r="C29" s="191" t="s">
        <v>184</v>
      </c>
      <c r="E29" s="183">
        <f t="shared" si="0"/>
        <v>1.582188901877732</v>
      </c>
      <c r="F29" s="358">
        <f>SUM(F59,G59*'Scenario Analysis'!$I$19)*1000/F85+I29</f>
        <v>1.4801922996481367</v>
      </c>
      <c r="H29" s="183">
        <f t="shared" si="1"/>
        <v>0</v>
      </c>
      <c r="I29" s="183">
        <f t="shared" si="1"/>
        <v>1.3619613904053243</v>
      </c>
      <c r="J29" s="195"/>
      <c r="R29" s="183"/>
      <c r="S29" s="183"/>
      <c r="T29" s="183"/>
      <c r="U29" s="183"/>
      <c r="V29" s="183"/>
    </row>
    <row r="30" spans="3:22" x14ac:dyDescent="0.25">
      <c r="C30" s="191" t="s">
        <v>185</v>
      </c>
      <c r="E30" s="183">
        <f t="shared" si="0"/>
        <v>1.6867037127654796</v>
      </c>
      <c r="F30" s="358">
        <f>SUM(F60,G60*'Scenario Analysis'!$I$19)*1000/F86+I30</f>
        <v>2.5072460078859171</v>
      </c>
      <c r="H30" s="183">
        <f t="shared" si="1"/>
        <v>0</v>
      </c>
      <c r="I30" s="183">
        <f t="shared" si="1"/>
        <v>2.0172353832602763</v>
      </c>
      <c r="J30" s="195"/>
      <c r="R30" s="183"/>
      <c r="S30" s="183"/>
      <c r="T30" s="183"/>
      <c r="U30" s="183"/>
      <c r="V30" s="183"/>
    </row>
    <row r="31" spans="3:22" x14ac:dyDescent="0.25">
      <c r="C31" s="191" t="s">
        <v>248</v>
      </c>
      <c r="E31" s="183">
        <f t="shared" si="0"/>
        <v>0.61988859726832302</v>
      </c>
      <c r="F31" s="358">
        <f>SUM(F61,G61*'Scenario Analysis'!$I$19)*1000/F87+I31</f>
        <v>1.6944036720566196</v>
      </c>
      <c r="H31" s="183">
        <f t="shared" si="1"/>
        <v>0</v>
      </c>
      <c r="I31" s="183">
        <f t="shared" si="1"/>
        <v>0.99837838098629372</v>
      </c>
      <c r="J31" s="195"/>
      <c r="R31" s="183"/>
      <c r="S31" s="183"/>
      <c r="T31" s="183"/>
      <c r="U31" s="183"/>
      <c r="V31" s="183"/>
    </row>
    <row r="32" spans="3:22" x14ac:dyDescent="0.25">
      <c r="C32" s="196"/>
      <c r="D32" s="197"/>
      <c r="E32" s="197"/>
      <c r="F32" s="197"/>
      <c r="G32" s="197"/>
      <c r="H32" s="197"/>
      <c r="I32" s="197"/>
      <c r="J32" s="198"/>
    </row>
    <row r="35" spans="2:36" ht="15.5" x14ac:dyDescent="0.35">
      <c r="C35" s="43" t="str">
        <f>C9</f>
        <v>Table 2 - Output table for Fare Optimisation Model ($, $2022-23)</v>
      </c>
    </row>
    <row r="36" spans="2:36" x14ac:dyDescent="0.25">
      <c r="C36" s="188"/>
      <c r="D36" s="189"/>
      <c r="E36" s="189"/>
      <c r="F36" s="189"/>
      <c r="G36" s="189"/>
      <c r="H36" s="189"/>
      <c r="I36" s="189"/>
      <c r="J36" s="190"/>
    </row>
    <row r="37" spans="2:36" x14ac:dyDescent="0.25">
      <c r="C37" s="191"/>
      <c r="E37" s="302"/>
      <c r="F37" s="302" t="s">
        <v>183</v>
      </c>
      <c r="G37" s="302" t="s">
        <v>184</v>
      </c>
      <c r="H37" s="302" t="s">
        <v>185</v>
      </c>
      <c r="I37" s="302" t="s">
        <v>248</v>
      </c>
      <c r="J37" s="195"/>
    </row>
    <row r="38" spans="2:36" x14ac:dyDescent="0.25">
      <c r="C38" s="191"/>
      <c r="J38" s="195"/>
    </row>
    <row r="39" spans="2:36" ht="12" thickBot="1" x14ac:dyDescent="0.3">
      <c r="C39" s="191" t="s">
        <v>188</v>
      </c>
      <c r="E39" s="302" t="s">
        <v>176</v>
      </c>
      <c r="F39" s="374">
        <f>E26</f>
        <v>4.5659743276486715</v>
      </c>
      <c r="G39" s="375">
        <f>E29</f>
        <v>1.582188901877732</v>
      </c>
      <c r="H39" s="375">
        <f>E30</f>
        <v>1.6867037127654796</v>
      </c>
      <c r="I39" s="376">
        <f>E31</f>
        <v>0.61988859726832302</v>
      </c>
      <c r="J39" s="195"/>
    </row>
    <row r="40" spans="2:36" ht="12.5" thickTop="1" thickBot="1" x14ac:dyDescent="0.3">
      <c r="C40" s="191"/>
      <c r="E40" s="302" t="s">
        <v>676</v>
      </c>
      <c r="F40" s="377">
        <f>F26</f>
        <v>0.51423634208507663</v>
      </c>
      <c r="G40" s="378">
        <f>F29</f>
        <v>1.4801922996481367</v>
      </c>
      <c r="H40" s="378">
        <f>F30</f>
        <v>2.5072460078859171</v>
      </c>
      <c r="I40" s="379">
        <f>F31</f>
        <v>1.6944036720566196</v>
      </c>
      <c r="J40" s="195"/>
    </row>
    <row r="41" spans="2:36" ht="12.5" thickTop="1" thickBot="1" x14ac:dyDescent="0.3">
      <c r="C41" s="191" t="s">
        <v>189</v>
      </c>
      <c r="E41" s="302" t="s">
        <v>176</v>
      </c>
      <c r="F41" s="377">
        <f>H26</f>
        <v>0.77873989083219197</v>
      </c>
      <c r="G41" s="378">
        <f>H29</f>
        <v>0</v>
      </c>
      <c r="H41" s="378">
        <f>H30</f>
        <v>0</v>
      </c>
      <c r="I41" s="379">
        <f>H31</f>
        <v>0</v>
      </c>
      <c r="J41" s="195"/>
    </row>
    <row r="42" spans="2:36" ht="12" thickTop="1" x14ac:dyDescent="0.25">
      <c r="C42" s="191"/>
      <c r="E42" s="302" t="s">
        <v>676</v>
      </c>
      <c r="F42" s="380">
        <f>I26</f>
        <v>0.42506650063948292</v>
      </c>
      <c r="G42" s="381">
        <f>I29</f>
        <v>1.3619613904053243</v>
      </c>
      <c r="H42" s="381">
        <f>I30</f>
        <v>2.0172353832602763</v>
      </c>
      <c r="I42" s="382">
        <f>I31</f>
        <v>0.99837838098629372</v>
      </c>
      <c r="J42" s="195"/>
    </row>
    <row r="43" spans="2:36" x14ac:dyDescent="0.25">
      <c r="C43" s="196"/>
      <c r="D43" s="197"/>
      <c r="E43" s="197"/>
      <c r="F43" s="197"/>
      <c r="G43" s="197"/>
      <c r="H43" s="197"/>
      <c r="I43" s="197"/>
      <c r="J43" s="198"/>
    </row>
    <row r="46" spans="2:36" x14ac:dyDescent="0.25">
      <c r="B46" s="563"/>
      <c r="C46" s="563"/>
      <c r="D46" s="563"/>
      <c r="E46" s="563"/>
      <c r="F46" s="563"/>
      <c r="G46" s="563"/>
      <c r="H46" s="563"/>
      <c r="I46" s="563"/>
      <c r="J46" s="563"/>
      <c r="K46" s="563"/>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row>
    <row r="48" spans="2:36" ht="20" x14ac:dyDescent="0.4">
      <c r="C48" s="26" t="s">
        <v>677</v>
      </c>
    </row>
    <row r="51" spans="3:11" ht="15.5" x14ac:dyDescent="0.35">
      <c r="C51" s="43" t="str">
        <f>C10</f>
        <v>Table 3 - Capacity costs - all days of the week ($'000, $2022-23)</v>
      </c>
    </row>
    <row r="52" spans="3:11" x14ac:dyDescent="0.25">
      <c r="C52" s="188"/>
      <c r="D52" s="189"/>
      <c r="E52" s="189"/>
      <c r="F52" s="189"/>
      <c r="G52" s="189"/>
      <c r="H52" s="189"/>
      <c r="I52" s="189"/>
      <c r="J52" s="189"/>
      <c r="K52" s="190"/>
    </row>
    <row r="53" spans="3:11" x14ac:dyDescent="0.25">
      <c r="C53" s="191"/>
      <c r="E53" s="301" t="s">
        <v>678</v>
      </c>
      <c r="F53" s="301"/>
      <c r="G53" s="301"/>
      <c r="I53" s="301" t="s">
        <v>679</v>
      </c>
      <c r="J53" s="301"/>
      <c r="K53" s="195"/>
    </row>
    <row r="54" spans="3:11" ht="34.5" x14ac:dyDescent="0.25">
      <c r="C54" s="191"/>
      <c r="E54" s="302" t="s">
        <v>680</v>
      </c>
      <c r="F54" s="302" t="s">
        <v>681</v>
      </c>
      <c r="G54" s="627" t="s">
        <v>1413</v>
      </c>
      <c r="H54" s="302"/>
      <c r="I54" s="302" t="s">
        <v>680</v>
      </c>
      <c r="J54" s="302" t="s">
        <v>681</v>
      </c>
      <c r="K54" s="195"/>
    </row>
    <row r="55" spans="3:11" x14ac:dyDescent="0.25">
      <c r="C55" s="191"/>
      <c r="K55" s="195"/>
    </row>
    <row r="56" spans="3:11" ht="12" thickBot="1" x14ac:dyDescent="0.3">
      <c r="C56" s="191" t="s">
        <v>253</v>
      </c>
      <c r="E56" s="373">
        <f>SUMPRODUCT('Scenario Analysis'!$G$30:$G$42,'Scenario Analysis'!$G$46:$G$58,$E$133:$E$145)</f>
        <v>507170.54833000049</v>
      </c>
      <c r="F56" s="373">
        <f>SUMPRODUCT('Scenario Analysis'!$H$30:$H$42,'Scenario Analysis'!$H$46:$H$58,$E$133:$E$145)</f>
        <v>0</v>
      </c>
      <c r="G56" s="359">
        <f>M94/'Scenario Analysis'!$I$21</f>
        <v>383121.46892903285</v>
      </c>
      <c r="I56" s="373">
        <f>SUMPRODUCT('Scenario Analysis'!$I$30:$I$42,'Scenario Analysis'!$I$46:$I$58,$E$133:$E$145)</f>
        <v>179872.91011999999</v>
      </c>
      <c r="J56" s="373">
        <f>SUMPRODUCT('Scenario Analysis'!$J$30:$J$42,'Scenario Analysis'!$J$46:$J$58,$E$133:$E$145)</f>
        <v>1534338.8439499999</v>
      </c>
      <c r="K56" s="195"/>
    </row>
    <row r="57" spans="3:11" ht="12.5" thickTop="1" thickBot="1" x14ac:dyDescent="0.3">
      <c r="C57" s="191" t="s">
        <v>252</v>
      </c>
      <c r="E57" s="373">
        <f>SUMPRODUCT('Scenario Analysis'!$G$30:$G$42,'Scenario Analysis'!$G$46:$G$58,$F$133:$F$145)</f>
        <v>92132.043732113321</v>
      </c>
      <c r="F57" s="373">
        <f>SUMPRODUCT('Scenario Analysis'!$H$30:$H$42,'Scenario Analysis'!$H$46:$H$58,$F$133:$F$145)</f>
        <v>0</v>
      </c>
      <c r="G57" s="360">
        <f>M98/'Scenario Analysis'!$I$21</f>
        <v>216596.90480788139</v>
      </c>
      <c r="I57" s="373">
        <f>SUMPRODUCT('Scenario Analysis'!$I$30:$I$42,'Scenario Analysis'!$I$46:$I$58,$F$133:$F$145)</f>
        <v>40903.838770000002</v>
      </c>
      <c r="J57" s="373">
        <f>SUMPRODUCT('Scenario Analysis'!$J$30:$J$42,'Scenario Analysis'!$J$46:$J$58,$F$133:$F$145)</f>
        <v>448399.93406</v>
      </c>
      <c r="K57" s="195"/>
    </row>
    <row r="58" spans="3:11" ht="12.5" thickTop="1" thickBot="1" x14ac:dyDescent="0.3">
      <c r="C58" s="191" t="s">
        <v>251</v>
      </c>
      <c r="E58" s="359">
        <f>SUMPRODUCT('Scenario Analysis'!$G$30:$G$42,'Scenario Analysis'!$G$46:$G$58,$G$133:$G$145)</f>
        <v>3695.7814625030151</v>
      </c>
      <c r="F58" s="359">
        <f>SUMPRODUCT('Scenario Analysis'!$H$30:$H$42,'Scenario Analysis'!$H$46:$H$58,$G$133:$G$145)</f>
        <v>0</v>
      </c>
      <c r="G58" s="360">
        <f>M103/'Scenario Analysis'!$I$21</f>
        <v>140814.11319250555</v>
      </c>
      <c r="I58" s="359">
        <f>SUMPRODUCT('Scenario Analysis'!$I$30:$I$42,'Scenario Analysis'!$I$46:$I$58,$G$133:$G$145)</f>
        <v>0</v>
      </c>
      <c r="J58" s="359">
        <f>SUMPRODUCT('Scenario Analysis'!$J$30:$J$42,'Scenario Analysis'!$J$46:$J$58,$G$133:$G$145)</f>
        <v>308706</v>
      </c>
      <c r="K58" s="195"/>
    </row>
    <row r="59" spans="3:11" ht="12.5" thickTop="1" thickBot="1" x14ac:dyDescent="0.3">
      <c r="C59" s="191" t="s">
        <v>184</v>
      </c>
      <c r="E59" s="359">
        <f>SUMPRODUCT('Scenario Analysis'!$G$30:$G$42,'Scenario Analysis'!$G$62:$G$74,$H$133:$H$145)</f>
        <v>172979.91996565257</v>
      </c>
      <c r="F59" s="359">
        <f>SUMPRODUCT('Scenario Analysis'!$H$30:$H$42,'Scenario Analysis'!$H$62:$H$74,$H$133:$H$145)</f>
        <v>0</v>
      </c>
      <c r="G59" s="360">
        <f>M106/'Scenario Analysis'!$I$21</f>
        <v>120922.26930437393</v>
      </c>
      <c r="I59" s="359">
        <f>SUMPRODUCT('Scenario Analysis'!$I$30:$I$42,'Scenario Analysis'!$I$62:$I$74,$H$133:$H$145)</f>
        <v>0</v>
      </c>
      <c r="J59" s="359">
        <f>SUMPRODUCT('Scenario Analysis'!$J$30:$J$42,'Scenario Analysis'!$J$62:$J$74,$H$133:$H$145)</f>
        <v>1174462.3959999999</v>
      </c>
      <c r="K59" s="195"/>
    </row>
    <row r="60" spans="3:11" ht="12.5" thickTop="1" thickBot="1" x14ac:dyDescent="0.3">
      <c r="C60" s="191" t="s">
        <v>185</v>
      </c>
      <c r="E60" s="361">
        <f>SUMPRODUCT('Scenario Analysis'!$G$30:$G$42,'Scenario Analysis'!$G$46:$G$58,$I$133:$I$145)</f>
        <v>10775.272217186191</v>
      </c>
      <c r="F60" s="361">
        <f>SUMPRODUCT('Scenario Analysis'!$H$30:$H$42,'Scenario Analysis'!$H$46:$H$58,$I$133:$I$145)</f>
        <v>0</v>
      </c>
      <c r="G60" s="360">
        <f>M104/'Scenario Analysis'!$I$21</f>
        <v>36694.462775462969</v>
      </c>
      <c r="I60" s="361">
        <f>SUMPRODUCT('Scenario Analysis'!$I$30:$I$42,'Scenario Analysis'!$I$46:$I$58,$I$133:$I$145)</f>
        <v>0</v>
      </c>
      <c r="J60" s="361">
        <f>SUMPRODUCT('Scenario Analysis'!$J$30:$J$42,'Scenario Analysis'!$J$46:$J$58,$I$133:$I$145)</f>
        <v>151778.05000000002</v>
      </c>
      <c r="K60" s="195"/>
    </row>
    <row r="61" spans="3:11" ht="12" thickTop="1" x14ac:dyDescent="0.25">
      <c r="C61" s="191" t="s">
        <v>248</v>
      </c>
      <c r="E61" s="373">
        <f>SUMPRODUCT('Scenario Analysis'!$G$30:$G$42,'Scenario Analysis'!$G$46:$G$58,$J$133:$J$145)</f>
        <v>9757.9106457079961</v>
      </c>
      <c r="F61" s="373">
        <f>SUMPRODUCT('Scenario Analysis'!$H$30:$H$42,'Scenario Analysis'!$H$46:$H$58,$J$133:$J$145)</f>
        <v>0</v>
      </c>
      <c r="G61" s="361">
        <f>M107/'Scenario Analysis'!$I$21</f>
        <v>57194.632408432997</v>
      </c>
      <c r="I61" s="373">
        <f>SUMPRODUCT('Scenario Analysis'!$I$30:$I$42,'Scenario Analysis'!$I$46:$I$58,$J$133:$J$145)</f>
        <v>0</v>
      </c>
      <c r="J61" s="373">
        <f>SUMPRODUCT('Scenario Analysis'!$J$30:$J$42,'Scenario Analysis'!$J$46:$J$58,$J$133:$J$145)</f>
        <v>76875.650000000009</v>
      </c>
      <c r="K61" s="195"/>
    </row>
    <row r="62" spans="3:11" x14ac:dyDescent="0.25">
      <c r="C62" s="196"/>
      <c r="D62" s="197"/>
      <c r="E62" s="197"/>
      <c r="F62" s="197"/>
      <c r="G62" s="197"/>
      <c r="H62" s="197"/>
      <c r="I62" s="197"/>
      <c r="J62" s="197"/>
      <c r="K62" s="198"/>
    </row>
    <row r="65" spans="3:13" ht="15.5" x14ac:dyDescent="0.35">
      <c r="C65" s="43" t="str">
        <f>C11</f>
        <v>Table 4 - Passenger journeys - all days of the week</v>
      </c>
    </row>
    <row r="66" spans="3:13" x14ac:dyDescent="0.25">
      <c r="C66" s="188"/>
      <c r="D66" s="189"/>
      <c r="E66" s="189"/>
      <c r="F66" s="189"/>
      <c r="G66" s="189"/>
      <c r="H66" s="189"/>
      <c r="I66" s="189"/>
      <c r="J66" s="189"/>
      <c r="K66" s="190"/>
    </row>
    <row r="67" spans="3:13" x14ac:dyDescent="0.25">
      <c r="C67" s="191"/>
      <c r="E67" s="301" t="s">
        <v>682</v>
      </c>
      <c r="F67" s="301"/>
      <c r="G67" s="469"/>
      <c r="H67" s="470" t="s">
        <v>683</v>
      </c>
      <c r="I67" s="301"/>
      <c r="J67" s="301"/>
      <c r="K67" s="195"/>
    </row>
    <row r="68" spans="3:13" x14ac:dyDescent="0.25">
      <c r="C68" s="191"/>
      <c r="E68" s="302" t="s">
        <v>247</v>
      </c>
      <c r="F68" s="302" t="s">
        <v>249</v>
      </c>
      <c r="G68" s="471" t="s">
        <v>250</v>
      </c>
      <c r="H68" s="472" t="s">
        <v>247</v>
      </c>
      <c r="I68" s="302" t="s">
        <v>249</v>
      </c>
      <c r="J68" s="302" t="s">
        <v>250</v>
      </c>
      <c r="K68" s="195"/>
    </row>
    <row r="69" spans="3:13" x14ac:dyDescent="0.25">
      <c r="C69" s="191"/>
      <c r="G69" s="228"/>
      <c r="H69" s="177"/>
      <c r="K69" s="195"/>
    </row>
    <row r="70" spans="3:13" x14ac:dyDescent="0.25">
      <c r="C70" s="191" t="s">
        <v>253</v>
      </c>
      <c r="E70" s="362">
        <f>SUMIF('Trip inputs'!$L$16:$L$1849,E$68&amp;" "&amp;$C70,'Trip inputs'!$P$16:$P$1849)</f>
        <v>56981500</v>
      </c>
      <c r="F70" s="362">
        <f>SUMIF('Trip inputs'!$L$16:$L$1849,F$68&amp;" "&amp;$C70,'Trip inputs'!$P$16:$P$1849)</f>
        <v>97063643</v>
      </c>
      <c r="G70" s="363">
        <f>SUMIF('Trip inputs'!$L$16:$L$1849,G$68&amp;" "&amp;$C70,'Trip inputs'!$P$16:$P$1849)</f>
        <v>76934305</v>
      </c>
      <c r="H70" s="364">
        <f>SUMIF('Trip inputs'!$L$16:$L$1849,H$68&amp;" "&amp;$C70,'Trip inputs'!$Q$16:$Q$1849)</f>
        <v>945093479</v>
      </c>
      <c r="I70" s="362">
        <f>SUMIF('Trip inputs'!$L$16:$L$1849,I$68&amp;" "&amp;$C70,'Trip inputs'!$Q$16:$Q$1849)</f>
        <v>1461376039.5</v>
      </c>
      <c r="J70" s="362">
        <f>SUMIF('Trip inputs'!$L$16:$L$1849,J$68&amp;" "&amp;$C70,'Trip inputs'!$Q$16:$Q$1849)</f>
        <v>1203174717.5</v>
      </c>
      <c r="K70" s="195"/>
      <c r="M70" s="194"/>
    </row>
    <row r="71" spans="3:13" x14ac:dyDescent="0.25">
      <c r="C71" s="191" t="s">
        <v>252</v>
      </c>
      <c r="E71" s="362">
        <f>SUMIF('Trip inputs'!$L$16:$L$1849,E$68&amp;" "&amp;$C71,'Trip inputs'!$P$16:$P$1849)</f>
        <v>7489633</v>
      </c>
      <c r="F71" s="362">
        <f>SUMIF('Trip inputs'!$L$16:$L$1849,F$68&amp;" "&amp;$C71,'Trip inputs'!$P$16:$P$1849)</f>
        <v>6523029</v>
      </c>
      <c r="G71" s="363">
        <f>SUMIF('Trip inputs'!$L$16:$L$1849,G$68&amp;" "&amp;$C71,'Trip inputs'!$P$16:$P$1849)</f>
        <v>7053726</v>
      </c>
      <c r="H71" s="364">
        <f>SUMIF('Trip inputs'!$L$16:$L$1849,H$68&amp;" "&amp;$C71,'Trip inputs'!$Q$16:$Q$1849)</f>
        <v>317034531.5</v>
      </c>
      <c r="I71" s="362">
        <f>SUMIF('Trip inputs'!$L$16:$L$1849,I$68&amp;" "&amp;$C71,'Trip inputs'!$Q$16:$Q$1849)</f>
        <v>331352550.5</v>
      </c>
      <c r="J71" s="362">
        <f>SUMIF('Trip inputs'!$L$16:$L$1849,J$68&amp;" "&amp;$C71,'Trip inputs'!$Q$16:$Q$1849)</f>
        <v>289153436</v>
      </c>
      <c r="K71" s="195"/>
      <c r="M71" s="194"/>
    </row>
    <row r="72" spans="3:13" ht="12" thickBot="1" x14ac:dyDescent="0.3">
      <c r="C72" s="191" t="s">
        <v>251</v>
      </c>
      <c r="E72" s="365">
        <f>SUMIF('Trip inputs'!$L$16:$L$1849,E$68&amp;" "&amp;$C72,'Trip inputs'!$P$16:$P$1849)</f>
        <v>5135349</v>
      </c>
      <c r="F72" s="365">
        <f>SUMIF('Trip inputs'!$L$16:$L$1849,F$68&amp;" "&amp;$C72,'Trip inputs'!$P$16:$P$1849)</f>
        <v>6733899</v>
      </c>
      <c r="G72" s="366">
        <f>SUMIF('Trip inputs'!$L$16:$L$1849,G$68&amp;" "&amp;$C72,'Trip inputs'!$P$16:$P$1849)</f>
        <v>6793847</v>
      </c>
      <c r="H72" s="367">
        <f>SUMIF('Trip inputs'!$L$16:$L$1849,H$68&amp;" "&amp;$C72,'Trip inputs'!$Q$16:$Q$1849)</f>
        <v>80530875.5</v>
      </c>
      <c r="I72" s="365">
        <f>SUMIF('Trip inputs'!$L$16:$L$1849,I$68&amp;" "&amp;$C72,'Trip inputs'!$Q$16:$Q$1849)</f>
        <v>94815348.5</v>
      </c>
      <c r="J72" s="365">
        <f>SUMIF('Trip inputs'!$L$16:$L$1849,J$68&amp;" "&amp;$C72,'Trip inputs'!$Q$16:$Q$1849)</f>
        <v>99950758.5</v>
      </c>
      <c r="K72" s="195"/>
    </row>
    <row r="73" spans="3:13" ht="12" thickTop="1" x14ac:dyDescent="0.25">
      <c r="C73" s="191" t="s">
        <v>184</v>
      </c>
      <c r="E73" s="368">
        <f>SUMIF('Trip inputs'!$D$16:$D$515,E$68&amp;" "&amp;$C73,'Trip inputs'!$H$16:$H$515)</f>
        <v>47686056</v>
      </c>
      <c r="F73" s="368">
        <f>SUMIF('Trip inputs'!$D$16:$D$515,F$68&amp;" "&amp;$C73,'Trip inputs'!$H$16:$H$515)</f>
        <v>82173046</v>
      </c>
      <c r="G73" s="369">
        <f>SUMIF('Trip inputs'!$D$16:$D$515,G$68&amp;" "&amp;$C73,'Trip inputs'!$H$16:$H$515)</f>
        <v>61643443</v>
      </c>
      <c r="H73" s="370">
        <f>SUMIF('Trip inputs'!$D$16:$D$515,H$68&amp;" "&amp;$C73,'Trip inputs'!$I$16:$I$515)</f>
        <v>231647675</v>
      </c>
      <c r="I73" s="368">
        <f>SUMIF('Trip inputs'!$D$16:$D$515,I$68&amp;" "&amp;$C73,'Trip inputs'!$I$16:$I$515)</f>
        <v>350949842</v>
      </c>
      <c r="J73" s="368">
        <f>SUMIF('Trip inputs'!$D$16:$D$515,J$68&amp;" "&amp;$C73,'Trip inputs'!$I$16:$I$515)</f>
        <v>279734120.5</v>
      </c>
      <c r="K73" s="195"/>
      <c r="M73" s="194"/>
    </row>
    <row r="74" spans="3:13" x14ac:dyDescent="0.25">
      <c r="C74" s="191" t="s">
        <v>185</v>
      </c>
      <c r="E74" s="362">
        <f>SUMIF('Trip inputs'!$D$16:$D$515,E$68&amp;" "&amp;$C74,'Trip inputs'!$H$16:$H$515)</f>
        <v>1999265</v>
      </c>
      <c r="F74" s="362">
        <f>SUMIF('Trip inputs'!$D$16:$D$515,F$68&amp;" "&amp;$C74,'Trip inputs'!$H$16:$H$515)</f>
        <v>6386262</v>
      </c>
      <c r="G74" s="363">
        <f>SUMIF('Trip inputs'!$D$16:$D$515,G$68&amp;" "&amp;$C74,'Trip inputs'!$H$16:$H$515)</f>
        <v>4389096</v>
      </c>
      <c r="H74" s="364">
        <f>SUMIF('Trip inputs'!$D$16:$D$515,H$68&amp;" "&amp;$C74,'Trip inputs'!$I$16:$I$515)</f>
        <v>11511173.5</v>
      </c>
      <c r="I74" s="362">
        <f>SUMIF('Trip inputs'!$D$16:$D$515,I$68&amp;" "&amp;$C74,'Trip inputs'!$I$16:$I$515)</f>
        <v>37798107</v>
      </c>
      <c r="J74" s="362">
        <f>SUMIF('Trip inputs'!$D$16:$D$515,J$68&amp;" "&amp;$C74,'Trip inputs'!$I$16:$I$515)</f>
        <v>25931344</v>
      </c>
      <c r="K74" s="195"/>
      <c r="M74" s="194"/>
    </row>
    <row r="75" spans="3:13" x14ac:dyDescent="0.25">
      <c r="C75" s="191" t="s">
        <v>248</v>
      </c>
      <c r="E75" s="362">
        <f>SUMIF('Trip inputs'!$D$16:$D$515,E$68&amp;" "&amp;$C75,'Trip inputs'!$H$16:$H$515)</f>
        <v>5213650</v>
      </c>
      <c r="F75" s="362">
        <f>SUMIF('Trip inputs'!$D$16:$D$515,F$68&amp;" "&amp;$C75,'Trip inputs'!$H$16:$H$515)</f>
        <v>15238657</v>
      </c>
      <c r="G75" s="363">
        <f>SUMIF('Trip inputs'!$D$16:$D$515,G$68&amp;" "&amp;$C75,'Trip inputs'!$H$16:$H$515)</f>
        <v>10527744</v>
      </c>
      <c r="H75" s="364">
        <f>SUMIF('Trip inputs'!$D$16:$D$515,H$68&amp;" "&amp;$C75,'Trip inputs'!$I$16:$I$515)</f>
        <v>14903314</v>
      </c>
      <c r="I75" s="362">
        <f>SUMIF('Trip inputs'!$D$16:$D$515,I$68&amp;" "&amp;$C75,'Trip inputs'!$I$16:$I$515)</f>
        <v>35913910.5</v>
      </c>
      <c r="J75" s="362">
        <f>SUMIF('Trip inputs'!$D$16:$D$515,J$68&amp;" "&amp;$C75,'Trip inputs'!$I$16:$I$515)</f>
        <v>26183291</v>
      </c>
      <c r="K75" s="195"/>
    </row>
    <row r="76" spans="3:13" x14ac:dyDescent="0.25">
      <c r="C76" s="191"/>
      <c r="K76" s="195"/>
    </row>
    <row r="77" spans="3:13" x14ac:dyDescent="0.25">
      <c r="C77" s="191"/>
      <c r="K77" s="195"/>
    </row>
    <row r="78" spans="3:13" x14ac:dyDescent="0.25">
      <c r="C78" s="191"/>
      <c r="K78" s="195"/>
    </row>
    <row r="79" spans="3:13" x14ac:dyDescent="0.25">
      <c r="C79" s="191"/>
      <c r="E79" s="301" t="s">
        <v>684</v>
      </c>
      <c r="F79" s="301"/>
      <c r="H79" s="301" t="s">
        <v>685</v>
      </c>
      <c r="I79" s="301"/>
      <c r="K79" s="195"/>
    </row>
    <row r="80" spans="3:13" x14ac:dyDescent="0.25">
      <c r="C80" s="191"/>
      <c r="E80" s="302" t="s">
        <v>686</v>
      </c>
      <c r="F80" s="302" t="s">
        <v>687</v>
      </c>
      <c r="G80" s="302"/>
      <c r="H80" s="302" t="s">
        <v>686</v>
      </c>
      <c r="I80" s="302" t="s">
        <v>687</v>
      </c>
      <c r="K80" s="195"/>
    </row>
    <row r="81" spans="3:14" x14ac:dyDescent="0.25">
      <c r="C81" s="191"/>
      <c r="K81" s="195"/>
    </row>
    <row r="82" spans="3:14" x14ac:dyDescent="0.25">
      <c r="C82" s="191" t="s">
        <v>253</v>
      </c>
      <c r="E82" s="194">
        <f t="shared" ref="E82:E87" si="2">SUM(E70,G70)</f>
        <v>133915805</v>
      </c>
      <c r="F82" s="194">
        <f t="shared" ref="F82:F87" si="3">SUM(H70,J70)</f>
        <v>2148268196.5</v>
      </c>
      <c r="H82" s="194">
        <f t="shared" ref="H82:H87" si="4">SUM(E70:G70)</f>
        <v>230979448</v>
      </c>
      <c r="I82" s="194">
        <f t="shared" ref="I82:I87" si="5">SUM(H70:J70)</f>
        <v>3609644236</v>
      </c>
      <c r="K82" s="195"/>
    </row>
    <row r="83" spans="3:14" x14ac:dyDescent="0.25">
      <c r="C83" s="191" t="s">
        <v>252</v>
      </c>
      <c r="E83" s="194">
        <f t="shared" si="2"/>
        <v>14543359</v>
      </c>
      <c r="F83" s="194">
        <f t="shared" si="3"/>
        <v>606187967.5</v>
      </c>
      <c r="H83" s="194">
        <f t="shared" si="4"/>
        <v>21066388</v>
      </c>
      <c r="I83" s="194">
        <f t="shared" si="5"/>
        <v>937540518</v>
      </c>
      <c r="K83" s="195"/>
    </row>
    <row r="84" spans="3:14" x14ac:dyDescent="0.25">
      <c r="C84" s="191" t="s">
        <v>251</v>
      </c>
      <c r="E84" s="194">
        <f t="shared" si="2"/>
        <v>11929196</v>
      </c>
      <c r="F84" s="194">
        <f t="shared" si="3"/>
        <v>180481634</v>
      </c>
      <c r="H84" s="194">
        <f t="shared" si="4"/>
        <v>18663095</v>
      </c>
      <c r="I84" s="194">
        <f t="shared" si="5"/>
        <v>275296982.5</v>
      </c>
      <c r="K84" s="195"/>
    </row>
    <row r="85" spans="3:14" x14ac:dyDescent="0.25">
      <c r="C85" s="191" t="s">
        <v>184</v>
      </c>
      <c r="E85" s="194">
        <f t="shared" si="2"/>
        <v>109329499</v>
      </c>
      <c r="F85" s="194">
        <f t="shared" si="3"/>
        <v>511381795.5</v>
      </c>
      <c r="H85" s="194">
        <f t="shared" si="4"/>
        <v>191502545</v>
      </c>
      <c r="I85" s="194">
        <f t="shared" si="5"/>
        <v>862331637.5</v>
      </c>
      <c r="K85" s="195"/>
    </row>
    <row r="86" spans="3:14" x14ac:dyDescent="0.25">
      <c r="C86" s="191" t="s">
        <v>185</v>
      </c>
      <c r="E86" s="194">
        <f t="shared" si="2"/>
        <v>6388361</v>
      </c>
      <c r="F86" s="194">
        <f t="shared" si="3"/>
        <v>37442517.5</v>
      </c>
      <c r="H86" s="194">
        <f t="shared" si="4"/>
        <v>12774623</v>
      </c>
      <c r="I86" s="194">
        <f t="shared" si="5"/>
        <v>75240624.5</v>
      </c>
      <c r="K86" s="195"/>
    </row>
    <row r="87" spans="3:14" x14ac:dyDescent="0.25">
      <c r="C87" s="191" t="s">
        <v>248</v>
      </c>
      <c r="E87" s="194">
        <f t="shared" si="2"/>
        <v>15741394</v>
      </c>
      <c r="F87" s="194">
        <f t="shared" si="3"/>
        <v>41086605</v>
      </c>
      <c r="H87" s="194">
        <f t="shared" si="4"/>
        <v>30980051</v>
      </c>
      <c r="I87" s="194">
        <f t="shared" si="5"/>
        <v>77000515.5</v>
      </c>
      <c r="K87" s="195"/>
    </row>
    <row r="88" spans="3:14" x14ac:dyDescent="0.25">
      <c r="C88" s="196"/>
      <c r="D88" s="197"/>
      <c r="E88" s="197"/>
      <c r="F88" s="197"/>
      <c r="G88" s="197"/>
      <c r="H88" s="197"/>
      <c r="I88" s="197"/>
      <c r="J88" s="197"/>
      <c r="K88" s="198"/>
    </row>
    <row r="91" spans="3:14" ht="15.5" x14ac:dyDescent="0.35">
      <c r="C91" s="43" t="str">
        <f>C12</f>
        <v>Table 5 - Ownership cost calculations ($'000, $2022-23)</v>
      </c>
    </row>
    <row r="92" spans="3:14" x14ac:dyDescent="0.25">
      <c r="C92" s="188"/>
      <c r="D92" s="189"/>
      <c r="E92" s="189"/>
      <c r="F92" s="189"/>
      <c r="G92" s="189"/>
      <c r="H92" s="189"/>
      <c r="I92" s="189"/>
      <c r="J92" s="189"/>
      <c r="K92" s="189"/>
      <c r="L92" s="189"/>
      <c r="M92" s="189"/>
      <c r="N92" s="190"/>
    </row>
    <row r="93" spans="3:14" ht="46" x14ac:dyDescent="0.25">
      <c r="C93" s="220" t="str">
        <f>'Cost inputs'!C248</f>
        <v>Vehicle type</v>
      </c>
      <c r="D93" s="34" t="str">
        <f>'Cost inputs'!D248</f>
        <v>Number in fleet</v>
      </c>
      <c r="E93" s="34" t="str">
        <f>'Cost inputs'!E248</f>
        <v>Replacement cost</v>
      </c>
      <c r="F93" s="34" t="str">
        <f>'Cost inputs'!F248</f>
        <v>Capacity</v>
      </c>
      <c r="G93" s="34" t="str">
        <f>'Cost inputs'!G248</f>
        <v>Life (years)</v>
      </c>
      <c r="H93" s="6"/>
      <c r="I93" s="202" t="s">
        <v>688</v>
      </c>
      <c r="J93" s="202" t="s">
        <v>689</v>
      </c>
      <c r="K93" s="202" t="s">
        <v>690</v>
      </c>
      <c r="L93" s="202" t="s">
        <v>691</v>
      </c>
      <c r="M93" s="202" t="s">
        <v>692</v>
      </c>
      <c r="N93" s="195"/>
    </row>
    <row r="94" spans="3:14" x14ac:dyDescent="0.25">
      <c r="C94" s="371" t="str">
        <f>'Cost inputs'!C249</f>
        <v>Waratah (No)</v>
      </c>
      <c r="D94" s="372">
        <f>'Cost inputs'!D249</f>
        <v>626</v>
      </c>
      <c r="E94" s="372">
        <f>'Cost inputs'!E249</f>
        <v>2539404</v>
      </c>
      <c r="F94" s="372">
        <f>'Cost inputs'!F249</f>
        <v>125</v>
      </c>
      <c r="G94" s="372">
        <f>'Cost inputs'!G249</f>
        <v>20</v>
      </c>
      <c r="I94" s="194">
        <f>E94/D94</f>
        <v>4056.5559105431312</v>
      </c>
      <c r="J94" s="164">
        <f>-PMT('Scenario Analysis'!$I$83,$G94,'MC - public transport'!I94,0,0)</f>
        <v>306.47136062591966</v>
      </c>
      <c r="K94" s="164">
        <f>J94/F94</f>
        <v>2.4517708850073574</v>
      </c>
      <c r="L94" s="473">
        <f>SUMPRODUCT(J94:J97,D94:D97)/SUMPRODUCT(D94:D97,F94:F97)</f>
        <v>2.2306926866319237</v>
      </c>
      <c r="M94" s="474">
        <f>SUMPRODUCT(J94:J97,D94:D97)</f>
        <v>383121.46892903285</v>
      </c>
      <c r="N94" s="195"/>
    </row>
    <row r="95" spans="3:14" x14ac:dyDescent="0.25">
      <c r="C95" s="371" t="str">
        <f>'Cost inputs'!C250</f>
        <v>Millenium</v>
      </c>
      <c r="D95" s="372">
        <f>'Cost inputs'!D250</f>
        <v>141</v>
      </c>
      <c r="E95" s="372">
        <f>'Cost inputs'!E250</f>
        <v>601141</v>
      </c>
      <c r="F95" s="372">
        <f>'Cost inputs'!F250</f>
        <v>125</v>
      </c>
      <c r="G95" s="372">
        <f>'Cost inputs'!G250</f>
        <v>20</v>
      </c>
      <c r="I95" s="194">
        <f t="shared" ref="I95:I107" si="6">E95/D95</f>
        <v>4263.4113475177301</v>
      </c>
      <c r="J95" s="164">
        <f>-PMT('Scenario Analysis'!$I$83,$G95,'MC - public transport'!I95,0,0)</f>
        <v>322.0992155404071</v>
      </c>
      <c r="K95" s="164">
        <f t="shared" ref="K95:K107" si="7">J95/F95</f>
        <v>2.5767937243232568</v>
      </c>
      <c r="L95" s="475"/>
      <c r="M95" s="476"/>
      <c r="N95" s="195"/>
    </row>
    <row r="96" spans="3:14" x14ac:dyDescent="0.25">
      <c r="C96" s="371" t="str">
        <f>'Cost inputs'!C251</f>
        <v>Tangara</v>
      </c>
      <c r="D96" s="372">
        <f>'Cost inputs'!D251</f>
        <v>447</v>
      </c>
      <c r="E96" s="372">
        <f>'Cost inputs'!E251</f>
        <v>1463946</v>
      </c>
      <c r="F96" s="372">
        <f>'Cost inputs'!F251</f>
        <v>125</v>
      </c>
      <c r="G96" s="372">
        <f>'Cost inputs'!G251</f>
        <v>20</v>
      </c>
      <c r="I96" s="194">
        <f t="shared" si="6"/>
        <v>3275.0469798657718</v>
      </c>
      <c r="J96" s="164">
        <f>-PMT('Scenario Analysis'!$I$83,$G96,'MC - public transport'!I96,0,0)</f>
        <v>247.42863802877693</v>
      </c>
      <c r="K96" s="164">
        <f t="shared" si="7"/>
        <v>1.9794291042302155</v>
      </c>
      <c r="L96" s="475"/>
      <c r="M96" s="476"/>
      <c r="N96" s="195"/>
    </row>
    <row r="97" spans="3:16" x14ac:dyDescent="0.25">
      <c r="C97" s="371" t="str">
        <f>'Cost inputs'!C252</f>
        <v>K-set</v>
      </c>
      <c r="D97" s="372">
        <f>'Cost inputs'!D252</f>
        <v>160</v>
      </c>
      <c r="E97" s="372">
        <f>'Cost inputs'!E252</f>
        <v>466631</v>
      </c>
      <c r="F97" s="372">
        <f>'Cost inputs'!F252</f>
        <v>125</v>
      </c>
      <c r="G97" s="372">
        <f>'Cost inputs'!G252</f>
        <v>20</v>
      </c>
      <c r="I97" s="194">
        <f t="shared" si="6"/>
        <v>2916.4437499999999</v>
      </c>
      <c r="J97" s="164">
        <f>-PMT('Scenario Analysis'!$I$83,$G97,'MC - public transport'!I97,0,0)</f>
        <v>220.33629116966563</v>
      </c>
      <c r="K97" s="164">
        <f t="shared" si="7"/>
        <v>1.7626903293573251</v>
      </c>
      <c r="L97" s="477"/>
      <c r="M97" s="478"/>
      <c r="N97" s="195"/>
    </row>
    <row r="98" spans="3:16" x14ac:dyDescent="0.25">
      <c r="C98" s="371" t="str">
        <f>'Cost inputs'!C253</f>
        <v>Oscar</v>
      </c>
      <c r="D98" s="372">
        <f>'Cost inputs'!D253</f>
        <v>220</v>
      </c>
      <c r="E98" s="372">
        <f>'Cost inputs'!E253</f>
        <v>1063519</v>
      </c>
      <c r="F98" s="372">
        <f>'Cost inputs'!F253</f>
        <v>125</v>
      </c>
      <c r="G98" s="372">
        <f>'Cost inputs'!G253</f>
        <v>20</v>
      </c>
      <c r="I98" s="194">
        <f t="shared" si="6"/>
        <v>4834.1772727272728</v>
      </c>
      <c r="J98" s="164">
        <f>-PMT('Scenario Analysis'!$I$83,$G98,'MC - public transport'!I98,0,0)</f>
        <v>365.22037880189413</v>
      </c>
      <c r="K98" s="164">
        <f t="shared" si="7"/>
        <v>2.921763030415153</v>
      </c>
      <c r="L98" s="473">
        <f>SUMPRODUCT(J98:J102,D98:D102)/SUMPRODUCT(D98:D102,F98:F102)</f>
        <v>2.1566523100991857</v>
      </c>
      <c r="M98" s="474">
        <f>SUMPRODUCT(J98:J102,D98:D102)</f>
        <v>216596.90480788139</v>
      </c>
      <c r="N98" s="195"/>
    </row>
    <row r="99" spans="3:16" x14ac:dyDescent="0.25">
      <c r="C99" s="371" t="str">
        <f>'Cost inputs'!C254</f>
        <v>Hunter</v>
      </c>
      <c r="D99" s="372">
        <f>'Cost inputs'!D254</f>
        <v>14</v>
      </c>
      <c r="E99" s="372">
        <f>'Cost inputs'!E254</f>
        <v>99197</v>
      </c>
      <c r="F99" s="372">
        <f>'Cost inputs'!F254</f>
        <v>73</v>
      </c>
      <c r="G99" s="372">
        <f>'Cost inputs'!G254</f>
        <v>20</v>
      </c>
      <c r="I99" s="194">
        <f t="shared" si="6"/>
        <v>7085.5</v>
      </c>
      <c r="J99" s="164">
        <f>-PMT('Scenario Analysis'!$I$83,$G99,'MC - public transport'!I99,0,0)</f>
        <v>535.30701255001611</v>
      </c>
      <c r="K99" s="164">
        <f t="shared" si="7"/>
        <v>7.3329727746577547</v>
      </c>
      <c r="L99" s="475"/>
      <c r="M99" s="476"/>
      <c r="N99" s="195"/>
    </row>
    <row r="100" spans="3:16" x14ac:dyDescent="0.25">
      <c r="C100" s="371" t="str">
        <f>'Cost inputs'!C255</f>
        <v>V-set</v>
      </c>
      <c r="D100" s="372">
        <f>'Cost inputs'!D255</f>
        <v>225</v>
      </c>
      <c r="E100" s="372">
        <f>'Cost inputs'!E255</f>
        <v>455886</v>
      </c>
      <c r="F100" s="372">
        <f>'Cost inputs'!F255</f>
        <v>125</v>
      </c>
      <c r="G100" s="372">
        <f>'Cost inputs'!G255</f>
        <v>20</v>
      </c>
      <c r="I100" s="194">
        <f t="shared" si="6"/>
        <v>2026.16</v>
      </c>
      <c r="J100" s="164">
        <f>-PMT('Scenario Analysis'!$I$83,$G100,'MC - public transport'!I100,0,0)</f>
        <v>153.07566954319958</v>
      </c>
      <c r="K100" s="164">
        <f t="shared" si="7"/>
        <v>1.2246053563455968</v>
      </c>
      <c r="L100" s="475"/>
      <c r="M100" s="476"/>
      <c r="N100" s="195"/>
    </row>
    <row r="101" spans="3:16" x14ac:dyDescent="0.25">
      <c r="C101" s="371" t="str">
        <f>'Cost inputs'!C256</f>
        <v>Endeavour</v>
      </c>
      <c r="D101" s="372">
        <f>'Cost inputs'!D256</f>
        <v>28</v>
      </c>
      <c r="E101" s="372">
        <f>'Cost inputs'!E256</f>
        <v>173619</v>
      </c>
      <c r="F101" s="372">
        <f>'Cost inputs'!F256</f>
        <v>95</v>
      </c>
      <c r="G101" s="372">
        <f>'Cost inputs'!G256</f>
        <v>20</v>
      </c>
      <c r="I101" s="194">
        <f t="shared" si="6"/>
        <v>6200.6785714285716</v>
      </c>
      <c r="J101" s="164">
        <f>-PMT('Scenario Analysis'!$I$83,$G101,'MC - public transport'!I101,0,0)</f>
        <v>468.45906737059209</v>
      </c>
      <c r="K101" s="164">
        <f t="shared" si="7"/>
        <v>4.9311480775851804</v>
      </c>
      <c r="L101" s="475"/>
      <c r="M101" s="476"/>
      <c r="N101" s="195"/>
    </row>
    <row r="102" spans="3:16" x14ac:dyDescent="0.25">
      <c r="C102" s="371" t="str">
        <f>'Cost inputs'!C257</f>
        <v>Waratah B-sets</v>
      </c>
      <c r="D102" s="372">
        <f>'Cost inputs'!D257</f>
        <v>329</v>
      </c>
      <c r="E102" s="372">
        <f>'Cost inputs'!E257</f>
        <v>1074727</v>
      </c>
      <c r="F102" s="372">
        <f>'Cost inputs'!F257</f>
        <v>125</v>
      </c>
      <c r="G102" s="372">
        <f>'Cost inputs'!G257</f>
        <v>20</v>
      </c>
      <c r="I102" s="194">
        <f t="shared" si="6"/>
        <v>3266.6474164133738</v>
      </c>
      <c r="J102" s="164">
        <f>-PMT('Scenario Analysis'!$I$83,$G102,'MC - public transport'!I102,0,0)</f>
        <v>246.79405398835249</v>
      </c>
      <c r="K102" s="164">
        <f t="shared" si="7"/>
        <v>1.97435243190682</v>
      </c>
      <c r="L102" s="477"/>
      <c r="M102" s="478"/>
      <c r="N102" s="195"/>
    </row>
    <row r="103" spans="3:16" x14ac:dyDescent="0.25">
      <c r="C103" s="371" t="str">
        <f>'Cost inputs'!C258</f>
        <v>Metro</v>
      </c>
      <c r="D103" s="372">
        <f>'Cost inputs'!D258</f>
        <v>270</v>
      </c>
      <c r="E103" s="372">
        <f>'Cost inputs'!E258</f>
        <v>1863862</v>
      </c>
      <c r="F103" s="372">
        <f>'Cost inputs'!F258</f>
        <v>183.33333333333334</v>
      </c>
      <c r="G103" s="372">
        <f>'Cost inputs'!G258</f>
        <v>20</v>
      </c>
      <c r="I103" s="194">
        <f t="shared" si="6"/>
        <v>6903.1925925925925</v>
      </c>
      <c r="J103" s="164">
        <f>-PMT('Scenario Analysis'!$I$83,$G103,'MC - public transport'!I103,0,0)</f>
        <v>521.53375256483537</v>
      </c>
      <c r="K103" s="164">
        <f t="shared" si="7"/>
        <v>2.8447295594445565</v>
      </c>
      <c r="L103" s="479">
        <f>SUMPRODUCT(J103:J103,D103:D103)/SUMPRODUCT(D103:D103,F103:F103)</f>
        <v>2.8447295594445565</v>
      </c>
      <c r="M103" s="480">
        <f>SUMPRODUCT(J103,D103)</f>
        <v>140814.11319250555</v>
      </c>
      <c r="N103" s="195"/>
    </row>
    <row r="104" spans="3:16" x14ac:dyDescent="0.25">
      <c r="C104" s="371" t="str">
        <f>'Cost inputs'!C259</f>
        <v>Sydney Ferries</v>
      </c>
      <c r="D104" s="372">
        <f>'Cost inputs'!D259</f>
        <v>28</v>
      </c>
      <c r="E104" s="372">
        <f>'Cost inputs'!E259</f>
        <v>470700</v>
      </c>
      <c r="F104" s="372">
        <f>'Cost inputs'!F259</f>
        <v>400</v>
      </c>
      <c r="G104" s="372">
        <f>'Cost inputs'!G259</f>
        <v>20</v>
      </c>
      <c r="I104" s="194">
        <f t="shared" si="6"/>
        <v>16810.714285714286</v>
      </c>
      <c r="J104" s="164">
        <f>-PMT('Scenario Analysis'!$I$83,$G104,'MC - public transport'!I104,0,0)</f>
        <v>1270.0435033685121</v>
      </c>
      <c r="K104" s="164">
        <f t="shared" si="7"/>
        <v>3.1751087584212803</v>
      </c>
      <c r="L104" s="473">
        <f>SUMPRODUCT(J104:J105,D104:D105)/SUMPRODUCT(D104:D105,F104:F105)</f>
        <v>3.1638612498243637</v>
      </c>
      <c r="M104" s="474">
        <f>SUMPRODUCT(J104:J105,D104:D105)</f>
        <v>36694.462775462969</v>
      </c>
      <c r="N104" s="195"/>
    </row>
    <row r="105" spans="3:16" x14ac:dyDescent="0.25">
      <c r="C105" s="371" t="str">
        <f>'Cost inputs'!C260</f>
        <v>Stockton Ferries</v>
      </c>
      <c r="D105" s="372">
        <f>'Cost inputs'!D260</f>
        <v>2</v>
      </c>
      <c r="E105" s="372">
        <f>'Cost inputs'!E260</f>
        <v>15000</v>
      </c>
      <c r="F105" s="372">
        <f>'Cost inputs'!F260</f>
        <v>199</v>
      </c>
      <c r="G105" s="372">
        <f>'Cost inputs'!G260</f>
        <v>20</v>
      </c>
      <c r="I105" s="194">
        <f t="shared" si="6"/>
        <v>7500</v>
      </c>
      <c r="J105" s="164">
        <f>-PMT('Scenario Analysis'!$I$83,$G105,'MC - public transport'!I105,0,0)</f>
        <v>566.62234057231262</v>
      </c>
      <c r="K105" s="164">
        <f t="shared" si="7"/>
        <v>2.8473484450869981</v>
      </c>
      <c r="L105" s="477"/>
      <c r="M105" s="478"/>
      <c r="N105" s="195"/>
    </row>
    <row r="106" spans="3:16" x14ac:dyDescent="0.25">
      <c r="C106" s="371" t="str">
        <f>'Cost inputs'!C261</f>
        <v>Bus</v>
      </c>
      <c r="D106" s="372">
        <f>'Cost inputs'!D261</f>
        <v>4981</v>
      </c>
      <c r="E106" s="372">
        <f>'Cost inputs'!E261</f>
        <v>1600567</v>
      </c>
      <c r="F106" s="372">
        <f>'Cost inputs'!F261</f>
        <v>60</v>
      </c>
      <c r="G106" s="372">
        <f>'Cost inputs'!G261</f>
        <v>20</v>
      </c>
      <c r="I106" s="194">
        <f t="shared" si="6"/>
        <v>321.33447098976109</v>
      </c>
      <c r="J106" s="164">
        <f>-PMT('Scenario Analysis'!$I$83,$G106,'MC - public transport'!I106,0,0)</f>
        <v>24.276705341171237</v>
      </c>
      <c r="K106" s="164">
        <f t="shared" si="7"/>
        <v>0.40461175568618729</v>
      </c>
      <c r="L106" s="479">
        <f>SUMPRODUCT(J106:J106,D106:D106)/SUMPRODUCT(D106:D106,F106:F106)</f>
        <v>0.40461175568618729</v>
      </c>
      <c r="M106" s="481">
        <f>SUMPRODUCT(J106,D106)</f>
        <v>120922.26930437393</v>
      </c>
      <c r="N106" s="195"/>
    </row>
    <row r="107" spans="3:16" x14ac:dyDescent="0.25">
      <c r="C107" s="371" t="str">
        <f>'Cost inputs'!C262</f>
        <v>LR</v>
      </c>
      <c r="D107" s="372">
        <f>'Cost inputs'!D262</f>
        <v>22</v>
      </c>
      <c r="E107" s="372">
        <f>'Cost inputs'!E262</f>
        <v>757047</v>
      </c>
      <c r="F107" s="372">
        <f>'Cost inputs'!F262</f>
        <v>271</v>
      </c>
      <c r="G107" s="372">
        <f>'Cost inputs'!G262</f>
        <v>20</v>
      </c>
      <c r="I107" s="194">
        <f t="shared" si="6"/>
        <v>34411.227272727272</v>
      </c>
      <c r="J107" s="164">
        <f>-PMT('Scenario Analysis'!$I$83,$G107,'MC - public transport'!I107,0,0)</f>
        <v>2599.7560185651364</v>
      </c>
      <c r="K107" s="164">
        <f t="shared" si="7"/>
        <v>9.593195640461758</v>
      </c>
      <c r="L107" s="479">
        <f>SUMPRODUCT(J107:J107,D107:D107)/SUMPRODUCT(D107:D107,F107:F107)</f>
        <v>9.593195640461758</v>
      </c>
      <c r="M107" s="481">
        <f>SUMPRODUCT(J107,D107)</f>
        <v>57194.632408432997</v>
      </c>
      <c r="N107" s="195"/>
    </row>
    <row r="108" spans="3:16" x14ac:dyDescent="0.25">
      <c r="C108" s="223"/>
      <c r="D108" s="225"/>
      <c r="E108" s="225"/>
      <c r="F108" s="225"/>
      <c r="G108" s="225"/>
      <c r="H108" s="197"/>
      <c r="I108" s="197"/>
      <c r="J108" s="197"/>
      <c r="K108" s="197"/>
      <c r="L108" s="197"/>
      <c r="M108" s="197"/>
      <c r="N108" s="198"/>
    </row>
    <row r="109" spans="3:16" x14ac:dyDescent="0.25">
      <c r="C109" s="164"/>
      <c r="D109" s="164"/>
      <c r="E109" s="164"/>
      <c r="F109" s="164"/>
      <c r="G109" s="164"/>
    </row>
    <row r="110" spans="3:16" x14ac:dyDescent="0.25">
      <c r="C110" s="164"/>
      <c r="D110" s="164"/>
      <c r="E110" s="164"/>
      <c r="F110" s="164"/>
      <c r="G110" s="164"/>
    </row>
    <row r="111" spans="3:16" ht="15.5" x14ac:dyDescent="0.35">
      <c r="C111" s="43" t="str">
        <f>C13</f>
        <v>Table 6 - Total costs by category by vehicle type ($'000, $2022-23)</v>
      </c>
      <c r="D111" s="164"/>
      <c r="E111" s="164"/>
      <c r="F111" s="164"/>
      <c r="G111" s="164"/>
    </row>
    <row r="112" spans="3:16" x14ac:dyDescent="0.25">
      <c r="C112" s="188"/>
      <c r="D112" s="189"/>
      <c r="E112" s="189"/>
      <c r="F112" s="189"/>
      <c r="G112" s="189"/>
      <c r="H112" s="189"/>
      <c r="I112" s="189"/>
      <c r="J112" s="189"/>
      <c r="K112" s="189"/>
      <c r="L112" s="189"/>
      <c r="M112" s="189"/>
      <c r="N112" s="189"/>
      <c r="O112" s="189"/>
      <c r="P112" s="191"/>
    </row>
    <row r="113" spans="3:16" x14ac:dyDescent="0.25">
      <c r="C113" s="191"/>
      <c r="E113" s="42" t="s">
        <v>693</v>
      </c>
      <c r="F113" s="42"/>
      <c r="G113" s="42"/>
      <c r="H113" s="42" t="s">
        <v>694</v>
      </c>
      <c r="I113" s="42"/>
      <c r="J113" s="42"/>
      <c r="K113" s="42" t="s">
        <v>695</v>
      </c>
      <c r="L113" s="42"/>
      <c r="M113" s="42"/>
      <c r="N113" s="42" t="s">
        <v>186</v>
      </c>
      <c r="P113" s="191"/>
    </row>
    <row r="114" spans="3:16" x14ac:dyDescent="0.25">
      <c r="C114" s="220"/>
      <c r="E114" s="42" t="s">
        <v>527</v>
      </c>
      <c r="F114" s="42" t="s">
        <v>560</v>
      </c>
      <c r="G114" s="42" t="s">
        <v>696</v>
      </c>
      <c r="H114" s="42" t="s">
        <v>569</v>
      </c>
      <c r="I114" s="42" t="s">
        <v>578</v>
      </c>
      <c r="J114" s="42" t="s">
        <v>586</v>
      </c>
      <c r="K114" s="42" t="s">
        <v>697</v>
      </c>
      <c r="L114" s="42" t="s">
        <v>651</v>
      </c>
      <c r="M114" s="42" t="s">
        <v>698</v>
      </c>
      <c r="N114" s="42" t="s">
        <v>699</v>
      </c>
      <c r="O114" s="42" t="s">
        <v>700</v>
      </c>
      <c r="P114" s="220"/>
    </row>
    <row r="115" spans="3:16" x14ac:dyDescent="0.25">
      <c r="C115" s="191" t="s">
        <v>534</v>
      </c>
      <c r="E115" s="373">
        <f>SUMIF('Cost inputs'!$E$18:$E$43,$C115,'Cost inputs'!$D$18:$D$43)</f>
        <v>368872</v>
      </c>
      <c r="F115" s="373">
        <f>SUMIF('Cost inputs'!$E$47:$E$68,$C115,'Cost inputs'!$D$47:$D$68)</f>
        <v>137037.20000000001</v>
      </c>
      <c r="G115" s="373">
        <f>SUMIF('Cost inputs'!$E$73:$E$80,$C115,'Cost inputs'!$D$73:$D$80)</f>
        <v>0</v>
      </c>
      <c r="H115" s="373">
        <f>SUMIF('Cost inputs'!$E$88:$E$97,$C115,'Cost inputs'!$D$88:$D$97)</f>
        <v>57104.39</v>
      </c>
      <c r="I115" s="373">
        <f>SUMIF('Cost inputs'!$E$101:$E$114,$C115,'Cost inputs'!$D$101:$D$114)</f>
        <v>36847.463000000003</v>
      </c>
      <c r="J115" s="373">
        <f>SUMIF('Cost inputs'!$E$118:$E$144,$C115,'Cost inputs'!$D$118:$D$144)</f>
        <v>28411.67</v>
      </c>
      <c r="K115" s="373">
        <f>SUMIF('Cost inputs'!$E$152:$E$171,$C115,'Cost inputs'!$D$152:$D$171)</f>
        <v>1159</v>
      </c>
      <c r="L115" s="373">
        <f>SUMIF('Cost inputs'!$E$175:$E$194,$C115,'Cost inputs'!$D$175:$D$194)</f>
        <v>25125</v>
      </c>
      <c r="M115" s="373">
        <f>SUMIF('Cost inputs'!$E$198:$E$216,$C115,'Cost inputs'!$D$198:$D$216)</f>
        <v>601.39</v>
      </c>
      <c r="N115" s="373">
        <f>SUMIF('Cost inputs'!$E$225:$E$231,$C115,'Cost inputs'!$D$225:$D$231)</f>
        <v>71459</v>
      </c>
      <c r="O115" s="373">
        <f>SUMIF('Cost inputs'!$E$235:$E$241,$C115,'Cost inputs'!$D$235:$D$241)</f>
        <v>2546.6</v>
      </c>
      <c r="P115" s="191"/>
    </row>
    <row r="116" spans="3:16" x14ac:dyDescent="0.25">
      <c r="C116" s="191" t="s">
        <v>617</v>
      </c>
      <c r="E116" s="373">
        <f>SUMIF('Cost inputs'!$E$18:$E$43,$C116,'Cost inputs'!$D$18:$D$43)</f>
        <v>41863</v>
      </c>
      <c r="F116" s="373">
        <f>SUMIF('Cost inputs'!$E$47:$E$68,$C116,'Cost inputs'!$D$47:$D$68)</f>
        <v>0</v>
      </c>
      <c r="G116" s="373">
        <f>SUMIF('Cost inputs'!$E$73:$E$80,$C116,'Cost inputs'!$D$73:$D$80)</f>
        <v>0</v>
      </c>
      <c r="H116" s="373">
        <f>SUMIF('Cost inputs'!$E$88:$E$97,$C116,'Cost inputs'!$D$88:$D$97)</f>
        <v>0</v>
      </c>
      <c r="I116" s="373">
        <f>SUMIF('Cost inputs'!$E$101:$E$114,$C116,'Cost inputs'!$D$101:$D$114)</f>
        <v>0</v>
      </c>
      <c r="J116" s="373">
        <f>SUMIF('Cost inputs'!$E$118:$E$144,$C116,'Cost inputs'!$D$118:$D$144)</f>
        <v>0</v>
      </c>
      <c r="K116" s="373">
        <f>SUMIF('Cost inputs'!$E$152:$E$171,$C116,'Cost inputs'!$D$152:$D$171)</f>
        <v>132</v>
      </c>
      <c r="L116" s="373">
        <f>SUMIF('Cost inputs'!$E$175:$E$194,$C116,'Cost inputs'!$D$175:$D$194)</f>
        <v>1112</v>
      </c>
      <c r="M116" s="373">
        <f>SUMIF('Cost inputs'!$E$198:$E$216,$C116,'Cost inputs'!$D$198:$D$216)</f>
        <v>0</v>
      </c>
      <c r="N116" s="373">
        <f>SUMIF('Cost inputs'!$E$225:$E$231,$C116,'Cost inputs'!$D$225:$D$231)</f>
        <v>0</v>
      </c>
      <c r="O116" s="373">
        <f>SUMIF('Cost inputs'!$E$235:$E$241,$C116,'Cost inputs'!$D$235:$D$241)</f>
        <v>0</v>
      </c>
      <c r="P116" s="191"/>
    </row>
    <row r="117" spans="3:16" x14ac:dyDescent="0.25">
      <c r="C117" s="191" t="s">
        <v>536</v>
      </c>
      <c r="E117" s="373">
        <f>SUMIF('Cost inputs'!$E$18:$E$43,$C117,'Cost inputs'!$D$18:$D$43)</f>
        <v>692420.84394999989</v>
      </c>
      <c r="F117" s="373">
        <f>SUMIF('Cost inputs'!$E$47:$E$68,$C117,'Cost inputs'!$D$47:$D$68)</f>
        <v>140672.63406000001</v>
      </c>
      <c r="G117" s="373">
        <f>SUMIF('Cost inputs'!$E$73:$E$80,$C117,'Cost inputs'!$D$73:$D$80)</f>
        <v>199394</v>
      </c>
      <c r="H117" s="373">
        <f>SUMIF('Cost inputs'!$E$88:$E$97,$C117,'Cost inputs'!$D$88:$D$97)</f>
        <v>254352.03999999998</v>
      </c>
      <c r="I117" s="373">
        <f>SUMIF('Cost inputs'!$E$101:$E$114,$C117,'Cost inputs'!$D$101:$D$114)</f>
        <v>487307.88</v>
      </c>
      <c r="J117" s="373">
        <f>SUMIF('Cost inputs'!$E$118:$E$144,$C117,'Cost inputs'!$D$118:$D$144)</f>
        <v>96025.62999999999</v>
      </c>
      <c r="K117" s="373">
        <f>SUMIF('Cost inputs'!$E$152:$E$171,$C117,'Cost inputs'!$D$152:$D$171)</f>
        <v>6074</v>
      </c>
      <c r="L117" s="373">
        <f>SUMIF('Cost inputs'!$E$175:$E$194,$C117,'Cost inputs'!$D$175:$D$194)</f>
        <v>101196</v>
      </c>
      <c r="M117" s="373">
        <f>SUMIF('Cost inputs'!$E$198:$E$216,$C117,'Cost inputs'!$D$198:$D$216)</f>
        <v>1015.57</v>
      </c>
      <c r="N117" s="373">
        <f>SUMIF('Cost inputs'!$E$225:$E$231,$C117,'Cost inputs'!$D$225:$D$231)</f>
        <v>0</v>
      </c>
      <c r="O117" s="373">
        <f>SUMIF('Cost inputs'!$E$235:$E$241,$C117,'Cost inputs'!$D$235:$D$241)</f>
        <v>2730.7799999999997</v>
      </c>
      <c r="P117" s="191"/>
    </row>
    <row r="118" spans="3:16" x14ac:dyDescent="0.25">
      <c r="C118" s="191" t="s">
        <v>538</v>
      </c>
      <c r="E118" s="373">
        <f>SUMIF('Cost inputs'!$E$18:$E$43,$C118,'Cost inputs'!$D$18:$D$43)</f>
        <v>90263</v>
      </c>
      <c r="F118" s="373">
        <f>SUMIF('Cost inputs'!$E$47:$E$68,$C118,'Cost inputs'!$D$47:$D$68)</f>
        <v>17488.8</v>
      </c>
      <c r="G118" s="373">
        <f>SUMIF('Cost inputs'!$E$73:$E$80,$C118,'Cost inputs'!$D$73:$D$80)</f>
        <v>0</v>
      </c>
      <c r="H118" s="373">
        <f>SUMIF('Cost inputs'!$E$88:$E$97,$C118,'Cost inputs'!$D$88:$D$97)</f>
        <v>73451.67</v>
      </c>
      <c r="I118" s="373">
        <f>SUMIF('Cost inputs'!$E$101:$E$114,$C118,'Cost inputs'!$D$101:$D$114)</f>
        <v>116967.16299999999</v>
      </c>
      <c r="J118" s="373">
        <f>SUMIF('Cost inputs'!$E$118:$E$144,$C118,'Cost inputs'!$D$118:$D$144)</f>
        <v>21245.75</v>
      </c>
      <c r="K118" s="373">
        <f>SUMIF('Cost inputs'!$E$152:$E$171,$C118,'Cost inputs'!$D$152:$D$171)</f>
        <v>1420</v>
      </c>
      <c r="L118" s="373">
        <f>SUMIF('Cost inputs'!$E$175:$E$194,$C118,'Cost inputs'!$D$175:$D$194)</f>
        <v>13888</v>
      </c>
      <c r="M118" s="373">
        <f>SUMIF('Cost inputs'!$E$198:$E$216,$C118,'Cost inputs'!$D$198:$D$216)</f>
        <v>55.09</v>
      </c>
      <c r="N118" s="373">
        <f>SUMIF('Cost inputs'!$E$225:$E$231,$C118,'Cost inputs'!$D$225:$D$231)</f>
        <v>0</v>
      </c>
      <c r="O118" s="373">
        <f>SUMIF('Cost inputs'!$E$235:$E$241,$C118,'Cost inputs'!$D$235:$D$241)</f>
        <v>139.27000000000001</v>
      </c>
      <c r="P118" s="191"/>
    </row>
    <row r="119" spans="3:16" x14ac:dyDescent="0.25">
      <c r="C119" s="191" t="s">
        <v>546</v>
      </c>
      <c r="E119" s="373">
        <f>SUMIF('Cost inputs'!$E$18:$E$43,$C119,'Cost inputs'!$D$18:$D$43)</f>
        <v>340920</v>
      </c>
      <c r="F119" s="373">
        <f>SUMIF('Cost inputs'!$E$47:$E$68,$C119,'Cost inputs'!$D$47:$D$68)</f>
        <v>153201.29999999999</v>
      </c>
      <c r="G119" s="373">
        <f>SUMIF('Cost inputs'!$E$73:$E$80,$C119,'Cost inputs'!$D$73:$D$80)</f>
        <v>109312</v>
      </c>
      <c r="H119" s="373">
        <f>SUMIF('Cost inputs'!$E$88:$E$97,$C119,'Cost inputs'!$D$88:$D$97)</f>
        <v>2748.74</v>
      </c>
      <c r="I119" s="373">
        <f>SUMIF('Cost inputs'!$E$101:$E$114,$C119,'Cost inputs'!$D$101:$D$114)</f>
        <v>0</v>
      </c>
      <c r="J119" s="373">
        <f>SUMIF('Cost inputs'!$E$118:$E$144,$C119,'Cost inputs'!$D$118:$D$144)</f>
        <v>0</v>
      </c>
      <c r="K119" s="373">
        <f>SUMIF('Cost inputs'!$E$152:$E$171,$C119,'Cost inputs'!$D$152:$D$171)</f>
        <v>0</v>
      </c>
      <c r="L119" s="373">
        <f>SUMIF('Cost inputs'!$E$175:$E$194,$C119,'Cost inputs'!$D$175:$D$194)</f>
        <v>0</v>
      </c>
      <c r="M119" s="373">
        <f>SUMIF('Cost inputs'!$E$198:$E$216,$C119,'Cost inputs'!$D$198:$D$216)</f>
        <v>0</v>
      </c>
      <c r="N119" s="373">
        <f>SUMIF('Cost inputs'!$E$225:$E$231,$C119,'Cost inputs'!$D$225:$D$231)</f>
        <v>0</v>
      </c>
      <c r="O119" s="373">
        <f>SUMIF('Cost inputs'!$E$235:$E$241,$C119,'Cost inputs'!$D$235:$D$241)</f>
        <v>0</v>
      </c>
      <c r="P119" s="191"/>
    </row>
    <row r="120" spans="3:16" x14ac:dyDescent="0.25">
      <c r="C120" s="191" t="s">
        <v>530</v>
      </c>
      <c r="E120" s="373">
        <f>SUMIF('Cost inputs'!$E$18:$E$43,$C120,'Cost inputs'!$D$18:$D$43)</f>
        <v>67532</v>
      </c>
      <c r="F120" s="373">
        <f>SUMIF('Cost inputs'!$E$47:$E$68,$C120,'Cost inputs'!$D$47:$D$68)</f>
        <v>15210.999999999998</v>
      </c>
      <c r="G120" s="373">
        <f>SUMIF('Cost inputs'!$E$73:$E$80,$C120,'Cost inputs'!$D$73:$D$80)</f>
        <v>0</v>
      </c>
      <c r="H120" s="373">
        <f>SUMIF('Cost inputs'!$E$88:$E$97,$C120,'Cost inputs'!$D$88:$D$97)</f>
        <v>0</v>
      </c>
      <c r="I120" s="373">
        <f>SUMIF('Cost inputs'!$E$101:$E$114,$C120,'Cost inputs'!$D$101:$D$114)</f>
        <v>0</v>
      </c>
      <c r="J120" s="373">
        <f>SUMIF('Cost inputs'!$E$118:$E$144,$C120,'Cost inputs'!$D$118:$D$144)</f>
        <v>0</v>
      </c>
      <c r="K120" s="373">
        <f>SUMIF('Cost inputs'!$E$152:$E$171,$C120,'Cost inputs'!$D$152:$D$171)</f>
        <v>0</v>
      </c>
      <c r="L120" s="373">
        <f>SUMIF('Cost inputs'!$E$175:$E$194,$C120,'Cost inputs'!$D$175:$D$194)</f>
        <v>587.90800000000002</v>
      </c>
      <c r="M120" s="373">
        <f>SUMIF('Cost inputs'!$E$198:$E$216,$C120,'Cost inputs'!$D$198:$D$216)</f>
        <v>0</v>
      </c>
      <c r="N120" s="373">
        <f>SUMIF('Cost inputs'!$E$225:$E$231,$C120,'Cost inputs'!$D$225:$D$231)</f>
        <v>0</v>
      </c>
      <c r="O120" s="373">
        <f>SUMIF('Cost inputs'!$E$235:$E$241,$C120,'Cost inputs'!$D$235:$D$241)</f>
        <v>0</v>
      </c>
      <c r="P120" s="191"/>
    </row>
    <row r="121" spans="3:16" x14ac:dyDescent="0.25">
      <c r="C121" s="191" t="s">
        <v>540</v>
      </c>
      <c r="E121" s="373">
        <f>SUMIF('Cost inputs'!$E$18:$E$43,$C121,'Cost inputs'!$D$18:$D$43)</f>
        <v>179872.91011999999</v>
      </c>
      <c r="F121" s="373">
        <f>SUMIF('Cost inputs'!$E$47:$E$68,$C121,'Cost inputs'!$D$47:$D$68)</f>
        <v>40903.838770000002</v>
      </c>
      <c r="G121" s="373">
        <f>SUMIF('Cost inputs'!$E$73:$E$80,$C121,'Cost inputs'!$D$73:$D$80)</f>
        <v>0</v>
      </c>
      <c r="H121" s="373">
        <f>SUMIF('Cost inputs'!$E$88:$E$97,$C121,'Cost inputs'!$D$88:$D$97)</f>
        <v>0</v>
      </c>
      <c r="I121" s="373">
        <f>SUMIF('Cost inputs'!$E$101:$E$114,$C121,'Cost inputs'!$D$101:$D$114)</f>
        <v>0</v>
      </c>
      <c r="J121" s="373">
        <f>SUMIF('Cost inputs'!$E$118:$E$144,$C121,'Cost inputs'!$D$118:$D$144)</f>
        <v>0</v>
      </c>
      <c r="K121" s="373">
        <f>SUMIF('Cost inputs'!$E$152:$E$171,$C121,'Cost inputs'!$D$152:$D$171)</f>
        <v>0</v>
      </c>
      <c r="L121" s="373">
        <f>SUMIF('Cost inputs'!$E$175:$E$194,$C121,'Cost inputs'!$D$175:$D$194)</f>
        <v>0</v>
      </c>
      <c r="M121" s="373">
        <f>SUMIF('Cost inputs'!$E$198:$E$216,$C121,'Cost inputs'!$D$198:$D$216)</f>
        <v>0</v>
      </c>
      <c r="N121" s="373">
        <f>SUMIF('Cost inputs'!$E$225:$E$231,$C121,'Cost inputs'!$D$225:$D$231)</f>
        <v>0</v>
      </c>
      <c r="O121" s="373">
        <f>SUMIF('Cost inputs'!$E$235:$E$241,$C121,'Cost inputs'!$D$235:$D$241)</f>
        <v>0</v>
      </c>
      <c r="P121" s="191"/>
    </row>
    <row r="122" spans="3:16" x14ac:dyDescent="0.25">
      <c r="C122" s="191" t="s">
        <v>542</v>
      </c>
      <c r="E122" s="373">
        <f>SUMIF('Cost inputs'!$E$18:$E$43,$C122,'Cost inputs'!$D$18:$D$43)</f>
        <v>72880</v>
      </c>
      <c r="F122" s="373">
        <f>SUMIF('Cost inputs'!$E$47:$E$68,$C122,'Cost inputs'!$D$47:$D$68)</f>
        <v>4892.4977551132824</v>
      </c>
      <c r="G122" s="373">
        <f>SUMIF('Cost inputs'!$E$73:$E$80,$C122,'Cost inputs'!$D$73:$D$80)</f>
        <v>3695.7814625030151</v>
      </c>
      <c r="H122" s="373">
        <f>SUMIF('Cost inputs'!$E$88:$E$97,$C122,'Cost inputs'!$D$88:$D$97)</f>
        <v>11729.927690886425</v>
      </c>
      <c r="I122" s="373">
        <f>SUMIF('Cost inputs'!$E$101:$E$114,$C122,'Cost inputs'!$D$101:$D$114)</f>
        <v>21511.461463691398</v>
      </c>
      <c r="J122" s="373">
        <f>SUMIF('Cost inputs'!$E$118:$E$144,$C122,'Cost inputs'!$D$118:$D$144)</f>
        <v>1961.2432710747541</v>
      </c>
      <c r="K122" s="373">
        <f>SUMIF('Cost inputs'!$E$152:$E$171,$C122,'Cost inputs'!$D$152:$D$171)</f>
        <v>0</v>
      </c>
      <c r="L122" s="373">
        <f>SUMIF('Cost inputs'!$E$175:$E$194,$C122,'Cost inputs'!$D$175:$D$194)</f>
        <v>4526.0212064261232</v>
      </c>
      <c r="M122" s="373">
        <f>SUMIF('Cost inputs'!$E$198:$E$216,$C122,'Cost inputs'!$D$198:$D$216)</f>
        <v>53.343010760067912</v>
      </c>
      <c r="N122" s="373">
        <f>SUMIF('Cost inputs'!$E$225:$E$231,$C122,'Cost inputs'!$D$225:$D$231)</f>
        <v>5311.019644976046</v>
      </c>
      <c r="O122" s="373">
        <f>SUMIF('Cost inputs'!$E$235:$E$241,$C122,'Cost inputs'!$D$235:$D$241)</f>
        <v>103.39100073195027</v>
      </c>
      <c r="P122" s="191"/>
    </row>
    <row r="123" spans="3:16" x14ac:dyDescent="0.25">
      <c r="C123" s="191" t="s">
        <v>558</v>
      </c>
      <c r="E123" s="373">
        <f>SUMIF('Cost inputs'!$E$18:$E$43,$C123,'Cost inputs'!$D$18:$D$43)</f>
        <v>0</v>
      </c>
      <c r="F123" s="373">
        <f>SUMIF('Cost inputs'!$E$47:$E$68,$C123,'Cost inputs'!$D$47:$D$68)</f>
        <v>0</v>
      </c>
      <c r="G123" s="373">
        <f>SUMIF('Cost inputs'!$E$73:$E$80,$C123,'Cost inputs'!$D$73:$D$80)</f>
        <v>0</v>
      </c>
      <c r="H123" s="373">
        <f>SUMIF('Cost inputs'!$E$88:$E$97,$C123,'Cost inputs'!$D$88:$D$97)</f>
        <v>0</v>
      </c>
      <c r="I123" s="373">
        <f>SUMIF('Cost inputs'!$E$101:$E$114,$C123,'Cost inputs'!$D$101:$D$114)</f>
        <v>0</v>
      </c>
      <c r="J123" s="373">
        <f>SUMIF('Cost inputs'!$E$118:$E$144,$C123,'Cost inputs'!$D$118:$D$144)</f>
        <v>0</v>
      </c>
      <c r="K123" s="373">
        <f>SUMIF('Cost inputs'!$E$152:$E$171,$C123,'Cost inputs'!$D$152:$D$171)</f>
        <v>0</v>
      </c>
      <c r="L123" s="373">
        <f>SUMIF('Cost inputs'!$E$175:$E$194,$C123,'Cost inputs'!$D$175:$D$194)</f>
        <v>0</v>
      </c>
      <c r="M123" s="373">
        <f>SUMIF('Cost inputs'!$E$198:$E$216,$C123,'Cost inputs'!$D$198:$D$216)</f>
        <v>0</v>
      </c>
      <c r="N123" s="373">
        <f>SUMIF('Cost inputs'!$E$225:$E$231,$C123,'Cost inputs'!$D$225:$D$231)</f>
        <v>0</v>
      </c>
      <c r="O123" s="373">
        <f>SUMIF('Cost inputs'!$E$235:$E$241,$C123,'Cost inputs'!$D$235:$D$241)</f>
        <v>0</v>
      </c>
      <c r="P123" s="191"/>
    </row>
    <row r="124" spans="3:16" x14ac:dyDescent="0.25">
      <c r="C124" s="191" t="s">
        <v>532</v>
      </c>
      <c r="E124" s="373">
        <f>SUMIF('Cost inputs'!$E$18:$E$43,$C124,'Cost inputs'!$D$18:$D$43)</f>
        <v>418353.15590999997</v>
      </c>
      <c r="F124" s="373">
        <f>SUMIF('Cost inputs'!$E$47:$E$68,$C124,'Cost inputs'!$D$47:$D$68)</f>
        <v>42371.864783999998</v>
      </c>
      <c r="G124" s="373">
        <f>SUMIF('Cost inputs'!$E$73:$E$80,$C124,'Cost inputs'!$D$73:$D$80)</f>
        <v>0</v>
      </c>
      <c r="H124" s="373">
        <f>SUMIF('Cost inputs'!$E$88:$E$97,$C124,'Cost inputs'!$D$88:$D$97)</f>
        <v>64162.91</v>
      </c>
      <c r="I124" s="373">
        <f>SUMIF('Cost inputs'!$E$101:$E$114,$C124,'Cost inputs'!$D$101:$D$114)</f>
        <v>158447.59508</v>
      </c>
      <c r="J124" s="373">
        <f>SUMIF('Cost inputs'!$E$118:$E$144,$C124,'Cost inputs'!$D$118:$D$144)</f>
        <v>52944.07</v>
      </c>
      <c r="K124" s="373">
        <f>SUMIF('Cost inputs'!$E$152:$E$171,$C124,'Cost inputs'!$D$152:$D$171)</f>
        <v>518</v>
      </c>
      <c r="L124" s="373">
        <f>SUMIF('Cost inputs'!$E$175:$E$194,$C124,'Cost inputs'!$D$175:$D$194)</f>
        <v>10554</v>
      </c>
      <c r="M124" s="373">
        <f>SUMIF('Cost inputs'!$E$198:$E$216,$C124,'Cost inputs'!$D$198:$D$216)</f>
        <v>0</v>
      </c>
      <c r="N124" s="373">
        <f>SUMIF('Cost inputs'!$E$225:$E$231,$C124,'Cost inputs'!$D$225:$D$231)</f>
        <v>8687</v>
      </c>
      <c r="O124" s="373">
        <f>SUMIF('Cost inputs'!$E$235:$E$241,$C124,'Cost inputs'!$D$235:$D$241)</f>
        <v>0</v>
      </c>
      <c r="P124" s="191"/>
    </row>
    <row r="125" spans="3:16" x14ac:dyDescent="0.25">
      <c r="C125" s="191" t="s">
        <v>619</v>
      </c>
      <c r="E125" s="373">
        <f>SUMIF('Cost inputs'!$E$18:$E$43,$C125,'Cost inputs'!$D$18:$D$43)</f>
        <v>0</v>
      </c>
      <c r="F125" s="373">
        <f>SUMIF('Cost inputs'!$E$47:$E$68,$C125,'Cost inputs'!$D$47:$D$68)</f>
        <v>0</v>
      </c>
      <c r="G125" s="373">
        <f>SUMIF('Cost inputs'!$E$73:$E$80,$C125,'Cost inputs'!$D$73:$D$80)</f>
        <v>0</v>
      </c>
      <c r="H125" s="373">
        <f>SUMIF('Cost inputs'!$E$88:$E$97,$C125,'Cost inputs'!$D$88:$D$97)</f>
        <v>0</v>
      </c>
      <c r="I125" s="373">
        <f>SUMIF('Cost inputs'!$E$101:$E$114,$C125,'Cost inputs'!$D$101:$D$114)</f>
        <v>0</v>
      </c>
      <c r="J125" s="373">
        <f>SUMIF('Cost inputs'!$E$118:$E$144,$C125,'Cost inputs'!$D$118:$D$144)</f>
        <v>0</v>
      </c>
      <c r="K125" s="373">
        <f>SUMIF('Cost inputs'!$E$152:$E$171,$C125,'Cost inputs'!$D$152:$D$171)</f>
        <v>72</v>
      </c>
      <c r="L125" s="373">
        <f>SUMIF('Cost inputs'!$E$175:$E$194,$C125,'Cost inputs'!$D$175:$D$194)</f>
        <v>0</v>
      </c>
      <c r="M125" s="373">
        <f>SUMIF('Cost inputs'!$E$198:$E$216,$C125,'Cost inputs'!$D$198:$D$216)</f>
        <v>0</v>
      </c>
      <c r="N125" s="373">
        <f>SUMIF('Cost inputs'!$E$225:$E$231,$C125,'Cost inputs'!$D$225:$D$231)</f>
        <v>0</v>
      </c>
      <c r="O125" s="373">
        <f>SUMIF('Cost inputs'!$E$235:$E$241,$C125,'Cost inputs'!$D$235:$D$241)</f>
        <v>0</v>
      </c>
      <c r="P125" s="191"/>
    </row>
    <row r="126" spans="3:16" x14ac:dyDescent="0.25">
      <c r="C126" s="191" t="s">
        <v>1512</v>
      </c>
      <c r="E126" s="373">
        <f>SUMIF('Cost inputs'!$E$18:$E$43,$C126,'Cost inputs'!$D$18:$D$43)</f>
        <v>315163.940750001</v>
      </c>
      <c r="F126" s="373">
        <f>SUMIF('Cost inputs'!$E$47:$E$68,$C126,'Cost inputs'!$D$47:$D$68)</f>
        <v>101685.22717000009</v>
      </c>
      <c r="G126" s="373">
        <f>SUMIF('Cost inputs'!$E$73:$E$80,$C126,'Cost inputs'!$D$73:$D$80)</f>
        <v>0</v>
      </c>
      <c r="H126" s="373">
        <f>SUMIF('Cost inputs'!$E$88:$E$97,$C126,'Cost inputs'!$D$88:$D$97)</f>
        <v>0</v>
      </c>
      <c r="I126" s="373">
        <f>SUMIF('Cost inputs'!$E$101:$E$114,$C126,'Cost inputs'!$D$101:$D$114)</f>
        <v>0</v>
      </c>
      <c r="J126" s="373">
        <f>SUMIF('Cost inputs'!$E$118:$E$144,$C126,'Cost inputs'!$D$118:$D$144)</f>
        <v>0</v>
      </c>
      <c r="K126" s="373">
        <f>SUMIF('Cost inputs'!$E$152:$E$171,$C126,'Cost inputs'!$D$152:$D$171)</f>
        <v>0</v>
      </c>
      <c r="L126" s="373">
        <f>SUMIF('Cost inputs'!$E$175:$E$194,$C126,'Cost inputs'!$D$175:$D$194)</f>
        <v>0</v>
      </c>
      <c r="M126" s="373">
        <f>SUMIF('Cost inputs'!$E$198:$E$216,$C126,'Cost inputs'!$D$198:$D$216)</f>
        <v>0</v>
      </c>
      <c r="N126" s="373">
        <f>SUMIF('Cost inputs'!$E$225:$E$231,$C126,'Cost inputs'!$D$225:$D$231)</f>
        <v>0</v>
      </c>
      <c r="O126" s="373">
        <f>SUMIF('Cost inputs'!$E$235:$E$241,$C126,'Cost inputs'!$D$235:$D$241)</f>
        <v>0</v>
      </c>
      <c r="P126" s="191"/>
    </row>
    <row r="127" spans="3:16" x14ac:dyDescent="0.25">
      <c r="C127" s="191" t="s">
        <v>544</v>
      </c>
      <c r="E127" s="373">
        <f>SUMIF('Cost inputs'!$E$18:$E$43,$C127,'Cost inputs'!$D$18:$D$43)</f>
        <v>1134587.5270400001</v>
      </c>
      <c r="F127" s="373">
        <f>SUMIF('Cost inputs'!$E$47:$E$68,$C127,'Cost inputs'!$D$47:$D$68)</f>
        <v>206929.1</v>
      </c>
      <c r="G127" s="373">
        <f>SUMIF('Cost inputs'!$E$73:$E$80,$C127,'Cost inputs'!$D$73:$D$80)</f>
        <v>664520</v>
      </c>
      <c r="H127" s="373">
        <f>SUMIF('Cost inputs'!$E$88:$E$97,$C127,'Cost inputs'!$D$88:$D$97)</f>
        <v>0</v>
      </c>
      <c r="I127" s="373">
        <f>SUMIF('Cost inputs'!$E$101:$E$114,$C127,'Cost inputs'!$D$101:$D$114)</f>
        <v>80171.670185759998</v>
      </c>
      <c r="J127" s="373">
        <f>SUMIF('Cost inputs'!$E$118:$E$144,$C127,'Cost inputs'!$D$118:$D$144)</f>
        <v>53591.37999999999</v>
      </c>
      <c r="K127" s="373">
        <f>SUMIF('Cost inputs'!$E$152:$E$171,$C127,'Cost inputs'!$D$152:$D$171)</f>
        <v>1348</v>
      </c>
      <c r="L127" s="373">
        <f>SUMIF('Cost inputs'!$E$175:$E$194,$C127,'Cost inputs'!$D$175:$D$194)</f>
        <v>12327</v>
      </c>
      <c r="M127" s="373">
        <f>SUMIF('Cost inputs'!$E$198:$E$216,$C127,'Cost inputs'!$D$198:$D$216)</f>
        <v>0.01</v>
      </c>
      <c r="N127" s="373">
        <f>SUMIF('Cost inputs'!$E$225:$E$231,$C127,'Cost inputs'!$D$225:$D$231)</f>
        <v>0</v>
      </c>
      <c r="O127" s="373">
        <f>SUMIF('Cost inputs'!$E$235:$E$241,$C127,'Cost inputs'!$D$235:$D$241)</f>
        <v>0</v>
      </c>
      <c r="P127" s="191"/>
    </row>
    <row r="128" spans="3:16" x14ac:dyDescent="0.25">
      <c r="C128" s="191"/>
      <c r="P128" s="191"/>
    </row>
    <row r="129" spans="3:16" x14ac:dyDescent="0.25">
      <c r="C129" s="191" t="s">
        <v>559</v>
      </c>
      <c r="E129" s="194">
        <f>SUM(E115:E127)</f>
        <v>3722728.3777700011</v>
      </c>
      <c r="F129" s="194">
        <f t="shared" ref="F129:O129" si="8">SUM(F115:F127)</f>
        <v>860393.46253911336</v>
      </c>
      <c r="G129" s="194">
        <f t="shared" si="8"/>
        <v>976921.78146250302</v>
      </c>
      <c r="H129" s="194">
        <f t="shared" si="8"/>
        <v>463549.67769088643</v>
      </c>
      <c r="I129" s="194">
        <f t="shared" si="8"/>
        <v>901253.23272945138</v>
      </c>
      <c r="J129" s="194">
        <f t="shared" si="8"/>
        <v>254179.74327107472</v>
      </c>
      <c r="K129" s="194">
        <f t="shared" si="8"/>
        <v>10723</v>
      </c>
      <c r="L129" s="194">
        <f t="shared" si="8"/>
        <v>169315.92920642611</v>
      </c>
      <c r="M129" s="194">
        <f t="shared" si="8"/>
        <v>1725.4030107600679</v>
      </c>
      <c r="N129" s="194">
        <f t="shared" si="8"/>
        <v>85457.019644976041</v>
      </c>
      <c r="O129" s="194">
        <f t="shared" si="8"/>
        <v>5520.0410007319497</v>
      </c>
      <c r="P129" s="191"/>
    </row>
    <row r="130" spans="3:16" x14ac:dyDescent="0.25">
      <c r="C130" s="191"/>
      <c r="E130" s="194"/>
      <c r="F130" s="194"/>
      <c r="G130" s="194"/>
      <c r="H130" s="194"/>
      <c r="I130" s="194"/>
      <c r="J130" s="194"/>
      <c r="K130" s="194"/>
      <c r="L130" s="194"/>
      <c r="M130" s="194"/>
      <c r="N130" s="194"/>
      <c r="O130" s="194"/>
      <c r="P130" s="191"/>
    </row>
    <row r="131" spans="3:16" x14ac:dyDescent="0.25">
      <c r="C131" s="191"/>
      <c r="E131" s="42"/>
      <c r="F131" s="42"/>
      <c r="G131" s="42"/>
      <c r="K131" s="194"/>
      <c r="L131" s="194"/>
      <c r="M131" s="194"/>
      <c r="N131" s="194"/>
      <c r="O131" s="194"/>
      <c r="P131" s="191"/>
    </row>
    <row r="132" spans="3:16" x14ac:dyDescent="0.25">
      <c r="C132" s="191"/>
      <c r="E132" s="42" t="s">
        <v>527</v>
      </c>
      <c r="F132" s="42" t="s">
        <v>560</v>
      </c>
      <c r="G132" s="42" t="s">
        <v>696</v>
      </c>
      <c r="H132" s="42" t="s">
        <v>694</v>
      </c>
      <c r="I132" s="42" t="s">
        <v>695</v>
      </c>
      <c r="J132" s="42" t="s">
        <v>186</v>
      </c>
      <c r="K132" s="194"/>
      <c r="L132" s="194"/>
      <c r="M132" s="194"/>
      <c r="N132" s="194"/>
      <c r="O132" s="194"/>
      <c r="P132" s="191"/>
    </row>
    <row r="133" spans="3:16" x14ac:dyDescent="0.25">
      <c r="C133" s="191" t="s">
        <v>534</v>
      </c>
      <c r="E133" s="194">
        <f t="shared" ref="E133:G144" si="9">E115</f>
        <v>368872</v>
      </c>
      <c r="F133" s="194">
        <f t="shared" si="9"/>
        <v>137037.20000000001</v>
      </c>
      <c r="G133" s="194">
        <f t="shared" si="9"/>
        <v>0</v>
      </c>
      <c r="H133" s="194">
        <f t="shared" ref="H133:H144" si="10">SUM(H115:J115)</f>
        <v>122363.523</v>
      </c>
      <c r="I133" s="194">
        <f t="shared" ref="I133:I144" si="11">SUM(K115:M115)</f>
        <v>26885.39</v>
      </c>
      <c r="J133" s="194">
        <f t="shared" ref="J133:J144" si="12">SUM(N115:O115)</f>
        <v>74005.600000000006</v>
      </c>
      <c r="K133" s="194"/>
      <c r="L133" s="194"/>
      <c r="M133" s="194"/>
      <c r="N133" s="194"/>
      <c r="O133" s="194"/>
      <c r="P133" s="191"/>
    </row>
    <row r="134" spans="3:16" x14ac:dyDescent="0.25">
      <c r="C134" s="191" t="s">
        <v>617</v>
      </c>
      <c r="E134" s="194">
        <f t="shared" si="9"/>
        <v>41863</v>
      </c>
      <c r="F134" s="194">
        <f t="shared" si="9"/>
        <v>0</v>
      </c>
      <c r="G134" s="194">
        <f t="shared" si="9"/>
        <v>0</v>
      </c>
      <c r="H134" s="194">
        <f t="shared" si="10"/>
        <v>0</v>
      </c>
      <c r="I134" s="194">
        <f t="shared" si="11"/>
        <v>1244</v>
      </c>
      <c r="J134" s="194">
        <f t="shared" si="12"/>
        <v>0</v>
      </c>
      <c r="K134" s="194"/>
      <c r="L134" s="194"/>
      <c r="M134" s="194"/>
      <c r="N134" s="194"/>
      <c r="O134" s="194"/>
      <c r="P134" s="191"/>
    </row>
    <row r="135" spans="3:16" x14ac:dyDescent="0.25">
      <c r="C135" s="191" t="s">
        <v>536</v>
      </c>
      <c r="E135" s="194">
        <f t="shared" si="9"/>
        <v>692420.84394999989</v>
      </c>
      <c r="F135" s="194">
        <f t="shared" si="9"/>
        <v>140672.63406000001</v>
      </c>
      <c r="G135" s="194">
        <f t="shared" si="9"/>
        <v>199394</v>
      </c>
      <c r="H135" s="194">
        <f t="shared" si="10"/>
        <v>837685.54999999993</v>
      </c>
      <c r="I135" s="194">
        <f t="shared" si="11"/>
        <v>108285.57</v>
      </c>
      <c r="J135" s="194">
        <f t="shared" si="12"/>
        <v>2730.7799999999997</v>
      </c>
      <c r="K135" s="194"/>
      <c r="L135" s="194"/>
      <c r="M135" s="194"/>
      <c r="N135" s="194"/>
      <c r="O135" s="194"/>
      <c r="P135" s="191"/>
    </row>
    <row r="136" spans="3:16" x14ac:dyDescent="0.25">
      <c r="C136" s="191" t="s">
        <v>538</v>
      </c>
      <c r="E136" s="194">
        <f t="shared" si="9"/>
        <v>90263</v>
      </c>
      <c r="F136" s="194">
        <f t="shared" si="9"/>
        <v>17488.8</v>
      </c>
      <c r="G136" s="194">
        <f t="shared" si="9"/>
        <v>0</v>
      </c>
      <c r="H136" s="194">
        <f t="shared" si="10"/>
        <v>211664.58299999998</v>
      </c>
      <c r="I136" s="194">
        <f t="shared" si="11"/>
        <v>15363.09</v>
      </c>
      <c r="J136" s="194">
        <f t="shared" si="12"/>
        <v>139.27000000000001</v>
      </c>
      <c r="K136" s="194"/>
      <c r="L136" s="194"/>
      <c r="M136" s="194"/>
      <c r="N136" s="194"/>
      <c r="O136" s="194"/>
      <c r="P136" s="191"/>
    </row>
    <row r="137" spans="3:16" x14ac:dyDescent="0.25">
      <c r="C137" s="191" t="s">
        <v>546</v>
      </c>
      <c r="E137" s="194">
        <f t="shared" si="9"/>
        <v>340920</v>
      </c>
      <c r="F137" s="194">
        <f t="shared" si="9"/>
        <v>153201.29999999999</v>
      </c>
      <c r="G137" s="194">
        <f t="shared" si="9"/>
        <v>109312</v>
      </c>
      <c r="H137" s="194">
        <f t="shared" si="10"/>
        <v>2748.74</v>
      </c>
      <c r="I137" s="194">
        <f t="shared" si="11"/>
        <v>0</v>
      </c>
      <c r="J137" s="194">
        <f t="shared" si="12"/>
        <v>0</v>
      </c>
      <c r="K137" s="194"/>
      <c r="L137" s="194"/>
      <c r="M137" s="194"/>
      <c r="N137" s="194"/>
      <c r="O137" s="194"/>
      <c r="P137" s="191"/>
    </row>
    <row r="138" spans="3:16" x14ac:dyDescent="0.25">
      <c r="C138" s="191" t="s">
        <v>530</v>
      </c>
      <c r="E138" s="194">
        <f t="shared" si="9"/>
        <v>67532</v>
      </c>
      <c r="F138" s="194">
        <f t="shared" si="9"/>
        <v>15210.999999999998</v>
      </c>
      <c r="G138" s="194">
        <f t="shared" si="9"/>
        <v>0</v>
      </c>
      <c r="H138" s="194">
        <f t="shared" si="10"/>
        <v>0</v>
      </c>
      <c r="I138" s="194">
        <f t="shared" si="11"/>
        <v>587.90800000000002</v>
      </c>
      <c r="J138" s="194">
        <f t="shared" si="12"/>
        <v>0</v>
      </c>
      <c r="K138" s="194"/>
      <c r="L138" s="194"/>
      <c r="M138" s="194"/>
      <c r="N138" s="194"/>
      <c r="O138" s="194"/>
      <c r="P138" s="191"/>
    </row>
    <row r="139" spans="3:16" x14ac:dyDescent="0.25">
      <c r="C139" s="191" t="s">
        <v>540</v>
      </c>
      <c r="E139" s="194">
        <f t="shared" si="9"/>
        <v>179872.91011999999</v>
      </c>
      <c r="F139" s="194">
        <f t="shared" si="9"/>
        <v>40903.838770000002</v>
      </c>
      <c r="G139" s="194">
        <f t="shared" si="9"/>
        <v>0</v>
      </c>
      <c r="H139" s="194">
        <f t="shared" si="10"/>
        <v>0</v>
      </c>
      <c r="I139" s="194">
        <f t="shared" si="11"/>
        <v>0</v>
      </c>
      <c r="J139" s="194">
        <f t="shared" si="12"/>
        <v>0</v>
      </c>
      <c r="K139" s="194"/>
      <c r="L139" s="194"/>
      <c r="M139" s="194"/>
      <c r="N139" s="194"/>
      <c r="O139" s="194"/>
      <c r="P139" s="191"/>
    </row>
    <row r="140" spans="3:16" x14ac:dyDescent="0.25">
      <c r="C140" s="191" t="s">
        <v>542</v>
      </c>
      <c r="E140" s="194">
        <f t="shared" si="9"/>
        <v>72880</v>
      </c>
      <c r="F140" s="194">
        <f t="shared" si="9"/>
        <v>4892.4977551132824</v>
      </c>
      <c r="G140" s="194">
        <f t="shared" si="9"/>
        <v>3695.7814625030151</v>
      </c>
      <c r="H140" s="194">
        <f t="shared" si="10"/>
        <v>35202.632425652577</v>
      </c>
      <c r="I140" s="194">
        <f t="shared" si="11"/>
        <v>4579.3642171861911</v>
      </c>
      <c r="J140" s="194">
        <f t="shared" si="12"/>
        <v>5414.4106457079961</v>
      </c>
      <c r="K140" s="194"/>
      <c r="L140" s="194"/>
      <c r="M140" s="194"/>
      <c r="N140" s="194"/>
      <c r="O140" s="194"/>
      <c r="P140" s="191"/>
    </row>
    <row r="141" spans="3:16" x14ac:dyDescent="0.25">
      <c r="C141" s="191" t="s">
        <v>558</v>
      </c>
      <c r="E141" s="194">
        <f t="shared" si="9"/>
        <v>0</v>
      </c>
      <c r="F141" s="194">
        <f t="shared" si="9"/>
        <v>0</v>
      </c>
      <c r="G141" s="194">
        <f t="shared" si="9"/>
        <v>0</v>
      </c>
      <c r="H141" s="194">
        <f t="shared" si="10"/>
        <v>0</v>
      </c>
      <c r="I141" s="194">
        <f t="shared" si="11"/>
        <v>0</v>
      </c>
      <c r="J141" s="194">
        <f t="shared" si="12"/>
        <v>0</v>
      </c>
      <c r="K141" s="194"/>
      <c r="L141" s="194"/>
      <c r="M141" s="194"/>
      <c r="N141" s="194"/>
      <c r="O141" s="194"/>
      <c r="P141" s="191"/>
    </row>
    <row r="142" spans="3:16" x14ac:dyDescent="0.25">
      <c r="C142" s="191" t="s">
        <v>532</v>
      </c>
      <c r="E142" s="194">
        <f t="shared" si="9"/>
        <v>418353.15590999997</v>
      </c>
      <c r="F142" s="194">
        <f t="shared" si="9"/>
        <v>42371.864783999998</v>
      </c>
      <c r="G142" s="194">
        <f t="shared" si="9"/>
        <v>0</v>
      </c>
      <c r="H142" s="194">
        <f t="shared" si="10"/>
        <v>275554.57507999998</v>
      </c>
      <c r="I142" s="194">
        <f t="shared" si="11"/>
        <v>11072</v>
      </c>
      <c r="J142" s="194">
        <f t="shared" si="12"/>
        <v>8687</v>
      </c>
      <c r="K142" s="194"/>
      <c r="L142" s="194"/>
      <c r="M142" s="194"/>
      <c r="N142" s="194"/>
      <c r="O142" s="194"/>
      <c r="P142" s="191"/>
    </row>
    <row r="143" spans="3:16" x14ac:dyDescent="0.25">
      <c r="C143" s="191" t="s">
        <v>619</v>
      </c>
      <c r="E143" s="194">
        <f t="shared" si="9"/>
        <v>0</v>
      </c>
      <c r="F143" s="194">
        <f t="shared" si="9"/>
        <v>0</v>
      </c>
      <c r="G143" s="194">
        <f t="shared" si="9"/>
        <v>0</v>
      </c>
      <c r="H143" s="194">
        <f t="shared" si="10"/>
        <v>0</v>
      </c>
      <c r="I143" s="194">
        <f t="shared" si="11"/>
        <v>72</v>
      </c>
      <c r="J143" s="194">
        <f t="shared" si="12"/>
        <v>0</v>
      </c>
      <c r="K143" s="194"/>
      <c r="L143" s="194"/>
      <c r="M143" s="194"/>
      <c r="N143" s="194"/>
      <c r="O143" s="194"/>
      <c r="P143" s="191"/>
    </row>
    <row r="144" spans="3:16" x14ac:dyDescent="0.25">
      <c r="C144" s="191" t="s">
        <v>1512</v>
      </c>
      <c r="E144" s="194">
        <f t="shared" si="9"/>
        <v>315163.940750001</v>
      </c>
      <c r="F144" s="194">
        <f t="shared" si="9"/>
        <v>101685.22717000009</v>
      </c>
      <c r="G144" s="194">
        <f t="shared" si="9"/>
        <v>0</v>
      </c>
      <c r="H144" s="194">
        <f t="shared" si="10"/>
        <v>0</v>
      </c>
      <c r="I144" s="194">
        <f t="shared" si="11"/>
        <v>0</v>
      </c>
      <c r="J144" s="194">
        <f t="shared" si="12"/>
        <v>0</v>
      </c>
      <c r="K144" s="194"/>
      <c r="L144" s="194"/>
      <c r="M144" s="194"/>
      <c r="N144" s="194"/>
      <c r="O144" s="194"/>
      <c r="P144" s="191"/>
    </row>
    <row r="145" spans="3:16" x14ac:dyDescent="0.25">
      <c r="C145" s="191" t="s">
        <v>544</v>
      </c>
      <c r="E145" s="194">
        <f t="shared" ref="E145:G145" si="13">E127</f>
        <v>1134587.5270400001</v>
      </c>
      <c r="F145" s="194">
        <f t="shared" si="13"/>
        <v>206929.1</v>
      </c>
      <c r="G145" s="194">
        <f t="shared" si="13"/>
        <v>664520</v>
      </c>
      <c r="H145" s="194">
        <f t="shared" ref="H145" si="14">SUM(H127:J127)</f>
        <v>133763.05018575999</v>
      </c>
      <c r="I145" s="194">
        <f t="shared" ref="I145" si="15">SUM(K127:M127)</f>
        <v>13675.01</v>
      </c>
      <c r="J145" s="194">
        <f t="shared" ref="J145" si="16">SUM(N127:O127)</f>
        <v>0</v>
      </c>
      <c r="K145" s="194"/>
      <c r="L145" s="194"/>
      <c r="M145" s="194"/>
      <c r="N145" s="194"/>
      <c r="O145" s="194"/>
      <c r="P145" s="191"/>
    </row>
    <row r="146" spans="3:16" x14ac:dyDescent="0.25">
      <c r="C146" s="191"/>
      <c r="E146" s="194"/>
      <c r="F146" s="194"/>
      <c r="G146" s="194"/>
      <c r="H146" s="194"/>
      <c r="I146" s="194"/>
      <c r="J146" s="194"/>
      <c r="K146" s="194"/>
      <c r="L146" s="194"/>
      <c r="M146" s="194"/>
      <c r="N146" s="194"/>
      <c r="O146" s="194"/>
      <c r="P146" s="191"/>
    </row>
    <row r="147" spans="3:16" x14ac:dyDescent="0.25">
      <c r="C147" s="191" t="s">
        <v>559</v>
      </c>
      <c r="E147" s="194">
        <f t="shared" ref="E147:J147" si="17">SUM(E133:E145)</f>
        <v>3722728.3777700011</v>
      </c>
      <c r="F147" s="194">
        <f t="shared" si="17"/>
        <v>860393.46253911336</v>
      </c>
      <c r="G147" s="194">
        <f t="shared" si="17"/>
        <v>976921.78146250302</v>
      </c>
      <c r="H147" s="194">
        <f t="shared" si="17"/>
        <v>1618982.6536914124</v>
      </c>
      <c r="I147" s="194">
        <f t="shared" si="17"/>
        <v>181764.33221718622</v>
      </c>
      <c r="J147" s="194">
        <f t="shared" si="17"/>
        <v>90977.060645707999</v>
      </c>
      <c r="K147" s="194"/>
      <c r="L147" s="194"/>
      <c r="M147" s="194"/>
      <c r="N147" s="194"/>
      <c r="O147" s="194"/>
      <c r="P147" s="191"/>
    </row>
    <row r="148" spans="3:16" x14ac:dyDescent="0.25">
      <c r="C148" s="484" t="s">
        <v>1242</v>
      </c>
      <c r="E148" s="485">
        <f>E129-E147</f>
        <v>0</v>
      </c>
      <c r="F148" s="485">
        <f>F129-F147</f>
        <v>0</v>
      </c>
      <c r="G148" s="485">
        <f>G129-G147</f>
        <v>0</v>
      </c>
      <c r="H148" s="485">
        <f>SUM(H129:J129)-H147</f>
        <v>0</v>
      </c>
      <c r="I148" s="485">
        <f>SUM(K129:M129)-I147</f>
        <v>0</v>
      </c>
      <c r="J148" s="485">
        <f>SUM(N129:O129)-J147</f>
        <v>0</v>
      </c>
      <c r="K148" s="194"/>
      <c r="L148" s="194"/>
      <c r="M148" s="194"/>
      <c r="N148" s="194"/>
      <c r="O148" s="194"/>
      <c r="P148" s="191"/>
    </row>
    <row r="149" spans="3:16" x14ac:dyDescent="0.25">
      <c r="C149" s="196"/>
      <c r="D149" s="197"/>
      <c r="E149" s="197"/>
      <c r="F149" s="197"/>
      <c r="G149" s="197"/>
      <c r="H149" s="197"/>
      <c r="I149" s="197"/>
      <c r="J149" s="197"/>
      <c r="K149" s="197"/>
      <c r="L149" s="197"/>
      <c r="M149" s="197"/>
      <c r="N149" s="197"/>
      <c r="O149" s="197"/>
      <c r="P149" s="191"/>
    </row>
    <row r="153" spans="3:16" x14ac:dyDescent="0.25">
      <c r="E153" s="194"/>
    </row>
    <row r="154" spans="3:16" x14ac:dyDescent="0.25">
      <c r="E154" s="194"/>
    </row>
    <row r="155" spans="3:16" x14ac:dyDescent="0.25">
      <c r="E155" s="194"/>
    </row>
    <row r="156" spans="3:16" x14ac:dyDescent="0.25">
      <c r="E156" s="194"/>
    </row>
    <row r="157" spans="3:16" x14ac:dyDescent="0.25">
      <c r="E157" s="194"/>
    </row>
    <row r="158" spans="3:16" x14ac:dyDescent="0.25">
      <c r="E158" s="194"/>
    </row>
    <row r="159" spans="3:16" x14ac:dyDescent="0.25">
      <c r="E159" s="194"/>
    </row>
    <row r="160" spans="3:16" x14ac:dyDescent="0.25">
      <c r="E160" s="194"/>
    </row>
    <row r="161" spans="5:5" x14ac:dyDescent="0.25">
      <c r="E161" s="194"/>
    </row>
    <row r="162" spans="5:5" x14ac:dyDescent="0.25">
      <c r="E162" s="194"/>
    </row>
    <row r="163" spans="5:5" x14ac:dyDescent="0.25">
      <c r="E163" s="194"/>
    </row>
  </sheetData>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FE02D-BDF5-48BD-946B-670A97AB77BC}">
  <sheetPr codeName="Sheet13"/>
  <dimension ref="A1:AJ303"/>
  <sheetViews>
    <sheetView showGridLines="0" workbookViewId="0"/>
  </sheetViews>
  <sheetFormatPr defaultRowHeight="11.5" x14ac:dyDescent="0.25"/>
  <cols>
    <col min="1" max="2" width="3.69921875" customWidth="1"/>
    <col min="3" max="3" width="20.3984375" customWidth="1"/>
    <col min="4" max="4" width="13.69921875" customWidth="1"/>
    <col min="5" max="8" width="15.69921875" customWidth="1"/>
    <col min="9" max="11" width="13.69921875" customWidth="1"/>
    <col min="12" max="17" width="10.69921875" customWidth="1"/>
  </cols>
  <sheetData>
    <row r="1" spans="1:11" x14ac:dyDescent="0.25">
      <c r="A1" s="347"/>
      <c r="C1" s="42" t="str">
        <f>'Fare optimisation'!$C$1</f>
        <v>Fare Optimisation Model for the 2025 Opal Review - Independent Pricing and Regulatory Tribunal of NSW</v>
      </c>
    </row>
    <row r="4" spans="1:11" ht="23" x14ac:dyDescent="0.5">
      <c r="C4" s="184" t="s">
        <v>1223</v>
      </c>
    </row>
    <row r="7" spans="1:11" x14ac:dyDescent="0.25">
      <c r="C7" s="11" t="s">
        <v>225</v>
      </c>
      <c r="D7" s="11"/>
      <c r="E7" s="11"/>
      <c r="F7" s="11"/>
      <c r="G7" s="11"/>
      <c r="H7" s="11"/>
      <c r="I7" s="11"/>
      <c r="J7" s="11"/>
      <c r="K7" s="185" t="s">
        <v>226</v>
      </c>
    </row>
    <row r="8" spans="1:11" x14ac:dyDescent="0.25">
      <c r="B8" s="186">
        <v>1</v>
      </c>
      <c r="C8" s="187" t="str">
        <f>"Table "&amp;B8&amp;" - Public transport marginal external cost ($, $2022-23)"</f>
        <v>Table 1 - Public transport marginal external cost ($, $2022-23)</v>
      </c>
      <c r="D8" s="187"/>
      <c r="E8" s="187"/>
      <c r="F8" s="187"/>
      <c r="G8" s="187"/>
      <c r="H8" s="187"/>
      <c r="I8" s="187"/>
      <c r="J8" s="187"/>
      <c r="K8" s="187">
        <f>ROW(C22)</f>
        <v>22</v>
      </c>
    </row>
    <row r="9" spans="1:11" x14ac:dyDescent="0.25">
      <c r="B9" s="272">
        <f t="shared" ref="B9:B14" si="0">B8+1</f>
        <v>2</v>
      </c>
      <c r="C9" s="11" t="str">
        <f>"Table "&amp;B9&amp;" - Car marginal external cost ($, $2022-23)"</f>
        <v>Table 2 - Car marginal external cost ($, $2022-23)</v>
      </c>
      <c r="D9" s="11"/>
      <c r="E9" s="11"/>
      <c r="F9" s="11"/>
      <c r="G9" s="11"/>
      <c r="H9" s="11"/>
      <c r="I9" s="11"/>
      <c r="J9" s="11"/>
      <c r="K9" s="11">
        <f>ROW(C37)</f>
        <v>37</v>
      </c>
    </row>
    <row r="10" spans="1:11" x14ac:dyDescent="0.25">
      <c r="B10" s="272">
        <f t="shared" si="0"/>
        <v>3</v>
      </c>
      <c r="C10" t="str">
        <f>"Table "&amp;B10&amp;" - Own elasticity"</f>
        <v>Table 3 - Own elasticity</v>
      </c>
      <c r="K10">
        <f>ROW(C64)</f>
        <v>64</v>
      </c>
    </row>
    <row r="11" spans="1:11" x14ac:dyDescent="0.25">
      <c r="B11" s="468">
        <f t="shared" si="0"/>
        <v>4</v>
      </c>
      <c r="C11" t="str">
        <f>"Table "&amp;B11&amp;" - Diff2base"</f>
        <v>Table 4 - Diff2base</v>
      </c>
      <c r="K11">
        <f>ROW(C99)</f>
        <v>99</v>
      </c>
    </row>
    <row r="12" spans="1:11" x14ac:dyDescent="0.25">
      <c r="B12" s="468">
        <f t="shared" si="0"/>
        <v>5</v>
      </c>
      <c r="C12" t="str">
        <f>"Table "&amp;B12&amp;" - Z1"</f>
        <v>Table 5 - Z1</v>
      </c>
      <c r="K12">
        <f>ROW(C212)</f>
        <v>212</v>
      </c>
    </row>
    <row r="13" spans="1:11" x14ac:dyDescent="0.25">
      <c r="B13" s="468">
        <f t="shared" si="0"/>
        <v>6</v>
      </c>
      <c r="C13" t="str">
        <f>"Table "&amp;B13&amp;" - Z based on PJ"</f>
        <v>Table 6 - Z based on PJ</v>
      </c>
      <c r="K13">
        <f>ROW(C283)</f>
        <v>283</v>
      </c>
    </row>
    <row r="14" spans="1:11" x14ac:dyDescent="0.25">
      <c r="B14" s="468">
        <f t="shared" si="0"/>
        <v>7</v>
      </c>
      <c r="C14" s="197" t="str">
        <f>"Table "&amp;B14&amp;" - Mode shift (same time-of-day &amp; distance)"</f>
        <v>Table 7 - Mode shift (same time-of-day &amp; distance)</v>
      </c>
      <c r="D14" s="197"/>
      <c r="E14" s="197"/>
      <c r="F14" s="197"/>
      <c r="G14" s="197"/>
      <c r="H14" s="197"/>
      <c r="I14" s="197"/>
      <c r="J14" s="197"/>
      <c r="K14" s="197">
        <f>ROW(C292)</f>
        <v>292</v>
      </c>
    </row>
    <row r="17" spans="2:36" x14ac:dyDescent="0.25">
      <c r="B17" s="563"/>
      <c r="C17" s="563"/>
      <c r="D17" s="563"/>
      <c r="E17" s="563"/>
      <c r="F17" s="563"/>
      <c r="G17" s="563"/>
      <c r="H17" s="563"/>
      <c r="I17" s="563"/>
      <c r="J17" s="563"/>
      <c r="K17" s="563"/>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row>
    <row r="19" spans="2:36" ht="20" x14ac:dyDescent="0.4">
      <c r="C19" s="26" t="s">
        <v>257</v>
      </c>
    </row>
    <row r="22" spans="2:36" ht="15.5" x14ac:dyDescent="0.35">
      <c r="C22" s="43" t="str">
        <f>C8</f>
        <v>Table 1 - Public transport marginal external cost ($, $2022-23)</v>
      </c>
    </row>
    <row r="23" spans="2:36" x14ac:dyDescent="0.25">
      <c r="C23" s="188"/>
      <c r="D23" s="189"/>
      <c r="E23" s="189"/>
      <c r="F23" s="189"/>
      <c r="G23" s="189"/>
      <c r="H23" s="189"/>
      <c r="I23" s="190"/>
    </row>
    <row r="24" spans="2:36" x14ac:dyDescent="0.25">
      <c r="C24" s="191"/>
      <c r="E24" s="192" t="s">
        <v>183</v>
      </c>
      <c r="F24" s="192" t="s">
        <v>184</v>
      </c>
      <c r="G24" s="192" t="s">
        <v>185</v>
      </c>
      <c r="H24" s="192" t="s">
        <v>248</v>
      </c>
      <c r="I24" s="195"/>
    </row>
    <row r="25" spans="2:36" x14ac:dyDescent="0.25">
      <c r="C25" s="191" t="s">
        <v>258</v>
      </c>
      <c r="E25" s="273">
        <f>-'Scenario Analysis'!$I$87*SUM('General inputs'!E97:E98)*AVERAGE('General inputs'!E99:E100)/1000</f>
        <v>-1.6854479999999998</v>
      </c>
      <c r="F25" s="273">
        <f>-'Scenario Analysis'!$I$87*SUM('General inputs'!F97:F98)*AVERAGE('General inputs'!F99:F100)/1000</f>
        <v>-1.26684</v>
      </c>
      <c r="G25" s="273">
        <f>-'Scenario Analysis'!$I$87*SUM('General inputs'!G97:G98)*AVERAGE('General inputs'!G99:G100)/1000</f>
        <v>-1.784592</v>
      </c>
      <c r="H25" s="273">
        <f>F25</f>
        <v>-1.26684</v>
      </c>
      <c r="I25" s="195"/>
    </row>
    <row r="26" spans="2:36" x14ac:dyDescent="0.25">
      <c r="C26" s="191" t="s">
        <v>259</v>
      </c>
      <c r="E26" s="530">
        <f>SUM('General inputs'!E129:E130)/100*CPI!$F$14/CPI!$F$12</f>
        <v>5.6271043771043768E-4</v>
      </c>
      <c r="F26" s="530">
        <f>SUM('General inputs'!F129:F130)/100*CPI!$F$14/CPI!$F$12</f>
        <v>3.004873737373737E-2</v>
      </c>
      <c r="G26" s="530">
        <f>SUM('General inputs'!G129:G130)/100*CPI!$F$14/CPI!$F$12</f>
        <v>0.12435900673400674</v>
      </c>
      <c r="H26" s="530">
        <f>SUM('General inputs'!H129:H130)/100*CPI!$F$14/CPI!$F$12</f>
        <v>1.2829797979797979E-2</v>
      </c>
      <c r="I26" s="195"/>
    </row>
    <row r="27" spans="2:36" x14ac:dyDescent="0.25">
      <c r="C27" s="191" t="s">
        <v>260</v>
      </c>
      <c r="E27" s="274">
        <v>0</v>
      </c>
      <c r="F27" s="273">
        <f>SUM(G31:G33)</f>
        <v>5.922683949025326E-3</v>
      </c>
      <c r="G27" s="274">
        <v>0</v>
      </c>
      <c r="H27" s="273">
        <f>SUM(G31:G33)</f>
        <v>5.922683949025326E-3</v>
      </c>
      <c r="I27" s="195"/>
    </row>
    <row r="28" spans="2:36" x14ac:dyDescent="0.25">
      <c r="C28" s="191"/>
      <c r="I28" s="195"/>
    </row>
    <row r="29" spans="2:36" ht="23" x14ac:dyDescent="0.25">
      <c r="C29" s="220" t="str">
        <f>'General inputs'!C109</f>
        <v>Bus accident parameters</v>
      </c>
      <c r="E29" s="275" t="s">
        <v>261</v>
      </c>
      <c r="F29" s="276" t="s">
        <v>262</v>
      </c>
      <c r="G29" s="203" t="s">
        <v>263</v>
      </c>
      <c r="H29" s="163"/>
      <c r="I29" s="195"/>
    </row>
    <row r="30" spans="2:36" x14ac:dyDescent="0.25">
      <c r="C30" s="191" t="str">
        <f>'General inputs'!C110</f>
        <v>Crashes</v>
      </c>
      <c r="E30" s="194">
        <f>SUM('General inputs'!E110:F110)</f>
        <v>31</v>
      </c>
      <c r="F30" s="277">
        <f>E30/('General inputs'!$E$106*'General inputs'!$E$107)</f>
        <v>2.2066908910786168E-8</v>
      </c>
      <c r="I30" s="195"/>
    </row>
    <row r="31" spans="2:36" x14ac:dyDescent="0.25">
      <c r="C31" s="191" t="str">
        <f>'General inputs'!C111</f>
        <v>Killed</v>
      </c>
      <c r="E31" s="194">
        <f>SUM('General inputs'!E111:F111)</f>
        <v>1</v>
      </c>
      <c r="F31" s="277">
        <f>E31/('General inputs'!$E$106*'General inputs'!$E$107)</f>
        <v>7.1183577131568285E-10</v>
      </c>
      <c r="G31" s="278">
        <f>F31*'General inputs'!F140</f>
        <v>3.8439131651046873E-3</v>
      </c>
      <c r="I31" s="195"/>
    </row>
    <row r="32" spans="2:36" x14ac:dyDescent="0.25">
      <c r="C32" s="191" t="str">
        <f>'General inputs'!C112</f>
        <v>Seriously injured</v>
      </c>
      <c r="E32" s="194">
        <f>SUM('General inputs'!E112:F112)</f>
        <v>9</v>
      </c>
      <c r="F32" s="277">
        <f>E32/('General inputs'!$E$106*'General inputs'!$E$107)</f>
        <v>6.4065219418411451E-9</v>
      </c>
      <c r="G32" s="278">
        <f>F32*'General inputs'!F142</f>
        <v>1.7620706762097712E-3</v>
      </c>
      <c r="I32" s="195"/>
    </row>
    <row r="33" spans="3:9" x14ac:dyDescent="0.25">
      <c r="C33" s="191" t="str">
        <f>'General inputs'!C113</f>
        <v>Moderately injured</v>
      </c>
      <c r="E33" s="194">
        <f>SUM('General inputs'!E113:F113)</f>
        <v>15</v>
      </c>
      <c r="F33" s="277">
        <f>E33/('General inputs'!$E$106*'General inputs'!$E$107)</f>
        <v>1.0677536569735242E-8</v>
      </c>
      <c r="G33" s="278">
        <f>F33*'General inputs'!F143</f>
        <v>3.167001077108673E-4</v>
      </c>
      <c r="I33" s="195"/>
    </row>
    <row r="34" spans="3:9" x14ac:dyDescent="0.25">
      <c r="C34" s="196"/>
      <c r="D34" s="197"/>
      <c r="E34" s="197"/>
      <c r="F34" s="197"/>
      <c r="G34" s="197"/>
      <c r="H34" s="197"/>
      <c r="I34" s="198"/>
    </row>
    <row r="37" spans="3:9" ht="15.5" x14ac:dyDescent="0.35">
      <c r="C37" s="43" t="str">
        <f>C9</f>
        <v>Table 2 - Car marginal external cost ($, $2022-23)</v>
      </c>
    </row>
    <row r="38" spans="3:9" x14ac:dyDescent="0.25">
      <c r="C38" s="188"/>
      <c r="D38" s="189"/>
      <c r="E38" s="189"/>
      <c r="F38" s="189"/>
      <c r="G38" s="189"/>
      <c r="H38" s="189"/>
      <c r="I38" s="190"/>
    </row>
    <row r="39" spans="3:9" ht="23" x14ac:dyDescent="0.25">
      <c r="C39" s="220" t="s">
        <v>264</v>
      </c>
      <c r="E39" s="192" t="s">
        <v>265</v>
      </c>
      <c r="F39" s="202" t="s">
        <v>266</v>
      </c>
      <c r="G39" s="202" t="s">
        <v>267</v>
      </c>
      <c r="H39" s="202" t="s">
        <v>1290</v>
      </c>
      <c r="I39" s="195"/>
    </row>
    <row r="40" spans="3:9" x14ac:dyDescent="0.25">
      <c r="C40" s="191" t="s">
        <v>268</v>
      </c>
      <c r="E40" s="279">
        <f>'STM inputs'!F30/'STM inputs'!F20</f>
        <v>0.29996842395745993</v>
      </c>
      <c r="F40" s="279">
        <f>E40/'Scenario Analysis'!$I$89</f>
        <v>0.24997368663121661</v>
      </c>
      <c r="G40" s="280">
        <f>AVERAGE(F40,F42)</f>
        <v>0.22993355672297572</v>
      </c>
      <c r="H40" s="280">
        <f>AVERAGE(F41,F43)</f>
        <v>0.2280586839093105</v>
      </c>
      <c r="I40" s="195"/>
    </row>
    <row r="41" spans="3:9" x14ac:dyDescent="0.25">
      <c r="C41" s="191" t="s">
        <v>269</v>
      </c>
      <c r="E41" s="279">
        <f>'STM inputs'!F31/'STM inputs'!F21</f>
        <v>0.24546388508279171</v>
      </c>
      <c r="F41" s="279">
        <f>E41/'Scenario Analysis'!$I$89</f>
        <v>0.2045532375689931</v>
      </c>
      <c r="I41" s="195"/>
    </row>
    <row r="42" spans="3:9" x14ac:dyDescent="0.25">
      <c r="C42" s="191" t="s">
        <v>270</v>
      </c>
      <c r="E42" s="279">
        <f>'STM inputs'!F32/'STM inputs'!F22</f>
        <v>0.25187211217768174</v>
      </c>
      <c r="F42" s="279">
        <f>E42/'Scenario Analysis'!$I$89</f>
        <v>0.2098934268147348</v>
      </c>
      <c r="I42" s="195"/>
    </row>
    <row r="43" spans="3:9" x14ac:dyDescent="0.25">
      <c r="C43" s="191" t="s">
        <v>271</v>
      </c>
      <c r="E43" s="279">
        <f>'STM inputs'!F33/'STM inputs'!F23</f>
        <v>0.30187695629955347</v>
      </c>
      <c r="F43" s="279">
        <f>E43/'Scenario Analysis'!$I$89</f>
        <v>0.25156413024962793</v>
      </c>
      <c r="I43" s="195"/>
    </row>
    <row r="44" spans="3:9" x14ac:dyDescent="0.25">
      <c r="C44" s="191"/>
      <c r="I44" s="195"/>
    </row>
    <row r="45" spans="3:9" x14ac:dyDescent="0.25">
      <c r="C45" s="220" t="s">
        <v>272</v>
      </c>
      <c r="I45" s="195"/>
    </row>
    <row r="46" spans="3:9" x14ac:dyDescent="0.25">
      <c r="C46" s="191" t="s">
        <v>273</v>
      </c>
      <c r="E46">
        <f>'General inputs'!E119*'General inputs'!E120</f>
        <v>5.2080000000000002</v>
      </c>
      <c r="I46" s="195"/>
    </row>
    <row r="47" spans="3:9" x14ac:dyDescent="0.25">
      <c r="C47" s="191" t="s">
        <v>274</v>
      </c>
      <c r="E47" s="273">
        <f>E46/'Scenario Analysis'!$I$89</f>
        <v>4.3400000000000007</v>
      </c>
      <c r="I47" s="195"/>
    </row>
    <row r="48" spans="3:9" x14ac:dyDescent="0.25">
      <c r="C48" s="191"/>
      <c r="I48" s="195"/>
    </row>
    <row r="49" spans="2:36" x14ac:dyDescent="0.25">
      <c r="C49" s="220" t="s">
        <v>275</v>
      </c>
      <c r="E49" s="273">
        <f>'General inputs'!E121/'Scenario Analysis'!$I$89</f>
        <v>4.125</v>
      </c>
      <c r="I49" s="195"/>
    </row>
    <row r="50" spans="2:36" x14ac:dyDescent="0.25">
      <c r="C50" s="191"/>
      <c r="I50" s="195"/>
    </row>
    <row r="51" spans="2:36" x14ac:dyDescent="0.25">
      <c r="C51" s="220" t="s">
        <v>276</v>
      </c>
      <c r="I51" s="195"/>
    </row>
    <row r="52" spans="2:36" x14ac:dyDescent="0.25">
      <c r="C52" s="191" t="s">
        <v>277</v>
      </c>
      <c r="E52" s="164">
        <f>SUM('STM inputs'!F20:F23)/1000000</f>
        <v>10.7805</v>
      </c>
      <c r="I52" s="195"/>
    </row>
    <row r="53" spans="2:36" x14ac:dyDescent="0.25">
      <c r="C53" s="191" t="s">
        <v>278</v>
      </c>
      <c r="E53" s="164">
        <f>E52*250</f>
        <v>2695.125</v>
      </c>
      <c r="I53" s="195"/>
    </row>
    <row r="54" spans="2:36" x14ac:dyDescent="0.25">
      <c r="C54" s="191" t="s">
        <v>279</v>
      </c>
      <c r="E54" s="278">
        <f>'General inputs'!E122/E53</f>
        <v>3.9701312555076293E-2</v>
      </c>
      <c r="I54" s="195"/>
    </row>
    <row r="55" spans="2:36" x14ac:dyDescent="0.25">
      <c r="C55" s="191" t="s">
        <v>280</v>
      </c>
      <c r="E55" s="273">
        <f>E54/'Scenario Analysis'!$I$89</f>
        <v>3.3084427129230244E-2</v>
      </c>
      <c r="I55" s="195"/>
    </row>
    <row r="56" spans="2:36" x14ac:dyDescent="0.25">
      <c r="C56" s="196"/>
      <c r="D56" s="197"/>
      <c r="E56" s="197"/>
      <c r="F56" s="197"/>
      <c r="G56" s="197"/>
      <c r="H56" s="197"/>
      <c r="I56" s="198"/>
    </row>
    <row r="59" spans="2:36" x14ac:dyDescent="0.25">
      <c r="B59" s="563"/>
      <c r="C59" s="563"/>
      <c r="D59" s="563"/>
      <c r="E59" s="563"/>
      <c r="F59" s="563"/>
      <c r="G59" s="563"/>
      <c r="H59" s="563"/>
      <c r="I59" s="563"/>
      <c r="J59" s="563"/>
      <c r="K59" s="563"/>
      <c r="L59" s="564"/>
      <c r="M59" s="564"/>
      <c r="N59" s="564"/>
      <c r="O59" s="564"/>
      <c r="P59" s="564"/>
      <c r="Q59" s="564"/>
      <c r="R59" s="564"/>
      <c r="S59" s="564"/>
      <c r="T59" s="564"/>
      <c r="U59" s="564"/>
      <c r="V59" s="564"/>
      <c r="W59" s="564"/>
      <c r="X59" s="564"/>
      <c r="Y59" s="564"/>
      <c r="Z59" s="564"/>
      <c r="AA59" s="564"/>
      <c r="AB59" s="564"/>
      <c r="AC59" s="564"/>
      <c r="AD59" s="564"/>
      <c r="AE59" s="564"/>
      <c r="AF59" s="564"/>
      <c r="AG59" s="564"/>
      <c r="AH59" s="564"/>
      <c r="AI59" s="564"/>
      <c r="AJ59" s="564"/>
    </row>
    <row r="61" spans="2:36" ht="20" x14ac:dyDescent="0.4">
      <c r="C61" s="26" t="s">
        <v>677</v>
      </c>
    </row>
    <row r="64" spans="2:36" ht="15.5" x14ac:dyDescent="0.35">
      <c r="C64" s="43" t="str">
        <f>C10</f>
        <v>Table 3 - Own elasticity</v>
      </c>
    </row>
    <row r="65" spans="3:21" x14ac:dyDescent="0.25">
      <c r="C65" s="188"/>
      <c r="D65" s="189"/>
      <c r="E65" s="189"/>
      <c r="F65" s="189"/>
      <c r="G65" s="189"/>
      <c r="H65" s="189"/>
      <c r="I65" s="189"/>
      <c r="J65" s="189"/>
      <c r="K65" s="189"/>
      <c r="L65" s="189"/>
      <c r="M65" s="189"/>
      <c r="N65" s="189"/>
      <c r="O65" s="189"/>
      <c r="P65" s="189"/>
      <c r="Q65" s="189"/>
      <c r="R65" s="189"/>
      <c r="S65" s="189"/>
      <c r="T65" s="189"/>
      <c r="U65" s="190"/>
    </row>
    <row r="66" spans="3:21" x14ac:dyDescent="0.25">
      <c r="C66" s="220"/>
      <c r="D66" s="42" t="s">
        <v>347</v>
      </c>
      <c r="F66" s="288" t="str">
        <f>'STM inputs'!F15</f>
        <v>Baseline</v>
      </c>
      <c r="G66" s="288" t="str">
        <f>'STM inputs'!G15</f>
        <v>Bus only</v>
      </c>
      <c r="H66" s="288" t="str">
        <f>'STM inputs'!H15</f>
        <v>Rail, light rail and ferry only</v>
      </c>
      <c r="I66" s="288" t="str">
        <f>'STM inputs'!I15</f>
        <v>Rail only</v>
      </c>
      <c r="J66" s="288" t="str">
        <f>'STM inputs'!J15</f>
        <v>Light rail only</v>
      </c>
      <c r="K66" s="288" t="str">
        <f>'STM inputs'!K15</f>
        <v>Ferry only</v>
      </c>
      <c r="L66" s="288" t="str">
        <f>'STM inputs'!L15</f>
        <v>All modes</v>
      </c>
      <c r="M66" s="288" t="str">
        <f>'STM inputs'!M15</f>
        <v>Bus only</v>
      </c>
      <c r="N66" s="288" t="str">
        <f>'STM inputs'!N15</f>
        <v>Rail, light rail and ferry only</v>
      </c>
      <c r="O66" s="288" t="str">
        <f>'STM inputs'!O15</f>
        <v>Rail only</v>
      </c>
      <c r="P66" s="288" t="str">
        <f>'STM inputs'!P15</f>
        <v>Light rail only</v>
      </c>
      <c r="Q66" s="288" t="str">
        <f>'STM inputs'!Q15</f>
        <v>Ferry only</v>
      </c>
      <c r="R66" s="288" t="str">
        <f>'STM inputs'!R15</f>
        <v>All modes</v>
      </c>
      <c r="S66" s="288" t="str">
        <f>'STM inputs'!S15</f>
        <v>All modes</v>
      </c>
      <c r="T66" s="288" t="str">
        <f>'STM inputs'!T15</f>
        <v>All modes</v>
      </c>
      <c r="U66" s="289" t="str">
        <f>'STM inputs'!U15</f>
        <v>All modes</v>
      </c>
    </row>
    <row r="67" spans="3:21" x14ac:dyDescent="0.25">
      <c r="C67" s="220" t="s">
        <v>520</v>
      </c>
      <c r="D67" s="42" t="s">
        <v>521</v>
      </c>
      <c r="F67" s="288" t="str">
        <f>'STM inputs'!F16</f>
        <v>Baseline</v>
      </c>
      <c r="G67" s="288" t="str">
        <f>'STM inputs'!G16</f>
        <v>-20%</v>
      </c>
      <c r="H67" s="288" t="str">
        <f>'STM inputs'!H16</f>
        <v>-20%</v>
      </c>
      <c r="I67" s="288" t="str">
        <f>'STM inputs'!I16</f>
        <v>-20%</v>
      </c>
      <c r="J67" s="288" t="str">
        <f>'STM inputs'!J16</f>
        <v>-20%</v>
      </c>
      <c r="K67" s="288" t="str">
        <f>'STM inputs'!K16</f>
        <v>-20%</v>
      </c>
      <c r="L67" s="288" t="str">
        <f>'STM inputs'!L16</f>
        <v>-20%</v>
      </c>
      <c r="M67" s="288" t="str">
        <f>'STM inputs'!M16</f>
        <v>+20%</v>
      </c>
      <c r="N67" s="288" t="str">
        <f>'STM inputs'!N16</f>
        <v>+20%</v>
      </c>
      <c r="O67" s="288" t="str">
        <f>'STM inputs'!O16</f>
        <v>+20%</v>
      </c>
      <c r="P67" s="288" t="str">
        <f>'STM inputs'!P16</f>
        <v>+20%</v>
      </c>
      <c r="Q67" s="288" t="str">
        <f>'STM inputs'!Q16</f>
        <v>+20%</v>
      </c>
      <c r="R67" s="288" t="str">
        <f>'STM inputs'!R16</f>
        <v>+20%</v>
      </c>
      <c r="S67" s="288">
        <f>'STM inputs'!S16</f>
        <v>-0.6</v>
      </c>
      <c r="T67" s="288" t="str">
        <f>'STM inputs'!T16</f>
        <v>Effect of travel Less distance (Fare increase)</v>
      </c>
      <c r="U67" s="289" t="str">
        <f>'STM inputs'!U16</f>
        <v>Effect of travel Greater distance 
(Fare decrease)</v>
      </c>
    </row>
    <row r="68" spans="3:21" x14ac:dyDescent="0.25">
      <c r="C68" s="220" t="s">
        <v>522</v>
      </c>
      <c r="D68" s="42" t="s">
        <v>523</v>
      </c>
      <c r="F68" s="288">
        <f>'STM inputs'!F17</f>
        <v>2021</v>
      </c>
      <c r="G68" s="288">
        <f>'STM inputs'!G17</f>
        <v>2021</v>
      </c>
      <c r="H68" s="288">
        <f>'STM inputs'!H17</f>
        <v>2021</v>
      </c>
      <c r="I68" s="288">
        <f>'STM inputs'!I17</f>
        <v>2021</v>
      </c>
      <c r="J68" s="288">
        <f>'STM inputs'!J17</f>
        <v>2021</v>
      </c>
      <c r="K68" s="288">
        <f>'STM inputs'!K17</f>
        <v>2021</v>
      </c>
      <c r="L68" s="288">
        <f>'STM inputs'!L17</f>
        <v>2021</v>
      </c>
      <c r="M68" s="288">
        <f>'STM inputs'!M17</f>
        <v>2021</v>
      </c>
      <c r="N68" s="288">
        <f>'STM inputs'!N17</f>
        <v>2021</v>
      </c>
      <c r="O68" s="288">
        <f>'STM inputs'!O17</f>
        <v>2021</v>
      </c>
      <c r="P68" s="288">
        <f>'STM inputs'!P17</f>
        <v>2021</v>
      </c>
      <c r="Q68" s="288">
        <f>'STM inputs'!Q17</f>
        <v>2021</v>
      </c>
      <c r="R68" s="288">
        <f>'STM inputs'!R17</f>
        <v>2021</v>
      </c>
      <c r="S68" s="288">
        <f>'STM inputs'!S17</f>
        <v>2021</v>
      </c>
      <c r="T68" s="288">
        <f>'STM inputs'!T17</f>
        <v>2021</v>
      </c>
      <c r="U68" s="289">
        <f>'STM inputs'!U17</f>
        <v>2021</v>
      </c>
    </row>
    <row r="69" spans="3:21" x14ac:dyDescent="0.25">
      <c r="C69" s="290" t="str">
        <f>'STM inputs'!C35</f>
        <v>Car AM VHT - AM peak 2 hours</v>
      </c>
      <c r="D69" s="648" t="str">
        <f>'STM inputs'!C20</f>
        <v>Car driver demand - AM peak 2 hours</v>
      </c>
      <c r="F69" s="164"/>
      <c r="G69" s="164"/>
      <c r="H69" s="164"/>
      <c r="I69" s="164"/>
      <c r="J69" s="164"/>
      <c r="K69" s="164"/>
      <c r="L69" s="164"/>
      <c r="M69" s="164"/>
      <c r="N69" s="164"/>
      <c r="O69" s="164"/>
      <c r="P69" s="164"/>
      <c r="Q69" s="164"/>
      <c r="R69" s="164"/>
      <c r="S69" s="164"/>
      <c r="T69" s="164"/>
      <c r="U69" s="291"/>
    </row>
    <row r="70" spans="3:21" x14ac:dyDescent="0.25">
      <c r="C70" s="290" t="str">
        <f>'STM inputs'!C26</f>
        <v>Car IP VKT - IP 6 hours</v>
      </c>
      <c r="D70" s="648" t="str">
        <f>'STM inputs'!C21</f>
        <v>Car driver demand - IP 6 hours</v>
      </c>
      <c r="F70" s="164"/>
      <c r="G70" s="164"/>
      <c r="H70" s="164"/>
      <c r="I70" s="164"/>
      <c r="J70" s="164"/>
      <c r="K70" s="164"/>
      <c r="L70" s="164"/>
      <c r="M70" s="164"/>
      <c r="N70" s="164"/>
      <c r="O70" s="164"/>
      <c r="P70" s="164"/>
      <c r="Q70" s="164"/>
      <c r="R70" s="164"/>
      <c r="S70" s="164"/>
      <c r="T70" s="164"/>
      <c r="U70" s="291"/>
    </row>
    <row r="71" spans="3:21" x14ac:dyDescent="0.25">
      <c r="C71" s="290" t="str">
        <f>'STM inputs'!C27</f>
        <v>Car PM VKT - PM peak 3 hours</v>
      </c>
      <c r="D71" s="648" t="str">
        <f>'STM inputs'!C22</f>
        <v>Car driver demand - PM peak 3 hours</v>
      </c>
      <c r="F71" s="164"/>
      <c r="G71" s="164"/>
      <c r="H71" s="164"/>
      <c r="I71" s="164"/>
      <c r="J71" s="164"/>
      <c r="K71" s="164"/>
      <c r="L71" s="164"/>
      <c r="M71" s="164"/>
      <c r="N71" s="164"/>
      <c r="O71" s="164"/>
      <c r="P71" s="164"/>
      <c r="Q71" s="164"/>
      <c r="R71" s="164"/>
      <c r="S71" s="164"/>
      <c r="T71" s="164"/>
      <c r="U71" s="291"/>
    </row>
    <row r="72" spans="3:21" x14ac:dyDescent="0.25">
      <c r="C72" s="290" t="str">
        <f>'STM inputs'!C28</f>
        <v>Car EV VKT - EV 13 hours</v>
      </c>
      <c r="D72" s="648" t="str">
        <f>'STM inputs'!C23</f>
        <v>Car driver demand - EV 13 hours</v>
      </c>
      <c r="F72" s="164"/>
      <c r="G72" s="164"/>
      <c r="H72" s="164"/>
      <c r="I72" s="164"/>
      <c r="J72" s="164"/>
      <c r="K72" s="164"/>
      <c r="L72" s="164"/>
      <c r="M72" s="164"/>
      <c r="N72" s="164"/>
      <c r="O72" s="164"/>
      <c r="P72" s="164"/>
      <c r="Q72" s="164"/>
      <c r="R72" s="164"/>
      <c r="S72" s="164"/>
      <c r="T72" s="164"/>
      <c r="U72" s="291"/>
    </row>
    <row r="73" spans="3:21" x14ac:dyDescent="0.25">
      <c r="C73" s="292" t="str">
        <f>'MEC - public transport &amp; cars'!C132</f>
        <v>Rail passenger demand - AM peak 2 hours</v>
      </c>
      <c r="D73" s="648" t="str">
        <f>'STM inputs'!C46</f>
        <v>Rail passenger demand - AM peak 2 hours</v>
      </c>
      <c r="G73" s="651"/>
      <c r="H73" s="651">
        <f>INDEX('MEC - public transport &amp; cars'!H$106:H$209,MATCH($D73,'MEC - public transport &amp; cars'!$C$106:$C$209,0))/INDEX('STM inputs'!$F$20:$F$123,MATCH($C73,'STM inputs'!$C$20:$C$123,0))/H$67</f>
        <v>-0.23593860257154811</v>
      </c>
      <c r="I73" s="651">
        <f>INDEX('MEC - public transport &amp; cars'!I$106:I$209,MATCH($D73,'MEC - public transport &amp; cars'!$C$106:$C$209,0))/INDEX('STM inputs'!$F$20:$F$123,MATCH($C73,'STM inputs'!$C$20:$C$123,0))/I$67</f>
        <v>-0.23000618220648569</v>
      </c>
      <c r="J73" s="1"/>
      <c r="K73" s="1"/>
      <c r="L73" s="651">
        <f>INDEX('MEC - public transport &amp; cars'!L$106:L$209,MATCH($D73,'MEC - public transport &amp; cars'!$C$106:$C$209,0))/INDEX('STM inputs'!$F$20:$F$123,MATCH($C73,'STM inputs'!$C$20:$C$123,0))/L$67</f>
        <v>-0.38843302921873141</v>
      </c>
      <c r="M73" s="1"/>
      <c r="N73" s="651">
        <f>INDEX('MEC - public transport &amp; cars'!N$106:N$209,MATCH($D73,'MEC - public transport &amp; cars'!$C$106:$C$209,0))/INDEX('STM inputs'!$F$20:$F$123,MATCH($C73,'STM inputs'!$C$20:$C$123,0))/N$67</f>
        <v>-0.15714669314399543</v>
      </c>
      <c r="O73" s="651">
        <f>INDEX('MEC - public transport &amp; cars'!O$106:O$209,MATCH($D73,'MEC - public transport &amp; cars'!$C$106:$C$209,0))/INDEX('STM inputs'!$F$20:$F$123,MATCH($C73,'STM inputs'!$C$20:$C$123,0))/O$67</f>
        <v>-0.15275982440035718</v>
      </c>
      <c r="P73" s="1"/>
      <c r="Q73" s="1"/>
      <c r="R73" s="651">
        <f>INDEX('MEC - public transport &amp; cars'!R$106:R$209,MATCH($D73,'MEC - public transport &amp; cars'!$C$106:$C$209,0))/INDEX('STM inputs'!$F$20:$F$123,MATCH($C73,'STM inputs'!$C$20:$C$123,0))/R$67</f>
        <v>-0.32028825318321186</v>
      </c>
      <c r="S73" s="651">
        <f>INDEX('MEC - public transport &amp; cars'!S$106:S$209,MATCH($D73,'MEC - public transport &amp; cars'!$C$106:$C$209,0))/INDEX('STM inputs'!$F$20:$F$123,MATCH($C73,'STM inputs'!$C$20:$C$123,0))/S$67</f>
        <v>-0.75115369964467926</v>
      </c>
      <c r="T73" s="164"/>
      <c r="U73" s="291"/>
    </row>
    <row r="74" spans="3:21" x14ac:dyDescent="0.25">
      <c r="C74" s="292" t="str">
        <f>'MEC - public transport &amp; cars'!C133</f>
        <v>Rail passenger demand - IP 6 hours</v>
      </c>
      <c r="D74" s="648" t="str">
        <f>'STM inputs'!C47</f>
        <v>Rail passenger demand - IP 6 hours</v>
      </c>
      <c r="G74" s="651"/>
      <c r="H74" s="651">
        <f>INDEX('MEC - public transport &amp; cars'!H$106:H$209,MATCH($D74,'MEC - public transport &amp; cars'!$C$106:$C$209,0))/INDEX('STM inputs'!$F$20:$F$123,MATCH($C74,'STM inputs'!$C$20:$C$123,0))/H$67</f>
        <v>-0.3397242978409154</v>
      </c>
      <c r="I74" s="651">
        <f>INDEX('MEC - public transport &amp; cars'!I$106:I$209,MATCH($D74,'MEC - public transport &amp; cars'!$C$106:$C$209,0))/INDEX('STM inputs'!$F$20:$F$123,MATCH($C74,'STM inputs'!$C$20:$C$123,0))/I$67</f>
        <v>-0.33708400498677865</v>
      </c>
      <c r="J74" s="1"/>
      <c r="K74" s="1"/>
      <c r="L74" s="651">
        <f>INDEX('MEC - public transport &amp; cars'!L$106:L$209,MATCH($D74,'MEC - public transport &amp; cars'!$C$106:$C$209,0))/INDEX('STM inputs'!$F$20:$F$123,MATCH($C74,'STM inputs'!$C$20:$C$123,0))/L$67</f>
        <v>-0.68377629374349846</v>
      </c>
      <c r="M74" s="1"/>
      <c r="N74" s="651">
        <f>INDEX('MEC - public transport &amp; cars'!N$106:N$209,MATCH($D74,'MEC - public transport &amp; cars'!$C$106:$C$209,0))/INDEX('STM inputs'!$F$20:$F$123,MATCH($C74,'STM inputs'!$C$20:$C$123,0))/N$67</f>
        <v>-0.21291083353846887</v>
      </c>
      <c r="O74" s="651">
        <f>INDEX('MEC - public transport &amp; cars'!O$106:O$209,MATCH($D74,'MEC - public transport &amp; cars'!$C$106:$C$209,0))/INDEX('STM inputs'!$F$20:$F$123,MATCH($C74,'STM inputs'!$C$20:$C$123,0))/O$67</f>
        <v>-0.21106461372317023</v>
      </c>
      <c r="P74" s="1"/>
      <c r="Q74" s="1"/>
      <c r="R74" s="651">
        <f>INDEX('MEC - public transport &amp; cars'!R$106:R$209,MATCH($D74,'MEC - public transport &amp; cars'!$C$106:$C$209,0))/INDEX('STM inputs'!$F$20:$F$123,MATCH($C74,'STM inputs'!$C$20:$C$123,0))/R$67</f>
        <v>-0.48128766883977991</v>
      </c>
      <c r="S74" s="651">
        <f>INDEX('MEC - public transport &amp; cars'!S$106:S$209,MATCH($D74,'MEC - public transport &amp; cars'!$C$106:$C$209,0))/INDEX('STM inputs'!$F$20:$F$123,MATCH($C74,'STM inputs'!$C$20:$C$123,0))/S$67</f>
        <v>-2.806651155773308</v>
      </c>
      <c r="T74" s="164"/>
      <c r="U74" s="291"/>
    </row>
    <row r="75" spans="3:21" x14ac:dyDescent="0.25">
      <c r="C75" s="292" t="str">
        <f>'MEC - public transport &amp; cars'!C134</f>
        <v>Rail passenger demand - PM peak 3 hours</v>
      </c>
      <c r="D75" s="648" t="str">
        <f>'STM inputs'!C48</f>
        <v>Rail passenger demand - PM peak 3 hours</v>
      </c>
      <c r="G75" s="651"/>
      <c r="H75" s="651">
        <f>INDEX('MEC - public transport &amp; cars'!H$106:H$209,MATCH($D75,'MEC - public transport &amp; cars'!$C$106:$C$209,0))/INDEX('STM inputs'!$F$20:$F$123,MATCH($C75,'STM inputs'!$C$20:$C$123,0))/H$67</f>
        <v>-0.25815851178296212</v>
      </c>
      <c r="I75" s="651">
        <f>INDEX('MEC - public transport &amp; cars'!I$106:I$209,MATCH($D75,'MEC - public transport &amp; cars'!$C$106:$C$209,0))/INDEX('STM inputs'!$F$20:$F$123,MATCH($C75,'STM inputs'!$C$20:$C$123,0))/I$67</f>
        <v>-0.25340054607763257</v>
      </c>
      <c r="J75" s="1"/>
      <c r="K75" s="1"/>
      <c r="L75" s="651">
        <f>INDEX('MEC - public transport &amp; cars'!L$106:L$209,MATCH($D75,'MEC - public transport &amp; cars'!$C$106:$C$209,0))/INDEX('STM inputs'!$F$20:$F$123,MATCH($C75,'STM inputs'!$C$20:$C$123,0))/L$67</f>
        <v>-0.46091626602314922</v>
      </c>
      <c r="M75" s="1"/>
      <c r="N75" s="651">
        <f>INDEX('MEC - public transport &amp; cars'!N$106:N$209,MATCH($D75,'MEC - public transport &amp; cars'!$C$106:$C$209,0))/INDEX('STM inputs'!$F$20:$F$123,MATCH($C75,'STM inputs'!$C$20:$C$123,0))/N$67</f>
        <v>-0.16814588607004471</v>
      </c>
      <c r="O75" s="651">
        <f>INDEX('MEC - public transport &amp; cars'!O$106:O$209,MATCH($D75,'MEC - public transport &amp; cars'!$C$106:$C$209,0))/INDEX('STM inputs'!$F$20:$F$123,MATCH($C75,'STM inputs'!$C$20:$C$123,0))/O$67</f>
        <v>-0.16460073515234819</v>
      </c>
      <c r="P75" s="1"/>
      <c r="Q75" s="1"/>
      <c r="R75" s="651">
        <f>INDEX('MEC - public transport &amp; cars'!R$106:R$209,MATCH($D75,'MEC - public transport &amp; cars'!$C$106:$C$209,0))/INDEX('STM inputs'!$F$20:$F$123,MATCH($C75,'STM inputs'!$C$20:$C$123,0))/R$67</f>
        <v>-0.35655199865657439</v>
      </c>
      <c r="S75" s="651">
        <f>INDEX('MEC - public transport &amp; cars'!S$106:S$209,MATCH($D75,'MEC - public transport &amp; cars'!$C$106:$C$209,0))/INDEX('STM inputs'!$F$20:$F$123,MATCH($C75,'STM inputs'!$C$20:$C$123,0))/S$67</f>
        <v>-1.2970587686509147</v>
      </c>
      <c r="T75" s="164"/>
      <c r="U75" s="291"/>
    </row>
    <row r="76" spans="3:21" x14ac:dyDescent="0.25">
      <c r="C76" s="292" t="str">
        <f>'MEC - public transport &amp; cars'!C135</f>
        <v>Rail passenger demand - EV 13 hours</v>
      </c>
      <c r="D76" s="648" t="str">
        <f>'STM inputs'!C49</f>
        <v>Rail passenger demand - EV 13 hours</v>
      </c>
      <c r="G76" s="651"/>
      <c r="H76" s="651">
        <f>INDEX('MEC - public transport &amp; cars'!H$106:H$209,MATCH($D76,'MEC - public transport &amp; cars'!$C$106:$C$209,0))/INDEX('STM inputs'!$F$20:$F$123,MATCH($C76,'STM inputs'!$C$20:$C$123,0))/H$67</f>
        <v>-0.26917040987084945</v>
      </c>
      <c r="I76" s="651">
        <f>INDEX('MEC - public transport &amp; cars'!I$106:I$209,MATCH($D76,'MEC - public transport &amp; cars'!$C$106:$C$209,0))/INDEX('STM inputs'!$F$20:$F$123,MATCH($C76,'STM inputs'!$C$20:$C$123,0))/I$67</f>
        <v>-0.26306518379733052</v>
      </c>
      <c r="J76" s="1"/>
      <c r="K76" s="1"/>
      <c r="L76" s="651">
        <f>INDEX('MEC - public transport &amp; cars'!L$106:L$209,MATCH($D76,'MEC - public transport &amp; cars'!$C$106:$C$209,0))/INDEX('STM inputs'!$F$20:$F$123,MATCH($C76,'STM inputs'!$C$20:$C$123,0))/L$67</f>
        <v>-0.45092599264970812</v>
      </c>
      <c r="M76" s="1"/>
      <c r="N76" s="651">
        <f>INDEX('MEC - public transport &amp; cars'!N$106:N$209,MATCH($D76,'MEC - public transport &amp; cars'!$C$106:$C$209,0))/INDEX('STM inputs'!$F$20:$F$123,MATCH($C76,'STM inputs'!$C$20:$C$123,0))/N$67</f>
        <v>-0.17541015108933247</v>
      </c>
      <c r="O76" s="651">
        <f>INDEX('MEC - public transport &amp; cars'!O$106:O$209,MATCH($D76,'MEC - public transport &amp; cars'!$C$106:$C$209,0))/INDEX('STM inputs'!$F$20:$F$123,MATCH($C76,'STM inputs'!$C$20:$C$123,0))/O$67</f>
        <v>-0.17070612444252278</v>
      </c>
      <c r="P76" s="1"/>
      <c r="Q76" s="1"/>
      <c r="R76" s="651">
        <f>INDEX('MEC - public transport &amp; cars'!R$106:R$209,MATCH($D76,'MEC - public transport &amp; cars'!$C$106:$C$209,0))/INDEX('STM inputs'!$F$20:$F$123,MATCH($C76,'STM inputs'!$C$20:$C$123,0))/R$67</f>
        <v>-0.36471219363775387</v>
      </c>
      <c r="S76" s="651">
        <f>INDEX('MEC - public transport &amp; cars'!S$106:S$209,MATCH($D76,'MEC - public transport &amp; cars'!$C$106:$C$209,0))/INDEX('STM inputs'!$F$20:$F$123,MATCH($C76,'STM inputs'!$C$20:$C$123,0))/S$67</f>
        <v>-1.0294078397775162</v>
      </c>
      <c r="T76" s="164"/>
      <c r="U76" s="291"/>
    </row>
    <row r="77" spans="3:21" x14ac:dyDescent="0.25">
      <c r="C77" s="290" t="str">
        <f>'MEC - public transport &amp; cars'!C148</f>
        <v>Bus passenger demand - AM peak 2 hours</v>
      </c>
      <c r="D77" s="648" t="str">
        <f>'STM inputs'!C62</f>
        <v>Bus passenger demand - AM peak 2 hours</v>
      </c>
      <c r="G77" s="651">
        <f>INDEX('MEC - public transport &amp; cars'!G$106:G$209,MATCH($D77,'MEC - public transport &amp; cars'!$C$106:$C$209,0))/INDEX('STM inputs'!$F$20:$F$123,MATCH($C77,'STM inputs'!$C$20:$C$123,0))/G$67</f>
        <v>-0.41970103487926408</v>
      </c>
      <c r="H77" s="1"/>
      <c r="I77" s="1"/>
      <c r="J77" s="1"/>
      <c r="K77" s="1"/>
      <c r="L77" s="651">
        <f>INDEX('MEC - public transport &amp; cars'!L$106:L$209,MATCH($D77,'MEC - public transport &amp; cars'!$C$106:$C$209,0))/INDEX('STM inputs'!$F$20:$F$123,MATCH($C77,'STM inputs'!$C$20:$C$123,0))/L$67</f>
        <v>-0.2886329928175046</v>
      </c>
      <c r="M77" s="651">
        <f>INDEX('MEC - public transport &amp; cars'!M$106:M$209,MATCH($D77,'MEC - public transport &amp; cars'!$C$106:$C$209,0))/INDEX('STM inputs'!$F$20:$F$123,MATCH($C77,'STM inputs'!$C$20:$C$123,0))/M$67</f>
        <v>-0.34434871487215374</v>
      </c>
      <c r="N77" s="1"/>
      <c r="O77" s="1"/>
      <c r="P77" s="1"/>
      <c r="Q77" s="1"/>
      <c r="R77" s="651">
        <f>INDEX('MEC - public transport &amp; cars'!R$106:R$209,MATCH($D77,'MEC - public transport &amp; cars'!$C$106:$C$209,0))/INDEX('STM inputs'!$F$20:$F$123,MATCH($C77,'STM inputs'!$C$20:$C$123,0))/R$67</f>
        <v>-0.246415695946584</v>
      </c>
      <c r="S77" s="651">
        <f>INDEX('MEC - public transport &amp; cars'!S$106:S$209,MATCH($D77,'MEC - public transport &amp; cars'!$C$106:$C$209,0))/INDEX('STM inputs'!$F$20:$F$123,MATCH($C77,'STM inputs'!$C$20:$C$123,0))/S$67</f>
        <v>-0.30013165130734748</v>
      </c>
      <c r="T77" s="164"/>
      <c r="U77" s="291"/>
    </row>
    <row r="78" spans="3:21" x14ac:dyDescent="0.25">
      <c r="C78" s="290" t="str">
        <f>'MEC - public transport &amp; cars'!C149</f>
        <v>Bus passenger demand - IP 6 hours</v>
      </c>
      <c r="D78" s="648" t="str">
        <f>'STM inputs'!C63</f>
        <v>Bus passenger demand - IP 6 hours</v>
      </c>
      <c r="G78" s="651">
        <f>INDEX('MEC - public transport &amp; cars'!G$106:G$209,MATCH($D78,'MEC - public transport &amp; cars'!$C$106:$C$209,0))/INDEX('STM inputs'!$F$20:$F$123,MATCH($C78,'STM inputs'!$C$20:$C$123,0))/G$67</f>
        <v>-0.7362721913042658</v>
      </c>
      <c r="H78" s="1"/>
      <c r="I78" s="1"/>
      <c r="J78" s="1"/>
      <c r="K78" s="1"/>
      <c r="L78" s="651">
        <f>INDEX('MEC - public transport &amp; cars'!L$106:L$209,MATCH($D78,'MEC - public transport &amp; cars'!$C$106:$C$209,0))/INDEX('STM inputs'!$F$20:$F$123,MATCH($C78,'STM inputs'!$C$20:$C$123,0))/L$67</f>
        <v>-0.5444628536093763</v>
      </c>
      <c r="M78" s="651">
        <f>INDEX('MEC - public transport &amp; cars'!M$106:M$209,MATCH($D78,'MEC - public transport &amp; cars'!$C$106:$C$209,0))/INDEX('STM inputs'!$F$20:$F$123,MATCH($C78,'STM inputs'!$C$20:$C$123,0))/M$67</f>
        <v>-0.56594021269665939</v>
      </c>
      <c r="N78" s="1"/>
      <c r="O78" s="1"/>
      <c r="P78" s="1"/>
      <c r="Q78" s="1"/>
      <c r="R78" s="651">
        <f>INDEX('MEC - public transport &amp; cars'!R$106:R$209,MATCH($D78,'MEC - public transport &amp; cars'!$C$106:$C$209,0))/INDEX('STM inputs'!$F$20:$F$123,MATCH($C78,'STM inputs'!$C$20:$C$123,0))/R$67</f>
        <v>-0.4307744594077913</v>
      </c>
      <c r="S78" s="651">
        <f>INDEX('MEC - public transport &amp; cars'!S$106:S$209,MATCH($D78,'MEC - public transport &amp; cars'!$C$106:$C$209,0))/INDEX('STM inputs'!$F$20:$F$123,MATCH($C78,'STM inputs'!$C$20:$C$123,0))/S$67</f>
        <v>-0.4205864813792084</v>
      </c>
      <c r="T78" s="164"/>
      <c r="U78" s="291"/>
    </row>
    <row r="79" spans="3:21" x14ac:dyDescent="0.25">
      <c r="C79" s="290" t="str">
        <f>'MEC - public transport &amp; cars'!C150</f>
        <v>Bus passenger demand - PM peak 3 hours</v>
      </c>
      <c r="D79" s="648" t="str">
        <f>'STM inputs'!C64</f>
        <v>Bus passenger demand - PM peak 3 hours</v>
      </c>
      <c r="G79" s="651">
        <f>INDEX('MEC - public transport &amp; cars'!G$106:G$209,MATCH($D79,'MEC - public transport &amp; cars'!$C$106:$C$209,0))/INDEX('STM inputs'!$F$20:$F$123,MATCH($C79,'STM inputs'!$C$20:$C$123,0))/G$67</f>
        <v>-0.49582655826558258</v>
      </c>
      <c r="H79" s="1"/>
      <c r="I79" s="1"/>
      <c r="J79" s="1"/>
      <c r="K79" s="1"/>
      <c r="L79" s="651">
        <f>INDEX('MEC - public transport &amp; cars'!L$106:L$209,MATCH($D79,'MEC - public transport &amp; cars'!$C$106:$C$209,0))/INDEX('STM inputs'!$F$20:$F$123,MATCH($C79,'STM inputs'!$C$20:$C$123,0))/L$67</f>
        <v>-0.34628726287262868</v>
      </c>
      <c r="M79" s="651">
        <f>INDEX('MEC - public transport &amp; cars'!M$106:M$209,MATCH($D79,'MEC - public transport &amp; cars'!$C$106:$C$209,0))/INDEX('STM inputs'!$F$20:$F$123,MATCH($C79,'STM inputs'!$C$20:$C$123,0))/M$67</f>
        <v>-0.39642276422764228</v>
      </c>
      <c r="N79" s="1"/>
      <c r="O79" s="1"/>
      <c r="P79" s="1"/>
      <c r="Q79" s="1"/>
      <c r="R79" s="651">
        <f>INDEX('MEC - public transport &amp; cars'!R$106:R$209,MATCH($D79,'MEC - public transport &amp; cars'!$C$106:$C$209,0))/INDEX('STM inputs'!$F$20:$F$123,MATCH($C79,'STM inputs'!$C$20:$C$123,0))/R$67</f>
        <v>-0.28737127371273713</v>
      </c>
      <c r="S79" s="651">
        <f>INDEX('MEC - public transport &amp; cars'!S$106:S$209,MATCH($D79,'MEC - public transport &amp; cars'!$C$106:$C$209,0))/INDEX('STM inputs'!$F$20:$F$123,MATCH($C79,'STM inputs'!$C$20:$C$123,0))/S$67</f>
        <v>-0.29474254742547429</v>
      </c>
      <c r="T79" s="164"/>
      <c r="U79" s="291"/>
    </row>
    <row r="80" spans="3:21" x14ac:dyDescent="0.25">
      <c r="C80" s="290" t="str">
        <f>'MEC - public transport &amp; cars'!C151</f>
        <v>Bus passenger demand - EV 13 hours</v>
      </c>
      <c r="D80" s="648" t="str">
        <f>'STM inputs'!C65</f>
        <v>Bus passenger demand - EV 13 hours</v>
      </c>
      <c r="G80" s="651">
        <f>INDEX('MEC - public transport &amp; cars'!G$106:G$209,MATCH($D80,'MEC - public transport &amp; cars'!$C$106:$C$209,0))/INDEX('STM inputs'!$F$20:$F$123,MATCH($C80,'STM inputs'!$C$20:$C$123,0))/G$67</f>
        <v>-0.54635697390360227</v>
      </c>
      <c r="H80" s="1"/>
      <c r="I80" s="1"/>
      <c r="J80" s="1"/>
      <c r="K80" s="1"/>
      <c r="L80" s="651">
        <f>INDEX('MEC - public transport &amp; cars'!L$106:L$209,MATCH($D80,'MEC - public transport &amp; cars'!$C$106:$C$209,0))/INDEX('STM inputs'!$F$20:$F$123,MATCH($C80,'STM inputs'!$C$20:$C$123,0))/L$67</f>
        <v>-0.33871030284229708</v>
      </c>
      <c r="M80" s="651">
        <f>INDEX('MEC - public transport &amp; cars'!M$106:M$209,MATCH($D80,'MEC - public transport &amp; cars'!$C$106:$C$209,0))/INDEX('STM inputs'!$F$20:$F$123,MATCH($C80,'STM inputs'!$C$20:$C$123,0))/M$67</f>
        <v>-0.4492710070184962</v>
      </c>
      <c r="N80" s="1"/>
      <c r="O80" s="1"/>
      <c r="P80" s="1"/>
      <c r="Q80" s="1"/>
      <c r="R80" s="651">
        <f>INDEX('MEC - public transport &amp; cars'!R$106:R$209,MATCH($D80,'MEC - public transport &amp; cars'!$C$106:$C$209,0))/INDEX('STM inputs'!$F$20:$F$123,MATCH($C80,'STM inputs'!$C$20:$C$123,0))/R$67</f>
        <v>-0.29377835511264494</v>
      </c>
      <c r="S80" s="651">
        <f>INDEX('MEC - public transport &amp; cars'!S$106:S$209,MATCH($D80,'MEC - public transport &amp; cars'!$C$106:$C$209,0))/INDEX('STM inputs'!$F$20:$F$123,MATCH($C80,'STM inputs'!$C$20:$C$123,0))/S$67</f>
        <v>-0.28313105070637357</v>
      </c>
      <c r="T80" s="164"/>
      <c r="U80" s="291"/>
    </row>
    <row r="81" spans="3:21" x14ac:dyDescent="0.25">
      <c r="C81" s="290" t="str">
        <f>'MEC - public transport &amp; cars'!C164</f>
        <v>Ferry passenger demand - AM peak 2 hours</v>
      </c>
      <c r="D81" s="648" t="str">
        <f>'STM inputs'!C78</f>
        <v>Ferry passenger demand - AM peak 2 hours</v>
      </c>
      <c r="F81" s="164"/>
      <c r="G81" s="1"/>
      <c r="H81" s="651">
        <f>INDEX('MEC - public transport &amp; cars'!H$106:H$209,MATCH($D81,'MEC - public transport &amp; cars'!$C$106:$C$209,0))/INDEX('STM inputs'!$F$20:$F$123,MATCH($C81,'STM inputs'!$C$20:$C$123,0))/H$67</f>
        <v>-0.19963702359346641</v>
      </c>
      <c r="I81" s="1"/>
      <c r="J81" s="1"/>
      <c r="K81" s="651">
        <f>INDEX('MEC - public transport &amp; cars'!K$106:K$209,MATCH($D81,'MEC - public transport &amp; cars'!$C$106:$C$209,0))/INDEX('STM inputs'!$F$20:$F$123,MATCH($C81,'STM inputs'!$C$20:$C$123,0))/K$67</f>
        <v>-0.18602540834845735</v>
      </c>
      <c r="L81" s="651">
        <f>INDEX('MEC - public transport &amp; cars'!L$106:L$209,MATCH($D81,'MEC - public transport &amp; cars'!$C$106:$C$209,0))/INDEX('STM inputs'!$F$20:$F$123,MATCH($C81,'STM inputs'!$C$20:$C$123,0))/L$67</f>
        <v>-0.40381125226860254</v>
      </c>
      <c r="M81" s="1"/>
      <c r="N81" s="651">
        <f>INDEX('MEC - public transport &amp; cars'!N$106:N$209,MATCH($D81,'MEC - public transport &amp; cars'!$C$106:$C$209,0))/INDEX('STM inputs'!$F$20:$F$123,MATCH($C81,'STM inputs'!$C$20:$C$123,0))/N$67</f>
        <v>-4.5372050816696916E-2</v>
      </c>
      <c r="O81" s="1"/>
      <c r="P81" s="1"/>
      <c r="Q81" s="651">
        <f>INDEX('MEC - public transport &amp; cars'!Q$106:Q$209,MATCH($D81,'MEC - public transport &amp; cars'!$C$106:$C$209,0))/INDEX('STM inputs'!$F$20:$F$123,MATCH($C81,'STM inputs'!$C$20:$C$123,0))/Q$67</f>
        <v>-4.5372050816696916E-2</v>
      </c>
      <c r="R81" s="651">
        <f>INDEX('MEC - public transport &amp; cars'!R$106:R$209,MATCH($D81,'MEC - public transport &amp; cars'!$C$106:$C$209,0))/INDEX('STM inputs'!$F$20:$F$123,MATCH($C81,'STM inputs'!$C$20:$C$123,0))/R$67</f>
        <v>-0.33575317604355714</v>
      </c>
      <c r="S81" s="651">
        <f>INDEX('MEC - public transport &amp; cars'!S$106:S$209,MATCH($D81,'MEC - public transport &amp; cars'!$C$106:$C$209,0))/INDEX('STM inputs'!$F$20:$F$123,MATCH($C81,'STM inputs'!$C$20:$C$123,0))/S$67</f>
        <v>-0.63974591651542656</v>
      </c>
      <c r="T81" s="164"/>
      <c r="U81" s="291"/>
    </row>
    <row r="82" spans="3:21" x14ac:dyDescent="0.25">
      <c r="C82" s="290" t="str">
        <f>'MEC - public transport &amp; cars'!C165</f>
        <v>Ferry passenger demand - IP 6 hours</v>
      </c>
      <c r="D82" s="648" t="str">
        <f>'STM inputs'!C79</f>
        <v>Ferry passenger demand - IP 6 hours</v>
      </c>
      <c r="F82" s="164"/>
      <c r="G82" s="1"/>
      <c r="H82" s="651">
        <f>INDEX('MEC - public transport &amp; cars'!H$106:H$209,MATCH($D82,'MEC - public transport &amp; cars'!$C$106:$C$209,0))/INDEX('STM inputs'!$F$20:$F$123,MATCH($C82,'STM inputs'!$C$20:$C$123,0))/H$67</f>
        <v>-0.29032258064516131</v>
      </c>
      <c r="I82" s="1"/>
      <c r="J82" s="1"/>
      <c r="K82" s="651">
        <f>INDEX('MEC - public transport &amp; cars'!K$106:K$209,MATCH($D82,'MEC - public transport &amp; cars'!$C$106:$C$209,0))/INDEX('STM inputs'!$F$20:$F$123,MATCH($C82,'STM inputs'!$C$20:$C$123,0))/K$67</f>
        <v>-0.24516129032258063</v>
      </c>
      <c r="L82" s="651">
        <f>INDEX('MEC - public transport &amp; cars'!L$106:L$209,MATCH($D82,'MEC - public transport &amp; cars'!$C$106:$C$209,0))/INDEX('STM inputs'!$F$20:$F$123,MATCH($C82,'STM inputs'!$C$20:$C$123,0))/L$67</f>
        <v>-0.67741935483870974</v>
      </c>
      <c r="M82" s="1"/>
      <c r="N82" s="651">
        <f>INDEX('MEC - public transport &amp; cars'!N$106:N$209,MATCH($D82,'MEC - public transport &amp; cars'!$C$106:$C$209,0))/INDEX('STM inputs'!$F$20:$F$123,MATCH($C82,'STM inputs'!$C$20:$C$123,0))/N$67</f>
        <v>-9.0322580645161299E-2</v>
      </c>
      <c r="O82" s="1"/>
      <c r="P82" s="1"/>
      <c r="Q82" s="651">
        <f>INDEX('MEC - public transport &amp; cars'!Q$106:Q$209,MATCH($D82,'MEC - public transport &amp; cars'!$C$106:$C$209,0))/INDEX('STM inputs'!$F$20:$F$123,MATCH($C82,'STM inputs'!$C$20:$C$123,0))/Q$67</f>
        <v>-7.7419354838709667E-2</v>
      </c>
      <c r="R82" s="651">
        <f>INDEX('MEC - public transport &amp; cars'!R$106:R$209,MATCH($D82,'MEC - public transport &amp; cars'!$C$106:$C$209,0))/INDEX('STM inputs'!$F$20:$F$123,MATCH($C82,'STM inputs'!$C$20:$C$123,0))/R$67</f>
        <v>-0.49677419354838703</v>
      </c>
      <c r="S82" s="651">
        <f>INDEX('MEC - public transport &amp; cars'!S$106:S$209,MATCH($D82,'MEC - public transport &amp; cars'!$C$106:$C$209,0))/INDEX('STM inputs'!$F$20:$F$123,MATCH($C82,'STM inputs'!$C$20:$C$123,0))/S$67</f>
        <v>-1.9354838709677422</v>
      </c>
      <c r="T82" s="164"/>
      <c r="U82" s="291"/>
    </row>
    <row r="83" spans="3:21" x14ac:dyDescent="0.25">
      <c r="C83" s="290" t="str">
        <f>'MEC - public transport &amp; cars'!C166</f>
        <v>Ferry passenger demand - PM peak 3 hours</v>
      </c>
      <c r="D83" s="648" t="str">
        <f>'STM inputs'!C80</f>
        <v>Ferry passenger demand - PM peak 3 hours</v>
      </c>
      <c r="F83" s="164"/>
      <c r="G83" s="1"/>
      <c r="H83" s="651">
        <f>INDEX('MEC - public transport &amp; cars'!H$106:H$209,MATCH($D83,'MEC - public transport &amp; cars'!$C$106:$C$209,0))/INDEX('STM inputs'!$F$20:$F$123,MATCH($C83,'STM inputs'!$C$20:$C$123,0))/H$67</f>
        <v>-0.19340159271899887</v>
      </c>
      <c r="I83" s="1"/>
      <c r="J83" s="1"/>
      <c r="K83" s="651">
        <f>INDEX('MEC - public transport &amp; cars'!K$106:K$209,MATCH($D83,'MEC - public transport &amp; cars'!$C$106:$C$209,0))/INDEX('STM inputs'!$F$20:$F$123,MATCH($C83,'STM inputs'!$C$20:$C$123,0))/K$67</f>
        <v>-0.16496018202502843</v>
      </c>
      <c r="L83" s="651">
        <f>INDEX('MEC - public transport &amp; cars'!L$106:L$209,MATCH($D83,'MEC - public transport &amp; cars'!$C$106:$C$209,0))/INDEX('STM inputs'!$F$20:$F$123,MATCH($C83,'STM inputs'!$C$20:$C$123,0))/L$67</f>
        <v>-0.47781569965870307</v>
      </c>
      <c r="M83" s="1"/>
      <c r="N83" s="651">
        <f>INDEX('MEC - public transport &amp; cars'!N$106:N$209,MATCH($D83,'MEC - public transport &amp; cars'!$C$106:$C$209,0))/INDEX('STM inputs'!$F$20:$F$123,MATCH($C83,'STM inputs'!$C$20:$C$123,0))/N$67</f>
        <v>-5.6882821387940839E-2</v>
      </c>
      <c r="O83" s="1"/>
      <c r="P83" s="1"/>
      <c r="Q83" s="651">
        <f>INDEX('MEC - public transport &amp; cars'!Q$106:Q$209,MATCH($D83,'MEC - public transport &amp; cars'!$C$106:$C$209,0))/INDEX('STM inputs'!$F$20:$F$123,MATCH($C83,'STM inputs'!$C$20:$C$123,0))/Q$67</f>
        <v>-4.5506257110352666E-2</v>
      </c>
      <c r="R83" s="651">
        <f>INDEX('MEC - public transport &amp; cars'!R$106:R$209,MATCH($D83,'MEC - public transport &amp; cars'!$C$106:$C$209,0))/INDEX('STM inputs'!$F$20:$F$123,MATCH($C83,'STM inputs'!$C$20:$C$123,0))/R$67</f>
        <v>-0.38111490329920367</v>
      </c>
      <c r="S83" s="651">
        <f>INDEX('MEC - public transport &amp; cars'!S$106:S$209,MATCH($D83,'MEC - public transport &amp; cars'!$C$106:$C$209,0))/INDEX('STM inputs'!$F$20:$F$123,MATCH($C83,'STM inputs'!$C$20:$C$123,0))/S$67</f>
        <v>-1.1054228289723171</v>
      </c>
      <c r="T83" s="164"/>
      <c r="U83" s="291"/>
    </row>
    <row r="84" spans="3:21" x14ac:dyDescent="0.25">
      <c r="C84" s="290" t="str">
        <f>'MEC - public transport &amp; cars'!C167</f>
        <v>Ferry passenger demand - EV 13 hours</v>
      </c>
      <c r="D84" s="648" t="str">
        <f>'STM inputs'!C81</f>
        <v>Ferry passenger demand - EV 13 hours</v>
      </c>
      <c r="F84" s="164"/>
      <c r="G84" s="1"/>
      <c r="H84" s="651">
        <f>INDEX('MEC - public transport &amp; cars'!H$106:H$209,MATCH($D84,'MEC - public transport &amp; cars'!$C$106:$C$209,0))/INDEX('STM inputs'!$F$20:$F$123,MATCH($C84,'STM inputs'!$C$20:$C$123,0))/H$67</f>
        <v>-0.20893371757925069</v>
      </c>
      <c r="I84" s="1"/>
      <c r="J84" s="1"/>
      <c r="K84" s="651">
        <f>INDEX('MEC - public transport &amp; cars'!K$106:K$209,MATCH($D84,'MEC - public transport &amp; cars'!$C$106:$C$209,0))/INDEX('STM inputs'!$F$20:$F$123,MATCH($C84,'STM inputs'!$C$20:$C$123,0))/K$67</f>
        <v>-0.18731988472622477</v>
      </c>
      <c r="L84" s="651">
        <f>INDEX('MEC - public transport &amp; cars'!L$106:L$209,MATCH($D84,'MEC - public transport &amp; cars'!$C$106:$C$209,0))/INDEX('STM inputs'!$F$20:$F$123,MATCH($C84,'STM inputs'!$C$20:$C$123,0))/L$67</f>
        <v>-0.48991354466858789</v>
      </c>
      <c r="M84" s="1"/>
      <c r="N84" s="651">
        <f>INDEX('MEC - public transport &amp; cars'!N$106:N$209,MATCH($D84,'MEC - public transport &amp; cars'!$C$106:$C$209,0))/INDEX('STM inputs'!$F$20:$F$123,MATCH($C84,'STM inputs'!$C$20:$C$123,0))/N$67</f>
        <v>-5.7636887608069155E-2</v>
      </c>
      <c r="O84" s="1"/>
      <c r="P84" s="1"/>
      <c r="Q84" s="651">
        <f>INDEX('MEC - public transport &amp; cars'!Q$106:Q$209,MATCH($D84,'MEC - public transport &amp; cars'!$C$106:$C$209,0))/INDEX('STM inputs'!$F$20:$F$123,MATCH($C84,'STM inputs'!$C$20:$C$123,0))/Q$67</f>
        <v>-5.0432276657060515E-2</v>
      </c>
      <c r="R84" s="651">
        <f>INDEX('MEC - public transport &amp; cars'!R$106:R$209,MATCH($D84,'MEC - public transport &amp; cars'!$C$106:$C$209,0))/INDEX('STM inputs'!$F$20:$F$123,MATCH($C84,'STM inputs'!$C$20:$C$123,0))/R$67</f>
        <v>-0.41066282420749278</v>
      </c>
      <c r="S84" s="651">
        <f>INDEX('MEC - public transport &amp; cars'!S$106:S$209,MATCH($D84,'MEC - public transport &amp; cars'!$C$106:$C$209,0))/INDEX('STM inputs'!$F$20:$F$123,MATCH($C84,'STM inputs'!$C$20:$C$123,0))/S$67</f>
        <v>-0.93900096061479355</v>
      </c>
      <c r="T84" s="164"/>
      <c r="U84" s="291"/>
    </row>
    <row r="85" spans="3:21" x14ac:dyDescent="0.25">
      <c r="C85" s="290" t="str">
        <f>'MEC - public transport &amp; cars'!C180</f>
        <v>Light rail passenger demand - AM peak 2 hours</v>
      </c>
      <c r="D85" s="648" t="str">
        <f>'STM inputs'!C94</f>
        <v>Light rail passenger demand - AM peak 2 hours</v>
      </c>
      <c r="F85" s="164"/>
      <c r="G85" s="1"/>
      <c r="H85" s="651">
        <f>INDEX('MEC - public transport &amp; cars'!H$106:H$209,MATCH($D85,'MEC - public transport &amp; cars'!$C$106:$C$209,0))/INDEX('STM inputs'!$F$20:$F$123,MATCH($C85,'STM inputs'!$C$20:$C$123,0))/H$67</f>
        <v>-0.23593727521219968</v>
      </c>
      <c r="I85" s="1"/>
      <c r="J85" s="651">
        <f>INDEX('MEC - public transport &amp; cars'!J$106:J$209,MATCH($D85,'MEC - public transport &amp; cars'!$C$106:$C$209,0))/INDEX('STM inputs'!$F$20:$F$123,MATCH($C85,'STM inputs'!$C$20:$C$123,0))/J$67</f>
        <v>-0.18522514746079702</v>
      </c>
      <c r="K85" s="1"/>
      <c r="L85" s="651">
        <f>INDEX('MEC - public transport &amp; cars'!L$106:L$209,MATCH($D85,'MEC - public transport &amp; cars'!$C$106:$C$209,0))/INDEX('STM inputs'!$F$20:$F$123,MATCH($C85,'STM inputs'!$C$20:$C$123,0))/L$67</f>
        <v>-0.34958998705222266</v>
      </c>
      <c r="M85" s="1"/>
      <c r="N85" s="651">
        <f>INDEX('MEC - public transport &amp; cars'!N$106:N$209,MATCH($D85,'MEC - public transport &amp; cars'!$C$106:$C$209,0))/INDEX('STM inputs'!$F$20:$F$123,MATCH($C85,'STM inputs'!$C$20:$C$123,0))/N$67</f>
        <v>-0.16076823478636165</v>
      </c>
      <c r="O85" s="1"/>
      <c r="P85" s="651">
        <f>INDEX('MEC - public transport &amp; cars'!P$106:P$209,MATCH($D85,'MEC - public transport &amp; cars'!$C$106:$C$209,0))/INDEX('STM inputs'!$F$20:$F$123,MATCH($C85,'STM inputs'!$C$20:$C$123,0))/P$67</f>
        <v>-0.14853977844914401</v>
      </c>
      <c r="Q85" s="1"/>
      <c r="R85" s="651">
        <f>INDEX('MEC - public transport &amp; cars'!R$106:R$209,MATCH($D85,'MEC - public transport &amp; cars'!$C$106:$C$209,0))/INDEX('STM inputs'!$F$20:$F$123,MATCH($C85,'STM inputs'!$C$20:$C$123,0))/R$67</f>
        <v>-0.27585958854841025</v>
      </c>
      <c r="S85" s="651">
        <f>INDEX('MEC - public transport &amp; cars'!S$106:S$209,MATCH($D85,'MEC - public transport &amp; cars'!$C$106:$C$209,0))/INDEX('STM inputs'!$F$20:$F$123,MATCH($C85,'STM inputs'!$C$20:$C$123,0))/S$67</f>
        <v>-0.94350932719512781</v>
      </c>
      <c r="T85" s="164"/>
      <c r="U85" s="291"/>
    </row>
    <row r="86" spans="3:21" x14ac:dyDescent="0.25">
      <c r="C86" s="290" t="str">
        <f>'MEC - public transport &amp; cars'!C181</f>
        <v>Light rail passenger demand - IP 6 hours</v>
      </c>
      <c r="D86" s="648" t="str">
        <f>'STM inputs'!C95</f>
        <v>Light rail passenger demand - IP 6 hours</v>
      </c>
      <c r="F86" s="164"/>
      <c r="G86" s="1"/>
      <c r="H86" s="651">
        <f>INDEX('MEC - public transport &amp; cars'!H$106:H$209,MATCH($D86,'MEC - public transport &amp; cars'!$C$106:$C$209,0))/INDEX('STM inputs'!$F$20:$F$123,MATCH($C86,'STM inputs'!$C$20:$C$123,0))/H$67</f>
        <v>-0.32136524822695034</v>
      </c>
      <c r="I86" s="1"/>
      <c r="J86" s="651">
        <f>INDEX('MEC - public transport &amp; cars'!J$106:J$209,MATCH($D86,'MEC - public transport &amp; cars'!$C$106:$C$209,0))/INDEX('STM inputs'!$F$20:$F$123,MATCH($C86,'STM inputs'!$C$20:$C$123,0))/J$67</f>
        <v>-0.2473404255319149</v>
      </c>
      <c r="K86" s="1"/>
      <c r="L86" s="651">
        <f>INDEX('MEC - public transport &amp; cars'!L$106:L$209,MATCH($D86,'MEC - public transport &amp; cars'!$C$106:$C$209,0))/INDEX('STM inputs'!$F$20:$F$123,MATCH($C86,'STM inputs'!$C$20:$C$123,0))/L$67</f>
        <v>-0.60593971631205668</v>
      </c>
      <c r="M86" s="1"/>
      <c r="N86" s="651">
        <f>INDEX('MEC - public transport &amp; cars'!N$106:N$209,MATCH($D86,'MEC - public transport &amp; cars'!$C$106:$C$209,0))/INDEX('STM inputs'!$F$20:$F$123,MATCH($C86,'STM inputs'!$C$20:$C$123,0))/N$67</f>
        <v>-0.19813829787234041</v>
      </c>
      <c r="O86" s="1"/>
      <c r="P86" s="651">
        <f>INDEX('MEC - public transport &amp; cars'!P$106:P$209,MATCH($D86,'MEC - public transport &amp; cars'!$C$106:$C$209,0))/INDEX('STM inputs'!$F$20:$F$123,MATCH($C86,'STM inputs'!$C$20:$C$123,0))/P$67</f>
        <v>-0.17952127659574468</v>
      </c>
      <c r="Q86" s="1"/>
      <c r="R86" s="651">
        <f>INDEX('MEC - public transport &amp; cars'!R$106:R$209,MATCH($D86,'MEC - public transport &amp; cars'!$C$106:$C$209,0))/INDEX('STM inputs'!$F$20:$F$123,MATCH($C86,'STM inputs'!$C$20:$C$123,0))/R$67</f>
        <v>-0.41134751773049638</v>
      </c>
      <c r="S86" s="651">
        <f>INDEX('MEC - public transport &amp; cars'!S$106:S$209,MATCH($D86,'MEC - public transport &amp; cars'!$C$106:$C$209,0))/INDEX('STM inputs'!$F$20:$F$123,MATCH($C86,'STM inputs'!$C$20:$C$123,0))/S$67</f>
        <v>-4.519355791962175</v>
      </c>
      <c r="T86" s="164"/>
      <c r="U86" s="291"/>
    </row>
    <row r="87" spans="3:21" x14ac:dyDescent="0.25">
      <c r="C87" s="290" t="str">
        <f>'MEC - public transport &amp; cars'!C182</f>
        <v>Light rail passenger demand - PM peak 3 hours</v>
      </c>
      <c r="D87" s="648" t="str">
        <f>'STM inputs'!C96</f>
        <v>Light rail passenger demand - PM peak 3 hours</v>
      </c>
      <c r="F87" s="164"/>
      <c r="G87" s="1"/>
      <c r="H87" s="651">
        <f>INDEX('MEC - public transport &amp; cars'!H$106:H$209,MATCH($D87,'MEC - public transport &amp; cars'!$C$106:$C$209,0))/INDEX('STM inputs'!$F$20:$F$123,MATCH($C87,'STM inputs'!$C$20:$C$123,0))/H$67</f>
        <v>-0.31778199379096239</v>
      </c>
      <c r="I87" s="1"/>
      <c r="J87" s="651">
        <f>INDEX('MEC - public transport &amp; cars'!J$106:J$209,MATCH($D87,'MEC - public transport &amp; cars'!$C$106:$C$209,0))/INDEX('STM inputs'!$F$20:$F$123,MATCH($C87,'STM inputs'!$C$20:$C$123,0))/J$67</f>
        <v>-0.24016902380131078</v>
      </c>
      <c r="K87" s="1"/>
      <c r="L87" s="651">
        <f>INDEX('MEC - public transport &amp; cars'!L$106:L$209,MATCH($D87,'MEC - public transport &amp; cars'!$C$106:$C$209,0))/INDEX('STM inputs'!$F$20:$F$123,MATCH($C87,'STM inputs'!$C$20:$C$123,0))/L$67</f>
        <v>-0.46869610210417384</v>
      </c>
      <c r="M87" s="1"/>
      <c r="N87" s="651">
        <f>INDEX('MEC - public transport &amp; cars'!N$106:N$209,MATCH($D87,'MEC - public transport &amp; cars'!$C$106:$C$209,0))/INDEX('STM inputs'!$F$20:$F$123,MATCH($C87,'STM inputs'!$C$20:$C$123,0))/N$67</f>
        <v>-0.20696791997240427</v>
      </c>
      <c r="O87" s="1"/>
      <c r="P87" s="651">
        <f>INDEX('MEC - public transport &amp; cars'!P$106:P$209,MATCH($D87,'MEC - public transport &amp; cars'!$C$106:$C$209,0))/INDEX('STM inputs'!$F$20:$F$123,MATCH($C87,'STM inputs'!$C$20:$C$123,0))/P$67</f>
        <v>-0.18497757847533633</v>
      </c>
      <c r="Q87" s="1"/>
      <c r="R87" s="651">
        <f>INDEX('MEC - public transport &amp; cars'!R$106:R$209,MATCH($D87,'MEC - public transport &amp; cars'!$C$106:$C$209,0))/INDEX('STM inputs'!$F$20:$F$123,MATCH($C87,'STM inputs'!$C$20:$C$123,0))/R$67</f>
        <v>-0.35443256295274234</v>
      </c>
      <c r="S87" s="651">
        <f>INDEX('MEC - public transport &amp; cars'!S$106:S$209,MATCH($D87,'MEC - public transport &amp; cars'!$C$106:$C$209,0))/INDEX('STM inputs'!$F$20:$F$123,MATCH($C87,'STM inputs'!$C$20:$C$123,0))/S$67</f>
        <v>-2.1720133379326207</v>
      </c>
      <c r="T87" s="164"/>
      <c r="U87" s="291"/>
    </row>
    <row r="88" spans="3:21" x14ac:dyDescent="0.25">
      <c r="C88" s="290" t="str">
        <f>'MEC - public transport &amp; cars'!C183</f>
        <v>Light rail passenger demand - EV 13 hours</v>
      </c>
      <c r="D88" s="648" t="str">
        <f>'STM inputs'!C97</f>
        <v>Light rail passenger demand - EV 13 hours</v>
      </c>
      <c r="F88" s="164"/>
      <c r="G88" s="1"/>
      <c r="H88" s="651">
        <f>INDEX('MEC - public transport &amp; cars'!H$106:H$209,MATCH($D88,'MEC - public transport &amp; cars'!$C$106:$C$209,0))/INDEX('STM inputs'!$F$20:$F$123,MATCH($C88,'STM inputs'!$C$20:$C$123,0))/H$67</f>
        <v>-0.32464104729729726</v>
      </c>
      <c r="I88" s="1"/>
      <c r="J88" s="651">
        <f>INDEX('MEC - public transport &amp; cars'!J$106:J$209,MATCH($D88,'MEC - public transport &amp; cars'!$C$106:$C$209,0))/INDEX('STM inputs'!$F$20:$F$123,MATCH($C88,'STM inputs'!$C$20:$C$123,0))/J$67</f>
        <v>-0.25232263513513514</v>
      </c>
      <c r="K88" s="1"/>
      <c r="L88" s="651">
        <f>INDEX('MEC - public transport &amp; cars'!L$106:L$209,MATCH($D88,'MEC - public transport &amp; cars'!$C$106:$C$209,0))/INDEX('STM inputs'!$F$20:$F$123,MATCH($C88,'STM inputs'!$C$20:$C$123,0))/L$67</f>
        <v>-0.43707770270270269</v>
      </c>
      <c r="M88" s="1"/>
      <c r="N88" s="651">
        <f>INDEX('MEC - public transport &amp; cars'!N$106:N$209,MATCH($D88,'MEC - public transport &amp; cars'!$C$106:$C$209,0))/INDEX('STM inputs'!$F$20:$F$123,MATCH($C88,'STM inputs'!$C$20:$C$123,0))/N$67</f>
        <v>-0.2153716216216216</v>
      </c>
      <c r="O88" s="1"/>
      <c r="P88" s="651">
        <f>INDEX('MEC - public transport &amp; cars'!P$106:P$209,MATCH($D88,'MEC - public transport &amp; cars'!$C$106:$C$209,0))/INDEX('STM inputs'!$F$20:$F$123,MATCH($C88,'STM inputs'!$C$20:$C$123,0))/P$67</f>
        <v>-0.19742398648648649</v>
      </c>
      <c r="Q88" s="1"/>
      <c r="R88" s="651">
        <f>INDEX('MEC - public transport &amp; cars'!R$106:R$209,MATCH($D88,'MEC - public transport &amp; cars'!$C$106:$C$209,0))/INDEX('STM inputs'!$F$20:$F$123,MATCH($C88,'STM inputs'!$C$20:$C$123,0))/R$67</f>
        <v>-0.34575591216216212</v>
      </c>
      <c r="S88" s="651">
        <f>INDEX('MEC - public transport &amp; cars'!S$106:S$209,MATCH($D88,'MEC - public transport &amp; cars'!$C$106:$C$209,0))/INDEX('STM inputs'!$F$20:$F$123,MATCH($C88,'STM inputs'!$C$20:$C$123,0))/S$67</f>
        <v>-1.5464878941441442</v>
      </c>
      <c r="T88" s="164"/>
      <c r="U88" s="291"/>
    </row>
    <row r="89" spans="3:21" x14ac:dyDescent="0.25">
      <c r="C89" s="191"/>
      <c r="U89" s="195"/>
    </row>
    <row r="90" spans="3:21" x14ac:dyDescent="0.25">
      <c r="C90" s="191"/>
      <c r="U90" s="195"/>
    </row>
    <row r="91" spans="3:21" x14ac:dyDescent="0.25">
      <c r="C91" s="220" t="s">
        <v>1124</v>
      </c>
      <c r="U91" s="195"/>
    </row>
    <row r="92" spans="3:21" x14ac:dyDescent="0.25">
      <c r="C92" s="191"/>
      <c r="U92" s="195"/>
    </row>
    <row r="93" spans="3:21" x14ac:dyDescent="0.25">
      <c r="C93" s="191"/>
      <c r="E93" s="192" t="s">
        <v>183</v>
      </c>
      <c r="F93" s="192" t="s">
        <v>184</v>
      </c>
      <c r="G93" s="192" t="s">
        <v>185</v>
      </c>
      <c r="H93" s="192" t="s">
        <v>186</v>
      </c>
      <c r="U93" s="195"/>
    </row>
    <row r="94" spans="3:21" x14ac:dyDescent="0.25">
      <c r="C94" s="220" t="s">
        <v>197</v>
      </c>
      <c r="E94" s="649">
        <f>SUM(L73,L75,R73,R75)/4</f>
        <v>-0.38154738677041672</v>
      </c>
      <c r="F94" s="649">
        <f>SUM(L77,L79,R77,R79)/4</f>
        <v>-0.29217680633736359</v>
      </c>
      <c r="G94" s="649">
        <f>SUM(L81,L83,R81,R83)/4</f>
        <v>-0.39962375781751658</v>
      </c>
      <c r="H94" s="649">
        <f>SUM(L85,L87,R85,R87)/4</f>
        <v>-0.36214456016438729</v>
      </c>
      <c r="U94" s="195"/>
    </row>
    <row r="95" spans="3:21" x14ac:dyDescent="0.25">
      <c r="C95" s="220" t="s">
        <v>198</v>
      </c>
      <c r="E95" s="649">
        <f>SUM(L74,L76,R74,R76)/4</f>
        <v>-0.49517553721768504</v>
      </c>
      <c r="F95" s="649">
        <f>SUM(L78,L80,R78,R80)/4</f>
        <v>-0.40193149274302742</v>
      </c>
      <c r="G95" s="649">
        <f>SUM(L82,L84,R82,R84)/4</f>
        <v>-0.51869247931579432</v>
      </c>
      <c r="H95" s="649">
        <f>SUM(L86,L88,R86,R88)/4</f>
        <v>-0.45003021222685446</v>
      </c>
      <c r="U95" s="195"/>
    </row>
    <row r="96" spans="3:21" x14ac:dyDescent="0.25">
      <c r="C96" s="196"/>
      <c r="D96" s="197"/>
      <c r="E96" s="197"/>
      <c r="F96" s="197"/>
      <c r="G96" s="197"/>
      <c r="H96" s="197"/>
      <c r="I96" s="197"/>
      <c r="J96" s="197"/>
      <c r="K96" s="197"/>
      <c r="L96" s="197"/>
      <c r="M96" s="197"/>
      <c r="N96" s="197"/>
      <c r="O96" s="197"/>
      <c r="P96" s="197"/>
      <c r="Q96" s="197"/>
      <c r="R96" s="197"/>
      <c r="S96" s="197"/>
      <c r="T96" s="197"/>
      <c r="U96" s="198"/>
    </row>
    <row r="99" spans="3:21" ht="15.5" x14ac:dyDescent="0.35">
      <c r="C99" s="43" t="str">
        <f>C11</f>
        <v>Table 4 - Diff2base</v>
      </c>
    </row>
    <row r="100" spans="3:21" x14ac:dyDescent="0.25">
      <c r="C100" s="188"/>
      <c r="D100" s="189"/>
      <c r="E100" s="189"/>
      <c r="F100" s="189"/>
      <c r="G100" s="189"/>
      <c r="H100" s="189"/>
      <c r="I100" s="189"/>
      <c r="J100" s="189"/>
      <c r="K100" s="189"/>
      <c r="L100" s="189"/>
      <c r="M100" s="189"/>
      <c r="N100" s="189"/>
      <c r="O100" s="189"/>
      <c r="P100" s="189"/>
      <c r="Q100" s="189"/>
      <c r="R100" s="189"/>
      <c r="S100" s="189"/>
      <c r="T100" s="189"/>
      <c r="U100" s="190"/>
    </row>
    <row r="101" spans="3:21" x14ac:dyDescent="0.25">
      <c r="C101" s="220" t="str">
        <f>'STM inputs'!C15</f>
        <v>Mode</v>
      </c>
      <c r="D101" s="42"/>
      <c r="E101" s="288"/>
      <c r="F101" s="288" t="s">
        <v>301</v>
      </c>
      <c r="G101" s="288" t="s">
        <v>302</v>
      </c>
      <c r="H101" s="288" t="s">
        <v>303</v>
      </c>
      <c r="I101" s="288" t="s">
        <v>304</v>
      </c>
      <c r="J101" s="288" t="s">
        <v>305</v>
      </c>
      <c r="K101" s="288" t="s">
        <v>306</v>
      </c>
      <c r="L101" s="288" t="s">
        <v>307</v>
      </c>
      <c r="M101" s="288" t="s">
        <v>302</v>
      </c>
      <c r="N101" s="288" t="s">
        <v>303</v>
      </c>
      <c r="O101" s="288" t="s">
        <v>304</v>
      </c>
      <c r="P101" s="288" t="s">
        <v>305</v>
      </c>
      <c r="Q101" s="288" t="s">
        <v>306</v>
      </c>
      <c r="R101" s="288" t="s">
        <v>307</v>
      </c>
      <c r="S101" s="288" t="s">
        <v>307</v>
      </c>
      <c r="T101" s="288" t="s">
        <v>307</v>
      </c>
      <c r="U101" s="289" t="s">
        <v>307</v>
      </c>
    </row>
    <row r="102" spans="3:21" x14ac:dyDescent="0.25">
      <c r="C102" s="220" t="str">
        <f>'STM inputs'!C16</f>
        <v>Fare change</v>
      </c>
      <c r="D102" s="42"/>
      <c r="E102" s="288"/>
      <c r="F102" s="288" t="s">
        <v>301</v>
      </c>
      <c r="G102" s="288" t="s">
        <v>309</v>
      </c>
      <c r="H102" s="288" t="s">
        <v>309</v>
      </c>
      <c r="I102" s="288" t="s">
        <v>309</v>
      </c>
      <c r="J102" s="288" t="s">
        <v>309</v>
      </c>
      <c r="K102" s="288" t="s">
        <v>309</v>
      </c>
      <c r="L102" s="288" t="s">
        <v>309</v>
      </c>
      <c r="M102" s="288" t="s">
        <v>310</v>
      </c>
      <c r="N102" s="288" t="s">
        <v>310</v>
      </c>
      <c r="O102" s="288" t="s">
        <v>310</v>
      </c>
      <c r="P102" s="288" t="s">
        <v>310</v>
      </c>
      <c r="Q102" s="288" t="s">
        <v>310</v>
      </c>
      <c r="R102" s="288" t="s">
        <v>310</v>
      </c>
      <c r="S102" s="288">
        <v>-0.6</v>
      </c>
      <c r="T102" s="288" t="s">
        <v>311</v>
      </c>
      <c r="U102" s="289" t="s">
        <v>312</v>
      </c>
    </row>
    <row r="103" spans="3:21" x14ac:dyDescent="0.25">
      <c r="C103" s="220" t="str">
        <f>'STM inputs'!C17</f>
        <v>Year</v>
      </c>
      <c r="D103" s="42"/>
      <c r="E103" s="288"/>
      <c r="F103" s="288">
        <v>2021</v>
      </c>
      <c r="G103" s="288">
        <v>2021</v>
      </c>
      <c r="H103" s="288">
        <v>2021</v>
      </c>
      <c r="I103" s="288">
        <v>2021</v>
      </c>
      <c r="J103" s="288">
        <v>2021</v>
      </c>
      <c r="K103" s="288">
        <v>2021</v>
      </c>
      <c r="L103" s="288">
        <v>2021</v>
      </c>
      <c r="M103" s="288">
        <v>2021</v>
      </c>
      <c r="N103" s="288">
        <v>2021</v>
      </c>
      <c r="O103" s="288">
        <v>2021</v>
      </c>
      <c r="P103" s="288">
        <v>2021</v>
      </c>
      <c r="Q103" s="288">
        <v>2021</v>
      </c>
      <c r="R103" s="288">
        <v>2021</v>
      </c>
      <c r="S103" s="288">
        <v>2021</v>
      </c>
      <c r="T103" s="288">
        <v>2021</v>
      </c>
      <c r="U103" s="289">
        <v>2021</v>
      </c>
    </row>
    <row r="104" spans="3:21" x14ac:dyDescent="0.25">
      <c r="C104" s="220" t="str">
        <f>'STM inputs'!C18</f>
        <v>Run ID</v>
      </c>
      <c r="D104" s="42"/>
      <c r="E104" s="288"/>
      <c r="F104" s="288" t="s">
        <v>315</v>
      </c>
      <c r="G104" s="288" t="s">
        <v>316</v>
      </c>
      <c r="H104" s="288" t="s">
        <v>317</v>
      </c>
      <c r="I104" s="288" t="s">
        <v>318</v>
      </c>
      <c r="J104" s="288" t="s">
        <v>319</v>
      </c>
      <c r="K104" s="288" t="s">
        <v>320</v>
      </c>
      <c r="L104" s="288" t="s">
        <v>321</v>
      </c>
      <c r="M104" s="288" t="s">
        <v>322</v>
      </c>
      <c r="N104" s="288" t="s">
        <v>323</v>
      </c>
      <c r="O104" s="288" t="s">
        <v>324</v>
      </c>
      <c r="P104" s="288" t="s">
        <v>325</v>
      </c>
      <c r="Q104" s="288" t="s">
        <v>326</v>
      </c>
      <c r="R104" s="288" t="s">
        <v>327</v>
      </c>
      <c r="S104" s="288" t="s">
        <v>328</v>
      </c>
      <c r="T104" s="288" t="s">
        <v>329</v>
      </c>
      <c r="U104" s="289" t="s">
        <v>330</v>
      </c>
    </row>
    <row r="105" spans="3:21" x14ac:dyDescent="0.25">
      <c r="C105" s="220" t="str">
        <f>'STM inputs'!C19</f>
        <v>Car trips</v>
      </c>
      <c r="D105" s="42"/>
      <c r="E105" s="288"/>
      <c r="F105" s="288"/>
      <c r="G105" s="288"/>
      <c r="H105" s="288"/>
      <c r="I105" s="288"/>
      <c r="J105" s="288"/>
      <c r="K105" s="288"/>
      <c r="L105" s="288"/>
      <c r="M105" s="288"/>
      <c r="N105" s="288"/>
      <c r="O105" s="288"/>
      <c r="P105" s="288"/>
      <c r="Q105" s="288"/>
      <c r="R105" s="288"/>
      <c r="S105" s="288"/>
      <c r="T105" s="288"/>
      <c r="U105" s="289"/>
    </row>
    <row r="106" spans="3:21" x14ac:dyDescent="0.25">
      <c r="C106" s="191" t="str">
        <f>'STM inputs'!C20</f>
        <v>Car driver demand - AM peak 2 hours</v>
      </c>
      <c r="D106" t="str">
        <f>'STM inputs'!D20</f>
        <v>C1</v>
      </c>
      <c r="E106" t="str">
        <f>'STM inputs'!E20</f>
        <v>Trips/AM</v>
      </c>
      <c r="F106" s="194">
        <f>'STM inputs'!F20-'STM inputs'!$F20</f>
        <v>0</v>
      </c>
      <c r="G106" s="194">
        <f>'STM inputs'!G20-'STM inputs'!$F20</f>
        <v>-7756</v>
      </c>
      <c r="H106" s="194">
        <f>'STM inputs'!H20-'STM inputs'!$F20</f>
        <v>-6600</v>
      </c>
      <c r="I106" s="194">
        <f>'STM inputs'!I20-'STM inputs'!$F20</f>
        <v>-6257</v>
      </c>
      <c r="J106" s="194">
        <f>'STM inputs'!J20-'STM inputs'!$F20</f>
        <v>-290</v>
      </c>
      <c r="K106" s="194">
        <f>'STM inputs'!K20-'STM inputs'!$F20</f>
        <v>-25</v>
      </c>
      <c r="L106" s="194">
        <f>'STM inputs'!L20-'STM inputs'!$F20</f>
        <v>-17745</v>
      </c>
      <c r="M106" s="194">
        <f>'STM inputs'!M20-'STM inputs'!$F20</f>
        <v>5946</v>
      </c>
      <c r="N106" s="194">
        <f>'STM inputs'!N20-'STM inputs'!$F20</f>
        <v>4178</v>
      </c>
      <c r="O106" s="194">
        <f>'STM inputs'!O20-'STM inputs'!$F20</f>
        <v>3960</v>
      </c>
      <c r="P106" s="194">
        <f>'STM inputs'!P20-'STM inputs'!$F20</f>
        <v>232</v>
      </c>
      <c r="Q106" s="194">
        <f>'STM inputs'!Q20-'STM inputs'!$F20</f>
        <v>23</v>
      </c>
      <c r="R106" s="194">
        <f>'STM inputs'!R20-'STM inputs'!$F20</f>
        <v>14989</v>
      </c>
      <c r="S106" s="194">
        <f>'STM inputs'!S20-'STM inputs'!$F20</f>
        <v>-87114</v>
      </c>
      <c r="T106" s="194">
        <f>'STM inputs'!T20-'STM inputs'!$F20</f>
        <v>7683</v>
      </c>
      <c r="U106" s="235">
        <f>'STM inputs'!U20-'STM inputs'!$F20</f>
        <v>-7078</v>
      </c>
    </row>
    <row r="107" spans="3:21" x14ac:dyDescent="0.25">
      <c r="C107" s="191" t="str">
        <f>'STM inputs'!C21</f>
        <v>Car driver demand - IP 6 hours</v>
      </c>
      <c r="D107" t="str">
        <f>'STM inputs'!D21</f>
        <v>C2</v>
      </c>
      <c r="E107" t="str">
        <f>'STM inputs'!E21</f>
        <v>Trips/IP</v>
      </c>
      <c r="F107" s="194">
        <f>'STM inputs'!F21-'STM inputs'!$F21</f>
        <v>0</v>
      </c>
      <c r="G107" s="194">
        <f>'STM inputs'!G21-'STM inputs'!$F21</f>
        <v>-14042</v>
      </c>
      <c r="H107" s="194">
        <f>'STM inputs'!H21-'STM inputs'!$F21</f>
        <v>-9104</v>
      </c>
      <c r="I107" s="194">
        <f>'STM inputs'!I21-'STM inputs'!$F21</f>
        <v>-8613</v>
      </c>
      <c r="J107" s="194">
        <f>'STM inputs'!J21-'STM inputs'!$F21</f>
        <v>-416</v>
      </c>
      <c r="K107" s="194">
        <f>'STM inputs'!K21-'STM inputs'!$F21</f>
        <v>-33</v>
      </c>
      <c r="L107" s="194">
        <f>'STM inputs'!L21-'STM inputs'!$F21</f>
        <v>-27633</v>
      </c>
      <c r="M107" s="194">
        <f>'STM inputs'!M21-'STM inputs'!$F21</f>
        <v>10322</v>
      </c>
      <c r="N107" s="194">
        <f>'STM inputs'!N21-'STM inputs'!$F21</f>
        <v>5681</v>
      </c>
      <c r="O107" s="194">
        <f>'STM inputs'!O21-'STM inputs'!$F21</f>
        <v>5373</v>
      </c>
      <c r="P107" s="194">
        <f>'STM inputs'!P21-'STM inputs'!$F21</f>
        <v>339</v>
      </c>
      <c r="Q107" s="194">
        <f>'STM inputs'!Q21-'STM inputs'!$F21</f>
        <v>22</v>
      </c>
      <c r="R107" s="194">
        <f>'STM inputs'!R21-'STM inputs'!$F21</f>
        <v>22114</v>
      </c>
      <c r="S107" s="194">
        <f>'STM inputs'!S21-'STM inputs'!$F21</f>
        <v>-182421</v>
      </c>
      <c r="T107" s="194">
        <f>'STM inputs'!T21-'STM inputs'!$F21</f>
        <v>11982</v>
      </c>
      <c r="U107" s="235">
        <f>'STM inputs'!U21-'STM inputs'!$F21</f>
        <v>-10759</v>
      </c>
    </row>
    <row r="108" spans="3:21" x14ac:dyDescent="0.25">
      <c r="C108" s="191" t="str">
        <f>'STM inputs'!C22</f>
        <v>Car driver demand - PM peak 3 hours</v>
      </c>
      <c r="D108" t="str">
        <f>'STM inputs'!D22</f>
        <v>C3</v>
      </c>
      <c r="E108" t="str">
        <f>'STM inputs'!E22</f>
        <v>Trips/PM</v>
      </c>
      <c r="F108" s="194">
        <f>'STM inputs'!F22-'STM inputs'!$F22</f>
        <v>0</v>
      </c>
      <c r="G108" s="194">
        <f>'STM inputs'!G22-'STM inputs'!$F22</f>
        <v>-11897</v>
      </c>
      <c r="H108" s="194">
        <f>'STM inputs'!H22-'STM inputs'!$F22</f>
        <v>-9015</v>
      </c>
      <c r="I108" s="194">
        <f>'STM inputs'!I22-'STM inputs'!$F22</f>
        <v>-8548</v>
      </c>
      <c r="J108" s="194">
        <f>'STM inputs'!J22-'STM inputs'!$F22</f>
        <v>-403</v>
      </c>
      <c r="K108" s="194">
        <f>'STM inputs'!K22-'STM inputs'!$F22</f>
        <v>-24</v>
      </c>
      <c r="L108" s="194">
        <f>'STM inputs'!L22-'STM inputs'!$F22</f>
        <v>-25596</v>
      </c>
      <c r="M108" s="194">
        <f>'STM inputs'!M22-'STM inputs'!$F22</f>
        <v>8959</v>
      </c>
      <c r="N108" s="194">
        <f>'STM inputs'!N22-'STM inputs'!$F22</f>
        <v>5664</v>
      </c>
      <c r="O108" s="194">
        <f>'STM inputs'!O22-'STM inputs'!$F22</f>
        <v>5363</v>
      </c>
      <c r="P108" s="194">
        <f>'STM inputs'!P22-'STM inputs'!$F22</f>
        <v>309</v>
      </c>
      <c r="Q108" s="194">
        <f>'STM inputs'!Q22-'STM inputs'!$F22</f>
        <v>16</v>
      </c>
      <c r="R108" s="194">
        <f>'STM inputs'!R22-'STM inputs'!$F22</f>
        <v>21201</v>
      </c>
      <c r="S108" s="194">
        <f>'STM inputs'!S22-'STM inputs'!$F22</f>
        <v>-141845</v>
      </c>
      <c r="T108" s="194">
        <f>'STM inputs'!T22-'STM inputs'!$F22</f>
        <v>11040</v>
      </c>
      <c r="U108" s="235">
        <f>'STM inputs'!U22-'STM inputs'!$F22</f>
        <v>-10093</v>
      </c>
    </row>
    <row r="109" spans="3:21" x14ac:dyDescent="0.25">
      <c r="C109" s="191" t="str">
        <f>'STM inputs'!C23</f>
        <v>Car driver demand - EV 13 hours</v>
      </c>
      <c r="D109" t="str">
        <f>'STM inputs'!D23</f>
        <v>C4</v>
      </c>
      <c r="E109" t="str">
        <f>'STM inputs'!E23</f>
        <v>Trips/EV</v>
      </c>
      <c r="F109" s="194">
        <f>'STM inputs'!F23-'STM inputs'!$F23</f>
        <v>0</v>
      </c>
      <c r="G109" s="194">
        <f>'STM inputs'!G23-'STM inputs'!$F23</f>
        <v>-12841</v>
      </c>
      <c r="H109" s="194">
        <f>'STM inputs'!H23-'STM inputs'!$F23</f>
        <v>-10054</v>
      </c>
      <c r="I109" s="194">
        <f>'STM inputs'!I23-'STM inputs'!$F23</f>
        <v>-9507</v>
      </c>
      <c r="J109" s="194">
        <f>'STM inputs'!J23-'STM inputs'!$F23</f>
        <v>-498</v>
      </c>
      <c r="K109" s="194">
        <f>'STM inputs'!K23-'STM inputs'!$F23</f>
        <v>-27</v>
      </c>
      <c r="L109" s="194">
        <f>'STM inputs'!L23-'STM inputs'!$F23</f>
        <v>-28258</v>
      </c>
      <c r="M109" s="194">
        <f>'STM inputs'!M23-'STM inputs'!$F23</f>
        <v>9637</v>
      </c>
      <c r="N109" s="194">
        <f>'STM inputs'!N23-'STM inputs'!$F23</f>
        <v>6303</v>
      </c>
      <c r="O109" s="194">
        <f>'STM inputs'!O23-'STM inputs'!$F23</f>
        <v>5950</v>
      </c>
      <c r="P109" s="194">
        <f>'STM inputs'!P23-'STM inputs'!$F23</f>
        <v>394</v>
      </c>
      <c r="Q109" s="194">
        <f>'STM inputs'!Q23-'STM inputs'!$F23</f>
        <v>47</v>
      </c>
      <c r="R109" s="194">
        <f>'STM inputs'!R23-'STM inputs'!$F23</f>
        <v>23433</v>
      </c>
      <c r="S109" s="194">
        <f>'STM inputs'!S23-'STM inputs'!$F23</f>
        <v>-151082</v>
      </c>
      <c r="T109" s="194">
        <f>'STM inputs'!T23-'STM inputs'!$F23</f>
        <v>11926</v>
      </c>
      <c r="U109" s="235">
        <f>'STM inputs'!U23-'STM inputs'!$F23</f>
        <v>-10916</v>
      </c>
    </row>
    <row r="110" spans="3:21" x14ac:dyDescent="0.25">
      <c r="C110" s="191" t="str">
        <f>'STM inputs'!C24</f>
        <v>Car vehicle kilometres travelled</v>
      </c>
      <c r="F110" s="194"/>
      <c r="G110" s="194"/>
      <c r="H110" s="194"/>
      <c r="I110" s="194"/>
      <c r="J110" s="194"/>
      <c r="K110" s="194"/>
      <c r="L110" s="194"/>
      <c r="M110" s="194"/>
      <c r="N110" s="194"/>
      <c r="O110" s="194"/>
      <c r="P110" s="194"/>
      <c r="Q110" s="194"/>
      <c r="R110" s="194"/>
      <c r="S110" s="194"/>
      <c r="T110" s="194"/>
      <c r="U110" s="235"/>
    </row>
    <row r="111" spans="3:21" x14ac:dyDescent="0.25">
      <c r="C111" s="191" t="str">
        <f>'STM inputs'!C25</f>
        <v>Car AM VKT - AM peak 2 hours</v>
      </c>
      <c r="D111" t="str">
        <f>'STM inputs'!D25</f>
        <v>C5</v>
      </c>
      <c r="E111" t="str">
        <f>'STM inputs'!E25</f>
        <v>VKTs/AM</v>
      </c>
      <c r="F111" s="194">
        <f>'STM inputs'!F25-'STM inputs'!$F25</f>
        <v>0</v>
      </c>
      <c r="G111" s="194">
        <f>'STM inputs'!G25-'STM inputs'!$F25</f>
        <v>-56136</v>
      </c>
      <c r="H111" s="194">
        <f>'STM inputs'!H25-'STM inputs'!$F25</f>
        <v>-53918</v>
      </c>
      <c r="I111" s="194">
        <f>'STM inputs'!I25-'STM inputs'!$F25</f>
        <v>-52078</v>
      </c>
      <c r="J111" s="194">
        <f>'STM inputs'!J25-'STM inputs'!$F25</f>
        <v>-1594</v>
      </c>
      <c r="K111" s="194">
        <f>'STM inputs'!K25-'STM inputs'!$F25</f>
        <v>674</v>
      </c>
      <c r="L111" s="194">
        <f>'STM inputs'!L25-'STM inputs'!$F25</f>
        <v>-149444</v>
      </c>
      <c r="M111" s="194">
        <f>'STM inputs'!M25-'STM inputs'!$F25</f>
        <v>43358</v>
      </c>
      <c r="N111" s="194">
        <f>'STM inputs'!N25-'STM inputs'!$F25</f>
        <v>32288</v>
      </c>
      <c r="O111" s="194">
        <f>'STM inputs'!O25-'STM inputs'!$F25</f>
        <v>31040</v>
      </c>
      <c r="P111" s="194">
        <f>'STM inputs'!P25-'STM inputs'!$F25</f>
        <v>1524</v>
      </c>
      <c r="Q111" s="194">
        <f>'STM inputs'!Q25-'STM inputs'!$F25</f>
        <v>1014</v>
      </c>
      <c r="R111" s="194">
        <f>'STM inputs'!R25-'STM inputs'!$F25</f>
        <v>127960</v>
      </c>
      <c r="S111" s="194">
        <f>'STM inputs'!S25-'STM inputs'!$F25</f>
        <v>-645498</v>
      </c>
      <c r="T111" s="194">
        <f>'STM inputs'!T25-'STM inputs'!$F25</f>
        <v>60726</v>
      </c>
      <c r="U111" s="235">
        <f>'STM inputs'!U25-'STM inputs'!$F25</f>
        <v>-61190</v>
      </c>
    </row>
    <row r="112" spans="3:21" x14ac:dyDescent="0.25">
      <c r="C112" s="191" t="str">
        <f>'STM inputs'!C26</f>
        <v>Car IP VKT - IP 6 hours</v>
      </c>
      <c r="D112" t="str">
        <f>'STM inputs'!D26</f>
        <v>C6</v>
      </c>
      <c r="E112" t="str">
        <f>'STM inputs'!E26</f>
        <v>VKTs/IP</v>
      </c>
      <c r="F112" s="194">
        <f>'STM inputs'!F26-'STM inputs'!$F26</f>
        <v>0</v>
      </c>
      <c r="G112" s="194">
        <f>'STM inputs'!G26-'STM inputs'!$F26</f>
        <v>-76320</v>
      </c>
      <c r="H112" s="194">
        <f>'STM inputs'!H26-'STM inputs'!$F26</f>
        <v>-63076</v>
      </c>
      <c r="I112" s="194">
        <f>'STM inputs'!I26-'STM inputs'!$F26</f>
        <v>-57752</v>
      </c>
      <c r="J112" s="194">
        <f>'STM inputs'!J26-'STM inputs'!$F26</f>
        <v>200</v>
      </c>
      <c r="K112" s="194">
        <f>'STM inputs'!K26-'STM inputs'!$F26</f>
        <v>3852</v>
      </c>
      <c r="L112" s="194">
        <f>'STM inputs'!L26-'STM inputs'!$F26</f>
        <v>-180328</v>
      </c>
      <c r="M112" s="194">
        <f>'STM inputs'!M26-'STM inputs'!$F26</f>
        <v>61192</v>
      </c>
      <c r="N112" s="194">
        <f>'STM inputs'!N26-'STM inputs'!$F26</f>
        <v>38444</v>
      </c>
      <c r="O112" s="194">
        <f>'STM inputs'!O26-'STM inputs'!$F26</f>
        <v>33232</v>
      </c>
      <c r="P112" s="194">
        <f>'STM inputs'!P26-'STM inputs'!$F26</f>
        <v>3132</v>
      </c>
      <c r="Q112" s="194">
        <f>'STM inputs'!Q26-'STM inputs'!$F26</f>
        <v>1524</v>
      </c>
      <c r="R112" s="194">
        <f>'STM inputs'!R26-'STM inputs'!$F26</f>
        <v>151492</v>
      </c>
      <c r="S112" s="194">
        <f>'STM inputs'!S26-'STM inputs'!$F26</f>
        <v>-1059914</v>
      </c>
      <c r="T112" s="194">
        <f>'STM inputs'!T26-'STM inputs'!$F26</f>
        <v>75856</v>
      </c>
      <c r="U112" s="235">
        <f>'STM inputs'!U26-'STM inputs'!$F26</f>
        <v>-76196</v>
      </c>
    </row>
    <row r="113" spans="3:21" x14ac:dyDescent="0.25">
      <c r="C113" s="191" t="str">
        <f>'STM inputs'!C27</f>
        <v>Car PM VKT - PM peak 3 hours</v>
      </c>
      <c r="D113" t="str">
        <f>'STM inputs'!D27</f>
        <v>C7</v>
      </c>
      <c r="E113" t="str">
        <f>'STM inputs'!E27</f>
        <v>VKTs/PM</v>
      </c>
      <c r="F113" s="194">
        <f>'STM inputs'!F27-'STM inputs'!$F27</f>
        <v>0</v>
      </c>
      <c r="G113" s="194">
        <f>'STM inputs'!G27-'STM inputs'!$F27</f>
        <v>-79218</v>
      </c>
      <c r="H113" s="194">
        <f>'STM inputs'!H27-'STM inputs'!$F27</f>
        <v>-67798</v>
      </c>
      <c r="I113" s="194">
        <f>'STM inputs'!I27-'STM inputs'!$F27</f>
        <v>-63464</v>
      </c>
      <c r="J113" s="194">
        <f>'STM inputs'!J27-'STM inputs'!$F27</f>
        <v>-3968</v>
      </c>
      <c r="K113" s="194">
        <f>'STM inputs'!K27-'STM inputs'!$F27</f>
        <v>-1734</v>
      </c>
      <c r="L113" s="194">
        <f>'STM inputs'!L27-'STM inputs'!$F27</f>
        <v>-196798</v>
      </c>
      <c r="M113" s="194">
        <f>'STM inputs'!M27-'STM inputs'!$F27</f>
        <v>56580</v>
      </c>
      <c r="N113" s="194">
        <f>'STM inputs'!N27-'STM inputs'!$F27</f>
        <v>36008</v>
      </c>
      <c r="O113" s="194">
        <f>'STM inputs'!O27-'STM inputs'!$F27</f>
        <v>35800</v>
      </c>
      <c r="P113" s="194">
        <f>'STM inputs'!P27-'STM inputs'!$F27</f>
        <v>-318</v>
      </c>
      <c r="Q113" s="194">
        <f>'STM inputs'!Q27-'STM inputs'!$F27</f>
        <v>-1972</v>
      </c>
      <c r="R113" s="194">
        <f>'STM inputs'!R27-'STM inputs'!$F27</f>
        <v>159246</v>
      </c>
      <c r="S113" s="194">
        <f>'STM inputs'!S27-'STM inputs'!$F27</f>
        <v>-929060</v>
      </c>
      <c r="T113" s="194">
        <f>'STM inputs'!T27-'STM inputs'!$F27</f>
        <v>75308</v>
      </c>
      <c r="U113" s="235">
        <f>'STM inputs'!U27-'STM inputs'!$F27</f>
        <v>-82210</v>
      </c>
    </row>
    <row r="114" spans="3:21" x14ac:dyDescent="0.25">
      <c r="C114" s="191" t="str">
        <f>'STM inputs'!C28</f>
        <v>Car EV VKT - EV 13 hours</v>
      </c>
      <c r="D114" t="str">
        <f>'STM inputs'!D28</f>
        <v>C8</v>
      </c>
      <c r="E114" t="str">
        <f>'STM inputs'!E28</f>
        <v>VKTs/EV</v>
      </c>
      <c r="F114" s="194">
        <f>'STM inputs'!F28-'STM inputs'!$F28</f>
        <v>0</v>
      </c>
      <c r="G114" s="194">
        <f>'STM inputs'!G28-'STM inputs'!$F28</f>
        <v>-90560</v>
      </c>
      <c r="H114" s="194">
        <f>'STM inputs'!H28-'STM inputs'!$F28</f>
        <v>-87596</v>
      </c>
      <c r="I114" s="194">
        <f>'STM inputs'!I28-'STM inputs'!$F28</f>
        <v>-80716</v>
      </c>
      <c r="J114" s="194">
        <f>'STM inputs'!J28-'STM inputs'!$F28</f>
        <v>-2672</v>
      </c>
      <c r="K114" s="194">
        <f>'STM inputs'!K28-'STM inputs'!$F28</f>
        <v>4</v>
      </c>
      <c r="L114" s="194">
        <f>'STM inputs'!L28-'STM inputs'!$F28</f>
        <v>-238324</v>
      </c>
      <c r="M114" s="194">
        <f>'STM inputs'!M28-'STM inputs'!$F28</f>
        <v>66644</v>
      </c>
      <c r="N114" s="194">
        <f>'STM inputs'!N28-'STM inputs'!$F28</f>
        <v>46676</v>
      </c>
      <c r="O114" s="194">
        <f>'STM inputs'!O28-'STM inputs'!$F28</f>
        <v>46384</v>
      </c>
      <c r="P114" s="194">
        <f>'STM inputs'!P28-'STM inputs'!$F28</f>
        <v>3184</v>
      </c>
      <c r="Q114" s="194">
        <f>'STM inputs'!Q28-'STM inputs'!$F28</f>
        <v>1172</v>
      </c>
      <c r="R114" s="194">
        <f>'STM inputs'!R28-'STM inputs'!$F28</f>
        <v>197520</v>
      </c>
      <c r="S114" s="194">
        <f>'STM inputs'!S28-'STM inputs'!$F28</f>
        <v>-1111680</v>
      </c>
      <c r="T114" s="194">
        <f>'STM inputs'!T28-'STM inputs'!$F28</f>
        <v>92876</v>
      </c>
      <c r="U114" s="235">
        <f>'STM inputs'!U28-'STM inputs'!$F28</f>
        <v>-98268</v>
      </c>
    </row>
    <row r="115" spans="3:21" x14ac:dyDescent="0.25">
      <c r="C115" s="191" t="str">
        <f>'STM inputs'!C29</f>
        <v>Car driver toll revenue</v>
      </c>
      <c r="F115" s="194"/>
      <c r="G115" s="194"/>
      <c r="H115" s="194"/>
      <c r="I115" s="194"/>
      <c r="J115" s="194"/>
      <c r="K115" s="194"/>
      <c r="L115" s="194"/>
      <c r="M115" s="194"/>
      <c r="N115" s="194"/>
      <c r="O115" s="194"/>
      <c r="P115" s="194"/>
      <c r="Q115" s="194"/>
      <c r="R115" s="194"/>
      <c r="S115" s="194"/>
      <c r="T115" s="194"/>
      <c r="U115" s="235"/>
    </row>
    <row r="116" spans="3:21" x14ac:dyDescent="0.25">
      <c r="C116" s="191" t="str">
        <f>'STM inputs'!C30</f>
        <v>Car toll revenue - AM peak 2 hours</v>
      </c>
      <c r="D116" t="str">
        <f>'STM inputs'!D30</f>
        <v>C13</v>
      </c>
      <c r="E116" t="str">
        <f>'STM inputs'!E30</f>
        <v>$/AM</v>
      </c>
      <c r="F116" s="194">
        <f>'STM inputs'!F30-'STM inputs'!$F30</f>
        <v>0</v>
      </c>
      <c r="G116" s="194">
        <f>'STM inputs'!G30-'STM inputs'!$F30</f>
        <v>-2161</v>
      </c>
      <c r="H116" s="194">
        <f>'STM inputs'!H30-'STM inputs'!$F30</f>
        <v>-2398</v>
      </c>
      <c r="I116" s="194">
        <f>'STM inputs'!I30-'STM inputs'!$F30</f>
        <v>-2527</v>
      </c>
      <c r="J116" s="194">
        <f>'STM inputs'!J30-'STM inputs'!$F30</f>
        <v>281</v>
      </c>
      <c r="K116" s="194">
        <f>'STM inputs'!K30-'STM inputs'!$F30</f>
        <v>233</v>
      </c>
      <c r="L116" s="194">
        <f>'STM inputs'!L30-'STM inputs'!$F30</f>
        <v>-5471</v>
      </c>
      <c r="M116" s="194">
        <f>'STM inputs'!M30-'STM inputs'!$F30</f>
        <v>1723</v>
      </c>
      <c r="N116" s="194">
        <f>'STM inputs'!N30-'STM inputs'!$F30</f>
        <v>1793</v>
      </c>
      <c r="O116" s="194">
        <f>'STM inputs'!O30-'STM inputs'!$F30</f>
        <v>1655</v>
      </c>
      <c r="P116" s="194">
        <f>'STM inputs'!P30-'STM inputs'!$F30</f>
        <v>381</v>
      </c>
      <c r="Q116" s="194">
        <f>'STM inputs'!Q30-'STM inputs'!$F30</f>
        <v>8</v>
      </c>
      <c r="R116" s="194">
        <f>'STM inputs'!R30-'STM inputs'!$F30</f>
        <v>4774</v>
      </c>
      <c r="S116" s="194">
        <f>'STM inputs'!S30-'STM inputs'!$F30</f>
        <v>-21986</v>
      </c>
      <c r="T116" s="194">
        <f>'STM inputs'!T30-'STM inputs'!$F30</f>
        <v>2573</v>
      </c>
      <c r="U116" s="235">
        <f>'STM inputs'!U30-'STM inputs'!$F30</f>
        <v>-2114</v>
      </c>
    </row>
    <row r="117" spans="3:21" x14ac:dyDescent="0.25">
      <c r="C117" s="191" t="str">
        <f>'STM inputs'!C31</f>
        <v>Car toll revenue  - IP 6 hours</v>
      </c>
      <c r="D117" t="str">
        <f>'STM inputs'!D31</f>
        <v>C14</v>
      </c>
      <c r="E117" t="str">
        <f>'STM inputs'!E31</f>
        <v>$/IP</v>
      </c>
      <c r="F117" s="194">
        <f>'STM inputs'!F31-'STM inputs'!$F31</f>
        <v>0</v>
      </c>
      <c r="G117" s="194">
        <f>'STM inputs'!G31-'STM inputs'!$F31</f>
        <v>-1432</v>
      </c>
      <c r="H117" s="194">
        <f>'STM inputs'!H31-'STM inputs'!$F31</f>
        <v>-2324</v>
      </c>
      <c r="I117" s="194">
        <f>'STM inputs'!I31-'STM inputs'!$F31</f>
        <v>-3424</v>
      </c>
      <c r="J117" s="194">
        <f>'STM inputs'!J31-'STM inputs'!$F31</f>
        <v>-861</v>
      </c>
      <c r="K117" s="194">
        <f>'STM inputs'!K31-'STM inputs'!$F31</f>
        <v>569</v>
      </c>
      <c r="L117" s="194">
        <f>'STM inputs'!L31-'STM inputs'!$F31</f>
        <v>-5746</v>
      </c>
      <c r="M117" s="194">
        <f>'STM inputs'!M31-'STM inputs'!$F31</f>
        <v>1075</v>
      </c>
      <c r="N117" s="194">
        <f>'STM inputs'!N31-'STM inputs'!$F31</f>
        <v>2293</v>
      </c>
      <c r="O117" s="194">
        <f>'STM inputs'!O31-'STM inputs'!$F31</f>
        <v>1575</v>
      </c>
      <c r="P117" s="194">
        <f>'STM inputs'!P31-'STM inputs'!$F31</f>
        <v>233</v>
      </c>
      <c r="Q117" s="194">
        <f>'STM inputs'!Q31-'STM inputs'!$F31</f>
        <v>631</v>
      </c>
      <c r="R117" s="194">
        <f>'STM inputs'!R31-'STM inputs'!$F31</f>
        <v>4078</v>
      </c>
      <c r="S117" s="194">
        <f>'STM inputs'!S31-'STM inputs'!$F31</f>
        <v>-27315</v>
      </c>
      <c r="T117" s="194">
        <f>'STM inputs'!T31-'STM inputs'!$F31</f>
        <v>1439</v>
      </c>
      <c r="U117" s="235">
        <f>'STM inputs'!U31-'STM inputs'!$F31</f>
        <v>-3229</v>
      </c>
    </row>
    <row r="118" spans="3:21" x14ac:dyDescent="0.25">
      <c r="C118" s="191" t="str">
        <f>'STM inputs'!C32</f>
        <v>Car toll revenue  - PM peak 3 hours</v>
      </c>
      <c r="D118" t="str">
        <f>'STM inputs'!D32</f>
        <v>C15</v>
      </c>
      <c r="E118" t="str">
        <f>'STM inputs'!E32</f>
        <v>$/PM</v>
      </c>
      <c r="F118" s="194">
        <f>'STM inputs'!F32-'STM inputs'!$F32</f>
        <v>0</v>
      </c>
      <c r="G118" s="194">
        <f>'STM inputs'!G32-'STM inputs'!$F32</f>
        <v>-2502</v>
      </c>
      <c r="H118" s="194">
        <f>'STM inputs'!H32-'STM inputs'!$F32</f>
        <v>-2893</v>
      </c>
      <c r="I118" s="194">
        <f>'STM inputs'!I32-'STM inputs'!$F32</f>
        <v>-2798</v>
      </c>
      <c r="J118" s="194">
        <f>'STM inputs'!J32-'STM inputs'!$F32</f>
        <v>-488</v>
      </c>
      <c r="K118" s="194">
        <f>'STM inputs'!K32-'STM inputs'!$F32</f>
        <v>103</v>
      </c>
      <c r="L118" s="194">
        <f>'STM inputs'!L32-'STM inputs'!$F32</f>
        <v>-5974</v>
      </c>
      <c r="M118" s="194">
        <f>'STM inputs'!M32-'STM inputs'!$F32</f>
        <v>1565</v>
      </c>
      <c r="N118" s="194">
        <f>'STM inputs'!N32-'STM inputs'!$F32</f>
        <v>1210</v>
      </c>
      <c r="O118" s="194">
        <f>'STM inputs'!O32-'STM inputs'!$F32</f>
        <v>1183</v>
      </c>
      <c r="P118" s="194">
        <f>'STM inputs'!P32-'STM inputs'!$F32</f>
        <v>-124</v>
      </c>
      <c r="Q118" s="194">
        <f>'STM inputs'!Q32-'STM inputs'!$F32</f>
        <v>-257</v>
      </c>
      <c r="R118" s="194">
        <f>'STM inputs'!R32-'STM inputs'!$F32</f>
        <v>4382</v>
      </c>
      <c r="S118" s="194">
        <f>'STM inputs'!S32-'STM inputs'!$F32</f>
        <v>-25589</v>
      </c>
      <c r="T118" s="194">
        <f>'STM inputs'!T32-'STM inputs'!$F32</f>
        <v>2036</v>
      </c>
      <c r="U118" s="235">
        <f>'STM inputs'!U32-'STM inputs'!$F32</f>
        <v>-2834</v>
      </c>
    </row>
    <row r="119" spans="3:21" x14ac:dyDescent="0.25">
      <c r="C119" s="191" t="str">
        <f>'STM inputs'!C33</f>
        <v>Car toll revenue  - EV 13 hours</v>
      </c>
      <c r="D119" t="str">
        <f>'STM inputs'!D33</f>
        <v>C16</v>
      </c>
      <c r="E119" t="str">
        <f>'STM inputs'!E33</f>
        <v>$/EV</v>
      </c>
      <c r="F119" s="194">
        <f>'STM inputs'!F33-'STM inputs'!$F33</f>
        <v>0</v>
      </c>
      <c r="G119" s="194">
        <f>'STM inputs'!G33-'STM inputs'!$F33</f>
        <v>-313</v>
      </c>
      <c r="H119" s="194">
        <f>'STM inputs'!H33-'STM inputs'!$F33</f>
        <v>-4756</v>
      </c>
      <c r="I119" s="194">
        <f>'STM inputs'!I33-'STM inputs'!$F33</f>
        <v>-5232</v>
      </c>
      <c r="J119" s="194">
        <f>'STM inputs'!J33-'STM inputs'!$F33</f>
        <v>-1051</v>
      </c>
      <c r="K119" s="194">
        <f>'STM inputs'!K33-'STM inputs'!$F33</f>
        <v>-351</v>
      </c>
      <c r="L119" s="194">
        <f>'STM inputs'!L33-'STM inputs'!$F33</f>
        <v>-9695</v>
      </c>
      <c r="M119" s="194">
        <f>'STM inputs'!M33-'STM inputs'!$F33</f>
        <v>1707</v>
      </c>
      <c r="N119" s="194">
        <f>'STM inputs'!N33-'STM inputs'!$F33</f>
        <v>2052</v>
      </c>
      <c r="O119" s="194">
        <f>'STM inputs'!O33-'STM inputs'!$F33</f>
        <v>1581</v>
      </c>
      <c r="P119" s="194">
        <f>'STM inputs'!P33-'STM inputs'!$F33</f>
        <v>-704</v>
      </c>
      <c r="Q119" s="194">
        <f>'STM inputs'!Q33-'STM inputs'!$F33</f>
        <v>2140</v>
      </c>
      <c r="R119" s="194">
        <f>'STM inputs'!R33-'STM inputs'!$F33</f>
        <v>6517</v>
      </c>
      <c r="S119" s="194">
        <f>'STM inputs'!S33-'STM inputs'!$F33</f>
        <v>-44609</v>
      </c>
      <c r="T119" s="194">
        <f>'STM inputs'!T33-'STM inputs'!$F33</f>
        <v>5506</v>
      </c>
      <c r="U119" s="235">
        <f>'STM inputs'!U33-'STM inputs'!$F33</f>
        <v>-3912</v>
      </c>
    </row>
    <row r="120" spans="3:21" x14ac:dyDescent="0.25">
      <c r="C120" s="191" t="str">
        <f>'STM inputs'!C34</f>
        <v>Car vehicle hours travelled</v>
      </c>
      <c r="F120" s="194"/>
      <c r="G120" s="194"/>
      <c r="H120" s="194"/>
      <c r="I120" s="194"/>
      <c r="J120" s="194"/>
      <c r="K120" s="194"/>
      <c r="L120" s="194"/>
      <c r="M120" s="194"/>
      <c r="N120" s="194"/>
      <c r="O120" s="194"/>
      <c r="P120" s="194"/>
      <c r="Q120" s="194"/>
      <c r="R120" s="194"/>
      <c r="S120" s="194"/>
      <c r="T120" s="194"/>
      <c r="U120" s="235"/>
    </row>
    <row r="121" spans="3:21" x14ac:dyDescent="0.25">
      <c r="C121" s="191" t="str">
        <f>'STM inputs'!C35</f>
        <v>Car AM VHT - AM peak 2 hours</v>
      </c>
      <c r="D121" t="str">
        <f>'STM inputs'!D35</f>
        <v>C9</v>
      </c>
      <c r="E121" t="str">
        <f>'STM inputs'!E35</f>
        <v>Hours/AM</v>
      </c>
      <c r="F121" s="194">
        <f>'STM inputs'!F35-'STM inputs'!$F35</f>
        <v>0</v>
      </c>
      <c r="G121" s="194">
        <f>'STM inputs'!G35-'STM inputs'!$F35</f>
        <v>-2900</v>
      </c>
      <c r="H121" s="194">
        <f>'STM inputs'!H35-'STM inputs'!$F35</f>
        <v>-2842</v>
      </c>
      <c r="I121" s="194">
        <f>'STM inputs'!I35-'STM inputs'!$F35</f>
        <v>-2719</v>
      </c>
      <c r="J121" s="194">
        <f>'STM inputs'!J35-'STM inputs'!$F35</f>
        <v>-134</v>
      </c>
      <c r="K121" s="194">
        <f>'STM inputs'!K35-'STM inputs'!$F35</f>
        <v>-40</v>
      </c>
      <c r="L121" s="194">
        <f>'STM inputs'!L35-'STM inputs'!$F35</f>
        <v>-7182</v>
      </c>
      <c r="M121" s="194">
        <f>'STM inputs'!M35-'STM inputs'!$F35</f>
        <v>2187</v>
      </c>
      <c r="N121" s="194">
        <f>'STM inputs'!N35-'STM inputs'!$F35</f>
        <v>1678</v>
      </c>
      <c r="O121" s="194">
        <f>'STM inputs'!O35-'STM inputs'!$F35</f>
        <v>1615</v>
      </c>
      <c r="P121" s="194">
        <f>'STM inputs'!P35-'STM inputs'!$F35</f>
        <v>43</v>
      </c>
      <c r="Q121" s="194">
        <f>'STM inputs'!Q35-'STM inputs'!$F35</f>
        <v>-17</v>
      </c>
      <c r="R121" s="194">
        <f>'STM inputs'!R35-'STM inputs'!$F35</f>
        <v>6125</v>
      </c>
      <c r="S121" s="194">
        <f>'STM inputs'!S35-'STM inputs'!$F35</f>
        <v>-30748</v>
      </c>
      <c r="T121" s="194">
        <f>'STM inputs'!T35-'STM inputs'!$F35</f>
        <v>3097</v>
      </c>
      <c r="U121" s="235">
        <f>'STM inputs'!U35-'STM inputs'!$F35</f>
        <v>-3092</v>
      </c>
    </row>
    <row r="122" spans="3:21" x14ac:dyDescent="0.25">
      <c r="C122" s="191" t="str">
        <f>'STM inputs'!C36</f>
        <v>Car IP VHT  - IP 6 hours</v>
      </c>
      <c r="D122" t="str">
        <f>'STM inputs'!D36</f>
        <v>C10</v>
      </c>
      <c r="E122" t="str">
        <f>'STM inputs'!E36</f>
        <v>Hours/IP</v>
      </c>
      <c r="F122" s="194">
        <f>'STM inputs'!F36-'STM inputs'!$F36</f>
        <v>0</v>
      </c>
      <c r="G122" s="194">
        <f>'STM inputs'!G36-'STM inputs'!$F36</f>
        <v>-3331</v>
      </c>
      <c r="H122" s="194">
        <f>'STM inputs'!H36-'STM inputs'!$F36</f>
        <v>-2643</v>
      </c>
      <c r="I122" s="194">
        <f>'STM inputs'!I36-'STM inputs'!$F36</f>
        <v>-2536</v>
      </c>
      <c r="J122" s="194">
        <f>'STM inputs'!J36-'STM inputs'!$F36</f>
        <v>-138</v>
      </c>
      <c r="K122" s="194">
        <f>'STM inputs'!K36-'STM inputs'!$F36</f>
        <v>-34</v>
      </c>
      <c r="L122" s="194">
        <f>'STM inputs'!L36-'STM inputs'!$F36</f>
        <v>-7263</v>
      </c>
      <c r="M122" s="194">
        <f>'STM inputs'!M36-'STM inputs'!$F36</f>
        <v>2339</v>
      </c>
      <c r="N122" s="194">
        <f>'STM inputs'!N36-'STM inputs'!$F36</f>
        <v>1481</v>
      </c>
      <c r="O122" s="194">
        <f>'STM inputs'!O36-'STM inputs'!$F36</f>
        <v>1428</v>
      </c>
      <c r="P122" s="194">
        <f>'STM inputs'!P36-'STM inputs'!$F36</f>
        <v>24</v>
      </c>
      <c r="Q122" s="194">
        <f>'STM inputs'!Q36-'STM inputs'!$F36</f>
        <v>-30</v>
      </c>
      <c r="R122" s="194">
        <f>'STM inputs'!R36-'STM inputs'!$F36</f>
        <v>5744</v>
      </c>
      <c r="S122" s="194">
        <f>'STM inputs'!S36-'STM inputs'!$F36</f>
        <v>-43080</v>
      </c>
      <c r="T122" s="194">
        <f>'STM inputs'!T36-'STM inputs'!$F36</f>
        <v>3046</v>
      </c>
      <c r="U122" s="235">
        <f>'STM inputs'!U36-'STM inputs'!$F36</f>
        <v>-3080</v>
      </c>
    </row>
    <row r="123" spans="3:21" x14ac:dyDescent="0.25">
      <c r="C123" s="191" t="str">
        <f>'STM inputs'!C37</f>
        <v>Car PM VHT  - PM peak 3 hours</v>
      </c>
      <c r="D123" t="str">
        <f>'STM inputs'!D37</f>
        <v>C11</v>
      </c>
      <c r="E123" t="str">
        <f>'STM inputs'!E37</f>
        <v>Hours/PM</v>
      </c>
      <c r="F123" s="194">
        <f>'STM inputs'!F37-'STM inputs'!$F37</f>
        <v>0</v>
      </c>
      <c r="G123" s="194">
        <f>'STM inputs'!G37-'STM inputs'!$F37</f>
        <v>-3826</v>
      </c>
      <c r="H123" s="194">
        <f>'STM inputs'!H37-'STM inputs'!$F37</f>
        <v>-3350</v>
      </c>
      <c r="I123" s="194">
        <f>'STM inputs'!I37-'STM inputs'!$F37</f>
        <v>-3177</v>
      </c>
      <c r="J123" s="194">
        <f>'STM inputs'!J37-'STM inputs'!$F37</f>
        <v>-157</v>
      </c>
      <c r="K123" s="194">
        <f>'STM inputs'!K37-'STM inputs'!$F37</f>
        <v>-11</v>
      </c>
      <c r="L123" s="194">
        <f>'STM inputs'!L37-'STM inputs'!$F37</f>
        <v>-9048</v>
      </c>
      <c r="M123" s="194">
        <f>'STM inputs'!M37-'STM inputs'!$F37</f>
        <v>2835</v>
      </c>
      <c r="N123" s="194">
        <f>'STM inputs'!N37-'STM inputs'!$F37</f>
        <v>1938</v>
      </c>
      <c r="O123" s="194">
        <f>'STM inputs'!O37-'STM inputs'!$F37</f>
        <v>1879</v>
      </c>
      <c r="P123" s="194">
        <f>'STM inputs'!P37-'STM inputs'!$F37</f>
        <v>51</v>
      </c>
      <c r="Q123" s="194">
        <f>'STM inputs'!Q37-'STM inputs'!$F37</f>
        <v>-17</v>
      </c>
      <c r="R123" s="194">
        <f>'STM inputs'!R37-'STM inputs'!$F37</f>
        <v>7563</v>
      </c>
      <c r="S123" s="194">
        <f>'STM inputs'!S37-'STM inputs'!$F37</f>
        <v>-43380</v>
      </c>
      <c r="T123" s="194">
        <f>'STM inputs'!T37-'STM inputs'!$F37</f>
        <v>3794</v>
      </c>
      <c r="U123" s="235">
        <f>'STM inputs'!U37-'STM inputs'!$F37</f>
        <v>-3842</v>
      </c>
    </row>
    <row r="124" spans="3:21" x14ac:dyDescent="0.25">
      <c r="C124" s="191" t="str">
        <f>'STM inputs'!C38</f>
        <v>Car EV VHT  - EV 13 hours</v>
      </c>
      <c r="D124" t="str">
        <f>'STM inputs'!D38</f>
        <v>C12</v>
      </c>
      <c r="E124" t="str">
        <f>'STM inputs'!E38</f>
        <v>Hours/EV</v>
      </c>
      <c r="F124" s="194">
        <f>'STM inputs'!F38-'STM inputs'!$F38</f>
        <v>0</v>
      </c>
      <c r="G124" s="194">
        <f>'STM inputs'!G38-'STM inputs'!$F38</f>
        <v>-3020</v>
      </c>
      <c r="H124" s="194">
        <f>'STM inputs'!H38-'STM inputs'!$F38</f>
        <v>-2964</v>
      </c>
      <c r="I124" s="194">
        <f>'STM inputs'!I38-'STM inputs'!$F38</f>
        <v>-2810</v>
      </c>
      <c r="J124" s="194">
        <f>'STM inputs'!J38-'STM inputs'!$F38</f>
        <v>-148</v>
      </c>
      <c r="K124" s="194">
        <f>'STM inputs'!K38-'STM inputs'!$F38</f>
        <v>8</v>
      </c>
      <c r="L124" s="194">
        <f>'STM inputs'!L38-'STM inputs'!$F38</f>
        <v>-7555</v>
      </c>
      <c r="M124" s="194">
        <f>'STM inputs'!M38-'STM inputs'!$F38</f>
        <v>2247</v>
      </c>
      <c r="N124" s="194">
        <f>'STM inputs'!N38-'STM inputs'!$F38</f>
        <v>1750</v>
      </c>
      <c r="O124" s="194">
        <f>'STM inputs'!O38-'STM inputs'!$F38</f>
        <v>1695</v>
      </c>
      <c r="P124" s="194">
        <f>'STM inputs'!P38-'STM inputs'!$F38</f>
        <v>99</v>
      </c>
      <c r="Q124" s="194">
        <f>'STM inputs'!Q38-'STM inputs'!$F38</f>
        <v>-3</v>
      </c>
      <c r="R124" s="194">
        <f>'STM inputs'!R38-'STM inputs'!$F38</f>
        <v>6295</v>
      </c>
      <c r="S124" s="194">
        <f>'STM inputs'!S38-'STM inputs'!$F38</f>
        <v>-35773</v>
      </c>
      <c r="T124" s="194">
        <f>'STM inputs'!T38-'STM inputs'!$F38</f>
        <v>3093</v>
      </c>
      <c r="U124" s="235">
        <f>'STM inputs'!U38-'STM inputs'!$F38</f>
        <v>-3136</v>
      </c>
    </row>
    <row r="125" spans="3:21" x14ac:dyDescent="0.25">
      <c r="C125" s="191" t="str">
        <f>'STM inputs'!C39</f>
        <v>Derived quantities</v>
      </c>
      <c r="F125" s="194"/>
      <c r="G125" s="194"/>
      <c r="H125" s="194"/>
      <c r="I125" s="194"/>
      <c r="J125" s="194"/>
      <c r="K125" s="194"/>
      <c r="L125" s="194"/>
      <c r="M125" s="194"/>
      <c r="N125" s="194"/>
      <c r="O125" s="194"/>
      <c r="P125" s="194"/>
      <c r="Q125" s="194"/>
      <c r="R125" s="194"/>
      <c r="S125" s="194"/>
      <c r="T125" s="194"/>
      <c r="U125" s="235"/>
    </row>
    <row r="126" spans="3:21" x14ac:dyDescent="0.25">
      <c r="C126" s="191" t="str">
        <f>'STM inputs'!C40</f>
        <v>Car Hr_per_km - AM peak</v>
      </c>
      <c r="E126" t="str">
        <f>'STM inputs'!E40</f>
        <v>VHT/VKT</v>
      </c>
      <c r="F126" s="194">
        <f>'STM inputs'!F40-'STM inputs'!$F40</f>
        <v>0</v>
      </c>
      <c r="G126" s="194">
        <f>'STM inputs'!G40-'STM inputs'!$F40</f>
        <v>-7.6145916961027627E-5</v>
      </c>
      <c r="H126" s="194">
        <f>'STM inputs'!H40-'STM inputs'!$F40</f>
        <v>-7.6731839603896845E-5</v>
      </c>
      <c r="I126" s="194">
        <f>'STM inputs'!I40-'STM inputs'!$F40</f>
        <v>-7.2447436387675784E-5</v>
      </c>
      <c r="J126" s="194">
        <f>'STM inputs'!J40-'STM inputs'!$F40</f>
        <v>-5.4346191863813287E-6</v>
      </c>
      <c r="K126" s="194">
        <f>'STM inputs'!K40-'STM inputs'!$F40</f>
        <v>-3.8392526536187854E-6</v>
      </c>
      <c r="L126" s="194">
        <f>'STM inputs'!L40-'STM inputs'!$F40</f>
        <v>-1.6942029362523175E-4</v>
      </c>
      <c r="M126" s="194">
        <f>'STM inputs'!M40-'STM inputs'!$F40</f>
        <v>5.5094063512086539E-5</v>
      </c>
      <c r="N126" s="194">
        <f>'STM inputs'!N40-'STM inputs'!$F40</f>
        <v>4.418503534701565E-5</v>
      </c>
      <c r="O126" s="194">
        <f>'STM inputs'!O40-'STM inputs'!$F40</f>
        <v>4.2598302328028526E-5</v>
      </c>
      <c r="P126" s="194">
        <f>'STM inputs'!P40-'STM inputs'!$F40</f>
        <v>-2.086950244631347E-7</v>
      </c>
      <c r="Q126" s="194">
        <f>'STM inputs'!Q40-'STM inputs'!$F40</f>
        <v>-3.0345592788236231E-6</v>
      </c>
      <c r="R126" s="194">
        <f>'STM inputs'!R40-'STM inputs'!$F40</f>
        <v>1.4098587441757279E-4</v>
      </c>
      <c r="S126" s="194">
        <f>'STM inputs'!S40-'STM inputs'!$F40</f>
        <v>-7.3771243308810505E-4</v>
      </c>
      <c r="T126" s="194">
        <f>'STM inputs'!T40-'STM inputs'!$F40</f>
        <v>7.922565425350428E-5</v>
      </c>
      <c r="U126" s="235">
        <f>'STM inputs'!U40-'STM inputs'!$F40</f>
        <v>-7.8624344973837051E-5</v>
      </c>
    </row>
    <row r="127" spans="3:21" x14ac:dyDescent="0.25">
      <c r="C127" s="191" t="str">
        <f>'STM inputs'!C41</f>
        <v>Car Hr_per_km - IP</v>
      </c>
      <c r="E127" t="str">
        <f>'STM inputs'!E41</f>
        <v>VHT/VKT</v>
      </c>
      <c r="F127" s="194">
        <f>'STM inputs'!F41-'STM inputs'!$F41</f>
        <v>0</v>
      </c>
      <c r="G127" s="194">
        <f>'STM inputs'!G41-'STM inputs'!$F41</f>
        <v>-3.6153938043598233E-5</v>
      </c>
      <c r="H127" s="194">
        <f>'STM inputs'!H41-'STM inputs'!$F41</f>
        <v>-2.6653486919017005E-5</v>
      </c>
      <c r="I127" s="194">
        <f>'STM inputs'!I41-'STM inputs'!$F41</f>
        <v>-2.7793433353170971E-5</v>
      </c>
      <c r="J127" s="194">
        <f>'STM inputs'!J41-'STM inputs'!$F41</f>
        <v>-4.1874666196622945E-6</v>
      </c>
      <c r="K127" s="194">
        <f>'STM inputs'!K41-'STM inputs'!$F41</f>
        <v>-4.0773997480592072E-6</v>
      </c>
      <c r="L127" s="194">
        <f>'STM inputs'!L41-'STM inputs'!$F41</f>
        <v>-6.7863705873021096E-5</v>
      </c>
      <c r="M127" s="194">
        <f>'STM inputs'!M41-'STM inputs'!$F41</f>
        <v>1.9207601054609114E-5</v>
      </c>
      <c r="N127" s="194">
        <f>'STM inputs'!N41-'STM inputs'!$F41</f>
        <v>1.2410984943901637E-5</v>
      </c>
      <c r="O127" s="194">
        <f>'STM inputs'!O41-'STM inputs'!$F41</f>
        <v>1.5038666440082143E-5</v>
      </c>
      <c r="P127" s="194">
        <f>'STM inputs'!P41-'STM inputs'!$F41</f>
        <v>-1.8083139831127915E-6</v>
      </c>
      <c r="Q127" s="194">
        <f>'STM inputs'!Q41-'STM inputs'!$F41</f>
        <v>-2.0961969503102695E-6</v>
      </c>
      <c r="R127" s="194">
        <f>'STM inputs'!R41-'STM inputs'!$F41</f>
        <v>4.6072561222489788E-5</v>
      </c>
      <c r="S127" s="194">
        <f>'STM inputs'!S41-'STM inputs'!$F41</f>
        <v>-4.2120090667618557E-4</v>
      </c>
      <c r="T127" s="194">
        <f>'STM inputs'!T41-'STM inputs'!$F41</f>
        <v>2.8065756815472132E-5</v>
      </c>
      <c r="U127" s="235">
        <f>'STM inputs'!U41-'STM inputs'!$F41</f>
        <v>-2.8912049873451584E-5</v>
      </c>
    </row>
    <row r="128" spans="3:21" x14ac:dyDescent="0.25">
      <c r="C128" s="191" t="str">
        <f>'STM inputs'!C42</f>
        <v>Car Hr_per_km - PM peak</v>
      </c>
      <c r="E128" t="str">
        <f>'STM inputs'!E42</f>
        <v>VHT/VKT</v>
      </c>
      <c r="F128" s="194">
        <f>'STM inputs'!F42-'STM inputs'!$F42</f>
        <v>0</v>
      </c>
      <c r="G128" s="194">
        <f>'STM inputs'!G42-'STM inputs'!$F42</f>
        <v>-5.780343238440816E-5</v>
      </c>
      <c r="H128" s="194">
        <f>'STM inputs'!H42-'STM inputs'!$F42</f>
        <v>-5.2403843575875297E-5</v>
      </c>
      <c r="I128" s="194">
        <f>'STM inputs'!I42-'STM inputs'!$F42</f>
        <v>-5.0654971031235257E-5</v>
      </c>
      <c r="J128" s="194">
        <f>'STM inputs'!J42-'STM inputs'!$F42</f>
        <v>-1.5350990850288015E-6</v>
      </c>
      <c r="K128" s="194">
        <f>'STM inputs'!K42-'STM inputs'!$F42</f>
        <v>1.5768848023386961E-6</v>
      </c>
      <c r="L128" s="194">
        <f>'STM inputs'!L42-'STM inputs'!$F42</f>
        <v>-1.2630425824784741E-4</v>
      </c>
      <c r="M128" s="194">
        <f>'STM inputs'!M42-'STM inputs'!$F42</f>
        <v>4.5051029163370448E-5</v>
      </c>
      <c r="N128" s="194">
        <f>'STM inputs'!N42-'STM inputs'!$F42</f>
        <v>3.3905812243741756E-5</v>
      </c>
      <c r="O128" s="194">
        <f>'STM inputs'!O42-'STM inputs'!$F42</f>
        <v>3.1847781584846968E-5</v>
      </c>
      <c r="P128" s="194">
        <f>'STM inputs'!P42-'STM inputs'!$F42</f>
        <v>2.3575888225130237E-6</v>
      </c>
      <c r="Q128" s="194">
        <f>'STM inputs'!Q42-'STM inputs'!$F42</f>
        <v>1.6181446965586599E-6</v>
      </c>
      <c r="R128" s="194">
        <f>'STM inputs'!R42-'STM inputs'!$F42</f>
        <v>1.1015597165193319E-4</v>
      </c>
      <c r="S128" s="194">
        <f>'STM inputs'!S42-'STM inputs'!$F42</f>
        <v>-6.4088089761197772E-4</v>
      </c>
      <c r="T128" s="194">
        <f>'STM inputs'!T42-'STM inputs'!$F42</f>
        <v>6.0721121564709379E-5</v>
      </c>
      <c r="U128" s="235">
        <f>'STM inputs'!U42-'STM inputs'!$F42</f>
        <v>-5.4964082185086222E-5</v>
      </c>
    </row>
    <row r="129" spans="3:21" x14ac:dyDescent="0.25">
      <c r="C129" s="191" t="str">
        <f>'STM inputs'!C43</f>
        <v>Car Hr_per_km - EV peak</v>
      </c>
      <c r="E129" t="str">
        <f>'STM inputs'!E43</f>
        <v>VHT/VKT</v>
      </c>
      <c r="F129" s="194">
        <f>'STM inputs'!F43-'STM inputs'!$F43</f>
        <v>0</v>
      </c>
      <c r="G129" s="194">
        <f>'STM inputs'!G43-'STM inputs'!$F43</f>
        <v>-2.3497806500603208E-5</v>
      </c>
      <c r="H129" s="194">
        <f>'STM inputs'!H43-'STM inputs'!$F43</f>
        <v>-2.3956371060961795E-5</v>
      </c>
      <c r="I129" s="194">
        <f>'STM inputs'!I43-'STM inputs'!$F43</f>
        <v>-2.4331455232694255E-5</v>
      </c>
      <c r="J129" s="194">
        <f>'STM inputs'!J43-'STM inputs'!$F43</f>
        <v>-2.3776602431496707E-6</v>
      </c>
      <c r="K129" s="194">
        <f>'STM inputs'!K43-'STM inputs'!$F43</f>
        <v>2.2623356621745416E-7</v>
      </c>
      <c r="L129" s="194">
        <f>'STM inputs'!L43-'STM inputs'!$F43</f>
        <v>-5.0784407429355777E-5</v>
      </c>
      <c r="M129" s="194">
        <f>'STM inputs'!M43-'STM inputs'!$F43</f>
        <v>1.7916114425697849E-5</v>
      </c>
      <c r="N129" s="194">
        <f>'STM inputs'!N43-'STM inputs'!$F43</f>
        <v>1.7594026394635726E-5</v>
      </c>
      <c r="O129" s="194">
        <f>'STM inputs'!O43-'STM inputs'!$F43</f>
        <v>1.6224690627290178E-5</v>
      </c>
      <c r="P129" s="194">
        <f>'STM inputs'!P43-'STM inputs'!$F43</f>
        <v>6.1841260991582492E-7</v>
      </c>
      <c r="Q129" s="194">
        <f>'STM inputs'!Q43-'STM inputs'!$F43</f>
        <v>-9.0139852326406866E-7</v>
      </c>
      <c r="R129" s="194">
        <f>'STM inputs'!R43-'STM inputs'!$F43</f>
        <v>4.2521166573623176E-5</v>
      </c>
      <c r="S129" s="194">
        <f>'STM inputs'!S43-'STM inputs'!$F43</f>
        <v>-2.5873931921670257E-4</v>
      </c>
      <c r="T129" s="194">
        <f>'STM inputs'!T43-'STM inputs'!$F43</f>
        <v>2.3851642677090445E-5</v>
      </c>
      <c r="U129" s="235">
        <f>'STM inputs'!U43-'STM inputs'!$F43</f>
        <v>-2.145430445140567E-5</v>
      </c>
    </row>
    <row r="130" spans="3:21" x14ac:dyDescent="0.25">
      <c r="C130" s="191"/>
      <c r="F130" s="194"/>
      <c r="G130" s="194"/>
      <c r="H130" s="194"/>
      <c r="I130" s="194"/>
      <c r="J130" s="194"/>
      <c r="K130" s="194"/>
      <c r="L130" s="194"/>
      <c r="M130" s="194"/>
      <c r="N130" s="194"/>
      <c r="O130" s="194"/>
      <c r="P130" s="194"/>
      <c r="Q130" s="194"/>
      <c r="R130" s="194"/>
      <c r="S130" s="194"/>
      <c r="T130" s="194"/>
      <c r="U130" s="235"/>
    </row>
    <row r="131" spans="3:21" x14ac:dyDescent="0.25">
      <c r="C131" s="191" t="str">
        <f>'STM inputs'!C45</f>
        <v>Rail trips</v>
      </c>
      <c r="F131" s="194"/>
      <c r="G131" s="194"/>
      <c r="H131" s="194"/>
      <c r="I131" s="194"/>
      <c r="J131" s="194"/>
      <c r="K131" s="194"/>
      <c r="L131" s="194"/>
      <c r="M131" s="194"/>
      <c r="N131" s="194"/>
      <c r="O131" s="194"/>
      <c r="P131" s="194"/>
      <c r="Q131" s="194"/>
      <c r="R131" s="194"/>
      <c r="S131" s="194"/>
      <c r="T131" s="194"/>
      <c r="U131" s="235"/>
    </row>
    <row r="132" spans="3:21" x14ac:dyDescent="0.25">
      <c r="C132" s="191" t="str">
        <f>'STM inputs'!C46</f>
        <v>Rail passenger demand - AM peak 2 hours</v>
      </c>
      <c r="D132" t="str">
        <f>'STM inputs'!D46</f>
        <v>R1</v>
      </c>
      <c r="E132" t="str">
        <f>'STM inputs'!E46</f>
        <v>Trips/AM</v>
      </c>
      <c r="F132" s="194">
        <f>'STM inputs'!F46-'STM inputs'!$F46</f>
        <v>0</v>
      </c>
      <c r="G132" s="194">
        <f>'STM inputs'!G46-'STM inputs'!$F46</f>
        <v>2719</v>
      </c>
      <c r="H132" s="194">
        <f>'STM inputs'!H46-'STM inputs'!$F46</f>
        <v>15113</v>
      </c>
      <c r="I132" s="194">
        <f>'STM inputs'!I46-'STM inputs'!$F46</f>
        <v>14733</v>
      </c>
      <c r="J132" s="194">
        <f>'STM inputs'!J46-'STM inputs'!$F46</f>
        <v>370</v>
      </c>
      <c r="K132" s="194">
        <f>'STM inputs'!K46-'STM inputs'!$F46</f>
        <v>64</v>
      </c>
      <c r="L132" s="194">
        <f>'STM inputs'!L46-'STM inputs'!$F46</f>
        <v>24881</v>
      </c>
      <c r="M132" s="194">
        <f>'STM inputs'!M46-'STM inputs'!$F46</f>
        <v>-1337</v>
      </c>
      <c r="N132" s="194">
        <f>'STM inputs'!N46-'STM inputs'!$F46</f>
        <v>-10066</v>
      </c>
      <c r="O132" s="194">
        <f>'STM inputs'!O46-'STM inputs'!$F46</f>
        <v>-9785</v>
      </c>
      <c r="P132" s="194">
        <f>'STM inputs'!P46-'STM inputs'!$F46</f>
        <v>-252</v>
      </c>
      <c r="Q132" s="194">
        <f>'STM inputs'!Q46-'STM inputs'!$F46</f>
        <v>10</v>
      </c>
      <c r="R132" s="194">
        <f>'STM inputs'!R46-'STM inputs'!$F46</f>
        <v>-20516</v>
      </c>
      <c r="S132" s="194">
        <f>'STM inputs'!S46-'STM inputs'!$F46</f>
        <v>144345</v>
      </c>
      <c r="T132" s="194">
        <f>'STM inputs'!T46-'STM inputs'!$F46</f>
        <v>-5953</v>
      </c>
      <c r="U132" s="235">
        <f>'STM inputs'!U46-'STM inputs'!$F46</f>
        <v>7021</v>
      </c>
    </row>
    <row r="133" spans="3:21" x14ac:dyDescent="0.25">
      <c r="C133" s="191" t="str">
        <f>'STM inputs'!C47</f>
        <v>Rail passenger demand - IP 6 hours</v>
      </c>
      <c r="D133" t="str">
        <f>'STM inputs'!D47</f>
        <v>R2</v>
      </c>
      <c r="E133" t="str">
        <f>'STM inputs'!E47</f>
        <v>Trips/IP</v>
      </c>
      <c r="F133" s="194">
        <f>'STM inputs'!F47-'STM inputs'!$F47</f>
        <v>0</v>
      </c>
      <c r="G133" s="194">
        <f>'STM inputs'!G47-'STM inputs'!$F47</f>
        <v>8089</v>
      </c>
      <c r="H133" s="194">
        <f>'STM inputs'!H47-'STM inputs'!$F47</f>
        <v>17113</v>
      </c>
      <c r="I133" s="194">
        <f>'STM inputs'!I47-'STM inputs'!$F47</f>
        <v>16980</v>
      </c>
      <c r="J133" s="194">
        <f>'STM inputs'!J47-'STM inputs'!$F47</f>
        <v>125</v>
      </c>
      <c r="K133" s="194">
        <f>'STM inputs'!K47-'STM inputs'!$F47</f>
        <v>31</v>
      </c>
      <c r="L133" s="194">
        <f>'STM inputs'!L47-'STM inputs'!$F47</f>
        <v>34444</v>
      </c>
      <c r="M133" s="194">
        <f>'STM inputs'!M47-'STM inputs'!$F47</f>
        <v>-4215</v>
      </c>
      <c r="N133" s="194">
        <f>'STM inputs'!N47-'STM inputs'!$F47</f>
        <v>-10725</v>
      </c>
      <c r="O133" s="194">
        <f>'STM inputs'!O47-'STM inputs'!$F47</f>
        <v>-10632</v>
      </c>
      <c r="P133" s="194">
        <f>'STM inputs'!P47-'STM inputs'!$F47</f>
        <v>-79</v>
      </c>
      <c r="Q133" s="194">
        <f>'STM inputs'!Q47-'STM inputs'!$F47</f>
        <v>3</v>
      </c>
      <c r="R133" s="194">
        <f>'STM inputs'!R47-'STM inputs'!$F47</f>
        <v>-24244</v>
      </c>
      <c r="S133" s="194">
        <f>'STM inputs'!S47-'STM inputs'!$F47</f>
        <v>424140</v>
      </c>
      <c r="T133" s="194">
        <f>'STM inputs'!T47-'STM inputs'!$F47</f>
        <v>-8250</v>
      </c>
      <c r="U133" s="235">
        <f>'STM inputs'!U47-'STM inputs'!$F47</f>
        <v>10210</v>
      </c>
    </row>
    <row r="134" spans="3:21" x14ac:dyDescent="0.25">
      <c r="C134" s="191" t="str">
        <f>'STM inputs'!C48</f>
        <v>Rail passenger demand - PM peak 3 hours</v>
      </c>
      <c r="D134" t="str">
        <f>'STM inputs'!D48</f>
        <v>R3</v>
      </c>
      <c r="E134" t="str">
        <f>'STM inputs'!E48</f>
        <v>Trips/PM</v>
      </c>
      <c r="F134" s="194">
        <f>'STM inputs'!F48-'STM inputs'!$F48</f>
        <v>0</v>
      </c>
      <c r="G134" s="194">
        <f>'STM inputs'!G48-'STM inputs'!$F48</f>
        <v>4695</v>
      </c>
      <c r="H134" s="194">
        <f>'STM inputs'!H48-'STM inputs'!$F48</f>
        <v>16603</v>
      </c>
      <c r="I134" s="194">
        <f>'STM inputs'!I48-'STM inputs'!$F48</f>
        <v>16297</v>
      </c>
      <c r="J134" s="194">
        <f>'STM inputs'!J48-'STM inputs'!$F48</f>
        <v>288</v>
      </c>
      <c r="K134" s="194">
        <f>'STM inputs'!K48-'STM inputs'!$F48</f>
        <v>70</v>
      </c>
      <c r="L134" s="194">
        <f>'STM inputs'!L48-'STM inputs'!$F48</f>
        <v>29643</v>
      </c>
      <c r="M134" s="194">
        <f>'STM inputs'!M48-'STM inputs'!$F48</f>
        <v>-2307</v>
      </c>
      <c r="N134" s="194">
        <f>'STM inputs'!N48-'STM inputs'!$F48</f>
        <v>-10814</v>
      </c>
      <c r="O134" s="194">
        <f>'STM inputs'!O48-'STM inputs'!$F48</f>
        <v>-10586</v>
      </c>
      <c r="P134" s="194">
        <f>'STM inputs'!P48-'STM inputs'!$F48</f>
        <v>-198</v>
      </c>
      <c r="Q134" s="194">
        <f>'STM inputs'!Q48-'STM inputs'!$F48</f>
        <v>4</v>
      </c>
      <c r="R134" s="194">
        <f>'STM inputs'!R48-'STM inputs'!$F48</f>
        <v>-22931</v>
      </c>
      <c r="S134" s="194">
        <f>'STM inputs'!S48-'STM inputs'!$F48</f>
        <v>250254</v>
      </c>
      <c r="T134" s="194">
        <f>'STM inputs'!T48-'STM inputs'!$F48</f>
        <v>-6856</v>
      </c>
      <c r="U134" s="235">
        <f>'STM inputs'!U48-'STM inputs'!$F48</f>
        <v>8444</v>
      </c>
    </row>
    <row r="135" spans="3:21" x14ac:dyDescent="0.25">
      <c r="C135" s="191" t="str">
        <f>'STM inputs'!C49</f>
        <v>Rail passenger demand - EV 13 hours</v>
      </c>
      <c r="D135" t="str">
        <f>'STM inputs'!D49</f>
        <v>R4</v>
      </c>
      <c r="E135" t="str">
        <f>'STM inputs'!E49</f>
        <v>Trips/EV</v>
      </c>
      <c r="F135" s="194">
        <f>'STM inputs'!F49-'STM inputs'!$F49</f>
        <v>0</v>
      </c>
      <c r="G135" s="194">
        <f>'STM inputs'!G49-'STM inputs'!$F49</f>
        <v>2256</v>
      </c>
      <c r="H135" s="194">
        <f>'STM inputs'!H49-'STM inputs'!$F49</f>
        <v>13447</v>
      </c>
      <c r="I135" s="194">
        <f>'STM inputs'!I49-'STM inputs'!$F49</f>
        <v>13142</v>
      </c>
      <c r="J135" s="194">
        <f>'STM inputs'!J49-'STM inputs'!$F49</f>
        <v>302</v>
      </c>
      <c r="K135" s="194">
        <f>'STM inputs'!K49-'STM inputs'!$F49</f>
        <v>65</v>
      </c>
      <c r="L135" s="194">
        <f>'STM inputs'!L49-'STM inputs'!$F49</f>
        <v>22527</v>
      </c>
      <c r="M135" s="194">
        <f>'STM inputs'!M49-'STM inputs'!$F49</f>
        <v>-870</v>
      </c>
      <c r="N135" s="194">
        <f>'STM inputs'!N49-'STM inputs'!$F49</f>
        <v>-8763</v>
      </c>
      <c r="O135" s="194">
        <f>'STM inputs'!O49-'STM inputs'!$F49</f>
        <v>-8528</v>
      </c>
      <c r="P135" s="194">
        <f>'STM inputs'!P49-'STM inputs'!$F49</f>
        <v>-203</v>
      </c>
      <c r="Q135" s="194">
        <f>'STM inputs'!Q49-'STM inputs'!$F49</f>
        <v>9</v>
      </c>
      <c r="R135" s="194">
        <f>'STM inputs'!R49-'STM inputs'!$F49</f>
        <v>-18220</v>
      </c>
      <c r="S135" s="194">
        <f>'STM inputs'!S49-'STM inputs'!$F49</f>
        <v>154279</v>
      </c>
      <c r="T135" s="194">
        <f>'STM inputs'!T49-'STM inputs'!$F49</f>
        <v>-4971</v>
      </c>
      <c r="U135" s="235">
        <f>'STM inputs'!U49-'STM inputs'!$F49</f>
        <v>6313</v>
      </c>
    </row>
    <row r="136" spans="3:21" x14ac:dyDescent="0.25">
      <c r="C136" s="191" t="str">
        <f>'STM inputs'!C50</f>
        <v>Rail passenger kms</v>
      </c>
      <c r="F136" s="194"/>
      <c r="G136" s="194"/>
      <c r="H136" s="194"/>
      <c r="I136" s="194"/>
      <c r="J136" s="194"/>
      <c r="K136" s="194"/>
      <c r="L136" s="194"/>
      <c r="M136" s="194"/>
      <c r="N136" s="194"/>
      <c r="O136" s="194"/>
      <c r="P136" s="194"/>
      <c r="Q136" s="194"/>
      <c r="R136" s="194"/>
      <c r="S136" s="194"/>
      <c r="T136" s="194"/>
      <c r="U136" s="235"/>
    </row>
    <row r="137" spans="3:21" x14ac:dyDescent="0.25">
      <c r="C137" s="191" t="str">
        <f>'STM inputs'!C51</f>
        <v>Rail PKT - AM peak 2 hours</v>
      </c>
      <c r="D137" t="str">
        <f>'STM inputs'!D51</f>
        <v>R5</v>
      </c>
      <c r="E137" t="str">
        <f>'STM inputs'!E51</f>
        <v>Pass. Kms/AM</v>
      </c>
      <c r="F137" s="194">
        <f>'STM inputs'!F51-'STM inputs'!$F51</f>
        <v>0</v>
      </c>
      <c r="G137" s="194">
        <f>'STM inputs'!G51-'STM inputs'!$F51</f>
        <v>-22701</v>
      </c>
      <c r="H137" s="194">
        <f>'STM inputs'!H51-'STM inputs'!$F51</f>
        <v>232471</v>
      </c>
      <c r="I137" s="194">
        <f>'STM inputs'!I51-'STM inputs'!$F51</f>
        <v>233830</v>
      </c>
      <c r="J137" s="194">
        <f>'STM inputs'!J51-'STM inputs'!$F51</f>
        <v>-82</v>
      </c>
      <c r="K137" s="194">
        <f>'STM inputs'!K51-'STM inputs'!$F51</f>
        <v>845</v>
      </c>
      <c r="L137" s="194">
        <f>'STM inputs'!L51-'STM inputs'!$F51</f>
        <v>565000</v>
      </c>
      <c r="M137" s="194">
        <f>'STM inputs'!M51-'STM inputs'!$F51</f>
        <v>32644</v>
      </c>
      <c r="N137" s="194">
        <f>'STM inputs'!N51-'STM inputs'!$F51</f>
        <v>-119620</v>
      </c>
      <c r="O137" s="194">
        <f>'STM inputs'!O51-'STM inputs'!$F51</f>
        <v>-121040</v>
      </c>
      <c r="P137" s="194">
        <f>'STM inputs'!P51-'STM inputs'!$F51</f>
        <v>1862</v>
      </c>
      <c r="Q137" s="194">
        <f>'STM inputs'!Q51-'STM inputs'!$F51</f>
        <v>740</v>
      </c>
      <c r="R137" s="194">
        <f>'STM inputs'!R51-'STM inputs'!$F51</f>
        <v>-477600</v>
      </c>
      <c r="S137" s="194">
        <f>'STM inputs'!S51-'STM inputs'!$F51</f>
        <v>2548144</v>
      </c>
      <c r="T137" s="194">
        <f>'STM inputs'!T51-'STM inputs'!$F51</f>
        <v>-75604</v>
      </c>
      <c r="U137" s="235">
        <f>'STM inputs'!U51-'STM inputs'!$F51</f>
        <v>170068</v>
      </c>
    </row>
    <row r="138" spans="3:21" x14ac:dyDescent="0.25">
      <c r="C138" s="191" t="str">
        <f>'STM inputs'!C52</f>
        <v>Rail PKT - IP 6 hours</v>
      </c>
      <c r="D138" t="str">
        <f>'STM inputs'!D52</f>
        <v>R6</v>
      </c>
      <c r="E138" t="str">
        <f>'STM inputs'!E52</f>
        <v>Pass. Kms/IP</v>
      </c>
      <c r="F138" s="194">
        <f>'STM inputs'!F52-'STM inputs'!$F52</f>
        <v>0</v>
      </c>
      <c r="G138" s="194">
        <f>'STM inputs'!G52-'STM inputs'!$F52</f>
        <v>-46417</v>
      </c>
      <c r="H138" s="194">
        <f>'STM inputs'!H52-'STM inputs'!$F52</f>
        <v>290070</v>
      </c>
      <c r="I138" s="194">
        <f>'STM inputs'!I52-'STM inputs'!$F52</f>
        <v>291363</v>
      </c>
      <c r="J138" s="194">
        <f>'STM inputs'!J52-'STM inputs'!$F52</f>
        <v>-921</v>
      </c>
      <c r="K138" s="194">
        <f>'STM inputs'!K52-'STM inputs'!$F52</f>
        <v>82</v>
      </c>
      <c r="L138" s="194">
        <f>'STM inputs'!L52-'STM inputs'!$F52</f>
        <v>670787</v>
      </c>
      <c r="M138" s="194">
        <f>'STM inputs'!M52-'STM inputs'!$F52</f>
        <v>79527</v>
      </c>
      <c r="N138" s="194">
        <f>'STM inputs'!N52-'STM inputs'!$F52</f>
        <v>-141416</v>
      </c>
      <c r="O138" s="194">
        <f>'STM inputs'!O52-'STM inputs'!$F52</f>
        <v>-142446</v>
      </c>
      <c r="P138" s="194">
        <f>'STM inputs'!P52-'STM inputs'!$F52</f>
        <v>1146</v>
      </c>
      <c r="Q138" s="194">
        <f>'STM inputs'!Q52-'STM inputs'!$F52</f>
        <v>183</v>
      </c>
      <c r="R138" s="194">
        <f>'STM inputs'!R52-'STM inputs'!$F52</f>
        <v>-490582</v>
      </c>
      <c r="S138" s="194">
        <f>'STM inputs'!S52-'STM inputs'!$F52</f>
        <v>4971273</v>
      </c>
      <c r="T138" s="194">
        <f>'STM inputs'!T52-'STM inputs'!$F52</f>
        <v>-24402</v>
      </c>
      <c r="U138" s="235">
        <f>'STM inputs'!U52-'STM inputs'!$F52</f>
        <v>191838</v>
      </c>
    </row>
    <row r="139" spans="3:21" x14ac:dyDescent="0.25">
      <c r="C139" s="191" t="str">
        <f>'STM inputs'!C53</f>
        <v>Rail PKT - PM peak 3 hours</v>
      </c>
      <c r="D139" t="str">
        <f>'STM inputs'!D53</f>
        <v>R7</v>
      </c>
      <c r="E139" t="str">
        <f>'STM inputs'!E53</f>
        <v>Pass. Kms/PM</v>
      </c>
      <c r="F139" s="194">
        <f>'STM inputs'!F53-'STM inputs'!$F53</f>
        <v>0</v>
      </c>
      <c r="G139" s="194">
        <f>'STM inputs'!G53-'STM inputs'!$F53</f>
        <v>-37607</v>
      </c>
      <c r="H139" s="194">
        <f>'STM inputs'!H53-'STM inputs'!$F53</f>
        <v>264492</v>
      </c>
      <c r="I139" s="194">
        <f>'STM inputs'!I53-'STM inputs'!$F53</f>
        <v>265961</v>
      </c>
      <c r="J139" s="194">
        <f>'STM inputs'!J53-'STM inputs'!$F53</f>
        <v>-292</v>
      </c>
      <c r="K139" s="194">
        <f>'STM inputs'!K53-'STM inputs'!$F53</f>
        <v>579</v>
      </c>
      <c r="L139" s="194">
        <f>'STM inputs'!L53-'STM inputs'!$F53</f>
        <v>633737</v>
      </c>
      <c r="M139" s="194">
        <f>'STM inputs'!M53-'STM inputs'!$F53</f>
        <v>56827</v>
      </c>
      <c r="N139" s="194">
        <f>'STM inputs'!N53-'STM inputs'!$F53</f>
        <v>-132400</v>
      </c>
      <c r="O139" s="194">
        <f>'STM inputs'!O53-'STM inputs'!$F53</f>
        <v>-133478</v>
      </c>
      <c r="P139" s="194">
        <f>'STM inputs'!P53-'STM inputs'!$F53</f>
        <v>1483</v>
      </c>
      <c r="Q139" s="194">
        <f>'STM inputs'!Q53-'STM inputs'!$F53</f>
        <v>562</v>
      </c>
      <c r="R139" s="194">
        <f>'STM inputs'!R53-'STM inputs'!$F53</f>
        <v>-508534</v>
      </c>
      <c r="S139" s="194">
        <f>'STM inputs'!S53-'STM inputs'!$F53</f>
        <v>3508260</v>
      </c>
      <c r="T139" s="194">
        <f>'STM inputs'!T53-'STM inputs'!$F53</f>
        <v>-55666</v>
      </c>
      <c r="U139" s="235">
        <f>'STM inputs'!U53-'STM inputs'!$F53</f>
        <v>186045</v>
      </c>
    </row>
    <row r="140" spans="3:21" x14ac:dyDescent="0.25">
      <c r="C140" s="191" t="str">
        <f>'STM inputs'!C54</f>
        <v>Rail PKT - EV 13 hours</v>
      </c>
      <c r="D140" t="str">
        <f>'STM inputs'!D54</f>
        <v>R8</v>
      </c>
      <c r="E140" t="str">
        <f>'STM inputs'!E54</f>
        <v>Pass. Kms/EV</v>
      </c>
      <c r="F140" s="194">
        <f>'STM inputs'!F54-'STM inputs'!$F54</f>
        <v>0</v>
      </c>
      <c r="G140" s="194">
        <f>'STM inputs'!G54-'STM inputs'!$F54</f>
        <v>-36341</v>
      </c>
      <c r="H140" s="194">
        <f>'STM inputs'!H54-'STM inputs'!$F54</f>
        <v>210880</v>
      </c>
      <c r="I140" s="194">
        <f>'STM inputs'!I54-'STM inputs'!$F54</f>
        <v>212277</v>
      </c>
      <c r="J140" s="194">
        <f>'STM inputs'!J54-'STM inputs'!$F54</f>
        <v>-96</v>
      </c>
      <c r="K140" s="194">
        <f>'STM inputs'!K54-'STM inputs'!$F54</f>
        <v>741</v>
      </c>
      <c r="L140" s="194">
        <f>'STM inputs'!L54-'STM inputs'!$F54</f>
        <v>519909</v>
      </c>
      <c r="M140" s="194">
        <f>'STM inputs'!M54-'STM inputs'!$F54</f>
        <v>44956</v>
      </c>
      <c r="N140" s="194">
        <f>'STM inputs'!N54-'STM inputs'!$F54</f>
        <v>-105387</v>
      </c>
      <c r="O140" s="194">
        <f>'STM inputs'!O54-'STM inputs'!$F54</f>
        <v>-106406</v>
      </c>
      <c r="P140" s="194">
        <f>'STM inputs'!P54-'STM inputs'!$F54</f>
        <v>1534</v>
      </c>
      <c r="Q140" s="194">
        <f>'STM inputs'!Q54-'STM inputs'!$F54</f>
        <v>639</v>
      </c>
      <c r="R140" s="194">
        <f>'STM inputs'!R54-'STM inputs'!$F54</f>
        <v>-433346</v>
      </c>
      <c r="S140" s="194">
        <f>'STM inputs'!S54-'STM inputs'!$F54</f>
        <v>2498702</v>
      </c>
      <c r="T140" s="194">
        <f>'STM inputs'!T54-'STM inputs'!$F54</f>
        <v>-52356</v>
      </c>
      <c r="U140" s="235">
        <f>'STM inputs'!U54-'STM inputs'!$F54</f>
        <v>150039</v>
      </c>
    </row>
    <row r="141" spans="3:21" x14ac:dyDescent="0.25">
      <c r="C141" s="191" t="str">
        <f>'STM inputs'!C55</f>
        <v>Rail passenger hours</v>
      </c>
      <c r="F141" s="194"/>
      <c r="G141" s="194"/>
      <c r="H141" s="194"/>
      <c r="I141" s="194"/>
      <c r="J141" s="194"/>
      <c r="K141" s="194"/>
      <c r="L141" s="194"/>
      <c r="M141" s="194"/>
      <c r="N141" s="194"/>
      <c r="O141" s="194"/>
      <c r="P141" s="194"/>
      <c r="Q141" s="194"/>
      <c r="R141" s="194"/>
      <c r="S141" s="194"/>
      <c r="T141" s="194"/>
      <c r="U141" s="235"/>
    </row>
    <row r="142" spans="3:21" x14ac:dyDescent="0.25">
      <c r="C142" s="191" t="str">
        <f>'STM inputs'!C56</f>
        <v>Rail PHT - AM peak 2 hours</v>
      </c>
      <c r="D142" t="str">
        <f>'STM inputs'!D56</f>
        <v>R9</v>
      </c>
      <c r="E142" t="str">
        <f>'STM inputs'!E56</f>
        <v>Pass. Hours/AM</v>
      </c>
      <c r="F142" s="194">
        <f>'STM inputs'!F56-'STM inputs'!$F56</f>
        <v>0</v>
      </c>
      <c r="G142" s="194">
        <f>'STM inputs'!G56-'STM inputs'!$F56</f>
        <v>-377</v>
      </c>
      <c r="H142" s="194">
        <f>'STM inputs'!H56-'STM inputs'!$F56</f>
        <v>5562</v>
      </c>
      <c r="I142" s="194">
        <f>'STM inputs'!I56-'STM inputs'!$F56</f>
        <v>5591</v>
      </c>
      <c r="J142" s="194">
        <f>'STM inputs'!J56-'STM inputs'!$F56</f>
        <v>-3</v>
      </c>
      <c r="K142" s="194">
        <f>'STM inputs'!K56-'STM inputs'!$F56</f>
        <v>19</v>
      </c>
      <c r="L142" s="194">
        <f>'STM inputs'!L56-'STM inputs'!$F56</f>
        <v>11890</v>
      </c>
      <c r="M142" s="194">
        <f>'STM inputs'!M56-'STM inputs'!$F56</f>
        <v>627</v>
      </c>
      <c r="N142" s="194">
        <f>'STM inputs'!N56-'STM inputs'!$F56</f>
        <v>-3038</v>
      </c>
      <c r="O142" s="194">
        <f>'STM inputs'!O56-'STM inputs'!$F56</f>
        <v>-3071</v>
      </c>
      <c r="P142" s="194">
        <f>'STM inputs'!P56-'STM inputs'!$F56</f>
        <v>44</v>
      </c>
      <c r="Q142" s="194">
        <f>'STM inputs'!Q56-'STM inputs'!$F56</f>
        <v>16</v>
      </c>
      <c r="R142" s="194">
        <f>'STM inputs'!R56-'STM inputs'!$F56</f>
        <v>-10028</v>
      </c>
      <c r="S142" s="194">
        <f>'STM inputs'!S56-'STM inputs'!$F56</f>
        <v>54754</v>
      </c>
      <c r="T142" s="194">
        <f>'STM inputs'!T56-'STM inputs'!$F56</f>
        <v>-2027</v>
      </c>
      <c r="U142" s="235">
        <f>'STM inputs'!U56-'STM inputs'!$F56</f>
        <v>3837</v>
      </c>
    </row>
    <row r="143" spans="3:21" x14ac:dyDescent="0.25">
      <c r="C143" s="191" t="str">
        <f>'STM inputs'!C57</f>
        <v>Rail PHT - IP 6 hours</v>
      </c>
      <c r="D143" t="str">
        <f>'STM inputs'!D57</f>
        <v>R10</v>
      </c>
      <c r="E143" t="str">
        <f>'STM inputs'!E57</f>
        <v>Pass. Hours/IP</v>
      </c>
      <c r="F143" s="194">
        <f>'STM inputs'!F57-'STM inputs'!$F57</f>
        <v>0</v>
      </c>
      <c r="G143" s="194">
        <f>'STM inputs'!G57-'STM inputs'!$F57</f>
        <v>-542</v>
      </c>
      <c r="H143" s="194">
        <f>'STM inputs'!H57-'STM inputs'!$F57</f>
        <v>6927</v>
      </c>
      <c r="I143" s="194">
        <f>'STM inputs'!I57-'STM inputs'!$F57</f>
        <v>6957</v>
      </c>
      <c r="J143" s="194">
        <f>'STM inputs'!J57-'STM inputs'!$F57</f>
        <v>-21</v>
      </c>
      <c r="K143" s="194">
        <f>'STM inputs'!K57-'STM inputs'!$F57</f>
        <v>4</v>
      </c>
      <c r="L143" s="194">
        <f>'STM inputs'!L57-'STM inputs'!$F57</f>
        <v>14617</v>
      </c>
      <c r="M143" s="194">
        <f>'STM inputs'!M57-'STM inputs'!$F57</f>
        <v>1362</v>
      </c>
      <c r="N143" s="194">
        <f>'STM inputs'!N57-'STM inputs'!$F57</f>
        <v>-3588</v>
      </c>
      <c r="O143" s="194">
        <f>'STM inputs'!O57-'STM inputs'!$F57</f>
        <v>-3612</v>
      </c>
      <c r="P143" s="194">
        <f>'STM inputs'!P57-'STM inputs'!$F57</f>
        <v>27</v>
      </c>
      <c r="Q143" s="194">
        <f>'STM inputs'!Q57-'STM inputs'!$F57</f>
        <v>4</v>
      </c>
      <c r="R143" s="194">
        <f>'STM inputs'!R57-'STM inputs'!$F57</f>
        <v>-10597</v>
      </c>
      <c r="S143" s="194">
        <f>'STM inputs'!S57-'STM inputs'!$F57</f>
        <v>113791</v>
      </c>
      <c r="T143" s="194">
        <f>'STM inputs'!T57-'STM inputs'!$F57</f>
        <v>-1176</v>
      </c>
      <c r="U143" s="235">
        <f>'STM inputs'!U57-'STM inputs'!$F57</f>
        <v>4443</v>
      </c>
    </row>
    <row r="144" spans="3:21" x14ac:dyDescent="0.25">
      <c r="C144" s="191" t="str">
        <f>'STM inputs'!C58</f>
        <v>Rail PHT - PM peak 3 hours</v>
      </c>
      <c r="D144" t="str">
        <f>'STM inputs'!D58</f>
        <v>R11</v>
      </c>
      <c r="E144" t="str">
        <f>'STM inputs'!E58</f>
        <v>Pass. Hours/PM</v>
      </c>
      <c r="F144" s="194">
        <f>'STM inputs'!F58-'STM inputs'!$F58</f>
        <v>0</v>
      </c>
      <c r="G144" s="194">
        <f>'STM inputs'!G58-'STM inputs'!$F58</f>
        <v>-597</v>
      </c>
      <c r="H144" s="194">
        <f>'STM inputs'!H58-'STM inputs'!$F58</f>
        <v>6478</v>
      </c>
      <c r="I144" s="194">
        <f>'STM inputs'!I58-'STM inputs'!$F58</f>
        <v>6512</v>
      </c>
      <c r="J144" s="194">
        <f>'STM inputs'!J58-'STM inputs'!$F58</f>
        <v>-6</v>
      </c>
      <c r="K144" s="194">
        <f>'STM inputs'!K58-'STM inputs'!$F58</f>
        <v>15</v>
      </c>
      <c r="L144" s="194">
        <f>'STM inputs'!L58-'STM inputs'!$F58</f>
        <v>13965</v>
      </c>
      <c r="M144" s="194">
        <f>'STM inputs'!M58-'STM inputs'!$F58</f>
        <v>1077</v>
      </c>
      <c r="N144" s="194">
        <f>'STM inputs'!N58-'STM inputs'!$F58</f>
        <v>-3435</v>
      </c>
      <c r="O144" s="194">
        <f>'STM inputs'!O58-'STM inputs'!$F58</f>
        <v>-3459</v>
      </c>
      <c r="P144" s="194">
        <f>'STM inputs'!P58-'STM inputs'!$F58</f>
        <v>34</v>
      </c>
      <c r="Q144" s="194">
        <f>'STM inputs'!Q58-'STM inputs'!$F58</f>
        <v>12</v>
      </c>
      <c r="R144" s="194">
        <f>'STM inputs'!R58-'STM inputs'!$F58</f>
        <v>-11164</v>
      </c>
      <c r="S144" s="194">
        <f>'STM inputs'!S58-'STM inputs'!$F58</f>
        <v>79577</v>
      </c>
      <c r="T144" s="194">
        <f>'STM inputs'!T58-'STM inputs'!$F58</f>
        <v>-1760</v>
      </c>
      <c r="U144" s="235">
        <f>'STM inputs'!U58-'STM inputs'!$F58</f>
        <v>4386</v>
      </c>
    </row>
    <row r="145" spans="3:21" x14ac:dyDescent="0.25">
      <c r="C145" s="191" t="str">
        <f>'STM inputs'!C59</f>
        <v>Rail PHT - EV 13 hours</v>
      </c>
      <c r="D145" t="str">
        <f>'STM inputs'!D59</f>
        <v>R12</v>
      </c>
      <c r="E145" t="str">
        <f>'STM inputs'!E59</f>
        <v>Pass. Hours/EV</v>
      </c>
      <c r="F145" s="194">
        <f>'STM inputs'!F59-'STM inputs'!$F59</f>
        <v>0</v>
      </c>
      <c r="G145" s="194">
        <f>'STM inputs'!G59-'STM inputs'!$F59</f>
        <v>-659</v>
      </c>
      <c r="H145" s="194">
        <f>'STM inputs'!H59-'STM inputs'!$F59</f>
        <v>5177</v>
      </c>
      <c r="I145" s="194">
        <f>'STM inputs'!I59-'STM inputs'!$F59</f>
        <v>5209</v>
      </c>
      <c r="J145" s="194">
        <f>'STM inputs'!J59-'STM inputs'!$F59</f>
        <v>-2</v>
      </c>
      <c r="K145" s="194">
        <f>'STM inputs'!K59-'STM inputs'!$F59</f>
        <v>18</v>
      </c>
      <c r="L145" s="194">
        <f>'STM inputs'!L59-'STM inputs'!$F59</f>
        <v>11301</v>
      </c>
      <c r="M145" s="194">
        <f>'STM inputs'!M59-'STM inputs'!$F59</f>
        <v>889</v>
      </c>
      <c r="N145" s="194">
        <f>'STM inputs'!N59-'STM inputs'!$F59</f>
        <v>-2747</v>
      </c>
      <c r="O145" s="194">
        <f>'STM inputs'!O59-'STM inputs'!$F59</f>
        <v>-2771</v>
      </c>
      <c r="P145" s="194">
        <f>'STM inputs'!P59-'STM inputs'!$F59</f>
        <v>36</v>
      </c>
      <c r="Q145" s="194">
        <f>'STM inputs'!Q59-'STM inputs'!$F59</f>
        <v>15</v>
      </c>
      <c r="R145" s="194">
        <f>'STM inputs'!R59-'STM inputs'!$F59</f>
        <v>-9393</v>
      </c>
      <c r="S145" s="194">
        <f>'STM inputs'!S59-'STM inputs'!$F59</f>
        <v>55606</v>
      </c>
      <c r="T145" s="194">
        <f>'STM inputs'!T59-'STM inputs'!$F59</f>
        <v>-1567</v>
      </c>
      <c r="U145" s="235">
        <f>'STM inputs'!U59-'STM inputs'!$F59</f>
        <v>3527</v>
      </c>
    </row>
    <row r="146" spans="3:21" x14ac:dyDescent="0.25">
      <c r="C146" s="191"/>
      <c r="F146" s="194"/>
      <c r="G146" s="194"/>
      <c r="H146" s="194"/>
      <c r="I146" s="194"/>
      <c r="J146" s="194"/>
      <c r="K146" s="194"/>
      <c r="L146" s="194"/>
      <c r="M146" s="194"/>
      <c r="N146" s="194"/>
      <c r="O146" s="194"/>
      <c r="P146" s="194"/>
      <c r="Q146" s="194"/>
      <c r="R146" s="194"/>
      <c r="S146" s="194"/>
      <c r="T146" s="194"/>
      <c r="U146" s="235"/>
    </row>
    <row r="147" spans="3:21" x14ac:dyDescent="0.25">
      <c r="C147" s="191" t="str">
        <f>'STM inputs'!C61</f>
        <v>Bus trips</v>
      </c>
      <c r="F147" s="194"/>
      <c r="G147" s="194"/>
      <c r="H147" s="194"/>
      <c r="I147" s="194"/>
      <c r="J147" s="194"/>
      <c r="K147" s="194"/>
      <c r="L147" s="194"/>
      <c r="M147" s="194"/>
      <c r="N147" s="194"/>
      <c r="O147" s="194"/>
      <c r="P147" s="194"/>
      <c r="Q147" s="194"/>
      <c r="R147" s="194"/>
      <c r="S147" s="194"/>
      <c r="T147" s="194"/>
      <c r="U147" s="235"/>
    </row>
    <row r="148" spans="3:21" x14ac:dyDescent="0.25">
      <c r="C148" s="191" t="str">
        <f>'STM inputs'!C62</f>
        <v>Bus passenger demand - AM peak 2 hours</v>
      </c>
      <c r="D148" t="str">
        <f>'STM inputs'!D62</f>
        <v>B1</v>
      </c>
      <c r="E148" t="str">
        <f>'STM inputs'!E62</f>
        <v>Trips/AM</v>
      </c>
      <c r="F148" s="194">
        <f>'STM inputs'!F62-'STM inputs'!$F62</f>
        <v>0</v>
      </c>
      <c r="G148" s="194">
        <f>'STM inputs'!G62-'STM inputs'!$F62</f>
        <v>15111</v>
      </c>
      <c r="H148" s="194">
        <f>'STM inputs'!H62-'STM inputs'!$F62</f>
        <v>-3244</v>
      </c>
      <c r="I148" s="194">
        <f>'STM inputs'!I62-'STM inputs'!$F62</f>
        <v>-2922</v>
      </c>
      <c r="J148" s="194">
        <f>'STM inputs'!J62-'STM inputs'!$F62</f>
        <v>-282</v>
      </c>
      <c r="K148" s="194">
        <f>'STM inputs'!K62-'STM inputs'!$F62</f>
        <v>-32</v>
      </c>
      <c r="L148" s="194">
        <f>'STM inputs'!L62-'STM inputs'!$F62</f>
        <v>10392</v>
      </c>
      <c r="M148" s="194">
        <f>'STM inputs'!M62-'STM inputs'!$F62</f>
        <v>-12398</v>
      </c>
      <c r="N148" s="194">
        <f>'STM inputs'!N62-'STM inputs'!$F62</f>
        <v>2322</v>
      </c>
      <c r="O148" s="194">
        <f>'STM inputs'!O62-'STM inputs'!$F62</f>
        <v>2074</v>
      </c>
      <c r="P148" s="194">
        <f>'STM inputs'!P62-'STM inputs'!$F62</f>
        <v>244</v>
      </c>
      <c r="Q148" s="194">
        <f>'STM inputs'!Q62-'STM inputs'!$F62</f>
        <v>8</v>
      </c>
      <c r="R148" s="194">
        <f>'STM inputs'!R62-'STM inputs'!$F62</f>
        <v>-8872</v>
      </c>
      <c r="S148" s="194">
        <f>'STM inputs'!S62-'STM inputs'!$F62</f>
        <v>32418</v>
      </c>
      <c r="T148" s="194">
        <f>'STM inputs'!T62-'STM inputs'!$F62</f>
        <v>-10818</v>
      </c>
      <c r="U148" s="235">
        <f>'STM inputs'!U62-'STM inputs'!$F62</f>
        <v>7370</v>
      </c>
    </row>
    <row r="149" spans="3:21" x14ac:dyDescent="0.25">
      <c r="C149" s="191" t="str">
        <f>'STM inputs'!C63</f>
        <v>Bus passenger demand - IP 6 hours</v>
      </c>
      <c r="D149" t="str">
        <f>'STM inputs'!D63</f>
        <v>B2</v>
      </c>
      <c r="E149" t="str">
        <f>'STM inputs'!E63</f>
        <v>Trips/IP</v>
      </c>
      <c r="F149" s="194">
        <f>'STM inputs'!F63-'STM inputs'!$F63</f>
        <v>0</v>
      </c>
      <c r="G149" s="194">
        <f>'STM inputs'!G63-'STM inputs'!$F63</f>
        <v>31196</v>
      </c>
      <c r="H149" s="194">
        <f>'STM inputs'!H63-'STM inputs'!$F63</f>
        <v>-4860</v>
      </c>
      <c r="I149" s="194">
        <f>'STM inputs'!I63-'STM inputs'!$F63</f>
        <v>-4592</v>
      </c>
      <c r="J149" s="194">
        <f>'STM inputs'!J63-'STM inputs'!$F63</f>
        <v>-235</v>
      </c>
      <c r="K149" s="194">
        <f>'STM inputs'!K63-'STM inputs'!$F63</f>
        <v>-25</v>
      </c>
      <c r="L149" s="194">
        <f>'STM inputs'!L63-'STM inputs'!$F63</f>
        <v>23069</v>
      </c>
      <c r="M149" s="194">
        <f>'STM inputs'!M63-'STM inputs'!$F63</f>
        <v>-23979</v>
      </c>
      <c r="N149" s="194">
        <f>'STM inputs'!N63-'STM inputs'!$F63</f>
        <v>3181</v>
      </c>
      <c r="O149" s="194">
        <f>'STM inputs'!O63-'STM inputs'!$F63</f>
        <v>2987</v>
      </c>
      <c r="P149" s="194">
        <f>'STM inputs'!P63-'STM inputs'!$F63</f>
        <v>188</v>
      </c>
      <c r="Q149" s="194">
        <f>'STM inputs'!Q63-'STM inputs'!$F63</f>
        <v>9</v>
      </c>
      <c r="R149" s="194">
        <f>'STM inputs'!R63-'STM inputs'!$F63</f>
        <v>-18252</v>
      </c>
      <c r="S149" s="194">
        <f>'STM inputs'!S63-'STM inputs'!$F63</f>
        <v>53461</v>
      </c>
      <c r="T149" s="194">
        <f>'STM inputs'!T63-'STM inputs'!$F63</f>
        <v>-21107</v>
      </c>
      <c r="U149" s="235">
        <f>'STM inputs'!U63-'STM inputs'!$F63</f>
        <v>13676</v>
      </c>
    </row>
    <row r="150" spans="3:21" x14ac:dyDescent="0.25">
      <c r="C150" s="191" t="str">
        <f>'STM inputs'!C64</f>
        <v>Bus passenger demand - PM peak 3 hours</v>
      </c>
      <c r="D150" t="str">
        <f>'STM inputs'!D64</f>
        <v>B3</v>
      </c>
      <c r="E150" t="str">
        <f>'STM inputs'!E64</f>
        <v>Trips/PM</v>
      </c>
      <c r="F150" s="194">
        <f>'STM inputs'!F64-'STM inputs'!$F64</f>
        <v>0</v>
      </c>
      <c r="G150" s="194">
        <f>'STM inputs'!G64-'STM inputs'!$F64</f>
        <v>18296</v>
      </c>
      <c r="H150" s="194">
        <f>'STM inputs'!H64-'STM inputs'!$F64</f>
        <v>-3552</v>
      </c>
      <c r="I150" s="194">
        <f>'STM inputs'!I64-'STM inputs'!$F64</f>
        <v>-3273</v>
      </c>
      <c r="J150" s="194">
        <f>'STM inputs'!J64-'STM inputs'!$F64</f>
        <v>-243</v>
      </c>
      <c r="K150" s="194">
        <f>'STM inputs'!K64-'STM inputs'!$F64</f>
        <v>-27</v>
      </c>
      <c r="L150" s="194">
        <f>'STM inputs'!L64-'STM inputs'!$F64</f>
        <v>12778</v>
      </c>
      <c r="M150" s="194">
        <f>'STM inputs'!M64-'STM inputs'!$F64</f>
        <v>-14628</v>
      </c>
      <c r="N150" s="194">
        <f>'STM inputs'!N64-'STM inputs'!$F64</f>
        <v>2444</v>
      </c>
      <c r="O150" s="194">
        <f>'STM inputs'!O64-'STM inputs'!$F64</f>
        <v>2234</v>
      </c>
      <c r="P150" s="194">
        <f>'STM inputs'!P64-'STM inputs'!$F64</f>
        <v>205</v>
      </c>
      <c r="Q150" s="194">
        <f>'STM inputs'!Q64-'STM inputs'!$F64</f>
        <v>8</v>
      </c>
      <c r="R150" s="194">
        <f>'STM inputs'!R64-'STM inputs'!$F64</f>
        <v>-10604</v>
      </c>
      <c r="S150" s="194">
        <f>'STM inputs'!S64-'STM inputs'!$F64</f>
        <v>32628</v>
      </c>
      <c r="T150" s="194">
        <f>'STM inputs'!T64-'STM inputs'!$F64</f>
        <v>-12936</v>
      </c>
      <c r="U150" s="235">
        <f>'STM inputs'!U64-'STM inputs'!$F64</f>
        <v>8498</v>
      </c>
    </row>
    <row r="151" spans="3:21" x14ac:dyDescent="0.25">
      <c r="C151" s="191" t="str">
        <f>'STM inputs'!C65</f>
        <v>Bus passenger demand - EV 13 hours</v>
      </c>
      <c r="D151" t="str">
        <f>'STM inputs'!D65</f>
        <v>B4</v>
      </c>
      <c r="E151" t="str">
        <f>'STM inputs'!E65</f>
        <v>Trips/EV</v>
      </c>
      <c r="F151" s="194">
        <f>'STM inputs'!F65-'STM inputs'!$F65</f>
        <v>0</v>
      </c>
      <c r="G151" s="194">
        <f>'STM inputs'!G65-'STM inputs'!$F65</f>
        <v>11272</v>
      </c>
      <c r="H151" s="194">
        <f>'STM inputs'!H65-'STM inputs'!$F65</f>
        <v>-2823</v>
      </c>
      <c r="I151" s="194">
        <f>'STM inputs'!I65-'STM inputs'!$F65</f>
        <v>-2553</v>
      </c>
      <c r="J151" s="194">
        <f>'STM inputs'!J65-'STM inputs'!$F65</f>
        <v>-239</v>
      </c>
      <c r="K151" s="194">
        <f>'STM inputs'!K65-'STM inputs'!$F65</f>
        <v>-27</v>
      </c>
      <c r="L151" s="194">
        <f>'STM inputs'!L65-'STM inputs'!$F65</f>
        <v>6988</v>
      </c>
      <c r="M151" s="194">
        <f>'STM inputs'!M65-'STM inputs'!$F65</f>
        <v>-9269</v>
      </c>
      <c r="N151" s="194">
        <f>'STM inputs'!N65-'STM inputs'!$F65</f>
        <v>1979</v>
      </c>
      <c r="O151" s="194">
        <f>'STM inputs'!O65-'STM inputs'!$F65</f>
        <v>1771</v>
      </c>
      <c r="P151" s="194">
        <f>'STM inputs'!P65-'STM inputs'!$F65</f>
        <v>203</v>
      </c>
      <c r="Q151" s="194">
        <f>'STM inputs'!Q65-'STM inputs'!$F65</f>
        <v>6</v>
      </c>
      <c r="R151" s="194">
        <f>'STM inputs'!R65-'STM inputs'!$F65</f>
        <v>-6061</v>
      </c>
      <c r="S151" s="194">
        <f>'STM inputs'!S65-'STM inputs'!$F65</f>
        <v>17524</v>
      </c>
      <c r="T151" s="194">
        <f>'STM inputs'!T65-'STM inputs'!$F65</f>
        <v>-8007</v>
      </c>
      <c r="U151" s="235">
        <f>'STM inputs'!U65-'STM inputs'!$F65</f>
        <v>5484</v>
      </c>
    </row>
    <row r="152" spans="3:21" x14ac:dyDescent="0.25">
      <c r="C152" s="191" t="str">
        <f>'STM inputs'!C66</f>
        <v>Bus passenger kms</v>
      </c>
      <c r="F152" s="194"/>
      <c r="G152" s="194"/>
      <c r="H152" s="194"/>
      <c r="I152" s="194"/>
      <c r="J152" s="194"/>
      <c r="K152" s="194"/>
      <c r="L152" s="194"/>
      <c r="M152" s="194"/>
      <c r="N152" s="194"/>
      <c r="O152" s="194"/>
      <c r="P152" s="194"/>
      <c r="Q152" s="194"/>
      <c r="R152" s="194"/>
      <c r="S152" s="194"/>
      <c r="T152" s="194"/>
      <c r="U152" s="235"/>
    </row>
    <row r="153" spans="3:21" x14ac:dyDescent="0.25">
      <c r="C153" s="191" t="str">
        <f>'STM inputs'!C67</f>
        <v>Bus PKT - AM peak 2 hours</v>
      </c>
      <c r="D153" t="str">
        <f>'STM inputs'!D67</f>
        <v>B5</v>
      </c>
      <c r="E153" t="str">
        <f>'STM inputs'!E67</f>
        <v>Pass. Kms/AM</v>
      </c>
      <c r="F153" s="194">
        <f>'STM inputs'!F67-'STM inputs'!$F67</f>
        <v>0</v>
      </c>
      <c r="G153" s="194">
        <f>'STM inputs'!G67-'STM inputs'!$F67</f>
        <v>173783</v>
      </c>
      <c r="H153" s="194">
        <f>'STM inputs'!H67-'STM inputs'!$F67</f>
        <v>-36288</v>
      </c>
      <c r="I153" s="194">
        <f>'STM inputs'!I67-'STM inputs'!$F67</f>
        <v>-34105</v>
      </c>
      <c r="J153" s="194">
        <f>'STM inputs'!J67-'STM inputs'!$F67</f>
        <v>-1814</v>
      </c>
      <c r="K153" s="194">
        <f>'STM inputs'!K67-'STM inputs'!$F67</f>
        <v>-252</v>
      </c>
      <c r="L153" s="194">
        <f>'STM inputs'!L67-'STM inputs'!$F67</f>
        <v>117991</v>
      </c>
      <c r="M153" s="194">
        <f>'STM inputs'!M67-'STM inputs'!$F67</f>
        <v>-142403</v>
      </c>
      <c r="N153" s="194">
        <f>'STM inputs'!N67-'STM inputs'!$F67</f>
        <v>24244</v>
      </c>
      <c r="O153" s="194">
        <f>'STM inputs'!O67-'STM inputs'!$F67</f>
        <v>22685</v>
      </c>
      <c r="P153" s="194">
        <f>'STM inputs'!P67-'STM inputs'!$F67</f>
        <v>1658</v>
      </c>
      <c r="Q153" s="194">
        <f>'STM inputs'!Q67-'STM inputs'!$F67</f>
        <v>63</v>
      </c>
      <c r="R153" s="194">
        <f>'STM inputs'!R67-'STM inputs'!$F67</f>
        <v>-102108</v>
      </c>
      <c r="S153" s="194">
        <f>'STM inputs'!S67-'STM inputs'!$F67</f>
        <v>373283</v>
      </c>
      <c r="T153" s="194">
        <f>'STM inputs'!T67-'STM inputs'!$F67</f>
        <v>-167335</v>
      </c>
      <c r="U153" s="235">
        <f>'STM inputs'!U67-'STM inputs'!$F67</f>
        <v>124473</v>
      </c>
    </row>
    <row r="154" spans="3:21" x14ac:dyDescent="0.25">
      <c r="C154" s="191" t="str">
        <f>'STM inputs'!C68</f>
        <v>Bus PKT - IP 6 hours</v>
      </c>
      <c r="D154" t="str">
        <f>'STM inputs'!D68</f>
        <v>B6</v>
      </c>
      <c r="E154" t="str">
        <f>'STM inputs'!E68</f>
        <v>Pass. Kms/IP</v>
      </c>
      <c r="F154" s="194">
        <f>'STM inputs'!F68-'STM inputs'!$F68</f>
        <v>0</v>
      </c>
      <c r="G154" s="194">
        <f>'STM inputs'!G68-'STM inputs'!$F68</f>
        <v>303318</v>
      </c>
      <c r="H154" s="194">
        <f>'STM inputs'!H68-'STM inputs'!$F68</f>
        <v>-48671</v>
      </c>
      <c r="I154" s="194">
        <f>'STM inputs'!I68-'STM inputs'!$F68</f>
        <v>-46845</v>
      </c>
      <c r="J154" s="194">
        <f>'STM inputs'!J68-'STM inputs'!$F68</f>
        <v>-1526</v>
      </c>
      <c r="K154" s="194">
        <f>'STM inputs'!K68-'STM inputs'!$F68</f>
        <v>-212</v>
      </c>
      <c r="L154" s="194">
        <f>'STM inputs'!L68-'STM inputs'!$F68</f>
        <v>220469</v>
      </c>
      <c r="M154" s="194">
        <f>'STM inputs'!M68-'STM inputs'!$F68</f>
        <v>-233364</v>
      </c>
      <c r="N154" s="194">
        <f>'STM inputs'!N68-'STM inputs'!$F68</f>
        <v>30733</v>
      </c>
      <c r="O154" s="194">
        <f>'STM inputs'!O68-'STM inputs'!$F68</f>
        <v>29489</v>
      </c>
      <c r="P154" s="194">
        <f>'STM inputs'!P68-'STM inputs'!$F68</f>
        <v>1250</v>
      </c>
      <c r="Q154" s="194">
        <f>'STM inputs'!Q68-'STM inputs'!$F68</f>
        <v>72</v>
      </c>
      <c r="R154" s="194">
        <f>'STM inputs'!R68-'STM inputs'!$F68</f>
        <v>-176417</v>
      </c>
      <c r="S154" s="194">
        <f>'STM inputs'!S68-'STM inputs'!$F68</f>
        <v>529424</v>
      </c>
      <c r="T154" s="194">
        <f>'STM inputs'!T68-'STM inputs'!$F68</f>
        <v>-321046</v>
      </c>
      <c r="U154" s="235">
        <f>'STM inputs'!U68-'STM inputs'!$F68</f>
        <v>227326</v>
      </c>
    </row>
    <row r="155" spans="3:21" x14ac:dyDescent="0.25">
      <c r="C155" s="191" t="str">
        <f>'STM inputs'!C69</f>
        <v>Bus PKT - PM peak 3 hours</v>
      </c>
      <c r="D155" t="str">
        <f>'STM inputs'!D69</f>
        <v>B7</v>
      </c>
      <c r="E155" t="str">
        <f>'STM inputs'!E69</f>
        <v>Pass. Kms/PM</v>
      </c>
      <c r="F155" s="194">
        <f>'STM inputs'!F69-'STM inputs'!$F69</f>
        <v>0</v>
      </c>
      <c r="G155" s="194">
        <f>'STM inputs'!G69-'STM inputs'!$F69</f>
        <v>198542</v>
      </c>
      <c r="H155" s="194">
        <f>'STM inputs'!H69-'STM inputs'!$F69</f>
        <v>-38048</v>
      </c>
      <c r="I155" s="194">
        <f>'STM inputs'!I69-'STM inputs'!$F69</f>
        <v>-36158</v>
      </c>
      <c r="J155" s="194">
        <f>'STM inputs'!J69-'STM inputs'!$F69</f>
        <v>-1562</v>
      </c>
      <c r="K155" s="194">
        <f>'STM inputs'!K69-'STM inputs'!$F69</f>
        <v>-224</v>
      </c>
      <c r="L155" s="194">
        <f>'STM inputs'!L69-'STM inputs'!$F69</f>
        <v>137226</v>
      </c>
      <c r="M155" s="194">
        <f>'STM inputs'!M69-'STM inputs'!$F69</f>
        <v>-158796</v>
      </c>
      <c r="N155" s="194">
        <f>'STM inputs'!N69-'STM inputs'!$F69</f>
        <v>24806</v>
      </c>
      <c r="O155" s="194">
        <f>'STM inputs'!O69-'STM inputs'!$F69</f>
        <v>23482</v>
      </c>
      <c r="P155" s="194">
        <f>'STM inputs'!P69-'STM inputs'!$F69</f>
        <v>1380</v>
      </c>
      <c r="Q155" s="194">
        <f>'STM inputs'!Q69-'STM inputs'!$F69</f>
        <v>66</v>
      </c>
      <c r="R155" s="194">
        <f>'STM inputs'!R69-'STM inputs'!$F69</f>
        <v>-115319</v>
      </c>
      <c r="S155" s="194">
        <f>'STM inputs'!S69-'STM inputs'!$F69</f>
        <v>369396</v>
      </c>
      <c r="T155" s="194">
        <f>'STM inputs'!T69-'STM inputs'!$F69</f>
        <v>-200983</v>
      </c>
      <c r="U155" s="235">
        <f>'STM inputs'!U69-'STM inputs'!$F69</f>
        <v>144538</v>
      </c>
    </row>
    <row r="156" spans="3:21" x14ac:dyDescent="0.25">
      <c r="C156" s="191" t="str">
        <f>'STM inputs'!C70</f>
        <v>Bus PKT - EV 13 hours</v>
      </c>
      <c r="D156" t="str">
        <f>'STM inputs'!D70</f>
        <v>B8</v>
      </c>
      <c r="E156" t="str">
        <f>'STM inputs'!E70</f>
        <v>Pass. Kms/EV</v>
      </c>
      <c r="F156" s="194">
        <f>'STM inputs'!F70-'STM inputs'!$F70</f>
        <v>0</v>
      </c>
      <c r="G156" s="194">
        <f>'STM inputs'!G70-'STM inputs'!$F70</f>
        <v>137933</v>
      </c>
      <c r="H156" s="194">
        <f>'STM inputs'!H70-'STM inputs'!$F70</f>
        <v>-31657</v>
      </c>
      <c r="I156" s="194">
        <f>'STM inputs'!I70-'STM inputs'!$F70</f>
        <v>-29825</v>
      </c>
      <c r="J156" s="194">
        <f>'STM inputs'!J70-'STM inputs'!$F70</f>
        <v>-1527</v>
      </c>
      <c r="K156" s="194">
        <f>'STM inputs'!K70-'STM inputs'!$F70</f>
        <v>-211</v>
      </c>
      <c r="L156" s="194">
        <f>'STM inputs'!L70-'STM inputs'!$F70</f>
        <v>87529</v>
      </c>
      <c r="M156" s="194">
        <f>'STM inputs'!M70-'STM inputs'!$F70</f>
        <v>-113052</v>
      </c>
      <c r="N156" s="194">
        <f>'STM inputs'!N70-'STM inputs'!$F70</f>
        <v>20776</v>
      </c>
      <c r="O156" s="194">
        <f>'STM inputs'!O70-'STM inputs'!$F70</f>
        <v>19476</v>
      </c>
      <c r="P156" s="194">
        <f>'STM inputs'!P70-'STM inputs'!$F70</f>
        <v>1373</v>
      </c>
      <c r="Q156" s="194">
        <f>'STM inputs'!Q70-'STM inputs'!$F70</f>
        <v>49</v>
      </c>
      <c r="R156" s="194">
        <f>'STM inputs'!R70-'STM inputs'!$F70</f>
        <v>-76447</v>
      </c>
      <c r="S156" s="194">
        <f>'STM inputs'!S70-'STM inputs'!$F70</f>
        <v>240249</v>
      </c>
      <c r="T156" s="194">
        <f>'STM inputs'!T70-'STM inputs'!$F70</f>
        <v>-132146</v>
      </c>
      <c r="U156" s="235">
        <f>'STM inputs'!U70-'STM inputs'!$F70</f>
        <v>99246</v>
      </c>
    </row>
    <row r="157" spans="3:21" x14ac:dyDescent="0.25">
      <c r="C157" s="191" t="str">
        <f>'STM inputs'!C71</f>
        <v>Bus passenger hours</v>
      </c>
      <c r="F157" s="194"/>
      <c r="G157" s="194"/>
      <c r="H157" s="194"/>
      <c r="I157" s="194"/>
      <c r="J157" s="194"/>
      <c r="K157" s="194"/>
      <c r="L157" s="194"/>
      <c r="M157" s="194"/>
      <c r="N157" s="194"/>
      <c r="O157" s="194"/>
      <c r="P157" s="194"/>
      <c r="Q157" s="194"/>
      <c r="R157" s="194"/>
      <c r="S157" s="194"/>
      <c r="T157" s="194"/>
      <c r="U157" s="235"/>
    </row>
    <row r="158" spans="3:21" x14ac:dyDescent="0.25">
      <c r="C158" s="191" t="str">
        <f>'STM inputs'!C72</f>
        <v>Bus PHT - AM peak 2 hours</v>
      </c>
      <c r="D158" t="str">
        <f>'STM inputs'!D72</f>
        <v>B9</v>
      </c>
      <c r="E158" t="str">
        <f>'STM inputs'!E72</f>
        <v>Pass. Hours/AM</v>
      </c>
      <c r="F158" s="194">
        <f>'STM inputs'!F72-'STM inputs'!$F72</f>
        <v>0</v>
      </c>
      <c r="G158" s="194">
        <f>'STM inputs'!G72-'STM inputs'!$F72</f>
        <v>7518</v>
      </c>
      <c r="H158" s="194">
        <f>'STM inputs'!H72-'STM inputs'!$F72</f>
        <v>-1735</v>
      </c>
      <c r="I158" s="194">
        <f>'STM inputs'!I72-'STM inputs'!$F72</f>
        <v>-1606</v>
      </c>
      <c r="J158" s="194">
        <f>'STM inputs'!J72-'STM inputs'!$F72</f>
        <v>-108</v>
      </c>
      <c r="K158" s="194">
        <f>'STM inputs'!K72-'STM inputs'!$F72</f>
        <v>-14</v>
      </c>
      <c r="L158" s="194">
        <f>'STM inputs'!L72-'STM inputs'!$F72</f>
        <v>4982</v>
      </c>
      <c r="M158" s="194">
        <f>'STM inputs'!M72-'STM inputs'!$F72</f>
        <v>-6173</v>
      </c>
      <c r="N158" s="194">
        <f>'STM inputs'!N72-'STM inputs'!$F72</f>
        <v>1216</v>
      </c>
      <c r="O158" s="194">
        <f>'STM inputs'!O72-'STM inputs'!$F72</f>
        <v>1121</v>
      </c>
      <c r="P158" s="194">
        <f>'STM inputs'!P72-'STM inputs'!$F72</f>
        <v>97</v>
      </c>
      <c r="Q158" s="194">
        <f>'STM inputs'!Q72-'STM inputs'!$F72</f>
        <v>4</v>
      </c>
      <c r="R158" s="194">
        <f>'STM inputs'!R72-'STM inputs'!$F72</f>
        <v>-4325</v>
      </c>
      <c r="S158" s="194">
        <f>'STM inputs'!S72-'STM inputs'!$F72</f>
        <v>15174</v>
      </c>
      <c r="T158" s="194">
        <f>'STM inputs'!T72-'STM inputs'!$F72</f>
        <v>-7059</v>
      </c>
      <c r="U158" s="235">
        <f>'STM inputs'!U72-'STM inputs'!$F72</f>
        <v>5196</v>
      </c>
    </row>
    <row r="159" spans="3:21" x14ac:dyDescent="0.25">
      <c r="C159" s="191" t="str">
        <f>'STM inputs'!C73</f>
        <v>Bus PHT - IP 6 hours</v>
      </c>
      <c r="D159" t="str">
        <f>'STM inputs'!D73</f>
        <v>B10</v>
      </c>
      <c r="E159" t="str">
        <f>'STM inputs'!E73</f>
        <v>Pass. Hours/IP</v>
      </c>
      <c r="F159" s="194">
        <f>'STM inputs'!F73-'STM inputs'!$F73</f>
        <v>0</v>
      </c>
      <c r="G159" s="194">
        <f>'STM inputs'!G73-'STM inputs'!$F73</f>
        <v>13340</v>
      </c>
      <c r="H159" s="194">
        <f>'STM inputs'!H73-'STM inputs'!$F73</f>
        <v>-2316</v>
      </c>
      <c r="I159" s="194">
        <f>'STM inputs'!I73-'STM inputs'!$F73</f>
        <v>-2211</v>
      </c>
      <c r="J159" s="194">
        <f>'STM inputs'!J73-'STM inputs'!$F73</f>
        <v>-89</v>
      </c>
      <c r="K159" s="194">
        <f>'STM inputs'!K73-'STM inputs'!$F73</f>
        <v>-11</v>
      </c>
      <c r="L159" s="194">
        <f>'STM inputs'!L73-'STM inputs'!$F73</f>
        <v>9584</v>
      </c>
      <c r="M159" s="194">
        <f>'STM inputs'!M73-'STM inputs'!$F73</f>
        <v>-10278</v>
      </c>
      <c r="N159" s="194">
        <f>'STM inputs'!N73-'STM inputs'!$F73</f>
        <v>1516</v>
      </c>
      <c r="O159" s="194">
        <f>'STM inputs'!O73-'STM inputs'!$F73</f>
        <v>1443</v>
      </c>
      <c r="P159" s="194">
        <f>'STM inputs'!P73-'STM inputs'!$F73</f>
        <v>72</v>
      </c>
      <c r="Q159" s="194">
        <f>'STM inputs'!Q73-'STM inputs'!$F73</f>
        <v>4</v>
      </c>
      <c r="R159" s="194">
        <f>'STM inputs'!R73-'STM inputs'!$F73</f>
        <v>-7694</v>
      </c>
      <c r="S159" s="194">
        <f>'STM inputs'!S73-'STM inputs'!$F73</f>
        <v>20494</v>
      </c>
      <c r="T159" s="194">
        <f>'STM inputs'!T73-'STM inputs'!$F73</f>
        <v>-13807</v>
      </c>
      <c r="U159" s="235">
        <f>'STM inputs'!U73-'STM inputs'!$F73</f>
        <v>9721</v>
      </c>
    </row>
    <row r="160" spans="3:21" x14ac:dyDescent="0.25">
      <c r="C160" s="191" t="str">
        <f>'STM inputs'!C74</f>
        <v>Bus PHT - PM peak 3 hours</v>
      </c>
      <c r="D160" t="str">
        <f>'STM inputs'!D74</f>
        <v>B11</v>
      </c>
      <c r="E160" t="str">
        <f>'STM inputs'!E74</f>
        <v>Pass. Hours/PM</v>
      </c>
      <c r="F160" s="194">
        <f>'STM inputs'!F74-'STM inputs'!$F74</f>
        <v>0</v>
      </c>
      <c r="G160" s="194">
        <f>'STM inputs'!G74-'STM inputs'!$F74</f>
        <v>8380</v>
      </c>
      <c r="H160" s="194">
        <f>'STM inputs'!H74-'STM inputs'!$F74</f>
        <v>-1746</v>
      </c>
      <c r="I160" s="194">
        <f>'STM inputs'!I74-'STM inputs'!$F74</f>
        <v>-1636</v>
      </c>
      <c r="J160" s="194">
        <f>'STM inputs'!J74-'STM inputs'!$F74</f>
        <v>-93</v>
      </c>
      <c r="K160" s="194">
        <f>'STM inputs'!K74-'STM inputs'!$F74</f>
        <v>-11</v>
      </c>
      <c r="L160" s="194">
        <f>'STM inputs'!L74-'STM inputs'!$F74</f>
        <v>5705</v>
      </c>
      <c r="M160" s="194">
        <f>'STM inputs'!M74-'STM inputs'!$F74</f>
        <v>-6711</v>
      </c>
      <c r="N160" s="194">
        <f>'STM inputs'!N74-'STM inputs'!$F74</f>
        <v>1187</v>
      </c>
      <c r="O160" s="194">
        <f>'STM inputs'!O74-'STM inputs'!$F74</f>
        <v>1107</v>
      </c>
      <c r="P160" s="194">
        <f>'STM inputs'!P74-'STM inputs'!$F74</f>
        <v>81</v>
      </c>
      <c r="Q160" s="194">
        <f>'STM inputs'!Q74-'STM inputs'!$F74</f>
        <v>4</v>
      </c>
      <c r="R160" s="194">
        <f>'STM inputs'!R74-'STM inputs'!$F74</f>
        <v>-4807</v>
      </c>
      <c r="S160" s="194">
        <f>'STM inputs'!S74-'STM inputs'!$F74</f>
        <v>14121</v>
      </c>
      <c r="T160" s="194">
        <f>'STM inputs'!T74-'STM inputs'!$F74</f>
        <v>-8376</v>
      </c>
      <c r="U160" s="235">
        <f>'STM inputs'!U74-'STM inputs'!$F74</f>
        <v>5975</v>
      </c>
    </row>
    <row r="161" spans="3:21" x14ac:dyDescent="0.25">
      <c r="C161" s="191" t="str">
        <f>'STM inputs'!C75</f>
        <v>Bus PHT - EV 13 hours</v>
      </c>
      <c r="D161" t="str">
        <f>'STM inputs'!D75</f>
        <v>B12</v>
      </c>
      <c r="E161" t="str">
        <f>'STM inputs'!E75</f>
        <v>Pass. Hours/EV</v>
      </c>
      <c r="F161" s="194">
        <f>'STM inputs'!F75-'STM inputs'!$F75</f>
        <v>0</v>
      </c>
      <c r="G161" s="194">
        <f>'STM inputs'!G75-'STM inputs'!$F75</f>
        <v>5767</v>
      </c>
      <c r="H161" s="194">
        <f>'STM inputs'!H75-'STM inputs'!$F75</f>
        <v>-1446</v>
      </c>
      <c r="I161" s="194">
        <f>'STM inputs'!I75-'STM inputs'!$F75</f>
        <v>-1338</v>
      </c>
      <c r="J161" s="194">
        <f>'STM inputs'!J75-'STM inputs'!$F75</f>
        <v>-92</v>
      </c>
      <c r="K161" s="194">
        <f>'STM inputs'!K75-'STM inputs'!$F75</f>
        <v>-10</v>
      </c>
      <c r="L161" s="194">
        <f>'STM inputs'!L75-'STM inputs'!$F75</f>
        <v>3587</v>
      </c>
      <c r="M161" s="194">
        <f>'STM inputs'!M75-'STM inputs'!$F75</f>
        <v>-4733</v>
      </c>
      <c r="N161" s="194">
        <f>'STM inputs'!N75-'STM inputs'!$F75</f>
        <v>995</v>
      </c>
      <c r="O161" s="194">
        <f>'STM inputs'!O75-'STM inputs'!$F75</f>
        <v>916</v>
      </c>
      <c r="P161" s="194">
        <f>'STM inputs'!P75-'STM inputs'!$F75</f>
        <v>81</v>
      </c>
      <c r="Q161" s="194">
        <f>'STM inputs'!Q75-'STM inputs'!$F75</f>
        <v>3</v>
      </c>
      <c r="R161" s="194">
        <f>'STM inputs'!R75-'STM inputs'!$F75</f>
        <v>-3144</v>
      </c>
      <c r="S161" s="194">
        <f>'STM inputs'!S75-'STM inputs'!$F75</f>
        <v>9224</v>
      </c>
      <c r="T161" s="194">
        <f>'STM inputs'!T75-'STM inputs'!$F75</f>
        <v>-5428</v>
      </c>
      <c r="U161" s="235">
        <f>'STM inputs'!U75-'STM inputs'!$F75</f>
        <v>4038</v>
      </c>
    </row>
    <row r="162" spans="3:21" x14ac:dyDescent="0.25">
      <c r="C162" s="191"/>
      <c r="F162" s="194"/>
      <c r="G162" s="194"/>
      <c r="H162" s="194"/>
      <c r="I162" s="194"/>
      <c r="J162" s="194"/>
      <c r="K162" s="194"/>
      <c r="L162" s="194"/>
      <c r="M162" s="194"/>
      <c r="N162" s="194"/>
      <c r="O162" s="194"/>
      <c r="P162" s="194"/>
      <c r="Q162" s="194"/>
      <c r="R162" s="194"/>
      <c r="S162" s="194"/>
      <c r="T162" s="194"/>
      <c r="U162" s="235"/>
    </row>
    <row r="163" spans="3:21" x14ac:dyDescent="0.25">
      <c r="C163" s="191" t="str">
        <f>'STM inputs'!C77</f>
        <v>Ferry trips</v>
      </c>
      <c r="F163" s="194"/>
      <c r="G163" s="194"/>
      <c r="H163" s="194"/>
      <c r="I163" s="194"/>
      <c r="J163" s="194"/>
      <c r="K163" s="194"/>
      <c r="L163" s="194"/>
      <c r="M163" s="194"/>
      <c r="N163" s="194"/>
      <c r="O163" s="194"/>
      <c r="P163" s="194"/>
      <c r="Q163" s="194"/>
      <c r="R163" s="194"/>
      <c r="S163" s="194"/>
      <c r="T163" s="194"/>
      <c r="U163" s="235"/>
    </row>
    <row r="164" spans="3:21" x14ac:dyDescent="0.25">
      <c r="C164" s="191" t="str">
        <f>'STM inputs'!C78</f>
        <v>Ferry passenger demand - AM peak 2 hours</v>
      </c>
      <c r="D164" t="str">
        <f>'STM inputs'!D78</f>
        <v>F1</v>
      </c>
      <c r="E164" t="str">
        <f>'STM inputs'!E78</f>
        <v>Trips/AM</v>
      </c>
      <c r="F164" s="194">
        <f>'STM inputs'!F78-'STM inputs'!$F78</f>
        <v>0</v>
      </c>
      <c r="G164" s="194">
        <f>'STM inputs'!G78-'STM inputs'!$F78</f>
        <v>-17</v>
      </c>
      <c r="H164" s="194">
        <f>'STM inputs'!H78-'STM inputs'!$F78</f>
        <v>44</v>
      </c>
      <c r="I164" s="194">
        <f>'STM inputs'!I78-'STM inputs'!$F78</f>
        <v>2</v>
      </c>
      <c r="J164" s="194">
        <f>'STM inputs'!J78-'STM inputs'!$F78</f>
        <v>0</v>
      </c>
      <c r="K164" s="194">
        <f>'STM inputs'!K78-'STM inputs'!$F78</f>
        <v>41</v>
      </c>
      <c r="L164" s="194">
        <f>'STM inputs'!L78-'STM inputs'!$F78</f>
        <v>89</v>
      </c>
      <c r="M164" s="194">
        <f>'STM inputs'!M78-'STM inputs'!$F78</f>
        <v>18</v>
      </c>
      <c r="N164" s="194">
        <f>'STM inputs'!N78-'STM inputs'!$F78</f>
        <v>-10</v>
      </c>
      <c r="O164" s="194">
        <f>'STM inputs'!O78-'STM inputs'!$F78</f>
        <v>0</v>
      </c>
      <c r="P164" s="194">
        <f>'STM inputs'!P78-'STM inputs'!$F78</f>
        <v>0</v>
      </c>
      <c r="Q164" s="194">
        <f>'STM inputs'!Q78-'STM inputs'!$F78</f>
        <v>-10</v>
      </c>
      <c r="R164" s="194">
        <f>'STM inputs'!R78-'STM inputs'!$F78</f>
        <v>-74</v>
      </c>
      <c r="S164" s="194">
        <f>'STM inputs'!S78-'STM inputs'!$F78</f>
        <v>423</v>
      </c>
      <c r="T164" s="194">
        <f>'STM inputs'!T78-'STM inputs'!$F78</f>
        <v>21</v>
      </c>
      <c r="U164" s="235">
        <f>'STM inputs'!U78-'STM inputs'!$F78</f>
        <v>-13</v>
      </c>
    </row>
    <row r="165" spans="3:21" x14ac:dyDescent="0.25">
      <c r="C165" s="191" t="str">
        <f>'STM inputs'!C79</f>
        <v>Ferry passenger demand - IP 6 hours</v>
      </c>
      <c r="D165" t="str">
        <f>'STM inputs'!D79</f>
        <v>F2</v>
      </c>
      <c r="E165" t="str">
        <f>'STM inputs'!E79</f>
        <v>Trips/IP</v>
      </c>
      <c r="F165" s="194">
        <f>'STM inputs'!F79-'STM inputs'!$F79</f>
        <v>0</v>
      </c>
      <c r="G165" s="194">
        <f>'STM inputs'!G79-'STM inputs'!$F79</f>
        <v>-4</v>
      </c>
      <c r="H165" s="194">
        <f>'STM inputs'!H79-'STM inputs'!$F79</f>
        <v>45</v>
      </c>
      <c r="I165" s="194">
        <f>'STM inputs'!I79-'STM inputs'!$F79</f>
        <v>5</v>
      </c>
      <c r="J165" s="194">
        <f>'STM inputs'!J79-'STM inputs'!$F79</f>
        <v>1</v>
      </c>
      <c r="K165" s="194">
        <f>'STM inputs'!K79-'STM inputs'!$F79</f>
        <v>38</v>
      </c>
      <c r="L165" s="194">
        <f>'STM inputs'!L79-'STM inputs'!$F79</f>
        <v>105</v>
      </c>
      <c r="M165" s="194">
        <f>'STM inputs'!M79-'STM inputs'!$F79</f>
        <v>12</v>
      </c>
      <c r="N165" s="194">
        <f>'STM inputs'!N79-'STM inputs'!$F79</f>
        <v>-14</v>
      </c>
      <c r="O165" s="194">
        <f>'STM inputs'!O79-'STM inputs'!$F79</f>
        <v>-2</v>
      </c>
      <c r="P165" s="194">
        <f>'STM inputs'!P79-'STM inputs'!$F79</f>
        <v>0</v>
      </c>
      <c r="Q165" s="194">
        <f>'STM inputs'!Q79-'STM inputs'!$F79</f>
        <v>-12</v>
      </c>
      <c r="R165" s="194">
        <f>'STM inputs'!R79-'STM inputs'!$F79</f>
        <v>-77</v>
      </c>
      <c r="S165" s="194">
        <f>'STM inputs'!S79-'STM inputs'!$F79</f>
        <v>900</v>
      </c>
      <c r="T165" s="194">
        <f>'STM inputs'!T79-'STM inputs'!$F79</f>
        <v>16</v>
      </c>
      <c r="U165" s="235">
        <f>'STM inputs'!U79-'STM inputs'!$F79</f>
        <v>-5</v>
      </c>
    </row>
    <row r="166" spans="3:21" x14ac:dyDescent="0.25">
      <c r="C166" s="191" t="str">
        <f>'STM inputs'!C80</f>
        <v>Ferry passenger demand - PM peak 3 hours</v>
      </c>
      <c r="D166" t="str">
        <f>'STM inputs'!D80</f>
        <v>F3</v>
      </c>
      <c r="E166" t="str">
        <f>'STM inputs'!E80</f>
        <v>Trips/PM</v>
      </c>
      <c r="F166" s="194">
        <f>'STM inputs'!F80-'STM inputs'!$F80</f>
        <v>0</v>
      </c>
      <c r="G166" s="194">
        <f>'STM inputs'!G80-'STM inputs'!$F80</f>
        <v>-5</v>
      </c>
      <c r="H166" s="194">
        <f>'STM inputs'!H80-'STM inputs'!$F80</f>
        <v>34</v>
      </c>
      <c r="I166" s="194">
        <f>'STM inputs'!I80-'STM inputs'!$F80</f>
        <v>4</v>
      </c>
      <c r="J166" s="194">
        <f>'STM inputs'!J80-'STM inputs'!$F80</f>
        <v>0</v>
      </c>
      <c r="K166" s="194">
        <f>'STM inputs'!K80-'STM inputs'!$F80</f>
        <v>29</v>
      </c>
      <c r="L166" s="194">
        <f>'STM inputs'!L80-'STM inputs'!$F80</f>
        <v>84</v>
      </c>
      <c r="M166" s="194">
        <f>'STM inputs'!M80-'STM inputs'!$F80</f>
        <v>9</v>
      </c>
      <c r="N166" s="194">
        <f>'STM inputs'!N80-'STM inputs'!$F80</f>
        <v>-10</v>
      </c>
      <c r="O166" s="194">
        <f>'STM inputs'!O80-'STM inputs'!$F80</f>
        <v>-2</v>
      </c>
      <c r="P166" s="194">
        <f>'STM inputs'!P80-'STM inputs'!$F80</f>
        <v>0</v>
      </c>
      <c r="Q166" s="194">
        <f>'STM inputs'!Q80-'STM inputs'!$F80</f>
        <v>-8</v>
      </c>
      <c r="R166" s="194">
        <f>'STM inputs'!R80-'STM inputs'!$F80</f>
        <v>-67</v>
      </c>
      <c r="S166" s="194">
        <f>'STM inputs'!S80-'STM inputs'!$F80</f>
        <v>583</v>
      </c>
      <c r="T166" s="194">
        <f>'STM inputs'!T80-'STM inputs'!$F80</f>
        <v>13</v>
      </c>
      <c r="U166" s="235">
        <f>'STM inputs'!U80-'STM inputs'!$F80</f>
        <v>-5</v>
      </c>
    </row>
    <row r="167" spans="3:21" x14ac:dyDescent="0.25">
      <c r="C167" s="191" t="str">
        <f>'STM inputs'!C81</f>
        <v>Ferry passenger demand - EV 13 hours</v>
      </c>
      <c r="D167" t="str">
        <f>'STM inputs'!D81</f>
        <v>F4</v>
      </c>
      <c r="E167" t="str">
        <f>'STM inputs'!E81</f>
        <v>Trips/EV</v>
      </c>
      <c r="F167" s="194">
        <f>'STM inputs'!F81-'STM inputs'!$F81</f>
        <v>0</v>
      </c>
      <c r="G167" s="194">
        <f>'STM inputs'!G81-'STM inputs'!$F81</f>
        <v>-9</v>
      </c>
      <c r="H167" s="194">
        <f>'STM inputs'!H81-'STM inputs'!$F81</f>
        <v>29</v>
      </c>
      <c r="I167" s="194">
        <f>'STM inputs'!I81-'STM inputs'!$F81</f>
        <v>2</v>
      </c>
      <c r="J167" s="194">
        <f>'STM inputs'!J81-'STM inputs'!$F81</f>
        <v>0</v>
      </c>
      <c r="K167" s="194">
        <f>'STM inputs'!K81-'STM inputs'!$F81</f>
        <v>26</v>
      </c>
      <c r="L167" s="194">
        <f>'STM inputs'!L81-'STM inputs'!$F81</f>
        <v>68</v>
      </c>
      <c r="M167" s="194">
        <f>'STM inputs'!M81-'STM inputs'!$F81</f>
        <v>10</v>
      </c>
      <c r="N167" s="194">
        <f>'STM inputs'!N81-'STM inputs'!$F81</f>
        <v>-8</v>
      </c>
      <c r="O167" s="194">
        <f>'STM inputs'!O81-'STM inputs'!$F81</f>
        <v>-1</v>
      </c>
      <c r="P167" s="194">
        <f>'STM inputs'!P81-'STM inputs'!$F81</f>
        <v>0</v>
      </c>
      <c r="Q167" s="194">
        <f>'STM inputs'!Q81-'STM inputs'!$F81</f>
        <v>-7</v>
      </c>
      <c r="R167" s="194">
        <f>'STM inputs'!R81-'STM inputs'!$F81</f>
        <v>-57</v>
      </c>
      <c r="S167" s="194">
        <f>'STM inputs'!S81-'STM inputs'!$F81</f>
        <v>391</v>
      </c>
      <c r="T167" s="194">
        <f>'STM inputs'!T81-'STM inputs'!$F81</f>
        <v>13</v>
      </c>
      <c r="U167" s="235">
        <f>'STM inputs'!U81-'STM inputs'!$F81</f>
        <v>-7</v>
      </c>
    </row>
    <row r="168" spans="3:21" x14ac:dyDescent="0.25">
      <c r="C168" s="191" t="str">
        <f>'STM inputs'!C82</f>
        <v>Ferry passenger kms</v>
      </c>
      <c r="F168" s="194"/>
      <c r="G168" s="194"/>
      <c r="H168" s="194"/>
      <c r="I168" s="194"/>
      <c r="J168" s="194"/>
      <c r="K168" s="194"/>
      <c r="L168" s="194"/>
      <c r="M168" s="194"/>
      <c r="N168" s="194"/>
      <c r="O168" s="194"/>
      <c r="P168" s="194"/>
      <c r="Q168" s="194"/>
      <c r="R168" s="194"/>
      <c r="S168" s="194"/>
      <c r="T168" s="194"/>
      <c r="U168" s="235"/>
    </row>
    <row r="169" spans="3:21" x14ac:dyDescent="0.25">
      <c r="C169" s="191" t="str">
        <f>'STM inputs'!C83</f>
        <v>Ferry PKT - AM peak 2 hours</v>
      </c>
      <c r="D169" t="str">
        <f>'STM inputs'!D83</f>
        <v>F5</v>
      </c>
      <c r="E169" t="str">
        <f>'STM inputs'!E83</f>
        <v>Pass. Kms/AM</v>
      </c>
      <c r="F169" s="194">
        <f>'STM inputs'!F83-'STM inputs'!$F83</f>
        <v>0</v>
      </c>
      <c r="G169" s="194">
        <f>'STM inputs'!G83-'STM inputs'!$F83</f>
        <v>-76</v>
      </c>
      <c r="H169" s="194">
        <f>'STM inputs'!H83-'STM inputs'!$F83</f>
        <v>134</v>
      </c>
      <c r="I169" s="194">
        <f>'STM inputs'!I83-'STM inputs'!$F83</f>
        <v>3</v>
      </c>
      <c r="J169" s="194">
        <f>'STM inputs'!J83-'STM inputs'!$F83</f>
        <v>0</v>
      </c>
      <c r="K169" s="194">
        <f>'STM inputs'!K83-'STM inputs'!$F83</f>
        <v>131</v>
      </c>
      <c r="L169" s="194">
        <f>'STM inputs'!L83-'STM inputs'!$F83</f>
        <v>331</v>
      </c>
      <c r="M169" s="194">
        <f>'STM inputs'!M83-'STM inputs'!$F83</f>
        <v>77</v>
      </c>
      <c r="N169" s="194">
        <f>'STM inputs'!N83-'STM inputs'!$F83</f>
        <v>-20</v>
      </c>
      <c r="O169" s="194">
        <f>'STM inputs'!O83-'STM inputs'!$F83</f>
        <v>8</v>
      </c>
      <c r="P169" s="194">
        <f>'STM inputs'!P83-'STM inputs'!$F83</f>
        <v>1</v>
      </c>
      <c r="Q169" s="194">
        <f>'STM inputs'!Q83-'STM inputs'!$F83</f>
        <v>-29</v>
      </c>
      <c r="R169" s="194">
        <f>'STM inputs'!R83-'STM inputs'!$F83</f>
        <v>-277</v>
      </c>
      <c r="S169" s="194">
        <f>'STM inputs'!S83-'STM inputs'!$F83</f>
        <v>1492</v>
      </c>
      <c r="T169" s="194">
        <f>'STM inputs'!T83-'STM inputs'!$F83</f>
        <v>87</v>
      </c>
      <c r="U169" s="235">
        <f>'STM inputs'!U83-'STM inputs'!$F83</f>
        <v>-56</v>
      </c>
    </row>
    <row r="170" spans="3:21" x14ac:dyDescent="0.25">
      <c r="C170" s="191" t="str">
        <f>'STM inputs'!C84</f>
        <v>Ferry PKT - IP 6 hours</v>
      </c>
      <c r="D170" t="str">
        <f>'STM inputs'!D84</f>
        <v>F6</v>
      </c>
      <c r="E170" t="str">
        <f>'STM inputs'!E84</f>
        <v>Pass. Kms/IP</v>
      </c>
      <c r="F170" s="194">
        <f>'STM inputs'!F84-'STM inputs'!$F84</f>
        <v>0</v>
      </c>
      <c r="G170" s="194">
        <f>'STM inputs'!G84-'STM inputs'!$F84</f>
        <v>-50</v>
      </c>
      <c r="H170" s="194">
        <f>'STM inputs'!H84-'STM inputs'!$F84</f>
        <v>150</v>
      </c>
      <c r="I170" s="194">
        <f>'STM inputs'!I84-'STM inputs'!$F84</f>
        <v>18</v>
      </c>
      <c r="J170" s="194">
        <f>'STM inputs'!J84-'STM inputs'!$F84</f>
        <v>0</v>
      </c>
      <c r="K170" s="194">
        <f>'STM inputs'!K84-'STM inputs'!$F84</f>
        <v>131</v>
      </c>
      <c r="L170" s="194">
        <f>'STM inputs'!L84-'STM inputs'!$F84</f>
        <v>343</v>
      </c>
      <c r="M170" s="194">
        <f>'STM inputs'!M84-'STM inputs'!$F84</f>
        <v>60</v>
      </c>
      <c r="N170" s="194">
        <f>'STM inputs'!N84-'STM inputs'!$F84</f>
        <v>-43</v>
      </c>
      <c r="O170" s="194">
        <f>'STM inputs'!O84-'STM inputs'!$F84</f>
        <v>-8</v>
      </c>
      <c r="P170" s="194">
        <f>'STM inputs'!P84-'STM inputs'!$F84</f>
        <v>0</v>
      </c>
      <c r="Q170" s="194">
        <f>'STM inputs'!Q84-'STM inputs'!$F84</f>
        <v>-35</v>
      </c>
      <c r="R170" s="194">
        <f>'STM inputs'!R84-'STM inputs'!$F84</f>
        <v>-258</v>
      </c>
      <c r="S170" s="194">
        <f>'STM inputs'!S84-'STM inputs'!$F84</f>
        <v>2424</v>
      </c>
      <c r="T170" s="194">
        <f>'STM inputs'!T84-'STM inputs'!$F84</f>
        <v>73</v>
      </c>
      <c r="U170" s="235">
        <f>'STM inputs'!U84-'STM inputs'!$F84</f>
        <v>-35</v>
      </c>
    </row>
    <row r="171" spans="3:21" x14ac:dyDescent="0.25">
      <c r="C171" s="191" t="str">
        <f>'STM inputs'!C85</f>
        <v>Ferry PKT - PM peak 3 hours</v>
      </c>
      <c r="D171" t="str">
        <f>'STM inputs'!D85</f>
        <v>F7</v>
      </c>
      <c r="E171" t="str">
        <f>'STM inputs'!E85</f>
        <v>Pass. Kms/PM</v>
      </c>
      <c r="F171" s="194">
        <f>'STM inputs'!F85-'STM inputs'!$F85</f>
        <v>0</v>
      </c>
      <c r="G171" s="194">
        <f>'STM inputs'!G85-'STM inputs'!$F85</f>
        <v>-50</v>
      </c>
      <c r="H171" s="194">
        <f>'STM inputs'!H85-'STM inputs'!$F85</f>
        <v>133</v>
      </c>
      <c r="I171" s="194">
        <f>'STM inputs'!I85-'STM inputs'!$F85</f>
        <v>12</v>
      </c>
      <c r="J171" s="194">
        <f>'STM inputs'!J85-'STM inputs'!$F85</f>
        <v>0</v>
      </c>
      <c r="K171" s="194">
        <f>'STM inputs'!K85-'STM inputs'!$F85</f>
        <v>118</v>
      </c>
      <c r="L171" s="194">
        <f>'STM inputs'!L85-'STM inputs'!$F85</f>
        <v>318</v>
      </c>
      <c r="M171" s="194">
        <f>'STM inputs'!M85-'STM inputs'!$F85</f>
        <v>53</v>
      </c>
      <c r="N171" s="194">
        <f>'STM inputs'!N85-'STM inputs'!$F85</f>
        <v>-38</v>
      </c>
      <c r="O171" s="194">
        <f>'STM inputs'!O85-'STM inputs'!$F85</f>
        <v>-8</v>
      </c>
      <c r="P171" s="194">
        <f>'STM inputs'!P85-'STM inputs'!$F85</f>
        <v>0</v>
      </c>
      <c r="Q171" s="194">
        <f>'STM inputs'!Q85-'STM inputs'!$F85</f>
        <v>-30</v>
      </c>
      <c r="R171" s="194">
        <f>'STM inputs'!R85-'STM inputs'!$F85</f>
        <v>-260</v>
      </c>
      <c r="S171" s="194">
        <f>'STM inputs'!S85-'STM inputs'!$F85</f>
        <v>1764</v>
      </c>
      <c r="T171" s="194">
        <f>'STM inputs'!T85-'STM inputs'!$F85</f>
        <v>60</v>
      </c>
      <c r="U171" s="235">
        <f>'STM inputs'!U85-'STM inputs'!$F85</f>
        <v>-30</v>
      </c>
    </row>
    <row r="172" spans="3:21" x14ac:dyDescent="0.25">
      <c r="C172" s="191" t="str">
        <f>'STM inputs'!C86</f>
        <v>Ferry PKT - EV 13 hours</v>
      </c>
      <c r="D172" t="str">
        <f>'STM inputs'!D86</f>
        <v>F8</v>
      </c>
      <c r="E172" t="str">
        <f>'STM inputs'!E86</f>
        <v>Pass. Kms/EV</v>
      </c>
      <c r="F172" s="194">
        <f>'STM inputs'!F86-'STM inputs'!$F86</f>
        <v>0</v>
      </c>
      <c r="G172" s="194">
        <f>'STM inputs'!G86-'STM inputs'!$F86</f>
        <v>-57</v>
      </c>
      <c r="H172" s="194">
        <f>'STM inputs'!H86-'STM inputs'!$F86</f>
        <v>109</v>
      </c>
      <c r="I172" s="194">
        <f>'STM inputs'!I86-'STM inputs'!$F86</f>
        <v>8</v>
      </c>
      <c r="J172" s="194">
        <f>'STM inputs'!J86-'STM inputs'!$F86</f>
        <v>0</v>
      </c>
      <c r="K172" s="194">
        <f>'STM inputs'!K86-'STM inputs'!$F86</f>
        <v>100</v>
      </c>
      <c r="L172" s="194">
        <f>'STM inputs'!L86-'STM inputs'!$F86</f>
        <v>269</v>
      </c>
      <c r="M172" s="194">
        <f>'STM inputs'!M86-'STM inputs'!$F86</f>
        <v>55</v>
      </c>
      <c r="N172" s="194">
        <f>'STM inputs'!N86-'STM inputs'!$F86</f>
        <v>-28</v>
      </c>
      <c r="O172" s="194">
        <f>'STM inputs'!O86-'STM inputs'!$F86</f>
        <v>-3</v>
      </c>
      <c r="P172" s="194">
        <f>'STM inputs'!P86-'STM inputs'!$F86</f>
        <v>0</v>
      </c>
      <c r="Q172" s="194">
        <f>'STM inputs'!Q86-'STM inputs'!$F86</f>
        <v>-25</v>
      </c>
      <c r="R172" s="194">
        <f>'STM inputs'!R86-'STM inputs'!$F86</f>
        <v>-226</v>
      </c>
      <c r="S172" s="194">
        <f>'STM inputs'!S86-'STM inputs'!$F86</f>
        <v>1297</v>
      </c>
      <c r="T172" s="194">
        <f>'STM inputs'!T86-'STM inputs'!$F86</f>
        <v>61</v>
      </c>
      <c r="U172" s="235">
        <f>'STM inputs'!U86-'STM inputs'!$F86</f>
        <v>-37</v>
      </c>
    </row>
    <row r="173" spans="3:21" x14ac:dyDescent="0.25">
      <c r="C173" s="191" t="str">
        <f>'STM inputs'!C87</f>
        <v>Ferry passenger hours</v>
      </c>
      <c r="F173" s="194"/>
      <c r="G173" s="194"/>
      <c r="H173" s="194"/>
      <c r="I173" s="194"/>
      <c r="J173" s="194"/>
      <c r="K173" s="194"/>
      <c r="L173" s="194"/>
      <c r="M173" s="194"/>
      <c r="N173" s="194"/>
      <c r="O173" s="194"/>
      <c r="P173" s="194"/>
      <c r="Q173" s="194"/>
      <c r="R173" s="194"/>
      <c r="S173" s="194"/>
      <c r="T173" s="194"/>
      <c r="U173" s="235"/>
    </row>
    <row r="174" spans="3:21" x14ac:dyDescent="0.25">
      <c r="C174" s="191" t="str">
        <f>'STM inputs'!C88</f>
        <v>Ferry PHT - AM peak 2 hours</v>
      </c>
      <c r="D174" t="str">
        <f>'STM inputs'!D88</f>
        <v>F9</v>
      </c>
      <c r="E174" t="str">
        <f>'STM inputs'!E88</f>
        <v>Pass. Hours/AM</v>
      </c>
      <c r="F174" s="194">
        <f>'STM inputs'!F88-'STM inputs'!$F88</f>
        <v>0</v>
      </c>
      <c r="G174" s="194">
        <f>'STM inputs'!G88-'STM inputs'!$F88</f>
        <v>-4</v>
      </c>
      <c r="H174" s="194">
        <f>'STM inputs'!H88-'STM inputs'!$F88</f>
        <v>8</v>
      </c>
      <c r="I174" s="194">
        <f>'STM inputs'!I88-'STM inputs'!$F88</f>
        <v>0</v>
      </c>
      <c r="J174" s="194">
        <f>'STM inputs'!J88-'STM inputs'!$F88</f>
        <v>0</v>
      </c>
      <c r="K174" s="194">
        <f>'STM inputs'!K88-'STM inputs'!$F88</f>
        <v>7</v>
      </c>
      <c r="L174" s="194">
        <f>'STM inputs'!L88-'STM inputs'!$F88</f>
        <v>19</v>
      </c>
      <c r="M174" s="194">
        <f>'STM inputs'!M88-'STM inputs'!$F88</f>
        <v>4</v>
      </c>
      <c r="N174" s="194">
        <f>'STM inputs'!N88-'STM inputs'!$F88</f>
        <v>-2</v>
      </c>
      <c r="O174" s="194">
        <f>'STM inputs'!O88-'STM inputs'!$F88</f>
        <v>0</v>
      </c>
      <c r="P174" s="194">
        <f>'STM inputs'!P88-'STM inputs'!$F88</f>
        <v>0</v>
      </c>
      <c r="Q174" s="194">
        <f>'STM inputs'!Q88-'STM inputs'!$F88</f>
        <v>-2</v>
      </c>
      <c r="R174" s="194">
        <f>'STM inputs'!R88-'STM inputs'!$F88</f>
        <v>-16</v>
      </c>
      <c r="S174" s="194">
        <f>'STM inputs'!S88-'STM inputs'!$F88</f>
        <v>89</v>
      </c>
      <c r="T174" s="194">
        <f>'STM inputs'!T88-'STM inputs'!$F88</f>
        <v>4</v>
      </c>
      <c r="U174" s="235">
        <f>'STM inputs'!U88-'STM inputs'!$F88</f>
        <v>-3</v>
      </c>
    </row>
    <row r="175" spans="3:21" x14ac:dyDescent="0.25">
      <c r="C175" s="191" t="str">
        <f>'STM inputs'!C89</f>
        <v>Ferry PHT - IP 6 hours</v>
      </c>
      <c r="D175" t="str">
        <f>'STM inputs'!D89</f>
        <v>F10</v>
      </c>
      <c r="E175" t="str">
        <f>'STM inputs'!E89</f>
        <v>Pass. Hours/IP</v>
      </c>
      <c r="F175" s="194">
        <f>'STM inputs'!F89-'STM inputs'!$F89</f>
        <v>0</v>
      </c>
      <c r="G175" s="194">
        <f>'STM inputs'!G89-'STM inputs'!$F89</f>
        <v>-2</v>
      </c>
      <c r="H175" s="194">
        <f>'STM inputs'!H89-'STM inputs'!$F89</f>
        <v>10</v>
      </c>
      <c r="I175" s="194">
        <f>'STM inputs'!I89-'STM inputs'!$F89</f>
        <v>1</v>
      </c>
      <c r="J175" s="194">
        <f>'STM inputs'!J89-'STM inputs'!$F89</f>
        <v>0</v>
      </c>
      <c r="K175" s="194">
        <f>'STM inputs'!K89-'STM inputs'!$F89</f>
        <v>8</v>
      </c>
      <c r="L175" s="194">
        <f>'STM inputs'!L89-'STM inputs'!$F89</f>
        <v>23</v>
      </c>
      <c r="M175" s="194">
        <f>'STM inputs'!M89-'STM inputs'!$F89</f>
        <v>3</v>
      </c>
      <c r="N175" s="194">
        <f>'STM inputs'!N89-'STM inputs'!$F89</f>
        <v>-3</v>
      </c>
      <c r="O175" s="194">
        <f>'STM inputs'!O89-'STM inputs'!$F89</f>
        <v>-1</v>
      </c>
      <c r="P175" s="194">
        <f>'STM inputs'!P89-'STM inputs'!$F89</f>
        <v>0</v>
      </c>
      <c r="Q175" s="194">
        <f>'STM inputs'!Q89-'STM inputs'!$F89</f>
        <v>-2</v>
      </c>
      <c r="R175" s="194">
        <f>'STM inputs'!R89-'STM inputs'!$F89</f>
        <v>-17</v>
      </c>
      <c r="S175" s="194">
        <f>'STM inputs'!S89-'STM inputs'!$F89</f>
        <v>164</v>
      </c>
      <c r="T175" s="194">
        <f>'STM inputs'!T89-'STM inputs'!$F89</f>
        <v>4</v>
      </c>
      <c r="U175" s="235">
        <f>'STM inputs'!U89-'STM inputs'!$F89</f>
        <v>-1</v>
      </c>
    </row>
    <row r="176" spans="3:21" x14ac:dyDescent="0.25">
      <c r="C176" s="191" t="str">
        <f>'STM inputs'!C90</f>
        <v>Ferry PHT - PM peak 3 hours</v>
      </c>
      <c r="D176" t="str">
        <f>'STM inputs'!D90</f>
        <v>F11</v>
      </c>
      <c r="E176" t="str">
        <f>'STM inputs'!E90</f>
        <v>Pass. Hours/PM</v>
      </c>
      <c r="F176" s="194">
        <f>'STM inputs'!F90-'STM inputs'!$F90</f>
        <v>0</v>
      </c>
      <c r="G176" s="194">
        <f>'STM inputs'!G90-'STM inputs'!$F90</f>
        <v>-2</v>
      </c>
      <c r="H176" s="194">
        <f>'STM inputs'!H90-'STM inputs'!$F90</f>
        <v>8</v>
      </c>
      <c r="I176" s="194">
        <f>'STM inputs'!I90-'STM inputs'!$F90</f>
        <v>1</v>
      </c>
      <c r="J176" s="194">
        <f>'STM inputs'!J90-'STM inputs'!$F90</f>
        <v>0</v>
      </c>
      <c r="K176" s="194">
        <f>'STM inputs'!K90-'STM inputs'!$F90</f>
        <v>6</v>
      </c>
      <c r="L176" s="194">
        <f>'STM inputs'!L90-'STM inputs'!$F90</f>
        <v>20</v>
      </c>
      <c r="M176" s="194">
        <f>'STM inputs'!M90-'STM inputs'!$F90</f>
        <v>2</v>
      </c>
      <c r="N176" s="194">
        <f>'STM inputs'!N90-'STM inputs'!$F90</f>
        <v>-3</v>
      </c>
      <c r="O176" s="194">
        <f>'STM inputs'!O90-'STM inputs'!$F90</f>
        <v>-1</v>
      </c>
      <c r="P176" s="194">
        <f>'STM inputs'!P90-'STM inputs'!$F90</f>
        <v>0</v>
      </c>
      <c r="Q176" s="194">
        <f>'STM inputs'!Q90-'STM inputs'!$F90</f>
        <v>-2</v>
      </c>
      <c r="R176" s="194">
        <f>'STM inputs'!R90-'STM inputs'!$F90</f>
        <v>-17</v>
      </c>
      <c r="S176" s="194">
        <f>'STM inputs'!S90-'STM inputs'!$F90</f>
        <v>114</v>
      </c>
      <c r="T176" s="194">
        <f>'STM inputs'!T90-'STM inputs'!$F90</f>
        <v>2</v>
      </c>
      <c r="U176" s="235">
        <f>'STM inputs'!U90-'STM inputs'!$F90</f>
        <v>-1</v>
      </c>
    </row>
    <row r="177" spans="3:21" x14ac:dyDescent="0.25">
      <c r="C177" s="191" t="str">
        <f>'STM inputs'!C91</f>
        <v>Ferry PHT - EV 13 hours</v>
      </c>
      <c r="D177" t="str">
        <f>'STM inputs'!D91</f>
        <v>F12</v>
      </c>
      <c r="E177" t="str">
        <f>'STM inputs'!E91</f>
        <v>Pass. Hours/EV</v>
      </c>
      <c r="F177" s="194">
        <f>'STM inputs'!F91-'STM inputs'!$F91</f>
        <v>0</v>
      </c>
      <c r="G177" s="194">
        <f>'STM inputs'!G91-'STM inputs'!$F91</f>
        <v>-2</v>
      </c>
      <c r="H177" s="194">
        <f>'STM inputs'!H91-'STM inputs'!$F91</f>
        <v>7</v>
      </c>
      <c r="I177" s="194">
        <f>'STM inputs'!I91-'STM inputs'!$F91</f>
        <v>1</v>
      </c>
      <c r="J177" s="194">
        <f>'STM inputs'!J91-'STM inputs'!$F91</f>
        <v>0</v>
      </c>
      <c r="K177" s="194">
        <f>'STM inputs'!K91-'STM inputs'!$F91</f>
        <v>6</v>
      </c>
      <c r="L177" s="194">
        <f>'STM inputs'!L91-'STM inputs'!$F91</f>
        <v>16</v>
      </c>
      <c r="M177" s="194">
        <f>'STM inputs'!M91-'STM inputs'!$F91</f>
        <v>3</v>
      </c>
      <c r="N177" s="194">
        <f>'STM inputs'!N91-'STM inputs'!$F91</f>
        <v>-1</v>
      </c>
      <c r="O177" s="194">
        <f>'STM inputs'!O91-'STM inputs'!$F91</f>
        <v>0</v>
      </c>
      <c r="P177" s="194">
        <f>'STM inputs'!P91-'STM inputs'!$F91</f>
        <v>0</v>
      </c>
      <c r="Q177" s="194">
        <f>'STM inputs'!Q91-'STM inputs'!$F91</f>
        <v>-1</v>
      </c>
      <c r="R177" s="194">
        <f>'STM inputs'!R91-'STM inputs'!$F91</f>
        <v>-13</v>
      </c>
      <c r="S177" s="194">
        <f>'STM inputs'!S91-'STM inputs'!$F91</f>
        <v>80</v>
      </c>
      <c r="T177" s="194">
        <f>'STM inputs'!T91-'STM inputs'!$F91</f>
        <v>3</v>
      </c>
      <c r="U177" s="235">
        <f>'STM inputs'!U91-'STM inputs'!$F91</f>
        <v>-1</v>
      </c>
    </row>
    <row r="178" spans="3:21" x14ac:dyDescent="0.25">
      <c r="C178" s="191"/>
      <c r="F178" s="194"/>
      <c r="G178" s="194"/>
      <c r="H178" s="194"/>
      <c r="I178" s="194"/>
      <c r="J178" s="194"/>
      <c r="K178" s="194"/>
      <c r="L178" s="194"/>
      <c r="M178" s="194"/>
      <c r="N178" s="194"/>
      <c r="O178" s="194"/>
      <c r="P178" s="194"/>
      <c r="Q178" s="194"/>
      <c r="R178" s="194"/>
      <c r="S178" s="194"/>
      <c r="T178" s="194"/>
      <c r="U178" s="235"/>
    </row>
    <row r="179" spans="3:21" x14ac:dyDescent="0.25">
      <c r="C179" s="191" t="str">
        <f>'STM inputs'!C93</f>
        <v>Light rail trips</v>
      </c>
      <c r="F179" s="194"/>
      <c r="G179" s="194"/>
      <c r="H179" s="194"/>
      <c r="I179" s="194"/>
      <c r="J179" s="194"/>
      <c r="K179" s="194"/>
      <c r="L179" s="194"/>
      <c r="M179" s="194"/>
      <c r="N179" s="194"/>
      <c r="O179" s="194"/>
      <c r="P179" s="194"/>
      <c r="Q179" s="194"/>
      <c r="R179" s="194"/>
      <c r="S179" s="194"/>
      <c r="T179" s="194"/>
      <c r="U179" s="235"/>
    </row>
    <row r="180" spans="3:21" x14ac:dyDescent="0.25">
      <c r="C180" s="191" t="str">
        <f>'STM inputs'!C94</f>
        <v>Light rail passenger demand - AM peak 2 hours</v>
      </c>
      <c r="D180" t="str">
        <f>'STM inputs'!D94</f>
        <v>L1</v>
      </c>
      <c r="E180" t="str">
        <f>'STM inputs'!E94</f>
        <v>Trips/AM</v>
      </c>
      <c r="F180" s="194">
        <f>'STM inputs'!F94-'STM inputs'!$F94</f>
        <v>0</v>
      </c>
      <c r="G180" s="194">
        <f>'STM inputs'!G94-'STM inputs'!$F94</f>
        <v>73</v>
      </c>
      <c r="H180" s="194">
        <f>'STM inputs'!H94-'STM inputs'!$F94</f>
        <v>656</v>
      </c>
      <c r="I180" s="194">
        <f>'STM inputs'!I94-'STM inputs'!$F94</f>
        <v>108</v>
      </c>
      <c r="J180" s="194">
        <f>'STM inputs'!J94-'STM inputs'!$F94</f>
        <v>515</v>
      </c>
      <c r="K180" s="194">
        <f>'STM inputs'!K94-'STM inputs'!$F94</f>
        <v>12</v>
      </c>
      <c r="L180" s="194">
        <f>'STM inputs'!L94-'STM inputs'!$F94</f>
        <v>972</v>
      </c>
      <c r="M180" s="194">
        <f>'STM inputs'!M94-'STM inputs'!$F94</f>
        <v>4</v>
      </c>
      <c r="N180" s="194">
        <f>'STM inputs'!N94-'STM inputs'!$F94</f>
        <v>-447</v>
      </c>
      <c r="O180" s="194">
        <f>'STM inputs'!O94-'STM inputs'!$F94</f>
        <v>-37</v>
      </c>
      <c r="P180" s="194">
        <f>'STM inputs'!P94-'STM inputs'!$F94</f>
        <v>-413</v>
      </c>
      <c r="Q180" s="194">
        <f>'STM inputs'!Q94-'STM inputs'!$F94</f>
        <v>-2</v>
      </c>
      <c r="R180" s="194">
        <f>'STM inputs'!R94-'STM inputs'!$F94</f>
        <v>-767</v>
      </c>
      <c r="S180" s="194">
        <f>'STM inputs'!S94-'STM inputs'!$F94</f>
        <v>7870</v>
      </c>
      <c r="T180" s="194">
        <f>'STM inputs'!T94-'STM inputs'!$F94</f>
        <v>-94</v>
      </c>
      <c r="U180" s="235">
        <f>'STM inputs'!U94-'STM inputs'!$F94</f>
        <v>125</v>
      </c>
    </row>
    <row r="181" spans="3:21" x14ac:dyDescent="0.25">
      <c r="C181" s="191" t="str">
        <f>'STM inputs'!C95</f>
        <v>Light rail passenger demand - IP 6 hours</v>
      </c>
      <c r="D181" t="str">
        <f>'STM inputs'!D95</f>
        <v>L2</v>
      </c>
      <c r="E181" t="str">
        <f>'STM inputs'!E95</f>
        <v>Trips/IP</v>
      </c>
      <c r="F181" s="194">
        <f>'STM inputs'!F95-'STM inputs'!$F95</f>
        <v>0</v>
      </c>
      <c r="G181" s="194">
        <f>'STM inputs'!G95-'STM inputs'!$F95</f>
        <v>337</v>
      </c>
      <c r="H181" s="194">
        <f>'STM inputs'!H95-'STM inputs'!$F95</f>
        <v>725</v>
      </c>
      <c r="I181" s="194">
        <f>'STM inputs'!I95-'STM inputs'!$F95</f>
        <v>137</v>
      </c>
      <c r="J181" s="194">
        <f>'STM inputs'!J95-'STM inputs'!$F95</f>
        <v>558</v>
      </c>
      <c r="K181" s="194">
        <f>'STM inputs'!K95-'STM inputs'!$F95</f>
        <v>8</v>
      </c>
      <c r="L181" s="194">
        <f>'STM inputs'!L95-'STM inputs'!$F95</f>
        <v>1367</v>
      </c>
      <c r="M181" s="194">
        <f>'STM inputs'!M95-'STM inputs'!$F95</f>
        <v>-179</v>
      </c>
      <c r="N181" s="194">
        <f>'STM inputs'!N95-'STM inputs'!$F95</f>
        <v>-447</v>
      </c>
      <c r="O181" s="194">
        <f>'STM inputs'!O95-'STM inputs'!$F95</f>
        <v>-51</v>
      </c>
      <c r="P181" s="194">
        <f>'STM inputs'!P95-'STM inputs'!$F95</f>
        <v>-405</v>
      </c>
      <c r="Q181" s="194">
        <f>'STM inputs'!Q95-'STM inputs'!$F95</f>
        <v>-2</v>
      </c>
      <c r="R181" s="194">
        <f>'STM inputs'!R95-'STM inputs'!$F95</f>
        <v>-928</v>
      </c>
      <c r="S181" s="194">
        <f>'STM inputs'!S95-'STM inputs'!$F95</f>
        <v>30587</v>
      </c>
      <c r="T181" s="194">
        <f>'STM inputs'!T95-'STM inputs'!$F95</f>
        <v>-223</v>
      </c>
      <c r="U181" s="235">
        <f>'STM inputs'!U95-'STM inputs'!$F95</f>
        <v>241</v>
      </c>
    </row>
    <row r="182" spans="3:21" x14ac:dyDescent="0.25">
      <c r="C182" s="191" t="str">
        <f>'STM inputs'!C96</f>
        <v>Light rail passenger demand - PM peak 3 hours</v>
      </c>
      <c r="D182" t="str">
        <f>'STM inputs'!D96</f>
        <v>L3</v>
      </c>
      <c r="E182" t="str">
        <f>'STM inputs'!E96</f>
        <v>Trips/PM</v>
      </c>
      <c r="F182" s="194">
        <f>'STM inputs'!F96-'STM inputs'!$F96</f>
        <v>0</v>
      </c>
      <c r="G182" s="194">
        <f>'STM inputs'!G96-'STM inputs'!$F96</f>
        <v>133</v>
      </c>
      <c r="H182" s="194">
        <f>'STM inputs'!H96-'STM inputs'!$F96</f>
        <v>737</v>
      </c>
      <c r="I182" s="194">
        <f>'STM inputs'!I96-'STM inputs'!$F96</f>
        <v>138</v>
      </c>
      <c r="J182" s="194">
        <f>'STM inputs'!J96-'STM inputs'!$F96</f>
        <v>557</v>
      </c>
      <c r="K182" s="194">
        <f>'STM inputs'!K96-'STM inputs'!$F96</f>
        <v>9</v>
      </c>
      <c r="L182" s="194">
        <f>'STM inputs'!L96-'STM inputs'!$F96</f>
        <v>1087</v>
      </c>
      <c r="M182" s="194">
        <f>'STM inputs'!M96-'STM inputs'!$F96</f>
        <v>-67</v>
      </c>
      <c r="N182" s="194">
        <f>'STM inputs'!N96-'STM inputs'!$F96</f>
        <v>-480</v>
      </c>
      <c r="O182" s="194">
        <f>'STM inputs'!O96-'STM inputs'!$F96</f>
        <v>-60</v>
      </c>
      <c r="P182" s="194">
        <f>'STM inputs'!P96-'STM inputs'!$F96</f>
        <v>-429</v>
      </c>
      <c r="Q182" s="194">
        <f>'STM inputs'!Q96-'STM inputs'!$F96</f>
        <v>-3</v>
      </c>
      <c r="R182" s="194">
        <f>'STM inputs'!R96-'STM inputs'!$F96</f>
        <v>-822</v>
      </c>
      <c r="S182" s="194">
        <f>'STM inputs'!S96-'STM inputs'!$F96</f>
        <v>15112</v>
      </c>
      <c r="T182" s="194">
        <f>'STM inputs'!T96-'STM inputs'!$F96</f>
        <v>-215</v>
      </c>
      <c r="U182" s="235">
        <f>'STM inputs'!U96-'STM inputs'!$F96</f>
        <v>179</v>
      </c>
    </row>
    <row r="183" spans="3:21" x14ac:dyDescent="0.25">
      <c r="C183" s="191" t="str">
        <f>'STM inputs'!C97</f>
        <v>Light rail passenger demand - EV 13 hours</v>
      </c>
      <c r="D183" t="str">
        <f>'STM inputs'!D97</f>
        <v>L4</v>
      </c>
      <c r="E183" t="str">
        <f>'STM inputs'!E97</f>
        <v>Trips/EV</v>
      </c>
      <c r="F183" s="194">
        <f>'STM inputs'!F97-'STM inputs'!$F97</f>
        <v>0</v>
      </c>
      <c r="G183" s="194">
        <f>'STM inputs'!G97-'STM inputs'!$F97</f>
        <v>33</v>
      </c>
      <c r="H183" s="194">
        <f>'STM inputs'!H97-'STM inputs'!$F97</f>
        <v>615</v>
      </c>
      <c r="I183" s="194">
        <f>'STM inputs'!I97-'STM inputs'!$F97</f>
        <v>101</v>
      </c>
      <c r="J183" s="194">
        <f>'STM inputs'!J97-'STM inputs'!$F97</f>
        <v>478</v>
      </c>
      <c r="K183" s="194">
        <f>'STM inputs'!K97-'STM inputs'!$F97</f>
        <v>9</v>
      </c>
      <c r="L183" s="194">
        <f>'STM inputs'!L97-'STM inputs'!$F97</f>
        <v>828</v>
      </c>
      <c r="M183" s="194">
        <f>'STM inputs'!M97-'STM inputs'!$F97</f>
        <v>2</v>
      </c>
      <c r="N183" s="194">
        <f>'STM inputs'!N97-'STM inputs'!$F97</f>
        <v>-408</v>
      </c>
      <c r="O183" s="194">
        <f>'STM inputs'!O97-'STM inputs'!$F97</f>
        <v>-39</v>
      </c>
      <c r="P183" s="194">
        <f>'STM inputs'!P97-'STM inputs'!$F97</f>
        <v>-374</v>
      </c>
      <c r="Q183" s="194">
        <f>'STM inputs'!Q97-'STM inputs'!$F97</f>
        <v>-2</v>
      </c>
      <c r="R183" s="194">
        <f>'STM inputs'!R97-'STM inputs'!$F97</f>
        <v>-655</v>
      </c>
      <c r="S183" s="194">
        <f>'STM inputs'!S97-'STM inputs'!$F97</f>
        <v>8789</v>
      </c>
      <c r="T183" s="194">
        <f>'STM inputs'!T97-'STM inputs'!$F97</f>
        <v>-126</v>
      </c>
      <c r="U183" s="235">
        <f>'STM inputs'!U97-'STM inputs'!$F97</f>
        <v>110</v>
      </c>
    </row>
    <row r="184" spans="3:21" x14ac:dyDescent="0.25">
      <c r="C184" s="191" t="str">
        <f>'STM inputs'!C98</f>
        <v>Light rail passenger kms</v>
      </c>
      <c r="F184" s="194"/>
      <c r="G184" s="194"/>
      <c r="H184" s="194"/>
      <c r="I184" s="194"/>
      <c r="J184" s="194"/>
      <c r="K184" s="194"/>
      <c r="L184" s="194"/>
      <c r="M184" s="194"/>
      <c r="N184" s="194"/>
      <c r="O184" s="194"/>
      <c r="P184" s="194"/>
      <c r="Q184" s="194"/>
      <c r="R184" s="194"/>
      <c r="S184" s="194"/>
      <c r="T184" s="194"/>
      <c r="U184" s="235"/>
    </row>
    <row r="185" spans="3:21" x14ac:dyDescent="0.25">
      <c r="C185" s="191" t="str">
        <f>'STM inputs'!C99</f>
        <v>Light rail PKT - AM peak 2 hours</v>
      </c>
      <c r="D185" t="str">
        <f>'STM inputs'!D99</f>
        <v>L5</v>
      </c>
      <c r="E185" t="str">
        <f>'STM inputs'!E99</f>
        <v>Pass. Kms/AM</v>
      </c>
      <c r="F185" s="194">
        <f>'STM inputs'!F99-'STM inputs'!$F99</f>
        <v>0</v>
      </c>
      <c r="G185" s="194">
        <f>'STM inputs'!G99-'STM inputs'!$F99</f>
        <v>242</v>
      </c>
      <c r="H185" s="194">
        <f>'STM inputs'!H99-'STM inputs'!$F99</f>
        <v>1381</v>
      </c>
      <c r="I185" s="194">
        <f>'STM inputs'!I99-'STM inputs'!$F99</f>
        <v>-15</v>
      </c>
      <c r="J185" s="194">
        <f>'STM inputs'!J99-'STM inputs'!$F99</f>
        <v>1336</v>
      </c>
      <c r="K185" s="194">
        <f>'STM inputs'!K99-'STM inputs'!$F99</f>
        <v>8</v>
      </c>
      <c r="L185" s="194">
        <f>'STM inputs'!L99-'STM inputs'!$F99</f>
        <v>2320</v>
      </c>
      <c r="M185" s="194">
        <f>'STM inputs'!M99-'STM inputs'!$F99</f>
        <v>-8</v>
      </c>
      <c r="N185" s="194">
        <f>'STM inputs'!N99-'STM inputs'!$F99</f>
        <v>-923</v>
      </c>
      <c r="O185" s="194">
        <f>'STM inputs'!O99-'STM inputs'!$F99</f>
        <v>136</v>
      </c>
      <c r="P185" s="194">
        <f>'STM inputs'!P99-'STM inputs'!$F99</f>
        <v>-1061</v>
      </c>
      <c r="Q185" s="194">
        <f>'STM inputs'!Q99-'STM inputs'!$F99</f>
        <v>-3</v>
      </c>
      <c r="R185" s="194">
        <f>'STM inputs'!R99-'STM inputs'!$F99</f>
        <v>-1821</v>
      </c>
      <c r="S185" s="194">
        <f>'STM inputs'!S99-'STM inputs'!$F99</f>
        <v>18206</v>
      </c>
      <c r="T185" s="194">
        <f>'STM inputs'!T99-'STM inputs'!$F99</f>
        <v>-551</v>
      </c>
      <c r="U185" s="235">
        <f>'STM inputs'!U99-'STM inputs'!$F99</f>
        <v>596</v>
      </c>
    </row>
    <row r="186" spans="3:21" x14ac:dyDescent="0.25">
      <c r="C186" s="191" t="str">
        <f>'STM inputs'!C100</f>
        <v>Light rail PKT - IP 6 hours</v>
      </c>
      <c r="D186" t="str">
        <f>'STM inputs'!D100</f>
        <v>L6</v>
      </c>
      <c r="E186" t="str">
        <f>'STM inputs'!E100</f>
        <v>Pass. Kms/IP</v>
      </c>
      <c r="F186" s="194">
        <f>'STM inputs'!F100-'STM inputs'!$F100</f>
        <v>0</v>
      </c>
      <c r="G186" s="194">
        <f>'STM inputs'!G100-'STM inputs'!$F100</f>
        <v>642</v>
      </c>
      <c r="H186" s="194">
        <f>'STM inputs'!H100-'STM inputs'!$F100</f>
        <v>1715</v>
      </c>
      <c r="I186" s="194">
        <f>'STM inputs'!I100-'STM inputs'!$F100</f>
        <v>165</v>
      </c>
      <c r="J186" s="194">
        <f>'STM inputs'!J100-'STM inputs'!$F100</f>
        <v>1497</v>
      </c>
      <c r="K186" s="194">
        <f>'STM inputs'!K100-'STM inputs'!$F100</f>
        <v>7</v>
      </c>
      <c r="L186" s="194">
        <f>'STM inputs'!L100-'STM inputs'!$F100</f>
        <v>3120</v>
      </c>
      <c r="M186" s="194">
        <f>'STM inputs'!M100-'STM inputs'!$F100</f>
        <v>-270</v>
      </c>
      <c r="N186" s="194">
        <f>'STM inputs'!N100-'STM inputs'!$F100</f>
        <v>-1029</v>
      </c>
      <c r="O186" s="194">
        <f>'STM inputs'!O100-'STM inputs'!$F100</f>
        <v>12</v>
      </c>
      <c r="P186" s="194">
        <f>'STM inputs'!P100-'STM inputs'!$F100</f>
        <v>-1061</v>
      </c>
      <c r="Q186" s="194">
        <f>'STM inputs'!Q100-'STM inputs'!$F100</f>
        <v>-1</v>
      </c>
      <c r="R186" s="194">
        <f>'STM inputs'!R100-'STM inputs'!$F100</f>
        <v>-2126</v>
      </c>
      <c r="S186" s="194">
        <f>'STM inputs'!S100-'STM inputs'!$F100</f>
        <v>68900</v>
      </c>
      <c r="T186" s="194">
        <f>'STM inputs'!T100-'STM inputs'!$F100</f>
        <v>-799</v>
      </c>
      <c r="U186" s="235">
        <f>'STM inputs'!U100-'STM inputs'!$F100</f>
        <v>840</v>
      </c>
    </row>
    <row r="187" spans="3:21" x14ac:dyDescent="0.25">
      <c r="C187" s="191" t="str">
        <f>'STM inputs'!C101</f>
        <v>Light rail PKT - PM peak 3 hours</v>
      </c>
      <c r="D187" t="str">
        <f>'STM inputs'!D101</f>
        <v>L7</v>
      </c>
      <c r="E187" t="str">
        <f>'STM inputs'!E101</f>
        <v>Pass. Kms/PM</v>
      </c>
      <c r="F187" s="194">
        <f>'STM inputs'!F101-'STM inputs'!$F101</f>
        <v>0</v>
      </c>
      <c r="G187" s="194">
        <f>'STM inputs'!G101-'STM inputs'!$F101</f>
        <v>128</v>
      </c>
      <c r="H187" s="194">
        <f>'STM inputs'!H101-'STM inputs'!$F101</f>
        <v>1827</v>
      </c>
      <c r="I187" s="194">
        <f>'STM inputs'!I101-'STM inputs'!$F101</f>
        <v>80</v>
      </c>
      <c r="J187" s="194">
        <f>'STM inputs'!J101-'STM inputs'!$F101</f>
        <v>1699</v>
      </c>
      <c r="K187" s="194">
        <f>'STM inputs'!K101-'STM inputs'!$F101</f>
        <v>6</v>
      </c>
      <c r="L187" s="194">
        <f>'STM inputs'!L101-'STM inputs'!$F101</f>
        <v>2375</v>
      </c>
      <c r="M187" s="194">
        <f>'STM inputs'!M101-'STM inputs'!$F101</f>
        <v>10</v>
      </c>
      <c r="N187" s="194">
        <f>'STM inputs'!N101-'STM inputs'!$F101</f>
        <v>-1284</v>
      </c>
      <c r="O187" s="194">
        <f>'STM inputs'!O101-'STM inputs'!$F101</f>
        <v>21</v>
      </c>
      <c r="P187" s="194">
        <f>'STM inputs'!P101-'STM inputs'!$F101</f>
        <v>-1313</v>
      </c>
      <c r="Q187" s="194">
        <f>'STM inputs'!Q101-'STM inputs'!$F101</f>
        <v>-1</v>
      </c>
      <c r="R187" s="194">
        <f>'STM inputs'!R101-'STM inputs'!$F101</f>
        <v>-1804</v>
      </c>
      <c r="S187" s="194">
        <f>'STM inputs'!S101-'STM inputs'!$F101</f>
        <v>34790</v>
      </c>
      <c r="T187" s="194">
        <f>'STM inputs'!T101-'STM inputs'!$F101</f>
        <v>-820</v>
      </c>
      <c r="U187" s="235">
        <f>'STM inputs'!U101-'STM inputs'!$F101</f>
        <v>649</v>
      </c>
    </row>
    <row r="188" spans="3:21" x14ac:dyDescent="0.25">
      <c r="C188" s="191" t="str">
        <f>'STM inputs'!C102</f>
        <v>Light rail PKT - EV 13 hours</v>
      </c>
      <c r="D188" t="str">
        <f>'STM inputs'!D102</f>
        <v>L8</v>
      </c>
      <c r="E188" t="str">
        <f>'STM inputs'!E102</f>
        <v>Pass. Kms/EV</v>
      </c>
      <c r="F188" s="194">
        <f>'STM inputs'!F102-'STM inputs'!$F102</f>
        <v>0</v>
      </c>
      <c r="G188" s="194">
        <f>'STM inputs'!G102-'STM inputs'!$F102</f>
        <v>-39</v>
      </c>
      <c r="H188" s="194">
        <f>'STM inputs'!H102-'STM inputs'!$F102</f>
        <v>1446</v>
      </c>
      <c r="I188" s="194">
        <f>'STM inputs'!I102-'STM inputs'!$F102</f>
        <v>-3</v>
      </c>
      <c r="J188" s="194">
        <f>'STM inputs'!J102-'STM inputs'!$F102</f>
        <v>1408</v>
      </c>
      <c r="K188" s="194">
        <f>'STM inputs'!K102-'STM inputs'!$F102</f>
        <v>6</v>
      </c>
      <c r="L188" s="194">
        <f>'STM inputs'!L102-'STM inputs'!$F102</f>
        <v>1778</v>
      </c>
      <c r="M188" s="194">
        <f>'STM inputs'!M102-'STM inputs'!$F102</f>
        <v>120</v>
      </c>
      <c r="N188" s="194">
        <f>'STM inputs'!N102-'STM inputs'!$F102</f>
        <v>-1032</v>
      </c>
      <c r="O188" s="194">
        <f>'STM inputs'!O102-'STM inputs'!$F102</f>
        <v>74</v>
      </c>
      <c r="P188" s="194">
        <f>'STM inputs'!P102-'STM inputs'!$F102</f>
        <v>-1107</v>
      </c>
      <c r="Q188" s="194">
        <f>'STM inputs'!Q102-'STM inputs'!$F102</f>
        <v>-1</v>
      </c>
      <c r="R188" s="194">
        <f>'STM inputs'!R102-'STM inputs'!$F102</f>
        <v>-1415</v>
      </c>
      <c r="S188" s="194">
        <f>'STM inputs'!S102-'STM inputs'!$F102</f>
        <v>19573</v>
      </c>
      <c r="T188" s="194">
        <f>'STM inputs'!T102-'STM inputs'!$F102</f>
        <v>-572</v>
      </c>
      <c r="U188" s="235">
        <f>'STM inputs'!U102-'STM inputs'!$F102</f>
        <v>460</v>
      </c>
    </row>
    <row r="189" spans="3:21" x14ac:dyDescent="0.25">
      <c r="C189" s="191" t="str">
        <f>'STM inputs'!C103</f>
        <v>Light rail passenger hours</v>
      </c>
      <c r="F189" s="194"/>
      <c r="G189" s="194"/>
      <c r="H189" s="194"/>
      <c r="I189" s="194"/>
      <c r="J189" s="194"/>
      <c r="K189" s="194"/>
      <c r="L189" s="194"/>
      <c r="M189" s="194"/>
      <c r="N189" s="194"/>
      <c r="O189" s="194"/>
      <c r="P189" s="194"/>
      <c r="Q189" s="194"/>
      <c r="R189" s="194"/>
      <c r="S189" s="194"/>
      <c r="T189" s="194"/>
      <c r="U189" s="235"/>
    </row>
    <row r="190" spans="3:21" x14ac:dyDescent="0.25">
      <c r="C190" s="191" t="str">
        <f>'STM inputs'!C104</f>
        <v>Light rail PHT - AM peak 2 hours</v>
      </c>
      <c r="D190" t="str">
        <f>'STM inputs'!D104</f>
        <v>L9</v>
      </c>
      <c r="E190" t="str">
        <f>'STM inputs'!E104</f>
        <v>Pass. Hours/AM</v>
      </c>
      <c r="F190" s="194">
        <f>'STM inputs'!F104-'STM inputs'!$F104</f>
        <v>0</v>
      </c>
      <c r="G190" s="194">
        <f>'STM inputs'!G104-'STM inputs'!$F104</f>
        <v>14</v>
      </c>
      <c r="H190" s="194">
        <f>'STM inputs'!H104-'STM inputs'!$F104</f>
        <v>79</v>
      </c>
      <c r="I190" s="194">
        <f>'STM inputs'!I104-'STM inputs'!$F104</f>
        <v>1</v>
      </c>
      <c r="J190" s="194">
        <f>'STM inputs'!J104-'STM inputs'!$F104</f>
        <v>74</v>
      </c>
      <c r="K190" s="194">
        <f>'STM inputs'!K104-'STM inputs'!$F104</f>
        <v>1</v>
      </c>
      <c r="L190" s="194">
        <f>'STM inputs'!L104-'STM inputs'!$F104</f>
        <v>133</v>
      </c>
      <c r="M190" s="194">
        <f>'STM inputs'!M104-'STM inputs'!$F104</f>
        <v>-1</v>
      </c>
      <c r="N190" s="194">
        <f>'STM inputs'!N104-'STM inputs'!$F104</f>
        <v>-53</v>
      </c>
      <c r="O190" s="194">
        <f>'STM inputs'!O104-'STM inputs'!$F104</f>
        <v>6</v>
      </c>
      <c r="P190" s="194">
        <f>'STM inputs'!P104-'STM inputs'!$F104</f>
        <v>-59</v>
      </c>
      <c r="Q190" s="194">
        <f>'STM inputs'!Q104-'STM inputs'!$F104</f>
        <v>0</v>
      </c>
      <c r="R190" s="194">
        <f>'STM inputs'!R104-'STM inputs'!$F104</f>
        <v>-105</v>
      </c>
      <c r="S190" s="194">
        <f>'STM inputs'!S104-'STM inputs'!$F104</f>
        <v>958</v>
      </c>
      <c r="T190" s="194">
        <f>'STM inputs'!T104-'STM inputs'!$F104</f>
        <v>-28</v>
      </c>
      <c r="U190" s="235">
        <f>'STM inputs'!U104-'STM inputs'!$F104</f>
        <v>31</v>
      </c>
    </row>
    <row r="191" spans="3:21" x14ac:dyDescent="0.25">
      <c r="C191" s="191" t="str">
        <f>'STM inputs'!C105</f>
        <v>Light rail PHT - IP 6 hours</v>
      </c>
      <c r="D191" t="str">
        <f>'STM inputs'!D105</f>
        <v>L10</v>
      </c>
      <c r="E191" t="str">
        <f>'STM inputs'!E105</f>
        <v>Pass. Hours/IP</v>
      </c>
      <c r="F191" s="194">
        <f>'STM inputs'!F105-'STM inputs'!$F105</f>
        <v>0</v>
      </c>
      <c r="G191" s="194">
        <f>'STM inputs'!G105-'STM inputs'!$F105</f>
        <v>39</v>
      </c>
      <c r="H191" s="194">
        <f>'STM inputs'!H105-'STM inputs'!$F105</f>
        <v>95</v>
      </c>
      <c r="I191" s="194">
        <f>'STM inputs'!I105-'STM inputs'!$F105</f>
        <v>10</v>
      </c>
      <c r="J191" s="194">
        <f>'STM inputs'!J105-'STM inputs'!$F105</f>
        <v>82</v>
      </c>
      <c r="K191" s="194">
        <f>'STM inputs'!K105-'STM inputs'!$F105</f>
        <v>0</v>
      </c>
      <c r="L191" s="194">
        <f>'STM inputs'!L105-'STM inputs'!$F105</f>
        <v>178</v>
      </c>
      <c r="M191" s="194">
        <f>'STM inputs'!M105-'STM inputs'!$F105</f>
        <v>-18</v>
      </c>
      <c r="N191" s="194">
        <f>'STM inputs'!N105-'STM inputs'!$F105</f>
        <v>-58</v>
      </c>
      <c r="O191" s="194">
        <f>'STM inputs'!O105-'STM inputs'!$F105</f>
        <v>0</v>
      </c>
      <c r="P191" s="194">
        <f>'STM inputs'!P105-'STM inputs'!$F105</f>
        <v>-59</v>
      </c>
      <c r="Q191" s="194">
        <f>'STM inputs'!Q105-'STM inputs'!$F105</f>
        <v>0</v>
      </c>
      <c r="R191" s="194">
        <f>'STM inputs'!R105-'STM inputs'!$F105</f>
        <v>-122</v>
      </c>
      <c r="S191" s="194">
        <f>'STM inputs'!S105-'STM inputs'!$F105</f>
        <v>3311</v>
      </c>
      <c r="T191" s="194">
        <f>'STM inputs'!T105-'STM inputs'!$F105</f>
        <v>-44</v>
      </c>
      <c r="U191" s="235">
        <f>'STM inputs'!U105-'STM inputs'!$F105</f>
        <v>46</v>
      </c>
    </row>
    <row r="192" spans="3:21" x14ac:dyDescent="0.25">
      <c r="C192" s="191" t="str">
        <f>'STM inputs'!C106</f>
        <v>Light rail PHT - PM peak 3 hours</v>
      </c>
      <c r="D192" t="str">
        <f>'STM inputs'!D106</f>
        <v>L11</v>
      </c>
      <c r="E192" t="str">
        <f>'STM inputs'!E106</f>
        <v>Pass. Hours/PM</v>
      </c>
      <c r="F192" s="194">
        <f>'STM inputs'!F106-'STM inputs'!$F106</f>
        <v>0</v>
      </c>
      <c r="G192" s="194">
        <f>'STM inputs'!G106-'STM inputs'!$F106</f>
        <v>8</v>
      </c>
      <c r="H192" s="194">
        <f>'STM inputs'!H106-'STM inputs'!$F106</f>
        <v>103</v>
      </c>
      <c r="I192" s="194">
        <f>'STM inputs'!I106-'STM inputs'!$F106</f>
        <v>6</v>
      </c>
      <c r="J192" s="194">
        <f>'STM inputs'!J106-'STM inputs'!$F106</f>
        <v>94</v>
      </c>
      <c r="K192" s="194">
        <f>'STM inputs'!K106-'STM inputs'!$F106</f>
        <v>0</v>
      </c>
      <c r="L192" s="194">
        <f>'STM inputs'!L106-'STM inputs'!$F106</f>
        <v>138</v>
      </c>
      <c r="M192" s="194">
        <f>'STM inputs'!M106-'STM inputs'!$F106</f>
        <v>0</v>
      </c>
      <c r="N192" s="194">
        <f>'STM inputs'!N106-'STM inputs'!$F106</f>
        <v>-73</v>
      </c>
      <c r="O192" s="194">
        <f>'STM inputs'!O106-'STM inputs'!$F106</f>
        <v>0</v>
      </c>
      <c r="P192" s="194">
        <f>'STM inputs'!P106-'STM inputs'!$F106</f>
        <v>-74</v>
      </c>
      <c r="Q192" s="194">
        <f>'STM inputs'!Q106-'STM inputs'!$F106</f>
        <v>0</v>
      </c>
      <c r="R192" s="194">
        <f>'STM inputs'!R106-'STM inputs'!$F106</f>
        <v>-106</v>
      </c>
      <c r="S192" s="194">
        <f>'STM inputs'!S106-'STM inputs'!$F106</f>
        <v>1723</v>
      </c>
      <c r="T192" s="194">
        <f>'STM inputs'!T106-'STM inputs'!$F106</f>
        <v>-44</v>
      </c>
      <c r="U192" s="235">
        <f>'STM inputs'!U106-'STM inputs'!$F106</f>
        <v>34</v>
      </c>
    </row>
    <row r="193" spans="3:21" x14ac:dyDescent="0.25">
      <c r="C193" s="191" t="str">
        <f>'STM inputs'!C107</f>
        <v>Light rail PHT - EV 13 hours</v>
      </c>
      <c r="D193" t="str">
        <f>'STM inputs'!D107</f>
        <v>L12</v>
      </c>
      <c r="E193" t="str">
        <f>'STM inputs'!E107</f>
        <v>Pass. Hours/EV</v>
      </c>
      <c r="F193" s="194">
        <f>'STM inputs'!F107-'STM inputs'!$F107</f>
        <v>0</v>
      </c>
      <c r="G193" s="194">
        <f>'STM inputs'!G107-'STM inputs'!$F107</f>
        <v>-2</v>
      </c>
      <c r="H193" s="194">
        <f>'STM inputs'!H107-'STM inputs'!$F107</f>
        <v>83</v>
      </c>
      <c r="I193" s="194">
        <f>'STM inputs'!I107-'STM inputs'!$F107</f>
        <v>2</v>
      </c>
      <c r="J193" s="194">
        <f>'STM inputs'!J107-'STM inputs'!$F107</f>
        <v>79</v>
      </c>
      <c r="K193" s="194">
        <f>'STM inputs'!K107-'STM inputs'!$F107</f>
        <v>0</v>
      </c>
      <c r="L193" s="194">
        <f>'STM inputs'!L107-'STM inputs'!$F107</f>
        <v>105</v>
      </c>
      <c r="M193" s="194">
        <f>'STM inputs'!M107-'STM inputs'!$F107</f>
        <v>6</v>
      </c>
      <c r="N193" s="194">
        <f>'STM inputs'!N107-'STM inputs'!$F107</f>
        <v>-60</v>
      </c>
      <c r="O193" s="194">
        <f>'STM inputs'!O107-'STM inputs'!$F107</f>
        <v>3</v>
      </c>
      <c r="P193" s="194">
        <f>'STM inputs'!P107-'STM inputs'!$F107</f>
        <v>-63</v>
      </c>
      <c r="Q193" s="194">
        <f>'STM inputs'!Q107-'STM inputs'!$F107</f>
        <v>0</v>
      </c>
      <c r="R193" s="194">
        <f>'STM inputs'!R107-'STM inputs'!$F107</f>
        <v>-84</v>
      </c>
      <c r="S193" s="194">
        <f>'STM inputs'!S107-'STM inputs'!$F107</f>
        <v>1003</v>
      </c>
      <c r="T193" s="194">
        <f>'STM inputs'!T107-'STM inputs'!$F107</f>
        <v>-30</v>
      </c>
      <c r="U193" s="235">
        <f>'STM inputs'!U107-'STM inputs'!$F107</f>
        <v>24</v>
      </c>
    </row>
    <row r="194" spans="3:21" x14ac:dyDescent="0.25">
      <c r="C194" s="191"/>
      <c r="F194" s="194"/>
      <c r="G194" s="194"/>
      <c r="H194" s="194"/>
      <c r="I194" s="194"/>
      <c r="J194" s="194"/>
      <c r="K194" s="194"/>
      <c r="L194" s="194"/>
      <c r="M194" s="194"/>
      <c r="N194" s="194"/>
      <c r="O194" s="194"/>
      <c r="P194" s="194"/>
      <c r="Q194" s="194"/>
      <c r="R194" s="194"/>
      <c r="S194" s="194"/>
      <c r="T194" s="194"/>
      <c r="U194" s="235"/>
    </row>
    <row r="195" spans="3:21" x14ac:dyDescent="0.25">
      <c r="C195" s="191" t="str">
        <f>'STM inputs'!C109</f>
        <v>Wet train</v>
      </c>
      <c r="F195" s="194"/>
      <c r="G195" s="194"/>
      <c r="H195" s="194"/>
      <c r="I195" s="194"/>
      <c r="J195" s="194"/>
      <c r="K195" s="194"/>
      <c r="L195" s="194"/>
      <c r="M195" s="194"/>
      <c r="N195" s="194"/>
      <c r="O195" s="194"/>
      <c r="P195" s="194"/>
      <c r="Q195" s="194"/>
      <c r="R195" s="194"/>
      <c r="S195" s="194"/>
      <c r="T195" s="194"/>
      <c r="U195" s="235"/>
    </row>
    <row r="196" spans="3:21" x14ac:dyDescent="0.25">
      <c r="C196" s="191" t="str">
        <f>'STM inputs'!C110</f>
        <v>Wet train passenger demand - AM peak 2 hours</v>
      </c>
      <c r="E196" t="str">
        <f>'STM inputs'!E110</f>
        <v>Trips/AM</v>
      </c>
      <c r="F196" s="194">
        <f>'STM inputs'!F110-'STM inputs'!$F110</f>
        <v>0</v>
      </c>
      <c r="G196" s="194">
        <f>'STM inputs'!G110-'STM inputs'!$F110</f>
        <v>2775</v>
      </c>
      <c r="H196" s="194">
        <f>'STM inputs'!H110-'STM inputs'!$F110</f>
        <v>15813</v>
      </c>
      <c r="I196" s="194">
        <f>'STM inputs'!I110-'STM inputs'!$F110</f>
        <v>14843</v>
      </c>
      <c r="J196" s="194">
        <f>'STM inputs'!J110-'STM inputs'!$F110</f>
        <v>885</v>
      </c>
      <c r="K196" s="194">
        <f>'STM inputs'!K110-'STM inputs'!$F110</f>
        <v>117</v>
      </c>
      <c r="L196" s="194">
        <f>'STM inputs'!L110-'STM inputs'!$F110</f>
        <v>25942</v>
      </c>
      <c r="M196" s="194">
        <f>'STM inputs'!M110-'STM inputs'!$F110</f>
        <v>-1315</v>
      </c>
      <c r="N196" s="194">
        <f>'STM inputs'!N110-'STM inputs'!$F110</f>
        <v>-10523</v>
      </c>
      <c r="O196" s="194">
        <f>'STM inputs'!O110-'STM inputs'!$F110</f>
        <v>-9822</v>
      </c>
      <c r="P196" s="194">
        <f>'STM inputs'!P110-'STM inputs'!$F110</f>
        <v>-665</v>
      </c>
      <c r="Q196" s="194">
        <f>'STM inputs'!Q110-'STM inputs'!$F110</f>
        <v>-2</v>
      </c>
      <c r="R196" s="194">
        <f>'STM inputs'!R110-'STM inputs'!$F110</f>
        <v>-21357</v>
      </c>
      <c r="S196" s="194">
        <f>'STM inputs'!S110-'STM inputs'!$F110</f>
        <v>152638</v>
      </c>
      <c r="T196" s="194">
        <f>'STM inputs'!T110-'STM inputs'!$F110</f>
        <v>-6026</v>
      </c>
      <c r="U196" s="235">
        <f>'STM inputs'!U110-'STM inputs'!$F110</f>
        <v>7133</v>
      </c>
    </row>
    <row r="197" spans="3:21" x14ac:dyDescent="0.25">
      <c r="C197" s="191" t="str">
        <f>'STM inputs'!C111</f>
        <v>Wet train passenger demand - IP 6 hours</v>
      </c>
      <c r="E197" t="str">
        <f>'STM inputs'!E111</f>
        <v>Trips/IP</v>
      </c>
      <c r="F197" s="194">
        <f>'STM inputs'!F111-'STM inputs'!$F111</f>
        <v>0</v>
      </c>
      <c r="G197" s="194">
        <f>'STM inputs'!G111-'STM inputs'!$F111</f>
        <v>8422</v>
      </c>
      <c r="H197" s="194">
        <f>'STM inputs'!H111-'STM inputs'!$F111</f>
        <v>17883</v>
      </c>
      <c r="I197" s="194">
        <f>'STM inputs'!I111-'STM inputs'!$F111</f>
        <v>17122</v>
      </c>
      <c r="J197" s="194">
        <f>'STM inputs'!J111-'STM inputs'!$F111</f>
        <v>684</v>
      </c>
      <c r="K197" s="194">
        <f>'STM inputs'!K111-'STM inputs'!$F111</f>
        <v>77</v>
      </c>
      <c r="L197" s="194">
        <f>'STM inputs'!L111-'STM inputs'!$F111</f>
        <v>35916</v>
      </c>
      <c r="M197" s="194">
        <f>'STM inputs'!M111-'STM inputs'!$F111</f>
        <v>-4382</v>
      </c>
      <c r="N197" s="194">
        <f>'STM inputs'!N111-'STM inputs'!$F111</f>
        <v>-11186</v>
      </c>
      <c r="O197" s="194">
        <f>'STM inputs'!O111-'STM inputs'!$F111</f>
        <v>-10685</v>
      </c>
      <c r="P197" s="194">
        <f>'STM inputs'!P111-'STM inputs'!$F111</f>
        <v>-484</v>
      </c>
      <c r="Q197" s="194">
        <f>'STM inputs'!Q111-'STM inputs'!$F111</f>
        <v>-11</v>
      </c>
      <c r="R197" s="194">
        <f>'STM inputs'!R111-'STM inputs'!$F111</f>
        <v>-25249</v>
      </c>
      <c r="S197" s="194">
        <f>'STM inputs'!S111-'STM inputs'!$F111</f>
        <v>455627</v>
      </c>
      <c r="T197" s="194">
        <f>'STM inputs'!T111-'STM inputs'!$F111</f>
        <v>-8457</v>
      </c>
      <c r="U197" s="235">
        <f>'STM inputs'!U111-'STM inputs'!$F111</f>
        <v>10446</v>
      </c>
    </row>
    <row r="198" spans="3:21" x14ac:dyDescent="0.25">
      <c r="C198" s="191" t="str">
        <f>'STM inputs'!C112</f>
        <v>Wet train passenger demand - PM peak 3 hours</v>
      </c>
      <c r="E198" t="str">
        <f>'STM inputs'!E112</f>
        <v>Trips/PM</v>
      </c>
      <c r="F198" s="194">
        <f>'STM inputs'!F112-'STM inputs'!$F112</f>
        <v>0</v>
      </c>
      <c r="G198" s="194">
        <f>'STM inputs'!G112-'STM inputs'!$F112</f>
        <v>4823</v>
      </c>
      <c r="H198" s="194">
        <f>'STM inputs'!H112-'STM inputs'!$F112</f>
        <v>17374</v>
      </c>
      <c r="I198" s="194">
        <f>'STM inputs'!I112-'STM inputs'!$F112</f>
        <v>16439</v>
      </c>
      <c r="J198" s="194">
        <f>'STM inputs'!J112-'STM inputs'!$F112</f>
        <v>845</v>
      </c>
      <c r="K198" s="194">
        <f>'STM inputs'!K112-'STM inputs'!$F112</f>
        <v>108</v>
      </c>
      <c r="L198" s="194">
        <f>'STM inputs'!L112-'STM inputs'!$F112</f>
        <v>30814</v>
      </c>
      <c r="M198" s="194">
        <f>'STM inputs'!M112-'STM inputs'!$F112</f>
        <v>-2365</v>
      </c>
      <c r="N198" s="194">
        <f>'STM inputs'!N112-'STM inputs'!$F112</f>
        <v>-11304</v>
      </c>
      <c r="O198" s="194">
        <f>'STM inputs'!O112-'STM inputs'!$F112</f>
        <v>-10648</v>
      </c>
      <c r="P198" s="194">
        <f>'STM inputs'!P112-'STM inputs'!$F112</f>
        <v>-627</v>
      </c>
      <c r="Q198" s="194">
        <f>'STM inputs'!Q112-'STM inputs'!$F112</f>
        <v>-7</v>
      </c>
      <c r="R198" s="194">
        <f>'STM inputs'!R112-'STM inputs'!$F112</f>
        <v>-23820</v>
      </c>
      <c r="S198" s="194">
        <f>'STM inputs'!S112-'STM inputs'!$F112</f>
        <v>265949</v>
      </c>
      <c r="T198" s="194">
        <f>'STM inputs'!T112-'STM inputs'!$F112</f>
        <v>-7058</v>
      </c>
      <c r="U198" s="235">
        <f>'STM inputs'!U112-'STM inputs'!$F112</f>
        <v>8618</v>
      </c>
    </row>
    <row r="199" spans="3:21" x14ac:dyDescent="0.25">
      <c r="C199" s="191" t="str">
        <f>'STM inputs'!C113</f>
        <v>Wet train passenger demand - EV 13 hours</v>
      </c>
      <c r="E199" t="str">
        <f>'STM inputs'!E113</f>
        <v>Trips/EV</v>
      </c>
      <c r="F199" s="194">
        <f>'STM inputs'!F113-'STM inputs'!$F113</f>
        <v>0</v>
      </c>
      <c r="G199" s="194">
        <f>'STM inputs'!G113-'STM inputs'!$F113</f>
        <v>2280</v>
      </c>
      <c r="H199" s="194">
        <f>'STM inputs'!H113-'STM inputs'!$F113</f>
        <v>14091</v>
      </c>
      <c r="I199" s="194">
        <f>'STM inputs'!I113-'STM inputs'!$F113</f>
        <v>13245</v>
      </c>
      <c r="J199" s="194">
        <f>'STM inputs'!J113-'STM inputs'!$F113</f>
        <v>780</v>
      </c>
      <c r="K199" s="194">
        <f>'STM inputs'!K113-'STM inputs'!$F113</f>
        <v>100</v>
      </c>
      <c r="L199" s="194">
        <f>'STM inputs'!L113-'STM inputs'!$F113</f>
        <v>23423</v>
      </c>
      <c r="M199" s="194">
        <f>'STM inputs'!M113-'STM inputs'!$F113</f>
        <v>-858</v>
      </c>
      <c r="N199" s="194">
        <f>'STM inputs'!N113-'STM inputs'!$F113</f>
        <v>-9179</v>
      </c>
      <c r="O199" s="194">
        <f>'STM inputs'!O113-'STM inputs'!$F113</f>
        <v>-8568</v>
      </c>
      <c r="P199" s="194">
        <f>'STM inputs'!P113-'STM inputs'!$F113</f>
        <v>-577</v>
      </c>
      <c r="Q199" s="194">
        <f>'STM inputs'!Q113-'STM inputs'!$F113</f>
        <v>0</v>
      </c>
      <c r="R199" s="194">
        <f>'STM inputs'!R113-'STM inputs'!$F113</f>
        <v>-18932</v>
      </c>
      <c r="S199" s="194">
        <f>'STM inputs'!S113-'STM inputs'!$F113</f>
        <v>163459</v>
      </c>
      <c r="T199" s="194">
        <f>'STM inputs'!T113-'STM inputs'!$F113</f>
        <v>-5084</v>
      </c>
      <c r="U199" s="235">
        <f>'STM inputs'!U113-'STM inputs'!$F113</f>
        <v>6416</v>
      </c>
    </row>
    <row r="200" spans="3:21" x14ac:dyDescent="0.25">
      <c r="C200" s="191" t="str">
        <f>'STM inputs'!C114</f>
        <v>Wet train passenger kms</v>
      </c>
      <c r="F200" s="194"/>
      <c r="G200" s="194"/>
      <c r="H200" s="194"/>
      <c r="I200" s="194"/>
      <c r="J200" s="194"/>
      <c r="K200" s="194"/>
      <c r="L200" s="194"/>
      <c r="M200" s="194"/>
      <c r="N200" s="194"/>
      <c r="O200" s="194"/>
      <c r="P200" s="194"/>
      <c r="Q200" s="194"/>
      <c r="R200" s="194"/>
      <c r="S200" s="194"/>
      <c r="T200" s="194"/>
      <c r="U200" s="235"/>
    </row>
    <row r="201" spans="3:21" x14ac:dyDescent="0.25">
      <c r="C201" s="191" t="str">
        <f>'STM inputs'!C115</f>
        <v>Wet train PKT - AM peak 2 hours</v>
      </c>
      <c r="E201" t="str">
        <f>'STM inputs'!E115</f>
        <v>Pass. Kms/AM</v>
      </c>
      <c r="F201" s="194">
        <f>'STM inputs'!F115-'STM inputs'!$F115</f>
        <v>0</v>
      </c>
      <c r="G201" s="194">
        <f>'STM inputs'!G115-'STM inputs'!$F115</f>
        <v>-22535</v>
      </c>
      <c r="H201" s="194">
        <f>'STM inputs'!H115-'STM inputs'!$F115</f>
        <v>233986</v>
      </c>
      <c r="I201" s="194">
        <f>'STM inputs'!I115-'STM inputs'!$F115</f>
        <v>233818</v>
      </c>
      <c r="J201" s="194">
        <f>'STM inputs'!J115-'STM inputs'!$F115</f>
        <v>1254</v>
      </c>
      <c r="K201" s="194">
        <f>'STM inputs'!K115-'STM inputs'!$F115</f>
        <v>984</v>
      </c>
      <c r="L201" s="194">
        <f>'STM inputs'!L115-'STM inputs'!$F115</f>
        <v>567651</v>
      </c>
      <c r="M201" s="194">
        <f>'STM inputs'!M115-'STM inputs'!$F115</f>
        <v>32713</v>
      </c>
      <c r="N201" s="194">
        <f>'STM inputs'!N115-'STM inputs'!$F115</f>
        <v>-120563</v>
      </c>
      <c r="O201" s="194">
        <f>'STM inputs'!O115-'STM inputs'!$F115</f>
        <v>-120896</v>
      </c>
      <c r="P201" s="194">
        <f>'STM inputs'!P115-'STM inputs'!$F115</f>
        <v>802</v>
      </c>
      <c r="Q201" s="194">
        <f>'STM inputs'!Q115-'STM inputs'!$F115</f>
        <v>708</v>
      </c>
      <c r="R201" s="194">
        <f>'STM inputs'!R115-'STM inputs'!$F115</f>
        <v>-479698</v>
      </c>
      <c r="S201" s="194">
        <f>'STM inputs'!S115-'STM inputs'!$F115</f>
        <v>2567842</v>
      </c>
      <c r="T201" s="194">
        <f>'STM inputs'!T115-'STM inputs'!$F115</f>
        <v>-76068</v>
      </c>
      <c r="U201" s="235">
        <f>'STM inputs'!U115-'STM inputs'!$F115</f>
        <v>170608</v>
      </c>
    </row>
    <row r="202" spans="3:21" x14ac:dyDescent="0.25">
      <c r="C202" s="191" t="str">
        <f>'STM inputs'!C116</f>
        <v>Wet train PKT - IP 6 hours</v>
      </c>
      <c r="E202" t="str">
        <f>'STM inputs'!E116</f>
        <v>Pass. Kms/IP</v>
      </c>
      <c r="F202" s="194">
        <f>'STM inputs'!F116-'STM inputs'!$F116</f>
        <v>0</v>
      </c>
      <c r="G202" s="194">
        <f>'STM inputs'!G116-'STM inputs'!$F116</f>
        <v>-45825</v>
      </c>
      <c r="H202" s="194">
        <f>'STM inputs'!H116-'STM inputs'!$F116</f>
        <v>291935</v>
      </c>
      <c r="I202" s="194">
        <f>'STM inputs'!I116-'STM inputs'!$F116</f>
        <v>291546</v>
      </c>
      <c r="J202" s="194">
        <f>'STM inputs'!J116-'STM inputs'!$F116</f>
        <v>576</v>
      </c>
      <c r="K202" s="194">
        <f>'STM inputs'!K116-'STM inputs'!$F116</f>
        <v>220</v>
      </c>
      <c r="L202" s="194">
        <f>'STM inputs'!L116-'STM inputs'!$F116</f>
        <v>674250</v>
      </c>
      <c r="M202" s="194">
        <f>'STM inputs'!M116-'STM inputs'!$F116</f>
        <v>79317</v>
      </c>
      <c r="N202" s="194">
        <f>'STM inputs'!N116-'STM inputs'!$F116</f>
        <v>-142488</v>
      </c>
      <c r="O202" s="194">
        <f>'STM inputs'!O116-'STM inputs'!$F116</f>
        <v>-142442</v>
      </c>
      <c r="P202" s="194">
        <f>'STM inputs'!P116-'STM inputs'!$F116</f>
        <v>85</v>
      </c>
      <c r="Q202" s="194">
        <f>'STM inputs'!Q116-'STM inputs'!$F116</f>
        <v>147</v>
      </c>
      <c r="R202" s="194">
        <f>'STM inputs'!R116-'STM inputs'!$F116</f>
        <v>-492966</v>
      </c>
      <c r="S202" s="194">
        <f>'STM inputs'!S116-'STM inputs'!$F116</f>
        <v>5042597</v>
      </c>
      <c r="T202" s="194">
        <f>'STM inputs'!T116-'STM inputs'!$F116</f>
        <v>-25128</v>
      </c>
      <c r="U202" s="235">
        <f>'STM inputs'!U116-'STM inputs'!$F116</f>
        <v>192643</v>
      </c>
    </row>
    <row r="203" spans="3:21" x14ac:dyDescent="0.25">
      <c r="C203" s="191" t="str">
        <f>'STM inputs'!C117</f>
        <v>Wet train PKT - PM peak 3 hours</v>
      </c>
      <c r="E203" t="str">
        <f>'STM inputs'!E117</f>
        <v>Pass. Kms/PM</v>
      </c>
      <c r="F203" s="194">
        <f>'STM inputs'!F117-'STM inputs'!$F117</f>
        <v>0</v>
      </c>
      <c r="G203" s="194">
        <f>'STM inputs'!G117-'STM inputs'!$F117</f>
        <v>-37529</v>
      </c>
      <c r="H203" s="194">
        <f>'STM inputs'!H117-'STM inputs'!$F117</f>
        <v>266452</v>
      </c>
      <c r="I203" s="194">
        <f>'STM inputs'!I117-'STM inputs'!$F117</f>
        <v>266053</v>
      </c>
      <c r="J203" s="194">
        <f>'STM inputs'!J117-'STM inputs'!$F117</f>
        <v>1407</v>
      </c>
      <c r="K203" s="194">
        <f>'STM inputs'!K117-'STM inputs'!$F117</f>
        <v>703</v>
      </c>
      <c r="L203" s="194">
        <f>'STM inputs'!L117-'STM inputs'!$F117</f>
        <v>636430</v>
      </c>
      <c r="M203" s="194">
        <f>'STM inputs'!M117-'STM inputs'!$F117</f>
        <v>56890</v>
      </c>
      <c r="N203" s="194">
        <f>'STM inputs'!N117-'STM inputs'!$F117</f>
        <v>-133722</v>
      </c>
      <c r="O203" s="194">
        <f>'STM inputs'!O117-'STM inputs'!$F117</f>
        <v>-133465</v>
      </c>
      <c r="P203" s="194">
        <f>'STM inputs'!P117-'STM inputs'!$F117</f>
        <v>170</v>
      </c>
      <c r="Q203" s="194">
        <f>'STM inputs'!Q117-'STM inputs'!$F117</f>
        <v>531</v>
      </c>
      <c r="R203" s="194">
        <f>'STM inputs'!R117-'STM inputs'!$F117</f>
        <v>-510598</v>
      </c>
      <c r="S203" s="194">
        <f>'STM inputs'!S117-'STM inputs'!$F117</f>
        <v>3544814</v>
      </c>
      <c r="T203" s="194">
        <f>'STM inputs'!T117-'STM inputs'!$F117</f>
        <v>-56426</v>
      </c>
      <c r="U203" s="235">
        <f>'STM inputs'!U117-'STM inputs'!$F117</f>
        <v>186664</v>
      </c>
    </row>
    <row r="204" spans="3:21" x14ac:dyDescent="0.25">
      <c r="C204" s="191" t="str">
        <f>'STM inputs'!C118</f>
        <v>Wet train PKT - EV 13 hours</v>
      </c>
      <c r="E204" t="str">
        <f>'STM inputs'!E118</f>
        <v>Pass. Kms/EV</v>
      </c>
      <c r="F204" s="194">
        <f>'STM inputs'!F118-'STM inputs'!$F118</f>
        <v>0</v>
      </c>
      <c r="G204" s="194">
        <f>'STM inputs'!G118-'STM inputs'!$F118</f>
        <v>-36437</v>
      </c>
      <c r="H204" s="194">
        <f>'STM inputs'!H118-'STM inputs'!$F118</f>
        <v>212435</v>
      </c>
      <c r="I204" s="194">
        <f>'STM inputs'!I118-'STM inputs'!$F118</f>
        <v>212282</v>
      </c>
      <c r="J204" s="194">
        <f>'STM inputs'!J118-'STM inputs'!$F118</f>
        <v>1312</v>
      </c>
      <c r="K204" s="194">
        <f>'STM inputs'!K118-'STM inputs'!$F118</f>
        <v>847</v>
      </c>
      <c r="L204" s="194">
        <f>'STM inputs'!L118-'STM inputs'!$F118</f>
        <v>521956</v>
      </c>
      <c r="M204" s="194">
        <f>'STM inputs'!M118-'STM inputs'!$F118</f>
        <v>45131</v>
      </c>
      <c r="N204" s="194">
        <f>'STM inputs'!N118-'STM inputs'!$F118</f>
        <v>-106447</v>
      </c>
      <c r="O204" s="194">
        <f>'STM inputs'!O118-'STM inputs'!$F118</f>
        <v>-106335</v>
      </c>
      <c r="P204" s="194">
        <f>'STM inputs'!P118-'STM inputs'!$F118</f>
        <v>427</v>
      </c>
      <c r="Q204" s="194">
        <f>'STM inputs'!Q118-'STM inputs'!$F118</f>
        <v>613</v>
      </c>
      <c r="R204" s="194">
        <f>'STM inputs'!R118-'STM inputs'!$F118</f>
        <v>-434987</v>
      </c>
      <c r="S204" s="194">
        <f>'STM inputs'!S118-'STM inputs'!$F118</f>
        <v>2519572</v>
      </c>
      <c r="T204" s="194">
        <f>'STM inputs'!T118-'STM inputs'!$F118</f>
        <v>-52867</v>
      </c>
      <c r="U204" s="235">
        <f>'STM inputs'!U118-'STM inputs'!$F118</f>
        <v>150462</v>
      </c>
    </row>
    <row r="205" spans="3:21" x14ac:dyDescent="0.25">
      <c r="C205" s="191" t="str">
        <f>'STM inputs'!C119</f>
        <v>Wet train passenger hours</v>
      </c>
      <c r="F205" s="194"/>
      <c r="G205" s="194"/>
      <c r="H205" s="194"/>
      <c r="I205" s="194"/>
      <c r="J205" s="194"/>
      <c r="K205" s="194"/>
      <c r="L205" s="194"/>
      <c r="M205" s="194"/>
      <c r="N205" s="194"/>
      <c r="O205" s="194"/>
      <c r="P205" s="194"/>
      <c r="Q205" s="194"/>
      <c r="R205" s="194"/>
      <c r="S205" s="194"/>
      <c r="T205" s="194"/>
      <c r="U205" s="235"/>
    </row>
    <row r="206" spans="3:21" x14ac:dyDescent="0.25">
      <c r="C206" s="191" t="str">
        <f>'STM inputs'!C120</f>
        <v>Wet train PHT - AM peak 2 hours</v>
      </c>
      <c r="E206" t="str">
        <f>'STM inputs'!E120</f>
        <v>Pass. Hours/AM</v>
      </c>
      <c r="F206" s="194">
        <f>'STM inputs'!F120-'STM inputs'!$F120</f>
        <v>0</v>
      </c>
      <c r="G206" s="194">
        <f>'STM inputs'!G120-'STM inputs'!$F120</f>
        <v>-367</v>
      </c>
      <c r="H206" s="194">
        <f>'STM inputs'!H120-'STM inputs'!$F120</f>
        <v>5649</v>
      </c>
      <c r="I206" s="194">
        <f>'STM inputs'!I120-'STM inputs'!$F120</f>
        <v>5592</v>
      </c>
      <c r="J206" s="194">
        <f>'STM inputs'!J120-'STM inputs'!$F120</f>
        <v>71</v>
      </c>
      <c r="K206" s="194">
        <f>'STM inputs'!K120-'STM inputs'!$F120</f>
        <v>27</v>
      </c>
      <c r="L206" s="194">
        <f>'STM inputs'!L120-'STM inputs'!$F120</f>
        <v>12042</v>
      </c>
      <c r="M206" s="194">
        <f>'STM inputs'!M120-'STM inputs'!$F120</f>
        <v>630</v>
      </c>
      <c r="N206" s="194">
        <f>'STM inputs'!N120-'STM inputs'!$F120</f>
        <v>-3093</v>
      </c>
      <c r="O206" s="194">
        <f>'STM inputs'!O120-'STM inputs'!$F120</f>
        <v>-3065</v>
      </c>
      <c r="P206" s="194">
        <f>'STM inputs'!P120-'STM inputs'!$F120</f>
        <v>-15</v>
      </c>
      <c r="Q206" s="194">
        <f>'STM inputs'!Q120-'STM inputs'!$F120</f>
        <v>14</v>
      </c>
      <c r="R206" s="194">
        <f>'STM inputs'!R120-'STM inputs'!$F120</f>
        <v>-10149</v>
      </c>
      <c r="S206" s="194">
        <f>'STM inputs'!S120-'STM inputs'!$F120</f>
        <v>55801</v>
      </c>
      <c r="T206" s="194">
        <f>'STM inputs'!T120-'STM inputs'!$F120</f>
        <v>-2051</v>
      </c>
      <c r="U206" s="235">
        <f>'STM inputs'!U120-'STM inputs'!$F120</f>
        <v>3865</v>
      </c>
    </row>
    <row r="207" spans="3:21" x14ac:dyDescent="0.25">
      <c r="C207" s="191" t="str">
        <f>'STM inputs'!C121</f>
        <v>Wet train PHT - IP 6 hours</v>
      </c>
      <c r="E207" t="str">
        <f>'STM inputs'!E121</f>
        <v>Pass. Hours/IP</v>
      </c>
      <c r="F207" s="194">
        <f>'STM inputs'!F121-'STM inputs'!$F121</f>
        <v>0</v>
      </c>
      <c r="G207" s="194">
        <f>'STM inputs'!G121-'STM inputs'!$F121</f>
        <v>-505</v>
      </c>
      <c r="H207" s="194">
        <f>'STM inputs'!H121-'STM inputs'!$F121</f>
        <v>7032</v>
      </c>
      <c r="I207" s="194">
        <f>'STM inputs'!I121-'STM inputs'!$F121</f>
        <v>6968</v>
      </c>
      <c r="J207" s="194">
        <f>'STM inputs'!J121-'STM inputs'!$F121</f>
        <v>61</v>
      </c>
      <c r="K207" s="194">
        <f>'STM inputs'!K121-'STM inputs'!$F121</f>
        <v>12</v>
      </c>
      <c r="L207" s="194">
        <f>'STM inputs'!L121-'STM inputs'!$F121</f>
        <v>14818</v>
      </c>
      <c r="M207" s="194">
        <f>'STM inputs'!M121-'STM inputs'!$F121</f>
        <v>1347</v>
      </c>
      <c r="N207" s="194">
        <f>'STM inputs'!N121-'STM inputs'!$F121</f>
        <v>-3649</v>
      </c>
      <c r="O207" s="194">
        <f>'STM inputs'!O121-'STM inputs'!$F121</f>
        <v>-3613</v>
      </c>
      <c r="P207" s="194">
        <f>'STM inputs'!P121-'STM inputs'!$F121</f>
        <v>-32</v>
      </c>
      <c r="Q207" s="194">
        <f>'STM inputs'!Q121-'STM inputs'!$F121</f>
        <v>2</v>
      </c>
      <c r="R207" s="194">
        <f>'STM inputs'!R121-'STM inputs'!$F121</f>
        <v>-10736</v>
      </c>
      <c r="S207" s="194">
        <f>'STM inputs'!S121-'STM inputs'!$F121</f>
        <v>117266</v>
      </c>
      <c r="T207" s="194">
        <f>'STM inputs'!T121-'STM inputs'!$F121</f>
        <v>-1216</v>
      </c>
      <c r="U207" s="235">
        <f>'STM inputs'!U121-'STM inputs'!$F121</f>
        <v>4488</v>
      </c>
    </row>
    <row r="208" spans="3:21" x14ac:dyDescent="0.25">
      <c r="C208" s="191" t="str">
        <f>'STM inputs'!C122</f>
        <v>Wet train PHT - PM peak 3 hours</v>
      </c>
      <c r="E208" t="str">
        <f>'STM inputs'!E122</f>
        <v>Pass. Hours/PM</v>
      </c>
      <c r="F208" s="194">
        <f>'STM inputs'!F122-'STM inputs'!$F122</f>
        <v>0</v>
      </c>
      <c r="G208" s="194">
        <f>'STM inputs'!G122-'STM inputs'!$F122</f>
        <v>-591</v>
      </c>
      <c r="H208" s="194">
        <f>'STM inputs'!H122-'STM inputs'!$F122</f>
        <v>6589</v>
      </c>
      <c r="I208" s="194">
        <f>'STM inputs'!I122-'STM inputs'!$F122</f>
        <v>6519</v>
      </c>
      <c r="J208" s="194">
        <f>'STM inputs'!J122-'STM inputs'!$F122</f>
        <v>88</v>
      </c>
      <c r="K208" s="194">
        <f>'STM inputs'!K122-'STM inputs'!$F122</f>
        <v>21</v>
      </c>
      <c r="L208" s="194">
        <f>'STM inputs'!L122-'STM inputs'!$F122</f>
        <v>14123</v>
      </c>
      <c r="M208" s="194">
        <f>'STM inputs'!M122-'STM inputs'!$F122</f>
        <v>1079</v>
      </c>
      <c r="N208" s="194">
        <f>'STM inputs'!N122-'STM inputs'!$F122</f>
        <v>-3511</v>
      </c>
      <c r="O208" s="194">
        <f>'STM inputs'!O122-'STM inputs'!$F122</f>
        <v>-3460</v>
      </c>
      <c r="P208" s="194">
        <f>'STM inputs'!P122-'STM inputs'!$F122</f>
        <v>-40</v>
      </c>
      <c r="Q208" s="194">
        <f>'STM inputs'!Q122-'STM inputs'!$F122</f>
        <v>10</v>
      </c>
      <c r="R208" s="194">
        <f>'STM inputs'!R122-'STM inputs'!$F122</f>
        <v>-11287</v>
      </c>
      <c r="S208" s="194">
        <f>'STM inputs'!S122-'STM inputs'!$F122</f>
        <v>81414</v>
      </c>
      <c r="T208" s="194">
        <f>'STM inputs'!T122-'STM inputs'!$F122</f>
        <v>-1802</v>
      </c>
      <c r="U208" s="235">
        <f>'STM inputs'!U122-'STM inputs'!$F122</f>
        <v>4419</v>
      </c>
    </row>
    <row r="209" spans="3:21" x14ac:dyDescent="0.25">
      <c r="C209" s="196" t="str">
        <f>'STM inputs'!C123</f>
        <v>Wet train PHT - EV 13 hours</v>
      </c>
      <c r="D209" s="197"/>
      <c r="E209" s="197" t="str">
        <f>'STM inputs'!E123</f>
        <v>Pass. Hours/EV</v>
      </c>
      <c r="F209" s="224">
        <f>'STM inputs'!F123-'STM inputs'!$F123</f>
        <v>0</v>
      </c>
      <c r="G209" s="224">
        <f>'STM inputs'!G123-'STM inputs'!$F123</f>
        <v>-663</v>
      </c>
      <c r="H209" s="224">
        <f>'STM inputs'!H123-'STM inputs'!$F123</f>
        <v>5267</v>
      </c>
      <c r="I209" s="224">
        <f>'STM inputs'!I123-'STM inputs'!$F123</f>
        <v>5212</v>
      </c>
      <c r="J209" s="224">
        <f>'STM inputs'!J123-'STM inputs'!$F123</f>
        <v>77</v>
      </c>
      <c r="K209" s="224">
        <f>'STM inputs'!K123-'STM inputs'!$F123</f>
        <v>24</v>
      </c>
      <c r="L209" s="224">
        <f>'STM inputs'!L123-'STM inputs'!$F123</f>
        <v>11422</v>
      </c>
      <c r="M209" s="224">
        <f>'STM inputs'!M123-'STM inputs'!$F123</f>
        <v>898</v>
      </c>
      <c r="N209" s="224">
        <f>'STM inputs'!N123-'STM inputs'!$F123</f>
        <v>-2808</v>
      </c>
      <c r="O209" s="224">
        <f>'STM inputs'!O123-'STM inputs'!$F123</f>
        <v>-2768</v>
      </c>
      <c r="P209" s="224">
        <f>'STM inputs'!P123-'STM inputs'!$F123</f>
        <v>-27</v>
      </c>
      <c r="Q209" s="224">
        <f>'STM inputs'!Q123-'STM inputs'!$F123</f>
        <v>14</v>
      </c>
      <c r="R209" s="224">
        <f>'STM inputs'!R123-'STM inputs'!$F123</f>
        <v>-9490</v>
      </c>
      <c r="S209" s="224">
        <f>'STM inputs'!S123-'STM inputs'!$F123</f>
        <v>56689</v>
      </c>
      <c r="T209" s="224">
        <f>'STM inputs'!T123-'STM inputs'!$F123</f>
        <v>-1594</v>
      </c>
      <c r="U209" s="293">
        <f>'STM inputs'!U123-'STM inputs'!$F123</f>
        <v>3550</v>
      </c>
    </row>
    <row r="212" spans="3:21" ht="15.5" x14ac:dyDescent="0.35">
      <c r="C212" s="43" t="str">
        <f>C12</f>
        <v>Table 5 - Z1</v>
      </c>
    </row>
    <row r="213" spans="3:21" x14ac:dyDescent="0.25">
      <c r="C213" s="188"/>
      <c r="D213" s="189"/>
      <c r="E213" s="189"/>
      <c r="F213" s="189"/>
      <c r="G213" s="189"/>
      <c r="H213" s="189"/>
      <c r="I213" s="189"/>
      <c r="J213" s="189"/>
      <c r="K213" s="189"/>
      <c r="L213" s="189"/>
      <c r="M213" s="189"/>
      <c r="N213" s="189"/>
      <c r="O213" s="189"/>
      <c r="P213" s="189"/>
      <c r="Q213" s="189"/>
      <c r="R213" s="189"/>
      <c r="S213" s="189"/>
      <c r="T213" s="190"/>
    </row>
    <row r="214" spans="3:21" x14ac:dyDescent="0.25">
      <c r="C214" s="220"/>
      <c r="D214" s="42" t="s">
        <v>347</v>
      </c>
      <c r="E214" s="288" t="str">
        <f>'STM inputs'!F15</f>
        <v>Baseline</v>
      </c>
      <c r="F214" s="288" t="str">
        <f>'STM inputs'!G15</f>
        <v>Bus only</v>
      </c>
      <c r="G214" s="288" t="str">
        <f>'STM inputs'!H15</f>
        <v>Rail, light rail and ferry only</v>
      </c>
      <c r="H214" s="288" t="str">
        <f>'STM inputs'!I15</f>
        <v>Rail only</v>
      </c>
      <c r="I214" s="288" t="str">
        <f>'STM inputs'!J15</f>
        <v>Light rail only</v>
      </c>
      <c r="J214" s="288" t="str">
        <f>'STM inputs'!K15</f>
        <v>Ferry only</v>
      </c>
      <c r="K214" s="288" t="str">
        <f>'STM inputs'!L15</f>
        <v>All modes</v>
      </c>
      <c r="L214" s="288" t="str">
        <f>'STM inputs'!M15</f>
        <v>Bus only</v>
      </c>
      <c r="M214" s="288" t="str">
        <f>'STM inputs'!N15</f>
        <v>Rail, light rail and ferry only</v>
      </c>
      <c r="N214" s="288" t="str">
        <f>'STM inputs'!O15</f>
        <v>Rail only</v>
      </c>
      <c r="O214" s="288" t="str">
        <f>'STM inputs'!P15</f>
        <v>Light rail only</v>
      </c>
      <c r="P214" s="288" t="str">
        <f>'STM inputs'!Q15</f>
        <v>Ferry only</v>
      </c>
      <c r="Q214" s="288" t="str">
        <f>'STM inputs'!R15</f>
        <v>All modes</v>
      </c>
      <c r="R214" s="288" t="str">
        <f>'STM inputs'!S15</f>
        <v>All modes</v>
      </c>
      <c r="S214" s="288" t="str">
        <f>'STM inputs'!T15</f>
        <v>All modes</v>
      </c>
      <c r="T214" s="289" t="str">
        <f>'STM inputs'!U15</f>
        <v>All modes</v>
      </c>
    </row>
    <row r="215" spans="3:21" x14ac:dyDescent="0.25">
      <c r="C215" s="220" t="s">
        <v>520</v>
      </c>
      <c r="D215" s="42" t="s">
        <v>521</v>
      </c>
      <c r="E215" s="288" t="str">
        <f>'STM inputs'!F16</f>
        <v>Baseline</v>
      </c>
      <c r="F215" s="288" t="str">
        <f>'STM inputs'!G16</f>
        <v>-20%</v>
      </c>
      <c r="G215" s="288" t="str">
        <f>'STM inputs'!H16</f>
        <v>-20%</v>
      </c>
      <c r="H215" s="288" t="str">
        <f>'STM inputs'!I16</f>
        <v>-20%</v>
      </c>
      <c r="I215" s="288" t="str">
        <f>'STM inputs'!J16</f>
        <v>-20%</v>
      </c>
      <c r="J215" s="288" t="str">
        <f>'STM inputs'!K16</f>
        <v>-20%</v>
      </c>
      <c r="K215" s="288" t="str">
        <f>'STM inputs'!L16</f>
        <v>-20%</v>
      </c>
      <c r="L215" s="288" t="str">
        <f>'STM inputs'!M16</f>
        <v>+20%</v>
      </c>
      <c r="M215" s="288" t="str">
        <f>'STM inputs'!N16</f>
        <v>+20%</v>
      </c>
      <c r="N215" s="288" t="str">
        <f>'STM inputs'!O16</f>
        <v>+20%</v>
      </c>
      <c r="O215" s="288" t="str">
        <f>'STM inputs'!P16</f>
        <v>+20%</v>
      </c>
      <c r="P215" s="288" t="str">
        <f>'STM inputs'!Q16</f>
        <v>+20%</v>
      </c>
      <c r="Q215" s="288" t="str">
        <f>'STM inputs'!R16</f>
        <v>+20%</v>
      </c>
      <c r="R215" s="288">
        <f>'STM inputs'!S16</f>
        <v>-0.6</v>
      </c>
      <c r="S215" s="288" t="str">
        <f>'STM inputs'!T16</f>
        <v>Effect of travel Less distance (Fare increase)</v>
      </c>
      <c r="T215" s="289" t="str">
        <f>'STM inputs'!U16</f>
        <v>Effect of travel Greater distance 
(Fare decrease)</v>
      </c>
    </row>
    <row r="216" spans="3:21" x14ac:dyDescent="0.25">
      <c r="C216" s="220" t="s">
        <v>522</v>
      </c>
      <c r="D216" s="42" t="s">
        <v>523</v>
      </c>
      <c r="E216" s="288">
        <f>'STM inputs'!F17</f>
        <v>2021</v>
      </c>
      <c r="F216" s="288">
        <f>'STM inputs'!G17</f>
        <v>2021</v>
      </c>
      <c r="G216" s="288">
        <f>'STM inputs'!H17</f>
        <v>2021</v>
      </c>
      <c r="H216" s="288">
        <f>'STM inputs'!I17</f>
        <v>2021</v>
      </c>
      <c r="I216" s="288">
        <f>'STM inputs'!J17</f>
        <v>2021</v>
      </c>
      <c r="J216" s="288">
        <f>'STM inputs'!K17</f>
        <v>2021</v>
      </c>
      <c r="K216" s="288">
        <f>'STM inputs'!L17</f>
        <v>2021</v>
      </c>
      <c r="L216" s="288">
        <f>'STM inputs'!M17</f>
        <v>2021</v>
      </c>
      <c r="M216" s="288">
        <f>'STM inputs'!N17</f>
        <v>2021</v>
      </c>
      <c r="N216" s="288">
        <f>'STM inputs'!O17</f>
        <v>2021</v>
      </c>
      <c r="O216" s="288">
        <f>'STM inputs'!P17</f>
        <v>2021</v>
      </c>
      <c r="P216" s="288">
        <f>'STM inputs'!Q17</f>
        <v>2021</v>
      </c>
      <c r="Q216" s="288">
        <f>'STM inputs'!R17</f>
        <v>2021</v>
      </c>
      <c r="R216" s="288">
        <f>'STM inputs'!S17</f>
        <v>2021</v>
      </c>
      <c r="S216" s="288">
        <f>'STM inputs'!T17</f>
        <v>2021</v>
      </c>
      <c r="T216" s="289">
        <f>'STM inputs'!U17</f>
        <v>2021</v>
      </c>
    </row>
    <row r="217" spans="3:21" ht="12" thickBot="1" x14ac:dyDescent="0.3">
      <c r="C217" s="632" t="str">
        <f>'STM inputs'!C46</f>
        <v>Rail passenger demand - AM peak 2 hours</v>
      </c>
      <c r="D217" s="632" t="str">
        <f>'STM inputs'!C20</f>
        <v>Car driver demand - AM peak 2 hours</v>
      </c>
      <c r="E217" t="s">
        <v>524</v>
      </c>
      <c r="F217" s="164">
        <f>IFERROR(INDEX(G$106:G$209,MATCH($D217,$C$106:$C$209,0))/INDEX(G$106:G$209,MATCH($C217,$C$106:$C$209,0)),0)</f>
        <v>-2.852519308569327</v>
      </c>
      <c r="G217" s="164">
        <f t="shared" ref="G217:T217" si="1">IFERROR(INDEX(H$106:H$209,MATCH($D217,$C$106:$C$209,0))/INDEX(H$106:H$209,MATCH($C217,$C$106:$C$209,0)),0)</f>
        <v>-0.43671011711771324</v>
      </c>
      <c r="H217" s="164">
        <f t="shared" si="1"/>
        <v>-0.42469286635444242</v>
      </c>
      <c r="I217" s="164">
        <f t="shared" si="1"/>
        <v>-0.78378378378378377</v>
      </c>
      <c r="J217" s="164">
        <f t="shared" si="1"/>
        <v>-0.390625</v>
      </c>
      <c r="K217" s="164">
        <f t="shared" si="1"/>
        <v>-0.71319480728266549</v>
      </c>
      <c r="L217" s="164">
        <f t="shared" si="1"/>
        <v>-4.4472700074794318</v>
      </c>
      <c r="M217" s="164">
        <f t="shared" si="1"/>
        <v>-0.41506060003973771</v>
      </c>
      <c r="N217" s="164">
        <f t="shared" si="1"/>
        <v>-0.4047010730710271</v>
      </c>
      <c r="O217" s="164">
        <f t="shared" si="1"/>
        <v>-0.92063492063492058</v>
      </c>
      <c r="P217" s="164">
        <f t="shared" si="1"/>
        <v>2.2999999999999998</v>
      </c>
      <c r="Q217" s="164">
        <f t="shared" si="1"/>
        <v>-0.7306005069214272</v>
      </c>
      <c r="R217" s="164">
        <f t="shared" si="1"/>
        <v>-0.60351241816481349</v>
      </c>
      <c r="S217" s="164">
        <f t="shared" si="1"/>
        <v>-1.2906097765832354</v>
      </c>
      <c r="T217" s="291">
        <f t="shared" si="1"/>
        <v>-1.0081185016379433</v>
      </c>
    </row>
    <row r="218" spans="3:21" ht="12.5" thickTop="1" thickBot="1" x14ac:dyDescent="0.3">
      <c r="C218" s="604" t="str">
        <f>C217</f>
        <v>Rail passenger demand - AM peak 2 hours</v>
      </c>
      <c r="D218" s="633" t="str">
        <f>C217</f>
        <v>Rail passenger demand - AM peak 2 hours</v>
      </c>
      <c r="E218" t="s">
        <v>524</v>
      </c>
      <c r="F218" s="164">
        <f t="shared" ref="F218:T218" si="2">IFERROR(INDEX(G$106:G$209,MATCH($D218,$C$106:$C$209,0))/INDEX(G$106:G$209,MATCH($C218,$C$106:$C$209,0)),0)</f>
        <v>1</v>
      </c>
      <c r="G218" s="164">
        <f t="shared" si="2"/>
        <v>1</v>
      </c>
      <c r="H218" s="164">
        <f t="shared" si="2"/>
        <v>1</v>
      </c>
      <c r="I218" s="164">
        <f t="shared" si="2"/>
        <v>1</v>
      </c>
      <c r="J218" s="164">
        <f t="shared" si="2"/>
        <v>1</v>
      </c>
      <c r="K218" s="164">
        <f t="shared" si="2"/>
        <v>1</v>
      </c>
      <c r="L218" s="164">
        <f t="shared" si="2"/>
        <v>1</v>
      </c>
      <c r="M218" s="164">
        <f t="shared" si="2"/>
        <v>1</v>
      </c>
      <c r="N218" s="164">
        <f t="shared" si="2"/>
        <v>1</v>
      </c>
      <c r="O218" s="164">
        <f t="shared" si="2"/>
        <v>1</v>
      </c>
      <c r="P218" s="164">
        <f t="shared" si="2"/>
        <v>1</v>
      </c>
      <c r="Q218" s="164">
        <f t="shared" si="2"/>
        <v>1</v>
      </c>
      <c r="R218" s="164">
        <f t="shared" si="2"/>
        <v>1</v>
      </c>
      <c r="S218" s="164">
        <f t="shared" si="2"/>
        <v>1</v>
      </c>
      <c r="T218" s="291">
        <f t="shared" si="2"/>
        <v>1</v>
      </c>
    </row>
    <row r="219" spans="3:21" ht="12.5" thickTop="1" thickBot="1" x14ac:dyDescent="0.3">
      <c r="C219" s="191" t="str">
        <f>C218</f>
        <v>Rail passenger demand - AM peak 2 hours</v>
      </c>
      <c r="D219" s="633" t="str">
        <f>C223</f>
        <v>Bus passenger demand - AM peak 2 hours</v>
      </c>
      <c r="E219" t="s">
        <v>524</v>
      </c>
      <c r="F219" s="164">
        <f t="shared" ref="F219:T219" si="3">IFERROR(INDEX(G$106:G$209,MATCH($D219,$C$106:$C$209,0))/INDEX(G$106:G$209,MATCH($C219,$C$106:$C$209,0)),0)</f>
        <v>5.5575579257079806</v>
      </c>
      <c r="G219" s="164">
        <f t="shared" si="3"/>
        <v>-0.21464963938331239</v>
      </c>
      <c r="H219" s="164">
        <f t="shared" si="3"/>
        <v>-0.19833027896558747</v>
      </c>
      <c r="I219" s="164">
        <f t="shared" si="3"/>
        <v>-0.76216216216216215</v>
      </c>
      <c r="J219" s="164">
        <f t="shared" si="3"/>
        <v>-0.5</v>
      </c>
      <c r="K219" s="164">
        <f t="shared" si="3"/>
        <v>0.4176681001567461</v>
      </c>
      <c r="L219" s="164">
        <f t="shared" si="3"/>
        <v>9.2729992520568434</v>
      </c>
      <c r="M219" s="164">
        <f t="shared" si="3"/>
        <v>-0.23067752831313332</v>
      </c>
      <c r="N219" s="164">
        <f t="shared" si="3"/>
        <v>-0.21195707715891671</v>
      </c>
      <c r="O219" s="164">
        <f t="shared" si="3"/>
        <v>-0.96825396825396826</v>
      </c>
      <c r="P219" s="164">
        <f t="shared" si="3"/>
        <v>0.8</v>
      </c>
      <c r="Q219" s="164">
        <f t="shared" si="3"/>
        <v>0.43244297133944237</v>
      </c>
      <c r="R219" s="164">
        <f t="shared" si="3"/>
        <v>0.22458692715369427</v>
      </c>
      <c r="S219" s="164">
        <f t="shared" si="3"/>
        <v>1.8172350075592139</v>
      </c>
      <c r="T219" s="291">
        <f t="shared" si="3"/>
        <v>1.0497080188007406</v>
      </c>
    </row>
    <row r="220" spans="3:21" ht="12.5" thickTop="1" thickBot="1" x14ac:dyDescent="0.3">
      <c r="C220" s="191" t="str">
        <f>C219</f>
        <v>Rail passenger demand - AM peak 2 hours</v>
      </c>
      <c r="D220" s="633" t="str">
        <f>C229</f>
        <v>Ferry passenger demand - AM peak 2 hours</v>
      </c>
      <c r="E220" t="s">
        <v>524</v>
      </c>
      <c r="F220" s="164">
        <f t="shared" ref="F220:T220" si="4">IFERROR(INDEX(G$106:G$209,MATCH($D220,$C$106:$C$209,0))/INDEX(G$106:G$209,MATCH($C220,$C$106:$C$209,0)),0)</f>
        <v>-6.2522986392055903E-3</v>
      </c>
      <c r="G220" s="164">
        <f t="shared" si="4"/>
        <v>2.9114007807847547E-3</v>
      </c>
      <c r="H220" s="164">
        <f t="shared" si="4"/>
        <v>1.3574967759451571E-4</v>
      </c>
      <c r="I220" s="164">
        <f t="shared" si="4"/>
        <v>0</v>
      </c>
      <c r="J220" s="164">
        <f t="shared" si="4"/>
        <v>0.640625</v>
      </c>
      <c r="K220" s="164">
        <f t="shared" si="4"/>
        <v>3.5770266468389536E-3</v>
      </c>
      <c r="L220" s="164">
        <f t="shared" si="4"/>
        <v>-1.3462976813762155E-2</v>
      </c>
      <c r="M220" s="164">
        <f t="shared" si="4"/>
        <v>9.9344327438903243E-4</v>
      </c>
      <c r="N220" s="164">
        <f t="shared" si="4"/>
        <v>0</v>
      </c>
      <c r="O220" s="164">
        <f t="shared" si="4"/>
        <v>0</v>
      </c>
      <c r="P220" s="164">
        <f t="shared" si="4"/>
        <v>-1</v>
      </c>
      <c r="Q220" s="164">
        <f t="shared" si="4"/>
        <v>3.6069409241567558E-3</v>
      </c>
      <c r="R220" s="164">
        <f t="shared" si="4"/>
        <v>2.9304790605840176E-3</v>
      </c>
      <c r="S220" s="164">
        <f t="shared" si="4"/>
        <v>-3.52763312615488E-3</v>
      </c>
      <c r="T220" s="291">
        <f t="shared" si="4"/>
        <v>-1.8515880928642644E-3</v>
      </c>
    </row>
    <row r="221" spans="3:21" ht="12.5" thickTop="1" thickBot="1" x14ac:dyDescent="0.3">
      <c r="C221" s="191" t="str">
        <f>C220</f>
        <v>Rail passenger demand - AM peak 2 hours</v>
      </c>
      <c r="D221" s="633" t="str">
        <f>C235</f>
        <v>Light rail passenger demand - AM peak 2 hours</v>
      </c>
      <c r="E221" t="s">
        <v>524</v>
      </c>
      <c r="F221" s="164">
        <f t="shared" ref="F221:T221" si="5">IFERROR(INDEX(G$106:G$209,MATCH($D221,$C$106:$C$209,0))/INDEX(G$106:G$209,MATCH($C221,$C$106:$C$209,0)),0)</f>
        <v>2.6848105921294593E-2</v>
      </c>
      <c r="G221" s="164">
        <f t="shared" si="5"/>
        <v>4.3406338913518167E-2</v>
      </c>
      <c r="H221" s="164">
        <f t="shared" si="5"/>
        <v>7.3304825901038487E-3</v>
      </c>
      <c r="I221" s="164">
        <f t="shared" si="5"/>
        <v>1.3918918918918919</v>
      </c>
      <c r="J221" s="164">
        <f t="shared" si="5"/>
        <v>0.1875</v>
      </c>
      <c r="K221" s="164">
        <f t="shared" si="5"/>
        <v>3.9065953940758007E-2</v>
      </c>
      <c r="L221" s="164">
        <f t="shared" si="5"/>
        <v>-2.9917726252804786E-3</v>
      </c>
      <c r="M221" s="164">
        <f t="shared" si="5"/>
        <v>4.4406914365189745E-2</v>
      </c>
      <c r="N221" s="164">
        <f t="shared" si="5"/>
        <v>3.7812979049565662E-3</v>
      </c>
      <c r="O221" s="164">
        <f t="shared" si="5"/>
        <v>1.6388888888888888</v>
      </c>
      <c r="P221" s="164">
        <f t="shared" si="5"/>
        <v>-0.2</v>
      </c>
      <c r="Q221" s="164">
        <f t="shared" si="5"/>
        <v>3.7385455254435561E-2</v>
      </c>
      <c r="R221" s="164">
        <f t="shared" si="5"/>
        <v>5.4522151789116353E-2</v>
      </c>
      <c r="S221" s="164">
        <f t="shared" si="5"/>
        <v>1.5790357802788511E-2</v>
      </c>
      <c r="T221" s="291">
        <f t="shared" si="5"/>
        <v>1.7803731662156388E-2</v>
      </c>
    </row>
    <row r="222" spans="3:21" ht="12.5" thickTop="1" thickBot="1" x14ac:dyDescent="0.3">
      <c r="C222" s="634" t="str">
        <f>C221</f>
        <v>Rail passenger demand - AM peak 2 hours</v>
      </c>
      <c r="D222" s="633" t="str">
        <f>C241</f>
        <v>Wet train passenger demand - AM peak 2 hours</v>
      </c>
      <c r="E222" t="s">
        <v>524</v>
      </c>
      <c r="F222" s="164">
        <f t="shared" ref="F222:T222" si="6">IFERROR(INDEX(G$106:G$209,MATCH($D222,$C$106:$C$209,0))/INDEX(G$106:G$209,MATCH($C222,$C$106:$C$209,0)),0)</f>
        <v>1.0205958072820891</v>
      </c>
      <c r="G222" s="164">
        <f t="shared" si="6"/>
        <v>1.0463177396943029</v>
      </c>
      <c r="H222" s="164">
        <f t="shared" si="6"/>
        <v>1.0074662322676984</v>
      </c>
      <c r="I222" s="164">
        <f t="shared" si="6"/>
        <v>2.3918918918918921</v>
      </c>
      <c r="J222" s="164">
        <f t="shared" si="6"/>
        <v>1.828125</v>
      </c>
      <c r="K222" s="164">
        <f t="shared" si="6"/>
        <v>1.042642980587597</v>
      </c>
      <c r="L222" s="164">
        <f t="shared" si="6"/>
        <v>0.98354525056095732</v>
      </c>
      <c r="M222" s="164">
        <f t="shared" si="6"/>
        <v>1.0454003576395787</v>
      </c>
      <c r="N222" s="164">
        <f t="shared" si="6"/>
        <v>1.0037812979049565</v>
      </c>
      <c r="O222" s="164">
        <f t="shared" si="6"/>
        <v>2.6388888888888888</v>
      </c>
      <c r="P222" s="164">
        <f t="shared" si="6"/>
        <v>-0.2</v>
      </c>
      <c r="Q222" s="164">
        <f t="shared" si="6"/>
        <v>1.0409923961785923</v>
      </c>
      <c r="R222" s="164">
        <f t="shared" si="6"/>
        <v>1.0574526308497003</v>
      </c>
      <c r="S222" s="164">
        <f t="shared" si="6"/>
        <v>1.0122627246766336</v>
      </c>
      <c r="T222" s="291">
        <f t="shared" si="6"/>
        <v>1.0159521435692922</v>
      </c>
    </row>
    <row r="223" spans="3:21" ht="12.5" thickTop="1" thickBot="1" x14ac:dyDescent="0.3">
      <c r="C223" s="635" t="str">
        <f>'STM inputs'!C62</f>
        <v>Bus passenger demand - AM peak 2 hours</v>
      </c>
      <c r="D223" s="604" t="str">
        <f t="shared" ref="D223:D246" si="7">D217</f>
        <v>Car driver demand - AM peak 2 hours</v>
      </c>
      <c r="E223" t="s">
        <v>524</v>
      </c>
      <c r="F223" s="164">
        <f t="shared" ref="F223:T223" si="8">IFERROR(INDEX(G$106:G$209,MATCH($D223,$C$106:$C$209,0))/INDEX(G$106:G$209,MATCH($C223,$C$106:$C$209,0)),0)</f>
        <v>-0.51326847991529345</v>
      </c>
      <c r="G223" s="164">
        <f t="shared" si="8"/>
        <v>2.0345252774352649</v>
      </c>
      <c r="H223" s="164">
        <f t="shared" si="8"/>
        <v>2.1413415468856947</v>
      </c>
      <c r="I223" s="164">
        <f t="shared" si="8"/>
        <v>1.0283687943262412</v>
      </c>
      <c r="J223" s="164">
        <f t="shared" si="8"/>
        <v>0.78125</v>
      </c>
      <c r="K223" s="164">
        <f t="shared" si="8"/>
        <v>-1.7075635103926097</v>
      </c>
      <c r="L223" s="164">
        <f t="shared" si="8"/>
        <v>-0.47959348281980962</v>
      </c>
      <c r="M223" s="164">
        <f t="shared" si="8"/>
        <v>1.7993109388458226</v>
      </c>
      <c r="N223" s="164">
        <f t="shared" si="8"/>
        <v>1.9093539054966249</v>
      </c>
      <c r="O223" s="164">
        <f t="shared" si="8"/>
        <v>0.95081967213114749</v>
      </c>
      <c r="P223" s="164">
        <f t="shared" si="8"/>
        <v>2.875</v>
      </c>
      <c r="Q223" s="164">
        <f t="shared" si="8"/>
        <v>-1.689472497745717</v>
      </c>
      <c r="R223" s="164">
        <f t="shared" si="8"/>
        <v>-2.6872108088099202</v>
      </c>
      <c r="S223" s="164">
        <f t="shared" si="8"/>
        <v>-0.71020521353300059</v>
      </c>
      <c r="T223" s="291">
        <f t="shared" si="8"/>
        <v>-0.96037991858887384</v>
      </c>
    </row>
    <row r="224" spans="3:21" ht="12" thickTop="1" x14ac:dyDescent="0.25">
      <c r="C224" s="604" t="str">
        <f>C223</f>
        <v>Bus passenger demand - AM peak 2 hours</v>
      </c>
      <c r="D224" t="str">
        <f t="shared" si="7"/>
        <v>Rail passenger demand - AM peak 2 hours</v>
      </c>
      <c r="E224" t="s">
        <v>524</v>
      </c>
      <c r="F224" s="164">
        <f t="shared" ref="F224:T224" si="9">IFERROR(INDEX(G$106:G$209,MATCH($D224,$C$106:$C$209,0))/INDEX(G$106:G$209,MATCH($C224,$C$106:$C$209,0)),0)</f>
        <v>0.17993514658196016</v>
      </c>
      <c r="G224" s="164">
        <f t="shared" si="9"/>
        <v>-4.6587546239210846</v>
      </c>
      <c r="H224" s="164">
        <f t="shared" si="9"/>
        <v>-5.0420944558521557</v>
      </c>
      <c r="I224" s="164">
        <f t="shared" si="9"/>
        <v>-1.3120567375886525</v>
      </c>
      <c r="J224" s="164">
        <f t="shared" si="9"/>
        <v>-2</v>
      </c>
      <c r="K224" s="164">
        <f t="shared" si="9"/>
        <v>2.394245573518091</v>
      </c>
      <c r="L224" s="164">
        <f t="shared" si="9"/>
        <v>0.10783997418938539</v>
      </c>
      <c r="M224" s="164">
        <f t="shared" si="9"/>
        <v>-4.3350559862187765</v>
      </c>
      <c r="N224" s="164">
        <f t="shared" si="9"/>
        <v>-4.717936354869817</v>
      </c>
      <c r="O224" s="164">
        <f t="shared" si="9"/>
        <v>-1.0327868852459017</v>
      </c>
      <c r="P224" s="164">
        <f t="shared" si="9"/>
        <v>1.25</v>
      </c>
      <c r="Q224" s="164">
        <f t="shared" si="9"/>
        <v>2.3124436429215511</v>
      </c>
      <c r="R224" s="164">
        <f t="shared" si="9"/>
        <v>4.4526189154173608</v>
      </c>
      <c r="S224" s="164">
        <f t="shared" si="9"/>
        <v>0.55028655943797378</v>
      </c>
      <c r="T224" s="291">
        <f t="shared" si="9"/>
        <v>0.95264586160108544</v>
      </c>
    </row>
    <row r="225" spans="3:20" x14ac:dyDescent="0.25">
      <c r="C225" s="191" t="str">
        <f>C224</f>
        <v>Bus passenger demand - AM peak 2 hours</v>
      </c>
      <c r="D225" t="str">
        <f t="shared" si="7"/>
        <v>Bus passenger demand - AM peak 2 hours</v>
      </c>
      <c r="E225" t="s">
        <v>524</v>
      </c>
      <c r="F225" s="164">
        <f t="shared" ref="F225:T225" si="10">IFERROR(INDEX(G$106:G$209,MATCH($D225,$C$106:$C$209,0))/INDEX(G$106:G$209,MATCH($C225,$C$106:$C$209,0)),0)</f>
        <v>1</v>
      </c>
      <c r="G225" s="164">
        <f t="shared" si="10"/>
        <v>1</v>
      </c>
      <c r="H225" s="164">
        <f t="shared" si="10"/>
        <v>1</v>
      </c>
      <c r="I225" s="164">
        <f t="shared" si="10"/>
        <v>1</v>
      </c>
      <c r="J225" s="164">
        <f t="shared" si="10"/>
        <v>1</v>
      </c>
      <c r="K225" s="164">
        <f t="shared" si="10"/>
        <v>1</v>
      </c>
      <c r="L225" s="164">
        <f t="shared" si="10"/>
        <v>1</v>
      </c>
      <c r="M225" s="164">
        <f t="shared" si="10"/>
        <v>1</v>
      </c>
      <c r="N225" s="164">
        <f t="shared" si="10"/>
        <v>1</v>
      </c>
      <c r="O225" s="164">
        <f t="shared" si="10"/>
        <v>1</v>
      </c>
      <c r="P225" s="164">
        <f t="shared" si="10"/>
        <v>1</v>
      </c>
      <c r="Q225" s="164">
        <f t="shared" si="10"/>
        <v>1</v>
      </c>
      <c r="R225" s="164">
        <f t="shared" si="10"/>
        <v>1</v>
      </c>
      <c r="S225" s="164">
        <f t="shared" si="10"/>
        <v>1</v>
      </c>
      <c r="T225" s="291">
        <f t="shared" si="10"/>
        <v>1</v>
      </c>
    </row>
    <row r="226" spans="3:20" x14ac:dyDescent="0.25">
      <c r="C226" s="191" t="str">
        <f>C225</f>
        <v>Bus passenger demand - AM peak 2 hours</v>
      </c>
      <c r="D226" t="str">
        <f t="shared" si="7"/>
        <v>Ferry passenger demand - AM peak 2 hours</v>
      </c>
      <c r="E226" t="s">
        <v>524</v>
      </c>
      <c r="F226" s="164">
        <f t="shared" ref="F226:T226" si="11">IFERROR(INDEX(G$106:G$209,MATCH($D226,$C$106:$C$209,0))/INDEX(G$106:G$209,MATCH($C226,$C$106:$C$209,0)),0)</f>
        <v>-1.125008272119648E-3</v>
      </c>
      <c r="G226" s="164">
        <f t="shared" si="11"/>
        <v>-1.3563501849568433E-2</v>
      </c>
      <c r="H226" s="164">
        <f t="shared" si="11"/>
        <v>-6.8446269678302531E-4</v>
      </c>
      <c r="I226" s="164">
        <f t="shared" si="11"/>
        <v>0</v>
      </c>
      <c r="J226" s="164">
        <f t="shared" si="11"/>
        <v>-1.28125</v>
      </c>
      <c r="K226" s="164">
        <f t="shared" si="11"/>
        <v>8.5642802155504235E-3</v>
      </c>
      <c r="L226" s="164">
        <f t="shared" si="11"/>
        <v>-1.4518470721084046E-3</v>
      </c>
      <c r="M226" s="164">
        <f t="shared" si="11"/>
        <v>-4.3066322136089581E-3</v>
      </c>
      <c r="N226" s="164">
        <f t="shared" si="11"/>
        <v>0</v>
      </c>
      <c r="O226" s="164">
        <f t="shared" si="11"/>
        <v>0</v>
      </c>
      <c r="P226" s="164">
        <f t="shared" si="11"/>
        <v>-1.25</v>
      </c>
      <c r="Q226" s="164">
        <f t="shared" si="11"/>
        <v>8.3408476104598738E-3</v>
      </c>
      <c r="R226" s="164">
        <f t="shared" si="11"/>
        <v>1.3048306496390895E-2</v>
      </c>
      <c r="S226" s="164">
        <f t="shared" si="11"/>
        <v>-1.9412090959511925E-3</v>
      </c>
      <c r="T226" s="291">
        <f t="shared" si="11"/>
        <v>-1.7639077340569878E-3</v>
      </c>
    </row>
    <row r="227" spans="3:20" x14ac:dyDescent="0.25">
      <c r="C227" s="191" t="str">
        <f>C226</f>
        <v>Bus passenger demand - AM peak 2 hours</v>
      </c>
      <c r="D227" t="str">
        <f t="shared" si="7"/>
        <v>Light rail passenger demand - AM peak 2 hours</v>
      </c>
      <c r="E227" t="s">
        <v>524</v>
      </c>
      <c r="F227" s="164">
        <f t="shared" ref="F227:T227" si="12">IFERROR(INDEX(G$106:G$209,MATCH($D227,$C$106:$C$209,0))/INDEX(G$106:G$209,MATCH($C227,$C$106:$C$209,0)),0)</f>
        <v>4.830917874396135E-3</v>
      </c>
      <c r="G227" s="164">
        <f t="shared" si="12"/>
        <v>-0.20221948212083848</v>
      </c>
      <c r="H227" s="164">
        <f t="shared" si="12"/>
        <v>-3.6960985626283367E-2</v>
      </c>
      <c r="I227" s="164">
        <f t="shared" si="12"/>
        <v>-1.8262411347517731</v>
      </c>
      <c r="J227" s="164">
        <f t="shared" si="12"/>
        <v>-0.375</v>
      </c>
      <c r="K227" s="164">
        <f t="shared" si="12"/>
        <v>9.3533487297921478E-2</v>
      </c>
      <c r="L227" s="164">
        <f t="shared" si="12"/>
        <v>-3.2263268269075657E-4</v>
      </c>
      <c r="M227" s="164">
        <f t="shared" si="12"/>
        <v>-0.19250645994832041</v>
      </c>
      <c r="N227" s="164">
        <f t="shared" si="12"/>
        <v>-1.7839922854387655E-2</v>
      </c>
      <c r="O227" s="164">
        <f t="shared" si="12"/>
        <v>-1.6926229508196722</v>
      </c>
      <c r="P227" s="164">
        <f t="shared" si="12"/>
        <v>-0.25</v>
      </c>
      <c r="Q227" s="164">
        <f t="shared" si="12"/>
        <v>8.6451758340847604E-2</v>
      </c>
      <c r="R227" s="164">
        <f t="shared" si="12"/>
        <v>0.24276636436547597</v>
      </c>
      <c r="S227" s="164">
        <f t="shared" si="12"/>
        <v>8.6892216675910523E-3</v>
      </c>
      <c r="T227" s="291">
        <f t="shared" si="12"/>
        <v>1.6960651289009497E-2</v>
      </c>
    </row>
    <row r="228" spans="3:20" ht="12" thickBot="1" x14ac:dyDescent="0.3">
      <c r="C228" s="634" t="str">
        <f>C227</f>
        <v>Bus passenger demand - AM peak 2 hours</v>
      </c>
      <c r="D228" t="str">
        <f t="shared" si="7"/>
        <v>Wet train passenger demand - AM peak 2 hours</v>
      </c>
      <c r="E228" t="s">
        <v>524</v>
      </c>
      <c r="F228" s="164">
        <f t="shared" ref="F228:T228" si="13">IFERROR(INDEX(G$106:G$209,MATCH($D228,$C$106:$C$209,0))/INDEX(G$106:G$209,MATCH($C228,$C$106:$C$209,0)),0)</f>
        <v>0.18364105618423665</v>
      </c>
      <c r="G228" s="164">
        <f t="shared" si="13"/>
        <v>-4.8745376078914919</v>
      </c>
      <c r="H228" s="164">
        <f t="shared" si="13"/>
        <v>-5.0797399041752227</v>
      </c>
      <c r="I228" s="164">
        <f t="shared" si="13"/>
        <v>-3.1382978723404253</v>
      </c>
      <c r="J228" s="164">
        <f t="shared" si="13"/>
        <v>-3.65625</v>
      </c>
      <c r="K228" s="164">
        <f t="shared" si="13"/>
        <v>2.4963433410315625</v>
      </c>
      <c r="L228" s="164">
        <f t="shared" si="13"/>
        <v>0.10606549443458622</v>
      </c>
      <c r="M228" s="164">
        <f t="shared" si="13"/>
        <v>-4.5318690783807059</v>
      </c>
      <c r="N228" s="164">
        <f t="shared" si="13"/>
        <v>-4.7357762777242041</v>
      </c>
      <c r="O228" s="164">
        <f t="shared" si="13"/>
        <v>-2.7254098360655736</v>
      </c>
      <c r="P228" s="164">
        <f t="shared" si="13"/>
        <v>-0.25</v>
      </c>
      <c r="Q228" s="164">
        <f t="shared" si="13"/>
        <v>2.4072362488728585</v>
      </c>
      <c r="R228" s="164">
        <f t="shared" si="13"/>
        <v>4.7084335862792273</v>
      </c>
      <c r="S228" s="164">
        <f t="shared" si="13"/>
        <v>0.55703457200961359</v>
      </c>
      <c r="T228" s="291">
        <f t="shared" si="13"/>
        <v>0.96784260515603804</v>
      </c>
    </row>
    <row r="229" spans="3:20" ht="12.5" thickTop="1" thickBot="1" x14ac:dyDescent="0.3">
      <c r="C229" s="635" t="str">
        <f>'STM inputs'!C78</f>
        <v>Ferry passenger demand - AM peak 2 hours</v>
      </c>
      <c r="D229" t="str">
        <f t="shared" si="7"/>
        <v>Car driver demand - AM peak 2 hours</v>
      </c>
      <c r="E229" t="s">
        <v>524</v>
      </c>
      <c r="F229" s="164">
        <f t="shared" ref="F229:T229" si="14">IFERROR(INDEX(G$106:G$209,MATCH($D229,$C$106:$C$209,0))/INDEX(G$106:G$209,MATCH($C229,$C$106:$C$209,0)),0)</f>
        <v>456.23529411764707</v>
      </c>
      <c r="G229" s="164">
        <f t="shared" si="14"/>
        <v>-150</v>
      </c>
      <c r="H229" s="164">
        <f t="shared" si="14"/>
        <v>-3128.5</v>
      </c>
      <c r="I229" s="164">
        <f t="shared" si="14"/>
        <v>0</v>
      </c>
      <c r="J229" s="164">
        <f t="shared" si="14"/>
        <v>-0.6097560975609756</v>
      </c>
      <c r="K229" s="164">
        <f t="shared" si="14"/>
        <v>-199.38202247191012</v>
      </c>
      <c r="L229" s="164">
        <f t="shared" si="14"/>
        <v>330.33333333333331</v>
      </c>
      <c r="M229" s="164">
        <f t="shared" si="14"/>
        <v>-417.8</v>
      </c>
      <c r="N229" s="164">
        <f t="shared" si="14"/>
        <v>0</v>
      </c>
      <c r="O229" s="164">
        <f t="shared" si="14"/>
        <v>0</v>
      </c>
      <c r="P229" s="164">
        <f t="shared" si="14"/>
        <v>-2.2999999999999998</v>
      </c>
      <c r="Q229" s="164">
        <f t="shared" si="14"/>
        <v>-202.55405405405406</v>
      </c>
      <c r="R229" s="164">
        <f t="shared" si="14"/>
        <v>-205.94326241134752</v>
      </c>
      <c r="S229" s="164">
        <f t="shared" si="14"/>
        <v>365.85714285714283</v>
      </c>
      <c r="T229" s="291">
        <f t="shared" si="14"/>
        <v>544.46153846153845</v>
      </c>
    </row>
    <row r="230" spans="3:20" ht="12" thickTop="1" x14ac:dyDescent="0.25">
      <c r="C230" s="604" t="str">
        <f>C229</f>
        <v>Ferry passenger demand - AM peak 2 hours</v>
      </c>
      <c r="D230" t="str">
        <f t="shared" si="7"/>
        <v>Rail passenger demand - AM peak 2 hours</v>
      </c>
      <c r="E230" t="s">
        <v>524</v>
      </c>
      <c r="F230" s="164">
        <f t="shared" ref="F230:T230" si="15">IFERROR(INDEX(G$106:G$209,MATCH($D230,$C$106:$C$209,0))/INDEX(G$106:G$209,MATCH($C230,$C$106:$C$209,0)),0)</f>
        <v>-159.94117647058823</v>
      </c>
      <c r="G230" s="164">
        <f t="shared" si="15"/>
        <v>343.47727272727275</v>
      </c>
      <c r="H230" s="164">
        <f t="shared" si="15"/>
        <v>7366.5</v>
      </c>
      <c r="I230" s="164">
        <f t="shared" si="15"/>
        <v>0</v>
      </c>
      <c r="J230" s="164">
        <f t="shared" si="15"/>
        <v>1.5609756097560976</v>
      </c>
      <c r="K230" s="164">
        <f t="shared" si="15"/>
        <v>279.56179775280901</v>
      </c>
      <c r="L230" s="164">
        <f t="shared" si="15"/>
        <v>-74.277777777777771</v>
      </c>
      <c r="M230" s="164">
        <f t="shared" si="15"/>
        <v>1006.6</v>
      </c>
      <c r="N230" s="164">
        <f t="shared" si="15"/>
        <v>0</v>
      </c>
      <c r="O230" s="164">
        <f t="shared" si="15"/>
        <v>0</v>
      </c>
      <c r="P230" s="164">
        <f t="shared" si="15"/>
        <v>-1</v>
      </c>
      <c r="Q230" s="164">
        <f t="shared" si="15"/>
        <v>277.24324324324323</v>
      </c>
      <c r="R230" s="164">
        <f t="shared" si="15"/>
        <v>341.24113475177307</v>
      </c>
      <c r="S230" s="164">
        <f t="shared" si="15"/>
        <v>-283.47619047619048</v>
      </c>
      <c r="T230" s="291">
        <f t="shared" si="15"/>
        <v>-540.07692307692309</v>
      </c>
    </row>
    <row r="231" spans="3:20" x14ac:dyDescent="0.25">
      <c r="C231" s="191" t="str">
        <f>C230</f>
        <v>Ferry passenger demand - AM peak 2 hours</v>
      </c>
      <c r="D231" t="str">
        <f t="shared" si="7"/>
        <v>Bus passenger demand - AM peak 2 hours</v>
      </c>
      <c r="E231" t="s">
        <v>524</v>
      </c>
      <c r="F231" s="164">
        <f t="shared" ref="F231:T231" si="16">IFERROR(INDEX(G$106:G$209,MATCH($D231,$C$106:$C$209,0))/INDEX(G$106:G$209,MATCH($C231,$C$106:$C$209,0)),0)</f>
        <v>-888.88235294117646</v>
      </c>
      <c r="G231" s="164">
        <f t="shared" si="16"/>
        <v>-73.727272727272734</v>
      </c>
      <c r="H231" s="164">
        <f t="shared" si="16"/>
        <v>-1461</v>
      </c>
      <c r="I231" s="164">
        <f t="shared" si="16"/>
        <v>0</v>
      </c>
      <c r="J231" s="164">
        <f t="shared" si="16"/>
        <v>-0.78048780487804881</v>
      </c>
      <c r="K231" s="164">
        <f t="shared" si="16"/>
        <v>116.76404494382022</v>
      </c>
      <c r="L231" s="164">
        <f t="shared" si="16"/>
        <v>-688.77777777777783</v>
      </c>
      <c r="M231" s="164">
        <f t="shared" si="16"/>
        <v>-232.2</v>
      </c>
      <c r="N231" s="164">
        <f t="shared" si="16"/>
        <v>0</v>
      </c>
      <c r="O231" s="164">
        <f t="shared" si="16"/>
        <v>0</v>
      </c>
      <c r="P231" s="164">
        <f t="shared" si="16"/>
        <v>-0.8</v>
      </c>
      <c r="Q231" s="164">
        <f t="shared" si="16"/>
        <v>119.89189189189189</v>
      </c>
      <c r="R231" s="164">
        <f t="shared" si="16"/>
        <v>76.638297872340431</v>
      </c>
      <c r="S231" s="164">
        <f t="shared" si="16"/>
        <v>-515.14285714285711</v>
      </c>
      <c r="T231" s="291">
        <f t="shared" si="16"/>
        <v>-566.92307692307691</v>
      </c>
    </row>
    <row r="232" spans="3:20" x14ac:dyDescent="0.25">
      <c r="C232" s="191" t="str">
        <f>C231</f>
        <v>Ferry passenger demand - AM peak 2 hours</v>
      </c>
      <c r="D232" t="str">
        <f t="shared" si="7"/>
        <v>Ferry passenger demand - AM peak 2 hours</v>
      </c>
      <c r="E232" t="s">
        <v>524</v>
      </c>
      <c r="F232" s="164">
        <f t="shared" ref="F232:T232" si="17">IFERROR(INDEX(G$106:G$209,MATCH($D232,$C$106:$C$209,0))/INDEX(G$106:G$209,MATCH($C232,$C$106:$C$209,0)),0)</f>
        <v>1</v>
      </c>
      <c r="G232" s="164">
        <f t="shared" si="17"/>
        <v>1</v>
      </c>
      <c r="H232" s="164">
        <f t="shared" si="17"/>
        <v>1</v>
      </c>
      <c r="I232" s="164">
        <f t="shared" si="17"/>
        <v>0</v>
      </c>
      <c r="J232" s="164">
        <f t="shared" si="17"/>
        <v>1</v>
      </c>
      <c r="K232" s="164">
        <f t="shared" si="17"/>
        <v>1</v>
      </c>
      <c r="L232" s="164">
        <f t="shared" si="17"/>
        <v>1</v>
      </c>
      <c r="M232" s="164">
        <f t="shared" si="17"/>
        <v>1</v>
      </c>
      <c r="N232" s="164">
        <f t="shared" si="17"/>
        <v>0</v>
      </c>
      <c r="O232" s="164">
        <f t="shared" si="17"/>
        <v>0</v>
      </c>
      <c r="P232" s="164">
        <f t="shared" si="17"/>
        <v>1</v>
      </c>
      <c r="Q232" s="164">
        <f t="shared" si="17"/>
        <v>1</v>
      </c>
      <c r="R232" s="164">
        <f t="shared" si="17"/>
        <v>1</v>
      </c>
      <c r="S232" s="164">
        <f t="shared" si="17"/>
        <v>1</v>
      </c>
      <c r="T232" s="291">
        <f t="shared" si="17"/>
        <v>1</v>
      </c>
    </row>
    <row r="233" spans="3:20" x14ac:dyDescent="0.25">
      <c r="C233" s="191" t="str">
        <f>C232</f>
        <v>Ferry passenger demand - AM peak 2 hours</v>
      </c>
      <c r="D233" t="str">
        <f t="shared" si="7"/>
        <v>Light rail passenger demand - AM peak 2 hours</v>
      </c>
      <c r="E233" t="s">
        <v>524</v>
      </c>
      <c r="F233" s="164">
        <f t="shared" ref="F233:T233" si="18">IFERROR(INDEX(G$106:G$209,MATCH($D233,$C$106:$C$209,0))/INDEX(G$106:G$209,MATCH($C233,$C$106:$C$209,0)),0)</f>
        <v>-4.2941176470588234</v>
      </c>
      <c r="G233" s="164">
        <f t="shared" si="18"/>
        <v>14.909090909090908</v>
      </c>
      <c r="H233" s="164">
        <f t="shared" si="18"/>
        <v>54</v>
      </c>
      <c r="I233" s="164">
        <f t="shared" si="18"/>
        <v>0</v>
      </c>
      <c r="J233" s="164">
        <f t="shared" si="18"/>
        <v>0.29268292682926828</v>
      </c>
      <c r="K233" s="164">
        <f t="shared" si="18"/>
        <v>10.921348314606741</v>
      </c>
      <c r="L233" s="164">
        <f t="shared" si="18"/>
        <v>0.22222222222222221</v>
      </c>
      <c r="M233" s="164">
        <f t="shared" si="18"/>
        <v>44.7</v>
      </c>
      <c r="N233" s="164">
        <f t="shared" si="18"/>
        <v>0</v>
      </c>
      <c r="O233" s="164">
        <f t="shared" si="18"/>
        <v>0</v>
      </c>
      <c r="P233" s="164">
        <f t="shared" si="18"/>
        <v>0.2</v>
      </c>
      <c r="Q233" s="164">
        <f t="shared" si="18"/>
        <v>10.364864864864865</v>
      </c>
      <c r="R233" s="164">
        <f t="shared" si="18"/>
        <v>18.605200945626478</v>
      </c>
      <c r="S233" s="164">
        <f t="shared" si="18"/>
        <v>-4.4761904761904763</v>
      </c>
      <c r="T233" s="291">
        <f t="shared" si="18"/>
        <v>-9.615384615384615</v>
      </c>
    </row>
    <row r="234" spans="3:20" ht="12" thickBot="1" x14ac:dyDescent="0.3">
      <c r="C234" s="634" t="str">
        <f>C233</f>
        <v>Ferry passenger demand - AM peak 2 hours</v>
      </c>
      <c r="D234" t="str">
        <f t="shared" si="7"/>
        <v>Wet train passenger demand - AM peak 2 hours</v>
      </c>
      <c r="E234" t="s">
        <v>524</v>
      </c>
      <c r="F234" s="164">
        <f t="shared" ref="F234:T234" si="19">IFERROR(INDEX(G$106:G$209,MATCH($D234,$C$106:$C$209,0))/INDEX(G$106:G$209,MATCH($C234,$C$106:$C$209,0)),0)</f>
        <v>-163.23529411764707</v>
      </c>
      <c r="G234" s="164">
        <f t="shared" si="19"/>
        <v>359.38636363636363</v>
      </c>
      <c r="H234" s="164">
        <f t="shared" si="19"/>
        <v>7421.5</v>
      </c>
      <c r="I234" s="164">
        <f t="shared" si="19"/>
        <v>0</v>
      </c>
      <c r="J234" s="164">
        <f t="shared" si="19"/>
        <v>2.8536585365853657</v>
      </c>
      <c r="K234" s="164">
        <f t="shared" si="19"/>
        <v>291.4831460674157</v>
      </c>
      <c r="L234" s="164">
        <f t="shared" si="19"/>
        <v>-73.055555555555557</v>
      </c>
      <c r="M234" s="164">
        <f t="shared" si="19"/>
        <v>1052.3</v>
      </c>
      <c r="N234" s="164">
        <f t="shared" si="19"/>
        <v>0</v>
      </c>
      <c r="O234" s="164">
        <f t="shared" si="19"/>
        <v>0</v>
      </c>
      <c r="P234" s="164">
        <f t="shared" si="19"/>
        <v>0.2</v>
      </c>
      <c r="Q234" s="164">
        <f t="shared" si="19"/>
        <v>288.60810810810813</v>
      </c>
      <c r="R234" s="164">
        <f t="shared" si="19"/>
        <v>360.84633569739952</v>
      </c>
      <c r="S234" s="164">
        <f t="shared" si="19"/>
        <v>-286.95238095238096</v>
      </c>
      <c r="T234" s="291">
        <f t="shared" si="19"/>
        <v>-548.69230769230774</v>
      </c>
    </row>
    <row r="235" spans="3:20" ht="12.5" thickTop="1" thickBot="1" x14ac:dyDescent="0.3">
      <c r="C235" s="635" t="str">
        <f>'STM inputs'!C94</f>
        <v>Light rail passenger demand - AM peak 2 hours</v>
      </c>
      <c r="D235" t="str">
        <f t="shared" si="7"/>
        <v>Car driver demand - AM peak 2 hours</v>
      </c>
      <c r="E235" t="s">
        <v>524</v>
      </c>
      <c r="F235" s="164">
        <f t="shared" ref="F235:T235" si="20">IFERROR(INDEX(G$106:G$209,MATCH($D235,$C$106:$C$209,0))/INDEX(G$106:G$209,MATCH($C235,$C$106:$C$209,0)),0)</f>
        <v>-106.24657534246575</v>
      </c>
      <c r="G235" s="164">
        <f t="shared" si="20"/>
        <v>-10.060975609756097</v>
      </c>
      <c r="H235" s="164">
        <f t="shared" si="20"/>
        <v>-57.935185185185183</v>
      </c>
      <c r="I235" s="164">
        <f t="shared" si="20"/>
        <v>-0.56310679611650483</v>
      </c>
      <c r="J235" s="164">
        <f t="shared" si="20"/>
        <v>-2.0833333333333335</v>
      </c>
      <c r="K235" s="164">
        <f t="shared" si="20"/>
        <v>-18.256172839506174</v>
      </c>
      <c r="L235" s="164">
        <f t="shared" si="20"/>
        <v>1486.5</v>
      </c>
      <c r="M235" s="164">
        <f t="shared" si="20"/>
        <v>-9.3467561521252804</v>
      </c>
      <c r="N235" s="164">
        <f t="shared" si="20"/>
        <v>-107.02702702702703</v>
      </c>
      <c r="O235" s="164">
        <f t="shared" si="20"/>
        <v>-0.56174334140435833</v>
      </c>
      <c r="P235" s="164">
        <f t="shared" si="20"/>
        <v>-11.5</v>
      </c>
      <c r="Q235" s="164">
        <f t="shared" si="20"/>
        <v>-19.542372881355931</v>
      </c>
      <c r="R235" s="164">
        <f t="shared" si="20"/>
        <v>-11.069123252858958</v>
      </c>
      <c r="S235" s="164">
        <f t="shared" si="20"/>
        <v>-81.734042553191486</v>
      </c>
      <c r="T235" s="291">
        <f t="shared" si="20"/>
        <v>-56.624000000000002</v>
      </c>
    </row>
    <row r="236" spans="3:20" ht="12" thickTop="1" x14ac:dyDescent="0.25">
      <c r="C236" s="604" t="str">
        <f>C235</f>
        <v>Light rail passenger demand - AM peak 2 hours</v>
      </c>
      <c r="D236" t="str">
        <f t="shared" si="7"/>
        <v>Rail passenger demand - AM peak 2 hours</v>
      </c>
      <c r="E236" t="s">
        <v>524</v>
      </c>
      <c r="F236" s="164">
        <f t="shared" ref="F236:T236" si="21">IFERROR(INDEX(G$106:G$209,MATCH($D236,$C$106:$C$209,0))/INDEX(G$106:G$209,MATCH($C236,$C$106:$C$209,0)),0)</f>
        <v>37.246575342465754</v>
      </c>
      <c r="G236" s="164">
        <f t="shared" si="21"/>
        <v>23.038109756097562</v>
      </c>
      <c r="H236" s="164">
        <f t="shared" si="21"/>
        <v>136.41666666666666</v>
      </c>
      <c r="I236" s="164">
        <f t="shared" si="21"/>
        <v>0.71844660194174759</v>
      </c>
      <c r="J236" s="164">
        <f t="shared" si="21"/>
        <v>5.333333333333333</v>
      </c>
      <c r="K236" s="164">
        <f t="shared" si="21"/>
        <v>25.597736625514404</v>
      </c>
      <c r="L236" s="164">
        <f t="shared" si="21"/>
        <v>-334.25</v>
      </c>
      <c r="M236" s="164">
        <f t="shared" si="21"/>
        <v>22.519015659955258</v>
      </c>
      <c r="N236" s="164">
        <f t="shared" si="21"/>
        <v>264.45945945945948</v>
      </c>
      <c r="O236" s="164">
        <f t="shared" si="21"/>
        <v>0.61016949152542377</v>
      </c>
      <c r="P236" s="164">
        <f t="shared" si="21"/>
        <v>-5</v>
      </c>
      <c r="Q236" s="164">
        <f t="shared" si="21"/>
        <v>26.748370273794002</v>
      </c>
      <c r="R236" s="164">
        <f t="shared" si="21"/>
        <v>18.341168996188056</v>
      </c>
      <c r="S236" s="164">
        <f t="shared" si="21"/>
        <v>63.329787234042556</v>
      </c>
      <c r="T236" s="291">
        <f t="shared" si="21"/>
        <v>56.167999999999999</v>
      </c>
    </row>
    <row r="237" spans="3:20" x14ac:dyDescent="0.25">
      <c r="C237" s="191" t="str">
        <f>C236</f>
        <v>Light rail passenger demand - AM peak 2 hours</v>
      </c>
      <c r="D237" t="str">
        <f t="shared" si="7"/>
        <v>Bus passenger demand - AM peak 2 hours</v>
      </c>
      <c r="E237" t="s">
        <v>524</v>
      </c>
      <c r="F237" s="164">
        <f t="shared" ref="F237:T237" si="22">IFERROR(INDEX(G$106:G$209,MATCH($D237,$C$106:$C$209,0))/INDEX(G$106:G$209,MATCH($C237,$C$106:$C$209,0)),0)</f>
        <v>207</v>
      </c>
      <c r="G237" s="164">
        <f t="shared" si="22"/>
        <v>-4.9451219512195124</v>
      </c>
      <c r="H237" s="164">
        <f t="shared" si="22"/>
        <v>-27.055555555555557</v>
      </c>
      <c r="I237" s="164">
        <f t="shared" si="22"/>
        <v>-0.54757281553398063</v>
      </c>
      <c r="J237" s="164">
        <f t="shared" si="22"/>
        <v>-2.6666666666666665</v>
      </c>
      <c r="K237" s="164">
        <f t="shared" si="22"/>
        <v>10.691358024691358</v>
      </c>
      <c r="L237" s="164">
        <f t="shared" si="22"/>
        <v>-3099.5</v>
      </c>
      <c r="M237" s="164">
        <f t="shared" si="22"/>
        <v>-5.1946308724832218</v>
      </c>
      <c r="N237" s="164">
        <f t="shared" si="22"/>
        <v>-56.054054054054056</v>
      </c>
      <c r="O237" s="164">
        <f t="shared" si="22"/>
        <v>-0.59079903147699753</v>
      </c>
      <c r="P237" s="164">
        <f t="shared" si="22"/>
        <v>-4</v>
      </c>
      <c r="Q237" s="164">
        <f t="shared" si="22"/>
        <v>11.567144719687093</v>
      </c>
      <c r="R237" s="164">
        <f t="shared" si="22"/>
        <v>4.1191867852604824</v>
      </c>
      <c r="S237" s="164">
        <f t="shared" si="22"/>
        <v>115.08510638297872</v>
      </c>
      <c r="T237" s="291">
        <f t="shared" si="22"/>
        <v>58.96</v>
      </c>
    </row>
    <row r="238" spans="3:20" x14ac:dyDescent="0.25">
      <c r="C238" s="191" t="str">
        <f>C237</f>
        <v>Light rail passenger demand - AM peak 2 hours</v>
      </c>
      <c r="D238" t="str">
        <f t="shared" si="7"/>
        <v>Ferry passenger demand - AM peak 2 hours</v>
      </c>
      <c r="E238" t="s">
        <v>524</v>
      </c>
      <c r="F238" s="164">
        <f t="shared" ref="F238:T238" si="23">IFERROR(INDEX(G$106:G$209,MATCH($D238,$C$106:$C$209,0))/INDEX(G$106:G$209,MATCH($C238,$C$106:$C$209,0)),0)</f>
        <v>-0.23287671232876711</v>
      </c>
      <c r="G238" s="164">
        <f t="shared" si="23"/>
        <v>6.7073170731707321E-2</v>
      </c>
      <c r="H238" s="164">
        <f t="shared" si="23"/>
        <v>1.8518518518518517E-2</v>
      </c>
      <c r="I238" s="164">
        <f t="shared" si="23"/>
        <v>0</v>
      </c>
      <c r="J238" s="164">
        <f t="shared" si="23"/>
        <v>3.4166666666666665</v>
      </c>
      <c r="K238" s="164">
        <f t="shared" si="23"/>
        <v>9.1563786008230452E-2</v>
      </c>
      <c r="L238" s="164">
        <f t="shared" si="23"/>
        <v>4.5</v>
      </c>
      <c r="M238" s="164">
        <f t="shared" si="23"/>
        <v>2.2371364653243849E-2</v>
      </c>
      <c r="N238" s="164">
        <f t="shared" si="23"/>
        <v>0</v>
      </c>
      <c r="O238" s="164">
        <f t="shared" si="23"/>
        <v>0</v>
      </c>
      <c r="P238" s="164">
        <f t="shared" si="23"/>
        <v>5</v>
      </c>
      <c r="Q238" s="164">
        <f t="shared" si="23"/>
        <v>9.647979139504563E-2</v>
      </c>
      <c r="R238" s="164">
        <f t="shared" si="23"/>
        <v>5.3748411689961882E-2</v>
      </c>
      <c r="S238" s="164">
        <f t="shared" si="23"/>
        <v>-0.22340425531914893</v>
      </c>
      <c r="T238" s="291">
        <f t="shared" si="23"/>
        <v>-0.104</v>
      </c>
    </row>
    <row r="239" spans="3:20" x14ac:dyDescent="0.25">
      <c r="C239" s="191" t="str">
        <f>C238</f>
        <v>Light rail passenger demand - AM peak 2 hours</v>
      </c>
      <c r="D239" t="str">
        <f t="shared" si="7"/>
        <v>Light rail passenger demand - AM peak 2 hours</v>
      </c>
      <c r="E239" t="s">
        <v>524</v>
      </c>
      <c r="F239" s="164">
        <f t="shared" ref="F239:T239" si="24">IFERROR(INDEX(G$106:G$209,MATCH($D239,$C$106:$C$209,0))/INDEX(G$106:G$209,MATCH($C239,$C$106:$C$209,0)),0)</f>
        <v>1</v>
      </c>
      <c r="G239" s="164">
        <f t="shared" si="24"/>
        <v>1</v>
      </c>
      <c r="H239" s="164">
        <f t="shared" si="24"/>
        <v>1</v>
      </c>
      <c r="I239" s="164">
        <f t="shared" si="24"/>
        <v>1</v>
      </c>
      <c r="J239" s="164">
        <f t="shared" si="24"/>
        <v>1</v>
      </c>
      <c r="K239" s="164">
        <f t="shared" si="24"/>
        <v>1</v>
      </c>
      <c r="L239" s="164">
        <f t="shared" si="24"/>
        <v>1</v>
      </c>
      <c r="M239" s="164">
        <f t="shared" si="24"/>
        <v>1</v>
      </c>
      <c r="N239" s="164">
        <f t="shared" si="24"/>
        <v>1</v>
      </c>
      <c r="O239" s="164">
        <f t="shared" si="24"/>
        <v>1</v>
      </c>
      <c r="P239" s="164">
        <f t="shared" si="24"/>
        <v>1</v>
      </c>
      <c r="Q239" s="164">
        <f t="shared" si="24"/>
        <v>1</v>
      </c>
      <c r="R239" s="164">
        <f t="shared" si="24"/>
        <v>1</v>
      </c>
      <c r="S239" s="164">
        <f t="shared" si="24"/>
        <v>1</v>
      </c>
      <c r="T239" s="291">
        <f t="shared" si="24"/>
        <v>1</v>
      </c>
    </row>
    <row r="240" spans="3:20" ht="12" thickBot="1" x14ac:dyDescent="0.3">
      <c r="C240" s="634" t="str">
        <f>C239</f>
        <v>Light rail passenger demand - AM peak 2 hours</v>
      </c>
      <c r="D240" t="str">
        <f t="shared" si="7"/>
        <v>Wet train passenger demand - AM peak 2 hours</v>
      </c>
      <c r="E240" t="s">
        <v>524</v>
      </c>
      <c r="F240" s="164">
        <f t="shared" ref="F240:T240" si="25">IFERROR(INDEX(G$106:G$209,MATCH($D240,$C$106:$C$209,0))/INDEX(G$106:G$209,MATCH($C240,$C$106:$C$209,0)),0)</f>
        <v>38.013698630136986</v>
      </c>
      <c r="G240" s="164">
        <f t="shared" si="25"/>
        <v>24.105182926829269</v>
      </c>
      <c r="H240" s="164">
        <f t="shared" si="25"/>
        <v>137.43518518518519</v>
      </c>
      <c r="I240" s="164">
        <f t="shared" si="25"/>
        <v>1.7184466019417475</v>
      </c>
      <c r="J240" s="164">
        <f t="shared" si="25"/>
        <v>9.75</v>
      </c>
      <c r="K240" s="164">
        <f t="shared" si="25"/>
        <v>26.689300411522634</v>
      </c>
      <c r="L240" s="164">
        <f t="shared" si="25"/>
        <v>-328.75</v>
      </c>
      <c r="M240" s="164">
        <f t="shared" si="25"/>
        <v>23.5413870246085</v>
      </c>
      <c r="N240" s="164">
        <f t="shared" si="25"/>
        <v>265.45945945945948</v>
      </c>
      <c r="O240" s="164">
        <f t="shared" si="25"/>
        <v>1.6101694915254237</v>
      </c>
      <c r="P240" s="164">
        <f t="shared" si="25"/>
        <v>1</v>
      </c>
      <c r="Q240" s="164">
        <f t="shared" si="25"/>
        <v>27.84485006518905</v>
      </c>
      <c r="R240" s="164">
        <f t="shared" si="25"/>
        <v>19.394917407878019</v>
      </c>
      <c r="S240" s="164">
        <f t="shared" si="25"/>
        <v>64.106382978723403</v>
      </c>
      <c r="T240" s="291">
        <f t="shared" si="25"/>
        <v>57.064</v>
      </c>
    </row>
    <row r="241" spans="3:20" ht="12.5" thickTop="1" thickBot="1" x14ac:dyDescent="0.3">
      <c r="C241" s="635" t="str">
        <f>'STM inputs'!C110</f>
        <v>Wet train passenger demand - AM peak 2 hours</v>
      </c>
      <c r="D241" t="str">
        <f t="shared" si="7"/>
        <v>Car driver demand - AM peak 2 hours</v>
      </c>
      <c r="E241" t="s">
        <v>524</v>
      </c>
      <c r="F241" s="164">
        <f t="shared" ref="F241:T241" si="26">IFERROR(INDEX(G$106:G$209,MATCH($D241,$C$106:$C$209,0))/INDEX(G$106:G$209,MATCH($C241,$C$106:$C$209,0)),0)</f>
        <v>-2.7949549549549548</v>
      </c>
      <c r="G241" s="164">
        <f t="shared" si="26"/>
        <v>-0.4173781066211345</v>
      </c>
      <c r="H241" s="164">
        <f t="shared" si="26"/>
        <v>-0.42154550966785692</v>
      </c>
      <c r="I241" s="164">
        <f t="shared" si="26"/>
        <v>-0.32768361581920902</v>
      </c>
      <c r="J241" s="164">
        <f t="shared" si="26"/>
        <v>-0.21367521367521367</v>
      </c>
      <c r="K241" s="164">
        <f t="shared" si="26"/>
        <v>-0.68402590393955742</v>
      </c>
      <c r="L241" s="164">
        <f t="shared" si="26"/>
        <v>-4.521673003802281</v>
      </c>
      <c r="M241" s="164">
        <f t="shared" si="26"/>
        <v>-0.39703506604580441</v>
      </c>
      <c r="N241" s="164">
        <f t="shared" si="26"/>
        <v>-0.40317654245571166</v>
      </c>
      <c r="O241" s="164">
        <f t="shared" si="26"/>
        <v>-0.34887218045112783</v>
      </c>
      <c r="P241" s="164">
        <f t="shared" si="26"/>
        <v>-11.5</v>
      </c>
      <c r="Q241" s="164">
        <f t="shared" si="26"/>
        <v>-0.70183078147679923</v>
      </c>
      <c r="R241" s="164">
        <f t="shared" si="26"/>
        <v>-0.57072288683027816</v>
      </c>
      <c r="S241" s="164">
        <f t="shared" si="26"/>
        <v>-1.2749751078659144</v>
      </c>
      <c r="T241" s="291">
        <f t="shared" si="26"/>
        <v>-0.99228935931585593</v>
      </c>
    </row>
    <row r="242" spans="3:20" ht="12" thickTop="1" x14ac:dyDescent="0.25">
      <c r="C242" s="604" t="str">
        <f>C241</f>
        <v>Wet train passenger demand - AM peak 2 hours</v>
      </c>
      <c r="D242" t="str">
        <f t="shared" si="7"/>
        <v>Rail passenger demand - AM peak 2 hours</v>
      </c>
      <c r="E242" t="s">
        <v>524</v>
      </c>
      <c r="F242" s="164">
        <f t="shared" ref="F242:T242" si="27">IFERROR(INDEX(G$106:G$209,MATCH($D242,$C$106:$C$209,0))/INDEX(G$106:G$209,MATCH($C242,$C$106:$C$209,0)),0)</f>
        <v>0.9798198198198198</v>
      </c>
      <c r="G242" s="164">
        <f t="shared" si="27"/>
        <v>0.95573262505533418</v>
      </c>
      <c r="H242" s="164">
        <f t="shared" si="27"/>
        <v>0.99258909923869842</v>
      </c>
      <c r="I242" s="164">
        <f t="shared" si="27"/>
        <v>0.41807909604519772</v>
      </c>
      <c r="J242" s="164">
        <f t="shared" si="27"/>
        <v>0.54700854700854706</v>
      </c>
      <c r="K242" s="164">
        <f t="shared" si="27"/>
        <v>0.95910107162130909</v>
      </c>
      <c r="L242" s="164">
        <f t="shared" si="27"/>
        <v>1.0167300380228137</v>
      </c>
      <c r="M242" s="164">
        <f t="shared" si="27"/>
        <v>0.95657131996578926</v>
      </c>
      <c r="N242" s="164">
        <f t="shared" si="27"/>
        <v>0.9962329464467522</v>
      </c>
      <c r="O242" s="164">
        <f t="shared" si="27"/>
        <v>0.37894736842105264</v>
      </c>
      <c r="P242" s="164">
        <f t="shared" si="27"/>
        <v>-5</v>
      </c>
      <c r="Q242" s="164">
        <f t="shared" si="27"/>
        <v>0.96062181017933235</v>
      </c>
      <c r="R242" s="164">
        <f t="shared" si="27"/>
        <v>0.94566883737994467</v>
      </c>
      <c r="S242" s="164">
        <f t="shared" si="27"/>
        <v>0.98788582807832725</v>
      </c>
      <c r="T242" s="291">
        <f t="shared" si="27"/>
        <v>0.98429833169774283</v>
      </c>
    </row>
    <row r="243" spans="3:20" x14ac:dyDescent="0.25">
      <c r="C243" s="191" t="str">
        <f>C242</f>
        <v>Wet train passenger demand - AM peak 2 hours</v>
      </c>
      <c r="D243" t="str">
        <f t="shared" si="7"/>
        <v>Bus passenger demand - AM peak 2 hours</v>
      </c>
      <c r="E243" t="s">
        <v>524</v>
      </c>
      <c r="F243" s="164">
        <f t="shared" ref="F243:T243" si="28">IFERROR(INDEX(G$106:G$209,MATCH($D243,$C$106:$C$209,0))/INDEX(G$106:G$209,MATCH($C243,$C$106:$C$209,0)),0)</f>
        <v>5.4454054054054053</v>
      </c>
      <c r="G243" s="164">
        <f t="shared" si="28"/>
        <v>-0.20514766331499398</v>
      </c>
      <c r="H243" s="164">
        <f t="shared" si="28"/>
        <v>-0.19686047295021222</v>
      </c>
      <c r="I243" s="164">
        <f t="shared" si="28"/>
        <v>-0.31864406779661014</v>
      </c>
      <c r="J243" s="164">
        <f t="shared" si="28"/>
        <v>-0.27350427350427353</v>
      </c>
      <c r="K243" s="164">
        <f t="shared" si="28"/>
        <v>0.40058592244237146</v>
      </c>
      <c r="L243" s="164">
        <f t="shared" si="28"/>
        <v>9.4281368821292784</v>
      </c>
      <c r="M243" s="164">
        <f t="shared" si="28"/>
        <v>-0.22065950774493964</v>
      </c>
      <c r="N243" s="164">
        <f t="shared" si="28"/>
        <v>-0.21115862349826919</v>
      </c>
      <c r="O243" s="164">
        <f t="shared" si="28"/>
        <v>-0.3669172932330827</v>
      </c>
      <c r="P243" s="164">
        <f t="shared" si="28"/>
        <v>-4</v>
      </c>
      <c r="Q243" s="164">
        <f t="shared" si="28"/>
        <v>0.41541414992742426</v>
      </c>
      <c r="R243" s="164">
        <f t="shared" si="28"/>
        <v>0.21238485829216841</v>
      </c>
      <c r="S243" s="164">
        <f t="shared" si="28"/>
        <v>1.7952207102555593</v>
      </c>
      <c r="T243" s="291">
        <f t="shared" si="28"/>
        <v>1.0332258516753119</v>
      </c>
    </row>
    <row r="244" spans="3:20" x14ac:dyDescent="0.25">
      <c r="C244" s="191" t="str">
        <f>C243</f>
        <v>Wet train passenger demand - AM peak 2 hours</v>
      </c>
      <c r="D244" t="str">
        <f t="shared" si="7"/>
        <v>Ferry passenger demand - AM peak 2 hours</v>
      </c>
      <c r="E244" t="s">
        <v>524</v>
      </c>
      <c r="F244" s="164">
        <f t="shared" ref="F244:T244" si="29">IFERROR(INDEX(G$106:G$209,MATCH($D244,$C$106:$C$209,0))/INDEX(G$106:G$209,MATCH($C244,$C$106:$C$209,0)),0)</f>
        <v>-6.126126126126126E-3</v>
      </c>
      <c r="G244" s="164">
        <f t="shared" si="29"/>
        <v>2.7825207108075635E-3</v>
      </c>
      <c r="H244" s="164">
        <f t="shared" si="29"/>
        <v>1.3474365020548407E-4</v>
      </c>
      <c r="I244" s="164">
        <f t="shared" si="29"/>
        <v>0</v>
      </c>
      <c r="J244" s="164">
        <f t="shared" si="29"/>
        <v>0.3504273504273504</v>
      </c>
      <c r="K244" s="164">
        <f t="shared" si="29"/>
        <v>3.4307300902012179E-3</v>
      </c>
      <c r="L244" s="164">
        <f t="shared" si="29"/>
        <v>-1.3688212927756654E-2</v>
      </c>
      <c r="M244" s="164">
        <f t="shared" si="29"/>
        <v>9.5029934429345241E-4</v>
      </c>
      <c r="N244" s="164">
        <f t="shared" si="29"/>
        <v>0</v>
      </c>
      <c r="O244" s="164">
        <f t="shared" si="29"/>
        <v>0</v>
      </c>
      <c r="P244" s="164">
        <f t="shared" si="29"/>
        <v>5</v>
      </c>
      <c r="Q244" s="164">
        <f t="shared" si="29"/>
        <v>3.4649061197733763E-3</v>
      </c>
      <c r="R244" s="164">
        <f t="shared" si="29"/>
        <v>2.7712627261887602E-3</v>
      </c>
      <c r="S244" s="164">
        <f t="shared" si="29"/>
        <v>-3.4848987719880518E-3</v>
      </c>
      <c r="T244" s="291">
        <f t="shared" si="29"/>
        <v>-1.8225150707977008E-3</v>
      </c>
    </row>
    <row r="245" spans="3:20" x14ac:dyDescent="0.25">
      <c r="C245" s="191" t="str">
        <f>C244</f>
        <v>Wet train passenger demand - AM peak 2 hours</v>
      </c>
      <c r="D245" t="str">
        <f t="shared" si="7"/>
        <v>Light rail passenger demand - AM peak 2 hours</v>
      </c>
      <c r="E245" t="s">
        <v>524</v>
      </c>
      <c r="F245" s="164">
        <f t="shared" ref="F245:T245" si="30">IFERROR(INDEX(G$106:G$209,MATCH($D245,$C$106:$C$209,0))/INDEX(G$106:G$209,MATCH($C245,$C$106:$C$209,0)),0)</f>
        <v>2.6306306306306305E-2</v>
      </c>
      <c r="G245" s="164">
        <f t="shared" si="30"/>
        <v>4.1484854233858219E-2</v>
      </c>
      <c r="H245" s="164">
        <f t="shared" si="30"/>
        <v>7.2761571110961393E-3</v>
      </c>
      <c r="I245" s="164">
        <f t="shared" si="30"/>
        <v>0.58192090395480223</v>
      </c>
      <c r="J245" s="164">
        <f t="shared" si="30"/>
        <v>0.10256410256410256</v>
      </c>
      <c r="K245" s="164">
        <f t="shared" si="30"/>
        <v>3.7468198288489706E-2</v>
      </c>
      <c r="L245" s="164">
        <f t="shared" si="30"/>
        <v>-3.041825095057034E-3</v>
      </c>
      <c r="M245" s="164">
        <f t="shared" si="30"/>
        <v>4.2478380689917321E-2</v>
      </c>
      <c r="N245" s="164">
        <f t="shared" si="30"/>
        <v>3.7670535532478111E-3</v>
      </c>
      <c r="O245" s="164">
        <f t="shared" si="30"/>
        <v>0.62105263157894741</v>
      </c>
      <c r="P245" s="164">
        <f t="shared" si="30"/>
        <v>1</v>
      </c>
      <c r="Q245" s="164">
        <f t="shared" si="30"/>
        <v>3.5913283700894319E-2</v>
      </c>
      <c r="R245" s="164">
        <f t="shared" si="30"/>
        <v>5.1559899893866536E-2</v>
      </c>
      <c r="S245" s="164">
        <f t="shared" si="30"/>
        <v>1.5599070693660804E-2</v>
      </c>
      <c r="T245" s="291">
        <f t="shared" si="30"/>
        <v>1.7524183373054815E-2</v>
      </c>
    </row>
    <row r="246" spans="3:20" x14ac:dyDescent="0.25">
      <c r="C246" s="191" t="str">
        <f>C245</f>
        <v>Wet train passenger demand - AM peak 2 hours</v>
      </c>
      <c r="D246" t="str">
        <f t="shared" si="7"/>
        <v>Wet train passenger demand - AM peak 2 hours</v>
      </c>
      <c r="E246" t="s">
        <v>524</v>
      </c>
      <c r="F246" s="164">
        <f t="shared" ref="F246:T246" si="31">IFERROR(INDEX(G$106:G$209,MATCH($D246,$C$106:$C$209,0))/INDEX(G$106:G$209,MATCH($C246,$C$106:$C$209,0)),0)</f>
        <v>1</v>
      </c>
      <c r="G246" s="164">
        <f t="shared" si="31"/>
        <v>1</v>
      </c>
      <c r="H246" s="164">
        <f t="shared" si="31"/>
        <v>1</v>
      </c>
      <c r="I246" s="164">
        <f t="shared" si="31"/>
        <v>1</v>
      </c>
      <c r="J246" s="164">
        <f t="shared" si="31"/>
        <v>1</v>
      </c>
      <c r="K246" s="164">
        <f t="shared" si="31"/>
        <v>1</v>
      </c>
      <c r="L246" s="164">
        <f t="shared" si="31"/>
        <v>1</v>
      </c>
      <c r="M246" s="164">
        <f t="shared" si="31"/>
        <v>1</v>
      </c>
      <c r="N246" s="164">
        <f t="shared" si="31"/>
        <v>1</v>
      </c>
      <c r="O246" s="164">
        <f t="shared" si="31"/>
        <v>1</v>
      </c>
      <c r="P246" s="164">
        <f t="shared" si="31"/>
        <v>1</v>
      </c>
      <c r="Q246" s="164">
        <f t="shared" si="31"/>
        <v>1</v>
      </c>
      <c r="R246" s="164">
        <f t="shared" si="31"/>
        <v>1</v>
      </c>
      <c r="S246" s="164">
        <f t="shared" si="31"/>
        <v>1</v>
      </c>
      <c r="T246" s="291">
        <f t="shared" si="31"/>
        <v>1</v>
      </c>
    </row>
    <row r="247" spans="3:20" x14ac:dyDescent="0.25">
      <c r="C247" s="191"/>
      <c r="T247" s="195"/>
    </row>
    <row r="248" spans="3:20" x14ac:dyDescent="0.25">
      <c r="C248" s="191"/>
      <c r="D248" s="192" t="str">
        <f t="shared" ref="D248:T248" si="32">D214</f>
        <v>VKTs/AM</v>
      </c>
      <c r="E248" s="192" t="str">
        <f t="shared" si="32"/>
        <v>Baseline</v>
      </c>
      <c r="F248" s="192" t="str">
        <f t="shared" si="32"/>
        <v>Bus only</v>
      </c>
      <c r="G248" s="192" t="str">
        <f t="shared" si="32"/>
        <v>Rail, light rail and ferry only</v>
      </c>
      <c r="H248" s="192" t="str">
        <f t="shared" si="32"/>
        <v>Rail only</v>
      </c>
      <c r="I248" s="192" t="str">
        <f t="shared" si="32"/>
        <v>Light rail only</v>
      </c>
      <c r="J248" s="192" t="str">
        <f t="shared" si="32"/>
        <v>Ferry only</v>
      </c>
      <c r="K248" s="192" t="str">
        <f t="shared" si="32"/>
        <v>All modes</v>
      </c>
      <c r="L248" s="192" t="str">
        <f t="shared" si="32"/>
        <v>Bus only</v>
      </c>
      <c r="M248" s="192" t="str">
        <f t="shared" si="32"/>
        <v>Rail, light rail and ferry only</v>
      </c>
      <c r="N248" s="192" t="str">
        <f t="shared" si="32"/>
        <v>Rail only</v>
      </c>
      <c r="O248" s="192" t="str">
        <f t="shared" si="32"/>
        <v>Light rail only</v>
      </c>
      <c r="P248" s="192" t="str">
        <f t="shared" si="32"/>
        <v>Ferry only</v>
      </c>
      <c r="Q248" s="192" t="str">
        <f t="shared" si="32"/>
        <v>All modes</v>
      </c>
      <c r="R248" s="192" t="str">
        <f t="shared" si="32"/>
        <v>All modes</v>
      </c>
      <c r="S248" s="192" t="str">
        <f t="shared" si="32"/>
        <v>All modes</v>
      </c>
      <c r="T248" s="221" t="str">
        <f t="shared" si="32"/>
        <v>All modes</v>
      </c>
    </row>
    <row r="249" spans="3:20" x14ac:dyDescent="0.25">
      <c r="C249" s="220" t="str">
        <f>C215</f>
        <v>Denominator</v>
      </c>
      <c r="D249" s="638" t="str">
        <f t="shared" ref="D249:T249" si="33">D215</f>
        <v>Numerator</v>
      </c>
      <c r="E249" s="192" t="str">
        <f t="shared" si="33"/>
        <v>Baseline</v>
      </c>
      <c r="F249" s="192" t="str">
        <f t="shared" si="33"/>
        <v>-20%</v>
      </c>
      <c r="G249" s="192" t="str">
        <f t="shared" si="33"/>
        <v>-20%</v>
      </c>
      <c r="H249" s="192" t="str">
        <f t="shared" si="33"/>
        <v>-20%</v>
      </c>
      <c r="I249" s="192" t="str">
        <f t="shared" si="33"/>
        <v>-20%</v>
      </c>
      <c r="J249" s="192" t="str">
        <f t="shared" si="33"/>
        <v>-20%</v>
      </c>
      <c r="K249" s="192" t="str">
        <f t="shared" si="33"/>
        <v>-20%</v>
      </c>
      <c r="L249" s="192" t="str">
        <f t="shared" si="33"/>
        <v>+20%</v>
      </c>
      <c r="M249" s="192" t="str">
        <f t="shared" si="33"/>
        <v>+20%</v>
      </c>
      <c r="N249" s="192" t="str">
        <f t="shared" si="33"/>
        <v>+20%</v>
      </c>
      <c r="O249" s="192" t="str">
        <f t="shared" si="33"/>
        <v>+20%</v>
      </c>
      <c r="P249" s="192" t="str">
        <f t="shared" si="33"/>
        <v>+20%</v>
      </c>
      <c r="Q249" s="192" t="str">
        <f t="shared" si="33"/>
        <v>+20%</v>
      </c>
      <c r="R249" s="192">
        <f t="shared" si="33"/>
        <v>-0.6</v>
      </c>
      <c r="S249" s="192" t="str">
        <f t="shared" si="33"/>
        <v>Effect of travel Less distance (Fare increase)</v>
      </c>
      <c r="T249" s="221" t="str">
        <f t="shared" si="33"/>
        <v>Effect of travel Greater distance 
(Fare decrease)</v>
      </c>
    </row>
    <row r="250" spans="3:20" x14ac:dyDescent="0.25">
      <c r="C250" s="220" t="str">
        <f>C216</f>
        <v>from</v>
      </c>
      <c r="D250" s="638" t="str">
        <f t="shared" ref="D250:T250" si="34">D216</f>
        <v>to</v>
      </c>
      <c r="E250" s="192">
        <f t="shared" si="34"/>
        <v>2021</v>
      </c>
      <c r="F250" s="192">
        <f t="shared" si="34"/>
        <v>2021</v>
      </c>
      <c r="G250" s="192">
        <f t="shared" si="34"/>
        <v>2021</v>
      </c>
      <c r="H250" s="192">
        <f t="shared" si="34"/>
        <v>2021</v>
      </c>
      <c r="I250" s="192">
        <f t="shared" si="34"/>
        <v>2021</v>
      </c>
      <c r="J250" s="192">
        <f t="shared" si="34"/>
        <v>2021</v>
      </c>
      <c r="K250" s="192">
        <f t="shared" si="34"/>
        <v>2021</v>
      </c>
      <c r="L250" s="192">
        <f t="shared" si="34"/>
        <v>2021</v>
      </c>
      <c r="M250" s="192">
        <f t="shared" si="34"/>
        <v>2021</v>
      </c>
      <c r="N250" s="192">
        <f t="shared" si="34"/>
        <v>2021</v>
      </c>
      <c r="O250" s="192">
        <f t="shared" si="34"/>
        <v>2021</v>
      </c>
      <c r="P250" s="192">
        <f t="shared" si="34"/>
        <v>2021</v>
      </c>
      <c r="Q250" s="192">
        <f t="shared" si="34"/>
        <v>2021</v>
      </c>
      <c r="R250" s="192">
        <f t="shared" si="34"/>
        <v>2021</v>
      </c>
      <c r="S250" s="192">
        <f t="shared" si="34"/>
        <v>2021</v>
      </c>
      <c r="T250" s="221">
        <f t="shared" si="34"/>
        <v>2021</v>
      </c>
    </row>
    <row r="251" spans="3:20" ht="12" thickBot="1" x14ac:dyDescent="0.3">
      <c r="C251" s="632" t="str">
        <f>'STM inputs'!C48</f>
        <v>Rail passenger demand - PM peak 3 hours</v>
      </c>
      <c r="D251" s="637" t="str">
        <f>'STM inputs'!C22</f>
        <v>Car driver demand - PM peak 3 hours</v>
      </c>
      <c r="E251" t="s">
        <v>524</v>
      </c>
      <c r="F251" s="164">
        <f>IFERROR(INDEX(G$106:G$209,MATCH($D251,$C$106:$C$209,0))/INDEX(G$106:G$209,MATCH($C251,$C$106:$C$209,0)),0)</f>
        <v>-2.5339723109691161</v>
      </c>
      <c r="G251" s="164">
        <f t="shared" ref="G251:T251" si="35">IFERROR(INDEX(H$106:H$209,MATCH($D251,$C$106:$C$209,0))/INDEX(H$106:H$209,MATCH($C251,$C$106:$C$209,0)),0)</f>
        <v>-0.54297416129615128</v>
      </c>
      <c r="H251" s="164">
        <f t="shared" si="35"/>
        <v>-0.52451371418052406</v>
      </c>
      <c r="I251" s="164">
        <f t="shared" si="35"/>
        <v>-1.3993055555555556</v>
      </c>
      <c r="J251" s="164">
        <f t="shared" si="35"/>
        <v>-0.34285714285714286</v>
      </c>
      <c r="K251" s="164">
        <f t="shared" si="35"/>
        <v>-0.86347535674526865</v>
      </c>
      <c r="L251" s="164">
        <f t="shared" si="35"/>
        <v>-3.8833983528391851</v>
      </c>
      <c r="M251" s="164">
        <f t="shared" si="35"/>
        <v>-0.52376548918069166</v>
      </c>
      <c r="N251" s="164">
        <f t="shared" si="35"/>
        <v>-0.50661250708482897</v>
      </c>
      <c r="O251" s="164">
        <f t="shared" si="35"/>
        <v>-1.5606060606060606</v>
      </c>
      <c r="P251" s="164">
        <f t="shared" si="35"/>
        <v>4</v>
      </c>
      <c r="Q251" s="164">
        <f t="shared" si="35"/>
        <v>-0.92455627752823688</v>
      </c>
      <c r="R251" s="164">
        <f t="shared" si="35"/>
        <v>-0.56680412700696092</v>
      </c>
      <c r="S251" s="164">
        <f t="shared" si="35"/>
        <v>-1.6102683780630105</v>
      </c>
      <c r="T251" s="291">
        <f t="shared" si="35"/>
        <v>-1.1952865940312647</v>
      </c>
    </row>
    <row r="252" spans="3:20" ht="12.5" thickTop="1" thickBot="1" x14ac:dyDescent="0.3">
      <c r="C252" s="604" t="str">
        <f>C251</f>
        <v>Rail passenger demand - PM peak 3 hours</v>
      </c>
      <c r="D252" s="633" t="str">
        <f>C251</f>
        <v>Rail passenger demand - PM peak 3 hours</v>
      </c>
      <c r="E252" t="s">
        <v>524</v>
      </c>
      <c r="F252" s="164">
        <f t="shared" ref="F252:T252" si="36">IFERROR(INDEX(G$106:G$209,MATCH($D252,$C$106:$C$209,0))/INDEX(G$106:G$209,MATCH($C252,$C$106:$C$209,0)),0)</f>
        <v>1</v>
      </c>
      <c r="G252" s="164">
        <f t="shared" si="36"/>
        <v>1</v>
      </c>
      <c r="H252" s="164">
        <f t="shared" si="36"/>
        <v>1</v>
      </c>
      <c r="I252" s="164">
        <f t="shared" si="36"/>
        <v>1</v>
      </c>
      <c r="J252" s="164">
        <f t="shared" si="36"/>
        <v>1</v>
      </c>
      <c r="K252" s="164">
        <f t="shared" si="36"/>
        <v>1</v>
      </c>
      <c r="L252" s="164">
        <f t="shared" si="36"/>
        <v>1</v>
      </c>
      <c r="M252" s="164">
        <f t="shared" si="36"/>
        <v>1</v>
      </c>
      <c r="N252" s="164">
        <f t="shared" si="36"/>
        <v>1</v>
      </c>
      <c r="O252" s="164">
        <f t="shared" si="36"/>
        <v>1</v>
      </c>
      <c r="P252" s="164">
        <f t="shared" si="36"/>
        <v>1</v>
      </c>
      <c r="Q252" s="164">
        <f t="shared" si="36"/>
        <v>1</v>
      </c>
      <c r="R252" s="164">
        <f t="shared" si="36"/>
        <v>1</v>
      </c>
      <c r="S252" s="164">
        <f t="shared" si="36"/>
        <v>1</v>
      </c>
      <c r="T252" s="291">
        <f t="shared" si="36"/>
        <v>1</v>
      </c>
    </row>
    <row r="253" spans="3:20" ht="12.5" thickTop="1" thickBot="1" x14ac:dyDescent="0.3">
      <c r="C253" s="191" t="str">
        <f>C252</f>
        <v>Rail passenger demand - PM peak 3 hours</v>
      </c>
      <c r="D253" s="633" t="str">
        <f>C257</f>
        <v>Bus passenger demand - PM peak 3 hours</v>
      </c>
      <c r="E253" t="s">
        <v>524</v>
      </c>
      <c r="F253" s="164">
        <f t="shared" ref="F253:T253" si="37">IFERROR(INDEX(G$106:G$209,MATCH($D253,$C$106:$C$209,0))/INDEX(G$106:G$209,MATCH($C253,$C$106:$C$209,0)),0)</f>
        <v>3.8969116080937165</v>
      </c>
      <c r="G253" s="164">
        <f t="shared" si="37"/>
        <v>-0.21393724025778474</v>
      </c>
      <c r="H253" s="164">
        <f t="shared" si="37"/>
        <v>-0.20083450941891146</v>
      </c>
      <c r="I253" s="164">
        <f t="shared" si="37"/>
        <v>-0.84375</v>
      </c>
      <c r="J253" s="164">
        <f t="shared" si="37"/>
        <v>-0.38571428571428573</v>
      </c>
      <c r="K253" s="164">
        <f t="shared" si="37"/>
        <v>0.43106298282899841</v>
      </c>
      <c r="L253" s="164">
        <f t="shared" si="37"/>
        <v>6.3407022106631992</v>
      </c>
      <c r="M253" s="164">
        <f t="shared" si="37"/>
        <v>-0.22600332901793971</v>
      </c>
      <c r="N253" s="164">
        <f t="shared" si="37"/>
        <v>-0.21103344039297184</v>
      </c>
      <c r="O253" s="164">
        <f t="shared" si="37"/>
        <v>-1.0353535353535352</v>
      </c>
      <c r="P253" s="164">
        <f t="shared" si="37"/>
        <v>2</v>
      </c>
      <c r="Q253" s="164">
        <f t="shared" si="37"/>
        <v>0.4624307705725873</v>
      </c>
      <c r="R253" s="164">
        <f t="shared" si="37"/>
        <v>0.13037953439305666</v>
      </c>
      <c r="S253" s="164">
        <f t="shared" si="37"/>
        <v>1.8868144690781796</v>
      </c>
      <c r="T253" s="291">
        <f t="shared" si="37"/>
        <v>1.0063950734249172</v>
      </c>
    </row>
    <row r="254" spans="3:20" ht="12.5" thickTop="1" thickBot="1" x14ac:dyDescent="0.3">
      <c r="C254" s="191" t="str">
        <f>C253</f>
        <v>Rail passenger demand - PM peak 3 hours</v>
      </c>
      <c r="D254" s="633" t="str">
        <f>C263</f>
        <v>Ferry passenger demand - PM peak 3 hours</v>
      </c>
      <c r="E254" t="s">
        <v>524</v>
      </c>
      <c r="F254" s="164">
        <f t="shared" ref="F254:T254" si="38">IFERROR(INDEX(G$106:G$209,MATCH($D254,$C$106:$C$209,0))/INDEX(G$106:G$209,MATCH($C254,$C$106:$C$209,0)),0)</f>
        <v>-1.0649627263045794E-3</v>
      </c>
      <c r="G254" s="164">
        <f t="shared" si="38"/>
        <v>2.0478226826477143E-3</v>
      </c>
      <c r="H254" s="164">
        <f t="shared" si="38"/>
        <v>2.4544394673866357E-4</v>
      </c>
      <c r="I254" s="164">
        <f t="shared" si="38"/>
        <v>0</v>
      </c>
      <c r="J254" s="164">
        <f t="shared" si="38"/>
        <v>0.41428571428571431</v>
      </c>
      <c r="K254" s="164">
        <f t="shared" si="38"/>
        <v>2.8337212832709241E-3</v>
      </c>
      <c r="L254" s="164">
        <f t="shared" si="38"/>
        <v>-3.9011703511053317E-3</v>
      </c>
      <c r="M254" s="164">
        <f t="shared" si="38"/>
        <v>9.2472720547438509E-4</v>
      </c>
      <c r="N254" s="164">
        <f t="shared" si="38"/>
        <v>1.8892877385225771E-4</v>
      </c>
      <c r="O254" s="164">
        <f t="shared" si="38"/>
        <v>0</v>
      </c>
      <c r="P254" s="164">
        <f t="shared" si="38"/>
        <v>-2</v>
      </c>
      <c r="Q254" s="164">
        <f t="shared" si="38"/>
        <v>2.9218089049757971E-3</v>
      </c>
      <c r="R254" s="164">
        <f t="shared" si="38"/>
        <v>2.329633092777738E-3</v>
      </c>
      <c r="S254" s="164">
        <f t="shared" si="38"/>
        <v>-1.8961493582263711E-3</v>
      </c>
      <c r="T254" s="291">
        <f t="shared" si="38"/>
        <v>-5.9213642823306495E-4</v>
      </c>
    </row>
    <row r="255" spans="3:20" ht="12.5" thickTop="1" thickBot="1" x14ac:dyDescent="0.3">
      <c r="C255" s="191" t="str">
        <f>C254</f>
        <v>Rail passenger demand - PM peak 3 hours</v>
      </c>
      <c r="D255" s="633" t="str">
        <f>C269</f>
        <v>Light rail passenger demand - PM peak 3 hours</v>
      </c>
      <c r="E255" t="s">
        <v>524</v>
      </c>
      <c r="F255" s="164">
        <f t="shared" ref="F255:T255" si="39">IFERROR(INDEX(G$106:G$209,MATCH($D255,$C$106:$C$209,0))/INDEX(G$106:G$209,MATCH($C255,$C$106:$C$209,0)),0)</f>
        <v>2.8328008519701811E-2</v>
      </c>
      <c r="G255" s="164">
        <f t="shared" si="39"/>
        <v>4.4389568150334277E-2</v>
      </c>
      <c r="H255" s="164">
        <f t="shared" si="39"/>
        <v>8.4678161624838922E-3</v>
      </c>
      <c r="I255" s="164">
        <f t="shared" si="39"/>
        <v>1.9340277777777777</v>
      </c>
      <c r="J255" s="164">
        <f t="shared" si="39"/>
        <v>0.12857142857142856</v>
      </c>
      <c r="K255" s="164">
        <f t="shared" si="39"/>
        <v>3.6669702796613031E-2</v>
      </c>
      <c r="L255" s="164">
        <f t="shared" si="39"/>
        <v>2.904204594711747E-2</v>
      </c>
      <c r="M255" s="164">
        <f t="shared" si="39"/>
        <v>4.4386905862770484E-2</v>
      </c>
      <c r="N255" s="164">
        <f t="shared" si="39"/>
        <v>5.6678632155677307E-3</v>
      </c>
      <c r="O255" s="164">
        <f t="shared" si="39"/>
        <v>2.1666666666666665</v>
      </c>
      <c r="P255" s="164">
        <f t="shared" si="39"/>
        <v>-0.75</v>
      </c>
      <c r="Q255" s="164">
        <f t="shared" si="39"/>
        <v>3.5846670446120971E-2</v>
      </c>
      <c r="R255" s="164">
        <f t="shared" si="39"/>
        <v>6.038664716647886E-2</v>
      </c>
      <c r="S255" s="164">
        <f t="shared" si="39"/>
        <v>3.1359393232205365E-2</v>
      </c>
      <c r="T255" s="291">
        <f t="shared" si="39"/>
        <v>2.1198484130743725E-2</v>
      </c>
    </row>
    <row r="256" spans="3:20" ht="12.5" thickTop="1" thickBot="1" x14ac:dyDescent="0.3">
      <c r="C256" s="634" t="str">
        <f>C255</f>
        <v>Rail passenger demand - PM peak 3 hours</v>
      </c>
      <c r="D256" s="633" t="str">
        <f>C275</f>
        <v>Wet train passenger demand - PM peak 3 hours</v>
      </c>
      <c r="E256" t="s">
        <v>524</v>
      </c>
      <c r="F256" s="164">
        <f t="shared" ref="F256:T256" si="40">IFERROR(INDEX(G$106:G$209,MATCH($D256,$C$106:$C$209,0))/INDEX(G$106:G$209,MATCH($C256,$C$106:$C$209,0)),0)</f>
        <v>1.0272630457933973</v>
      </c>
      <c r="G256" s="164">
        <f t="shared" si="40"/>
        <v>1.046437390832982</v>
      </c>
      <c r="H256" s="164">
        <f t="shared" si="40"/>
        <v>1.0087132601092226</v>
      </c>
      <c r="I256" s="164">
        <f t="shared" si="40"/>
        <v>2.9340277777777777</v>
      </c>
      <c r="J256" s="164">
        <f t="shared" si="40"/>
        <v>1.5428571428571429</v>
      </c>
      <c r="K256" s="164">
        <f t="shared" si="40"/>
        <v>1.0395034240798839</v>
      </c>
      <c r="L256" s="164">
        <f t="shared" si="40"/>
        <v>1.0251408755960121</v>
      </c>
      <c r="M256" s="164">
        <f t="shared" si="40"/>
        <v>1.0453116330682448</v>
      </c>
      <c r="N256" s="164">
        <f t="shared" si="40"/>
        <v>1.0058567919894199</v>
      </c>
      <c r="O256" s="164">
        <f t="shared" si="40"/>
        <v>3.1666666666666665</v>
      </c>
      <c r="P256" s="164">
        <f t="shared" si="40"/>
        <v>-1.75</v>
      </c>
      <c r="Q256" s="164">
        <f t="shared" si="40"/>
        <v>1.0387684793510967</v>
      </c>
      <c r="R256" s="164">
        <f t="shared" si="40"/>
        <v>1.0627162802592567</v>
      </c>
      <c r="S256" s="164">
        <f t="shared" si="40"/>
        <v>1.029463243873979</v>
      </c>
      <c r="T256" s="291">
        <f t="shared" si="40"/>
        <v>1.0206063477025107</v>
      </c>
    </row>
    <row r="257" spans="3:20" ht="12.5" thickTop="1" thickBot="1" x14ac:dyDescent="0.3">
      <c r="C257" s="635" t="str">
        <f>'STM inputs'!C64</f>
        <v>Bus passenger demand - PM peak 3 hours</v>
      </c>
      <c r="D257" s="604" t="str">
        <f t="shared" ref="D257:D280" si="41">D251</f>
        <v>Car driver demand - PM peak 3 hours</v>
      </c>
      <c r="E257" t="s">
        <v>524</v>
      </c>
      <c r="F257" s="164">
        <f t="shared" ref="F257:T257" si="42">IFERROR(INDEX(G$106:G$209,MATCH($D257,$C$106:$C$209,0))/INDEX(G$106:G$209,MATCH($C257,$C$106:$C$209,0)),0)</f>
        <v>-0.65025142107564493</v>
      </c>
      <c r="G257" s="164">
        <f t="shared" si="42"/>
        <v>2.5380067567567566</v>
      </c>
      <c r="H257" s="164">
        <f t="shared" si="42"/>
        <v>2.6116712496180874</v>
      </c>
      <c r="I257" s="164">
        <f t="shared" si="42"/>
        <v>1.6584362139917694</v>
      </c>
      <c r="J257" s="164">
        <f t="shared" si="42"/>
        <v>0.88888888888888884</v>
      </c>
      <c r="K257" s="164">
        <f t="shared" si="42"/>
        <v>-2.0031303803412115</v>
      </c>
      <c r="L257" s="164">
        <f t="shared" si="42"/>
        <v>-0.61245556467049489</v>
      </c>
      <c r="M257" s="164">
        <f t="shared" si="42"/>
        <v>2.3175122749590833</v>
      </c>
      <c r="N257" s="164">
        <f t="shared" si="42"/>
        <v>2.4006266786034018</v>
      </c>
      <c r="O257" s="164">
        <f t="shared" si="42"/>
        <v>1.5073170731707317</v>
      </c>
      <c r="P257" s="164">
        <f t="shared" si="42"/>
        <v>2</v>
      </c>
      <c r="Q257" s="164">
        <f t="shared" si="42"/>
        <v>-1.9993398717465107</v>
      </c>
      <c r="R257" s="164">
        <f t="shared" si="42"/>
        <v>-4.3473397082260634</v>
      </c>
      <c r="S257" s="164">
        <f t="shared" si="42"/>
        <v>-0.85343228200371057</v>
      </c>
      <c r="T257" s="291">
        <f t="shared" si="42"/>
        <v>-1.187691221463874</v>
      </c>
    </row>
    <row r="258" spans="3:20" ht="12" thickTop="1" x14ac:dyDescent="0.25">
      <c r="C258" s="604" t="str">
        <f>C257</f>
        <v>Bus passenger demand - PM peak 3 hours</v>
      </c>
      <c r="D258" t="str">
        <f t="shared" si="41"/>
        <v>Rail passenger demand - PM peak 3 hours</v>
      </c>
      <c r="E258" t="s">
        <v>524</v>
      </c>
      <c r="F258" s="164">
        <f t="shared" ref="F258:T258" si="43">IFERROR(INDEX(G$106:G$209,MATCH($D258,$C$106:$C$209,0))/INDEX(G$106:G$209,MATCH($C258,$C$106:$C$209,0)),0)</f>
        <v>0.25661346742457369</v>
      </c>
      <c r="G258" s="164">
        <f t="shared" si="43"/>
        <v>-4.6742680180180178</v>
      </c>
      <c r="H258" s="164">
        <f t="shared" si="43"/>
        <v>-4.9792239535594254</v>
      </c>
      <c r="I258" s="164">
        <f t="shared" si="43"/>
        <v>-1.1851851851851851</v>
      </c>
      <c r="J258" s="164">
        <f t="shared" si="43"/>
        <v>-2.5925925925925926</v>
      </c>
      <c r="K258" s="164">
        <f t="shared" si="43"/>
        <v>2.3198466113632805</v>
      </c>
      <c r="L258" s="164">
        <f t="shared" si="43"/>
        <v>0.15771123872026252</v>
      </c>
      <c r="M258" s="164">
        <f t="shared" si="43"/>
        <v>-4.4247135842880523</v>
      </c>
      <c r="N258" s="164">
        <f t="shared" si="43"/>
        <v>-4.738585496866607</v>
      </c>
      <c r="O258" s="164">
        <f t="shared" si="43"/>
        <v>-0.96585365853658534</v>
      </c>
      <c r="P258" s="164">
        <f t="shared" si="43"/>
        <v>0.5</v>
      </c>
      <c r="Q258" s="164">
        <f t="shared" si="43"/>
        <v>2.1624858543945682</v>
      </c>
      <c r="R258" s="164">
        <f t="shared" si="43"/>
        <v>7.669915410077234</v>
      </c>
      <c r="S258" s="164">
        <f t="shared" si="43"/>
        <v>0.52999381570810145</v>
      </c>
      <c r="T258" s="291">
        <f t="shared" si="43"/>
        <v>0.99364556366203816</v>
      </c>
    </row>
    <row r="259" spans="3:20" x14ac:dyDescent="0.25">
      <c r="C259" s="191" t="str">
        <f>C258</f>
        <v>Bus passenger demand - PM peak 3 hours</v>
      </c>
      <c r="D259" t="str">
        <f t="shared" si="41"/>
        <v>Bus passenger demand - PM peak 3 hours</v>
      </c>
      <c r="E259" t="s">
        <v>524</v>
      </c>
      <c r="F259" s="164">
        <f t="shared" ref="F259:T259" si="44">IFERROR(INDEX(G$106:G$209,MATCH($D259,$C$106:$C$209,0))/INDEX(G$106:G$209,MATCH($C259,$C$106:$C$209,0)),0)</f>
        <v>1</v>
      </c>
      <c r="G259" s="164">
        <f t="shared" si="44"/>
        <v>1</v>
      </c>
      <c r="H259" s="164">
        <f t="shared" si="44"/>
        <v>1</v>
      </c>
      <c r="I259" s="164">
        <f t="shared" si="44"/>
        <v>1</v>
      </c>
      <c r="J259" s="164">
        <f t="shared" si="44"/>
        <v>1</v>
      </c>
      <c r="K259" s="164">
        <f t="shared" si="44"/>
        <v>1</v>
      </c>
      <c r="L259" s="164">
        <f t="shared" si="44"/>
        <v>1</v>
      </c>
      <c r="M259" s="164">
        <f t="shared" si="44"/>
        <v>1</v>
      </c>
      <c r="N259" s="164">
        <f t="shared" si="44"/>
        <v>1</v>
      </c>
      <c r="O259" s="164">
        <f t="shared" si="44"/>
        <v>1</v>
      </c>
      <c r="P259" s="164">
        <f t="shared" si="44"/>
        <v>1</v>
      </c>
      <c r="Q259" s="164">
        <f t="shared" si="44"/>
        <v>1</v>
      </c>
      <c r="R259" s="164">
        <f t="shared" si="44"/>
        <v>1</v>
      </c>
      <c r="S259" s="164">
        <f t="shared" si="44"/>
        <v>1</v>
      </c>
      <c r="T259" s="291">
        <f t="shared" si="44"/>
        <v>1</v>
      </c>
    </row>
    <row r="260" spans="3:20" x14ac:dyDescent="0.25">
      <c r="C260" s="191" t="str">
        <f>C259</f>
        <v>Bus passenger demand - PM peak 3 hours</v>
      </c>
      <c r="D260" t="str">
        <f t="shared" si="41"/>
        <v>Ferry passenger demand - PM peak 3 hours</v>
      </c>
      <c r="E260" t="s">
        <v>524</v>
      </c>
      <c r="F260" s="164">
        <f t="shared" ref="F260:T260" si="45">IFERROR(INDEX(G$106:G$209,MATCH($D260,$C$106:$C$209,0))/INDEX(G$106:G$209,MATCH($C260,$C$106:$C$209,0)),0)</f>
        <v>-2.7328377787494532E-4</v>
      </c>
      <c r="G260" s="164">
        <f t="shared" si="45"/>
        <v>-9.5720720720720714E-3</v>
      </c>
      <c r="H260" s="164">
        <f t="shared" si="45"/>
        <v>-1.2221203788573174E-3</v>
      </c>
      <c r="I260" s="164">
        <f t="shared" si="45"/>
        <v>0</v>
      </c>
      <c r="J260" s="164">
        <f t="shared" si="45"/>
        <v>-1.0740740740740742</v>
      </c>
      <c r="K260" s="164">
        <f t="shared" si="45"/>
        <v>6.5737987165440598E-3</v>
      </c>
      <c r="L260" s="164">
        <f t="shared" si="45"/>
        <v>-6.1525840853158327E-4</v>
      </c>
      <c r="M260" s="164">
        <f t="shared" si="45"/>
        <v>-4.0916530278232409E-3</v>
      </c>
      <c r="N260" s="164">
        <f t="shared" si="45"/>
        <v>-8.9525514771709937E-4</v>
      </c>
      <c r="O260" s="164">
        <f t="shared" si="45"/>
        <v>0</v>
      </c>
      <c r="P260" s="164">
        <f t="shared" si="45"/>
        <v>-1</v>
      </c>
      <c r="Q260" s="164">
        <f t="shared" si="45"/>
        <v>6.3183704262542439E-3</v>
      </c>
      <c r="R260" s="164">
        <f t="shared" si="45"/>
        <v>1.7868088758121858E-2</v>
      </c>
      <c r="S260" s="164">
        <f t="shared" si="45"/>
        <v>-1.004947433518862E-3</v>
      </c>
      <c r="T260" s="291">
        <f t="shared" si="45"/>
        <v>-5.8837373499646972E-4</v>
      </c>
    </row>
    <row r="261" spans="3:20" x14ac:dyDescent="0.25">
      <c r="C261" s="191" t="str">
        <f>C260</f>
        <v>Bus passenger demand - PM peak 3 hours</v>
      </c>
      <c r="D261" t="str">
        <f t="shared" si="41"/>
        <v>Light rail passenger demand - PM peak 3 hours</v>
      </c>
      <c r="E261" t="s">
        <v>524</v>
      </c>
      <c r="F261" s="164">
        <f t="shared" ref="F261:T261" si="46">IFERROR(INDEX(G$106:G$209,MATCH($D261,$C$106:$C$209,0))/INDEX(G$106:G$209,MATCH($C261,$C$106:$C$209,0)),0)</f>
        <v>7.269348491473546E-3</v>
      </c>
      <c r="G261" s="164">
        <f t="shared" si="46"/>
        <v>-0.20748873873873874</v>
      </c>
      <c r="H261" s="164">
        <f t="shared" si="46"/>
        <v>-4.2163153070577448E-2</v>
      </c>
      <c r="I261" s="164">
        <f t="shared" si="46"/>
        <v>-2.2921810699588478</v>
      </c>
      <c r="J261" s="164">
        <f t="shared" si="46"/>
        <v>-0.33333333333333331</v>
      </c>
      <c r="K261" s="164">
        <f t="shared" si="46"/>
        <v>8.5068085772421351E-2</v>
      </c>
      <c r="L261" s="164">
        <f t="shared" si="46"/>
        <v>4.5802570412906756E-3</v>
      </c>
      <c r="M261" s="164">
        <f t="shared" si="46"/>
        <v>-0.19639934533551553</v>
      </c>
      <c r="N261" s="164">
        <f t="shared" si="46"/>
        <v>-2.685765443151298E-2</v>
      </c>
      <c r="O261" s="164">
        <f t="shared" si="46"/>
        <v>-2.0926829268292684</v>
      </c>
      <c r="P261" s="164">
        <f t="shared" si="46"/>
        <v>-0.375</v>
      </c>
      <c r="Q261" s="164">
        <f t="shared" si="46"/>
        <v>7.7517917766880426E-2</v>
      </c>
      <c r="R261" s="164">
        <f t="shared" si="46"/>
        <v>0.46316047566507296</v>
      </c>
      <c r="S261" s="164">
        <f t="shared" si="46"/>
        <v>1.6620284477427333E-2</v>
      </c>
      <c r="T261" s="291">
        <f t="shared" si="46"/>
        <v>2.1063779712873619E-2</v>
      </c>
    </row>
    <row r="262" spans="3:20" ht="12" thickBot="1" x14ac:dyDescent="0.3">
      <c r="C262" s="634" t="str">
        <f>C261</f>
        <v>Bus passenger demand - PM peak 3 hours</v>
      </c>
      <c r="D262" t="str">
        <f t="shared" si="41"/>
        <v>Wet train passenger demand - PM peak 3 hours</v>
      </c>
      <c r="E262" t="s">
        <v>524</v>
      </c>
      <c r="F262" s="164">
        <f t="shared" ref="F262:T262" si="47">IFERROR(INDEX(G$106:G$209,MATCH($D262,$C$106:$C$209,0))/INDEX(G$106:G$209,MATCH($C262,$C$106:$C$209,0)),0)</f>
        <v>0.26360953213817229</v>
      </c>
      <c r="G262" s="164">
        <f t="shared" si="47"/>
        <v>-4.8913288288288292</v>
      </c>
      <c r="H262" s="164">
        <f t="shared" si="47"/>
        <v>-5.0226092270088607</v>
      </c>
      <c r="I262" s="164">
        <f t="shared" si="47"/>
        <v>-3.477366255144033</v>
      </c>
      <c r="J262" s="164">
        <f t="shared" si="47"/>
        <v>-4</v>
      </c>
      <c r="K262" s="164">
        <f t="shared" si="47"/>
        <v>2.4114884958522462</v>
      </c>
      <c r="L262" s="164">
        <f t="shared" si="47"/>
        <v>0.16167623735302161</v>
      </c>
      <c r="M262" s="164">
        <f t="shared" si="47"/>
        <v>-4.6252045826513912</v>
      </c>
      <c r="N262" s="164">
        <f t="shared" si="47"/>
        <v>-4.7663384064458372</v>
      </c>
      <c r="O262" s="164">
        <f t="shared" si="47"/>
        <v>-3.0585365853658537</v>
      </c>
      <c r="P262" s="164">
        <f t="shared" si="47"/>
        <v>-0.875</v>
      </c>
      <c r="Q262" s="164">
        <f t="shared" si="47"/>
        <v>2.2463221425877027</v>
      </c>
      <c r="R262" s="164">
        <f t="shared" si="47"/>
        <v>8.1509439745004286</v>
      </c>
      <c r="S262" s="164">
        <f t="shared" si="47"/>
        <v>0.54560915275200994</v>
      </c>
      <c r="T262" s="291">
        <f t="shared" si="47"/>
        <v>1.0141209696399154</v>
      </c>
    </row>
    <row r="263" spans="3:20" ht="12.5" thickTop="1" thickBot="1" x14ac:dyDescent="0.3">
      <c r="C263" s="635" t="str">
        <f>'STM inputs'!C80</f>
        <v>Ferry passenger demand - PM peak 3 hours</v>
      </c>
      <c r="D263" t="str">
        <f t="shared" si="41"/>
        <v>Car driver demand - PM peak 3 hours</v>
      </c>
      <c r="E263" t="s">
        <v>524</v>
      </c>
      <c r="F263" s="164">
        <f t="shared" ref="F263:T263" si="48">IFERROR(INDEX(G$106:G$209,MATCH($D263,$C$106:$C$209,0))/INDEX(G$106:G$209,MATCH($C263,$C$106:$C$209,0)),0)</f>
        <v>2379.4</v>
      </c>
      <c r="G263" s="164">
        <f t="shared" si="48"/>
        <v>-265.14705882352939</v>
      </c>
      <c r="H263" s="164">
        <f t="shared" si="48"/>
        <v>-2137</v>
      </c>
      <c r="I263" s="164">
        <f t="shared" si="48"/>
        <v>0</v>
      </c>
      <c r="J263" s="164">
        <f t="shared" si="48"/>
        <v>-0.82758620689655171</v>
      </c>
      <c r="K263" s="164">
        <f t="shared" si="48"/>
        <v>-304.71428571428572</v>
      </c>
      <c r="L263" s="164">
        <f t="shared" si="48"/>
        <v>995.44444444444446</v>
      </c>
      <c r="M263" s="164">
        <f t="shared" si="48"/>
        <v>-566.4</v>
      </c>
      <c r="N263" s="164">
        <f t="shared" si="48"/>
        <v>-2681.5</v>
      </c>
      <c r="O263" s="164">
        <f t="shared" si="48"/>
        <v>0</v>
      </c>
      <c r="P263" s="164">
        <f t="shared" si="48"/>
        <v>-2</v>
      </c>
      <c r="Q263" s="164">
        <f t="shared" si="48"/>
        <v>-316.43283582089555</v>
      </c>
      <c r="R263" s="164">
        <f t="shared" si="48"/>
        <v>-243.30188679245282</v>
      </c>
      <c r="S263" s="164">
        <f t="shared" si="48"/>
        <v>849.23076923076928</v>
      </c>
      <c r="T263" s="291">
        <f t="shared" si="48"/>
        <v>2018.6</v>
      </c>
    </row>
    <row r="264" spans="3:20" ht="12" thickTop="1" x14ac:dyDescent="0.25">
      <c r="C264" s="604" t="str">
        <f>C263</f>
        <v>Ferry passenger demand - PM peak 3 hours</v>
      </c>
      <c r="D264" t="str">
        <f t="shared" si="41"/>
        <v>Rail passenger demand - PM peak 3 hours</v>
      </c>
      <c r="E264" t="s">
        <v>524</v>
      </c>
      <c r="F264" s="164">
        <f t="shared" ref="F264:T264" si="49">IFERROR(INDEX(G$106:G$209,MATCH($D264,$C$106:$C$209,0))/INDEX(G$106:G$209,MATCH($C264,$C$106:$C$209,0)),0)</f>
        <v>-939</v>
      </c>
      <c r="G264" s="164">
        <f t="shared" si="49"/>
        <v>488.3235294117647</v>
      </c>
      <c r="H264" s="164">
        <f t="shared" si="49"/>
        <v>4074.25</v>
      </c>
      <c r="I264" s="164">
        <f t="shared" si="49"/>
        <v>0</v>
      </c>
      <c r="J264" s="164">
        <f t="shared" si="49"/>
        <v>2.4137931034482758</v>
      </c>
      <c r="K264" s="164">
        <f t="shared" si="49"/>
        <v>352.89285714285717</v>
      </c>
      <c r="L264" s="164">
        <f t="shared" si="49"/>
        <v>-256.33333333333331</v>
      </c>
      <c r="M264" s="164">
        <f t="shared" si="49"/>
        <v>1081.4000000000001</v>
      </c>
      <c r="N264" s="164">
        <f t="shared" si="49"/>
        <v>5293</v>
      </c>
      <c r="O264" s="164">
        <f t="shared" si="49"/>
        <v>0</v>
      </c>
      <c r="P264" s="164">
        <f t="shared" si="49"/>
        <v>-0.5</v>
      </c>
      <c r="Q264" s="164">
        <f t="shared" si="49"/>
        <v>342.25373134328356</v>
      </c>
      <c r="R264" s="164">
        <f t="shared" si="49"/>
        <v>429.25214408233273</v>
      </c>
      <c r="S264" s="164">
        <f t="shared" si="49"/>
        <v>-527.38461538461536</v>
      </c>
      <c r="T264" s="291">
        <f t="shared" si="49"/>
        <v>-1688.8</v>
      </c>
    </row>
    <row r="265" spans="3:20" x14ac:dyDescent="0.25">
      <c r="C265" s="191" t="str">
        <f>C264</f>
        <v>Ferry passenger demand - PM peak 3 hours</v>
      </c>
      <c r="D265" t="str">
        <f t="shared" si="41"/>
        <v>Bus passenger demand - PM peak 3 hours</v>
      </c>
      <c r="E265" t="s">
        <v>524</v>
      </c>
      <c r="F265" s="164">
        <f t="shared" ref="F265:T265" si="50">IFERROR(INDEX(G$106:G$209,MATCH($D265,$C$106:$C$209,0))/INDEX(G$106:G$209,MATCH($C265,$C$106:$C$209,0)),0)</f>
        <v>-3659.2</v>
      </c>
      <c r="G265" s="164">
        <f t="shared" si="50"/>
        <v>-104.47058823529412</v>
      </c>
      <c r="H265" s="164">
        <f t="shared" si="50"/>
        <v>-818.25</v>
      </c>
      <c r="I265" s="164">
        <f t="shared" si="50"/>
        <v>0</v>
      </c>
      <c r="J265" s="164">
        <f t="shared" si="50"/>
        <v>-0.93103448275862066</v>
      </c>
      <c r="K265" s="164">
        <f t="shared" si="50"/>
        <v>152.11904761904762</v>
      </c>
      <c r="L265" s="164">
        <f t="shared" si="50"/>
        <v>-1625.3333333333333</v>
      </c>
      <c r="M265" s="164">
        <f t="shared" si="50"/>
        <v>-244.4</v>
      </c>
      <c r="N265" s="164">
        <f t="shared" si="50"/>
        <v>-1117</v>
      </c>
      <c r="O265" s="164">
        <f t="shared" si="50"/>
        <v>0</v>
      </c>
      <c r="P265" s="164">
        <f t="shared" si="50"/>
        <v>-1</v>
      </c>
      <c r="Q265" s="164">
        <f t="shared" si="50"/>
        <v>158.26865671641792</v>
      </c>
      <c r="R265" s="164">
        <f t="shared" si="50"/>
        <v>55.965694682675817</v>
      </c>
      <c r="S265" s="164">
        <f t="shared" si="50"/>
        <v>-995.07692307692309</v>
      </c>
      <c r="T265" s="291">
        <f t="shared" si="50"/>
        <v>-1699.6</v>
      </c>
    </row>
    <row r="266" spans="3:20" x14ac:dyDescent="0.25">
      <c r="C266" s="191" t="str">
        <f>C265</f>
        <v>Ferry passenger demand - PM peak 3 hours</v>
      </c>
      <c r="D266" t="str">
        <f t="shared" si="41"/>
        <v>Ferry passenger demand - PM peak 3 hours</v>
      </c>
      <c r="E266" t="s">
        <v>524</v>
      </c>
      <c r="F266" s="164">
        <f t="shared" ref="F266:T266" si="51">IFERROR(INDEX(G$106:G$209,MATCH($D266,$C$106:$C$209,0))/INDEX(G$106:G$209,MATCH($C266,$C$106:$C$209,0)),0)</f>
        <v>1</v>
      </c>
      <c r="G266" s="164">
        <f t="shared" si="51"/>
        <v>1</v>
      </c>
      <c r="H266" s="164">
        <f t="shared" si="51"/>
        <v>1</v>
      </c>
      <c r="I266" s="164">
        <f t="shared" si="51"/>
        <v>0</v>
      </c>
      <c r="J266" s="164">
        <f t="shared" si="51"/>
        <v>1</v>
      </c>
      <c r="K266" s="164">
        <f t="shared" si="51"/>
        <v>1</v>
      </c>
      <c r="L266" s="164">
        <f t="shared" si="51"/>
        <v>1</v>
      </c>
      <c r="M266" s="164">
        <f t="shared" si="51"/>
        <v>1</v>
      </c>
      <c r="N266" s="164">
        <f t="shared" si="51"/>
        <v>1</v>
      </c>
      <c r="O266" s="164">
        <f t="shared" si="51"/>
        <v>0</v>
      </c>
      <c r="P266" s="164">
        <f t="shared" si="51"/>
        <v>1</v>
      </c>
      <c r="Q266" s="164">
        <f t="shared" si="51"/>
        <v>1</v>
      </c>
      <c r="R266" s="164">
        <f t="shared" si="51"/>
        <v>1</v>
      </c>
      <c r="S266" s="164">
        <f t="shared" si="51"/>
        <v>1</v>
      </c>
      <c r="T266" s="291">
        <f t="shared" si="51"/>
        <v>1</v>
      </c>
    </row>
    <row r="267" spans="3:20" x14ac:dyDescent="0.25">
      <c r="C267" s="191" t="str">
        <f>C266</f>
        <v>Ferry passenger demand - PM peak 3 hours</v>
      </c>
      <c r="D267" t="str">
        <f t="shared" si="41"/>
        <v>Light rail passenger demand - PM peak 3 hours</v>
      </c>
      <c r="E267" t="s">
        <v>524</v>
      </c>
      <c r="F267" s="164">
        <f t="shared" ref="F267:T267" si="52">IFERROR(INDEX(G$106:G$209,MATCH($D267,$C$106:$C$209,0))/INDEX(G$106:G$209,MATCH($C267,$C$106:$C$209,0)),0)</f>
        <v>-26.6</v>
      </c>
      <c r="G267" s="164">
        <f t="shared" si="52"/>
        <v>21.676470588235293</v>
      </c>
      <c r="H267" s="164">
        <f t="shared" si="52"/>
        <v>34.5</v>
      </c>
      <c r="I267" s="164">
        <f t="shared" si="52"/>
        <v>0</v>
      </c>
      <c r="J267" s="164">
        <f t="shared" si="52"/>
        <v>0.31034482758620691</v>
      </c>
      <c r="K267" s="164">
        <f t="shared" si="52"/>
        <v>12.94047619047619</v>
      </c>
      <c r="L267" s="164">
        <f t="shared" si="52"/>
        <v>-7.4444444444444446</v>
      </c>
      <c r="M267" s="164">
        <f t="shared" si="52"/>
        <v>48</v>
      </c>
      <c r="N267" s="164">
        <f t="shared" si="52"/>
        <v>30</v>
      </c>
      <c r="O267" s="164">
        <f t="shared" si="52"/>
        <v>0</v>
      </c>
      <c r="P267" s="164">
        <f t="shared" si="52"/>
        <v>0.375</v>
      </c>
      <c r="Q267" s="164">
        <f t="shared" si="52"/>
        <v>12.26865671641791</v>
      </c>
      <c r="R267" s="164">
        <f t="shared" si="52"/>
        <v>25.921097770154375</v>
      </c>
      <c r="S267" s="164">
        <f t="shared" si="52"/>
        <v>-16.53846153846154</v>
      </c>
      <c r="T267" s="291">
        <f t="shared" si="52"/>
        <v>-35.799999999999997</v>
      </c>
    </row>
    <row r="268" spans="3:20" ht="12" thickBot="1" x14ac:dyDescent="0.3">
      <c r="C268" s="634" t="str">
        <f>C267</f>
        <v>Ferry passenger demand - PM peak 3 hours</v>
      </c>
      <c r="D268" t="str">
        <f t="shared" si="41"/>
        <v>Wet train passenger demand - PM peak 3 hours</v>
      </c>
      <c r="E268" t="s">
        <v>524</v>
      </c>
      <c r="F268" s="164">
        <f t="shared" ref="F268:T268" si="53">IFERROR(INDEX(G$106:G$209,MATCH($D268,$C$106:$C$209,0))/INDEX(G$106:G$209,MATCH($C268,$C$106:$C$209,0)),0)</f>
        <v>-964.6</v>
      </c>
      <c r="G268" s="164">
        <f t="shared" si="53"/>
        <v>511</v>
      </c>
      <c r="H268" s="164">
        <f t="shared" si="53"/>
        <v>4109.75</v>
      </c>
      <c r="I268" s="164">
        <f t="shared" si="53"/>
        <v>0</v>
      </c>
      <c r="J268" s="164">
        <f t="shared" si="53"/>
        <v>3.7241379310344827</v>
      </c>
      <c r="K268" s="164">
        <f t="shared" si="53"/>
        <v>366.83333333333331</v>
      </c>
      <c r="L268" s="164">
        <f t="shared" si="53"/>
        <v>-262.77777777777777</v>
      </c>
      <c r="M268" s="164">
        <f t="shared" si="53"/>
        <v>1130.4000000000001</v>
      </c>
      <c r="N268" s="164">
        <f t="shared" si="53"/>
        <v>5324</v>
      </c>
      <c r="O268" s="164">
        <f t="shared" si="53"/>
        <v>0</v>
      </c>
      <c r="P268" s="164">
        <f t="shared" si="53"/>
        <v>0.875</v>
      </c>
      <c r="Q268" s="164">
        <f t="shared" si="53"/>
        <v>355.52238805970148</v>
      </c>
      <c r="R268" s="164">
        <f t="shared" si="53"/>
        <v>456.17324185248714</v>
      </c>
      <c r="S268" s="164">
        <f t="shared" si="53"/>
        <v>-542.92307692307691</v>
      </c>
      <c r="T268" s="291">
        <f t="shared" si="53"/>
        <v>-1723.6</v>
      </c>
    </row>
    <row r="269" spans="3:20" ht="12.5" thickTop="1" thickBot="1" x14ac:dyDescent="0.3">
      <c r="C269" s="635" t="str">
        <f>'STM inputs'!C96</f>
        <v>Light rail passenger demand - PM peak 3 hours</v>
      </c>
      <c r="D269" t="str">
        <f t="shared" si="41"/>
        <v>Car driver demand - PM peak 3 hours</v>
      </c>
      <c r="E269" t="s">
        <v>524</v>
      </c>
      <c r="F269" s="164">
        <f t="shared" ref="F269:T269" si="54">IFERROR(INDEX(G$106:G$209,MATCH($D269,$C$106:$C$209,0))/INDEX(G$106:G$209,MATCH($C269,$C$106:$C$209,0)),0)</f>
        <v>-89.451127819548873</v>
      </c>
      <c r="G269" s="164">
        <f t="shared" si="54"/>
        <v>-12.232021709633649</v>
      </c>
      <c r="H269" s="164">
        <f t="shared" si="54"/>
        <v>-61.94202898550725</v>
      </c>
      <c r="I269" s="164">
        <f t="shared" si="54"/>
        <v>-0.72351885098743263</v>
      </c>
      <c r="J269" s="164">
        <f t="shared" si="54"/>
        <v>-2.6666666666666665</v>
      </c>
      <c r="K269" s="164">
        <f t="shared" si="54"/>
        <v>-23.547378104875804</v>
      </c>
      <c r="L269" s="164">
        <f t="shared" si="54"/>
        <v>-133.71641791044777</v>
      </c>
      <c r="M269" s="164">
        <f t="shared" si="54"/>
        <v>-11.8</v>
      </c>
      <c r="N269" s="164">
        <f t="shared" si="54"/>
        <v>-89.38333333333334</v>
      </c>
      <c r="O269" s="164">
        <f t="shared" si="54"/>
        <v>-0.72027972027972031</v>
      </c>
      <c r="P269" s="164">
        <f t="shared" si="54"/>
        <v>-5.333333333333333</v>
      </c>
      <c r="Q269" s="164">
        <f t="shared" si="54"/>
        <v>-25.791970802919707</v>
      </c>
      <c r="R269" s="164">
        <f t="shared" si="54"/>
        <v>-9.3862493382742187</v>
      </c>
      <c r="S269" s="164">
        <f t="shared" si="54"/>
        <v>-51.348837209302324</v>
      </c>
      <c r="T269" s="291">
        <f t="shared" si="54"/>
        <v>-56.385474860335194</v>
      </c>
    </row>
    <row r="270" spans="3:20" ht="12" thickTop="1" x14ac:dyDescent="0.25">
      <c r="C270" s="604" t="str">
        <f>C269</f>
        <v>Light rail passenger demand - PM peak 3 hours</v>
      </c>
      <c r="D270" t="str">
        <f t="shared" si="41"/>
        <v>Rail passenger demand - PM peak 3 hours</v>
      </c>
      <c r="E270" t="s">
        <v>524</v>
      </c>
      <c r="F270" s="164">
        <f t="shared" ref="F270:T270" si="55">IFERROR(INDEX(G$106:G$209,MATCH($D270,$C$106:$C$209,0))/INDEX(G$106:G$209,MATCH($C270,$C$106:$C$209,0)),0)</f>
        <v>35.300751879699249</v>
      </c>
      <c r="G270" s="164">
        <f t="shared" si="55"/>
        <v>22.527815468113975</v>
      </c>
      <c r="H270" s="164">
        <f t="shared" si="55"/>
        <v>118.09420289855072</v>
      </c>
      <c r="I270" s="164">
        <f t="shared" si="55"/>
        <v>0.51705565529622977</v>
      </c>
      <c r="J270" s="164">
        <f t="shared" si="55"/>
        <v>7.7777777777777777</v>
      </c>
      <c r="K270" s="164">
        <f t="shared" si="55"/>
        <v>27.270469181232752</v>
      </c>
      <c r="L270" s="164">
        <f t="shared" si="55"/>
        <v>34.432835820895519</v>
      </c>
      <c r="M270" s="164">
        <f t="shared" si="55"/>
        <v>22.529166666666665</v>
      </c>
      <c r="N270" s="164">
        <f t="shared" si="55"/>
        <v>176.43333333333334</v>
      </c>
      <c r="O270" s="164">
        <f t="shared" si="55"/>
        <v>0.46153846153846156</v>
      </c>
      <c r="P270" s="164">
        <f t="shared" si="55"/>
        <v>-1.3333333333333333</v>
      </c>
      <c r="Q270" s="164">
        <f t="shared" si="55"/>
        <v>27.896593673965938</v>
      </c>
      <c r="R270" s="164">
        <f t="shared" si="55"/>
        <v>16.559952355743778</v>
      </c>
      <c r="S270" s="164">
        <f t="shared" si="55"/>
        <v>31.888372093023257</v>
      </c>
      <c r="T270" s="291">
        <f t="shared" si="55"/>
        <v>47.173184357541899</v>
      </c>
    </row>
    <row r="271" spans="3:20" x14ac:dyDescent="0.25">
      <c r="C271" s="191" t="str">
        <f>C270</f>
        <v>Light rail passenger demand - PM peak 3 hours</v>
      </c>
      <c r="D271" t="str">
        <f t="shared" si="41"/>
        <v>Bus passenger demand - PM peak 3 hours</v>
      </c>
      <c r="E271" t="s">
        <v>524</v>
      </c>
      <c r="F271" s="164">
        <f t="shared" ref="F271:T271" si="56">IFERROR(INDEX(G$106:G$209,MATCH($D271,$C$106:$C$209,0))/INDEX(G$106:G$209,MATCH($C271,$C$106:$C$209,0)),0)</f>
        <v>137.5639097744361</v>
      </c>
      <c r="G271" s="164">
        <f t="shared" si="56"/>
        <v>-4.8195386702849392</v>
      </c>
      <c r="H271" s="164">
        <f t="shared" si="56"/>
        <v>-23.717391304347824</v>
      </c>
      <c r="I271" s="164">
        <f t="shared" si="56"/>
        <v>-0.43626570915619389</v>
      </c>
      <c r="J271" s="164">
        <f t="shared" si="56"/>
        <v>-3</v>
      </c>
      <c r="K271" s="164">
        <f t="shared" si="56"/>
        <v>11.755289788408463</v>
      </c>
      <c r="L271" s="164">
        <f t="shared" si="56"/>
        <v>218.32835820895522</v>
      </c>
      <c r="M271" s="164">
        <f t="shared" si="56"/>
        <v>-5.0916666666666668</v>
      </c>
      <c r="N271" s="164">
        <f t="shared" si="56"/>
        <v>-37.233333333333334</v>
      </c>
      <c r="O271" s="164">
        <f t="shared" si="56"/>
        <v>-0.47785547785547783</v>
      </c>
      <c r="P271" s="164">
        <f t="shared" si="56"/>
        <v>-2.6666666666666665</v>
      </c>
      <c r="Q271" s="164">
        <f t="shared" si="56"/>
        <v>12.900243309002432</v>
      </c>
      <c r="R271" s="164">
        <f t="shared" si="56"/>
        <v>2.1590788777130756</v>
      </c>
      <c r="S271" s="164">
        <f t="shared" si="56"/>
        <v>60.167441860465118</v>
      </c>
      <c r="T271" s="291">
        <f t="shared" si="56"/>
        <v>47.47486033519553</v>
      </c>
    </row>
    <row r="272" spans="3:20" x14ac:dyDescent="0.25">
      <c r="C272" s="191" t="str">
        <f>C271</f>
        <v>Light rail passenger demand - PM peak 3 hours</v>
      </c>
      <c r="D272" t="str">
        <f t="shared" si="41"/>
        <v>Ferry passenger demand - PM peak 3 hours</v>
      </c>
      <c r="E272" t="s">
        <v>524</v>
      </c>
      <c r="F272" s="164">
        <f t="shared" ref="F272:T272" si="57">IFERROR(INDEX(G$106:G$209,MATCH($D272,$C$106:$C$209,0))/INDEX(G$106:G$209,MATCH($C272,$C$106:$C$209,0)),0)</f>
        <v>-3.7593984962406013E-2</v>
      </c>
      <c r="G272" s="164">
        <f t="shared" si="57"/>
        <v>4.6132971506105833E-2</v>
      </c>
      <c r="H272" s="164">
        <f t="shared" si="57"/>
        <v>2.8985507246376812E-2</v>
      </c>
      <c r="I272" s="164">
        <f t="shared" si="57"/>
        <v>0</v>
      </c>
      <c r="J272" s="164">
        <f t="shared" si="57"/>
        <v>3.2222222222222223</v>
      </c>
      <c r="K272" s="164">
        <f t="shared" si="57"/>
        <v>7.7276908923643056E-2</v>
      </c>
      <c r="L272" s="164">
        <f t="shared" si="57"/>
        <v>-0.13432835820895522</v>
      </c>
      <c r="M272" s="164">
        <f t="shared" si="57"/>
        <v>2.0833333333333332E-2</v>
      </c>
      <c r="N272" s="164">
        <f t="shared" si="57"/>
        <v>3.3333333333333333E-2</v>
      </c>
      <c r="O272" s="164">
        <f t="shared" si="57"/>
        <v>0</v>
      </c>
      <c r="P272" s="164">
        <f t="shared" si="57"/>
        <v>2.6666666666666665</v>
      </c>
      <c r="Q272" s="164">
        <f t="shared" si="57"/>
        <v>8.1508515815085156E-2</v>
      </c>
      <c r="R272" s="164">
        <f t="shared" si="57"/>
        <v>3.8578613022763365E-2</v>
      </c>
      <c r="S272" s="164">
        <f t="shared" si="57"/>
        <v>-6.0465116279069767E-2</v>
      </c>
      <c r="T272" s="291">
        <f t="shared" si="57"/>
        <v>-2.7932960893854747E-2</v>
      </c>
    </row>
    <row r="273" spans="3:20" x14ac:dyDescent="0.25">
      <c r="C273" s="191" t="str">
        <f>C272</f>
        <v>Light rail passenger demand - PM peak 3 hours</v>
      </c>
      <c r="D273" t="str">
        <f t="shared" si="41"/>
        <v>Light rail passenger demand - PM peak 3 hours</v>
      </c>
      <c r="E273" t="s">
        <v>524</v>
      </c>
      <c r="F273" s="164">
        <f t="shared" ref="F273:T273" si="58">IFERROR(INDEX(G$106:G$209,MATCH($D273,$C$106:$C$209,0))/INDEX(G$106:G$209,MATCH($C273,$C$106:$C$209,0)),0)</f>
        <v>1</v>
      </c>
      <c r="G273" s="164">
        <f t="shared" si="58"/>
        <v>1</v>
      </c>
      <c r="H273" s="164">
        <f t="shared" si="58"/>
        <v>1</v>
      </c>
      <c r="I273" s="164">
        <f t="shared" si="58"/>
        <v>1</v>
      </c>
      <c r="J273" s="164">
        <f t="shared" si="58"/>
        <v>1</v>
      </c>
      <c r="K273" s="164">
        <f t="shared" si="58"/>
        <v>1</v>
      </c>
      <c r="L273" s="164">
        <f t="shared" si="58"/>
        <v>1</v>
      </c>
      <c r="M273" s="164">
        <f t="shared" si="58"/>
        <v>1</v>
      </c>
      <c r="N273" s="164">
        <f t="shared" si="58"/>
        <v>1</v>
      </c>
      <c r="O273" s="164">
        <f t="shared" si="58"/>
        <v>1</v>
      </c>
      <c r="P273" s="164">
        <f t="shared" si="58"/>
        <v>1</v>
      </c>
      <c r="Q273" s="164">
        <f t="shared" si="58"/>
        <v>1</v>
      </c>
      <c r="R273" s="164">
        <f t="shared" si="58"/>
        <v>1</v>
      </c>
      <c r="S273" s="164">
        <f t="shared" si="58"/>
        <v>1</v>
      </c>
      <c r="T273" s="291">
        <f t="shared" si="58"/>
        <v>1</v>
      </c>
    </row>
    <row r="274" spans="3:20" ht="12" thickBot="1" x14ac:dyDescent="0.3">
      <c r="C274" s="634" t="str">
        <f>C273</f>
        <v>Light rail passenger demand - PM peak 3 hours</v>
      </c>
      <c r="D274" t="str">
        <f t="shared" si="41"/>
        <v>Wet train passenger demand - PM peak 3 hours</v>
      </c>
      <c r="E274" t="s">
        <v>524</v>
      </c>
      <c r="F274" s="164">
        <f t="shared" ref="F274:T274" si="59">IFERROR(INDEX(G$106:G$209,MATCH($D274,$C$106:$C$209,0))/INDEX(G$106:G$209,MATCH($C274,$C$106:$C$209,0)),0)</f>
        <v>36.263157894736842</v>
      </c>
      <c r="G274" s="164">
        <f t="shared" si="59"/>
        <v>23.573948439620082</v>
      </c>
      <c r="H274" s="164">
        <f t="shared" si="59"/>
        <v>119.12318840579709</v>
      </c>
      <c r="I274" s="164">
        <f t="shared" si="59"/>
        <v>1.5170556552962298</v>
      </c>
      <c r="J274" s="164">
        <f t="shared" si="59"/>
        <v>12</v>
      </c>
      <c r="K274" s="164">
        <f t="shared" si="59"/>
        <v>28.347746090156395</v>
      </c>
      <c r="L274" s="164">
        <f t="shared" si="59"/>
        <v>35.298507462686565</v>
      </c>
      <c r="M274" s="164">
        <f t="shared" si="59"/>
        <v>23.55</v>
      </c>
      <c r="N274" s="164">
        <f t="shared" si="59"/>
        <v>177.46666666666667</v>
      </c>
      <c r="O274" s="164">
        <f t="shared" si="59"/>
        <v>1.4615384615384615</v>
      </c>
      <c r="P274" s="164">
        <f t="shared" si="59"/>
        <v>2.3333333333333335</v>
      </c>
      <c r="Q274" s="164">
        <f t="shared" si="59"/>
        <v>28.978102189781023</v>
      </c>
      <c r="R274" s="164">
        <f t="shared" si="59"/>
        <v>17.598530968766543</v>
      </c>
      <c r="S274" s="164">
        <f t="shared" si="59"/>
        <v>32.827906976744188</v>
      </c>
      <c r="T274" s="291">
        <f t="shared" si="59"/>
        <v>48.145251396648042</v>
      </c>
    </row>
    <row r="275" spans="3:20" ht="12.5" thickTop="1" thickBot="1" x14ac:dyDescent="0.3">
      <c r="C275" s="635" t="str">
        <f>'STM inputs'!C112</f>
        <v>Wet train passenger demand - PM peak 3 hours</v>
      </c>
      <c r="D275" t="str">
        <f t="shared" si="41"/>
        <v>Car driver demand - PM peak 3 hours</v>
      </c>
      <c r="E275" t="s">
        <v>524</v>
      </c>
      <c r="F275" s="164">
        <f t="shared" ref="F275:T275" si="60">IFERROR(INDEX(G$106:G$209,MATCH($D275,$C$106:$C$209,0))/INDEX(G$106:G$209,MATCH($C275,$C$106:$C$209,0)),0)</f>
        <v>-2.4667219572879948</v>
      </c>
      <c r="G275" s="164">
        <f t="shared" si="60"/>
        <v>-0.51887878439046853</v>
      </c>
      <c r="H275" s="164">
        <f t="shared" si="60"/>
        <v>-0.51998296733377947</v>
      </c>
      <c r="I275" s="164">
        <f t="shared" si="60"/>
        <v>-0.47692307692307695</v>
      </c>
      <c r="J275" s="164">
        <f t="shared" si="60"/>
        <v>-0.22222222222222221</v>
      </c>
      <c r="K275" s="164">
        <f t="shared" si="60"/>
        <v>-0.83066138768092423</v>
      </c>
      <c r="L275" s="164">
        <f t="shared" si="60"/>
        <v>-3.7881606765327698</v>
      </c>
      <c r="M275" s="164">
        <f t="shared" si="60"/>
        <v>-0.50106157112526539</v>
      </c>
      <c r="N275" s="164">
        <f t="shared" si="60"/>
        <v>-0.50366265965439516</v>
      </c>
      <c r="O275" s="164">
        <f t="shared" si="60"/>
        <v>-0.49282296650717705</v>
      </c>
      <c r="P275" s="164">
        <f t="shared" si="60"/>
        <v>-2.2857142857142856</v>
      </c>
      <c r="Q275" s="164">
        <f t="shared" si="60"/>
        <v>-0.89005037783375318</v>
      </c>
      <c r="R275" s="164">
        <f t="shared" si="60"/>
        <v>-0.533354139327465</v>
      </c>
      <c r="S275" s="164">
        <f t="shared" si="60"/>
        <v>-1.5641824879569284</v>
      </c>
      <c r="T275" s="291">
        <f t="shared" si="60"/>
        <v>-1.1711533998607566</v>
      </c>
    </row>
    <row r="276" spans="3:20" ht="12" thickTop="1" x14ac:dyDescent="0.25">
      <c r="C276" s="604" t="str">
        <f>C275</f>
        <v>Wet train passenger demand - PM peak 3 hours</v>
      </c>
      <c r="D276" t="str">
        <f t="shared" si="41"/>
        <v>Rail passenger demand - PM peak 3 hours</v>
      </c>
      <c r="E276" t="s">
        <v>524</v>
      </c>
      <c r="F276" s="164">
        <f t="shared" ref="F276:T276" si="61">IFERROR(INDEX(G$106:G$209,MATCH($D276,$C$106:$C$209,0))/INDEX(G$106:G$209,MATCH($C276,$C$106:$C$209,0)),0)</f>
        <v>0.97346050176238852</v>
      </c>
      <c r="G276" s="164">
        <f t="shared" si="61"/>
        <v>0.95562334522850234</v>
      </c>
      <c r="H276" s="164">
        <f t="shared" si="61"/>
        <v>0.99136200498813798</v>
      </c>
      <c r="I276" s="164">
        <f t="shared" si="61"/>
        <v>0.3408284023668639</v>
      </c>
      <c r="J276" s="164">
        <f t="shared" si="61"/>
        <v>0.64814814814814814</v>
      </c>
      <c r="K276" s="164">
        <f t="shared" si="61"/>
        <v>0.96199779321087819</v>
      </c>
      <c r="L276" s="164">
        <f t="shared" si="61"/>
        <v>0.97547568710359411</v>
      </c>
      <c r="M276" s="164">
        <f t="shared" si="61"/>
        <v>0.95665251238499649</v>
      </c>
      <c r="N276" s="164">
        <f t="shared" si="61"/>
        <v>0.99417731029301282</v>
      </c>
      <c r="O276" s="164">
        <f t="shared" si="61"/>
        <v>0.31578947368421051</v>
      </c>
      <c r="P276" s="164">
        <f t="shared" si="61"/>
        <v>-0.5714285714285714</v>
      </c>
      <c r="Q276" s="164">
        <f t="shared" si="61"/>
        <v>0.96267842149454241</v>
      </c>
      <c r="R276" s="164">
        <f t="shared" si="61"/>
        <v>0.94098492568123959</v>
      </c>
      <c r="S276" s="164">
        <f t="shared" si="61"/>
        <v>0.97137999433267219</v>
      </c>
      <c r="T276" s="291">
        <f t="shared" si="61"/>
        <v>0.97980970062659545</v>
      </c>
    </row>
    <row r="277" spans="3:20" x14ac:dyDescent="0.25">
      <c r="C277" s="191" t="str">
        <f>C276</f>
        <v>Wet train passenger demand - PM peak 3 hours</v>
      </c>
      <c r="D277" t="str">
        <f t="shared" si="41"/>
        <v>Bus passenger demand - PM peak 3 hours</v>
      </c>
      <c r="E277" t="s">
        <v>524</v>
      </c>
      <c r="F277" s="164">
        <f t="shared" ref="F277:T277" si="62">IFERROR(INDEX(G$106:G$209,MATCH($D277,$C$106:$C$209,0))/INDEX(G$106:G$209,MATCH($C277,$C$106:$C$209,0)),0)</f>
        <v>3.793489529338586</v>
      </c>
      <c r="G277" s="164">
        <f t="shared" si="62"/>
        <v>-0.20444342120409809</v>
      </c>
      <c r="H277" s="164">
        <f t="shared" si="62"/>
        <v>-0.19909970192834114</v>
      </c>
      <c r="I277" s="164">
        <f t="shared" si="62"/>
        <v>-0.28757396449704142</v>
      </c>
      <c r="J277" s="164">
        <f t="shared" si="62"/>
        <v>-0.25</v>
      </c>
      <c r="K277" s="164">
        <f t="shared" si="62"/>
        <v>0.41468163821639514</v>
      </c>
      <c r="L277" s="164">
        <f t="shared" si="62"/>
        <v>6.1852008456659622</v>
      </c>
      <c r="M277" s="164">
        <f t="shared" si="62"/>
        <v>-0.21620665251238499</v>
      </c>
      <c r="N277" s="164">
        <f t="shared" si="62"/>
        <v>-0.20980465815176558</v>
      </c>
      <c r="O277" s="164">
        <f t="shared" si="62"/>
        <v>-0.32695374800637961</v>
      </c>
      <c r="P277" s="164">
        <f t="shared" si="62"/>
        <v>-1.1428571428571428</v>
      </c>
      <c r="Q277" s="164">
        <f t="shared" si="62"/>
        <v>0.44517212426532327</v>
      </c>
      <c r="R277" s="164">
        <f t="shared" si="62"/>
        <v>0.12268517648120504</v>
      </c>
      <c r="S277" s="164">
        <f t="shared" si="62"/>
        <v>1.832813828279966</v>
      </c>
      <c r="T277" s="291">
        <f t="shared" si="62"/>
        <v>0.98607565560454857</v>
      </c>
    </row>
    <row r="278" spans="3:20" x14ac:dyDescent="0.25">
      <c r="C278" s="191" t="str">
        <f>C277</f>
        <v>Wet train passenger demand - PM peak 3 hours</v>
      </c>
      <c r="D278" t="str">
        <f t="shared" si="41"/>
        <v>Ferry passenger demand - PM peak 3 hours</v>
      </c>
      <c r="E278" t="s">
        <v>524</v>
      </c>
      <c r="F278" s="164">
        <f t="shared" ref="F278:T278" si="63">IFERROR(INDEX(G$106:G$209,MATCH($D278,$C$106:$C$209,0))/INDEX(G$106:G$209,MATCH($C278,$C$106:$C$209,0)),0)</f>
        <v>-1.0366991499066972E-3</v>
      </c>
      <c r="G278" s="164">
        <f t="shared" si="63"/>
        <v>1.9569471624266144E-3</v>
      </c>
      <c r="H278" s="164">
        <f t="shared" si="63"/>
        <v>2.4332380315104324E-4</v>
      </c>
      <c r="I278" s="164">
        <f t="shared" si="63"/>
        <v>0</v>
      </c>
      <c r="J278" s="164">
        <f t="shared" si="63"/>
        <v>0.26851851851851855</v>
      </c>
      <c r="K278" s="164">
        <f t="shared" si="63"/>
        <v>2.7260336210813267E-3</v>
      </c>
      <c r="L278" s="164">
        <f t="shared" si="63"/>
        <v>-3.8054968287526427E-3</v>
      </c>
      <c r="M278" s="164">
        <f t="shared" si="63"/>
        <v>8.8464260438782727E-4</v>
      </c>
      <c r="N278" s="164">
        <f t="shared" si="63"/>
        <v>1.8782870022539445E-4</v>
      </c>
      <c r="O278" s="164">
        <f t="shared" si="63"/>
        <v>0</v>
      </c>
      <c r="P278" s="164">
        <f t="shared" si="63"/>
        <v>1.1428571428571428</v>
      </c>
      <c r="Q278" s="164">
        <f t="shared" si="63"/>
        <v>2.8127623845507978E-3</v>
      </c>
      <c r="R278" s="164">
        <f t="shared" si="63"/>
        <v>2.192149622672016E-3</v>
      </c>
      <c r="S278" s="164">
        <f t="shared" si="63"/>
        <v>-1.8418815528478323E-3</v>
      </c>
      <c r="T278" s="291">
        <f t="shared" si="63"/>
        <v>-5.8018101647714087E-4</v>
      </c>
    </row>
    <row r="279" spans="3:20" x14ac:dyDescent="0.25">
      <c r="C279" s="191" t="str">
        <f>C278</f>
        <v>Wet train passenger demand - PM peak 3 hours</v>
      </c>
      <c r="D279" t="str">
        <f t="shared" si="41"/>
        <v>Light rail passenger demand - PM peak 3 hours</v>
      </c>
      <c r="E279" t="s">
        <v>524</v>
      </c>
      <c r="F279" s="164">
        <f t="shared" ref="F279:T279" si="64">IFERROR(INDEX(G$106:G$209,MATCH($D279,$C$106:$C$209,0))/INDEX(G$106:G$209,MATCH($C279,$C$106:$C$209,0)),0)</f>
        <v>2.7576197387518143E-2</v>
      </c>
      <c r="G279" s="164">
        <f t="shared" si="64"/>
        <v>4.2419707609071024E-2</v>
      </c>
      <c r="H279" s="164">
        <f t="shared" si="64"/>
        <v>8.3946712087109923E-3</v>
      </c>
      <c r="I279" s="164">
        <f t="shared" si="64"/>
        <v>0.65917159763313604</v>
      </c>
      <c r="J279" s="164">
        <f t="shared" si="64"/>
        <v>8.3333333333333329E-2</v>
      </c>
      <c r="K279" s="164">
        <f t="shared" si="64"/>
        <v>3.5276173168040499E-2</v>
      </c>
      <c r="L279" s="164">
        <f t="shared" si="64"/>
        <v>2.8329809725158563E-2</v>
      </c>
      <c r="M279" s="164">
        <f t="shared" si="64"/>
        <v>4.2462845010615709E-2</v>
      </c>
      <c r="N279" s="164">
        <f t="shared" si="64"/>
        <v>5.634861006761833E-3</v>
      </c>
      <c r="O279" s="164">
        <f t="shared" si="64"/>
        <v>0.68421052631578949</v>
      </c>
      <c r="P279" s="164">
        <f t="shared" si="64"/>
        <v>0.42857142857142855</v>
      </c>
      <c r="Q279" s="164">
        <f t="shared" si="64"/>
        <v>3.4508816120906803E-2</v>
      </c>
      <c r="R279" s="164">
        <f t="shared" si="64"/>
        <v>5.6822924696088351E-2</v>
      </c>
      <c r="S279" s="164">
        <f t="shared" si="64"/>
        <v>3.0461887220175687E-2</v>
      </c>
      <c r="T279" s="291">
        <f t="shared" si="64"/>
        <v>2.0770480389881642E-2</v>
      </c>
    </row>
    <row r="280" spans="3:20" x14ac:dyDescent="0.25">
      <c r="C280" s="196" t="str">
        <f>C279</f>
        <v>Wet train passenger demand - PM peak 3 hours</v>
      </c>
      <c r="D280" s="197" t="str">
        <f t="shared" si="41"/>
        <v>Wet train passenger demand - PM peak 3 hours</v>
      </c>
      <c r="E280" s="197" t="s">
        <v>524</v>
      </c>
      <c r="F280" s="225">
        <f t="shared" ref="F280:T280" si="65">IFERROR(INDEX(G$106:G$209,MATCH($D280,$C$106:$C$209,0))/INDEX(G$106:G$209,MATCH($C280,$C$106:$C$209,0)),0)</f>
        <v>1</v>
      </c>
      <c r="G280" s="225">
        <f t="shared" si="65"/>
        <v>1</v>
      </c>
      <c r="H280" s="225">
        <f t="shared" si="65"/>
        <v>1</v>
      </c>
      <c r="I280" s="225">
        <f t="shared" si="65"/>
        <v>1</v>
      </c>
      <c r="J280" s="225">
        <f t="shared" si="65"/>
        <v>1</v>
      </c>
      <c r="K280" s="225">
        <f t="shared" si="65"/>
        <v>1</v>
      </c>
      <c r="L280" s="225">
        <f t="shared" si="65"/>
        <v>1</v>
      </c>
      <c r="M280" s="225">
        <f t="shared" si="65"/>
        <v>1</v>
      </c>
      <c r="N280" s="225">
        <f t="shared" si="65"/>
        <v>1</v>
      </c>
      <c r="O280" s="225">
        <f t="shared" si="65"/>
        <v>1</v>
      </c>
      <c r="P280" s="225">
        <f t="shared" si="65"/>
        <v>1</v>
      </c>
      <c r="Q280" s="225">
        <f t="shared" si="65"/>
        <v>1</v>
      </c>
      <c r="R280" s="225">
        <f t="shared" si="65"/>
        <v>1</v>
      </c>
      <c r="S280" s="225">
        <f t="shared" si="65"/>
        <v>1</v>
      </c>
      <c r="T280" s="636">
        <f t="shared" si="65"/>
        <v>1</v>
      </c>
    </row>
    <row r="283" spans="3:20" ht="15.5" x14ac:dyDescent="0.35">
      <c r="C283" s="43" t="str">
        <f>C13</f>
        <v>Table 6 - Z based on PJ</v>
      </c>
    </row>
    <row r="284" spans="3:20" x14ac:dyDescent="0.25">
      <c r="C284" s="188"/>
      <c r="D284" s="189"/>
      <c r="E284" s="189"/>
      <c r="F284" s="189"/>
      <c r="G284" s="189"/>
      <c r="H284" s="189"/>
      <c r="I284" s="189"/>
      <c r="J284" s="190"/>
    </row>
    <row r="285" spans="3:20" x14ac:dyDescent="0.25">
      <c r="C285" s="191"/>
      <c r="D285" s="192" t="s">
        <v>1424</v>
      </c>
      <c r="E285" s="192" t="s">
        <v>1425</v>
      </c>
      <c r="F285" s="192" t="s">
        <v>1426</v>
      </c>
      <c r="G285" s="192" t="s">
        <v>1427</v>
      </c>
      <c r="H285" s="192" t="s">
        <v>1428</v>
      </c>
      <c r="I285" s="192" t="s">
        <v>1429</v>
      </c>
      <c r="J285" s="221" t="s">
        <v>1430</v>
      </c>
    </row>
    <row r="286" spans="3:20" x14ac:dyDescent="0.25">
      <c r="C286" s="191"/>
      <c r="J286" s="195"/>
    </row>
    <row r="287" spans="3:20" ht="12" thickBot="1" x14ac:dyDescent="0.3">
      <c r="C287" s="220" t="s">
        <v>268</v>
      </c>
      <c r="D287" s="639">
        <f>H217</f>
        <v>-0.42469286635444242</v>
      </c>
      <c r="E287" s="640">
        <f>N219</f>
        <v>-0.21195707715891671</v>
      </c>
      <c r="F287" s="640">
        <f>F223</f>
        <v>-0.51326847991529345</v>
      </c>
      <c r="G287" s="640">
        <f>J229</f>
        <v>-0.6097560975609756</v>
      </c>
      <c r="H287" s="640">
        <f>P231</f>
        <v>-0.8</v>
      </c>
      <c r="I287" s="640">
        <f>I235</f>
        <v>-0.56310679611650483</v>
      </c>
      <c r="J287" s="641">
        <f>I237</f>
        <v>-0.54757281553398063</v>
      </c>
    </row>
    <row r="288" spans="3:20" ht="12" thickTop="1" x14ac:dyDescent="0.25">
      <c r="C288" s="220" t="s">
        <v>270</v>
      </c>
      <c r="D288" s="642">
        <f>H251</f>
        <v>-0.52451371418052406</v>
      </c>
      <c r="E288" s="643">
        <f>N253</f>
        <v>-0.21103344039297184</v>
      </c>
      <c r="F288" s="643">
        <f>F257</f>
        <v>-0.65025142107564493</v>
      </c>
      <c r="G288" s="643">
        <f>J263</f>
        <v>-0.82758620689655171</v>
      </c>
      <c r="H288" s="643">
        <f>P265</f>
        <v>-1</v>
      </c>
      <c r="I288" s="643">
        <f>I269</f>
        <v>-0.72351885098743263</v>
      </c>
      <c r="J288" s="644">
        <f>I271</f>
        <v>-0.43626570915619389</v>
      </c>
    </row>
    <row r="289" spans="3:11" x14ac:dyDescent="0.25">
      <c r="C289" s="196"/>
      <c r="D289" s="197"/>
      <c r="E289" s="197"/>
      <c r="F289" s="197"/>
      <c r="G289" s="197"/>
      <c r="H289" s="197"/>
      <c r="I289" s="197"/>
      <c r="J289" s="198"/>
    </row>
    <row r="292" spans="3:11" ht="28" x14ac:dyDescent="0.7">
      <c r="C292" s="43" t="str">
        <f>C14</f>
        <v>Table 7 - Mode shift (same time-of-day &amp; distance)</v>
      </c>
      <c r="I292" s="168" t="s">
        <v>196</v>
      </c>
    </row>
    <row r="293" spans="3:11" x14ac:dyDescent="0.25">
      <c r="C293" s="188"/>
      <c r="D293" s="189"/>
      <c r="E293" s="189"/>
      <c r="F293" s="189"/>
      <c r="G293" s="189"/>
      <c r="H293" s="189"/>
      <c r="I293" s="190"/>
    </row>
    <row r="294" spans="3:11" x14ac:dyDescent="0.25">
      <c r="C294" s="191"/>
      <c r="D294" s="261" t="s">
        <v>199</v>
      </c>
      <c r="E294" s="258" t="str">
        <f t="array" ref="E294:I294">TRANSPOSE(C296:C300)</f>
        <v>Rail</v>
      </c>
      <c r="F294" s="258" t="str">
        <v>Bus</v>
      </c>
      <c r="G294" s="258" t="str">
        <v>Ferry</v>
      </c>
      <c r="H294" s="258" t="str">
        <v>Light Rail</v>
      </c>
      <c r="I294" s="262" t="str">
        <v>Car</v>
      </c>
    </row>
    <row r="295" spans="3:11" x14ac:dyDescent="0.25">
      <c r="C295" s="263" t="s">
        <v>200</v>
      </c>
      <c r="I295" s="195"/>
    </row>
    <row r="296" spans="3:11" x14ac:dyDescent="0.25">
      <c r="C296" s="264" t="str">
        <f>'General inputs'!D29</f>
        <v>Rail</v>
      </c>
      <c r="E296" s="122">
        <v>1</v>
      </c>
      <c r="F296" s="122">
        <v>0</v>
      </c>
      <c r="G296" s="122">
        <v>0</v>
      </c>
      <c r="H296" s="122">
        <v>0</v>
      </c>
      <c r="I296" s="208">
        <v>0</v>
      </c>
      <c r="K296" s="162" t="s">
        <v>1423</v>
      </c>
    </row>
    <row r="297" spans="3:11" x14ac:dyDescent="0.25">
      <c r="C297" s="264" t="str">
        <f>'General inputs'!D37</f>
        <v>Bus</v>
      </c>
      <c r="E297" s="215">
        <f>SUM(E287:E288)/2</f>
        <v>-0.21149525877594427</v>
      </c>
      <c r="F297" s="122">
        <v>1</v>
      </c>
      <c r="G297" s="215">
        <f>SUM(H287:H288)/2</f>
        <v>-0.9</v>
      </c>
      <c r="H297" s="215">
        <f>SUM(J287:J288)/2</f>
        <v>-0.49191926234508726</v>
      </c>
      <c r="I297" s="208">
        <v>0</v>
      </c>
    </row>
    <row r="298" spans="3:11" x14ac:dyDescent="0.25">
      <c r="C298" s="264" t="str">
        <f>'General inputs'!D45</f>
        <v>Ferry</v>
      </c>
      <c r="E298" s="122">
        <v>0</v>
      </c>
      <c r="F298" s="122">
        <v>0</v>
      </c>
      <c r="G298" s="122">
        <v>1</v>
      </c>
      <c r="H298" s="122">
        <v>0</v>
      </c>
      <c r="I298" s="208">
        <v>0</v>
      </c>
    </row>
    <row r="299" spans="3:11" x14ac:dyDescent="0.25">
      <c r="C299" s="264" t="str">
        <f>'General inputs'!D53</f>
        <v>Light Rail</v>
      </c>
      <c r="E299" s="122">
        <v>0</v>
      </c>
      <c r="F299" s="122">
        <v>0</v>
      </c>
      <c r="G299" s="122">
        <v>0</v>
      </c>
      <c r="H299" s="122">
        <v>1</v>
      </c>
      <c r="I299" s="208">
        <v>0</v>
      </c>
    </row>
    <row r="300" spans="3:11" x14ac:dyDescent="0.25">
      <c r="C300" s="263" t="str">
        <f>'General inputs'!C74</f>
        <v>Car</v>
      </c>
      <c r="E300" s="215">
        <f>SUM(D287:D288)/2</f>
        <v>-0.47460329026748327</v>
      </c>
      <c r="F300" s="215">
        <f>SUM(F287:F288)/2</f>
        <v>-0.58175995049546914</v>
      </c>
      <c r="G300" s="215">
        <f>SUM(G287:G288)/2</f>
        <v>-0.71867115222876365</v>
      </c>
      <c r="H300" s="215">
        <f>SUM(I287:I288)/2</f>
        <v>-0.64331282355196873</v>
      </c>
      <c r="I300" s="208">
        <v>1</v>
      </c>
    </row>
    <row r="301" spans="3:11" x14ac:dyDescent="0.25">
      <c r="C301" s="196"/>
      <c r="D301" s="197"/>
      <c r="E301" s="197"/>
      <c r="F301" s="197"/>
      <c r="G301" s="197"/>
      <c r="H301" s="197"/>
      <c r="I301" s="198"/>
    </row>
    <row r="302" spans="3:11" x14ac:dyDescent="0.25">
      <c r="C302" s="189" t="s">
        <v>242</v>
      </c>
      <c r="D302" s="189"/>
      <c r="E302" s="189"/>
      <c r="F302" s="189"/>
      <c r="G302" s="189"/>
      <c r="H302" s="189"/>
      <c r="I302" s="189"/>
    </row>
    <row r="303" spans="3:11" x14ac:dyDescent="0.25">
      <c r="C303" t="s">
        <v>243</v>
      </c>
    </row>
  </sheetData>
  <pageMargins left="0.7" right="0.7" top="0.75" bottom="0.75"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BEED9-922D-4F15-8098-53408A07F8E1}">
  <sheetPr codeName="Sheet14"/>
  <dimension ref="A1:AJ249"/>
  <sheetViews>
    <sheetView showGridLines="0" workbookViewId="0"/>
  </sheetViews>
  <sheetFormatPr defaultRowHeight="11.5" x14ac:dyDescent="0.25"/>
  <cols>
    <col min="1" max="2" width="3.69921875" customWidth="1"/>
    <col min="3" max="3" width="20.3984375" customWidth="1"/>
    <col min="4" max="4" width="13.69921875" customWidth="1"/>
    <col min="5" max="8" width="15.69921875" customWidth="1"/>
    <col min="9" max="11" width="13.69921875" customWidth="1"/>
    <col min="12" max="17" width="10.69921875" customWidth="1"/>
  </cols>
  <sheetData>
    <row r="1" spans="1:36" x14ac:dyDescent="0.25">
      <c r="A1" s="347"/>
      <c r="C1" s="42" t="str">
        <f>'Fare optimisation'!$C$1</f>
        <v>Fare Optimisation Model for the 2025 Opal Review - Independent Pricing and Regulatory Tribunal of NSW</v>
      </c>
    </row>
    <row r="4" spans="1:36" ht="23" x14ac:dyDescent="0.5">
      <c r="C4" s="184" t="s">
        <v>1417</v>
      </c>
    </row>
    <row r="7" spans="1:36" x14ac:dyDescent="0.25">
      <c r="C7" s="11" t="s">
        <v>225</v>
      </c>
      <c r="D7" s="11"/>
      <c r="E7" s="11"/>
      <c r="F7" s="11"/>
      <c r="G7" s="11"/>
      <c r="H7" s="11"/>
      <c r="I7" s="11"/>
      <c r="J7" s="11"/>
      <c r="K7" s="185" t="s">
        <v>226</v>
      </c>
    </row>
    <row r="8" spans="1:36" x14ac:dyDescent="0.25">
      <c r="B8" s="186">
        <v>1</v>
      </c>
      <c r="C8" s="187" t="str">
        <f>"Table "&amp;B8&amp;" - Marginal external costs of congestion calculations ($, $2022-23)"</f>
        <v>Table 1 - Marginal external costs of congestion calculations ($, $2022-23)</v>
      </c>
      <c r="D8" s="187"/>
      <c r="E8" s="187"/>
      <c r="F8" s="187"/>
      <c r="G8" s="187"/>
      <c r="H8" s="187"/>
      <c r="I8" s="187"/>
      <c r="J8" s="187"/>
      <c r="K8" s="187">
        <f>ROW(C18)</f>
        <v>18</v>
      </c>
    </row>
    <row r="9" spans="1:36" x14ac:dyDescent="0.25">
      <c r="B9" s="272">
        <f>B8+1</f>
        <v>2</v>
      </c>
      <c r="C9" s="11" t="str">
        <f>"Table "&amp;B9&amp;" - Traffic volume and speed analysis"</f>
        <v>Table 2 - Traffic volume and speed analysis</v>
      </c>
      <c r="D9" s="11"/>
      <c r="E9" s="11"/>
      <c r="F9" s="11"/>
      <c r="G9" s="11"/>
      <c r="H9" s="11"/>
      <c r="I9" s="11"/>
      <c r="J9" s="11"/>
      <c r="K9" s="11">
        <f>ROW(C40)</f>
        <v>40</v>
      </c>
    </row>
    <row r="10" spans="1:36" x14ac:dyDescent="0.25">
      <c r="B10" s="468">
        <f>B9+1</f>
        <v>3</v>
      </c>
      <c r="C10" s="209" t="str">
        <f>"Table "&amp;B10&amp;" - Station identifier calculations"</f>
        <v>Table 3 - Station identifier calculations</v>
      </c>
      <c r="D10" s="209"/>
      <c r="E10" s="209"/>
      <c r="F10" s="209"/>
      <c r="G10" s="209"/>
      <c r="H10" s="209"/>
      <c r="I10" s="209"/>
      <c r="J10" s="209"/>
      <c r="K10" s="209">
        <f>ROW(C142)</f>
        <v>142</v>
      </c>
    </row>
    <row r="13" spans="1:36" x14ac:dyDescent="0.25">
      <c r="B13" s="563"/>
      <c r="C13" s="563"/>
      <c r="D13" s="563"/>
      <c r="E13" s="563"/>
      <c r="F13" s="563"/>
      <c r="G13" s="563"/>
      <c r="H13" s="563"/>
      <c r="I13" s="563"/>
      <c r="J13" s="563"/>
      <c r="K13" s="563"/>
      <c r="L13" s="564"/>
      <c r="M13" s="564"/>
      <c r="N13" s="564"/>
      <c r="O13" s="564"/>
      <c r="P13" s="564"/>
      <c r="Q13" s="564"/>
      <c r="R13" s="564"/>
      <c r="S13" s="564"/>
      <c r="T13" s="564"/>
      <c r="U13" s="564"/>
      <c r="V13" s="564"/>
      <c r="W13" s="564"/>
      <c r="X13" s="564"/>
      <c r="Y13" s="564"/>
      <c r="Z13" s="564"/>
      <c r="AA13" s="564"/>
      <c r="AB13" s="564"/>
      <c r="AC13" s="564"/>
      <c r="AD13" s="564"/>
      <c r="AE13" s="564"/>
      <c r="AF13" s="564"/>
      <c r="AG13" s="564"/>
      <c r="AH13" s="564"/>
      <c r="AI13" s="564"/>
      <c r="AJ13" s="564"/>
    </row>
    <row r="15" spans="1:36" ht="20" x14ac:dyDescent="0.4">
      <c r="C15" s="26" t="s">
        <v>257</v>
      </c>
    </row>
    <row r="18" spans="3:8" ht="15.5" x14ac:dyDescent="0.35">
      <c r="C18" s="43" t="str">
        <f>C8</f>
        <v>Table 1 - Marginal external costs of congestion calculations ($, $2022-23)</v>
      </c>
    </row>
    <row r="19" spans="3:8" x14ac:dyDescent="0.25">
      <c r="C19" s="188"/>
      <c r="D19" s="189"/>
      <c r="E19" s="189"/>
      <c r="F19" s="189"/>
      <c r="G19" s="189"/>
      <c r="H19" s="190"/>
    </row>
    <row r="20" spans="3:8" x14ac:dyDescent="0.25">
      <c r="C20" s="220" t="s">
        <v>1471</v>
      </c>
      <c r="D20" s="531">
        <f t="array" ref="D20:F20">LINEST(G108:G117,E108:E117^{1,2})</f>
        <v>4.2855470831604414E-9</v>
      </c>
      <c r="E20" s="531">
        <v>-1.5912028882243058E-6</v>
      </c>
      <c r="F20" s="531">
        <v>2.0076918963053258E-2</v>
      </c>
      <c r="H20" s="195"/>
    </row>
    <row r="21" spans="3:8" x14ac:dyDescent="0.25">
      <c r="C21" s="191"/>
      <c r="H21" s="195"/>
    </row>
    <row r="22" spans="3:8" x14ac:dyDescent="0.25">
      <c r="C22" s="191"/>
      <c r="D22" s="163" t="s">
        <v>704</v>
      </c>
      <c r="E22" s="163" t="s">
        <v>705</v>
      </c>
      <c r="F22" s="163" t="s">
        <v>706</v>
      </c>
      <c r="G22" s="163" t="s">
        <v>705</v>
      </c>
      <c r="H22" s="193" t="s">
        <v>707</v>
      </c>
    </row>
    <row r="23" spans="3:8" ht="12" thickBot="1" x14ac:dyDescent="0.3">
      <c r="C23" s="191" t="s">
        <v>197</v>
      </c>
      <c r="D23" s="645">
        <f>D56</f>
        <v>1147.1702586206898</v>
      </c>
      <c r="E23" s="645">
        <f>1/D83</f>
        <v>2.3768651789251288E-2</v>
      </c>
      <c r="F23" s="215" cm="1">
        <f t="array" ref="F23">AVERAGE('STM inputs'!$F$25:$U$28/'STM inputs'!$F$20:$U$23)</f>
        <v>10.288095753453474</v>
      </c>
      <c r="G23" s="278">
        <f>D23*(2*$D$20*D23+$E$20)</f>
        <v>9.4541758850421095E-3</v>
      </c>
      <c r="H23" s="532">
        <f>F23*G23*'Scenario Analysis'!$I$91</f>
        <v>1.9453093355060793</v>
      </c>
    </row>
    <row r="24" spans="3:8" ht="12" thickTop="1" x14ac:dyDescent="0.25">
      <c r="C24" s="191" t="s">
        <v>198</v>
      </c>
      <c r="D24" s="167">
        <f>D55</f>
        <v>485.24407327586209</v>
      </c>
      <c r="E24" s="167">
        <f>1/D82</f>
        <v>2.0324175983706248E-2</v>
      </c>
      <c r="F24" s="215" cm="1">
        <f t="array" ref="F24">AVERAGE('STM inputs'!$F$25:$U$28/'STM inputs'!$F$20:$U$23)</f>
        <v>10.288095753453474</v>
      </c>
      <c r="G24" s="278">
        <f>D24*(2*$D$20*D24+$E$20)</f>
        <v>1.2460435807577198E-3</v>
      </c>
      <c r="H24" s="532">
        <f>F24*G24*'Scenario Analysis'!$I$91</f>
        <v>0.25638831343622914</v>
      </c>
    </row>
    <row r="25" spans="3:8" x14ac:dyDescent="0.25">
      <c r="C25" s="191"/>
      <c r="H25" s="195"/>
    </row>
    <row r="26" spans="3:8" x14ac:dyDescent="0.25">
      <c r="C26" s="191"/>
      <c r="H26" s="195"/>
    </row>
    <row r="27" spans="3:8" x14ac:dyDescent="0.25">
      <c r="C27" s="220" t="s">
        <v>1472</v>
      </c>
      <c r="D27">
        <f t="array" ref="D27:F27">LINEST(G118:G134,E118:E134^{1,2})</f>
        <v>4.9894500386098524E-9</v>
      </c>
      <c r="E27">
        <v>-2.2376808920042101E-6</v>
      </c>
      <c r="F27">
        <v>2.0272524706814531E-2</v>
      </c>
      <c r="H27" s="195"/>
    </row>
    <row r="28" spans="3:8" x14ac:dyDescent="0.25">
      <c r="C28" s="191"/>
      <c r="H28" s="195"/>
    </row>
    <row r="29" spans="3:8" x14ac:dyDescent="0.25">
      <c r="C29" s="191"/>
      <c r="D29" s="163" t="s">
        <v>704</v>
      </c>
      <c r="E29" s="163" t="s">
        <v>705</v>
      </c>
      <c r="F29" s="163" t="s">
        <v>706</v>
      </c>
      <c r="G29" s="163" t="s">
        <v>705</v>
      </c>
      <c r="H29" s="193" t="s">
        <v>707</v>
      </c>
    </row>
    <row r="30" spans="3:8" ht="12" thickBot="1" x14ac:dyDescent="0.3">
      <c r="C30" s="191" t="s">
        <v>197</v>
      </c>
      <c r="D30" s="645">
        <f>H56</f>
        <v>1026.3568376068376</v>
      </c>
      <c r="E30" s="645">
        <f>1/H83</f>
        <v>2.3273913480623069E-2</v>
      </c>
      <c r="F30" s="215" cm="1">
        <f t="array" ref="F30">AVERAGE('STM inputs'!$F$25:$U$28/'STM inputs'!$F$20:$U$23)</f>
        <v>10.288095753453474</v>
      </c>
      <c r="G30" s="278">
        <f>D30*(2*$D$27*D30+$E$27)</f>
        <v>8.2151976621203191E-3</v>
      </c>
      <c r="H30" s="532">
        <f>F30*G30*'Scenario Analysis'!$I$91</f>
        <v>1.6903748036288193</v>
      </c>
    </row>
    <row r="31" spans="3:8" ht="12" thickTop="1" x14ac:dyDescent="0.25">
      <c r="C31" s="191" t="s">
        <v>198</v>
      </c>
      <c r="D31" s="167">
        <f>H55</f>
        <v>432.696047008547</v>
      </c>
      <c r="E31" s="167">
        <f>1/H82</f>
        <v>2.0267498552900602E-2</v>
      </c>
      <c r="F31" s="215" cm="1">
        <f t="array" ref="F31">AVERAGE('STM inputs'!$F$25:$U$28/'STM inputs'!$F$20:$U$23)</f>
        <v>10.288095753453474</v>
      </c>
      <c r="G31" s="278">
        <f>D31*(2*$D$27*D31+$E$27)</f>
        <v>9.0007256315102931E-4</v>
      </c>
      <c r="H31" s="532">
        <f>F31*G31*'Scenario Analysis'!$I$91</f>
        <v>0.18520065429508178</v>
      </c>
    </row>
    <row r="32" spans="3:8" x14ac:dyDescent="0.25">
      <c r="C32" s="196"/>
      <c r="D32" s="197"/>
      <c r="E32" s="197"/>
      <c r="F32" s="197"/>
      <c r="G32" s="197"/>
      <c r="H32" s="198"/>
    </row>
    <row r="35" spans="2:36" x14ac:dyDescent="0.25">
      <c r="B35" s="563"/>
      <c r="C35" s="563"/>
      <c r="D35" s="563"/>
      <c r="E35" s="563"/>
      <c r="F35" s="563"/>
      <c r="G35" s="563"/>
      <c r="H35" s="563"/>
      <c r="I35" s="563"/>
      <c r="J35" s="563"/>
      <c r="K35" s="563"/>
      <c r="L35" s="564"/>
      <c r="M35" s="564"/>
      <c r="N35" s="564"/>
      <c r="O35" s="564"/>
      <c r="P35" s="564"/>
      <c r="Q35" s="564"/>
      <c r="R35" s="564"/>
      <c r="S35" s="564"/>
      <c r="T35" s="564"/>
      <c r="U35" s="564"/>
      <c r="V35" s="564"/>
      <c r="W35" s="564"/>
      <c r="X35" s="564"/>
      <c r="Y35" s="564"/>
      <c r="Z35" s="564"/>
      <c r="AA35" s="564"/>
      <c r="AB35" s="564"/>
      <c r="AC35" s="564"/>
      <c r="AD35" s="564"/>
      <c r="AE35" s="564"/>
      <c r="AF35" s="564"/>
      <c r="AG35" s="564"/>
      <c r="AH35" s="564"/>
      <c r="AI35" s="564"/>
      <c r="AJ35" s="564"/>
    </row>
    <row r="37" spans="2:36" ht="20" x14ac:dyDescent="0.4">
      <c r="C37" s="26" t="s">
        <v>677</v>
      </c>
    </row>
    <row r="40" spans="2:36" ht="15.5" x14ac:dyDescent="0.35">
      <c r="C40" s="43" t="str">
        <f>C9</f>
        <v>Table 2 - Traffic volume and speed analysis</v>
      </c>
    </row>
    <row r="41" spans="2:36" x14ac:dyDescent="0.25">
      <c r="C41" s="188"/>
      <c r="D41" s="189"/>
      <c r="E41" s="189"/>
      <c r="F41" s="189"/>
      <c r="G41" s="189"/>
      <c r="H41" s="189"/>
      <c r="I41" s="189"/>
      <c r="J41" s="190"/>
    </row>
    <row r="42" spans="2:36" x14ac:dyDescent="0.25">
      <c r="C42" s="191" t="s">
        <v>708</v>
      </c>
      <c r="J42" s="195"/>
    </row>
    <row r="43" spans="2:36" x14ac:dyDescent="0.25">
      <c r="C43" s="191"/>
      <c r="J43" s="195"/>
    </row>
    <row r="44" spans="2:36" x14ac:dyDescent="0.25">
      <c r="C44" s="204" t="s">
        <v>709</v>
      </c>
      <c r="E44" s="214">
        <v>4</v>
      </c>
      <c r="J44" s="195"/>
    </row>
    <row r="45" spans="2:36" x14ac:dyDescent="0.25">
      <c r="C45" s="204" t="s">
        <v>710</v>
      </c>
      <c r="E45" s="214">
        <v>16</v>
      </c>
      <c r="J45" s="195"/>
    </row>
    <row r="46" spans="2:36" x14ac:dyDescent="0.25">
      <c r="C46" s="204" t="s">
        <v>711</v>
      </c>
      <c r="E46" s="214">
        <v>4</v>
      </c>
      <c r="J46" s="195"/>
    </row>
    <row r="47" spans="2:36" x14ac:dyDescent="0.25">
      <c r="C47" s="204" t="s">
        <v>712</v>
      </c>
      <c r="E47" s="214">
        <v>24</v>
      </c>
      <c r="J47" s="195"/>
    </row>
    <row r="48" spans="2:36" x14ac:dyDescent="0.25">
      <c r="C48" s="204" t="s">
        <v>713</v>
      </c>
      <c r="E48" s="214">
        <v>48</v>
      </c>
      <c r="J48" s="195"/>
    </row>
    <row r="49" spans="3:10" x14ac:dyDescent="0.25">
      <c r="C49" s="191"/>
      <c r="J49" s="195"/>
    </row>
    <row r="50" spans="3:10" x14ac:dyDescent="0.25">
      <c r="C50" s="191"/>
      <c r="D50" s="42">
        <v>2018</v>
      </c>
      <c r="E50" s="42">
        <f t="shared" ref="E50:J50" si="0">D50+1</f>
        <v>2019</v>
      </c>
      <c r="F50" s="42">
        <f t="shared" si="0"/>
        <v>2020</v>
      </c>
      <c r="G50" s="42">
        <f t="shared" si="0"/>
        <v>2021</v>
      </c>
      <c r="H50" s="42">
        <f t="shared" si="0"/>
        <v>2022</v>
      </c>
      <c r="I50" s="42">
        <f t="shared" si="0"/>
        <v>2023</v>
      </c>
      <c r="J50" s="304">
        <f t="shared" si="0"/>
        <v>2024</v>
      </c>
    </row>
    <row r="51" spans="3:10" x14ac:dyDescent="0.25">
      <c r="C51" s="191"/>
      <c r="J51" s="195"/>
    </row>
    <row r="52" spans="3:10" x14ac:dyDescent="0.25">
      <c r="C52" s="220" t="s">
        <v>714</v>
      </c>
      <c r="J52" s="195"/>
    </row>
    <row r="53" spans="3:10" x14ac:dyDescent="0.25">
      <c r="C53" s="191"/>
      <c r="J53" s="195"/>
    </row>
    <row r="54" spans="3:10" x14ac:dyDescent="0.25">
      <c r="C54" s="191" t="str">
        <f>C44</f>
        <v>AM PEAK</v>
      </c>
      <c r="D54" s="194">
        <f>IFERROR(D62/D70/$E44,0)</f>
        <v>1048.0905172413793</v>
      </c>
      <c r="E54" s="194">
        <f t="shared" ref="E54:J54" si="1">IFERROR(E62/E70/$E44,0)</f>
        <v>1014.9273504273505</v>
      </c>
      <c r="F54" s="194">
        <f t="shared" si="1"/>
        <v>904.57051282051282</v>
      </c>
      <c r="G54" s="194">
        <f t="shared" si="1"/>
        <v>882.14743589743591</v>
      </c>
      <c r="H54" s="194">
        <f t="shared" si="1"/>
        <v>919.37179487179492</v>
      </c>
      <c r="I54" s="194">
        <f t="shared" si="1"/>
        <v>918.14957264957263</v>
      </c>
      <c r="J54" s="235">
        <f t="shared" si="1"/>
        <v>858.195652173913</v>
      </c>
    </row>
    <row r="55" spans="3:10" x14ac:dyDescent="0.25">
      <c r="C55" s="191" t="str">
        <f>C45</f>
        <v>OFF PEAK</v>
      </c>
      <c r="D55" s="194">
        <f t="shared" ref="D55:J55" si="2">IFERROR(D63/D71/$E45,0)</f>
        <v>485.24407327586209</v>
      </c>
      <c r="E55" s="194">
        <f t="shared" si="2"/>
        <v>471.32638888888891</v>
      </c>
      <c r="F55" s="194">
        <f t="shared" si="2"/>
        <v>421.48664529914532</v>
      </c>
      <c r="G55" s="194">
        <f t="shared" si="2"/>
        <v>406.1773504273504</v>
      </c>
      <c r="H55" s="194">
        <f t="shared" si="2"/>
        <v>432.696047008547</v>
      </c>
      <c r="I55" s="194">
        <f t="shared" si="2"/>
        <v>434.14636752136749</v>
      </c>
      <c r="J55" s="235">
        <f t="shared" si="2"/>
        <v>427.16847826086956</v>
      </c>
    </row>
    <row r="56" spans="3:10" x14ac:dyDescent="0.25">
      <c r="C56" s="191" t="str">
        <f>C46</f>
        <v>PM PEAK</v>
      </c>
      <c r="D56" s="194">
        <f t="shared" ref="D56:J56" si="3">IFERROR(D64/D72/$E46,0)</f>
        <v>1147.1702586206898</v>
      </c>
      <c r="E56" s="194">
        <f t="shared" si="3"/>
        <v>1101.9679487179487</v>
      </c>
      <c r="F56" s="194">
        <f t="shared" si="3"/>
        <v>1008.2200854700855</v>
      </c>
      <c r="G56" s="194">
        <f t="shared" si="3"/>
        <v>971.45085470085473</v>
      </c>
      <c r="H56" s="194">
        <f t="shared" si="3"/>
        <v>1026.3568376068376</v>
      </c>
      <c r="I56" s="194">
        <f t="shared" si="3"/>
        <v>1032.7072649572649</v>
      </c>
      <c r="J56" s="235">
        <f t="shared" si="3"/>
        <v>989.26086956521738</v>
      </c>
    </row>
    <row r="57" spans="3:10" x14ac:dyDescent="0.25">
      <c r="C57" s="191" t="str">
        <f>C47</f>
        <v>PUBLIC HOLIDAYS</v>
      </c>
      <c r="D57" s="194">
        <f t="shared" ref="D57:J57" si="4">IFERROR(D65/D73/$E47,0)</f>
        <v>540.14727011494256</v>
      </c>
      <c r="E57" s="194">
        <f t="shared" si="4"/>
        <v>534.19764957264954</v>
      </c>
      <c r="F57" s="194">
        <f t="shared" si="4"/>
        <v>394.96992753623186</v>
      </c>
      <c r="G57" s="194">
        <f t="shared" si="4"/>
        <v>0</v>
      </c>
      <c r="H57" s="194">
        <f t="shared" si="4"/>
        <v>0</v>
      </c>
      <c r="I57" s="194">
        <f t="shared" si="4"/>
        <v>0</v>
      </c>
      <c r="J57" s="235">
        <f t="shared" si="4"/>
        <v>0</v>
      </c>
    </row>
    <row r="58" spans="3:10" x14ac:dyDescent="0.25">
      <c r="C58" s="191" t="str">
        <f>C48</f>
        <v>WEEKENDS</v>
      </c>
      <c r="D58" s="194">
        <f t="shared" ref="D58:J58" si="5">IFERROR(D66/D74/$E48,0)</f>
        <v>317.43211206896552</v>
      </c>
      <c r="E58" s="194">
        <f t="shared" si="5"/>
        <v>305.26495726495727</v>
      </c>
      <c r="F58" s="194">
        <f t="shared" si="5"/>
        <v>263.47720797720797</v>
      </c>
      <c r="G58" s="194">
        <f t="shared" si="5"/>
        <v>247.96225071225072</v>
      </c>
      <c r="H58" s="194">
        <f t="shared" si="5"/>
        <v>282.70014245014244</v>
      </c>
      <c r="I58" s="194">
        <f t="shared" si="5"/>
        <v>284.16361350574715</v>
      </c>
      <c r="J58" s="235">
        <f t="shared" si="5"/>
        <v>283.97101449275362</v>
      </c>
    </row>
    <row r="59" spans="3:10" x14ac:dyDescent="0.25">
      <c r="C59" s="191"/>
      <c r="J59" s="195"/>
    </row>
    <row r="60" spans="3:10" x14ac:dyDescent="0.25">
      <c r="C60" s="220" t="s">
        <v>715</v>
      </c>
      <c r="J60" s="195"/>
    </row>
    <row r="61" spans="3:10" x14ac:dyDescent="0.25">
      <c r="C61" s="191"/>
      <c r="J61" s="195"/>
    </row>
    <row r="62" spans="3:10" x14ac:dyDescent="0.25">
      <c r="C62" s="191" t="str">
        <f>C54</f>
        <v>AM PEAK</v>
      </c>
      <c r="D62" s="194">
        <f>SUMIF('Congestion inputs'!$P$276:$P$4366,D$50&amp;$C62,'Congestion inputs'!$K$276:$K$4366)</f>
        <v>486314</v>
      </c>
      <c r="E62" s="194">
        <f>SUMIF('Congestion inputs'!$P$276:$P$4366,E$50&amp;$C62,'Congestion inputs'!$K$276:$K$4366)</f>
        <v>474986</v>
      </c>
      <c r="F62" s="194">
        <f>SUMIF('Congestion inputs'!$P$276:$P$4366,F$50&amp;$C62,'Congestion inputs'!$K$276:$K$4366)</f>
        <v>423339</v>
      </c>
      <c r="G62" s="194">
        <f>SUMIF('Congestion inputs'!$P$276:$P$4366,G$50&amp;$C62,'Congestion inputs'!$K$276:$K$4366)</f>
        <v>412845</v>
      </c>
      <c r="H62" s="194">
        <f>SUMIF('Congestion inputs'!$P$276:$P$4366,H$50&amp;$C62,'Congestion inputs'!$K$276:$K$4366)</f>
        <v>430266</v>
      </c>
      <c r="I62" s="194">
        <f>SUMIF('Congestion inputs'!$P$276:$P$4366,I$50&amp;$C62,'Congestion inputs'!$K$276:$K$4366)</f>
        <v>429694</v>
      </c>
      <c r="J62" s="235">
        <f>SUMIF('Congestion inputs'!$P$276:$P$4366,J$50&amp;$C62,'Congestion inputs'!$K$276:$K$4366)</f>
        <v>315816</v>
      </c>
    </row>
    <row r="63" spans="3:10" x14ac:dyDescent="0.25">
      <c r="C63" s="191" t="str">
        <f>C55</f>
        <v>OFF PEAK</v>
      </c>
      <c r="D63" s="194">
        <f>SUMIF('Congestion inputs'!$P$276:$P$4366,D$50&amp;$C63,'Congestion inputs'!$K$276:$K$4366)</f>
        <v>900613</v>
      </c>
      <c r="E63" s="194">
        <f>SUMIF('Congestion inputs'!$P$276:$P$4366,E$50&amp;$C63,'Congestion inputs'!$K$276:$K$4366)</f>
        <v>882323</v>
      </c>
      <c r="F63" s="194">
        <f>SUMIF('Congestion inputs'!$P$276:$P$4366,F$50&amp;$C63,'Congestion inputs'!$K$276:$K$4366)</f>
        <v>789023</v>
      </c>
      <c r="G63" s="194">
        <f>SUMIF('Congestion inputs'!$P$276:$P$4366,G$50&amp;$C63,'Congestion inputs'!$K$276:$K$4366)</f>
        <v>760364</v>
      </c>
      <c r="H63" s="194">
        <f>SUMIF('Congestion inputs'!$P$276:$P$4366,H$50&amp;$C63,'Congestion inputs'!$K$276:$K$4366)</f>
        <v>810007</v>
      </c>
      <c r="I63" s="194">
        <f>SUMIF('Congestion inputs'!$P$276:$P$4366,I$50&amp;$C63,'Congestion inputs'!$K$276:$K$4366)</f>
        <v>812722</v>
      </c>
      <c r="J63" s="235">
        <f>SUMIF('Congestion inputs'!$P$276:$P$4366,J$50&amp;$C63,'Congestion inputs'!$K$276:$K$4366)</f>
        <v>628792</v>
      </c>
    </row>
    <row r="64" spans="3:10" x14ac:dyDescent="0.25">
      <c r="C64" s="191" t="str">
        <f>C56</f>
        <v>PM PEAK</v>
      </c>
      <c r="D64" s="194">
        <f>SUMIF('Congestion inputs'!$P$276:$P$4366,D$50&amp;$C64,'Congestion inputs'!$K$276:$K$4366)</f>
        <v>532287</v>
      </c>
      <c r="E64" s="194">
        <f>SUMIF('Congestion inputs'!$P$276:$P$4366,E$50&amp;$C64,'Congestion inputs'!$K$276:$K$4366)</f>
        <v>515721</v>
      </c>
      <c r="F64" s="194">
        <f>SUMIF('Congestion inputs'!$P$276:$P$4366,F$50&amp;$C64,'Congestion inputs'!$K$276:$K$4366)</f>
        <v>471847</v>
      </c>
      <c r="G64" s="194">
        <f>SUMIF('Congestion inputs'!$P$276:$P$4366,G$50&amp;$C64,'Congestion inputs'!$K$276:$K$4366)</f>
        <v>454639</v>
      </c>
      <c r="H64" s="194">
        <f>SUMIF('Congestion inputs'!$P$276:$P$4366,H$50&amp;$C64,'Congestion inputs'!$K$276:$K$4366)</f>
        <v>480335</v>
      </c>
      <c r="I64" s="194">
        <f>SUMIF('Congestion inputs'!$P$276:$P$4366,I$50&amp;$C64,'Congestion inputs'!$K$276:$K$4366)</f>
        <v>483307</v>
      </c>
      <c r="J64" s="235">
        <f>SUMIF('Congestion inputs'!$P$276:$P$4366,J$50&amp;$C64,'Congestion inputs'!$K$276:$K$4366)</f>
        <v>364048</v>
      </c>
    </row>
    <row r="65" spans="3:10" x14ac:dyDescent="0.25">
      <c r="C65" s="191" t="str">
        <f>C57</f>
        <v>PUBLIC HOLIDAYS</v>
      </c>
      <c r="D65" s="194">
        <f>SUMIF('Congestion inputs'!$P$276:$P$4366,D$50&amp;$C65,'Congestion inputs'!$K$276:$K$4366)</f>
        <v>1503770</v>
      </c>
      <c r="E65" s="194">
        <f>SUMIF('Congestion inputs'!$P$276:$P$4366,E$50&amp;$C65,'Congestion inputs'!$K$276:$K$4366)</f>
        <v>1500027</v>
      </c>
      <c r="F65" s="194">
        <f>SUMIF('Congestion inputs'!$P$276:$P$4366,F$50&amp;$C65,'Congestion inputs'!$K$276:$K$4366)</f>
        <v>1090117</v>
      </c>
      <c r="G65" s="194">
        <f>SUMIF('Congestion inputs'!$P$276:$P$4366,G$50&amp;$C65,'Congestion inputs'!$K$276:$K$4366)</f>
        <v>0</v>
      </c>
      <c r="H65" s="194">
        <f>SUMIF('Congestion inputs'!$P$276:$P$4366,H$50&amp;$C65,'Congestion inputs'!$K$276:$K$4366)</f>
        <v>0</v>
      </c>
      <c r="I65" s="194">
        <f>SUMIF('Congestion inputs'!$P$276:$P$4366,I$50&amp;$C65,'Congestion inputs'!$K$276:$K$4366)</f>
        <v>0</v>
      </c>
      <c r="J65" s="235">
        <f>SUMIF('Congestion inputs'!$P$276:$P$4366,J$50&amp;$C65,'Congestion inputs'!$K$276:$K$4366)</f>
        <v>0</v>
      </c>
    </row>
    <row r="66" spans="3:10" x14ac:dyDescent="0.25">
      <c r="C66" s="191" t="str">
        <f>C58</f>
        <v>WEEKENDS</v>
      </c>
      <c r="D66" s="194">
        <f>SUMIF('Congestion inputs'!$P$276:$P$4366,D$50&amp;$C66,'Congestion inputs'!$K$276:$K$4366)</f>
        <v>1767462</v>
      </c>
      <c r="E66" s="194">
        <f>SUMIF('Congestion inputs'!$P$276:$P$4366,E$50&amp;$C66,'Congestion inputs'!$K$276:$K$4366)</f>
        <v>1714368</v>
      </c>
      <c r="F66" s="194">
        <f>SUMIF('Congestion inputs'!$P$276:$P$4366,F$50&amp;$C66,'Congestion inputs'!$K$276:$K$4366)</f>
        <v>1479688</v>
      </c>
      <c r="G66" s="194">
        <f>SUMIF('Congestion inputs'!$P$276:$P$4366,G$50&amp;$C66,'Congestion inputs'!$K$276:$K$4366)</f>
        <v>1392556</v>
      </c>
      <c r="H66" s="194">
        <f>SUMIF('Congestion inputs'!$P$276:$P$4366,H$50&amp;$C66,'Congestion inputs'!$K$276:$K$4366)</f>
        <v>1587644</v>
      </c>
      <c r="I66" s="194">
        <f>SUMIF('Congestion inputs'!$P$276:$P$4366,I$50&amp;$C66,'Congestion inputs'!$K$276:$K$4366)</f>
        <v>1582223</v>
      </c>
      <c r="J66" s="235">
        <f>SUMIF('Congestion inputs'!$P$276:$P$4366,J$50&amp;$C66,'Congestion inputs'!$K$276:$K$4366)</f>
        <v>1254016</v>
      </c>
    </row>
    <row r="67" spans="3:10" x14ac:dyDescent="0.25">
      <c r="C67" s="191"/>
      <c r="J67" s="195"/>
    </row>
    <row r="68" spans="3:10" x14ac:dyDescent="0.25">
      <c r="C68" s="220" t="s">
        <v>716</v>
      </c>
      <c r="J68" s="195"/>
    </row>
    <row r="69" spans="3:10" x14ac:dyDescent="0.25">
      <c r="C69" s="191"/>
      <c r="J69" s="195"/>
    </row>
    <row r="70" spans="3:10" x14ac:dyDescent="0.25">
      <c r="C70" s="191" t="str">
        <f>C62</f>
        <v>AM PEAK</v>
      </c>
      <c r="D70" s="194">
        <f>COUNTIF('Congestion inputs'!$P$276:$P$4366,D$50&amp;$C70)</f>
        <v>116</v>
      </c>
      <c r="E70" s="194">
        <f>COUNTIF('Congestion inputs'!$P$276:$P$4366,E$50&amp;$C70)</f>
        <v>117</v>
      </c>
      <c r="F70" s="194">
        <f>COUNTIF('Congestion inputs'!$P$276:$P$4366,F$50&amp;$C70)</f>
        <v>117</v>
      </c>
      <c r="G70" s="194">
        <f>COUNTIF('Congestion inputs'!$P$276:$P$4366,G$50&amp;$C70)</f>
        <v>117</v>
      </c>
      <c r="H70" s="194">
        <f>COUNTIF('Congestion inputs'!$P$276:$P$4366,H$50&amp;$C70)</f>
        <v>117</v>
      </c>
      <c r="I70" s="194">
        <f>COUNTIF('Congestion inputs'!$P$276:$P$4366,I$50&amp;$C70)</f>
        <v>117</v>
      </c>
      <c r="J70" s="235">
        <f>COUNTIF('Congestion inputs'!$P$276:$P$4366,J$50&amp;$C70)</f>
        <v>92</v>
      </c>
    </row>
    <row r="71" spans="3:10" x14ac:dyDescent="0.25">
      <c r="C71" s="191" t="str">
        <f>C63</f>
        <v>OFF PEAK</v>
      </c>
      <c r="D71" s="194">
        <f>COUNTIF('Congestion inputs'!$P$276:$P$4366,D$50&amp;$C71)</f>
        <v>116</v>
      </c>
      <c r="E71" s="194">
        <f>COUNTIF('Congestion inputs'!$P$276:$P$4366,E$50&amp;$C71)</f>
        <v>117</v>
      </c>
      <c r="F71" s="194">
        <f>COUNTIF('Congestion inputs'!$P$276:$P$4366,F$50&amp;$C71)</f>
        <v>117</v>
      </c>
      <c r="G71" s="194">
        <f>COUNTIF('Congestion inputs'!$P$276:$P$4366,G$50&amp;$C71)</f>
        <v>117</v>
      </c>
      <c r="H71" s="194">
        <f>COUNTIF('Congestion inputs'!$P$276:$P$4366,H$50&amp;$C71)</f>
        <v>117</v>
      </c>
      <c r="I71" s="194">
        <f>COUNTIF('Congestion inputs'!$P$276:$P$4366,I$50&amp;$C71)</f>
        <v>117</v>
      </c>
      <c r="J71" s="235">
        <f>COUNTIF('Congestion inputs'!$P$276:$P$4366,J$50&amp;$C71)</f>
        <v>92</v>
      </c>
    </row>
    <row r="72" spans="3:10" x14ac:dyDescent="0.25">
      <c r="C72" s="191" t="str">
        <f>C64</f>
        <v>PM PEAK</v>
      </c>
      <c r="D72" s="194">
        <f>COUNTIF('Congestion inputs'!$P$276:$P$4366,D$50&amp;$C72)</f>
        <v>116</v>
      </c>
      <c r="E72" s="194">
        <f>COUNTIF('Congestion inputs'!$P$276:$P$4366,E$50&amp;$C72)</f>
        <v>117</v>
      </c>
      <c r="F72" s="194">
        <f>COUNTIF('Congestion inputs'!$P$276:$P$4366,F$50&amp;$C72)</f>
        <v>117</v>
      </c>
      <c r="G72" s="194">
        <f>COUNTIF('Congestion inputs'!$P$276:$P$4366,G$50&amp;$C72)</f>
        <v>117</v>
      </c>
      <c r="H72" s="194">
        <f>COUNTIF('Congestion inputs'!$P$276:$P$4366,H$50&amp;$C72)</f>
        <v>117</v>
      </c>
      <c r="I72" s="194">
        <f>COUNTIF('Congestion inputs'!$P$276:$P$4366,I$50&amp;$C72)</f>
        <v>117</v>
      </c>
      <c r="J72" s="235">
        <f>COUNTIF('Congestion inputs'!$P$276:$P$4366,J$50&amp;$C72)</f>
        <v>92</v>
      </c>
    </row>
    <row r="73" spans="3:10" x14ac:dyDescent="0.25">
      <c r="C73" s="191" t="str">
        <f>C65</f>
        <v>PUBLIC HOLIDAYS</v>
      </c>
      <c r="D73" s="194">
        <f>COUNTIF('Congestion inputs'!$P$276:$P$4366,D$50&amp;$C73)</f>
        <v>116</v>
      </c>
      <c r="E73" s="194">
        <f>COUNTIF('Congestion inputs'!$P$276:$P$4366,E$50&amp;$C73)</f>
        <v>117</v>
      </c>
      <c r="F73" s="194">
        <f>COUNTIF('Congestion inputs'!$P$276:$P$4366,F$50&amp;$C73)</f>
        <v>115</v>
      </c>
      <c r="G73" s="194">
        <f>COUNTIF('Congestion inputs'!$P$276:$P$4366,G$50&amp;$C73)</f>
        <v>0</v>
      </c>
      <c r="H73" s="194">
        <f>COUNTIF('Congestion inputs'!$P$276:$P$4366,H$50&amp;$C73)</f>
        <v>0</v>
      </c>
      <c r="I73" s="194">
        <f>COUNTIF('Congestion inputs'!$P$276:$P$4366,I$50&amp;$C73)</f>
        <v>0</v>
      </c>
      <c r="J73" s="235">
        <f>COUNTIF('Congestion inputs'!$P$276:$P$4366,J$50&amp;$C73)</f>
        <v>0</v>
      </c>
    </row>
    <row r="74" spans="3:10" x14ac:dyDescent="0.25">
      <c r="C74" s="191" t="str">
        <f>C66</f>
        <v>WEEKENDS</v>
      </c>
      <c r="D74" s="194">
        <f>COUNTIF('Congestion inputs'!$P$276:$P$4366,D$50&amp;$C74)</f>
        <v>116</v>
      </c>
      <c r="E74" s="194">
        <f>COUNTIF('Congestion inputs'!$P$276:$P$4366,E$50&amp;$C74)</f>
        <v>117</v>
      </c>
      <c r="F74" s="194">
        <f>COUNTIF('Congestion inputs'!$P$276:$P$4366,F$50&amp;$C74)</f>
        <v>117</v>
      </c>
      <c r="G74" s="194">
        <f>COUNTIF('Congestion inputs'!$P$276:$P$4366,G$50&amp;$C74)</f>
        <v>117</v>
      </c>
      <c r="H74" s="194">
        <f>COUNTIF('Congestion inputs'!$P$276:$P$4366,H$50&amp;$C74)</f>
        <v>117</v>
      </c>
      <c r="I74" s="194">
        <f>COUNTIF('Congestion inputs'!$P$276:$P$4366,I$50&amp;$C74)</f>
        <v>116</v>
      </c>
      <c r="J74" s="235">
        <f>COUNTIF('Congestion inputs'!$P$276:$P$4366,J$50&amp;$C74)</f>
        <v>92</v>
      </c>
    </row>
    <row r="75" spans="3:10" x14ac:dyDescent="0.25">
      <c r="C75" s="191"/>
      <c r="J75" s="195"/>
    </row>
    <row r="76" spans="3:10" x14ac:dyDescent="0.25">
      <c r="C76" s="191"/>
      <c r="J76" s="195"/>
    </row>
    <row r="77" spans="3:10" x14ac:dyDescent="0.25">
      <c r="C77" s="191"/>
      <c r="D77" s="42">
        <f>D50</f>
        <v>2018</v>
      </c>
      <c r="E77" s="42">
        <f t="shared" ref="E77:J77" si="6">E50</f>
        <v>2019</v>
      </c>
      <c r="F77" s="42">
        <f t="shared" si="6"/>
        <v>2020</v>
      </c>
      <c r="G77" s="42">
        <f t="shared" si="6"/>
        <v>2021</v>
      </c>
      <c r="H77" s="42">
        <f t="shared" si="6"/>
        <v>2022</v>
      </c>
      <c r="I77" s="42">
        <f t="shared" si="6"/>
        <v>2023</v>
      </c>
      <c r="J77" s="304">
        <f t="shared" si="6"/>
        <v>2024</v>
      </c>
    </row>
    <row r="78" spans="3:10" x14ac:dyDescent="0.25">
      <c r="C78" s="191"/>
      <c r="J78" s="195"/>
    </row>
    <row r="79" spans="3:10" x14ac:dyDescent="0.25">
      <c r="C79" s="220" t="s">
        <v>717</v>
      </c>
      <c r="J79" s="195"/>
    </row>
    <row r="80" spans="3:10" x14ac:dyDescent="0.25">
      <c r="C80" s="191"/>
      <c r="J80" s="195"/>
    </row>
    <row r="81" spans="3:10" x14ac:dyDescent="0.25">
      <c r="C81" s="191" t="str">
        <f>C44</f>
        <v>AM PEAK</v>
      </c>
      <c r="D81" s="164">
        <f>D89/D97</f>
        <v>43.534285714285708</v>
      </c>
      <c r="E81" s="164">
        <f t="shared" ref="E81:J81" si="7">E89/E97</f>
        <v>43.525277777777774</v>
      </c>
      <c r="F81" s="164">
        <f t="shared" si="7"/>
        <v>44.791023622047234</v>
      </c>
      <c r="G81" s="164">
        <f t="shared" si="7"/>
        <v>45.505177865612644</v>
      </c>
      <c r="H81" s="164">
        <f t="shared" si="7"/>
        <v>44.873839999999994</v>
      </c>
      <c r="I81" s="164">
        <f t="shared" si="7"/>
        <v>44.692549800796812</v>
      </c>
      <c r="J81" s="291">
        <f t="shared" si="7"/>
        <v>44.55658536585365</v>
      </c>
    </row>
    <row r="82" spans="3:10" x14ac:dyDescent="0.25">
      <c r="C82" s="191" t="str">
        <f>C45</f>
        <v>OFF PEAK</v>
      </c>
      <c r="D82" s="164">
        <f t="shared" ref="D82:J85" si="8">D90/D98</f>
        <v>49.202486772486772</v>
      </c>
      <c r="E82" s="164">
        <f t="shared" si="8"/>
        <v>49.037962962962958</v>
      </c>
      <c r="F82" s="164">
        <f t="shared" si="8"/>
        <v>49.262073490813641</v>
      </c>
      <c r="G82" s="164">
        <f t="shared" si="8"/>
        <v>49.587931488801054</v>
      </c>
      <c r="H82" s="164">
        <f t="shared" si="8"/>
        <v>49.34008</v>
      </c>
      <c r="I82" s="164">
        <f t="shared" si="8"/>
        <v>49.244130146082348</v>
      </c>
      <c r="J82" s="291">
        <f t="shared" si="8"/>
        <v>49.125447154471544</v>
      </c>
    </row>
    <row r="83" spans="3:10" x14ac:dyDescent="0.25">
      <c r="C83" s="191" t="str">
        <f>C46</f>
        <v>PM PEAK</v>
      </c>
      <c r="D83" s="164">
        <f t="shared" si="8"/>
        <v>42.072222222222223</v>
      </c>
      <c r="E83" s="164">
        <f t="shared" si="8"/>
        <v>42.159444444444446</v>
      </c>
      <c r="F83" s="164">
        <f t="shared" si="8"/>
        <v>43.180944881889765</v>
      </c>
      <c r="G83" s="164">
        <f t="shared" si="8"/>
        <v>43.484901185770752</v>
      </c>
      <c r="H83" s="164">
        <f t="shared" si="8"/>
        <v>42.966560000000001</v>
      </c>
      <c r="I83" s="164">
        <f t="shared" si="8"/>
        <v>42.945617529880479</v>
      </c>
      <c r="J83" s="291">
        <f t="shared" si="8"/>
        <v>43.003414634146338</v>
      </c>
    </row>
    <row r="84" spans="3:10" x14ac:dyDescent="0.25">
      <c r="C84" s="191" t="str">
        <f>C47</f>
        <v>PUBLIC HOLIDAYS</v>
      </c>
      <c r="D84" s="164">
        <f t="shared" si="8"/>
        <v>49.089818181818181</v>
      </c>
      <c r="E84" s="164">
        <f t="shared" si="8"/>
        <v>48.987454545454547</v>
      </c>
      <c r="F84" s="164">
        <f t="shared" si="8"/>
        <v>49.38490909090909</v>
      </c>
      <c r="G84" s="164">
        <f t="shared" si="8"/>
        <v>49.57</v>
      </c>
      <c r="H84" s="164">
        <f t="shared" si="8"/>
        <v>49.490142857142864</v>
      </c>
      <c r="I84" s="164">
        <f t="shared" si="8"/>
        <v>49.361499999999992</v>
      </c>
      <c r="J84" s="291">
        <f t="shared" si="8"/>
        <v>49.10285714285714</v>
      </c>
    </row>
    <row r="85" spans="3:10" x14ac:dyDescent="0.25">
      <c r="C85" s="191" t="str">
        <f>C48</f>
        <v>WEEKENDS</v>
      </c>
      <c r="D85" s="164">
        <f t="shared" si="8"/>
        <v>50.093176470588233</v>
      </c>
      <c r="E85" s="164">
        <f t="shared" si="8"/>
        <v>49.95117647058823</v>
      </c>
      <c r="F85" s="164">
        <f t="shared" si="8"/>
        <v>50.126495049504953</v>
      </c>
      <c r="G85" s="164">
        <f t="shared" si="8"/>
        <v>50.17969696969697</v>
      </c>
      <c r="H85" s="164">
        <f t="shared" si="8"/>
        <v>49.902633663366338</v>
      </c>
      <c r="I85" s="164">
        <f t="shared" si="8"/>
        <v>49.802941176470583</v>
      </c>
      <c r="J85" s="291">
        <f t="shared" si="8"/>
        <v>49.645000000000003</v>
      </c>
    </row>
    <row r="86" spans="3:10" x14ac:dyDescent="0.25">
      <c r="C86" s="191"/>
      <c r="J86" s="195"/>
    </row>
    <row r="87" spans="3:10" x14ac:dyDescent="0.25">
      <c r="C87" s="220" t="s">
        <v>1291</v>
      </c>
      <c r="J87" s="195"/>
    </row>
    <row r="88" spans="3:10" x14ac:dyDescent="0.25">
      <c r="C88" s="191"/>
      <c r="J88" s="195"/>
    </row>
    <row r="89" spans="3:10" x14ac:dyDescent="0.25">
      <c r="C89" s="191" t="str">
        <f>C81</f>
        <v>AM PEAK</v>
      </c>
      <c r="D89" s="164" cm="1">
        <f t="array" ref="D89">SUMPRODUCT(IF('Congestion inputs'!$M$16:$M$270=D$50&amp;$C54,1,0),'Congestion inputs'!$I$16:$I$270,'Congestion inputs'!$J$16:$J$270)</f>
        <v>10970.64</v>
      </c>
      <c r="E89" s="164" cm="1">
        <f t="array" ref="E89">SUMPRODUCT(IF('Congestion inputs'!$M$16:$M$270=E$50&amp;$C54,1,0),'Congestion inputs'!$I$16:$I$270,'Congestion inputs'!$J$16:$J$270)</f>
        <v>10968.369999999999</v>
      </c>
      <c r="F89" s="164" cm="1">
        <f t="array" ref="F89">SUMPRODUCT(IF('Congestion inputs'!$M$16:$M$270=F$50&amp;$C54,1,0),'Congestion inputs'!$I$16:$I$270,'Congestion inputs'!$J$16:$J$270)</f>
        <v>11376.919999999998</v>
      </c>
      <c r="G89" s="164" cm="1">
        <f t="array" ref="G89">SUMPRODUCT(IF('Congestion inputs'!$M$16:$M$270=G$50&amp;$C54,1,0),'Congestion inputs'!$I$16:$I$270,'Congestion inputs'!$J$16:$J$270)</f>
        <v>11512.81</v>
      </c>
      <c r="H89" s="164" cm="1">
        <f t="array" ref="H89">SUMPRODUCT(IF('Congestion inputs'!$M$16:$M$270=H$50&amp;$C54,1,0),'Congestion inputs'!$I$16:$I$270,'Congestion inputs'!$J$16:$J$270)</f>
        <v>11218.46</v>
      </c>
      <c r="I89" s="164" cm="1">
        <f t="array" ref="I89">SUMPRODUCT(IF('Congestion inputs'!$M$16:$M$270=I$50&amp;$C54,1,0),'Congestion inputs'!$I$16:$I$270,'Congestion inputs'!$J$16:$J$270)</f>
        <v>11217.83</v>
      </c>
      <c r="J89" s="291" cm="1">
        <f t="array" ref="J89">SUMPRODUCT(IF('Congestion inputs'!$M$16:$M$270=J$50&amp;$C54,1,0),'Congestion inputs'!$I$16:$I$270,'Congestion inputs'!$J$16:$J$270)</f>
        <v>3653.6399999999994</v>
      </c>
    </row>
    <row r="90" spans="3:10" x14ac:dyDescent="0.25">
      <c r="C90" s="191" t="str">
        <f>C82</f>
        <v>OFF PEAK</v>
      </c>
      <c r="D90" s="164" cm="1">
        <f t="array" ref="D90">SUMPRODUCT(IF('Congestion inputs'!$M$16:$M$270=D$50&amp;$C55,1,0),'Congestion inputs'!$I$16:$I$270,'Congestion inputs'!$J$16:$J$270)</f>
        <v>37197.08</v>
      </c>
      <c r="E90" s="164" cm="1">
        <f t="array" ref="E90">SUMPRODUCT(IF('Congestion inputs'!$M$16:$M$270=E$50&amp;$C55,1,0),'Congestion inputs'!$I$16:$I$270,'Congestion inputs'!$J$16:$J$270)</f>
        <v>37072.699999999997</v>
      </c>
      <c r="F90" s="164" cm="1">
        <f t="array" ref="F90">SUMPRODUCT(IF('Congestion inputs'!$M$16:$M$270=F$50&amp;$C55,1,0),'Congestion inputs'!$I$16:$I$270,'Congestion inputs'!$J$16:$J$270)</f>
        <v>37537.699999999997</v>
      </c>
      <c r="G90" s="164" cm="1">
        <f t="array" ref="G90">SUMPRODUCT(IF('Congestion inputs'!$M$16:$M$270=G$50&amp;$C55,1,0),'Congestion inputs'!$I$16:$I$270,'Congestion inputs'!$J$16:$J$270)</f>
        <v>37637.24</v>
      </c>
      <c r="H90" s="164" cm="1">
        <f t="array" ref="H90">SUMPRODUCT(IF('Congestion inputs'!$M$16:$M$270=H$50&amp;$C55,1,0),'Congestion inputs'!$I$16:$I$270,'Congestion inputs'!$J$16:$J$270)</f>
        <v>37005.06</v>
      </c>
      <c r="I90" s="164" cm="1">
        <f t="array" ref="I90">SUMPRODUCT(IF('Congestion inputs'!$M$16:$M$270=I$50&amp;$C55,1,0),'Congestion inputs'!$I$16:$I$270,'Congestion inputs'!$J$16:$J$270)</f>
        <v>37080.830000000009</v>
      </c>
      <c r="J90" s="291" cm="1">
        <f t="array" ref="J90">SUMPRODUCT(IF('Congestion inputs'!$M$16:$M$270=J$50&amp;$C55,1,0),'Congestion inputs'!$I$16:$I$270,'Congestion inputs'!$J$16:$J$270)</f>
        <v>12084.86</v>
      </c>
    </row>
    <row r="91" spans="3:10" x14ac:dyDescent="0.25">
      <c r="C91" s="191" t="str">
        <f>C83</f>
        <v>PM PEAK</v>
      </c>
      <c r="D91" s="164" cm="1">
        <f t="array" ref="D91">SUMPRODUCT(IF('Congestion inputs'!$M$16:$M$270=D$50&amp;$C56,1,0),'Congestion inputs'!$I$16:$I$270,'Congestion inputs'!$J$16:$J$270)</f>
        <v>10602.2</v>
      </c>
      <c r="E91" s="164" cm="1">
        <f t="array" ref="E91">SUMPRODUCT(IF('Congestion inputs'!$M$16:$M$270=E$50&amp;$C56,1,0),'Congestion inputs'!$I$16:$I$270,'Congestion inputs'!$J$16:$J$270)</f>
        <v>10624.18</v>
      </c>
      <c r="F91" s="164" cm="1">
        <f t="array" ref="F91">SUMPRODUCT(IF('Congestion inputs'!$M$16:$M$270=F$50&amp;$C56,1,0),'Congestion inputs'!$I$16:$I$270,'Congestion inputs'!$J$16:$J$270)</f>
        <v>10967.960000000001</v>
      </c>
      <c r="G91" s="164" cm="1">
        <f t="array" ref="G91">SUMPRODUCT(IF('Congestion inputs'!$M$16:$M$270=G$50&amp;$C56,1,0),'Congestion inputs'!$I$16:$I$270,'Congestion inputs'!$J$16:$J$270)</f>
        <v>11001.68</v>
      </c>
      <c r="H91" s="164" cm="1">
        <f t="array" ref="H91">SUMPRODUCT(IF('Congestion inputs'!$M$16:$M$270=H$50&amp;$C56,1,0),'Congestion inputs'!$I$16:$I$270,'Congestion inputs'!$J$16:$J$270)</f>
        <v>10741.64</v>
      </c>
      <c r="I91" s="164" cm="1">
        <f t="array" ref="I91">SUMPRODUCT(IF('Congestion inputs'!$M$16:$M$270=I$50&amp;$C56,1,0),'Congestion inputs'!$I$16:$I$270,'Congestion inputs'!$J$16:$J$270)</f>
        <v>10779.35</v>
      </c>
      <c r="J91" s="291" cm="1">
        <f t="array" ref="J91">SUMPRODUCT(IF('Congestion inputs'!$M$16:$M$270=J$50&amp;$C56,1,0),'Congestion inputs'!$I$16:$I$270,'Congestion inputs'!$J$16:$J$270)</f>
        <v>3526.2799999999997</v>
      </c>
    </row>
    <row r="92" spans="3:10" x14ac:dyDescent="0.25">
      <c r="C92" s="191" t="str">
        <f>C84</f>
        <v>PUBLIC HOLIDAYS</v>
      </c>
      <c r="D92" s="164" cm="1">
        <f t="array" ref="D92">SUMPRODUCT(IF('Congestion inputs'!$M$16:$M$270=D$50&amp;$C57,1,0),'Congestion inputs'!$I$16:$I$270,'Congestion inputs'!$J$16:$J$270)</f>
        <v>2699.94</v>
      </c>
      <c r="E92" s="164" cm="1">
        <f t="array" ref="E92">SUMPRODUCT(IF('Congestion inputs'!$M$16:$M$270=E$50&amp;$C57,1,0),'Congestion inputs'!$I$16:$I$270,'Congestion inputs'!$J$16:$J$270)</f>
        <v>2694.31</v>
      </c>
      <c r="F92" s="164" cm="1">
        <f t="array" ref="F92">SUMPRODUCT(IF('Congestion inputs'!$M$16:$M$270=F$50&amp;$C57,1,0),'Congestion inputs'!$I$16:$I$270,'Congestion inputs'!$J$16:$J$270)</f>
        <v>2716.17</v>
      </c>
      <c r="G92" s="164" cm="1">
        <f t="array" ref="G92">SUMPRODUCT(IF('Congestion inputs'!$M$16:$M$270=G$50&amp;$C57,1,0),'Congestion inputs'!$I$16:$I$270,'Congestion inputs'!$J$16:$J$270)</f>
        <v>3222.05</v>
      </c>
      <c r="H92" s="164" cm="1">
        <f t="array" ref="H92">SUMPRODUCT(IF('Congestion inputs'!$M$16:$M$270=H$50&amp;$C57,1,0),'Congestion inputs'!$I$16:$I$270,'Congestion inputs'!$J$16:$J$270)</f>
        <v>3464.3100000000004</v>
      </c>
      <c r="I92" s="164" cm="1">
        <f t="array" ref="I92">SUMPRODUCT(IF('Congestion inputs'!$M$16:$M$270=I$50&amp;$C57,1,0),'Congestion inputs'!$I$16:$I$270,'Congestion inputs'!$J$16:$J$270)</f>
        <v>2961.6899999999996</v>
      </c>
      <c r="J92" s="291" cm="1">
        <f t="array" ref="J92">SUMPRODUCT(IF('Congestion inputs'!$M$16:$M$270=J$50&amp;$C57,1,0),'Congestion inputs'!$I$16:$I$270,'Congestion inputs'!$J$16:$J$270)</f>
        <v>1718.6</v>
      </c>
    </row>
    <row r="93" spans="3:10" x14ac:dyDescent="0.25">
      <c r="C93" s="191" t="str">
        <f>C85</f>
        <v>WEEKENDS</v>
      </c>
      <c r="D93" s="164" cm="1">
        <f t="array" ref="D93">SUMPRODUCT(IF('Congestion inputs'!$M$16:$M$270=D$50&amp;$C58,1,0),'Congestion inputs'!$I$16:$I$270,'Congestion inputs'!$J$16:$J$270)</f>
        <v>25547.52</v>
      </c>
      <c r="E93" s="164" cm="1">
        <f t="array" ref="E93">SUMPRODUCT(IF('Congestion inputs'!$M$16:$M$270=E$50&amp;$C58,1,0),'Congestion inputs'!$I$16:$I$270,'Congestion inputs'!$J$16:$J$270)</f>
        <v>25475.1</v>
      </c>
      <c r="F93" s="164" cm="1">
        <f t="array" ref="F93">SUMPRODUCT(IF('Congestion inputs'!$M$16:$M$270=F$50&amp;$C58,1,0),'Congestion inputs'!$I$16:$I$270,'Congestion inputs'!$J$16:$J$270)</f>
        <v>25313.88</v>
      </c>
      <c r="G93" s="164" cm="1">
        <f t="array" ref="G93">SUMPRODUCT(IF('Congestion inputs'!$M$16:$M$270=G$50&amp;$C58,1,0),'Congestion inputs'!$I$16:$I$270,'Congestion inputs'!$J$16:$J$270)</f>
        <v>24838.95</v>
      </c>
      <c r="H93" s="164" cm="1">
        <f t="array" ref="H93">SUMPRODUCT(IF('Congestion inputs'!$M$16:$M$270=H$50&amp;$C58,1,0),'Congestion inputs'!$I$16:$I$270,'Congestion inputs'!$J$16:$J$270)</f>
        <v>25200.83</v>
      </c>
      <c r="I93" s="164" cm="1">
        <f t="array" ref="I93">SUMPRODUCT(IF('Congestion inputs'!$M$16:$M$270=I$50&amp;$C58,1,0),'Congestion inputs'!$I$16:$I$270,'Congestion inputs'!$J$16:$J$270)</f>
        <v>25399.499999999996</v>
      </c>
      <c r="J93" s="291" cm="1">
        <f t="array" ref="J93">SUMPRODUCT(IF('Congestion inputs'!$M$16:$M$270=J$50&amp;$C58,1,0),'Congestion inputs'!$I$16:$I$270,'Congestion inputs'!$J$16:$J$270)</f>
        <v>7943.2000000000007</v>
      </c>
    </row>
    <row r="94" spans="3:10" x14ac:dyDescent="0.25">
      <c r="C94" s="191"/>
      <c r="J94" s="195"/>
    </row>
    <row r="95" spans="3:10" x14ac:dyDescent="0.25">
      <c r="C95" s="220" t="s">
        <v>718</v>
      </c>
      <c r="J95" s="195"/>
    </row>
    <row r="96" spans="3:10" x14ac:dyDescent="0.25">
      <c r="C96" s="191"/>
      <c r="J96" s="195"/>
    </row>
    <row r="97" spans="3:10" x14ac:dyDescent="0.25">
      <c r="C97" s="191" t="str">
        <f>C89</f>
        <v>AM PEAK</v>
      </c>
      <c r="D97">
        <f>SUMIF('Congestion inputs'!$M$16:$M$270,D$50&amp;$C54,'Congestion inputs'!$J$16:$J$270)</f>
        <v>252</v>
      </c>
      <c r="E97">
        <f>SUMIF('Congestion inputs'!$M$16:$M$270,E$50&amp;$C54,'Congestion inputs'!$J$16:$J$270)</f>
        <v>252</v>
      </c>
      <c r="F97">
        <f>SUMIF('Congestion inputs'!$M$16:$M$270,F$50&amp;$C54,'Congestion inputs'!$J$16:$J$270)</f>
        <v>254</v>
      </c>
      <c r="G97">
        <f>SUMIF('Congestion inputs'!$M$16:$M$270,G$50&amp;$C54,'Congestion inputs'!$J$16:$J$270)</f>
        <v>253</v>
      </c>
      <c r="H97">
        <f>SUMIF('Congestion inputs'!$M$16:$M$270,H$50&amp;$C54,'Congestion inputs'!$J$16:$J$270)</f>
        <v>250</v>
      </c>
      <c r="I97">
        <f>SUMIF('Congestion inputs'!$M$16:$M$270,I$50&amp;$C54,'Congestion inputs'!$J$16:$J$270)</f>
        <v>251</v>
      </c>
      <c r="J97" s="195">
        <f>SUMIF('Congestion inputs'!$M$16:$M$270,J$50&amp;$C54,'Congestion inputs'!$J$16:$J$270)</f>
        <v>82</v>
      </c>
    </row>
    <row r="98" spans="3:10" x14ac:dyDescent="0.25">
      <c r="C98" s="191" t="str">
        <f>C90</f>
        <v>OFF PEAK</v>
      </c>
      <c r="D98">
        <f>SUMIF('Congestion inputs'!$M$16:$M$270,D$50&amp;$C55,'Congestion inputs'!$J$16:$J$270)</f>
        <v>756</v>
      </c>
      <c r="E98">
        <f>SUMIF('Congestion inputs'!$M$16:$M$270,E$50&amp;$C55,'Congestion inputs'!$J$16:$J$270)</f>
        <v>756</v>
      </c>
      <c r="F98">
        <f>SUMIF('Congestion inputs'!$M$16:$M$270,F$50&amp;$C55,'Congestion inputs'!$J$16:$J$270)</f>
        <v>762</v>
      </c>
      <c r="G98">
        <f>SUMIF('Congestion inputs'!$M$16:$M$270,G$50&amp;$C55,'Congestion inputs'!$J$16:$J$270)</f>
        <v>759</v>
      </c>
      <c r="H98">
        <f>SUMIF('Congestion inputs'!$M$16:$M$270,H$50&amp;$C55,'Congestion inputs'!$J$16:$J$270)</f>
        <v>750</v>
      </c>
      <c r="I98">
        <f>SUMIF('Congestion inputs'!$M$16:$M$270,I$50&amp;$C55,'Congestion inputs'!$J$16:$J$270)</f>
        <v>753</v>
      </c>
      <c r="J98" s="195">
        <f>SUMIF('Congestion inputs'!$M$16:$M$270,J$50&amp;$C55,'Congestion inputs'!$J$16:$J$270)</f>
        <v>246</v>
      </c>
    </row>
    <row r="99" spans="3:10" x14ac:dyDescent="0.25">
      <c r="C99" s="191" t="str">
        <f>C91</f>
        <v>PM PEAK</v>
      </c>
      <c r="D99">
        <f>SUMIF('Congestion inputs'!$M$16:$M$270,D$50&amp;$C56,'Congestion inputs'!$J$16:$J$270)</f>
        <v>252</v>
      </c>
      <c r="E99">
        <f>SUMIF('Congestion inputs'!$M$16:$M$270,E$50&amp;$C56,'Congestion inputs'!$J$16:$J$270)</f>
        <v>252</v>
      </c>
      <c r="F99">
        <f>SUMIF('Congestion inputs'!$M$16:$M$270,F$50&amp;$C56,'Congestion inputs'!$J$16:$J$270)</f>
        <v>254</v>
      </c>
      <c r="G99">
        <f>SUMIF('Congestion inputs'!$M$16:$M$270,G$50&amp;$C56,'Congestion inputs'!$J$16:$J$270)</f>
        <v>253</v>
      </c>
      <c r="H99">
        <f>SUMIF('Congestion inputs'!$M$16:$M$270,H$50&amp;$C56,'Congestion inputs'!$J$16:$J$270)</f>
        <v>250</v>
      </c>
      <c r="I99">
        <f>SUMIF('Congestion inputs'!$M$16:$M$270,I$50&amp;$C56,'Congestion inputs'!$J$16:$J$270)</f>
        <v>251</v>
      </c>
      <c r="J99" s="195">
        <f>SUMIF('Congestion inputs'!$M$16:$M$270,J$50&amp;$C56,'Congestion inputs'!$J$16:$J$270)</f>
        <v>82</v>
      </c>
    </row>
    <row r="100" spans="3:10" x14ac:dyDescent="0.25">
      <c r="C100" s="191" t="str">
        <f>C92</f>
        <v>PUBLIC HOLIDAYS</v>
      </c>
      <c r="D100">
        <f>SUMIF('Congestion inputs'!$M$16:$M$270,D$50&amp;$C57,'Congestion inputs'!$J$16:$J$270)</f>
        <v>55</v>
      </c>
      <c r="E100">
        <f>SUMIF('Congestion inputs'!$M$16:$M$270,E$50&amp;$C57,'Congestion inputs'!$J$16:$J$270)</f>
        <v>55</v>
      </c>
      <c r="F100">
        <f>SUMIF('Congestion inputs'!$M$16:$M$270,F$50&amp;$C57,'Congestion inputs'!$J$16:$J$270)</f>
        <v>55</v>
      </c>
      <c r="G100">
        <f>SUMIF('Congestion inputs'!$M$16:$M$270,G$50&amp;$C57,'Congestion inputs'!$J$16:$J$270)</f>
        <v>65</v>
      </c>
      <c r="H100">
        <f>SUMIF('Congestion inputs'!$M$16:$M$270,H$50&amp;$C57,'Congestion inputs'!$J$16:$J$270)</f>
        <v>70</v>
      </c>
      <c r="I100">
        <f>SUMIF('Congestion inputs'!$M$16:$M$270,I$50&amp;$C57,'Congestion inputs'!$J$16:$J$270)</f>
        <v>60</v>
      </c>
      <c r="J100" s="195">
        <f>SUMIF('Congestion inputs'!$M$16:$M$270,J$50&amp;$C57,'Congestion inputs'!$J$16:$J$270)</f>
        <v>35</v>
      </c>
    </row>
    <row r="101" spans="3:10" x14ac:dyDescent="0.25">
      <c r="C101" s="191" t="str">
        <f>C93</f>
        <v>WEEKENDS</v>
      </c>
      <c r="D101">
        <f>SUMIF('Congestion inputs'!$M$16:$M$270,D$50&amp;$C58,'Congestion inputs'!$J$16:$J$270)</f>
        <v>510</v>
      </c>
      <c r="E101">
        <f>SUMIF('Congestion inputs'!$M$16:$M$270,E$50&amp;$C58,'Congestion inputs'!$J$16:$J$270)</f>
        <v>510</v>
      </c>
      <c r="F101">
        <f>SUMIF('Congestion inputs'!$M$16:$M$270,F$50&amp;$C58,'Congestion inputs'!$J$16:$J$270)</f>
        <v>505</v>
      </c>
      <c r="G101">
        <f>SUMIF('Congestion inputs'!$M$16:$M$270,G$50&amp;$C58,'Congestion inputs'!$J$16:$J$270)</f>
        <v>495</v>
      </c>
      <c r="H101">
        <f>SUMIF('Congestion inputs'!$M$16:$M$270,H$50&amp;$C58,'Congestion inputs'!$J$16:$J$270)</f>
        <v>505</v>
      </c>
      <c r="I101">
        <f>SUMIF('Congestion inputs'!$M$16:$M$270,I$50&amp;$C58,'Congestion inputs'!$J$16:$J$270)</f>
        <v>510</v>
      </c>
      <c r="J101" s="195">
        <f>SUMIF('Congestion inputs'!$M$16:$M$270,J$50&amp;$C58,'Congestion inputs'!$J$16:$J$270)</f>
        <v>160</v>
      </c>
    </row>
    <row r="102" spans="3:10" x14ac:dyDescent="0.25">
      <c r="C102" s="191"/>
      <c r="J102" s="195"/>
    </row>
    <row r="103" spans="3:10" x14ac:dyDescent="0.25">
      <c r="C103" s="191"/>
      <c r="J103" s="195"/>
    </row>
    <row r="104" spans="3:10" x14ac:dyDescent="0.25">
      <c r="C104" s="191" t="s">
        <v>719</v>
      </c>
      <c r="J104" s="195"/>
    </row>
    <row r="105" spans="3:10" x14ac:dyDescent="0.25">
      <c r="C105" s="191"/>
      <c r="J105" s="195"/>
    </row>
    <row r="106" spans="3:10" x14ac:dyDescent="0.25">
      <c r="C106" s="243" t="s">
        <v>313</v>
      </c>
      <c r="D106" t="s">
        <v>720</v>
      </c>
      <c r="E106" s="163" t="s">
        <v>721</v>
      </c>
      <c r="F106" s="163" t="s">
        <v>717</v>
      </c>
      <c r="G106" s="163" t="s">
        <v>722</v>
      </c>
      <c r="J106" s="195"/>
    </row>
    <row r="107" spans="3:10" x14ac:dyDescent="0.25">
      <c r="C107" s="191"/>
      <c r="J107" s="195"/>
    </row>
    <row r="108" spans="3:10" x14ac:dyDescent="0.25">
      <c r="C108" s="305">
        <f>D77</f>
        <v>2018</v>
      </c>
      <c r="D108" s="175" t="str">
        <f>C97</f>
        <v>AM PEAK</v>
      </c>
      <c r="E108" s="200">
        <f>INDEX($C$50:$J$58,MATCH($D108,$C$50:$C$58,0),MATCH($C108,$C$50:$J$50,0))</f>
        <v>1048.0905172413793</v>
      </c>
      <c r="F108" s="200">
        <f>INDEX($C$77:$J$85,MATCH($D108,$C$77:$C$85,0),MATCH($C108,$C$77:$J$77,0))</f>
        <v>43.534285714285708</v>
      </c>
      <c r="G108" s="306">
        <f>1/F108</f>
        <v>2.2970400997571704E-2</v>
      </c>
      <c r="J108" s="195"/>
    </row>
    <row r="109" spans="3:10" x14ac:dyDescent="0.25">
      <c r="C109" s="191">
        <f>C108</f>
        <v>2018</v>
      </c>
      <c r="D109" t="str">
        <f>C98</f>
        <v>OFF PEAK</v>
      </c>
      <c r="E109" s="194">
        <f t="shared" ref="E109:E138" si="9">INDEX($C$50:$J$58,MATCH($D109,$C$50:$C$58,0),MATCH($C109,$C$50:$J$50,0))</f>
        <v>485.24407327586209</v>
      </c>
      <c r="F109" s="194">
        <f t="shared" ref="F109:F138" si="10">INDEX($C$77:$J$85,MATCH($D109,$C$77:$C$85,0),MATCH($C109,$C$77:$J$77,0))</f>
        <v>49.202486772486772</v>
      </c>
      <c r="G109" s="307">
        <f t="shared" ref="G109:G138" si="11">1/F109</f>
        <v>2.0324175983706248E-2</v>
      </c>
      <c r="J109" s="195"/>
    </row>
    <row r="110" spans="3:10" x14ac:dyDescent="0.25">
      <c r="C110" s="191">
        <f>C109</f>
        <v>2018</v>
      </c>
      <c r="D110" t="str">
        <f>C99</f>
        <v>PM PEAK</v>
      </c>
      <c r="E110" s="194">
        <f t="shared" si="9"/>
        <v>1147.1702586206898</v>
      </c>
      <c r="F110" s="194">
        <f t="shared" si="10"/>
        <v>42.072222222222223</v>
      </c>
      <c r="G110" s="307">
        <f t="shared" si="11"/>
        <v>2.3768651789251288E-2</v>
      </c>
      <c r="J110" s="195"/>
    </row>
    <row r="111" spans="3:10" x14ac:dyDescent="0.25">
      <c r="C111" s="191">
        <f>C110</f>
        <v>2018</v>
      </c>
      <c r="D111" t="str">
        <f>C100</f>
        <v>PUBLIC HOLIDAYS</v>
      </c>
      <c r="E111" s="194">
        <f t="shared" si="9"/>
        <v>540.14727011494256</v>
      </c>
      <c r="F111" s="194">
        <f t="shared" si="10"/>
        <v>49.089818181818181</v>
      </c>
      <c r="G111" s="307">
        <f t="shared" si="11"/>
        <v>2.0370823055327156E-2</v>
      </c>
      <c r="J111" s="195"/>
    </row>
    <row r="112" spans="3:10" x14ac:dyDescent="0.25">
      <c r="C112" s="191">
        <f>C110</f>
        <v>2018</v>
      </c>
      <c r="D112" t="str">
        <f>C101</f>
        <v>WEEKENDS</v>
      </c>
      <c r="E112" s="194">
        <f t="shared" si="9"/>
        <v>317.43211206896552</v>
      </c>
      <c r="F112" s="194">
        <f t="shared" si="10"/>
        <v>50.093176470588233</v>
      </c>
      <c r="G112" s="307">
        <f t="shared" si="11"/>
        <v>1.9962798737411695E-2</v>
      </c>
      <c r="J112" s="195"/>
    </row>
    <row r="113" spans="3:10" x14ac:dyDescent="0.25">
      <c r="C113" s="191">
        <f>E77</f>
        <v>2019</v>
      </c>
      <c r="D113" t="str">
        <f t="shared" ref="D113:D125" si="12">D108</f>
        <v>AM PEAK</v>
      </c>
      <c r="E113" s="194">
        <f t="shared" si="9"/>
        <v>1014.9273504273505</v>
      </c>
      <c r="F113" s="194">
        <f t="shared" si="10"/>
        <v>43.525277777777774</v>
      </c>
      <c r="G113" s="307">
        <f t="shared" si="11"/>
        <v>2.2975154922746044E-2</v>
      </c>
      <c r="I113" t="s">
        <v>1473</v>
      </c>
      <c r="J113" s="195"/>
    </row>
    <row r="114" spans="3:10" x14ac:dyDescent="0.25">
      <c r="C114" s="191">
        <f>C113</f>
        <v>2019</v>
      </c>
      <c r="D114" t="str">
        <f t="shared" si="12"/>
        <v>OFF PEAK</v>
      </c>
      <c r="E114" s="194">
        <f t="shared" si="9"/>
        <v>471.32638888888891</v>
      </c>
      <c r="F114" s="194">
        <f t="shared" si="10"/>
        <v>49.037962962962958</v>
      </c>
      <c r="G114" s="307">
        <f t="shared" si="11"/>
        <v>2.0392364192519025E-2</v>
      </c>
      <c r="J114" s="195"/>
    </row>
    <row r="115" spans="3:10" x14ac:dyDescent="0.25">
      <c r="C115" s="191">
        <f>C114</f>
        <v>2019</v>
      </c>
      <c r="D115" t="str">
        <f t="shared" si="12"/>
        <v>PM PEAK</v>
      </c>
      <c r="E115" s="194">
        <f t="shared" si="9"/>
        <v>1101.9679487179487</v>
      </c>
      <c r="F115" s="194">
        <f t="shared" si="10"/>
        <v>42.159444444444446</v>
      </c>
      <c r="G115" s="307">
        <f t="shared" si="11"/>
        <v>2.371947764439232E-2</v>
      </c>
      <c r="J115" s="195"/>
    </row>
    <row r="116" spans="3:10" x14ac:dyDescent="0.25">
      <c r="C116" s="191">
        <f>C115</f>
        <v>2019</v>
      </c>
      <c r="D116" t="str">
        <f t="shared" si="12"/>
        <v>PUBLIC HOLIDAYS</v>
      </c>
      <c r="E116" s="194">
        <f t="shared" si="9"/>
        <v>534.19764957264954</v>
      </c>
      <c r="F116" s="194">
        <f t="shared" si="10"/>
        <v>48.987454545454547</v>
      </c>
      <c r="G116" s="307">
        <f t="shared" si="11"/>
        <v>2.0413389699032405E-2</v>
      </c>
      <c r="J116" s="195"/>
    </row>
    <row r="117" spans="3:10" x14ac:dyDescent="0.25">
      <c r="C117" s="308">
        <f>C115</f>
        <v>2019</v>
      </c>
      <c r="D117" s="222" t="str">
        <f t="shared" si="12"/>
        <v>WEEKENDS</v>
      </c>
      <c r="E117" s="199">
        <f t="shared" si="9"/>
        <v>305.26495726495727</v>
      </c>
      <c r="F117" s="199">
        <f t="shared" si="10"/>
        <v>49.95117647058823</v>
      </c>
      <c r="G117" s="309">
        <f t="shared" si="11"/>
        <v>2.0019548500300296E-2</v>
      </c>
      <c r="J117" s="195"/>
    </row>
    <row r="118" spans="3:10" x14ac:dyDescent="0.25">
      <c r="C118" s="305">
        <f>F77</f>
        <v>2020</v>
      </c>
      <c r="D118" s="175" t="str">
        <f t="shared" si="12"/>
        <v>AM PEAK</v>
      </c>
      <c r="E118" s="200">
        <f t="shared" si="9"/>
        <v>904.57051282051282</v>
      </c>
      <c r="F118" s="200">
        <f t="shared" si="10"/>
        <v>44.791023622047234</v>
      </c>
      <c r="G118" s="306">
        <f t="shared" si="11"/>
        <v>2.2325901913698966E-2</v>
      </c>
      <c r="J118" s="195"/>
    </row>
    <row r="119" spans="3:10" x14ac:dyDescent="0.25">
      <c r="C119" s="191">
        <f>C118</f>
        <v>2020</v>
      </c>
      <c r="D119" t="str">
        <f t="shared" si="12"/>
        <v>OFF PEAK</v>
      </c>
      <c r="E119" s="194">
        <f t="shared" si="9"/>
        <v>421.48664529914532</v>
      </c>
      <c r="F119" s="194">
        <f t="shared" si="10"/>
        <v>49.262073490813641</v>
      </c>
      <c r="G119" s="307">
        <f t="shared" si="11"/>
        <v>2.0299592143365207E-2</v>
      </c>
      <c r="J119" s="195"/>
    </row>
    <row r="120" spans="3:10" x14ac:dyDescent="0.25">
      <c r="C120" s="191">
        <f>C119</f>
        <v>2020</v>
      </c>
      <c r="D120" t="str">
        <f t="shared" si="12"/>
        <v>PM PEAK</v>
      </c>
      <c r="E120" s="194">
        <f t="shared" si="9"/>
        <v>1008.2200854700855</v>
      </c>
      <c r="F120" s="194">
        <f t="shared" si="10"/>
        <v>43.180944881889765</v>
      </c>
      <c r="G120" s="307">
        <f t="shared" si="11"/>
        <v>2.3158363086663334E-2</v>
      </c>
      <c r="J120" s="195"/>
    </row>
    <row r="121" spans="3:10" x14ac:dyDescent="0.25">
      <c r="C121" s="191">
        <f>C120</f>
        <v>2020</v>
      </c>
      <c r="D121" t="str">
        <f t="shared" si="12"/>
        <v>PUBLIC HOLIDAYS</v>
      </c>
      <c r="E121" s="194">
        <f t="shared" si="9"/>
        <v>394.96992753623186</v>
      </c>
      <c r="F121" s="194">
        <f t="shared" si="10"/>
        <v>49.38490909090909</v>
      </c>
      <c r="G121" s="307">
        <f t="shared" si="11"/>
        <v>2.0249100755843706E-2</v>
      </c>
      <c r="J121" s="195"/>
    </row>
    <row r="122" spans="3:10" x14ac:dyDescent="0.25">
      <c r="C122" s="191">
        <f>C120</f>
        <v>2020</v>
      </c>
      <c r="D122" t="str">
        <f t="shared" si="12"/>
        <v>WEEKENDS</v>
      </c>
      <c r="E122" s="194">
        <f t="shared" si="9"/>
        <v>263.47720797720797</v>
      </c>
      <c r="F122" s="194">
        <f t="shared" si="10"/>
        <v>50.126495049504953</v>
      </c>
      <c r="G122" s="307">
        <f t="shared" si="11"/>
        <v>1.9949529665148132E-2</v>
      </c>
      <c r="J122" s="195"/>
    </row>
    <row r="123" spans="3:10" x14ac:dyDescent="0.25">
      <c r="C123" s="191">
        <f>G77</f>
        <v>2021</v>
      </c>
      <c r="D123" t="str">
        <f t="shared" si="12"/>
        <v>AM PEAK</v>
      </c>
      <c r="E123" s="194">
        <f t="shared" si="9"/>
        <v>882.14743589743591</v>
      </c>
      <c r="F123" s="194">
        <f t="shared" si="10"/>
        <v>45.505177865612644</v>
      </c>
      <c r="G123" s="307">
        <f t="shared" si="11"/>
        <v>2.197552118032001E-2</v>
      </c>
      <c r="J123" s="195"/>
    </row>
    <row r="124" spans="3:10" x14ac:dyDescent="0.25">
      <c r="C124" s="191">
        <f>C123</f>
        <v>2021</v>
      </c>
      <c r="D124" t="str">
        <f t="shared" si="12"/>
        <v>OFF PEAK</v>
      </c>
      <c r="E124" s="194">
        <f t="shared" si="9"/>
        <v>406.1773504273504</v>
      </c>
      <c r="F124" s="194">
        <f t="shared" si="10"/>
        <v>49.587931488801054</v>
      </c>
      <c r="G124" s="307">
        <f t="shared" si="11"/>
        <v>2.0166197096280175E-2</v>
      </c>
      <c r="J124" s="195"/>
    </row>
    <row r="125" spans="3:10" x14ac:dyDescent="0.25">
      <c r="C125" s="191">
        <f>C124</f>
        <v>2021</v>
      </c>
      <c r="D125" t="str">
        <f t="shared" si="12"/>
        <v>PM PEAK</v>
      </c>
      <c r="E125" s="194">
        <f t="shared" si="9"/>
        <v>971.45085470085473</v>
      </c>
      <c r="F125" s="194">
        <f t="shared" si="10"/>
        <v>43.484901185770752</v>
      </c>
      <c r="G125" s="307">
        <f t="shared" si="11"/>
        <v>2.2996487809134603E-2</v>
      </c>
      <c r="J125" s="195"/>
    </row>
    <row r="126" spans="3:10" x14ac:dyDescent="0.25">
      <c r="C126" s="191">
        <f>C125</f>
        <v>2021</v>
      </c>
      <c r="D126" t="str">
        <f t="shared" ref="D126:D138" si="13">D122</f>
        <v>WEEKENDS</v>
      </c>
      <c r="E126" s="194">
        <f t="shared" si="9"/>
        <v>247.96225071225072</v>
      </c>
      <c r="F126" s="194">
        <f t="shared" si="10"/>
        <v>50.17969696969697</v>
      </c>
      <c r="G126" s="307">
        <f t="shared" si="11"/>
        <v>1.9928378615038076E-2</v>
      </c>
      <c r="J126" s="195"/>
    </row>
    <row r="127" spans="3:10" x14ac:dyDescent="0.25">
      <c r="C127" s="191">
        <f>H77</f>
        <v>2022</v>
      </c>
      <c r="D127" t="str">
        <f t="shared" si="13"/>
        <v>AM PEAK</v>
      </c>
      <c r="E127" s="194">
        <f t="shared" si="9"/>
        <v>919.37179487179492</v>
      </c>
      <c r="F127" s="194">
        <f t="shared" si="10"/>
        <v>44.873839999999994</v>
      </c>
      <c r="G127" s="307">
        <f t="shared" si="11"/>
        <v>2.2284698612822083E-2</v>
      </c>
      <c r="I127" t="s">
        <v>1474</v>
      </c>
      <c r="J127" s="195"/>
    </row>
    <row r="128" spans="3:10" x14ac:dyDescent="0.25">
      <c r="C128" s="191">
        <f>C127</f>
        <v>2022</v>
      </c>
      <c r="D128" t="str">
        <f t="shared" si="13"/>
        <v>OFF PEAK</v>
      </c>
      <c r="E128" s="194">
        <f t="shared" si="9"/>
        <v>432.696047008547</v>
      </c>
      <c r="F128" s="194">
        <f t="shared" si="10"/>
        <v>49.34008</v>
      </c>
      <c r="G128" s="307">
        <f t="shared" si="11"/>
        <v>2.0267498552900602E-2</v>
      </c>
      <c r="J128" s="195"/>
    </row>
    <row r="129" spans="3:13" x14ac:dyDescent="0.25">
      <c r="C129" s="191">
        <f>C128</f>
        <v>2022</v>
      </c>
      <c r="D129" t="str">
        <f t="shared" si="13"/>
        <v>PM PEAK</v>
      </c>
      <c r="E129" s="194">
        <f t="shared" si="9"/>
        <v>1026.3568376068376</v>
      </c>
      <c r="F129" s="194">
        <f t="shared" si="10"/>
        <v>42.966560000000001</v>
      </c>
      <c r="G129" s="307">
        <f t="shared" si="11"/>
        <v>2.3273913480623069E-2</v>
      </c>
      <c r="J129" s="195"/>
    </row>
    <row r="130" spans="3:13" x14ac:dyDescent="0.25">
      <c r="C130" s="191">
        <f>C129</f>
        <v>2022</v>
      </c>
      <c r="D130" t="str">
        <f t="shared" si="13"/>
        <v>WEEKENDS</v>
      </c>
      <c r="E130" s="194">
        <f t="shared" si="9"/>
        <v>282.70014245014244</v>
      </c>
      <c r="F130" s="194">
        <f t="shared" si="10"/>
        <v>49.902633663366338</v>
      </c>
      <c r="G130" s="307">
        <f t="shared" si="11"/>
        <v>2.003902252425813E-2</v>
      </c>
      <c r="J130" s="195"/>
    </row>
    <row r="131" spans="3:13" x14ac:dyDescent="0.25">
      <c r="C131" s="191">
        <f>I77</f>
        <v>2023</v>
      </c>
      <c r="D131" t="str">
        <f t="shared" si="13"/>
        <v>AM PEAK</v>
      </c>
      <c r="E131" s="194">
        <f t="shared" si="9"/>
        <v>918.14957264957263</v>
      </c>
      <c r="F131" s="194">
        <f t="shared" si="10"/>
        <v>44.692549800796812</v>
      </c>
      <c r="G131" s="307">
        <f t="shared" si="11"/>
        <v>2.2375093935279818E-2</v>
      </c>
      <c r="J131" s="195"/>
    </row>
    <row r="132" spans="3:13" x14ac:dyDescent="0.25">
      <c r="C132" s="191">
        <f>C131</f>
        <v>2023</v>
      </c>
      <c r="D132" t="str">
        <f t="shared" si="13"/>
        <v>OFF PEAK</v>
      </c>
      <c r="E132" s="194">
        <f t="shared" si="9"/>
        <v>434.14636752136749</v>
      </c>
      <c r="F132" s="194">
        <f t="shared" si="10"/>
        <v>49.244130146082348</v>
      </c>
      <c r="G132" s="307">
        <f t="shared" si="11"/>
        <v>2.0306988813357192E-2</v>
      </c>
      <c r="J132" s="195"/>
    </row>
    <row r="133" spans="3:13" x14ac:dyDescent="0.25">
      <c r="C133" s="191">
        <f>C132</f>
        <v>2023</v>
      </c>
      <c r="D133" t="str">
        <f t="shared" si="13"/>
        <v>PM PEAK</v>
      </c>
      <c r="E133" s="194">
        <f t="shared" si="9"/>
        <v>1032.7072649572649</v>
      </c>
      <c r="F133" s="194">
        <f t="shared" si="10"/>
        <v>42.945617529880479</v>
      </c>
      <c r="G133" s="307">
        <f t="shared" si="11"/>
        <v>2.3285263026063725E-2</v>
      </c>
      <c r="J133" s="195"/>
    </row>
    <row r="134" spans="3:13" x14ac:dyDescent="0.25">
      <c r="C134" s="308">
        <f>C133</f>
        <v>2023</v>
      </c>
      <c r="D134" s="222" t="str">
        <f t="shared" si="13"/>
        <v>WEEKENDS</v>
      </c>
      <c r="E134" s="199">
        <f t="shared" si="9"/>
        <v>284.16361350574715</v>
      </c>
      <c r="F134" s="199">
        <f t="shared" si="10"/>
        <v>49.802941176470583</v>
      </c>
      <c r="G134" s="309">
        <f t="shared" si="11"/>
        <v>2.00791354160515E-2</v>
      </c>
      <c r="J134" s="195"/>
    </row>
    <row r="135" spans="3:13" x14ac:dyDescent="0.25">
      <c r="C135" s="191">
        <f>J77</f>
        <v>2024</v>
      </c>
      <c r="D135" t="str">
        <f t="shared" si="13"/>
        <v>AM PEAK</v>
      </c>
      <c r="E135" s="194">
        <f t="shared" si="9"/>
        <v>858.195652173913</v>
      </c>
      <c r="F135" s="194">
        <f t="shared" si="10"/>
        <v>44.55658536585365</v>
      </c>
      <c r="G135" s="278">
        <f t="shared" si="11"/>
        <v>2.2443371541804889E-2</v>
      </c>
      <c r="J135" s="195"/>
    </row>
    <row r="136" spans="3:13" x14ac:dyDescent="0.25">
      <c r="C136" s="191">
        <f>C135</f>
        <v>2024</v>
      </c>
      <c r="D136" t="str">
        <f t="shared" si="13"/>
        <v>OFF PEAK</v>
      </c>
      <c r="E136" s="194">
        <f t="shared" si="9"/>
        <v>427.16847826086956</v>
      </c>
      <c r="F136" s="194">
        <f t="shared" si="10"/>
        <v>49.125447154471544</v>
      </c>
      <c r="G136" s="278">
        <f t="shared" si="11"/>
        <v>2.0356048808178168E-2</v>
      </c>
      <c r="J136" s="195"/>
    </row>
    <row r="137" spans="3:13" x14ac:dyDescent="0.25">
      <c r="C137" s="191">
        <f>C136</f>
        <v>2024</v>
      </c>
      <c r="D137" t="str">
        <f t="shared" si="13"/>
        <v>PM PEAK</v>
      </c>
      <c r="E137" s="194">
        <f t="shared" si="9"/>
        <v>989.26086956521738</v>
      </c>
      <c r="F137" s="194">
        <f t="shared" si="10"/>
        <v>43.003414634146338</v>
      </c>
      <c r="G137" s="278">
        <f t="shared" si="11"/>
        <v>2.3253967353698515E-2</v>
      </c>
      <c r="J137" s="195"/>
    </row>
    <row r="138" spans="3:13" x14ac:dyDescent="0.25">
      <c r="C138" s="191">
        <f>C137</f>
        <v>2024</v>
      </c>
      <c r="D138" t="str">
        <f t="shared" si="13"/>
        <v>WEEKENDS</v>
      </c>
      <c r="E138" s="194">
        <f t="shared" si="9"/>
        <v>283.97101449275362</v>
      </c>
      <c r="F138" s="194">
        <f t="shared" si="10"/>
        <v>49.645000000000003</v>
      </c>
      <c r="G138" s="278">
        <f t="shared" si="11"/>
        <v>2.0143015409406786E-2</v>
      </c>
      <c r="J138" s="195"/>
    </row>
    <row r="139" spans="3:13" x14ac:dyDescent="0.25">
      <c r="C139" s="196"/>
      <c r="D139" s="197"/>
      <c r="E139" s="197"/>
      <c r="F139" s="197"/>
      <c r="G139" s="197"/>
      <c r="H139" s="197"/>
      <c r="I139" s="197"/>
      <c r="J139" s="198"/>
    </row>
    <row r="142" spans="3:13" ht="15.5" x14ac:dyDescent="0.35">
      <c r="C142" s="43" t="str">
        <f>C10</f>
        <v>Table 3 - Station identifier calculations</v>
      </c>
    </row>
    <row r="143" spans="3:13" x14ac:dyDescent="0.25">
      <c r="C143" s="188"/>
      <c r="D143" s="189"/>
      <c r="E143" s="189"/>
      <c r="F143" s="189"/>
      <c r="G143" s="189"/>
      <c r="H143" s="189"/>
      <c r="I143" s="189"/>
      <c r="J143" s="189"/>
      <c r="K143" s="189"/>
      <c r="L143" s="189"/>
      <c r="M143" s="190"/>
    </row>
    <row r="144" spans="3:13" ht="46" x14ac:dyDescent="0.25">
      <c r="C144" s="243" t="s">
        <v>723</v>
      </c>
      <c r="E144" s="163" t="s">
        <v>724</v>
      </c>
      <c r="F144">
        <v>2018</v>
      </c>
      <c r="G144">
        <f t="shared" ref="G144:L144" si="14">F144+1</f>
        <v>2019</v>
      </c>
      <c r="H144">
        <f t="shared" si="14"/>
        <v>2020</v>
      </c>
      <c r="I144">
        <f t="shared" si="14"/>
        <v>2021</v>
      </c>
      <c r="J144">
        <f t="shared" si="14"/>
        <v>2022</v>
      </c>
      <c r="K144">
        <f t="shared" si="14"/>
        <v>2023</v>
      </c>
      <c r="L144">
        <f t="shared" si="14"/>
        <v>2024</v>
      </c>
      <c r="M144" s="207" t="s">
        <v>725</v>
      </c>
    </row>
    <row r="145" spans="3:13" x14ac:dyDescent="0.25">
      <c r="C145" s="466">
        <f t="array" ref="C145:C249">_xlfn.UNIQUE('Congestion inputs'!D276:D4366)</f>
        <v>100001</v>
      </c>
      <c r="E145">
        <f>COUNTIF('Congestion inputs'!$D$276:$D$4366,$C145)</f>
        <v>62</v>
      </c>
      <c r="F145">
        <f>COUNTIFS('Congestion inputs'!$D$276:$D$4366,$C145,'Congestion inputs'!$I$276:$I$4366,F$144)</f>
        <v>10</v>
      </c>
      <c r="G145">
        <f>COUNTIFS('Congestion inputs'!$D$276:$D$4366,$C145,'Congestion inputs'!$I$276:$I$4366,G$144)</f>
        <v>10</v>
      </c>
      <c r="H145">
        <f>COUNTIFS('Congestion inputs'!$D$276:$D$4366,$C145,'Congestion inputs'!$I$276:$I$4366,H$144)</f>
        <v>10</v>
      </c>
      <c r="I145">
        <f>COUNTIFS('Congestion inputs'!$D$276:$D$4366,$C145,'Congestion inputs'!$I$276:$I$4366,I$144)</f>
        <v>8</v>
      </c>
      <c r="J145">
        <f>COUNTIFS('Congestion inputs'!$D$276:$D$4366,$C145,'Congestion inputs'!$I$276:$I$4366,J$144)</f>
        <v>8</v>
      </c>
      <c r="K145">
        <f>COUNTIFS('Congestion inputs'!$D$276:$D$4366,$C145,'Congestion inputs'!$I$276:$I$4366,K$144)</f>
        <v>8</v>
      </c>
      <c r="L145">
        <f>COUNTIFS('Congestion inputs'!$D$276:$D$4366,$C145,'Congestion inputs'!$I$276:$I$4366,L$144)</f>
        <v>8</v>
      </c>
      <c r="M145" s="195">
        <f t="shared" ref="M145:M176" si="15">IF(K145=0,0,1)</f>
        <v>1</v>
      </c>
    </row>
    <row r="146" spans="3:13" x14ac:dyDescent="0.25">
      <c r="C146" s="466">
        <v>100004</v>
      </c>
      <c r="E146">
        <f>COUNTIF('Congestion inputs'!$D$276:$D$4366,$C146)</f>
        <v>36</v>
      </c>
      <c r="F146">
        <f>COUNTIFS('Congestion inputs'!$D$276:$D$4366,$C146,'Congestion inputs'!$I$276:$I$4366,F$144)</f>
        <v>8</v>
      </c>
      <c r="G146">
        <f>COUNTIFS('Congestion inputs'!$D$276:$D$4366,$C146,'Congestion inputs'!$I$276:$I$4366,G$144)</f>
        <v>10</v>
      </c>
      <c r="H146">
        <f>COUNTIFS('Congestion inputs'!$D$276:$D$4366,$C146,'Congestion inputs'!$I$276:$I$4366,H$144)</f>
        <v>10</v>
      </c>
      <c r="I146">
        <f>COUNTIFS('Congestion inputs'!$D$276:$D$4366,$C146,'Congestion inputs'!$I$276:$I$4366,I$144)</f>
        <v>8</v>
      </c>
      <c r="J146">
        <f>COUNTIFS('Congestion inputs'!$D$276:$D$4366,$C146,'Congestion inputs'!$I$276:$I$4366,J$144)</f>
        <v>0</v>
      </c>
      <c r="K146">
        <f>COUNTIFS('Congestion inputs'!$D$276:$D$4366,$C146,'Congestion inputs'!$I$276:$I$4366,K$144)</f>
        <v>0</v>
      </c>
      <c r="L146">
        <f>COUNTIFS('Congestion inputs'!$D$276:$D$4366,$C146,'Congestion inputs'!$I$276:$I$4366,L$144)</f>
        <v>0</v>
      </c>
      <c r="M146" s="195">
        <f t="shared" si="15"/>
        <v>0</v>
      </c>
    </row>
    <row r="147" spans="3:13" x14ac:dyDescent="0.25">
      <c r="C147" s="466">
        <v>10011</v>
      </c>
      <c r="E147">
        <f>COUNTIF('Congestion inputs'!$D$276:$D$4366,$C147)</f>
        <v>62</v>
      </c>
      <c r="F147">
        <f>COUNTIFS('Congestion inputs'!$D$276:$D$4366,$C147,'Congestion inputs'!$I$276:$I$4366,F$144)</f>
        <v>10</v>
      </c>
      <c r="G147">
        <f>COUNTIFS('Congestion inputs'!$D$276:$D$4366,$C147,'Congestion inputs'!$I$276:$I$4366,G$144)</f>
        <v>10</v>
      </c>
      <c r="H147">
        <f>COUNTIFS('Congestion inputs'!$D$276:$D$4366,$C147,'Congestion inputs'!$I$276:$I$4366,H$144)</f>
        <v>10</v>
      </c>
      <c r="I147">
        <f>COUNTIFS('Congestion inputs'!$D$276:$D$4366,$C147,'Congestion inputs'!$I$276:$I$4366,I$144)</f>
        <v>8</v>
      </c>
      <c r="J147">
        <f>COUNTIFS('Congestion inputs'!$D$276:$D$4366,$C147,'Congestion inputs'!$I$276:$I$4366,J$144)</f>
        <v>8</v>
      </c>
      <c r="K147">
        <f>COUNTIFS('Congestion inputs'!$D$276:$D$4366,$C147,'Congestion inputs'!$I$276:$I$4366,K$144)</f>
        <v>8</v>
      </c>
      <c r="L147">
        <f>COUNTIFS('Congestion inputs'!$D$276:$D$4366,$C147,'Congestion inputs'!$I$276:$I$4366,L$144)</f>
        <v>8</v>
      </c>
      <c r="M147" s="195">
        <f t="shared" si="15"/>
        <v>1</v>
      </c>
    </row>
    <row r="148" spans="3:13" x14ac:dyDescent="0.25">
      <c r="C148" s="466">
        <v>20075</v>
      </c>
      <c r="E148">
        <f>COUNTIF('Congestion inputs'!$D$276:$D$4366,$C148)</f>
        <v>20</v>
      </c>
      <c r="F148">
        <f>COUNTIFS('Congestion inputs'!$D$276:$D$4366,$C148,'Congestion inputs'!$I$276:$I$4366,F$144)</f>
        <v>10</v>
      </c>
      <c r="G148">
        <f>COUNTIFS('Congestion inputs'!$D$276:$D$4366,$C148,'Congestion inputs'!$I$276:$I$4366,G$144)</f>
        <v>10</v>
      </c>
      <c r="H148">
        <f>COUNTIFS('Congestion inputs'!$D$276:$D$4366,$C148,'Congestion inputs'!$I$276:$I$4366,H$144)</f>
        <v>0</v>
      </c>
      <c r="I148">
        <f>COUNTIFS('Congestion inputs'!$D$276:$D$4366,$C148,'Congestion inputs'!$I$276:$I$4366,I$144)</f>
        <v>0</v>
      </c>
      <c r="J148">
        <f>COUNTIFS('Congestion inputs'!$D$276:$D$4366,$C148,'Congestion inputs'!$I$276:$I$4366,J$144)</f>
        <v>0</v>
      </c>
      <c r="K148">
        <f>COUNTIFS('Congestion inputs'!$D$276:$D$4366,$C148,'Congestion inputs'!$I$276:$I$4366,K$144)</f>
        <v>0</v>
      </c>
      <c r="L148">
        <f>COUNTIFS('Congestion inputs'!$D$276:$D$4366,$C148,'Congestion inputs'!$I$276:$I$4366,L$144)</f>
        <v>0</v>
      </c>
      <c r="M148" s="195">
        <f t="shared" si="15"/>
        <v>0</v>
      </c>
    </row>
    <row r="149" spans="3:13" x14ac:dyDescent="0.25">
      <c r="C149" s="466">
        <v>22001</v>
      </c>
      <c r="E149">
        <f>COUNTIF('Congestion inputs'!$D$276:$D$4366,$C149)</f>
        <v>10</v>
      </c>
      <c r="F149">
        <f>COUNTIFS('Congestion inputs'!$D$276:$D$4366,$C149,'Congestion inputs'!$I$276:$I$4366,F$144)</f>
        <v>10</v>
      </c>
      <c r="G149">
        <f>COUNTIFS('Congestion inputs'!$D$276:$D$4366,$C149,'Congestion inputs'!$I$276:$I$4366,G$144)</f>
        <v>0</v>
      </c>
      <c r="H149">
        <f>COUNTIFS('Congestion inputs'!$D$276:$D$4366,$C149,'Congestion inputs'!$I$276:$I$4366,H$144)</f>
        <v>0</v>
      </c>
      <c r="I149">
        <f>COUNTIFS('Congestion inputs'!$D$276:$D$4366,$C149,'Congestion inputs'!$I$276:$I$4366,I$144)</f>
        <v>0</v>
      </c>
      <c r="J149">
        <f>COUNTIFS('Congestion inputs'!$D$276:$D$4366,$C149,'Congestion inputs'!$I$276:$I$4366,J$144)</f>
        <v>0</v>
      </c>
      <c r="K149">
        <f>COUNTIFS('Congestion inputs'!$D$276:$D$4366,$C149,'Congestion inputs'!$I$276:$I$4366,K$144)</f>
        <v>0</v>
      </c>
      <c r="L149">
        <f>COUNTIFS('Congestion inputs'!$D$276:$D$4366,$C149,'Congestion inputs'!$I$276:$I$4366,L$144)</f>
        <v>0</v>
      </c>
      <c r="M149" s="195">
        <f t="shared" si="15"/>
        <v>0</v>
      </c>
    </row>
    <row r="150" spans="3:13" x14ac:dyDescent="0.25">
      <c r="C150" s="466">
        <v>23067</v>
      </c>
      <c r="E150">
        <f>COUNTIF('Congestion inputs'!$D$276:$D$4366,$C150)</f>
        <v>5</v>
      </c>
      <c r="F150">
        <f>COUNTIFS('Congestion inputs'!$D$276:$D$4366,$C150,'Congestion inputs'!$I$276:$I$4366,F$144)</f>
        <v>5</v>
      </c>
      <c r="G150">
        <f>COUNTIFS('Congestion inputs'!$D$276:$D$4366,$C150,'Congestion inputs'!$I$276:$I$4366,G$144)</f>
        <v>0</v>
      </c>
      <c r="H150">
        <f>COUNTIFS('Congestion inputs'!$D$276:$D$4366,$C150,'Congestion inputs'!$I$276:$I$4366,H$144)</f>
        <v>0</v>
      </c>
      <c r="I150">
        <f>COUNTIFS('Congestion inputs'!$D$276:$D$4366,$C150,'Congestion inputs'!$I$276:$I$4366,I$144)</f>
        <v>0</v>
      </c>
      <c r="J150">
        <f>COUNTIFS('Congestion inputs'!$D$276:$D$4366,$C150,'Congestion inputs'!$I$276:$I$4366,J$144)</f>
        <v>0</v>
      </c>
      <c r="K150">
        <f>COUNTIFS('Congestion inputs'!$D$276:$D$4366,$C150,'Congestion inputs'!$I$276:$I$4366,K$144)</f>
        <v>0</v>
      </c>
      <c r="L150">
        <f>COUNTIFS('Congestion inputs'!$D$276:$D$4366,$C150,'Congestion inputs'!$I$276:$I$4366,L$144)</f>
        <v>0</v>
      </c>
      <c r="M150" s="195">
        <f t="shared" si="15"/>
        <v>0</v>
      </c>
    </row>
    <row r="151" spans="3:13" x14ac:dyDescent="0.25">
      <c r="C151" s="466">
        <v>24021</v>
      </c>
      <c r="E151">
        <f>COUNTIF('Congestion inputs'!$D$276:$D$4366,$C151)</f>
        <v>10</v>
      </c>
      <c r="F151">
        <f>COUNTIFS('Congestion inputs'!$D$276:$D$4366,$C151,'Congestion inputs'!$I$276:$I$4366,F$144)</f>
        <v>10</v>
      </c>
      <c r="G151">
        <f>COUNTIFS('Congestion inputs'!$D$276:$D$4366,$C151,'Congestion inputs'!$I$276:$I$4366,G$144)</f>
        <v>0</v>
      </c>
      <c r="H151">
        <f>COUNTIFS('Congestion inputs'!$D$276:$D$4366,$C151,'Congestion inputs'!$I$276:$I$4366,H$144)</f>
        <v>0</v>
      </c>
      <c r="I151">
        <f>COUNTIFS('Congestion inputs'!$D$276:$D$4366,$C151,'Congestion inputs'!$I$276:$I$4366,I$144)</f>
        <v>0</v>
      </c>
      <c r="J151">
        <f>COUNTIFS('Congestion inputs'!$D$276:$D$4366,$C151,'Congestion inputs'!$I$276:$I$4366,J$144)</f>
        <v>0</v>
      </c>
      <c r="K151">
        <f>COUNTIFS('Congestion inputs'!$D$276:$D$4366,$C151,'Congestion inputs'!$I$276:$I$4366,K$144)</f>
        <v>0</v>
      </c>
      <c r="L151">
        <f>COUNTIFS('Congestion inputs'!$D$276:$D$4366,$C151,'Congestion inputs'!$I$276:$I$4366,L$144)</f>
        <v>0</v>
      </c>
      <c r="M151" s="195">
        <f t="shared" si="15"/>
        <v>0</v>
      </c>
    </row>
    <row r="152" spans="3:13" x14ac:dyDescent="0.25">
      <c r="C152" s="466">
        <v>28008</v>
      </c>
      <c r="E152">
        <f>COUNTIF('Congestion inputs'!$D$276:$D$4366,$C152)</f>
        <v>54</v>
      </c>
      <c r="F152">
        <f>COUNTIFS('Congestion inputs'!$D$276:$D$4366,$C152,'Congestion inputs'!$I$276:$I$4366,F$144)</f>
        <v>10</v>
      </c>
      <c r="G152">
        <f>COUNTIFS('Congestion inputs'!$D$276:$D$4366,$C152,'Congestion inputs'!$I$276:$I$4366,G$144)</f>
        <v>10</v>
      </c>
      <c r="H152">
        <f>COUNTIFS('Congestion inputs'!$D$276:$D$4366,$C152,'Congestion inputs'!$I$276:$I$4366,H$144)</f>
        <v>10</v>
      </c>
      <c r="I152">
        <f>COUNTIFS('Congestion inputs'!$D$276:$D$4366,$C152,'Congestion inputs'!$I$276:$I$4366,I$144)</f>
        <v>8</v>
      </c>
      <c r="J152">
        <f>COUNTIFS('Congestion inputs'!$D$276:$D$4366,$C152,'Congestion inputs'!$I$276:$I$4366,J$144)</f>
        <v>8</v>
      </c>
      <c r="K152">
        <f>COUNTIFS('Congestion inputs'!$D$276:$D$4366,$C152,'Congestion inputs'!$I$276:$I$4366,K$144)</f>
        <v>0</v>
      </c>
      <c r="L152">
        <f>COUNTIFS('Congestion inputs'!$D$276:$D$4366,$C152,'Congestion inputs'!$I$276:$I$4366,L$144)</f>
        <v>8</v>
      </c>
      <c r="M152" s="195">
        <f t="shared" si="15"/>
        <v>0</v>
      </c>
    </row>
    <row r="153" spans="3:13" x14ac:dyDescent="0.25">
      <c r="C153" s="466">
        <v>29005</v>
      </c>
      <c r="E153">
        <f>COUNTIF('Congestion inputs'!$D$276:$D$4366,$C153)</f>
        <v>58</v>
      </c>
      <c r="F153">
        <f>COUNTIFS('Congestion inputs'!$D$276:$D$4366,$C153,'Congestion inputs'!$I$276:$I$4366,F$144)</f>
        <v>10</v>
      </c>
      <c r="G153">
        <f>COUNTIFS('Congestion inputs'!$D$276:$D$4366,$C153,'Congestion inputs'!$I$276:$I$4366,G$144)</f>
        <v>10</v>
      </c>
      <c r="H153">
        <f>COUNTIFS('Congestion inputs'!$D$276:$D$4366,$C153,'Congestion inputs'!$I$276:$I$4366,H$144)</f>
        <v>10</v>
      </c>
      <c r="I153">
        <f>COUNTIFS('Congestion inputs'!$D$276:$D$4366,$C153,'Congestion inputs'!$I$276:$I$4366,I$144)</f>
        <v>8</v>
      </c>
      <c r="J153">
        <f>COUNTIFS('Congestion inputs'!$D$276:$D$4366,$C153,'Congestion inputs'!$I$276:$I$4366,J$144)</f>
        <v>8</v>
      </c>
      <c r="K153">
        <f>COUNTIFS('Congestion inputs'!$D$276:$D$4366,$C153,'Congestion inputs'!$I$276:$I$4366,K$144)</f>
        <v>8</v>
      </c>
      <c r="L153">
        <f>COUNTIFS('Congestion inputs'!$D$276:$D$4366,$C153,'Congestion inputs'!$I$276:$I$4366,L$144)</f>
        <v>4</v>
      </c>
      <c r="M153" s="195">
        <f t="shared" si="15"/>
        <v>1</v>
      </c>
    </row>
    <row r="154" spans="3:13" x14ac:dyDescent="0.25">
      <c r="C154" s="466">
        <v>30011</v>
      </c>
      <c r="E154">
        <f>COUNTIF('Congestion inputs'!$D$276:$D$4366,$C154)</f>
        <v>10</v>
      </c>
      <c r="F154">
        <f>COUNTIFS('Congestion inputs'!$D$276:$D$4366,$C154,'Congestion inputs'!$I$276:$I$4366,F$144)</f>
        <v>5</v>
      </c>
      <c r="G154">
        <f>COUNTIFS('Congestion inputs'!$D$276:$D$4366,$C154,'Congestion inputs'!$I$276:$I$4366,G$144)</f>
        <v>5</v>
      </c>
      <c r="H154">
        <f>COUNTIFS('Congestion inputs'!$D$276:$D$4366,$C154,'Congestion inputs'!$I$276:$I$4366,H$144)</f>
        <v>0</v>
      </c>
      <c r="I154">
        <f>COUNTIFS('Congestion inputs'!$D$276:$D$4366,$C154,'Congestion inputs'!$I$276:$I$4366,I$144)</f>
        <v>0</v>
      </c>
      <c r="J154">
        <f>COUNTIFS('Congestion inputs'!$D$276:$D$4366,$C154,'Congestion inputs'!$I$276:$I$4366,J$144)</f>
        <v>0</v>
      </c>
      <c r="K154">
        <f>COUNTIFS('Congestion inputs'!$D$276:$D$4366,$C154,'Congestion inputs'!$I$276:$I$4366,K$144)</f>
        <v>0</v>
      </c>
      <c r="L154">
        <f>COUNTIFS('Congestion inputs'!$D$276:$D$4366,$C154,'Congestion inputs'!$I$276:$I$4366,L$144)</f>
        <v>0</v>
      </c>
      <c r="M154" s="195">
        <f t="shared" si="15"/>
        <v>0</v>
      </c>
    </row>
    <row r="155" spans="3:13" x14ac:dyDescent="0.25">
      <c r="C155" s="466">
        <v>32029</v>
      </c>
      <c r="E155">
        <f>COUNTIF('Congestion inputs'!$D$276:$D$4366,$C155)</f>
        <v>52</v>
      </c>
      <c r="F155">
        <f>COUNTIFS('Congestion inputs'!$D$276:$D$4366,$C155,'Congestion inputs'!$I$276:$I$4366,F$144)</f>
        <v>0</v>
      </c>
      <c r="G155">
        <f>COUNTIFS('Congestion inputs'!$D$276:$D$4366,$C155,'Congestion inputs'!$I$276:$I$4366,G$144)</f>
        <v>10</v>
      </c>
      <c r="H155">
        <f>COUNTIFS('Congestion inputs'!$D$276:$D$4366,$C155,'Congestion inputs'!$I$276:$I$4366,H$144)</f>
        <v>10</v>
      </c>
      <c r="I155">
        <f>COUNTIFS('Congestion inputs'!$D$276:$D$4366,$C155,'Congestion inputs'!$I$276:$I$4366,I$144)</f>
        <v>8</v>
      </c>
      <c r="J155">
        <f>COUNTIFS('Congestion inputs'!$D$276:$D$4366,$C155,'Congestion inputs'!$I$276:$I$4366,J$144)</f>
        <v>8</v>
      </c>
      <c r="K155">
        <f>COUNTIFS('Congestion inputs'!$D$276:$D$4366,$C155,'Congestion inputs'!$I$276:$I$4366,K$144)</f>
        <v>8</v>
      </c>
      <c r="L155">
        <f>COUNTIFS('Congestion inputs'!$D$276:$D$4366,$C155,'Congestion inputs'!$I$276:$I$4366,L$144)</f>
        <v>8</v>
      </c>
      <c r="M155" s="195">
        <f t="shared" si="15"/>
        <v>1</v>
      </c>
    </row>
    <row r="156" spans="3:13" x14ac:dyDescent="0.25">
      <c r="C156" s="466">
        <v>33014</v>
      </c>
      <c r="E156">
        <f>COUNTIF('Congestion inputs'!$D$276:$D$4366,$C156)</f>
        <v>10</v>
      </c>
      <c r="F156">
        <f>COUNTIFS('Congestion inputs'!$D$276:$D$4366,$C156,'Congestion inputs'!$I$276:$I$4366,F$144)</f>
        <v>10</v>
      </c>
      <c r="G156">
        <f>COUNTIFS('Congestion inputs'!$D$276:$D$4366,$C156,'Congestion inputs'!$I$276:$I$4366,G$144)</f>
        <v>0</v>
      </c>
      <c r="H156">
        <f>COUNTIFS('Congestion inputs'!$D$276:$D$4366,$C156,'Congestion inputs'!$I$276:$I$4366,H$144)</f>
        <v>0</v>
      </c>
      <c r="I156">
        <f>COUNTIFS('Congestion inputs'!$D$276:$D$4366,$C156,'Congestion inputs'!$I$276:$I$4366,I$144)</f>
        <v>0</v>
      </c>
      <c r="J156">
        <f>COUNTIFS('Congestion inputs'!$D$276:$D$4366,$C156,'Congestion inputs'!$I$276:$I$4366,J$144)</f>
        <v>0</v>
      </c>
      <c r="K156">
        <f>COUNTIFS('Congestion inputs'!$D$276:$D$4366,$C156,'Congestion inputs'!$I$276:$I$4366,K$144)</f>
        <v>0</v>
      </c>
      <c r="L156">
        <f>COUNTIFS('Congestion inputs'!$D$276:$D$4366,$C156,'Congestion inputs'!$I$276:$I$4366,L$144)</f>
        <v>0</v>
      </c>
      <c r="M156" s="195">
        <f t="shared" si="15"/>
        <v>0</v>
      </c>
    </row>
    <row r="157" spans="3:13" x14ac:dyDescent="0.25">
      <c r="C157" s="466">
        <v>33023</v>
      </c>
      <c r="E157">
        <f>COUNTIF('Congestion inputs'!$D$276:$D$4366,$C157)</f>
        <v>54</v>
      </c>
      <c r="F157">
        <f>COUNTIFS('Congestion inputs'!$D$276:$D$4366,$C157,'Congestion inputs'!$I$276:$I$4366,F$144)</f>
        <v>10</v>
      </c>
      <c r="G157">
        <f>COUNTIFS('Congestion inputs'!$D$276:$D$4366,$C157,'Congestion inputs'!$I$276:$I$4366,G$144)</f>
        <v>10</v>
      </c>
      <c r="H157">
        <f>COUNTIFS('Congestion inputs'!$D$276:$D$4366,$C157,'Congestion inputs'!$I$276:$I$4366,H$144)</f>
        <v>10</v>
      </c>
      <c r="I157">
        <f>COUNTIFS('Congestion inputs'!$D$276:$D$4366,$C157,'Congestion inputs'!$I$276:$I$4366,I$144)</f>
        <v>8</v>
      </c>
      <c r="J157">
        <f>COUNTIFS('Congestion inputs'!$D$276:$D$4366,$C157,'Congestion inputs'!$I$276:$I$4366,J$144)</f>
        <v>8</v>
      </c>
      <c r="K157">
        <f>COUNTIFS('Congestion inputs'!$D$276:$D$4366,$C157,'Congestion inputs'!$I$276:$I$4366,K$144)</f>
        <v>8</v>
      </c>
      <c r="L157">
        <f>COUNTIFS('Congestion inputs'!$D$276:$D$4366,$C157,'Congestion inputs'!$I$276:$I$4366,L$144)</f>
        <v>0</v>
      </c>
      <c r="M157" s="195">
        <f t="shared" si="15"/>
        <v>1</v>
      </c>
    </row>
    <row r="158" spans="3:13" x14ac:dyDescent="0.25">
      <c r="C158" s="466">
        <v>34016</v>
      </c>
      <c r="E158">
        <f>COUNTIF('Congestion inputs'!$D$276:$D$4366,$C158)</f>
        <v>5</v>
      </c>
      <c r="F158">
        <f>COUNTIFS('Congestion inputs'!$D$276:$D$4366,$C158,'Congestion inputs'!$I$276:$I$4366,F$144)</f>
        <v>5</v>
      </c>
      <c r="G158">
        <f>COUNTIFS('Congestion inputs'!$D$276:$D$4366,$C158,'Congestion inputs'!$I$276:$I$4366,G$144)</f>
        <v>0</v>
      </c>
      <c r="H158">
        <f>COUNTIFS('Congestion inputs'!$D$276:$D$4366,$C158,'Congestion inputs'!$I$276:$I$4366,H$144)</f>
        <v>0</v>
      </c>
      <c r="I158">
        <f>COUNTIFS('Congestion inputs'!$D$276:$D$4366,$C158,'Congestion inputs'!$I$276:$I$4366,I$144)</f>
        <v>0</v>
      </c>
      <c r="J158">
        <f>COUNTIFS('Congestion inputs'!$D$276:$D$4366,$C158,'Congestion inputs'!$I$276:$I$4366,J$144)</f>
        <v>0</v>
      </c>
      <c r="K158">
        <f>COUNTIFS('Congestion inputs'!$D$276:$D$4366,$C158,'Congestion inputs'!$I$276:$I$4366,K$144)</f>
        <v>0</v>
      </c>
      <c r="L158">
        <f>COUNTIFS('Congestion inputs'!$D$276:$D$4366,$C158,'Congestion inputs'!$I$276:$I$4366,L$144)</f>
        <v>0</v>
      </c>
      <c r="M158" s="195">
        <f t="shared" si="15"/>
        <v>0</v>
      </c>
    </row>
    <row r="159" spans="3:13" x14ac:dyDescent="0.25">
      <c r="C159" s="466">
        <v>42001</v>
      </c>
      <c r="E159">
        <f>COUNTIF('Congestion inputs'!$D$276:$D$4366,$C159)</f>
        <v>54</v>
      </c>
      <c r="F159">
        <f>COUNTIFS('Congestion inputs'!$D$276:$D$4366,$C159,'Congestion inputs'!$I$276:$I$4366,F$144)</f>
        <v>10</v>
      </c>
      <c r="G159">
        <f>COUNTIFS('Congestion inputs'!$D$276:$D$4366,$C159,'Congestion inputs'!$I$276:$I$4366,G$144)</f>
        <v>10</v>
      </c>
      <c r="H159">
        <f>COUNTIFS('Congestion inputs'!$D$276:$D$4366,$C159,'Congestion inputs'!$I$276:$I$4366,H$144)</f>
        <v>10</v>
      </c>
      <c r="I159">
        <f>COUNTIFS('Congestion inputs'!$D$276:$D$4366,$C159,'Congestion inputs'!$I$276:$I$4366,I$144)</f>
        <v>8</v>
      </c>
      <c r="J159">
        <f>COUNTIFS('Congestion inputs'!$D$276:$D$4366,$C159,'Congestion inputs'!$I$276:$I$4366,J$144)</f>
        <v>8</v>
      </c>
      <c r="K159">
        <f>COUNTIFS('Congestion inputs'!$D$276:$D$4366,$C159,'Congestion inputs'!$I$276:$I$4366,K$144)</f>
        <v>8</v>
      </c>
      <c r="L159">
        <f>COUNTIFS('Congestion inputs'!$D$276:$D$4366,$C159,'Congestion inputs'!$I$276:$I$4366,L$144)</f>
        <v>0</v>
      </c>
      <c r="M159" s="195">
        <f t="shared" si="15"/>
        <v>1</v>
      </c>
    </row>
    <row r="160" spans="3:13" x14ac:dyDescent="0.25">
      <c r="C160" s="466">
        <v>50231</v>
      </c>
      <c r="E160">
        <f>COUNTIF('Congestion inputs'!$D$276:$D$4366,$C160)</f>
        <v>20</v>
      </c>
      <c r="F160">
        <f>COUNTIFS('Congestion inputs'!$D$276:$D$4366,$C160,'Congestion inputs'!$I$276:$I$4366,F$144)</f>
        <v>10</v>
      </c>
      <c r="G160">
        <f>COUNTIFS('Congestion inputs'!$D$276:$D$4366,$C160,'Congestion inputs'!$I$276:$I$4366,G$144)</f>
        <v>10</v>
      </c>
      <c r="H160">
        <f>COUNTIFS('Congestion inputs'!$D$276:$D$4366,$C160,'Congestion inputs'!$I$276:$I$4366,H$144)</f>
        <v>0</v>
      </c>
      <c r="I160">
        <f>COUNTIFS('Congestion inputs'!$D$276:$D$4366,$C160,'Congestion inputs'!$I$276:$I$4366,I$144)</f>
        <v>0</v>
      </c>
      <c r="J160">
        <f>COUNTIFS('Congestion inputs'!$D$276:$D$4366,$C160,'Congestion inputs'!$I$276:$I$4366,J$144)</f>
        <v>0</v>
      </c>
      <c r="K160">
        <f>COUNTIFS('Congestion inputs'!$D$276:$D$4366,$C160,'Congestion inputs'!$I$276:$I$4366,K$144)</f>
        <v>0</v>
      </c>
      <c r="L160">
        <f>COUNTIFS('Congestion inputs'!$D$276:$D$4366,$C160,'Congestion inputs'!$I$276:$I$4366,L$144)</f>
        <v>0</v>
      </c>
      <c r="M160" s="195">
        <f t="shared" si="15"/>
        <v>0</v>
      </c>
    </row>
    <row r="161" spans="3:13" x14ac:dyDescent="0.25">
      <c r="C161" s="466">
        <v>50240</v>
      </c>
      <c r="E161">
        <f>COUNTIF('Congestion inputs'!$D$276:$D$4366,$C161)</f>
        <v>36</v>
      </c>
      <c r="F161">
        <f>COUNTIFS('Congestion inputs'!$D$276:$D$4366,$C161,'Congestion inputs'!$I$276:$I$4366,F$144)</f>
        <v>10</v>
      </c>
      <c r="G161">
        <f>COUNTIFS('Congestion inputs'!$D$276:$D$4366,$C161,'Congestion inputs'!$I$276:$I$4366,G$144)</f>
        <v>5</v>
      </c>
      <c r="H161">
        <f>COUNTIFS('Congestion inputs'!$D$276:$D$4366,$C161,'Congestion inputs'!$I$276:$I$4366,H$144)</f>
        <v>5</v>
      </c>
      <c r="I161">
        <f>COUNTIFS('Congestion inputs'!$D$276:$D$4366,$C161,'Congestion inputs'!$I$276:$I$4366,I$144)</f>
        <v>4</v>
      </c>
      <c r="J161">
        <f>COUNTIFS('Congestion inputs'!$D$276:$D$4366,$C161,'Congestion inputs'!$I$276:$I$4366,J$144)</f>
        <v>4</v>
      </c>
      <c r="K161">
        <f>COUNTIFS('Congestion inputs'!$D$276:$D$4366,$C161,'Congestion inputs'!$I$276:$I$4366,K$144)</f>
        <v>4</v>
      </c>
      <c r="L161">
        <f>COUNTIFS('Congestion inputs'!$D$276:$D$4366,$C161,'Congestion inputs'!$I$276:$I$4366,L$144)</f>
        <v>4</v>
      </c>
      <c r="M161" s="195">
        <f t="shared" si="15"/>
        <v>1</v>
      </c>
    </row>
    <row r="162" spans="3:13" x14ac:dyDescent="0.25">
      <c r="C162" s="466">
        <v>50260</v>
      </c>
      <c r="E162">
        <f>COUNTIF('Congestion inputs'!$D$276:$D$4366,$C162)</f>
        <v>60</v>
      </c>
      <c r="F162">
        <f>COUNTIFS('Congestion inputs'!$D$276:$D$4366,$C162,'Congestion inputs'!$I$276:$I$4366,F$144)</f>
        <v>10</v>
      </c>
      <c r="G162">
        <f>COUNTIFS('Congestion inputs'!$D$276:$D$4366,$C162,'Congestion inputs'!$I$276:$I$4366,G$144)</f>
        <v>10</v>
      </c>
      <c r="H162">
        <f>COUNTIFS('Congestion inputs'!$D$276:$D$4366,$C162,'Congestion inputs'!$I$276:$I$4366,H$144)</f>
        <v>8</v>
      </c>
      <c r="I162">
        <f>COUNTIFS('Congestion inputs'!$D$276:$D$4366,$C162,'Congestion inputs'!$I$276:$I$4366,I$144)</f>
        <v>8</v>
      </c>
      <c r="J162">
        <f>COUNTIFS('Congestion inputs'!$D$276:$D$4366,$C162,'Congestion inputs'!$I$276:$I$4366,J$144)</f>
        <v>8</v>
      </c>
      <c r="K162">
        <f>COUNTIFS('Congestion inputs'!$D$276:$D$4366,$C162,'Congestion inputs'!$I$276:$I$4366,K$144)</f>
        <v>8</v>
      </c>
      <c r="L162">
        <f>COUNTIFS('Congestion inputs'!$D$276:$D$4366,$C162,'Congestion inputs'!$I$276:$I$4366,L$144)</f>
        <v>8</v>
      </c>
      <c r="M162" s="195">
        <f t="shared" si="15"/>
        <v>1</v>
      </c>
    </row>
    <row r="163" spans="3:13" x14ac:dyDescent="0.25">
      <c r="C163" s="466">
        <v>51233</v>
      </c>
      <c r="E163">
        <f>COUNTIF('Congestion inputs'!$D$276:$D$4366,$C163)</f>
        <v>5</v>
      </c>
      <c r="F163">
        <f>COUNTIFS('Congestion inputs'!$D$276:$D$4366,$C163,'Congestion inputs'!$I$276:$I$4366,F$144)</f>
        <v>5</v>
      </c>
      <c r="G163">
        <f>COUNTIFS('Congestion inputs'!$D$276:$D$4366,$C163,'Congestion inputs'!$I$276:$I$4366,G$144)</f>
        <v>0</v>
      </c>
      <c r="H163">
        <f>COUNTIFS('Congestion inputs'!$D$276:$D$4366,$C163,'Congestion inputs'!$I$276:$I$4366,H$144)</f>
        <v>0</v>
      </c>
      <c r="I163">
        <f>COUNTIFS('Congestion inputs'!$D$276:$D$4366,$C163,'Congestion inputs'!$I$276:$I$4366,I$144)</f>
        <v>0</v>
      </c>
      <c r="J163">
        <f>COUNTIFS('Congestion inputs'!$D$276:$D$4366,$C163,'Congestion inputs'!$I$276:$I$4366,J$144)</f>
        <v>0</v>
      </c>
      <c r="K163">
        <f>COUNTIFS('Congestion inputs'!$D$276:$D$4366,$C163,'Congestion inputs'!$I$276:$I$4366,K$144)</f>
        <v>0</v>
      </c>
      <c r="L163">
        <f>COUNTIFS('Congestion inputs'!$D$276:$D$4366,$C163,'Congestion inputs'!$I$276:$I$4366,L$144)</f>
        <v>0</v>
      </c>
      <c r="M163" s="195">
        <f t="shared" si="15"/>
        <v>0</v>
      </c>
    </row>
    <row r="164" spans="3:13" x14ac:dyDescent="0.25">
      <c r="C164" s="466">
        <v>51234</v>
      </c>
      <c r="E164">
        <f>COUNTIF('Congestion inputs'!$D$276:$D$4366,$C164)</f>
        <v>28</v>
      </c>
      <c r="F164">
        <f>COUNTIFS('Congestion inputs'!$D$276:$D$4366,$C164,'Congestion inputs'!$I$276:$I$4366,F$144)</f>
        <v>10</v>
      </c>
      <c r="G164">
        <f>COUNTIFS('Congestion inputs'!$D$276:$D$4366,$C164,'Congestion inputs'!$I$276:$I$4366,G$144)</f>
        <v>5</v>
      </c>
      <c r="H164">
        <f>COUNTIFS('Congestion inputs'!$D$276:$D$4366,$C164,'Congestion inputs'!$I$276:$I$4366,H$144)</f>
        <v>5</v>
      </c>
      <c r="I164">
        <f>COUNTIFS('Congestion inputs'!$D$276:$D$4366,$C164,'Congestion inputs'!$I$276:$I$4366,I$144)</f>
        <v>4</v>
      </c>
      <c r="J164">
        <f>COUNTIFS('Congestion inputs'!$D$276:$D$4366,$C164,'Congestion inputs'!$I$276:$I$4366,J$144)</f>
        <v>4</v>
      </c>
      <c r="K164">
        <f>COUNTIFS('Congestion inputs'!$D$276:$D$4366,$C164,'Congestion inputs'!$I$276:$I$4366,K$144)</f>
        <v>0</v>
      </c>
      <c r="L164">
        <f>COUNTIFS('Congestion inputs'!$D$276:$D$4366,$C164,'Congestion inputs'!$I$276:$I$4366,L$144)</f>
        <v>0</v>
      </c>
      <c r="M164" s="195">
        <f t="shared" si="15"/>
        <v>0</v>
      </c>
    </row>
    <row r="165" spans="3:13" x14ac:dyDescent="0.25">
      <c r="C165" s="466">
        <v>51235</v>
      </c>
      <c r="E165">
        <f>COUNTIF('Congestion inputs'!$D$276:$D$4366,$C165)</f>
        <v>57</v>
      </c>
      <c r="F165">
        <f>COUNTIFS('Congestion inputs'!$D$276:$D$4366,$C165,'Congestion inputs'!$I$276:$I$4366,F$144)</f>
        <v>10</v>
      </c>
      <c r="G165">
        <f>COUNTIFS('Congestion inputs'!$D$276:$D$4366,$C165,'Congestion inputs'!$I$276:$I$4366,G$144)</f>
        <v>10</v>
      </c>
      <c r="H165">
        <f>COUNTIFS('Congestion inputs'!$D$276:$D$4366,$C165,'Congestion inputs'!$I$276:$I$4366,H$144)</f>
        <v>10</v>
      </c>
      <c r="I165">
        <f>COUNTIFS('Congestion inputs'!$D$276:$D$4366,$C165,'Congestion inputs'!$I$276:$I$4366,I$144)</f>
        <v>8</v>
      </c>
      <c r="J165">
        <f>COUNTIFS('Congestion inputs'!$D$276:$D$4366,$C165,'Congestion inputs'!$I$276:$I$4366,J$144)</f>
        <v>8</v>
      </c>
      <c r="K165">
        <f>COUNTIFS('Congestion inputs'!$D$276:$D$4366,$C165,'Congestion inputs'!$I$276:$I$4366,K$144)</f>
        <v>7</v>
      </c>
      <c r="L165">
        <f>COUNTIFS('Congestion inputs'!$D$276:$D$4366,$C165,'Congestion inputs'!$I$276:$I$4366,L$144)</f>
        <v>4</v>
      </c>
      <c r="M165" s="195">
        <f t="shared" si="15"/>
        <v>1</v>
      </c>
    </row>
    <row r="166" spans="3:13" x14ac:dyDescent="0.25">
      <c r="C166" s="466">
        <v>53003</v>
      </c>
      <c r="E166">
        <f>COUNTIF('Congestion inputs'!$D$276:$D$4366,$C166)</f>
        <v>62</v>
      </c>
      <c r="F166">
        <f>COUNTIFS('Congestion inputs'!$D$276:$D$4366,$C166,'Congestion inputs'!$I$276:$I$4366,F$144)</f>
        <v>10</v>
      </c>
      <c r="G166">
        <f>COUNTIFS('Congestion inputs'!$D$276:$D$4366,$C166,'Congestion inputs'!$I$276:$I$4366,G$144)</f>
        <v>10</v>
      </c>
      <c r="H166">
        <f>COUNTIFS('Congestion inputs'!$D$276:$D$4366,$C166,'Congestion inputs'!$I$276:$I$4366,H$144)</f>
        <v>10</v>
      </c>
      <c r="I166">
        <f>COUNTIFS('Congestion inputs'!$D$276:$D$4366,$C166,'Congestion inputs'!$I$276:$I$4366,I$144)</f>
        <v>8</v>
      </c>
      <c r="J166">
        <f>COUNTIFS('Congestion inputs'!$D$276:$D$4366,$C166,'Congestion inputs'!$I$276:$I$4366,J$144)</f>
        <v>8</v>
      </c>
      <c r="K166">
        <f>COUNTIFS('Congestion inputs'!$D$276:$D$4366,$C166,'Congestion inputs'!$I$276:$I$4366,K$144)</f>
        <v>8</v>
      </c>
      <c r="L166">
        <f>COUNTIFS('Congestion inputs'!$D$276:$D$4366,$C166,'Congestion inputs'!$I$276:$I$4366,L$144)</f>
        <v>8</v>
      </c>
      <c r="M166" s="195">
        <f t="shared" si="15"/>
        <v>1</v>
      </c>
    </row>
    <row r="167" spans="3:13" x14ac:dyDescent="0.25">
      <c r="C167" s="466">
        <v>53004</v>
      </c>
      <c r="E167">
        <f>COUNTIF('Congestion inputs'!$D$276:$D$4366,$C167)</f>
        <v>10</v>
      </c>
      <c r="F167">
        <f>COUNTIFS('Congestion inputs'!$D$276:$D$4366,$C167,'Congestion inputs'!$I$276:$I$4366,F$144)</f>
        <v>10</v>
      </c>
      <c r="G167">
        <f>COUNTIFS('Congestion inputs'!$D$276:$D$4366,$C167,'Congestion inputs'!$I$276:$I$4366,G$144)</f>
        <v>0</v>
      </c>
      <c r="H167">
        <f>COUNTIFS('Congestion inputs'!$D$276:$D$4366,$C167,'Congestion inputs'!$I$276:$I$4366,H$144)</f>
        <v>0</v>
      </c>
      <c r="I167">
        <f>COUNTIFS('Congestion inputs'!$D$276:$D$4366,$C167,'Congestion inputs'!$I$276:$I$4366,I$144)</f>
        <v>0</v>
      </c>
      <c r="J167">
        <f>COUNTIFS('Congestion inputs'!$D$276:$D$4366,$C167,'Congestion inputs'!$I$276:$I$4366,J$144)</f>
        <v>0</v>
      </c>
      <c r="K167">
        <f>COUNTIFS('Congestion inputs'!$D$276:$D$4366,$C167,'Congestion inputs'!$I$276:$I$4366,K$144)</f>
        <v>0</v>
      </c>
      <c r="L167">
        <f>COUNTIFS('Congestion inputs'!$D$276:$D$4366,$C167,'Congestion inputs'!$I$276:$I$4366,L$144)</f>
        <v>0</v>
      </c>
      <c r="M167" s="195">
        <f t="shared" si="15"/>
        <v>0</v>
      </c>
    </row>
    <row r="168" spans="3:13" x14ac:dyDescent="0.25">
      <c r="C168" s="466">
        <v>53005</v>
      </c>
      <c r="E168">
        <f>COUNTIF('Congestion inputs'!$D$276:$D$4366,$C168)</f>
        <v>54</v>
      </c>
      <c r="F168">
        <f>COUNTIFS('Congestion inputs'!$D$276:$D$4366,$C168,'Congestion inputs'!$I$276:$I$4366,F$144)</f>
        <v>10</v>
      </c>
      <c r="G168">
        <f>COUNTIFS('Congestion inputs'!$D$276:$D$4366,$C168,'Congestion inputs'!$I$276:$I$4366,G$144)</f>
        <v>10</v>
      </c>
      <c r="H168">
        <f>COUNTIFS('Congestion inputs'!$D$276:$D$4366,$C168,'Congestion inputs'!$I$276:$I$4366,H$144)</f>
        <v>10</v>
      </c>
      <c r="I168">
        <f>COUNTIFS('Congestion inputs'!$D$276:$D$4366,$C168,'Congestion inputs'!$I$276:$I$4366,I$144)</f>
        <v>8</v>
      </c>
      <c r="J168">
        <f>COUNTIFS('Congestion inputs'!$D$276:$D$4366,$C168,'Congestion inputs'!$I$276:$I$4366,J$144)</f>
        <v>8</v>
      </c>
      <c r="K168">
        <f>COUNTIFS('Congestion inputs'!$D$276:$D$4366,$C168,'Congestion inputs'!$I$276:$I$4366,K$144)</f>
        <v>0</v>
      </c>
      <c r="L168">
        <f>COUNTIFS('Congestion inputs'!$D$276:$D$4366,$C168,'Congestion inputs'!$I$276:$I$4366,L$144)</f>
        <v>8</v>
      </c>
      <c r="M168" s="195">
        <f t="shared" si="15"/>
        <v>0</v>
      </c>
    </row>
    <row r="169" spans="3:13" x14ac:dyDescent="0.25">
      <c r="C169" s="466">
        <v>55049</v>
      </c>
      <c r="E169">
        <f>COUNTIF('Congestion inputs'!$D$276:$D$4366,$C169)</f>
        <v>58</v>
      </c>
      <c r="F169">
        <f>COUNTIFS('Congestion inputs'!$D$276:$D$4366,$C169,'Congestion inputs'!$I$276:$I$4366,F$144)</f>
        <v>10</v>
      </c>
      <c r="G169">
        <f>COUNTIFS('Congestion inputs'!$D$276:$D$4366,$C169,'Congestion inputs'!$I$276:$I$4366,G$144)</f>
        <v>10</v>
      </c>
      <c r="H169">
        <f>COUNTIFS('Congestion inputs'!$D$276:$D$4366,$C169,'Congestion inputs'!$I$276:$I$4366,H$144)</f>
        <v>10</v>
      </c>
      <c r="I169">
        <f>COUNTIFS('Congestion inputs'!$D$276:$D$4366,$C169,'Congestion inputs'!$I$276:$I$4366,I$144)</f>
        <v>8</v>
      </c>
      <c r="J169">
        <f>COUNTIFS('Congestion inputs'!$D$276:$D$4366,$C169,'Congestion inputs'!$I$276:$I$4366,J$144)</f>
        <v>8</v>
      </c>
      <c r="K169">
        <f>COUNTIFS('Congestion inputs'!$D$276:$D$4366,$C169,'Congestion inputs'!$I$276:$I$4366,K$144)</f>
        <v>8</v>
      </c>
      <c r="L169">
        <f>COUNTIFS('Congestion inputs'!$D$276:$D$4366,$C169,'Congestion inputs'!$I$276:$I$4366,L$144)</f>
        <v>4</v>
      </c>
      <c r="M169" s="195">
        <f t="shared" si="15"/>
        <v>1</v>
      </c>
    </row>
    <row r="170" spans="3:13" x14ac:dyDescent="0.25">
      <c r="C170" s="466">
        <v>55050</v>
      </c>
      <c r="E170">
        <f>COUNTIF('Congestion inputs'!$D$276:$D$4366,$C170)</f>
        <v>54</v>
      </c>
      <c r="F170">
        <f>COUNTIFS('Congestion inputs'!$D$276:$D$4366,$C170,'Congestion inputs'!$I$276:$I$4366,F$144)</f>
        <v>10</v>
      </c>
      <c r="G170">
        <f>COUNTIFS('Congestion inputs'!$D$276:$D$4366,$C170,'Congestion inputs'!$I$276:$I$4366,G$144)</f>
        <v>10</v>
      </c>
      <c r="H170">
        <f>COUNTIFS('Congestion inputs'!$D$276:$D$4366,$C170,'Congestion inputs'!$I$276:$I$4366,H$144)</f>
        <v>10</v>
      </c>
      <c r="I170">
        <f>COUNTIFS('Congestion inputs'!$D$276:$D$4366,$C170,'Congestion inputs'!$I$276:$I$4366,I$144)</f>
        <v>8</v>
      </c>
      <c r="J170">
        <f>COUNTIFS('Congestion inputs'!$D$276:$D$4366,$C170,'Congestion inputs'!$I$276:$I$4366,J$144)</f>
        <v>8</v>
      </c>
      <c r="K170">
        <f>COUNTIFS('Congestion inputs'!$D$276:$D$4366,$C170,'Congestion inputs'!$I$276:$I$4366,K$144)</f>
        <v>8</v>
      </c>
      <c r="L170">
        <f>COUNTIFS('Congestion inputs'!$D$276:$D$4366,$C170,'Congestion inputs'!$I$276:$I$4366,L$144)</f>
        <v>0</v>
      </c>
      <c r="M170" s="195">
        <f t="shared" si="15"/>
        <v>1</v>
      </c>
    </row>
    <row r="171" spans="3:13" x14ac:dyDescent="0.25">
      <c r="C171" s="466">
        <v>57024</v>
      </c>
      <c r="E171">
        <f>COUNTIF('Congestion inputs'!$D$276:$D$4366,$C171)</f>
        <v>54</v>
      </c>
      <c r="F171">
        <f>COUNTIFS('Congestion inputs'!$D$276:$D$4366,$C171,'Congestion inputs'!$I$276:$I$4366,F$144)</f>
        <v>10</v>
      </c>
      <c r="G171">
        <f>COUNTIFS('Congestion inputs'!$D$276:$D$4366,$C171,'Congestion inputs'!$I$276:$I$4366,G$144)</f>
        <v>10</v>
      </c>
      <c r="H171">
        <f>COUNTIFS('Congestion inputs'!$D$276:$D$4366,$C171,'Congestion inputs'!$I$276:$I$4366,H$144)</f>
        <v>10</v>
      </c>
      <c r="I171">
        <f>COUNTIFS('Congestion inputs'!$D$276:$D$4366,$C171,'Congestion inputs'!$I$276:$I$4366,I$144)</f>
        <v>8</v>
      </c>
      <c r="J171">
        <f>COUNTIFS('Congestion inputs'!$D$276:$D$4366,$C171,'Congestion inputs'!$I$276:$I$4366,J$144)</f>
        <v>8</v>
      </c>
      <c r="K171">
        <f>COUNTIFS('Congestion inputs'!$D$276:$D$4366,$C171,'Congestion inputs'!$I$276:$I$4366,K$144)</f>
        <v>8</v>
      </c>
      <c r="L171">
        <f>COUNTIFS('Congestion inputs'!$D$276:$D$4366,$C171,'Congestion inputs'!$I$276:$I$4366,L$144)</f>
        <v>0</v>
      </c>
      <c r="M171" s="195">
        <f t="shared" si="15"/>
        <v>1</v>
      </c>
    </row>
    <row r="172" spans="3:13" x14ac:dyDescent="0.25">
      <c r="C172" s="466">
        <v>57025</v>
      </c>
      <c r="E172">
        <f>COUNTIF('Congestion inputs'!$D$276:$D$4366,$C172)</f>
        <v>62</v>
      </c>
      <c r="F172">
        <f>COUNTIFS('Congestion inputs'!$D$276:$D$4366,$C172,'Congestion inputs'!$I$276:$I$4366,F$144)</f>
        <v>10</v>
      </c>
      <c r="G172">
        <f>COUNTIFS('Congestion inputs'!$D$276:$D$4366,$C172,'Congestion inputs'!$I$276:$I$4366,G$144)</f>
        <v>10</v>
      </c>
      <c r="H172">
        <f>COUNTIFS('Congestion inputs'!$D$276:$D$4366,$C172,'Congestion inputs'!$I$276:$I$4366,H$144)</f>
        <v>10</v>
      </c>
      <c r="I172">
        <f>COUNTIFS('Congestion inputs'!$D$276:$D$4366,$C172,'Congestion inputs'!$I$276:$I$4366,I$144)</f>
        <v>8</v>
      </c>
      <c r="J172">
        <f>COUNTIFS('Congestion inputs'!$D$276:$D$4366,$C172,'Congestion inputs'!$I$276:$I$4366,J$144)</f>
        <v>8</v>
      </c>
      <c r="K172">
        <f>COUNTIFS('Congestion inputs'!$D$276:$D$4366,$C172,'Congestion inputs'!$I$276:$I$4366,K$144)</f>
        <v>8</v>
      </c>
      <c r="L172">
        <f>COUNTIFS('Congestion inputs'!$D$276:$D$4366,$C172,'Congestion inputs'!$I$276:$I$4366,L$144)</f>
        <v>8</v>
      </c>
      <c r="M172" s="195">
        <f t="shared" si="15"/>
        <v>1</v>
      </c>
    </row>
    <row r="173" spans="3:13" x14ac:dyDescent="0.25">
      <c r="C173" s="466" t="str">
        <v>6178-PR</v>
      </c>
      <c r="E173">
        <f>COUNTIF('Congestion inputs'!$D$276:$D$4366,$C173)</f>
        <v>36</v>
      </c>
      <c r="F173">
        <f>COUNTIFS('Congestion inputs'!$D$276:$D$4366,$C173,'Congestion inputs'!$I$276:$I$4366,F$144)</f>
        <v>10</v>
      </c>
      <c r="G173">
        <f>COUNTIFS('Congestion inputs'!$D$276:$D$4366,$C173,'Congestion inputs'!$I$276:$I$4366,G$144)</f>
        <v>5</v>
      </c>
      <c r="H173">
        <f>COUNTIFS('Congestion inputs'!$D$276:$D$4366,$C173,'Congestion inputs'!$I$276:$I$4366,H$144)</f>
        <v>5</v>
      </c>
      <c r="I173">
        <f>COUNTIFS('Congestion inputs'!$D$276:$D$4366,$C173,'Congestion inputs'!$I$276:$I$4366,I$144)</f>
        <v>4</v>
      </c>
      <c r="J173">
        <f>COUNTIFS('Congestion inputs'!$D$276:$D$4366,$C173,'Congestion inputs'!$I$276:$I$4366,J$144)</f>
        <v>4</v>
      </c>
      <c r="K173">
        <f>COUNTIFS('Congestion inputs'!$D$276:$D$4366,$C173,'Congestion inputs'!$I$276:$I$4366,K$144)</f>
        <v>4</v>
      </c>
      <c r="L173">
        <f>COUNTIFS('Congestion inputs'!$D$276:$D$4366,$C173,'Congestion inputs'!$I$276:$I$4366,L$144)</f>
        <v>4</v>
      </c>
      <c r="M173" s="195">
        <f t="shared" si="15"/>
        <v>1</v>
      </c>
    </row>
    <row r="174" spans="3:13" x14ac:dyDescent="0.25">
      <c r="C174" s="466">
        <v>6179</v>
      </c>
      <c r="E174">
        <f>COUNTIF('Congestion inputs'!$D$276:$D$4366,$C174)</f>
        <v>62</v>
      </c>
      <c r="F174">
        <f>COUNTIFS('Congestion inputs'!$D$276:$D$4366,$C174,'Congestion inputs'!$I$276:$I$4366,F$144)</f>
        <v>10</v>
      </c>
      <c r="G174">
        <f>COUNTIFS('Congestion inputs'!$D$276:$D$4366,$C174,'Congestion inputs'!$I$276:$I$4366,G$144)</f>
        <v>10</v>
      </c>
      <c r="H174">
        <f>COUNTIFS('Congestion inputs'!$D$276:$D$4366,$C174,'Congestion inputs'!$I$276:$I$4366,H$144)</f>
        <v>10</v>
      </c>
      <c r="I174">
        <f>COUNTIFS('Congestion inputs'!$D$276:$D$4366,$C174,'Congestion inputs'!$I$276:$I$4366,I$144)</f>
        <v>8</v>
      </c>
      <c r="J174">
        <f>COUNTIFS('Congestion inputs'!$D$276:$D$4366,$C174,'Congestion inputs'!$I$276:$I$4366,J$144)</f>
        <v>8</v>
      </c>
      <c r="K174">
        <f>COUNTIFS('Congestion inputs'!$D$276:$D$4366,$C174,'Congestion inputs'!$I$276:$I$4366,K$144)</f>
        <v>8</v>
      </c>
      <c r="L174">
        <f>COUNTIFS('Congestion inputs'!$D$276:$D$4366,$C174,'Congestion inputs'!$I$276:$I$4366,L$144)</f>
        <v>8</v>
      </c>
      <c r="M174" s="195">
        <f t="shared" si="15"/>
        <v>1</v>
      </c>
    </row>
    <row r="175" spans="3:13" x14ac:dyDescent="0.25">
      <c r="C175" s="466">
        <v>62001</v>
      </c>
      <c r="E175">
        <f>COUNTIF('Congestion inputs'!$D$276:$D$4366,$C175)</f>
        <v>30</v>
      </c>
      <c r="F175">
        <f>COUNTIFS('Congestion inputs'!$D$276:$D$4366,$C175,'Congestion inputs'!$I$276:$I$4366,F$144)</f>
        <v>10</v>
      </c>
      <c r="G175">
        <f>COUNTIFS('Congestion inputs'!$D$276:$D$4366,$C175,'Congestion inputs'!$I$276:$I$4366,G$144)</f>
        <v>10</v>
      </c>
      <c r="H175">
        <f>COUNTIFS('Congestion inputs'!$D$276:$D$4366,$C175,'Congestion inputs'!$I$276:$I$4366,H$144)</f>
        <v>10</v>
      </c>
      <c r="I175">
        <f>COUNTIFS('Congestion inputs'!$D$276:$D$4366,$C175,'Congestion inputs'!$I$276:$I$4366,I$144)</f>
        <v>0</v>
      </c>
      <c r="J175">
        <f>COUNTIFS('Congestion inputs'!$D$276:$D$4366,$C175,'Congestion inputs'!$I$276:$I$4366,J$144)</f>
        <v>0</v>
      </c>
      <c r="K175">
        <f>COUNTIFS('Congestion inputs'!$D$276:$D$4366,$C175,'Congestion inputs'!$I$276:$I$4366,K$144)</f>
        <v>0</v>
      </c>
      <c r="L175">
        <f>COUNTIFS('Congestion inputs'!$D$276:$D$4366,$C175,'Congestion inputs'!$I$276:$I$4366,L$144)</f>
        <v>0</v>
      </c>
      <c r="M175" s="195">
        <f t="shared" si="15"/>
        <v>0</v>
      </c>
    </row>
    <row r="176" spans="3:13" x14ac:dyDescent="0.25">
      <c r="C176" s="466">
        <v>66249</v>
      </c>
      <c r="E176">
        <f>COUNTIF('Congestion inputs'!$D$276:$D$4366,$C176)</f>
        <v>62</v>
      </c>
      <c r="F176">
        <f>COUNTIFS('Congestion inputs'!$D$276:$D$4366,$C176,'Congestion inputs'!$I$276:$I$4366,F$144)</f>
        <v>10</v>
      </c>
      <c r="G176">
        <f>COUNTIFS('Congestion inputs'!$D$276:$D$4366,$C176,'Congestion inputs'!$I$276:$I$4366,G$144)</f>
        <v>10</v>
      </c>
      <c r="H176">
        <f>COUNTIFS('Congestion inputs'!$D$276:$D$4366,$C176,'Congestion inputs'!$I$276:$I$4366,H$144)</f>
        <v>10</v>
      </c>
      <c r="I176">
        <f>COUNTIFS('Congestion inputs'!$D$276:$D$4366,$C176,'Congestion inputs'!$I$276:$I$4366,I$144)</f>
        <v>8</v>
      </c>
      <c r="J176">
        <f>COUNTIFS('Congestion inputs'!$D$276:$D$4366,$C176,'Congestion inputs'!$I$276:$I$4366,J$144)</f>
        <v>8</v>
      </c>
      <c r="K176">
        <f>COUNTIFS('Congestion inputs'!$D$276:$D$4366,$C176,'Congestion inputs'!$I$276:$I$4366,K$144)</f>
        <v>8</v>
      </c>
      <c r="L176">
        <f>COUNTIFS('Congestion inputs'!$D$276:$D$4366,$C176,'Congestion inputs'!$I$276:$I$4366,L$144)</f>
        <v>8</v>
      </c>
      <c r="M176" s="195">
        <f t="shared" si="15"/>
        <v>1</v>
      </c>
    </row>
    <row r="177" spans="3:13" x14ac:dyDescent="0.25">
      <c r="C177" s="466">
        <v>68025</v>
      </c>
      <c r="E177">
        <f>COUNTIF('Congestion inputs'!$D$276:$D$4366,$C177)</f>
        <v>62</v>
      </c>
      <c r="F177">
        <f>COUNTIFS('Congestion inputs'!$D$276:$D$4366,$C177,'Congestion inputs'!$I$276:$I$4366,F$144)</f>
        <v>10</v>
      </c>
      <c r="G177">
        <f>COUNTIFS('Congestion inputs'!$D$276:$D$4366,$C177,'Congestion inputs'!$I$276:$I$4366,G$144)</f>
        <v>10</v>
      </c>
      <c r="H177">
        <f>COUNTIFS('Congestion inputs'!$D$276:$D$4366,$C177,'Congestion inputs'!$I$276:$I$4366,H$144)</f>
        <v>10</v>
      </c>
      <c r="I177">
        <f>COUNTIFS('Congestion inputs'!$D$276:$D$4366,$C177,'Congestion inputs'!$I$276:$I$4366,I$144)</f>
        <v>8</v>
      </c>
      <c r="J177">
        <f>COUNTIFS('Congestion inputs'!$D$276:$D$4366,$C177,'Congestion inputs'!$I$276:$I$4366,J$144)</f>
        <v>8</v>
      </c>
      <c r="K177">
        <f>COUNTIFS('Congestion inputs'!$D$276:$D$4366,$C177,'Congestion inputs'!$I$276:$I$4366,K$144)</f>
        <v>8</v>
      </c>
      <c r="L177">
        <f>COUNTIFS('Congestion inputs'!$D$276:$D$4366,$C177,'Congestion inputs'!$I$276:$I$4366,L$144)</f>
        <v>8</v>
      </c>
      <c r="M177" s="195">
        <f t="shared" ref="M177:M208" si="16">IF(K177=0,0,1)</f>
        <v>1</v>
      </c>
    </row>
    <row r="178" spans="3:13" x14ac:dyDescent="0.25">
      <c r="C178" s="466">
        <v>71024</v>
      </c>
      <c r="E178">
        <f>COUNTIF('Congestion inputs'!$D$276:$D$4366,$C178)</f>
        <v>30</v>
      </c>
      <c r="F178">
        <f>COUNTIFS('Congestion inputs'!$D$276:$D$4366,$C178,'Congestion inputs'!$I$276:$I$4366,F$144)</f>
        <v>10</v>
      </c>
      <c r="G178">
        <f>COUNTIFS('Congestion inputs'!$D$276:$D$4366,$C178,'Congestion inputs'!$I$276:$I$4366,G$144)</f>
        <v>10</v>
      </c>
      <c r="H178">
        <f>COUNTIFS('Congestion inputs'!$D$276:$D$4366,$C178,'Congestion inputs'!$I$276:$I$4366,H$144)</f>
        <v>10</v>
      </c>
      <c r="I178">
        <f>COUNTIFS('Congestion inputs'!$D$276:$D$4366,$C178,'Congestion inputs'!$I$276:$I$4366,I$144)</f>
        <v>0</v>
      </c>
      <c r="J178">
        <f>COUNTIFS('Congestion inputs'!$D$276:$D$4366,$C178,'Congestion inputs'!$I$276:$I$4366,J$144)</f>
        <v>0</v>
      </c>
      <c r="K178">
        <f>COUNTIFS('Congestion inputs'!$D$276:$D$4366,$C178,'Congestion inputs'!$I$276:$I$4366,K$144)</f>
        <v>0</v>
      </c>
      <c r="L178">
        <f>COUNTIFS('Congestion inputs'!$D$276:$D$4366,$C178,'Congestion inputs'!$I$276:$I$4366,L$144)</f>
        <v>0</v>
      </c>
      <c r="M178" s="195">
        <f t="shared" si="16"/>
        <v>0</v>
      </c>
    </row>
    <row r="179" spans="3:13" x14ac:dyDescent="0.25">
      <c r="C179" s="466" t="str">
        <v>7104-PR</v>
      </c>
      <c r="E179">
        <f>COUNTIF('Congestion inputs'!$D$276:$D$4366,$C179)</f>
        <v>54</v>
      </c>
      <c r="F179">
        <f>COUNTIFS('Congestion inputs'!$D$276:$D$4366,$C179,'Congestion inputs'!$I$276:$I$4366,F$144)</f>
        <v>10</v>
      </c>
      <c r="G179">
        <f>COUNTIFS('Congestion inputs'!$D$276:$D$4366,$C179,'Congestion inputs'!$I$276:$I$4366,G$144)</f>
        <v>10</v>
      </c>
      <c r="H179">
        <f>COUNTIFS('Congestion inputs'!$D$276:$D$4366,$C179,'Congestion inputs'!$I$276:$I$4366,H$144)</f>
        <v>10</v>
      </c>
      <c r="I179">
        <f>COUNTIFS('Congestion inputs'!$D$276:$D$4366,$C179,'Congestion inputs'!$I$276:$I$4366,I$144)</f>
        <v>8</v>
      </c>
      <c r="J179">
        <f>COUNTIFS('Congestion inputs'!$D$276:$D$4366,$C179,'Congestion inputs'!$I$276:$I$4366,J$144)</f>
        <v>8</v>
      </c>
      <c r="K179">
        <f>COUNTIFS('Congestion inputs'!$D$276:$D$4366,$C179,'Congestion inputs'!$I$276:$I$4366,K$144)</f>
        <v>8</v>
      </c>
      <c r="L179">
        <f>COUNTIFS('Congestion inputs'!$D$276:$D$4366,$C179,'Congestion inputs'!$I$276:$I$4366,L$144)</f>
        <v>0</v>
      </c>
      <c r="M179" s="195">
        <f t="shared" si="16"/>
        <v>1</v>
      </c>
    </row>
    <row r="180" spans="3:13" x14ac:dyDescent="0.25">
      <c r="C180" s="466">
        <v>7112</v>
      </c>
      <c r="E180">
        <f>COUNTIF('Congestion inputs'!$D$276:$D$4366,$C180)</f>
        <v>31</v>
      </c>
      <c r="F180">
        <f>COUNTIFS('Congestion inputs'!$D$276:$D$4366,$C180,'Congestion inputs'!$I$276:$I$4366,F$144)</f>
        <v>5</v>
      </c>
      <c r="G180">
        <f>COUNTIFS('Congestion inputs'!$D$276:$D$4366,$C180,'Congestion inputs'!$I$276:$I$4366,G$144)</f>
        <v>5</v>
      </c>
      <c r="H180">
        <f>COUNTIFS('Congestion inputs'!$D$276:$D$4366,$C180,'Congestion inputs'!$I$276:$I$4366,H$144)</f>
        <v>5</v>
      </c>
      <c r="I180">
        <f>COUNTIFS('Congestion inputs'!$D$276:$D$4366,$C180,'Congestion inputs'!$I$276:$I$4366,I$144)</f>
        <v>4</v>
      </c>
      <c r="J180">
        <f>COUNTIFS('Congestion inputs'!$D$276:$D$4366,$C180,'Congestion inputs'!$I$276:$I$4366,J$144)</f>
        <v>4</v>
      </c>
      <c r="K180">
        <f>COUNTIFS('Congestion inputs'!$D$276:$D$4366,$C180,'Congestion inputs'!$I$276:$I$4366,K$144)</f>
        <v>4</v>
      </c>
      <c r="L180">
        <f>COUNTIFS('Congestion inputs'!$D$276:$D$4366,$C180,'Congestion inputs'!$I$276:$I$4366,L$144)</f>
        <v>4</v>
      </c>
      <c r="M180" s="195">
        <f t="shared" si="16"/>
        <v>1</v>
      </c>
    </row>
    <row r="181" spans="3:13" x14ac:dyDescent="0.25">
      <c r="C181" s="466">
        <v>7115</v>
      </c>
      <c r="E181">
        <f>COUNTIF('Congestion inputs'!$D$276:$D$4366,$C181)</f>
        <v>38</v>
      </c>
      <c r="F181">
        <f>COUNTIFS('Congestion inputs'!$D$276:$D$4366,$C181,'Congestion inputs'!$I$276:$I$4366,F$144)</f>
        <v>10</v>
      </c>
      <c r="G181">
        <f>COUNTIFS('Congestion inputs'!$D$276:$D$4366,$C181,'Congestion inputs'!$I$276:$I$4366,G$144)</f>
        <v>10</v>
      </c>
      <c r="H181">
        <f>COUNTIFS('Congestion inputs'!$D$276:$D$4366,$C181,'Congestion inputs'!$I$276:$I$4366,H$144)</f>
        <v>10</v>
      </c>
      <c r="I181">
        <f>COUNTIFS('Congestion inputs'!$D$276:$D$4366,$C181,'Congestion inputs'!$I$276:$I$4366,I$144)</f>
        <v>8</v>
      </c>
      <c r="J181">
        <f>COUNTIFS('Congestion inputs'!$D$276:$D$4366,$C181,'Congestion inputs'!$I$276:$I$4366,J$144)</f>
        <v>0</v>
      </c>
      <c r="K181">
        <f>COUNTIFS('Congestion inputs'!$D$276:$D$4366,$C181,'Congestion inputs'!$I$276:$I$4366,K$144)</f>
        <v>0</v>
      </c>
      <c r="L181">
        <f>COUNTIFS('Congestion inputs'!$D$276:$D$4366,$C181,'Congestion inputs'!$I$276:$I$4366,L$144)</f>
        <v>0</v>
      </c>
      <c r="M181" s="195">
        <f t="shared" si="16"/>
        <v>0</v>
      </c>
    </row>
    <row r="182" spans="3:13" x14ac:dyDescent="0.25">
      <c r="C182" s="466" t="str">
        <v>7119-PR</v>
      </c>
      <c r="E182">
        <f>COUNTIF('Congestion inputs'!$D$276:$D$4366,$C182)</f>
        <v>62</v>
      </c>
      <c r="F182">
        <f>COUNTIFS('Congestion inputs'!$D$276:$D$4366,$C182,'Congestion inputs'!$I$276:$I$4366,F$144)</f>
        <v>10</v>
      </c>
      <c r="G182">
        <f>COUNTIFS('Congestion inputs'!$D$276:$D$4366,$C182,'Congestion inputs'!$I$276:$I$4366,G$144)</f>
        <v>10</v>
      </c>
      <c r="H182">
        <f>COUNTIFS('Congestion inputs'!$D$276:$D$4366,$C182,'Congestion inputs'!$I$276:$I$4366,H$144)</f>
        <v>10</v>
      </c>
      <c r="I182">
        <f>COUNTIFS('Congestion inputs'!$D$276:$D$4366,$C182,'Congestion inputs'!$I$276:$I$4366,I$144)</f>
        <v>8</v>
      </c>
      <c r="J182">
        <f>COUNTIFS('Congestion inputs'!$D$276:$D$4366,$C182,'Congestion inputs'!$I$276:$I$4366,J$144)</f>
        <v>8</v>
      </c>
      <c r="K182">
        <f>COUNTIFS('Congestion inputs'!$D$276:$D$4366,$C182,'Congestion inputs'!$I$276:$I$4366,K$144)</f>
        <v>8</v>
      </c>
      <c r="L182">
        <f>COUNTIFS('Congestion inputs'!$D$276:$D$4366,$C182,'Congestion inputs'!$I$276:$I$4366,L$144)</f>
        <v>8</v>
      </c>
      <c r="M182" s="195">
        <f t="shared" si="16"/>
        <v>1</v>
      </c>
    </row>
    <row r="183" spans="3:13" x14ac:dyDescent="0.25">
      <c r="C183" s="466">
        <v>7120</v>
      </c>
      <c r="E183">
        <f>COUNTIF('Congestion inputs'!$D$276:$D$4366,$C183)</f>
        <v>31</v>
      </c>
      <c r="F183">
        <f>COUNTIFS('Congestion inputs'!$D$276:$D$4366,$C183,'Congestion inputs'!$I$276:$I$4366,F$144)</f>
        <v>5</v>
      </c>
      <c r="G183">
        <f>COUNTIFS('Congestion inputs'!$D$276:$D$4366,$C183,'Congestion inputs'!$I$276:$I$4366,G$144)</f>
        <v>5</v>
      </c>
      <c r="H183">
        <f>COUNTIFS('Congestion inputs'!$D$276:$D$4366,$C183,'Congestion inputs'!$I$276:$I$4366,H$144)</f>
        <v>5</v>
      </c>
      <c r="I183">
        <f>COUNTIFS('Congestion inputs'!$D$276:$D$4366,$C183,'Congestion inputs'!$I$276:$I$4366,I$144)</f>
        <v>4</v>
      </c>
      <c r="J183">
        <f>COUNTIFS('Congestion inputs'!$D$276:$D$4366,$C183,'Congestion inputs'!$I$276:$I$4366,J$144)</f>
        <v>4</v>
      </c>
      <c r="K183">
        <f>COUNTIFS('Congestion inputs'!$D$276:$D$4366,$C183,'Congestion inputs'!$I$276:$I$4366,K$144)</f>
        <v>4</v>
      </c>
      <c r="L183">
        <f>COUNTIFS('Congestion inputs'!$D$276:$D$4366,$C183,'Congestion inputs'!$I$276:$I$4366,L$144)</f>
        <v>4</v>
      </c>
      <c r="M183" s="195">
        <f t="shared" si="16"/>
        <v>1</v>
      </c>
    </row>
    <row r="184" spans="3:13" x14ac:dyDescent="0.25">
      <c r="C184" s="466">
        <v>7121</v>
      </c>
      <c r="E184">
        <f>COUNTIF('Congestion inputs'!$D$276:$D$4366,$C184)</f>
        <v>31</v>
      </c>
      <c r="F184">
        <f>COUNTIFS('Congestion inputs'!$D$276:$D$4366,$C184,'Congestion inputs'!$I$276:$I$4366,F$144)</f>
        <v>5</v>
      </c>
      <c r="G184">
        <f>COUNTIFS('Congestion inputs'!$D$276:$D$4366,$C184,'Congestion inputs'!$I$276:$I$4366,G$144)</f>
        <v>5</v>
      </c>
      <c r="H184">
        <f>COUNTIFS('Congestion inputs'!$D$276:$D$4366,$C184,'Congestion inputs'!$I$276:$I$4366,H$144)</f>
        <v>5</v>
      </c>
      <c r="I184">
        <f>COUNTIFS('Congestion inputs'!$D$276:$D$4366,$C184,'Congestion inputs'!$I$276:$I$4366,I$144)</f>
        <v>4</v>
      </c>
      <c r="J184">
        <f>COUNTIFS('Congestion inputs'!$D$276:$D$4366,$C184,'Congestion inputs'!$I$276:$I$4366,J$144)</f>
        <v>4</v>
      </c>
      <c r="K184">
        <f>COUNTIFS('Congestion inputs'!$D$276:$D$4366,$C184,'Congestion inputs'!$I$276:$I$4366,K$144)</f>
        <v>4</v>
      </c>
      <c r="L184">
        <f>COUNTIFS('Congestion inputs'!$D$276:$D$4366,$C184,'Congestion inputs'!$I$276:$I$4366,L$144)</f>
        <v>4</v>
      </c>
      <c r="M184" s="195">
        <f t="shared" si="16"/>
        <v>1</v>
      </c>
    </row>
    <row r="185" spans="3:13" x14ac:dyDescent="0.25">
      <c r="C185" s="466" t="str">
        <v>7123-PR</v>
      </c>
      <c r="E185">
        <f>COUNTIF('Congestion inputs'!$D$276:$D$4366,$C185)</f>
        <v>62</v>
      </c>
      <c r="F185">
        <f>COUNTIFS('Congestion inputs'!$D$276:$D$4366,$C185,'Congestion inputs'!$I$276:$I$4366,F$144)</f>
        <v>10</v>
      </c>
      <c r="G185">
        <f>COUNTIFS('Congestion inputs'!$D$276:$D$4366,$C185,'Congestion inputs'!$I$276:$I$4366,G$144)</f>
        <v>10</v>
      </c>
      <c r="H185">
        <f>COUNTIFS('Congestion inputs'!$D$276:$D$4366,$C185,'Congestion inputs'!$I$276:$I$4366,H$144)</f>
        <v>10</v>
      </c>
      <c r="I185">
        <f>COUNTIFS('Congestion inputs'!$D$276:$D$4366,$C185,'Congestion inputs'!$I$276:$I$4366,I$144)</f>
        <v>8</v>
      </c>
      <c r="J185">
        <f>COUNTIFS('Congestion inputs'!$D$276:$D$4366,$C185,'Congestion inputs'!$I$276:$I$4366,J$144)</f>
        <v>8</v>
      </c>
      <c r="K185">
        <f>COUNTIFS('Congestion inputs'!$D$276:$D$4366,$C185,'Congestion inputs'!$I$276:$I$4366,K$144)</f>
        <v>8</v>
      </c>
      <c r="L185">
        <f>COUNTIFS('Congestion inputs'!$D$276:$D$4366,$C185,'Congestion inputs'!$I$276:$I$4366,L$144)</f>
        <v>8</v>
      </c>
      <c r="M185" s="195">
        <f t="shared" si="16"/>
        <v>1</v>
      </c>
    </row>
    <row r="186" spans="3:13" x14ac:dyDescent="0.25">
      <c r="C186" s="466">
        <v>7126</v>
      </c>
      <c r="E186">
        <f>COUNTIF('Congestion inputs'!$D$276:$D$4366,$C186)</f>
        <v>31</v>
      </c>
      <c r="F186">
        <f>COUNTIFS('Congestion inputs'!$D$276:$D$4366,$C186,'Congestion inputs'!$I$276:$I$4366,F$144)</f>
        <v>5</v>
      </c>
      <c r="G186">
        <f>COUNTIFS('Congestion inputs'!$D$276:$D$4366,$C186,'Congestion inputs'!$I$276:$I$4366,G$144)</f>
        <v>5</v>
      </c>
      <c r="H186">
        <f>COUNTIFS('Congestion inputs'!$D$276:$D$4366,$C186,'Congestion inputs'!$I$276:$I$4366,H$144)</f>
        <v>5</v>
      </c>
      <c r="I186">
        <f>COUNTIFS('Congestion inputs'!$D$276:$D$4366,$C186,'Congestion inputs'!$I$276:$I$4366,I$144)</f>
        <v>4</v>
      </c>
      <c r="J186">
        <f>COUNTIFS('Congestion inputs'!$D$276:$D$4366,$C186,'Congestion inputs'!$I$276:$I$4366,J$144)</f>
        <v>4</v>
      </c>
      <c r="K186">
        <f>COUNTIFS('Congestion inputs'!$D$276:$D$4366,$C186,'Congestion inputs'!$I$276:$I$4366,K$144)</f>
        <v>4</v>
      </c>
      <c r="L186">
        <f>COUNTIFS('Congestion inputs'!$D$276:$D$4366,$C186,'Congestion inputs'!$I$276:$I$4366,L$144)</f>
        <v>4</v>
      </c>
      <c r="M186" s="195">
        <f t="shared" si="16"/>
        <v>1</v>
      </c>
    </row>
    <row r="187" spans="3:13" x14ac:dyDescent="0.25">
      <c r="C187" s="466">
        <v>7132</v>
      </c>
      <c r="E187">
        <f>COUNTIF('Congestion inputs'!$D$276:$D$4366,$C187)</f>
        <v>31</v>
      </c>
      <c r="F187">
        <f>COUNTIFS('Congestion inputs'!$D$276:$D$4366,$C187,'Congestion inputs'!$I$276:$I$4366,F$144)</f>
        <v>5</v>
      </c>
      <c r="G187">
        <f>COUNTIFS('Congestion inputs'!$D$276:$D$4366,$C187,'Congestion inputs'!$I$276:$I$4366,G$144)</f>
        <v>5</v>
      </c>
      <c r="H187">
        <f>COUNTIFS('Congestion inputs'!$D$276:$D$4366,$C187,'Congestion inputs'!$I$276:$I$4366,H$144)</f>
        <v>5</v>
      </c>
      <c r="I187">
        <f>COUNTIFS('Congestion inputs'!$D$276:$D$4366,$C187,'Congestion inputs'!$I$276:$I$4366,I$144)</f>
        <v>4</v>
      </c>
      <c r="J187">
        <f>COUNTIFS('Congestion inputs'!$D$276:$D$4366,$C187,'Congestion inputs'!$I$276:$I$4366,J$144)</f>
        <v>4</v>
      </c>
      <c r="K187">
        <f>COUNTIFS('Congestion inputs'!$D$276:$D$4366,$C187,'Congestion inputs'!$I$276:$I$4366,K$144)</f>
        <v>4</v>
      </c>
      <c r="L187">
        <f>COUNTIFS('Congestion inputs'!$D$276:$D$4366,$C187,'Congestion inputs'!$I$276:$I$4366,L$144)</f>
        <v>4</v>
      </c>
      <c r="M187" s="195">
        <f t="shared" si="16"/>
        <v>1</v>
      </c>
    </row>
    <row r="188" spans="3:13" x14ac:dyDescent="0.25">
      <c r="C188" s="466">
        <v>7139</v>
      </c>
      <c r="E188">
        <f>COUNTIF('Congestion inputs'!$D$276:$D$4366,$C188)</f>
        <v>31</v>
      </c>
      <c r="F188">
        <f>COUNTIFS('Congestion inputs'!$D$276:$D$4366,$C188,'Congestion inputs'!$I$276:$I$4366,F$144)</f>
        <v>5</v>
      </c>
      <c r="G188">
        <f>COUNTIFS('Congestion inputs'!$D$276:$D$4366,$C188,'Congestion inputs'!$I$276:$I$4366,G$144)</f>
        <v>5</v>
      </c>
      <c r="H188">
        <f>COUNTIFS('Congestion inputs'!$D$276:$D$4366,$C188,'Congestion inputs'!$I$276:$I$4366,H$144)</f>
        <v>5</v>
      </c>
      <c r="I188">
        <f>COUNTIFS('Congestion inputs'!$D$276:$D$4366,$C188,'Congestion inputs'!$I$276:$I$4366,I$144)</f>
        <v>4</v>
      </c>
      <c r="J188">
        <f>COUNTIFS('Congestion inputs'!$D$276:$D$4366,$C188,'Congestion inputs'!$I$276:$I$4366,J$144)</f>
        <v>4</v>
      </c>
      <c r="K188">
        <f>COUNTIFS('Congestion inputs'!$D$276:$D$4366,$C188,'Congestion inputs'!$I$276:$I$4366,K$144)</f>
        <v>4</v>
      </c>
      <c r="L188">
        <f>COUNTIFS('Congestion inputs'!$D$276:$D$4366,$C188,'Congestion inputs'!$I$276:$I$4366,L$144)</f>
        <v>4</v>
      </c>
      <c r="M188" s="195">
        <f t="shared" si="16"/>
        <v>1</v>
      </c>
    </row>
    <row r="189" spans="3:13" x14ac:dyDescent="0.25">
      <c r="C189" s="466">
        <v>7149</v>
      </c>
      <c r="E189">
        <f>COUNTIF('Congestion inputs'!$D$276:$D$4366,$C189)</f>
        <v>54</v>
      </c>
      <c r="F189">
        <f>COUNTIFS('Congestion inputs'!$D$276:$D$4366,$C189,'Congestion inputs'!$I$276:$I$4366,F$144)</f>
        <v>10</v>
      </c>
      <c r="G189">
        <f>COUNTIFS('Congestion inputs'!$D$276:$D$4366,$C189,'Congestion inputs'!$I$276:$I$4366,G$144)</f>
        <v>10</v>
      </c>
      <c r="H189">
        <f>COUNTIFS('Congestion inputs'!$D$276:$D$4366,$C189,'Congestion inputs'!$I$276:$I$4366,H$144)</f>
        <v>10</v>
      </c>
      <c r="I189">
        <f>COUNTIFS('Congestion inputs'!$D$276:$D$4366,$C189,'Congestion inputs'!$I$276:$I$4366,I$144)</f>
        <v>8</v>
      </c>
      <c r="J189">
        <f>COUNTIFS('Congestion inputs'!$D$276:$D$4366,$C189,'Congestion inputs'!$I$276:$I$4366,J$144)</f>
        <v>8</v>
      </c>
      <c r="K189">
        <f>COUNTIFS('Congestion inputs'!$D$276:$D$4366,$C189,'Congestion inputs'!$I$276:$I$4366,K$144)</f>
        <v>8</v>
      </c>
      <c r="L189">
        <f>COUNTIFS('Congestion inputs'!$D$276:$D$4366,$C189,'Congestion inputs'!$I$276:$I$4366,L$144)</f>
        <v>0</v>
      </c>
      <c r="M189" s="195">
        <f t="shared" si="16"/>
        <v>1</v>
      </c>
    </row>
    <row r="190" spans="3:13" x14ac:dyDescent="0.25">
      <c r="C190" s="466">
        <v>7150</v>
      </c>
      <c r="E190">
        <f>COUNTIF('Congestion inputs'!$D$276:$D$4366,$C190)</f>
        <v>31</v>
      </c>
      <c r="F190">
        <f>COUNTIFS('Congestion inputs'!$D$276:$D$4366,$C190,'Congestion inputs'!$I$276:$I$4366,F$144)</f>
        <v>5</v>
      </c>
      <c r="G190">
        <f>COUNTIFS('Congestion inputs'!$D$276:$D$4366,$C190,'Congestion inputs'!$I$276:$I$4366,G$144)</f>
        <v>5</v>
      </c>
      <c r="H190">
        <f>COUNTIFS('Congestion inputs'!$D$276:$D$4366,$C190,'Congestion inputs'!$I$276:$I$4366,H$144)</f>
        <v>5</v>
      </c>
      <c r="I190">
        <f>COUNTIFS('Congestion inputs'!$D$276:$D$4366,$C190,'Congestion inputs'!$I$276:$I$4366,I$144)</f>
        <v>4</v>
      </c>
      <c r="J190">
        <f>COUNTIFS('Congestion inputs'!$D$276:$D$4366,$C190,'Congestion inputs'!$I$276:$I$4366,J$144)</f>
        <v>4</v>
      </c>
      <c r="K190">
        <f>COUNTIFS('Congestion inputs'!$D$276:$D$4366,$C190,'Congestion inputs'!$I$276:$I$4366,K$144)</f>
        <v>4</v>
      </c>
      <c r="L190">
        <f>COUNTIFS('Congestion inputs'!$D$276:$D$4366,$C190,'Congestion inputs'!$I$276:$I$4366,L$144)</f>
        <v>4</v>
      </c>
      <c r="M190" s="195">
        <f t="shared" si="16"/>
        <v>1</v>
      </c>
    </row>
    <row r="191" spans="3:13" x14ac:dyDescent="0.25">
      <c r="C191" s="466">
        <v>7153</v>
      </c>
      <c r="E191">
        <f>COUNTIF('Congestion inputs'!$D$276:$D$4366,$C191)</f>
        <v>31</v>
      </c>
      <c r="F191">
        <f>COUNTIFS('Congestion inputs'!$D$276:$D$4366,$C191,'Congestion inputs'!$I$276:$I$4366,F$144)</f>
        <v>5</v>
      </c>
      <c r="G191">
        <f>COUNTIFS('Congestion inputs'!$D$276:$D$4366,$C191,'Congestion inputs'!$I$276:$I$4366,G$144)</f>
        <v>5</v>
      </c>
      <c r="H191">
        <f>COUNTIFS('Congestion inputs'!$D$276:$D$4366,$C191,'Congestion inputs'!$I$276:$I$4366,H$144)</f>
        <v>5</v>
      </c>
      <c r="I191">
        <f>COUNTIFS('Congestion inputs'!$D$276:$D$4366,$C191,'Congestion inputs'!$I$276:$I$4366,I$144)</f>
        <v>4</v>
      </c>
      <c r="J191">
        <f>COUNTIFS('Congestion inputs'!$D$276:$D$4366,$C191,'Congestion inputs'!$I$276:$I$4366,J$144)</f>
        <v>4</v>
      </c>
      <c r="K191">
        <f>COUNTIFS('Congestion inputs'!$D$276:$D$4366,$C191,'Congestion inputs'!$I$276:$I$4366,K$144)</f>
        <v>4</v>
      </c>
      <c r="L191">
        <f>COUNTIFS('Congestion inputs'!$D$276:$D$4366,$C191,'Congestion inputs'!$I$276:$I$4366,L$144)</f>
        <v>4</v>
      </c>
      <c r="M191" s="195">
        <f t="shared" si="16"/>
        <v>1</v>
      </c>
    </row>
    <row r="192" spans="3:13" x14ac:dyDescent="0.25">
      <c r="C192" s="466">
        <v>7159</v>
      </c>
      <c r="E192">
        <f>COUNTIF('Congestion inputs'!$D$276:$D$4366,$C192)</f>
        <v>31</v>
      </c>
      <c r="F192">
        <f>COUNTIFS('Congestion inputs'!$D$276:$D$4366,$C192,'Congestion inputs'!$I$276:$I$4366,F$144)</f>
        <v>5</v>
      </c>
      <c r="G192">
        <f>COUNTIFS('Congestion inputs'!$D$276:$D$4366,$C192,'Congestion inputs'!$I$276:$I$4366,G$144)</f>
        <v>5</v>
      </c>
      <c r="H192">
        <f>COUNTIFS('Congestion inputs'!$D$276:$D$4366,$C192,'Congestion inputs'!$I$276:$I$4366,H$144)</f>
        <v>5</v>
      </c>
      <c r="I192">
        <f>COUNTIFS('Congestion inputs'!$D$276:$D$4366,$C192,'Congestion inputs'!$I$276:$I$4366,I$144)</f>
        <v>4</v>
      </c>
      <c r="J192">
        <f>COUNTIFS('Congestion inputs'!$D$276:$D$4366,$C192,'Congestion inputs'!$I$276:$I$4366,J$144)</f>
        <v>4</v>
      </c>
      <c r="K192">
        <f>COUNTIFS('Congestion inputs'!$D$276:$D$4366,$C192,'Congestion inputs'!$I$276:$I$4366,K$144)</f>
        <v>4</v>
      </c>
      <c r="L192">
        <f>COUNTIFS('Congestion inputs'!$D$276:$D$4366,$C192,'Congestion inputs'!$I$276:$I$4366,L$144)</f>
        <v>4</v>
      </c>
      <c r="M192" s="195">
        <f t="shared" si="16"/>
        <v>1</v>
      </c>
    </row>
    <row r="193" spans="3:13" x14ac:dyDescent="0.25">
      <c r="C193" s="466">
        <v>7161</v>
      </c>
      <c r="E193">
        <f>COUNTIF('Congestion inputs'!$D$276:$D$4366,$C193)</f>
        <v>31</v>
      </c>
      <c r="F193">
        <f>COUNTIFS('Congestion inputs'!$D$276:$D$4366,$C193,'Congestion inputs'!$I$276:$I$4366,F$144)</f>
        <v>5</v>
      </c>
      <c r="G193">
        <f>COUNTIFS('Congestion inputs'!$D$276:$D$4366,$C193,'Congestion inputs'!$I$276:$I$4366,G$144)</f>
        <v>5</v>
      </c>
      <c r="H193">
        <f>COUNTIFS('Congestion inputs'!$D$276:$D$4366,$C193,'Congestion inputs'!$I$276:$I$4366,H$144)</f>
        <v>5</v>
      </c>
      <c r="I193">
        <f>COUNTIFS('Congestion inputs'!$D$276:$D$4366,$C193,'Congestion inputs'!$I$276:$I$4366,I$144)</f>
        <v>4</v>
      </c>
      <c r="J193">
        <f>COUNTIFS('Congestion inputs'!$D$276:$D$4366,$C193,'Congestion inputs'!$I$276:$I$4366,J$144)</f>
        <v>4</v>
      </c>
      <c r="K193">
        <f>COUNTIFS('Congestion inputs'!$D$276:$D$4366,$C193,'Congestion inputs'!$I$276:$I$4366,K$144)</f>
        <v>4</v>
      </c>
      <c r="L193">
        <f>COUNTIFS('Congestion inputs'!$D$276:$D$4366,$C193,'Congestion inputs'!$I$276:$I$4366,L$144)</f>
        <v>4</v>
      </c>
      <c r="M193" s="195">
        <f t="shared" si="16"/>
        <v>1</v>
      </c>
    </row>
    <row r="194" spans="3:13" x14ac:dyDescent="0.25">
      <c r="C194" s="466">
        <v>7162</v>
      </c>
      <c r="E194">
        <f>COUNTIF('Congestion inputs'!$D$276:$D$4366,$C194)</f>
        <v>31</v>
      </c>
      <c r="F194">
        <f>COUNTIFS('Congestion inputs'!$D$276:$D$4366,$C194,'Congestion inputs'!$I$276:$I$4366,F$144)</f>
        <v>5</v>
      </c>
      <c r="G194">
        <f>COUNTIFS('Congestion inputs'!$D$276:$D$4366,$C194,'Congestion inputs'!$I$276:$I$4366,G$144)</f>
        <v>5</v>
      </c>
      <c r="H194">
        <f>COUNTIFS('Congestion inputs'!$D$276:$D$4366,$C194,'Congestion inputs'!$I$276:$I$4366,H$144)</f>
        <v>5</v>
      </c>
      <c r="I194">
        <f>COUNTIFS('Congestion inputs'!$D$276:$D$4366,$C194,'Congestion inputs'!$I$276:$I$4366,I$144)</f>
        <v>4</v>
      </c>
      <c r="J194">
        <f>COUNTIFS('Congestion inputs'!$D$276:$D$4366,$C194,'Congestion inputs'!$I$276:$I$4366,J$144)</f>
        <v>4</v>
      </c>
      <c r="K194">
        <f>COUNTIFS('Congestion inputs'!$D$276:$D$4366,$C194,'Congestion inputs'!$I$276:$I$4366,K$144)</f>
        <v>4</v>
      </c>
      <c r="L194">
        <f>COUNTIFS('Congestion inputs'!$D$276:$D$4366,$C194,'Congestion inputs'!$I$276:$I$4366,L$144)</f>
        <v>4</v>
      </c>
      <c r="M194" s="195">
        <f t="shared" si="16"/>
        <v>1</v>
      </c>
    </row>
    <row r="195" spans="3:13" x14ac:dyDescent="0.25">
      <c r="C195" s="466">
        <v>7163</v>
      </c>
      <c r="E195">
        <f>COUNTIF('Congestion inputs'!$D$276:$D$4366,$C195)</f>
        <v>31</v>
      </c>
      <c r="F195">
        <f>COUNTIFS('Congestion inputs'!$D$276:$D$4366,$C195,'Congestion inputs'!$I$276:$I$4366,F$144)</f>
        <v>5</v>
      </c>
      <c r="G195">
        <f>COUNTIFS('Congestion inputs'!$D$276:$D$4366,$C195,'Congestion inputs'!$I$276:$I$4366,G$144)</f>
        <v>5</v>
      </c>
      <c r="H195">
        <f>COUNTIFS('Congestion inputs'!$D$276:$D$4366,$C195,'Congestion inputs'!$I$276:$I$4366,H$144)</f>
        <v>5</v>
      </c>
      <c r="I195">
        <f>COUNTIFS('Congestion inputs'!$D$276:$D$4366,$C195,'Congestion inputs'!$I$276:$I$4366,I$144)</f>
        <v>4</v>
      </c>
      <c r="J195">
        <f>COUNTIFS('Congestion inputs'!$D$276:$D$4366,$C195,'Congestion inputs'!$I$276:$I$4366,J$144)</f>
        <v>4</v>
      </c>
      <c r="K195">
        <f>COUNTIFS('Congestion inputs'!$D$276:$D$4366,$C195,'Congestion inputs'!$I$276:$I$4366,K$144)</f>
        <v>4</v>
      </c>
      <c r="L195">
        <f>COUNTIFS('Congestion inputs'!$D$276:$D$4366,$C195,'Congestion inputs'!$I$276:$I$4366,L$144)</f>
        <v>4</v>
      </c>
      <c r="M195" s="195">
        <f t="shared" si="16"/>
        <v>1</v>
      </c>
    </row>
    <row r="196" spans="3:13" x14ac:dyDescent="0.25">
      <c r="C196" s="466">
        <v>7164</v>
      </c>
      <c r="E196">
        <f>COUNTIF('Congestion inputs'!$D$276:$D$4366,$C196)</f>
        <v>31</v>
      </c>
      <c r="F196">
        <f>COUNTIFS('Congestion inputs'!$D$276:$D$4366,$C196,'Congestion inputs'!$I$276:$I$4366,F$144)</f>
        <v>5</v>
      </c>
      <c r="G196">
        <f>COUNTIFS('Congestion inputs'!$D$276:$D$4366,$C196,'Congestion inputs'!$I$276:$I$4366,G$144)</f>
        <v>5</v>
      </c>
      <c r="H196">
        <f>COUNTIFS('Congestion inputs'!$D$276:$D$4366,$C196,'Congestion inputs'!$I$276:$I$4366,H$144)</f>
        <v>5</v>
      </c>
      <c r="I196">
        <f>COUNTIFS('Congestion inputs'!$D$276:$D$4366,$C196,'Congestion inputs'!$I$276:$I$4366,I$144)</f>
        <v>4</v>
      </c>
      <c r="J196">
        <f>COUNTIFS('Congestion inputs'!$D$276:$D$4366,$C196,'Congestion inputs'!$I$276:$I$4366,J$144)</f>
        <v>4</v>
      </c>
      <c r="K196">
        <f>COUNTIFS('Congestion inputs'!$D$276:$D$4366,$C196,'Congestion inputs'!$I$276:$I$4366,K$144)</f>
        <v>4</v>
      </c>
      <c r="L196">
        <f>COUNTIFS('Congestion inputs'!$D$276:$D$4366,$C196,'Congestion inputs'!$I$276:$I$4366,L$144)</f>
        <v>4</v>
      </c>
      <c r="M196" s="195">
        <f t="shared" si="16"/>
        <v>1</v>
      </c>
    </row>
    <row r="197" spans="3:13" x14ac:dyDescent="0.25">
      <c r="C197" s="466">
        <v>7168</v>
      </c>
      <c r="E197">
        <f>COUNTIF('Congestion inputs'!$D$276:$D$4366,$C197)</f>
        <v>31</v>
      </c>
      <c r="F197">
        <f>COUNTIFS('Congestion inputs'!$D$276:$D$4366,$C197,'Congestion inputs'!$I$276:$I$4366,F$144)</f>
        <v>5</v>
      </c>
      <c r="G197">
        <f>COUNTIFS('Congestion inputs'!$D$276:$D$4366,$C197,'Congestion inputs'!$I$276:$I$4366,G$144)</f>
        <v>5</v>
      </c>
      <c r="H197">
        <f>COUNTIFS('Congestion inputs'!$D$276:$D$4366,$C197,'Congestion inputs'!$I$276:$I$4366,H$144)</f>
        <v>5</v>
      </c>
      <c r="I197">
        <f>COUNTIFS('Congestion inputs'!$D$276:$D$4366,$C197,'Congestion inputs'!$I$276:$I$4366,I$144)</f>
        <v>4</v>
      </c>
      <c r="J197">
        <f>COUNTIFS('Congestion inputs'!$D$276:$D$4366,$C197,'Congestion inputs'!$I$276:$I$4366,J$144)</f>
        <v>4</v>
      </c>
      <c r="K197">
        <f>COUNTIFS('Congestion inputs'!$D$276:$D$4366,$C197,'Congestion inputs'!$I$276:$I$4366,K$144)</f>
        <v>4</v>
      </c>
      <c r="L197">
        <f>COUNTIFS('Congestion inputs'!$D$276:$D$4366,$C197,'Congestion inputs'!$I$276:$I$4366,L$144)</f>
        <v>4</v>
      </c>
      <c r="M197" s="195">
        <f t="shared" si="16"/>
        <v>1</v>
      </c>
    </row>
    <row r="198" spans="3:13" x14ac:dyDescent="0.25">
      <c r="C198" s="466">
        <v>7179</v>
      </c>
      <c r="E198">
        <f>COUNTIF('Congestion inputs'!$D$276:$D$4366,$C198)</f>
        <v>31</v>
      </c>
      <c r="F198">
        <f>COUNTIFS('Congestion inputs'!$D$276:$D$4366,$C198,'Congestion inputs'!$I$276:$I$4366,F$144)</f>
        <v>5</v>
      </c>
      <c r="G198">
        <f>COUNTIFS('Congestion inputs'!$D$276:$D$4366,$C198,'Congestion inputs'!$I$276:$I$4366,G$144)</f>
        <v>5</v>
      </c>
      <c r="H198">
        <f>COUNTIFS('Congestion inputs'!$D$276:$D$4366,$C198,'Congestion inputs'!$I$276:$I$4366,H$144)</f>
        <v>5</v>
      </c>
      <c r="I198">
        <f>COUNTIFS('Congestion inputs'!$D$276:$D$4366,$C198,'Congestion inputs'!$I$276:$I$4366,I$144)</f>
        <v>4</v>
      </c>
      <c r="J198">
        <f>COUNTIFS('Congestion inputs'!$D$276:$D$4366,$C198,'Congestion inputs'!$I$276:$I$4366,J$144)</f>
        <v>4</v>
      </c>
      <c r="K198">
        <f>COUNTIFS('Congestion inputs'!$D$276:$D$4366,$C198,'Congestion inputs'!$I$276:$I$4366,K$144)</f>
        <v>4</v>
      </c>
      <c r="L198">
        <f>COUNTIFS('Congestion inputs'!$D$276:$D$4366,$C198,'Congestion inputs'!$I$276:$I$4366,L$144)</f>
        <v>4</v>
      </c>
      <c r="M198" s="195">
        <f t="shared" si="16"/>
        <v>1</v>
      </c>
    </row>
    <row r="199" spans="3:13" x14ac:dyDescent="0.25">
      <c r="C199" s="466">
        <v>7184</v>
      </c>
      <c r="E199">
        <f>COUNTIF('Congestion inputs'!$D$276:$D$4366,$C199)</f>
        <v>31</v>
      </c>
      <c r="F199">
        <f>COUNTIFS('Congestion inputs'!$D$276:$D$4366,$C199,'Congestion inputs'!$I$276:$I$4366,F$144)</f>
        <v>5</v>
      </c>
      <c r="G199">
        <f>COUNTIFS('Congestion inputs'!$D$276:$D$4366,$C199,'Congestion inputs'!$I$276:$I$4366,G$144)</f>
        <v>5</v>
      </c>
      <c r="H199">
        <f>COUNTIFS('Congestion inputs'!$D$276:$D$4366,$C199,'Congestion inputs'!$I$276:$I$4366,H$144)</f>
        <v>5</v>
      </c>
      <c r="I199">
        <f>COUNTIFS('Congestion inputs'!$D$276:$D$4366,$C199,'Congestion inputs'!$I$276:$I$4366,I$144)</f>
        <v>4</v>
      </c>
      <c r="J199">
        <f>COUNTIFS('Congestion inputs'!$D$276:$D$4366,$C199,'Congestion inputs'!$I$276:$I$4366,J$144)</f>
        <v>4</v>
      </c>
      <c r="K199">
        <f>COUNTIFS('Congestion inputs'!$D$276:$D$4366,$C199,'Congestion inputs'!$I$276:$I$4366,K$144)</f>
        <v>4</v>
      </c>
      <c r="L199">
        <f>COUNTIFS('Congestion inputs'!$D$276:$D$4366,$C199,'Congestion inputs'!$I$276:$I$4366,L$144)</f>
        <v>4</v>
      </c>
      <c r="M199" s="195">
        <f t="shared" si="16"/>
        <v>1</v>
      </c>
    </row>
    <row r="200" spans="3:13" x14ac:dyDescent="0.25">
      <c r="C200" s="466">
        <v>72026</v>
      </c>
      <c r="E200">
        <f>COUNTIF('Congestion inputs'!$D$276:$D$4366,$C200)</f>
        <v>10</v>
      </c>
      <c r="F200">
        <f>COUNTIFS('Congestion inputs'!$D$276:$D$4366,$C200,'Congestion inputs'!$I$276:$I$4366,F$144)</f>
        <v>10</v>
      </c>
      <c r="G200">
        <f>COUNTIFS('Congestion inputs'!$D$276:$D$4366,$C200,'Congestion inputs'!$I$276:$I$4366,G$144)</f>
        <v>0</v>
      </c>
      <c r="H200">
        <f>COUNTIFS('Congestion inputs'!$D$276:$D$4366,$C200,'Congestion inputs'!$I$276:$I$4366,H$144)</f>
        <v>0</v>
      </c>
      <c r="I200">
        <f>COUNTIFS('Congestion inputs'!$D$276:$D$4366,$C200,'Congestion inputs'!$I$276:$I$4366,I$144)</f>
        <v>0</v>
      </c>
      <c r="J200">
        <f>COUNTIFS('Congestion inputs'!$D$276:$D$4366,$C200,'Congestion inputs'!$I$276:$I$4366,J$144)</f>
        <v>0</v>
      </c>
      <c r="K200">
        <f>COUNTIFS('Congestion inputs'!$D$276:$D$4366,$C200,'Congestion inputs'!$I$276:$I$4366,K$144)</f>
        <v>0</v>
      </c>
      <c r="L200">
        <f>COUNTIFS('Congestion inputs'!$D$276:$D$4366,$C200,'Congestion inputs'!$I$276:$I$4366,L$144)</f>
        <v>0</v>
      </c>
      <c r="M200" s="195">
        <f t="shared" si="16"/>
        <v>0</v>
      </c>
    </row>
    <row r="201" spans="3:13" x14ac:dyDescent="0.25">
      <c r="C201" s="466">
        <v>72027</v>
      </c>
      <c r="E201">
        <f>COUNTIF('Congestion inputs'!$D$276:$D$4366,$C201)</f>
        <v>62</v>
      </c>
      <c r="F201">
        <f>COUNTIFS('Congestion inputs'!$D$276:$D$4366,$C201,'Congestion inputs'!$I$276:$I$4366,F$144)</f>
        <v>10</v>
      </c>
      <c r="G201">
        <f>COUNTIFS('Congestion inputs'!$D$276:$D$4366,$C201,'Congestion inputs'!$I$276:$I$4366,G$144)</f>
        <v>10</v>
      </c>
      <c r="H201">
        <f>COUNTIFS('Congestion inputs'!$D$276:$D$4366,$C201,'Congestion inputs'!$I$276:$I$4366,H$144)</f>
        <v>10</v>
      </c>
      <c r="I201">
        <f>COUNTIFS('Congestion inputs'!$D$276:$D$4366,$C201,'Congestion inputs'!$I$276:$I$4366,I$144)</f>
        <v>8</v>
      </c>
      <c r="J201">
        <f>COUNTIFS('Congestion inputs'!$D$276:$D$4366,$C201,'Congestion inputs'!$I$276:$I$4366,J$144)</f>
        <v>8</v>
      </c>
      <c r="K201">
        <f>COUNTIFS('Congestion inputs'!$D$276:$D$4366,$C201,'Congestion inputs'!$I$276:$I$4366,K$144)</f>
        <v>8</v>
      </c>
      <c r="L201">
        <f>COUNTIFS('Congestion inputs'!$D$276:$D$4366,$C201,'Congestion inputs'!$I$276:$I$4366,L$144)</f>
        <v>8</v>
      </c>
      <c r="M201" s="195">
        <f t="shared" si="16"/>
        <v>1</v>
      </c>
    </row>
    <row r="202" spans="3:13" x14ac:dyDescent="0.25">
      <c r="C202" s="466">
        <v>7211</v>
      </c>
      <c r="E202">
        <f>COUNTIF('Congestion inputs'!$D$276:$D$4366,$C202)</f>
        <v>31</v>
      </c>
      <c r="F202">
        <f>COUNTIFS('Congestion inputs'!$D$276:$D$4366,$C202,'Congestion inputs'!$I$276:$I$4366,F$144)</f>
        <v>5</v>
      </c>
      <c r="G202">
        <f>COUNTIFS('Congestion inputs'!$D$276:$D$4366,$C202,'Congestion inputs'!$I$276:$I$4366,G$144)</f>
        <v>5</v>
      </c>
      <c r="H202">
        <f>COUNTIFS('Congestion inputs'!$D$276:$D$4366,$C202,'Congestion inputs'!$I$276:$I$4366,H$144)</f>
        <v>5</v>
      </c>
      <c r="I202">
        <f>COUNTIFS('Congestion inputs'!$D$276:$D$4366,$C202,'Congestion inputs'!$I$276:$I$4366,I$144)</f>
        <v>4</v>
      </c>
      <c r="J202">
        <f>COUNTIFS('Congestion inputs'!$D$276:$D$4366,$C202,'Congestion inputs'!$I$276:$I$4366,J$144)</f>
        <v>4</v>
      </c>
      <c r="K202">
        <f>COUNTIFS('Congestion inputs'!$D$276:$D$4366,$C202,'Congestion inputs'!$I$276:$I$4366,K$144)</f>
        <v>4</v>
      </c>
      <c r="L202">
        <f>COUNTIFS('Congestion inputs'!$D$276:$D$4366,$C202,'Congestion inputs'!$I$276:$I$4366,L$144)</f>
        <v>4</v>
      </c>
      <c r="M202" s="195">
        <f t="shared" si="16"/>
        <v>1</v>
      </c>
    </row>
    <row r="203" spans="3:13" x14ac:dyDescent="0.25">
      <c r="C203" s="466">
        <v>7212</v>
      </c>
      <c r="E203">
        <f>COUNTIF('Congestion inputs'!$D$276:$D$4366,$C203)</f>
        <v>31</v>
      </c>
      <c r="F203">
        <f>COUNTIFS('Congestion inputs'!$D$276:$D$4366,$C203,'Congestion inputs'!$I$276:$I$4366,F$144)</f>
        <v>5</v>
      </c>
      <c r="G203">
        <f>COUNTIFS('Congestion inputs'!$D$276:$D$4366,$C203,'Congestion inputs'!$I$276:$I$4366,G$144)</f>
        <v>5</v>
      </c>
      <c r="H203">
        <f>COUNTIFS('Congestion inputs'!$D$276:$D$4366,$C203,'Congestion inputs'!$I$276:$I$4366,H$144)</f>
        <v>5</v>
      </c>
      <c r="I203">
        <f>COUNTIFS('Congestion inputs'!$D$276:$D$4366,$C203,'Congestion inputs'!$I$276:$I$4366,I$144)</f>
        <v>4</v>
      </c>
      <c r="J203">
        <f>COUNTIFS('Congestion inputs'!$D$276:$D$4366,$C203,'Congestion inputs'!$I$276:$I$4366,J$144)</f>
        <v>4</v>
      </c>
      <c r="K203">
        <f>COUNTIFS('Congestion inputs'!$D$276:$D$4366,$C203,'Congestion inputs'!$I$276:$I$4366,K$144)</f>
        <v>4</v>
      </c>
      <c r="L203">
        <f>COUNTIFS('Congestion inputs'!$D$276:$D$4366,$C203,'Congestion inputs'!$I$276:$I$4366,L$144)</f>
        <v>4</v>
      </c>
      <c r="M203" s="195">
        <f t="shared" si="16"/>
        <v>1</v>
      </c>
    </row>
    <row r="204" spans="3:13" x14ac:dyDescent="0.25">
      <c r="C204" s="466">
        <v>7213</v>
      </c>
      <c r="E204">
        <f>COUNTIF('Congestion inputs'!$D$276:$D$4366,$C204)</f>
        <v>10</v>
      </c>
      <c r="F204">
        <f>COUNTIFS('Congestion inputs'!$D$276:$D$4366,$C204,'Congestion inputs'!$I$276:$I$4366,F$144)</f>
        <v>5</v>
      </c>
      <c r="G204">
        <f>COUNTIFS('Congestion inputs'!$D$276:$D$4366,$C204,'Congestion inputs'!$I$276:$I$4366,G$144)</f>
        <v>5</v>
      </c>
      <c r="H204">
        <f>COUNTIFS('Congestion inputs'!$D$276:$D$4366,$C204,'Congestion inputs'!$I$276:$I$4366,H$144)</f>
        <v>0</v>
      </c>
      <c r="I204">
        <f>COUNTIFS('Congestion inputs'!$D$276:$D$4366,$C204,'Congestion inputs'!$I$276:$I$4366,I$144)</f>
        <v>0</v>
      </c>
      <c r="J204">
        <f>COUNTIFS('Congestion inputs'!$D$276:$D$4366,$C204,'Congestion inputs'!$I$276:$I$4366,J$144)</f>
        <v>0</v>
      </c>
      <c r="K204">
        <f>COUNTIFS('Congestion inputs'!$D$276:$D$4366,$C204,'Congestion inputs'!$I$276:$I$4366,K$144)</f>
        <v>0</v>
      </c>
      <c r="L204">
        <f>COUNTIFS('Congestion inputs'!$D$276:$D$4366,$C204,'Congestion inputs'!$I$276:$I$4366,L$144)</f>
        <v>0</v>
      </c>
      <c r="M204" s="195">
        <f t="shared" si="16"/>
        <v>0</v>
      </c>
    </row>
    <row r="205" spans="3:13" x14ac:dyDescent="0.25">
      <c r="C205" s="466">
        <v>7248</v>
      </c>
      <c r="E205">
        <f>COUNTIF('Congestion inputs'!$D$276:$D$4366,$C205)</f>
        <v>23</v>
      </c>
      <c r="F205">
        <f>COUNTIFS('Congestion inputs'!$D$276:$D$4366,$C205,'Congestion inputs'!$I$276:$I$4366,F$144)</f>
        <v>5</v>
      </c>
      <c r="G205">
        <f>COUNTIFS('Congestion inputs'!$D$276:$D$4366,$C205,'Congestion inputs'!$I$276:$I$4366,G$144)</f>
        <v>5</v>
      </c>
      <c r="H205">
        <f>COUNTIFS('Congestion inputs'!$D$276:$D$4366,$C205,'Congestion inputs'!$I$276:$I$4366,H$144)</f>
        <v>5</v>
      </c>
      <c r="I205">
        <f>COUNTIFS('Congestion inputs'!$D$276:$D$4366,$C205,'Congestion inputs'!$I$276:$I$4366,I$144)</f>
        <v>4</v>
      </c>
      <c r="J205">
        <f>COUNTIFS('Congestion inputs'!$D$276:$D$4366,$C205,'Congestion inputs'!$I$276:$I$4366,J$144)</f>
        <v>4</v>
      </c>
      <c r="K205">
        <f>COUNTIFS('Congestion inputs'!$D$276:$D$4366,$C205,'Congestion inputs'!$I$276:$I$4366,K$144)</f>
        <v>0</v>
      </c>
      <c r="L205">
        <f>COUNTIFS('Congestion inputs'!$D$276:$D$4366,$C205,'Congestion inputs'!$I$276:$I$4366,L$144)</f>
        <v>0</v>
      </c>
      <c r="M205" s="195">
        <f t="shared" si="16"/>
        <v>0</v>
      </c>
    </row>
    <row r="206" spans="3:13" x14ac:dyDescent="0.25">
      <c r="C206" s="466">
        <v>7251</v>
      </c>
      <c r="E206">
        <f>COUNTIF('Congestion inputs'!$D$276:$D$4366,$C206)</f>
        <v>31</v>
      </c>
      <c r="F206">
        <f>COUNTIFS('Congestion inputs'!$D$276:$D$4366,$C206,'Congestion inputs'!$I$276:$I$4366,F$144)</f>
        <v>5</v>
      </c>
      <c r="G206">
        <f>COUNTIFS('Congestion inputs'!$D$276:$D$4366,$C206,'Congestion inputs'!$I$276:$I$4366,G$144)</f>
        <v>5</v>
      </c>
      <c r="H206">
        <f>COUNTIFS('Congestion inputs'!$D$276:$D$4366,$C206,'Congestion inputs'!$I$276:$I$4366,H$144)</f>
        <v>5</v>
      </c>
      <c r="I206">
        <f>COUNTIFS('Congestion inputs'!$D$276:$D$4366,$C206,'Congestion inputs'!$I$276:$I$4366,I$144)</f>
        <v>4</v>
      </c>
      <c r="J206">
        <f>COUNTIFS('Congestion inputs'!$D$276:$D$4366,$C206,'Congestion inputs'!$I$276:$I$4366,J$144)</f>
        <v>4</v>
      </c>
      <c r="K206">
        <f>COUNTIFS('Congestion inputs'!$D$276:$D$4366,$C206,'Congestion inputs'!$I$276:$I$4366,K$144)</f>
        <v>4</v>
      </c>
      <c r="L206">
        <f>COUNTIFS('Congestion inputs'!$D$276:$D$4366,$C206,'Congestion inputs'!$I$276:$I$4366,L$144)</f>
        <v>4</v>
      </c>
      <c r="M206" s="195">
        <f t="shared" si="16"/>
        <v>1</v>
      </c>
    </row>
    <row r="207" spans="3:13" x14ac:dyDescent="0.25">
      <c r="C207" s="466">
        <v>7270</v>
      </c>
      <c r="E207">
        <f>COUNTIF('Congestion inputs'!$D$276:$D$4366,$C207)</f>
        <v>31</v>
      </c>
      <c r="F207">
        <f>COUNTIFS('Congestion inputs'!$D$276:$D$4366,$C207,'Congestion inputs'!$I$276:$I$4366,F$144)</f>
        <v>5</v>
      </c>
      <c r="G207">
        <f>COUNTIFS('Congestion inputs'!$D$276:$D$4366,$C207,'Congestion inputs'!$I$276:$I$4366,G$144)</f>
        <v>5</v>
      </c>
      <c r="H207">
        <f>COUNTIFS('Congestion inputs'!$D$276:$D$4366,$C207,'Congestion inputs'!$I$276:$I$4366,H$144)</f>
        <v>5</v>
      </c>
      <c r="I207">
        <f>COUNTIFS('Congestion inputs'!$D$276:$D$4366,$C207,'Congestion inputs'!$I$276:$I$4366,I$144)</f>
        <v>4</v>
      </c>
      <c r="J207">
        <f>COUNTIFS('Congestion inputs'!$D$276:$D$4366,$C207,'Congestion inputs'!$I$276:$I$4366,J$144)</f>
        <v>4</v>
      </c>
      <c r="K207">
        <f>COUNTIFS('Congestion inputs'!$D$276:$D$4366,$C207,'Congestion inputs'!$I$276:$I$4366,K$144)</f>
        <v>4</v>
      </c>
      <c r="L207">
        <f>COUNTIFS('Congestion inputs'!$D$276:$D$4366,$C207,'Congestion inputs'!$I$276:$I$4366,L$144)</f>
        <v>4</v>
      </c>
      <c r="M207" s="195">
        <f t="shared" si="16"/>
        <v>1</v>
      </c>
    </row>
    <row r="208" spans="3:13" x14ac:dyDescent="0.25">
      <c r="C208" s="466">
        <v>7272</v>
      </c>
      <c r="E208">
        <f>COUNTIF('Congestion inputs'!$D$276:$D$4366,$C208)</f>
        <v>31</v>
      </c>
      <c r="F208">
        <f>COUNTIFS('Congestion inputs'!$D$276:$D$4366,$C208,'Congestion inputs'!$I$276:$I$4366,F$144)</f>
        <v>5</v>
      </c>
      <c r="G208">
        <f>COUNTIFS('Congestion inputs'!$D$276:$D$4366,$C208,'Congestion inputs'!$I$276:$I$4366,G$144)</f>
        <v>5</v>
      </c>
      <c r="H208">
        <f>COUNTIFS('Congestion inputs'!$D$276:$D$4366,$C208,'Congestion inputs'!$I$276:$I$4366,H$144)</f>
        <v>5</v>
      </c>
      <c r="I208">
        <f>COUNTIFS('Congestion inputs'!$D$276:$D$4366,$C208,'Congestion inputs'!$I$276:$I$4366,I$144)</f>
        <v>4</v>
      </c>
      <c r="J208">
        <f>COUNTIFS('Congestion inputs'!$D$276:$D$4366,$C208,'Congestion inputs'!$I$276:$I$4366,J$144)</f>
        <v>4</v>
      </c>
      <c r="K208">
        <f>COUNTIFS('Congestion inputs'!$D$276:$D$4366,$C208,'Congestion inputs'!$I$276:$I$4366,K$144)</f>
        <v>4</v>
      </c>
      <c r="L208">
        <f>COUNTIFS('Congestion inputs'!$D$276:$D$4366,$C208,'Congestion inputs'!$I$276:$I$4366,L$144)</f>
        <v>4</v>
      </c>
      <c r="M208" s="195">
        <f t="shared" si="16"/>
        <v>1</v>
      </c>
    </row>
    <row r="209" spans="3:13" x14ac:dyDescent="0.25">
      <c r="C209" s="466">
        <v>7274</v>
      </c>
      <c r="E209">
        <f>COUNTIF('Congestion inputs'!$D$276:$D$4366,$C209)</f>
        <v>31</v>
      </c>
      <c r="F209">
        <f>COUNTIFS('Congestion inputs'!$D$276:$D$4366,$C209,'Congestion inputs'!$I$276:$I$4366,F$144)</f>
        <v>5</v>
      </c>
      <c r="G209">
        <f>COUNTIFS('Congestion inputs'!$D$276:$D$4366,$C209,'Congestion inputs'!$I$276:$I$4366,G$144)</f>
        <v>5</v>
      </c>
      <c r="H209">
        <f>COUNTIFS('Congestion inputs'!$D$276:$D$4366,$C209,'Congestion inputs'!$I$276:$I$4366,H$144)</f>
        <v>5</v>
      </c>
      <c r="I209">
        <f>COUNTIFS('Congestion inputs'!$D$276:$D$4366,$C209,'Congestion inputs'!$I$276:$I$4366,I$144)</f>
        <v>4</v>
      </c>
      <c r="J209">
        <f>COUNTIFS('Congestion inputs'!$D$276:$D$4366,$C209,'Congestion inputs'!$I$276:$I$4366,J$144)</f>
        <v>4</v>
      </c>
      <c r="K209">
        <f>COUNTIFS('Congestion inputs'!$D$276:$D$4366,$C209,'Congestion inputs'!$I$276:$I$4366,K$144)</f>
        <v>4</v>
      </c>
      <c r="L209">
        <f>COUNTIFS('Congestion inputs'!$D$276:$D$4366,$C209,'Congestion inputs'!$I$276:$I$4366,L$144)</f>
        <v>4</v>
      </c>
      <c r="M209" s="195">
        <f t="shared" ref="M209:M240" si="17">IF(K209=0,0,1)</f>
        <v>1</v>
      </c>
    </row>
    <row r="210" spans="3:13" x14ac:dyDescent="0.25">
      <c r="C210" s="466">
        <v>7275</v>
      </c>
      <c r="E210">
        <f>COUNTIF('Congestion inputs'!$D$276:$D$4366,$C210)</f>
        <v>62</v>
      </c>
      <c r="F210">
        <f>COUNTIFS('Congestion inputs'!$D$276:$D$4366,$C210,'Congestion inputs'!$I$276:$I$4366,F$144)</f>
        <v>10</v>
      </c>
      <c r="G210">
        <f>COUNTIFS('Congestion inputs'!$D$276:$D$4366,$C210,'Congestion inputs'!$I$276:$I$4366,G$144)</f>
        <v>10</v>
      </c>
      <c r="H210">
        <f>COUNTIFS('Congestion inputs'!$D$276:$D$4366,$C210,'Congestion inputs'!$I$276:$I$4366,H$144)</f>
        <v>10</v>
      </c>
      <c r="I210">
        <f>COUNTIFS('Congestion inputs'!$D$276:$D$4366,$C210,'Congestion inputs'!$I$276:$I$4366,I$144)</f>
        <v>8</v>
      </c>
      <c r="J210">
        <f>COUNTIFS('Congestion inputs'!$D$276:$D$4366,$C210,'Congestion inputs'!$I$276:$I$4366,J$144)</f>
        <v>8</v>
      </c>
      <c r="K210">
        <f>COUNTIFS('Congestion inputs'!$D$276:$D$4366,$C210,'Congestion inputs'!$I$276:$I$4366,K$144)</f>
        <v>8</v>
      </c>
      <c r="L210">
        <f>COUNTIFS('Congestion inputs'!$D$276:$D$4366,$C210,'Congestion inputs'!$I$276:$I$4366,L$144)</f>
        <v>8</v>
      </c>
      <c r="M210" s="195">
        <f t="shared" si="17"/>
        <v>1</v>
      </c>
    </row>
    <row r="211" spans="3:13" x14ac:dyDescent="0.25">
      <c r="C211" s="466">
        <v>7289</v>
      </c>
      <c r="E211">
        <f>COUNTIF('Congestion inputs'!$D$276:$D$4366,$C211)</f>
        <v>31</v>
      </c>
      <c r="F211">
        <f>COUNTIFS('Congestion inputs'!$D$276:$D$4366,$C211,'Congestion inputs'!$I$276:$I$4366,F$144)</f>
        <v>5</v>
      </c>
      <c r="G211">
        <f>COUNTIFS('Congestion inputs'!$D$276:$D$4366,$C211,'Congestion inputs'!$I$276:$I$4366,G$144)</f>
        <v>5</v>
      </c>
      <c r="H211">
        <f>COUNTIFS('Congestion inputs'!$D$276:$D$4366,$C211,'Congestion inputs'!$I$276:$I$4366,H$144)</f>
        <v>5</v>
      </c>
      <c r="I211">
        <f>COUNTIFS('Congestion inputs'!$D$276:$D$4366,$C211,'Congestion inputs'!$I$276:$I$4366,I$144)</f>
        <v>4</v>
      </c>
      <c r="J211">
        <f>COUNTIFS('Congestion inputs'!$D$276:$D$4366,$C211,'Congestion inputs'!$I$276:$I$4366,J$144)</f>
        <v>4</v>
      </c>
      <c r="K211">
        <f>COUNTIFS('Congestion inputs'!$D$276:$D$4366,$C211,'Congestion inputs'!$I$276:$I$4366,K$144)</f>
        <v>4</v>
      </c>
      <c r="L211">
        <f>COUNTIFS('Congestion inputs'!$D$276:$D$4366,$C211,'Congestion inputs'!$I$276:$I$4366,L$144)</f>
        <v>4</v>
      </c>
      <c r="M211" s="195">
        <f t="shared" si="17"/>
        <v>1</v>
      </c>
    </row>
    <row r="212" spans="3:13" x14ac:dyDescent="0.25">
      <c r="C212" s="466">
        <v>74228</v>
      </c>
      <c r="E212">
        <f>COUNTIF('Congestion inputs'!$D$276:$D$4366,$C212)</f>
        <v>62</v>
      </c>
      <c r="F212">
        <f>COUNTIFS('Congestion inputs'!$D$276:$D$4366,$C212,'Congestion inputs'!$I$276:$I$4366,F$144)</f>
        <v>10</v>
      </c>
      <c r="G212">
        <f>COUNTIFS('Congestion inputs'!$D$276:$D$4366,$C212,'Congestion inputs'!$I$276:$I$4366,G$144)</f>
        <v>10</v>
      </c>
      <c r="H212">
        <f>COUNTIFS('Congestion inputs'!$D$276:$D$4366,$C212,'Congestion inputs'!$I$276:$I$4366,H$144)</f>
        <v>10</v>
      </c>
      <c r="I212">
        <f>COUNTIFS('Congestion inputs'!$D$276:$D$4366,$C212,'Congestion inputs'!$I$276:$I$4366,I$144)</f>
        <v>8</v>
      </c>
      <c r="J212">
        <f>COUNTIFS('Congestion inputs'!$D$276:$D$4366,$C212,'Congestion inputs'!$I$276:$I$4366,J$144)</f>
        <v>8</v>
      </c>
      <c r="K212">
        <f>COUNTIFS('Congestion inputs'!$D$276:$D$4366,$C212,'Congestion inputs'!$I$276:$I$4366,K$144)</f>
        <v>8</v>
      </c>
      <c r="L212">
        <f>COUNTIFS('Congestion inputs'!$D$276:$D$4366,$C212,'Congestion inputs'!$I$276:$I$4366,L$144)</f>
        <v>8</v>
      </c>
      <c r="M212" s="195">
        <f t="shared" si="17"/>
        <v>1</v>
      </c>
    </row>
    <row r="213" spans="3:13" x14ac:dyDescent="0.25">
      <c r="C213" s="466">
        <v>74229</v>
      </c>
      <c r="E213">
        <f>COUNTIF('Congestion inputs'!$D$276:$D$4366,$C213)</f>
        <v>62</v>
      </c>
      <c r="F213">
        <f>COUNTIFS('Congestion inputs'!$D$276:$D$4366,$C213,'Congestion inputs'!$I$276:$I$4366,F$144)</f>
        <v>10</v>
      </c>
      <c r="G213">
        <f>COUNTIFS('Congestion inputs'!$D$276:$D$4366,$C213,'Congestion inputs'!$I$276:$I$4366,G$144)</f>
        <v>10</v>
      </c>
      <c r="H213">
        <f>COUNTIFS('Congestion inputs'!$D$276:$D$4366,$C213,'Congestion inputs'!$I$276:$I$4366,H$144)</f>
        <v>10</v>
      </c>
      <c r="I213">
        <f>COUNTIFS('Congestion inputs'!$D$276:$D$4366,$C213,'Congestion inputs'!$I$276:$I$4366,I$144)</f>
        <v>8</v>
      </c>
      <c r="J213">
        <f>COUNTIFS('Congestion inputs'!$D$276:$D$4366,$C213,'Congestion inputs'!$I$276:$I$4366,J$144)</f>
        <v>8</v>
      </c>
      <c r="K213">
        <f>COUNTIFS('Congestion inputs'!$D$276:$D$4366,$C213,'Congestion inputs'!$I$276:$I$4366,K$144)</f>
        <v>8</v>
      </c>
      <c r="L213">
        <f>COUNTIFS('Congestion inputs'!$D$276:$D$4366,$C213,'Congestion inputs'!$I$276:$I$4366,L$144)</f>
        <v>8</v>
      </c>
      <c r="M213" s="195">
        <f t="shared" si="17"/>
        <v>1</v>
      </c>
    </row>
    <row r="214" spans="3:13" x14ac:dyDescent="0.25">
      <c r="C214" s="466">
        <v>83011</v>
      </c>
      <c r="E214">
        <f>COUNTIF('Congestion inputs'!$D$276:$D$4366,$C214)</f>
        <v>30</v>
      </c>
      <c r="F214">
        <f>COUNTIFS('Congestion inputs'!$D$276:$D$4366,$C214,'Congestion inputs'!$I$276:$I$4366,F$144)</f>
        <v>10</v>
      </c>
      <c r="G214">
        <f>COUNTIFS('Congestion inputs'!$D$276:$D$4366,$C214,'Congestion inputs'!$I$276:$I$4366,G$144)</f>
        <v>10</v>
      </c>
      <c r="H214">
        <f>COUNTIFS('Congestion inputs'!$D$276:$D$4366,$C214,'Congestion inputs'!$I$276:$I$4366,H$144)</f>
        <v>10</v>
      </c>
      <c r="I214">
        <f>COUNTIFS('Congestion inputs'!$D$276:$D$4366,$C214,'Congestion inputs'!$I$276:$I$4366,I$144)</f>
        <v>0</v>
      </c>
      <c r="J214">
        <f>COUNTIFS('Congestion inputs'!$D$276:$D$4366,$C214,'Congestion inputs'!$I$276:$I$4366,J$144)</f>
        <v>0</v>
      </c>
      <c r="K214">
        <f>COUNTIFS('Congestion inputs'!$D$276:$D$4366,$C214,'Congestion inputs'!$I$276:$I$4366,K$144)</f>
        <v>0</v>
      </c>
      <c r="L214">
        <f>COUNTIFS('Congestion inputs'!$D$276:$D$4366,$C214,'Congestion inputs'!$I$276:$I$4366,L$144)</f>
        <v>0</v>
      </c>
      <c r="M214" s="195">
        <f t="shared" si="17"/>
        <v>0</v>
      </c>
    </row>
    <row r="215" spans="3:13" x14ac:dyDescent="0.25">
      <c r="C215" s="466">
        <v>87001</v>
      </c>
      <c r="E215">
        <f>COUNTIF('Congestion inputs'!$D$276:$D$4366,$C215)</f>
        <v>31</v>
      </c>
      <c r="F215">
        <f>COUNTIFS('Congestion inputs'!$D$276:$D$4366,$C215,'Congestion inputs'!$I$276:$I$4366,F$144)</f>
        <v>5</v>
      </c>
      <c r="G215">
        <f>COUNTIFS('Congestion inputs'!$D$276:$D$4366,$C215,'Congestion inputs'!$I$276:$I$4366,G$144)</f>
        <v>5</v>
      </c>
      <c r="H215">
        <f>COUNTIFS('Congestion inputs'!$D$276:$D$4366,$C215,'Congestion inputs'!$I$276:$I$4366,H$144)</f>
        <v>5</v>
      </c>
      <c r="I215">
        <f>COUNTIFS('Congestion inputs'!$D$276:$D$4366,$C215,'Congestion inputs'!$I$276:$I$4366,I$144)</f>
        <v>4</v>
      </c>
      <c r="J215">
        <f>COUNTIFS('Congestion inputs'!$D$276:$D$4366,$C215,'Congestion inputs'!$I$276:$I$4366,J$144)</f>
        <v>4</v>
      </c>
      <c r="K215">
        <f>COUNTIFS('Congestion inputs'!$D$276:$D$4366,$C215,'Congestion inputs'!$I$276:$I$4366,K$144)</f>
        <v>4</v>
      </c>
      <c r="L215">
        <f>COUNTIFS('Congestion inputs'!$D$276:$D$4366,$C215,'Congestion inputs'!$I$276:$I$4366,L$144)</f>
        <v>4</v>
      </c>
      <c r="M215" s="195">
        <f t="shared" si="17"/>
        <v>1</v>
      </c>
    </row>
    <row r="216" spans="3:13" x14ac:dyDescent="0.25">
      <c r="C216" s="466">
        <v>9658</v>
      </c>
      <c r="E216">
        <f>COUNTIF('Congestion inputs'!$D$276:$D$4366,$C216)</f>
        <v>27</v>
      </c>
      <c r="F216">
        <f>COUNTIFS('Congestion inputs'!$D$276:$D$4366,$C216,'Congestion inputs'!$I$276:$I$4366,F$144)</f>
        <v>5</v>
      </c>
      <c r="G216">
        <f>COUNTIFS('Congestion inputs'!$D$276:$D$4366,$C216,'Congestion inputs'!$I$276:$I$4366,G$144)</f>
        <v>5</v>
      </c>
      <c r="H216">
        <f>COUNTIFS('Congestion inputs'!$D$276:$D$4366,$C216,'Congestion inputs'!$I$276:$I$4366,H$144)</f>
        <v>5</v>
      </c>
      <c r="I216">
        <f>COUNTIFS('Congestion inputs'!$D$276:$D$4366,$C216,'Congestion inputs'!$I$276:$I$4366,I$144)</f>
        <v>4</v>
      </c>
      <c r="J216">
        <f>COUNTIFS('Congestion inputs'!$D$276:$D$4366,$C216,'Congestion inputs'!$I$276:$I$4366,J$144)</f>
        <v>4</v>
      </c>
      <c r="K216">
        <f>COUNTIFS('Congestion inputs'!$D$276:$D$4366,$C216,'Congestion inputs'!$I$276:$I$4366,K$144)</f>
        <v>4</v>
      </c>
      <c r="L216">
        <f>COUNTIFS('Congestion inputs'!$D$276:$D$4366,$C216,'Congestion inputs'!$I$276:$I$4366,L$144)</f>
        <v>0</v>
      </c>
      <c r="M216" s="195">
        <f t="shared" si="17"/>
        <v>1</v>
      </c>
    </row>
    <row r="217" spans="3:13" x14ac:dyDescent="0.25">
      <c r="C217" s="466">
        <v>9827</v>
      </c>
      <c r="E217">
        <f>COUNTIF('Congestion inputs'!$D$276:$D$4366,$C217)</f>
        <v>31</v>
      </c>
      <c r="F217">
        <f>COUNTIFS('Congestion inputs'!$D$276:$D$4366,$C217,'Congestion inputs'!$I$276:$I$4366,F$144)</f>
        <v>5</v>
      </c>
      <c r="G217">
        <f>COUNTIFS('Congestion inputs'!$D$276:$D$4366,$C217,'Congestion inputs'!$I$276:$I$4366,G$144)</f>
        <v>5</v>
      </c>
      <c r="H217">
        <f>COUNTIFS('Congestion inputs'!$D$276:$D$4366,$C217,'Congestion inputs'!$I$276:$I$4366,H$144)</f>
        <v>5</v>
      </c>
      <c r="I217">
        <f>COUNTIFS('Congestion inputs'!$D$276:$D$4366,$C217,'Congestion inputs'!$I$276:$I$4366,I$144)</f>
        <v>4</v>
      </c>
      <c r="J217">
        <f>COUNTIFS('Congestion inputs'!$D$276:$D$4366,$C217,'Congestion inputs'!$I$276:$I$4366,J$144)</f>
        <v>4</v>
      </c>
      <c r="K217">
        <f>COUNTIFS('Congestion inputs'!$D$276:$D$4366,$C217,'Congestion inputs'!$I$276:$I$4366,K$144)</f>
        <v>4</v>
      </c>
      <c r="L217">
        <f>COUNTIFS('Congestion inputs'!$D$276:$D$4366,$C217,'Congestion inputs'!$I$276:$I$4366,L$144)</f>
        <v>4</v>
      </c>
      <c r="M217" s="195">
        <f t="shared" si="17"/>
        <v>1</v>
      </c>
    </row>
    <row r="218" spans="3:13" x14ac:dyDescent="0.25">
      <c r="C218" s="466" t="str">
        <v>9834-PR</v>
      </c>
      <c r="E218">
        <f>COUNTIF('Congestion inputs'!$D$276:$D$4366,$C218)</f>
        <v>58</v>
      </c>
      <c r="F218">
        <f>COUNTIFS('Congestion inputs'!$D$276:$D$4366,$C218,'Congestion inputs'!$I$276:$I$4366,F$144)</f>
        <v>10</v>
      </c>
      <c r="G218">
        <f>COUNTIFS('Congestion inputs'!$D$276:$D$4366,$C218,'Congestion inputs'!$I$276:$I$4366,G$144)</f>
        <v>10</v>
      </c>
      <c r="H218">
        <f>COUNTIFS('Congestion inputs'!$D$276:$D$4366,$C218,'Congestion inputs'!$I$276:$I$4366,H$144)</f>
        <v>10</v>
      </c>
      <c r="I218">
        <f>COUNTIFS('Congestion inputs'!$D$276:$D$4366,$C218,'Congestion inputs'!$I$276:$I$4366,I$144)</f>
        <v>8</v>
      </c>
      <c r="J218">
        <f>COUNTIFS('Congestion inputs'!$D$276:$D$4366,$C218,'Congestion inputs'!$I$276:$I$4366,J$144)</f>
        <v>8</v>
      </c>
      <c r="K218">
        <f>COUNTIFS('Congestion inputs'!$D$276:$D$4366,$C218,'Congestion inputs'!$I$276:$I$4366,K$144)</f>
        <v>8</v>
      </c>
      <c r="L218">
        <f>COUNTIFS('Congestion inputs'!$D$276:$D$4366,$C218,'Congestion inputs'!$I$276:$I$4366,L$144)</f>
        <v>4</v>
      </c>
      <c r="M218" s="195">
        <f t="shared" si="17"/>
        <v>1</v>
      </c>
    </row>
    <row r="219" spans="3:13" x14ac:dyDescent="0.25">
      <c r="C219" s="466" t="str">
        <v>9836-PR</v>
      </c>
      <c r="E219">
        <f>COUNTIF('Congestion inputs'!$D$276:$D$4366,$C219)</f>
        <v>58</v>
      </c>
      <c r="F219">
        <f>COUNTIFS('Congestion inputs'!$D$276:$D$4366,$C219,'Congestion inputs'!$I$276:$I$4366,F$144)</f>
        <v>10</v>
      </c>
      <c r="G219">
        <f>COUNTIFS('Congestion inputs'!$D$276:$D$4366,$C219,'Congestion inputs'!$I$276:$I$4366,G$144)</f>
        <v>10</v>
      </c>
      <c r="H219">
        <f>COUNTIFS('Congestion inputs'!$D$276:$D$4366,$C219,'Congestion inputs'!$I$276:$I$4366,H$144)</f>
        <v>10</v>
      </c>
      <c r="I219">
        <f>COUNTIFS('Congestion inputs'!$D$276:$D$4366,$C219,'Congestion inputs'!$I$276:$I$4366,I$144)</f>
        <v>8</v>
      </c>
      <c r="J219">
        <f>COUNTIFS('Congestion inputs'!$D$276:$D$4366,$C219,'Congestion inputs'!$I$276:$I$4366,J$144)</f>
        <v>8</v>
      </c>
      <c r="K219">
        <f>COUNTIFS('Congestion inputs'!$D$276:$D$4366,$C219,'Congestion inputs'!$I$276:$I$4366,K$144)</f>
        <v>8</v>
      </c>
      <c r="L219">
        <f>COUNTIFS('Congestion inputs'!$D$276:$D$4366,$C219,'Congestion inputs'!$I$276:$I$4366,L$144)</f>
        <v>4</v>
      </c>
      <c r="M219" s="195">
        <f t="shared" si="17"/>
        <v>1</v>
      </c>
    </row>
    <row r="220" spans="3:13" x14ac:dyDescent="0.25">
      <c r="C220" s="466">
        <v>9849</v>
      </c>
      <c r="E220">
        <f>COUNTIF('Congestion inputs'!$D$276:$D$4366,$C220)</f>
        <v>62</v>
      </c>
      <c r="F220">
        <f>COUNTIFS('Congestion inputs'!$D$276:$D$4366,$C220,'Congestion inputs'!$I$276:$I$4366,F$144)</f>
        <v>10</v>
      </c>
      <c r="G220">
        <f>COUNTIFS('Congestion inputs'!$D$276:$D$4366,$C220,'Congestion inputs'!$I$276:$I$4366,G$144)</f>
        <v>10</v>
      </c>
      <c r="H220">
        <f>COUNTIFS('Congestion inputs'!$D$276:$D$4366,$C220,'Congestion inputs'!$I$276:$I$4366,H$144)</f>
        <v>10</v>
      </c>
      <c r="I220">
        <f>COUNTIFS('Congestion inputs'!$D$276:$D$4366,$C220,'Congestion inputs'!$I$276:$I$4366,I$144)</f>
        <v>8</v>
      </c>
      <c r="J220">
        <f>COUNTIFS('Congestion inputs'!$D$276:$D$4366,$C220,'Congestion inputs'!$I$276:$I$4366,J$144)</f>
        <v>8</v>
      </c>
      <c r="K220">
        <f>COUNTIFS('Congestion inputs'!$D$276:$D$4366,$C220,'Congestion inputs'!$I$276:$I$4366,K$144)</f>
        <v>8</v>
      </c>
      <c r="L220">
        <f>COUNTIFS('Congestion inputs'!$D$276:$D$4366,$C220,'Congestion inputs'!$I$276:$I$4366,L$144)</f>
        <v>8</v>
      </c>
      <c r="M220" s="195">
        <f t="shared" si="17"/>
        <v>1</v>
      </c>
    </row>
    <row r="221" spans="3:13" x14ac:dyDescent="0.25">
      <c r="C221" s="466" t="str">
        <v>BRGSTC</v>
      </c>
      <c r="E221">
        <f>COUNTIF('Congestion inputs'!$D$276:$D$4366,$C221)</f>
        <v>54</v>
      </c>
      <c r="F221">
        <f>COUNTIFS('Congestion inputs'!$D$276:$D$4366,$C221,'Congestion inputs'!$I$276:$I$4366,F$144)</f>
        <v>10</v>
      </c>
      <c r="G221">
        <f>COUNTIFS('Congestion inputs'!$D$276:$D$4366,$C221,'Congestion inputs'!$I$276:$I$4366,G$144)</f>
        <v>10</v>
      </c>
      <c r="H221">
        <f>COUNTIFS('Congestion inputs'!$D$276:$D$4366,$C221,'Congestion inputs'!$I$276:$I$4366,H$144)</f>
        <v>10</v>
      </c>
      <c r="I221">
        <f>COUNTIFS('Congestion inputs'!$D$276:$D$4366,$C221,'Congestion inputs'!$I$276:$I$4366,I$144)</f>
        <v>8</v>
      </c>
      <c r="J221">
        <f>COUNTIFS('Congestion inputs'!$D$276:$D$4366,$C221,'Congestion inputs'!$I$276:$I$4366,J$144)</f>
        <v>8</v>
      </c>
      <c r="K221">
        <f>COUNTIFS('Congestion inputs'!$D$276:$D$4366,$C221,'Congestion inputs'!$I$276:$I$4366,K$144)</f>
        <v>8</v>
      </c>
      <c r="L221">
        <f>COUNTIFS('Congestion inputs'!$D$276:$D$4366,$C221,'Congestion inputs'!$I$276:$I$4366,L$144)</f>
        <v>0</v>
      </c>
      <c r="M221" s="195">
        <f t="shared" si="17"/>
        <v>1</v>
      </c>
    </row>
    <row r="222" spans="3:13" x14ac:dyDescent="0.25">
      <c r="C222" s="466" t="str">
        <v>F3FWY001</v>
      </c>
      <c r="E222">
        <f>COUNTIF('Congestion inputs'!$D$276:$D$4366,$C222)</f>
        <v>62</v>
      </c>
      <c r="F222">
        <f>COUNTIFS('Congestion inputs'!$D$276:$D$4366,$C222,'Congestion inputs'!$I$276:$I$4366,F$144)</f>
        <v>10</v>
      </c>
      <c r="G222">
        <f>COUNTIFS('Congestion inputs'!$D$276:$D$4366,$C222,'Congestion inputs'!$I$276:$I$4366,G$144)</f>
        <v>10</v>
      </c>
      <c r="H222">
        <f>COUNTIFS('Congestion inputs'!$D$276:$D$4366,$C222,'Congestion inputs'!$I$276:$I$4366,H$144)</f>
        <v>10</v>
      </c>
      <c r="I222">
        <f>COUNTIFS('Congestion inputs'!$D$276:$D$4366,$C222,'Congestion inputs'!$I$276:$I$4366,I$144)</f>
        <v>8</v>
      </c>
      <c r="J222">
        <f>COUNTIFS('Congestion inputs'!$D$276:$D$4366,$C222,'Congestion inputs'!$I$276:$I$4366,J$144)</f>
        <v>8</v>
      </c>
      <c r="K222">
        <f>COUNTIFS('Congestion inputs'!$D$276:$D$4366,$C222,'Congestion inputs'!$I$276:$I$4366,K$144)</f>
        <v>8</v>
      </c>
      <c r="L222">
        <f>COUNTIFS('Congestion inputs'!$D$276:$D$4366,$C222,'Congestion inputs'!$I$276:$I$4366,L$144)</f>
        <v>8</v>
      </c>
      <c r="M222" s="195">
        <f t="shared" si="17"/>
        <v>1</v>
      </c>
    </row>
    <row r="223" spans="3:13" x14ac:dyDescent="0.25">
      <c r="C223" s="466" t="str">
        <v>F3FWY002</v>
      </c>
      <c r="E223">
        <f>COUNTIF('Congestion inputs'!$D$276:$D$4366,$C223)</f>
        <v>10</v>
      </c>
      <c r="F223">
        <f>COUNTIFS('Congestion inputs'!$D$276:$D$4366,$C223,'Congestion inputs'!$I$276:$I$4366,F$144)</f>
        <v>10</v>
      </c>
      <c r="G223">
        <f>COUNTIFS('Congestion inputs'!$D$276:$D$4366,$C223,'Congestion inputs'!$I$276:$I$4366,G$144)</f>
        <v>0</v>
      </c>
      <c r="H223">
        <f>COUNTIFS('Congestion inputs'!$D$276:$D$4366,$C223,'Congestion inputs'!$I$276:$I$4366,H$144)</f>
        <v>0</v>
      </c>
      <c r="I223">
        <f>COUNTIFS('Congestion inputs'!$D$276:$D$4366,$C223,'Congestion inputs'!$I$276:$I$4366,I$144)</f>
        <v>0</v>
      </c>
      <c r="J223">
        <f>COUNTIFS('Congestion inputs'!$D$276:$D$4366,$C223,'Congestion inputs'!$I$276:$I$4366,J$144)</f>
        <v>0</v>
      </c>
      <c r="K223">
        <f>COUNTIFS('Congestion inputs'!$D$276:$D$4366,$C223,'Congestion inputs'!$I$276:$I$4366,K$144)</f>
        <v>0</v>
      </c>
      <c r="L223">
        <f>COUNTIFS('Congestion inputs'!$D$276:$D$4366,$C223,'Congestion inputs'!$I$276:$I$4366,L$144)</f>
        <v>0</v>
      </c>
      <c r="M223" s="195">
        <f t="shared" si="17"/>
        <v>0</v>
      </c>
    </row>
    <row r="224" spans="3:13" x14ac:dyDescent="0.25">
      <c r="C224" s="466" t="str">
        <v>F3FWY003</v>
      </c>
      <c r="E224">
        <f>COUNTIF('Congestion inputs'!$D$276:$D$4366,$C224)</f>
        <v>10</v>
      </c>
      <c r="F224">
        <f>COUNTIFS('Congestion inputs'!$D$276:$D$4366,$C224,'Congestion inputs'!$I$276:$I$4366,F$144)</f>
        <v>10</v>
      </c>
      <c r="G224">
        <f>COUNTIFS('Congestion inputs'!$D$276:$D$4366,$C224,'Congestion inputs'!$I$276:$I$4366,G$144)</f>
        <v>0</v>
      </c>
      <c r="H224">
        <f>COUNTIFS('Congestion inputs'!$D$276:$D$4366,$C224,'Congestion inputs'!$I$276:$I$4366,H$144)</f>
        <v>0</v>
      </c>
      <c r="I224">
        <f>COUNTIFS('Congestion inputs'!$D$276:$D$4366,$C224,'Congestion inputs'!$I$276:$I$4366,I$144)</f>
        <v>0</v>
      </c>
      <c r="J224">
        <f>COUNTIFS('Congestion inputs'!$D$276:$D$4366,$C224,'Congestion inputs'!$I$276:$I$4366,J$144)</f>
        <v>0</v>
      </c>
      <c r="K224">
        <f>COUNTIFS('Congestion inputs'!$D$276:$D$4366,$C224,'Congestion inputs'!$I$276:$I$4366,K$144)</f>
        <v>0</v>
      </c>
      <c r="L224">
        <f>COUNTIFS('Congestion inputs'!$D$276:$D$4366,$C224,'Congestion inputs'!$I$276:$I$4366,L$144)</f>
        <v>0</v>
      </c>
      <c r="M224" s="195">
        <f t="shared" si="17"/>
        <v>0</v>
      </c>
    </row>
    <row r="225" spans="3:13" x14ac:dyDescent="0.25">
      <c r="C225" s="466" t="str">
        <v>F3FWY004</v>
      </c>
      <c r="E225">
        <f>COUNTIF('Congestion inputs'!$D$276:$D$4366,$C225)</f>
        <v>10</v>
      </c>
      <c r="F225">
        <f>COUNTIFS('Congestion inputs'!$D$276:$D$4366,$C225,'Congestion inputs'!$I$276:$I$4366,F$144)</f>
        <v>10</v>
      </c>
      <c r="G225">
        <f>COUNTIFS('Congestion inputs'!$D$276:$D$4366,$C225,'Congestion inputs'!$I$276:$I$4366,G$144)</f>
        <v>0</v>
      </c>
      <c r="H225">
        <f>COUNTIFS('Congestion inputs'!$D$276:$D$4366,$C225,'Congestion inputs'!$I$276:$I$4366,H$144)</f>
        <v>0</v>
      </c>
      <c r="I225">
        <f>COUNTIFS('Congestion inputs'!$D$276:$D$4366,$C225,'Congestion inputs'!$I$276:$I$4366,I$144)</f>
        <v>0</v>
      </c>
      <c r="J225">
        <f>COUNTIFS('Congestion inputs'!$D$276:$D$4366,$C225,'Congestion inputs'!$I$276:$I$4366,J$144)</f>
        <v>0</v>
      </c>
      <c r="K225">
        <f>COUNTIFS('Congestion inputs'!$D$276:$D$4366,$C225,'Congestion inputs'!$I$276:$I$4366,K$144)</f>
        <v>0</v>
      </c>
      <c r="L225">
        <f>COUNTIFS('Congestion inputs'!$D$276:$D$4366,$C225,'Congestion inputs'!$I$276:$I$4366,L$144)</f>
        <v>0</v>
      </c>
      <c r="M225" s="195">
        <f t="shared" si="17"/>
        <v>0</v>
      </c>
    </row>
    <row r="226" spans="3:13" x14ac:dyDescent="0.25">
      <c r="C226" s="466" t="str">
        <v>F3FWY005</v>
      </c>
      <c r="E226">
        <f>COUNTIF('Congestion inputs'!$D$276:$D$4366,$C226)</f>
        <v>46</v>
      </c>
      <c r="F226">
        <f>COUNTIFS('Congestion inputs'!$D$276:$D$4366,$C226,'Congestion inputs'!$I$276:$I$4366,F$144)</f>
        <v>10</v>
      </c>
      <c r="G226">
        <f>COUNTIFS('Congestion inputs'!$D$276:$D$4366,$C226,'Congestion inputs'!$I$276:$I$4366,G$144)</f>
        <v>10</v>
      </c>
      <c r="H226">
        <f>COUNTIFS('Congestion inputs'!$D$276:$D$4366,$C226,'Congestion inputs'!$I$276:$I$4366,H$144)</f>
        <v>10</v>
      </c>
      <c r="I226">
        <f>COUNTIFS('Congestion inputs'!$D$276:$D$4366,$C226,'Congestion inputs'!$I$276:$I$4366,I$144)</f>
        <v>8</v>
      </c>
      <c r="J226">
        <f>COUNTIFS('Congestion inputs'!$D$276:$D$4366,$C226,'Congestion inputs'!$I$276:$I$4366,J$144)</f>
        <v>8</v>
      </c>
      <c r="K226">
        <f>COUNTIFS('Congestion inputs'!$D$276:$D$4366,$C226,'Congestion inputs'!$I$276:$I$4366,K$144)</f>
        <v>0</v>
      </c>
      <c r="L226">
        <f>COUNTIFS('Congestion inputs'!$D$276:$D$4366,$C226,'Congestion inputs'!$I$276:$I$4366,L$144)</f>
        <v>0</v>
      </c>
      <c r="M226" s="195">
        <f t="shared" si="17"/>
        <v>0</v>
      </c>
    </row>
    <row r="227" spans="3:13" x14ac:dyDescent="0.25">
      <c r="C227" s="466" t="str">
        <v>F3FWY006</v>
      </c>
      <c r="E227">
        <f>COUNTIF('Congestion inputs'!$D$276:$D$4366,$C227)</f>
        <v>10</v>
      </c>
      <c r="F227">
        <f>COUNTIFS('Congestion inputs'!$D$276:$D$4366,$C227,'Congestion inputs'!$I$276:$I$4366,F$144)</f>
        <v>10</v>
      </c>
      <c r="G227">
        <f>COUNTIFS('Congestion inputs'!$D$276:$D$4366,$C227,'Congestion inputs'!$I$276:$I$4366,G$144)</f>
        <v>0</v>
      </c>
      <c r="H227">
        <f>COUNTIFS('Congestion inputs'!$D$276:$D$4366,$C227,'Congestion inputs'!$I$276:$I$4366,H$144)</f>
        <v>0</v>
      </c>
      <c r="I227">
        <f>COUNTIFS('Congestion inputs'!$D$276:$D$4366,$C227,'Congestion inputs'!$I$276:$I$4366,I$144)</f>
        <v>0</v>
      </c>
      <c r="J227">
        <f>COUNTIFS('Congestion inputs'!$D$276:$D$4366,$C227,'Congestion inputs'!$I$276:$I$4366,J$144)</f>
        <v>0</v>
      </c>
      <c r="K227">
        <f>COUNTIFS('Congestion inputs'!$D$276:$D$4366,$C227,'Congestion inputs'!$I$276:$I$4366,K$144)</f>
        <v>0</v>
      </c>
      <c r="L227">
        <f>COUNTIFS('Congestion inputs'!$D$276:$D$4366,$C227,'Congestion inputs'!$I$276:$I$4366,L$144)</f>
        <v>0</v>
      </c>
      <c r="M227" s="195">
        <f t="shared" si="17"/>
        <v>0</v>
      </c>
    </row>
    <row r="228" spans="3:13" x14ac:dyDescent="0.25">
      <c r="C228" s="466" t="str">
        <v>HEX1</v>
      </c>
      <c r="E228">
        <f>COUNTIF('Congestion inputs'!$D$276:$D$4366,$C228)</f>
        <v>27</v>
      </c>
      <c r="F228">
        <f>COUNTIFS('Congestion inputs'!$D$276:$D$4366,$C228,'Congestion inputs'!$I$276:$I$4366,F$144)</f>
        <v>5</v>
      </c>
      <c r="G228">
        <f>COUNTIFS('Congestion inputs'!$D$276:$D$4366,$C228,'Congestion inputs'!$I$276:$I$4366,G$144)</f>
        <v>5</v>
      </c>
      <c r="H228">
        <f>COUNTIFS('Congestion inputs'!$D$276:$D$4366,$C228,'Congestion inputs'!$I$276:$I$4366,H$144)</f>
        <v>5</v>
      </c>
      <c r="I228">
        <f>COUNTIFS('Congestion inputs'!$D$276:$D$4366,$C228,'Congestion inputs'!$I$276:$I$4366,I$144)</f>
        <v>4</v>
      </c>
      <c r="J228">
        <f>COUNTIFS('Congestion inputs'!$D$276:$D$4366,$C228,'Congestion inputs'!$I$276:$I$4366,J$144)</f>
        <v>4</v>
      </c>
      <c r="K228">
        <f>COUNTIFS('Congestion inputs'!$D$276:$D$4366,$C228,'Congestion inputs'!$I$276:$I$4366,K$144)</f>
        <v>4</v>
      </c>
      <c r="L228">
        <f>COUNTIFS('Congestion inputs'!$D$276:$D$4366,$C228,'Congestion inputs'!$I$276:$I$4366,L$144)</f>
        <v>0</v>
      </c>
      <c r="M228" s="195">
        <f t="shared" si="17"/>
        <v>1</v>
      </c>
    </row>
    <row r="229" spans="3:13" x14ac:dyDescent="0.25">
      <c r="C229" s="466" t="str">
        <v>HEX2</v>
      </c>
      <c r="E229">
        <f>COUNTIF('Congestion inputs'!$D$276:$D$4366,$C229)</f>
        <v>27</v>
      </c>
      <c r="F229">
        <f>COUNTIFS('Congestion inputs'!$D$276:$D$4366,$C229,'Congestion inputs'!$I$276:$I$4366,F$144)</f>
        <v>5</v>
      </c>
      <c r="G229">
        <f>COUNTIFS('Congestion inputs'!$D$276:$D$4366,$C229,'Congestion inputs'!$I$276:$I$4366,G$144)</f>
        <v>5</v>
      </c>
      <c r="H229">
        <f>COUNTIFS('Congestion inputs'!$D$276:$D$4366,$C229,'Congestion inputs'!$I$276:$I$4366,H$144)</f>
        <v>5</v>
      </c>
      <c r="I229">
        <f>COUNTIFS('Congestion inputs'!$D$276:$D$4366,$C229,'Congestion inputs'!$I$276:$I$4366,I$144)</f>
        <v>4</v>
      </c>
      <c r="J229">
        <f>COUNTIFS('Congestion inputs'!$D$276:$D$4366,$C229,'Congestion inputs'!$I$276:$I$4366,J$144)</f>
        <v>4</v>
      </c>
      <c r="K229">
        <f>COUNTIFS('Congestion inputs'!$D$276:$D$4366,$C229,'Congestion inputs'!$I$276:$I$4366,K$144)</f>
        <v>4</v>
      </c>
      <c r="L229">
        <f>COUNTIFS('Congestion inputs'!$D$276:$D$4366,$C229,'Congestion inputs'!$I$276:$I$4366,L$144)</f>
        <v>0</v>
      </c>
      <c r="M229" s="195">
        <f t="shared" si="17"/>
        <v>1</v>
      </c>
    </row>
    <row r="230" spans="3:13" x14ac:dyDescent="0.25">
      <c r="C230" s="466" t="str">
        <v>HEXBUCHW-PR</v>
      </c>
      <c r="E230">
        <f>COUNTIF('Congestion inputs'!$D$276:$D$4366,$C230)</f>
        <v>58</v>
      </c>
      <c r="F230">
        <f>COUNTIFS('Congestion inputs'!$D$276:$D$4366,$C230,'Congestion inputs'!$I$276:$I$4366,F$144)</f>
        <v>10</v>
      </c>
      <c r="G230">
        <f>COUNTIFS('Congestion inputs'!$D$276:$D$4366,$C230,'Congestion inputs'!$I$276:$I$4366,G$144)</f>
        <v>10</v>
      </c>
      <c r="H230">
        <f>COUNTIFS('Congestion inputs'!$D$276:$D$4366,$C230,'Congestion inputs'!$I$276:$I$4366,H$144)</f>
        <v>10</v>
      </c>
      <c r="I230">
        <f>COUNTIFS('Congestion inputs'!$D$276:$D$4366,$C230,'Congestion inputs'!$I$276:$I$4366,I$144)</f>
        <v>8</v>
      </c>
      <c r="J230">
        <f>COUNTIFS('Congestion inputs'!$D$276:$D$4366,$C230,'Congestion inputs'!$I$276:$I$4366,J$144)</f>
        <v>8</v>
      </c>
      <c r="K230">
        <f>COUNTIFS('Congestion inputs'!$D$276:$D$4366,$C230,'Congestion inputs'!$I$276:$I$4366,K$144)</f>
        <v>8</v>
      </c>
      <c r="L230">
        <f>COUNTIFS('Congestion inputs'!$D$276:$D$4366,$C230,'Congestion inputs'!$I$276:$I$4366,L$144)</f>
        <v>4</v>
      </c>
      <c r="M230" s="195">
        <f t="shared" si="17"/>
        <v>1</v>
      </c>
    </row>
    <row r="231" spans="3:13" x14ac:dyDescent="0.25">
      <c r="C231" s="466" t="str">
        <v>MOHVCS</v>
      </c>
      <c r="E231">
        <f>COUNTIF('Congestion inputs'!$D$276:$D$4366,$C231)</f>
        <v>38</v>
      </c>
      <c r="F231">
        <f>COUNTIFS('Congestion inputs'!$D$276:$D$4366,$C231,'Congestion inputs'!$I$276:$I$4366,F$144)</f>
        <v>10</v>
      </c>
      <c r="G231">
        <f>COUNTIFS('Congestion inputs'!$D$276:$D$4366,$C231,'Congestion inputs'!$I$276:$I$4366,G$144)</f>
        <v>10</v>
      </c>
      <c r="H231">
        <f>COUNTIFS('Congestion inputs'!$D$276:$D$4366,$C231,'Congestion inputs'!$I$276:$I$4366,H$144)</f>
        <v>10</v>
      </c>
      <c r="I231">
        <f>COUNTIFS('Congestion inputs'!$D$276:$D$4366,$C231,'Congestion inputs'!$I$276:$I$4366,I$144)</f>
        <v>8</v>
      </c>
      <c r="J231">
        <f>COUNTIFS('Congestion inputs'!$D$276:$D$4366,$C231,'Congestion inputs'!$I$276:$I$4366,J$144)</f>
        <v>0</v>
      </c>
      <c r="K231">
        <f>COUNTIFS('Congestion inputs'!$D$276:$D$4366,$C231,'Congestion inputs'!$I$276:$I$4366,K$144)</f>
        <v>0</v>
      </c>
      <c r="L231">
        <f>COUNTIFS('Congestion inputs'!$D$276:$D$4366,$C231,'Congestion inputs'!$I$276:$I$4366,L$144)</f>
        <v>0</v>
      </c>
      <c r="M231" s="195">
        <f t="shared" si="17"/>
        <v>0</v>
      </c>
    </row>
    <row r="232" spans="3:13" x14ac:dyDescent="0.25">
      <c r="C232" s="466" t="str">
        <v>T0085</v>
      </c>
      <c r="E232">
        <f>COUNTIF('Congestion inputs'!$D$276:$D$4366,$C232)</f>
        <v>62</v>
      </c>
      <c r="F232">
        <f>COUNTIFS('Congestion inputs'!$D$276:$D$4366,$C232,'Congestion inputs'!$I$276:$I$4366,F$144)</f>
        <v>10</v>
      </c>
      <c r="G232">
        <f>COUNTIFS('Congestion inputs'!$D$276:$D$4366,$C232,'Congestion inputs'!$I$276:$I$4366,G$144)</f>
        <v>10</v>
      </c>
      <c r="H232">
        <f>COUNTIFS('Congestion inputs'!$D$276:$D$4366,$C232,'Congestion inputs'!$I$276:$I$4366,H$144)</f>
        <v>10</v>
      </c>
      <c r="I232">
        <f>COUNTIFS('Congestion inputs'!$D$276:$D$4366,$C232,'Congestion inputs'!$I$276:$I$4366,I$144)</f>
        <v>8</v>
      </c>
      <c r="J232">
        <f>COUNTIFS('Congestion inputs'!$D$276:$D$4366,$C232,'Congestion inputs'!$I$276:$I$4366,J$144)</f>
        <v>8</v>
      </c>
      <c r="K232">
        <f>COUNTIFS('Congestion inputs'!$D$276:$D$4366,$C232,'Congestion inputs'!$I$276:$I$4366,K$144)</f>
        <v>8</v>
      </c>
      <c r="L232">
        <f>COUNTIFS('Congestion inputs'!$D$276:$D$4366,$C232,'Congestion inputs'!$I$276:$I$4366,L$144)</f>
        <v>8</v>
      </c>
      <c r="M232" s="195">
        <f t="shared" si="17"/>
        <v>1</v>
      </c>
    </row>
    <row r="233" spans="3:13" x14ac:dyDescent="0.25">
      <c r="C233" s="466" t="str">
        <v>T0231</v>
      </c>
      <c r="E233">
        <f>COUNTIF('Congestion inputs'!$D$276:$D$4366,$C233)</f>
        <v>31</v>
      </c>
      <c r="F233">
        <f>COUNTIFS('Congestion inputs'!$D$276:$D$4366,$C233,'Congestion inputs'!$I$276:$I$4366,F$144)</f>
        <v>5</v>
      </c>
      <c r="G233">
        <f>COUNTIFS('Congestion inputs'!$D$276:$D$4366,$C233,'Congestion inputs'!$I$276:$I$4366,G$144)</f>
        <v>5</v>
      </c>
      <c r="H233">
        <f>COUNTIFS('Congestion inputs'!$D$276:$D$4366,$C233,'Congestion inputs'!$I$276:$I$4366,H$144)</f>
        <v>5</v>
      </c>
      <c r="I233">
        <f>COUNTIFS('Congestion inputs'!$D$276:$D$4366,$C233,'Congestion inputs'!$I$276:$I$4366,I$144)</f>
        <v>4</v>
      </c>
      <c r="J233">
        <f>COUNTIFS('Congestion inputs'!$D$276:$D$4366,$C233,'Congestion inputs'!$I$276:$I$4366,J$144)</f>
        <v>4</v>
      </c>
      <c r="K233">
        <f>COUNTIFS('Congestion inputs'!$D$276:$D$4366,$C233,'Congestion inputs'!$I$276:$I$4366,K$144)</f>
        <v>4</v>
      </c>
      <c r="L233">
        <f>COUNTIFS('Congestion inputs'!$D$276:$D$4366,$C233,'Congestion inputs'!$I$276:$I$4366,L$144)</f>
        <v>4</v>
      </c>
      <c r="M233" s="195">
        <f t="shared" si="17"/>
        <v>1</v>
      </c>
    </row>
    <row r="234" spans="3:13" x14ac:dyDescent="0.25">
      <c r="C234" s="466" t="str">
        <v>T0288</v>
      </c>
      <c r="E234">
        <f>COUNTIF('Congestion inputs'!$D$276:$D$4366,$C234)</f>
        <v>31</v>
      </c>
      <c r="F234">
        <f>COUNTIFS('Congestion inputs'!$D$276:$D$4366,$C234,'Congestion inputs'!$I$276:$I$4366,F$144)</f>
        <v>5</v>
      </c>
      <c r="G234">
        <f>COUNTIFS('Congestion inputs'!$D$276:$D$4366,$C234,'Congestion inputs'!$I$276:$I$4366,G$144)</f>
        <v>5</v>
      </c>
      <c r="H234">
        <f>COUNTIFS('Congestion inputs'!$D$276:$D$4366,$C234,'Congestion inputs'!$I$276:$I$4366,H$144)</f>
        <v>5</v>
      </c>
      <c r="I234">
        <f>COUNTIFS('Congestion inputs'!$D$276:$D$4366,$C234,'Congestion inputs'!$I$276:$I$4366,I$144)</f>
        <v>4</v>
      </c>
      <c r="J234">
        <f>COUNTIFS('Congestion inputs'!$D$276:$D$4366,$C234,'Congestion inputs'!$I$276:$I$4366,J$144)</f>
        <v>4</v>
      </c>
      <c r="K234">
        <f>COUNTIFS('Congestion inputs'!$D$276:$D$4366,$C234,'Congestion inputs'!$I$276:$I$4366,K$144)</f>
        <v>4</v>
      </c>
      <c r="L234">
        <f>COUNTIFS('Congestion inputs'!$D$276:$D$4366,$C234,'Congestion inputs'!$I$276:$I$4366,L$144)</f>
        <v>4</v>
      </c>
      <c r="M234" s="195">
        <f t="shared" si="17"/>
        <v>1</v>
      </c>
    </row>
    <row r="235" spans="3:13" x14ac:dyDescent="0.25">
      <c r="C235" s="466" t="str">
        <v>T0289</v>
      </c>
      <c r="E235">
        <f>COUNTIF('Congestion inputs'!$D$276:$D$4366,$C235)</f>
        <v>31</v>
      </c>
      <c r="F235">
        <f>COUNTIFS('Congestion inputs'!$D$276:$D$4366,$C235,'Congestion inputs'!$I$276:$I$4366,F$144)</f>
        <v>5</v>
      </c>
      <c r="G235">
        <f>COUNTIFS('Congestion inputs'!$D$276:$D$4366,$C235,'Congestion inputs'!$I$276:$I$4366,G$144)</f>
        <v>5</v>
      </c>
      <c r="H235">
        <f>COUNTIFS('Congestion inputs'!$D$276:$D$4366,$C235,'Congestion inputs'!$I$276:$I$4366,H$144)</f>
        <v>5</v>
      </c>
      <c r="I235">
        <f>COUNTIFS('Congestion inputs'!$D$276:$D$4366,$C235,'Congestion inputs'!$I$276:$I$4366,I$144)</f>
        <v>4</v>
      </c>
      <c r="J235">
        <f>COUNTIFS('Congestion inputs'!$D$276:$D$4366,$C235,'Congestion inputs'!$I$276:$I$4366,J$144)</f>
        <v>4</v>
      </c>
      <c r="K235">
        <f>COUNTIFS('Congestion inputs'!$D$276:$D$4366,$C235,'Congestion inputs'!$I$276:$I$4366,K$144)</f>
        <v>4</v>
      </c>
      <c r="L235">
        <f>COUNTIFS('Congestion inputs'!$D$276:$D$4366,$C235,'Congestion inputs'!$I$276:$I$4366,L$144)</f>
        <v>4</v>
      </c>
      <c r="M235" s="195">
        <f t="shared" si="17"/>
        <v>1</v>
      </c>
    </row>
    <row r="236" spans="3:13" x14ac:dyDescent="0.25">
      <c r="C236" s="466" t="str">
        <v>T0290</v>
      </c>
      <c r="E236">
        <f>COUNTIF('Congestion inputs'!$D$276:$D$4366,$C236)</f>
        <v>31</v>
      </c>
      <c r="F236">
        <f>COUNTIFS('Congestion inputs'!$D$276:$D$4366,$C236,'Congestion inputs'!$I$276:$I$4366,F$144)</f>
        <v>5</v>
      </c>
      <c r="G236">
        <f>COUNTIFS('Congestion inputs'!$D$276:$D$4366,$C236,'Congestion inputs'!$I$276:$I$4366,G$144)</f>
        <v>5</v>
      </c>
      <c r="H236">
        <f>COUNTIFS('Congestion inputs'!$D$276:$D$4366,$C236,'Congestion inputs'!$I$276:$I$4366,H$144)</f>
        <v>5</v>
      </c>
      <c r="I236">
        <f>COUNTIFS('Congestion inputs'!$D$276:$D$4366,$C236,'Congestion inputs'!$I$276:$I$4366,I$144)</f>
        <v>4</v>
      </c>
      <c r="J236">
        <f>COUNTIFS('Congestion inputs'!$D$276:$D$4366,$C236,'Congestion inputs'!$I$276:$I$4366,J$144)</f>
        <v>4</v>
      </c>
      <c r="K236">
        <f>COUNTIFS('Congestion inputs'!$D$276:$D$4366,$C236,'Congestion inputs'!$I$276:$I$4366,K$144)</f>
        <v>4</v>
      </c>
      <c r="L236">
        <f>COUNTIFS('Congestion inputs'!$D$276:$D$4366,$C236,'Congestion inputs'!$I$276:$I$4366,L$144)</f>
        <v>4</v>
      </c>
      <c r="M236" s="195">
        <f t="shared" si="17"/>
        <v>1</v>
      </c>
    </row>
    <row r="237" spans="3:13" x14ac:dyDescent="0.25">
      <c r="C237" s="466" t="str">
        <v>T0294</v>
      </c>
      <c r="E237">
        <f>COUNTIF('Congestion inputs'!$D$276:$D$4366,$C237)</f>
        <v>31</v>
      </c>
      <c r="F237">
        <f>COUNTIFS('Congestion inputs'!$D$276:$D$4366,$C237,'Congestion inputs'!$I$276:$I$4366,F$144)</f>
        <v>5</v>
      </c>
      <c r="G237">
        <f>COUNTIFS('Congestion inputs'!$D$276:$D$4366,$C237,'Congestion inputs'!$I$276:$I$4366,G$144)</f>
        <v>5</v>
      </c>
      <c r="H237">
        <f>COUNTIFS('Congestion inputs'!$D$276:$D$4366,$C237,'Congestion inputs'!$I$276:$I$4366,H$144)</f>
        <v>5</v>
      </c>
      <c r="I237">
        <f>COUNTIFS('Congestion inputs'!$D$276:$D$4366,$C237,'Congestion inputs'!$I$276:$I$4366,I$144)</f>
        <v>4</v>
      </c>
      <c r="J237">
        <f>COUNTIFS('Congestion inputs'!$D$276:$D$4366,$C237,'Congestion inputs'!$I$276:$I$4366,J$144)</f>
        <v>4</v>
      </c>
      <c r="K237">
        <f>COUNTIFS('Congestion inputs'!$D$276:$D$4366,$C237,'Congestion inputs'!$I$276:$I$4366,K$144)</f>
        <v>4</v>
      </c>
      <c r="L237">
        <f>COUNTIFS('Congestion inputs'!$D$276:$D$4366,$C237,'Congestion inputs'!$I$276:$I$4366,L$144)</f>
        <v>4</v>
      </c>
      <c r="M237" s="195">
        <f t="shared" si="17"/>
        <v>1</v>
      </c>
    </row>
    <row r="238" spans="3:13" x14ac:dyDescent="0.25">
      <c r="C238" s="466" t="str">
        <v>T0295</v>
      </c>
      <c r="E238">
        <f>COUNTIF('Congestion inputs'!$D$276:$D$4366,$C238)</f>
        <v>31</v>
      </c>
      <c r="F238">
        <f>COUNTIFS('Congestion inputs'!$D$276:$D$4366,$C238,'Congestion inputs'!$I$276:$I$4366,F$144)</f>
        <v>5</v>
      </c>
      <c r="G238">
        <f>COUNTIFS('Congestion inputs'!$D$276:$D$4366,$C238,'Congestion inputs'!$I$276:$I$4366,G$144)</f>
        <v>5</v>
      </c>
      <c r="H238">
        <f>COUNTIFS('Congestion inputs'!$D$276:$D$4366,$C238,'Congestion inputs'!$I$276:$I$4366,H$144)</f>
        <v>5</v>
      </c>
      <c r="I238">
        <f>COUNTIFS('Congestion inputs'!$D$276:$D$4366,$C238,'Congestion inputs'!$I$276:$I$4366,I$144)</f>
        <v>4</v>
      </c>
      <c r="J238">
        <f>COUNTIFS('Congestion inputs'!$D$276:$D$4366,$C238,'Congestion inputs'!$I$276:$I$4366,J$144)</f>
        <v>4</v>
      </c>
      <c r="K238">
        <f>COUNTIFS('Congestion inputs'!$D$276:$D$4366,$C238,'Congestion inputs'!$I$276:$I$4366,K$144)</f>
        <v>4</v>
      </c>
      <c r="L238">
        <f>COUNTIFS('Congestion inputs'!$D$276:$D$4366,$C238,'Congestion inputs'!$I$276:$I$4366,L$144)</f>
        <v>4</v>
      </c>
      <c r="M238" s="195">
        <f t="shared" si="17"/>
        <v>1</v>
      </c>
    </row>
    <row r="239" spans="3:13" x14ac:dyDescent="0.25">
      <c r="C239" s="466" t="str">
        <v>T0296</v>
      </c>
      <c r="E239">
        <f>COUNTIF('Congestion inputs'!$D$276:$D$4366,$C239)</f>
        <v>31</v>
      </c>
      <c r="F239">
        <f>COUNTIFS('Congestion inputs'!$D$276:$D$4366,$C239,'Congestion inputs'!$I$276:$I$4366,F$144)</f>
        <v>5</v>
      </c>
      <c r="G239">
        <f>COUNTIFS('Congestion inputs'!$D$276:$D$4366,$C239,'Congestion inputs'!$I$276:$I$4366,G$144)</f>
        <v>5</v>
      </c>
      <c r="H239">
        <f>COUNTIFS('Congestion inputs'!$D$276:$D$4366,$C239,'Congestion inputs'!$I$276:$I$4366,H$144)</f>
        <v>5</v>
      </c>
      <c r="I239">
        <f>COUNTIFS('Congestion inputs'!$D$276:$D$4366,$C239,'Congestion inputs'!$I$276:$I$4366,I$144)</f>
        <v>4</v>
      </c>
      <c r="J239">
        <f>COUNTIFS('Congestion inputs'!$D$276:$D$4366,$C239,'Congestion inputs'!$I$276:$I$4366,J$144)</f>
        <v>4</v>
      </c>
      <c r="K239">
        <f>COUNTIFS('Congestion inputs'!$D$276:$D$4366,$C239,'Congestion inputs'!$I$276:$I$4366,K$144)</f>
        <v>4</v>
      </c>
      <c r="L239">
        <f>COUNTIFS('Congestion inputs'!$D$276:$D$4366,$C239,'Congestion inputs'!$I$276:$I$4366,L$144)</f>
        <v>4</v>
      </c>
      <c r="M239" s="195">
        <f t="shared" si="17"/>
        <v>1</v>
      </c>
    </row>
    <row r="240" spans="3:13" x14ac:dyDescent="0.25">
      <c r="C240" s="466" t="str">
        <v>T0297</v>
      </c>
      <c r="E240">
        <f>COUNTIF('Congestion inputs'!$D$276:$D$4366,$C240)</f>
        <v>31</v>
      </c>
      <c r="F240">
        <f>COUNTIFS('Congestion inputs'!$D$276:$D$4366,$C240,'Congestion inputs'!$I$276:$I$4366,F$144)</f>
        <v>5</v>
      </c>
      <c r="G240">
        <f>COUNTIFS('Congestion inputs'!$D$276:$D$4366,$C240,'Congestion inputs'!$I$276:$I$4366,G$144)</f>
        <v>5</v>
      </c>
      <c r="H240">
        <f>COUNTIFS('Congestion inputs'!$D$276:$D$4366,$C240,'Congestion inputs'!$I$276:$I$4366,H$144)</f>
        <v>5</v>
      </c>
      <c r="I240">
        <f>COUNTIFS('Congestion inputs'!$D$276:$D$4366,$C240,'Congestion inputs'!$I$276:$I$4366,I$144)</f>
        <v>4</v>
      </c>
      <c r="J240">
        <f>COUNTIFS('Congestion inputs'!$D$276:$D$4366,$C240,'Congestion inputs'!$I$276:$I$4366,J$144)</f>
        <v>4</v>
      </c>
      <c r="K240">
        <f>COUNTIFS('Congestion inputs'!$D$276:$D$4366,$C240,'Congestion inputs'!$I$276:$I$4366,K$144)</f>
        <v>4</v>
      </c>
      <c r="L240">
        <f>COUNTIFS('Congestion inputs'!$D$276:$D$4366,$C240,'Congestion inputs'!$I$276:$I$4366,L$144)</f>
        <v>4</v>
      </c>
      <c r="M240" s="195">
        <f t="shared" si="17"/>
        <v>1</v>
      </c>
    </row>
    <row r="241" spans="3:13" x14ac:dyDescent="0.25">
      <c r="C241" s="466" t="str">
        <v>T0298</v>
      </c>
      <c r="E241">
        <f>COUNTIF('Congestion inputs'!$D$276:$D$4366,$C241)</f>
        <v>62</v>
      </c>
      <c r="F241">
        <f>COUNTIFS('Congestion inputs'!$D$276:$D$4366,$C241,'Congestion inputs'!$I$276:$I$4366,F$144)</f>
        <v>10</v>
      </c>
      <c r="G241">
        <f>COUNTIFS('Congestion inputs'!$D$276:$D$4366,$C241,'Congestion inputs'!$I$276:$I$4366,G$144)</f>
        <v>10</v>
      </c>
      <c r="H241">
        <f>COUNTIFS('Congestion inputs'!$D$276:$D$4366,$C241,'Congestion inputs'!$I$276:$I$4366,H$144)</f>
        <v>10</v>
      </c>
      <c r="I241">
        <f>COUNTIFS('Congestion inputs'!$D$276:$D$4366,$C241,'Congestion inputs'!$I$276:$I$4366,I$144)</f>
        <v>8</v>
      </c>
      <c r="J241">
        <f>COUNTIFS('Congestion inputs'!$D$276:$D$4366,$C241,'Congestion inputs'!$I$276:$I$4366,J$144)</f>
        <v>8</v>
      </c>
      <c r="K241">
        <f>COUNTIFS('Congestion inputs'!$D$276:$D$4366,$C241,'Congestion inputs'!$I$276:$I$4366,K$144)</f>
        <v>8</v>
      </c>
      <c r="L241">
        <f>COUNTIFS('Congestion inputs'!$D$276:$D$4366,$C241,'Congestion inputs'!$I$276:$I$4366,L$144)</f>
        <v>8</v>
      </c>
      <c r="M241" s="195">
        <f t="shared" ref="M241:M249" si="18">IF(K241=0,0,1)</f>
        <v>1</v>
      </c>
    </row>
    <row r="242" spans="3:13" x14ac:dyDescent="0.25">
      <c r="C242" s="466" t="str">
        <v>T0299</v>
      </c>
      <c r="E242">
        <f>COUNTIF('Congestion inputs'!$D$276:$D$4366,$C242)</f>
        <v>31</v>
      </c>
      <c r="F242">
        <f>COUNTIFS('Congestion inputs'!$D$276:$D$4366,$C242,'Congestion inputs'!$I$276:$I$4366,F$144)</f>
        <v>5</v>
      </c>
      <c r="G242">
        <f>COUNTIFS('Congestion inputs'!$D$276:$D$4366,$C242,'Congestion inputs'!$I$276:$I$4366,G$144)</f>
        <v>5</v>
      </c>
      <c r="H242">
        <f>COUNTIFS('Congestion inputs'!$D$276:$D$4366,$C242,'Congestion inputs'!$I$276:$I$4366,H$144)</f>
        <v>5</v>
      </c>
      <c r="I242">
        <f>COUNTIFS('Congestion inputs'!$D$276:$D$4366,$C242,'Congestion inputs'!$I$276:$I$4366,I$144)</f>
        <v>4</v>
      </c>
      <c r="J242">
        <f>COUNTIFS('Congestion inputs'!$D$276:$D$4366,$C242,'Congestion inputs'!$I$276:$I$4366,J$144)</f>
        <v>4</v>
      </c>
      <c r="K242">
        <f>COUNTIFS('Congestion inputs'!$D$276:$D$4366,$C242,'Congestion inputs'!$I$276:$I$4366,K$144)</f>
        <v>4</v>
      </c>
      <c r="L242">
        <f>COUNTIFS('Congestion inputs'!$D$276:$D$4366,$C242,'Congestion inputs'!$I$276:$I$4366,L$144)</f>
        <v>4</v>
      </c>
      <c r="M242" s="195">
        <f t="shared" si="18"/>
        <v>1</v>
      </c>
    </row>
    <row r="243" spans="3:13" x14ac:dyDescent="0.25">
      <c r="C243" s="466" t="str">
        <v>T0337</v>
      </c>
      <c r="E243">
        <f>COUNTIF('Congestion inputs'!$D$276:$D$4366,$C243)</f>
        <v>62</v>
      </c>
      <c r="F243">
        <f>COUNTIFS('Congestion inputs'!$D$276:$D$4366,$C243,'Congestion inputs'!$I$276:$I$4366,F$144)</f>
        <v>10</v>
      </c>
      <c r="G243">
        <f>COUNTIFS('Congestion inputs'!$D$276:$D$4366,$C243,'Congestion inputs'!$I$276:$I$4366,G$144)</f>
        <v>10</v>
      </c>
      <c r="H243">
        <f>COUNTIFS('Congestion inputs'!$D$276:$D$4366,$C243,'Congestion inputs'!$I$276:$I$4366,H$144)</f>
        <v>10</v>
      </c>
      <c r="I243">
        <f>COUNTIFS('Congestion inputs'!$D$276:$D$4366,$C243,'Congestion inputs'!$I$276:$I$4366,I$144)</f>
        <v>8</v>
      </c>
      <c r="J243">
        <f>COUNTIFS('Congestion inputs'!$D$276:$D$4366,$C243,'Congestion inputs'!$I$276:$I$4366,J$144)</f>
        <v>8</v>
      </c>
      <c r="K243">
        <f>COUNTIFS('Congestion inputs'!$D$276:$D$4366,$C243,'Congestion inputs'!$I$276:$I$4366,K$144)</f>
        <v>8</v>
      </c>
      <c r="L243">
        <f>COUNTIFS('Congestion inputs'!$D$276:$D$4366,$C243,'Congestion inputs'!$I$276:$I$4366,L$144)</f>
        <v>8</v>
      </c>
      <c r="M243" s="195">
        <f t="shared" si="18"/>
        <v>1</v>
      </c>
    </row>
    <row r="244" spans="3:13" x14ac:dyDescent="0.25">
      <c r="C244" s="466" t="str">
        <v>T0342</v>
      </c>
      <c r="E244">
        <f>COUNTIF('Congestion inputs'!$D$276:$D$4366,$C244)</f>
        <v>62</v>
      </c>
      <c r="F244">
        <f>COUNTIFS('Congestion inputs'!$D$276:$D$4366,$C244,'Congestion inputs'!$I$276:$I$4366,F$144)</f>
        <v>10</v>
      </c>
      <c r="G244">
        <f>COUNTIFS('Congestion inputs'!$D$276:$D$4366,$C244,'Congestion inputs'!$I$276:$I$4366,G$144)</f>
        <v>10</v>
      </c>
      <c r="H244">
        <f>COUNTIFS('Congestion inputs'!$D$276:$D$4366,$C244,'Congestion inputs'!$I$276:$I$4366,H$144)</f>
        <v>10</v>
      </c>
      <c r="I244">
        <f>COUNTIFS('Congestion inputs'!$D$276:$D$4366,$C244,'Congestion inputs'!$I$276:$I$4366,I$144)</f>
        <v>8</v>
      </c>
      <c r="J244">
        <f>COUNTIFS('Congestion inputs'!$D$276:$D$4366,$C244,'Congestion inputs'!$I$276:$I$4366,J$144)</f>
        <v>8</v>
      </c>
      <c r="K244">
        <f>COUNTIFS('Congestion inputs'!$D$276:$D$4366,$C244,'Congestion inputs'!$I$276:$I$4366,K$144)</f>
        <v>8</v>
      </c>
      <c r="L244">
        <f>COUNTIFS('Congestion inputs'!$D$276:$D$4366,$C244,'Congestion inputs'!$I$276:$I$4366,L$144)</f>
        <v>8</v>
      </c>
      <c r="M244" s="195">
        <f t="shared" si="18"/>
        <v>1</v>
      </c>
    </row>
    <row r="245" spans="3:13" x14ac:dyDescent="0.25">
      <c r="C245" s="466" t="str">
        <v>T0345</v>
      </c>
      <c r="E245">
        <f>COUNTIF('Congestion inputs'!$D$276:$D$4366,$C245)</f>
        <v>62</v>
      </c>
      <c r="F245">
        <f>COUNTIFS('Congestion inputs'!$D$276:$D$4366,$C245,'Congestion inputs'!$I$276:$I$4366,F$144)</f>
        <v>10</v>
      </c>
      <c r="G245">
        <f>COUNTIFS('Congestion inputs'!$D$276:$D$4366,$C245,'Congestion inputs'!$I$276:$I$4366,G$144)</f>
        <v>10</v>
      </c>
      <c r="H245">
        <f>COUNTIFS('Congestion inputs'!$D$276:$D$4366,$C245,'Congestion inputs'!$I$276:$I$4366,H$144)</f>
        <v>10</v>
      </c>
      <c r="I245">
        <f>COUNTIFS('Congestion inputs'!$D$276:$D$4366,$C245,'Congestion inputs'!$I$276:$I$4366,I$144)</f>
        <v>8</v>
      </c>
      <c r="J245">
        <f>COUNTIFS('Congestion inputs'!$D$276:$D$4366,$C245,'Congestion inputs'!$I$276:$I$4366,J$144)</f>
        <v>8</v>
      </c>
      <c r="K245">
        <f>COUNTIFS('Congestion inputs'!$D$276:$D$4366,$C245,'Congestion inputs'!$I$276:$I$4366,K$144)</f>
        <v>8</v>
      </c>
      <c r="L245">
        <f>COUNTIFS('Congestion inputs'!$D$276:$D$4366,$C245,'Congestion inputs'!$I$276:$I$4366,L$144)</f>
        <v>8</v>
      </c>
      <c r="M245" s="195">
        <f t="shared" si="18"/>
        <v>1</v>
      </c>
    </row>
    <row r="246" spans="3:13" x14ac:dyDescent="0.25">
      <c r="C246" s="466" t="str">
        <v>T0384</v>
      </c>
      <c r="E246">
        <f>COUNTIF('Congestion inputs'!$D$276:$D$4366,$C246)</f>
        <v>62</v>
      </c>
      <c r="F246">
        <f>COUNTIFS('Congestion inputs'!$D$276:$D$4366,$C246,'Congestion inputs'!$I$276:$I$4366,F$144)</f>
        <v>10</v>
      </c>
      <c r="G246">
        <f>COUNTIFS('Congestion inputs'!$D$276:$D$4366,$C246,'Congestion inputs'!$I$276:$I$4366,G$144)</f>
        <v>10</v>
      </c>
      <c r="H246">
        <f>COUNTIFS('Congestion inputs'!$D$276:$D$4366,$C246,'Congestion inputs'!$I$276:$I$4366,H$144)</f>
        <v>10</v>
      </c>
      <c r="I246">
        <f>COUNTIFS('Congestion inputs'!$D$276:$D$4366,$C246,'Congestion inputs'!$I$276:$I$4366,I$144)</f>
        <v>8</v>
      </c>
      <c r="J246">
        <f>COUNTIFS('Congestion inputs'!$D$276:$D$4366,$C246,'Congestion inputs'!$I$276:$I$4366,J$144)</f>
        <v>8</v>
      </c>
      <c r="K246">
        <f>COUNTIFS('Congestion inputs'!$D$276:$D$4366,$C246,'Congestion inputs'!$I$276:$I$4366,K$144)</f>
        <v>8</v>
      </c>
      <c r="L246">
        <f>COUNTIFS('Congestion inputs'!$D$276:$D$4366,$C246,'Congestion inputs'!$I$276:$I$4366,L$144)</f>
        <v>8</v>
      </c>
      <c r="M246" s="195">
        <f t="shared" si="18"/>
        <v>1</v>
      </c>
    </row>
    <row r="247" spans="3:13" x14ac:dyDescent="0.25">
      <c r="C247" s="466" t="str">
        <v>T0479-PR</v>
      </c>
      <c r="E247">
        <f>COUNTIF('Congestion inputs'!$D$276:$D$4366,$C247)</f>
        <v>62</v>
      </c>
      <c r="F247">
        <f>COUNTIFS('Congestion inputs'!$D$276:$D$4366,$C247,'Congestion inputs'!$I$276:$I$4366,F$144)</f>
        <v>10</v>
      </c>
      <c r="G247">
        <f>COUNTIFS('Congestion inputs'!$D$276:$D$4366,$C247,'Congestion inputs'!$I$276:$I$4366,G$144)</f>
        <v>10</v>
      </c>
      <c r="H247">
        <f>COUNTIFS('Congestion inputs'!$D$276:$D$4366,$C247,'Congestion inputs'!$I$276:$I$4366,H$144)</f>
        <v>10</v>
      </c>
      <c r="I247">
        <f>COUNTIFS('Congestion inputs'!$D$276:$D$4366,$C247,'Congestion inputs'!$I$276:$I$4366,I$144)</f>
        <v>8</v>
      </c>
      <c r="J247">
        <f>COUNTIFS('Congestion inputs'!$D$276:$D$4366,$C247,'Congestion inputs'!$I$276:$I$4366,J$144)</f>
        <v>8</v>
      </c>
      <c r="K247">
        <f>COUNTIFS('Congestion inputs'!$D$276:$D$4366,$C247,'Congestion inputs'!$I$276:$I$4366,K$144)</f>
        <v>8</v>
      </c>
      <c r="L247">
        <f>COUNTIFS('Congestion inputs'!$D$276:$D$4366,$C247,'Congestion inputs'!$I$276:$I$4366,L$144)</f>
        <v>8</v>
      </c>
      <c r="M247" s="195">
        <f t="shared" si="18"/>
        <v>1</v>
      </c>
    </row>
    <row r="248" spans="3:13" x14ac:dyDescent="0.25">
      <c r="C248" s="466" t="str">
        <v>T0492</v>
      </c>
      <c r="E248">
        <f>COUNTIF('Congestion inputs'!$D$276:$D$4366,$C248)</f>
        <v>62</v>
      </c>
      <c r="F248">
        <f>COUNTIFS('Congestion inputs'!$D$276:$D$4366,$C248,'Congestion inputs'!$I$276:$I$4366,F$144)</f>
        <v>10</v>
      </c>
      <c r="G248">
        <f>COUNTIFS('Congestion inputs'!$D$276:$D$4366,$C248,'Congestion inputs'!$I$276:$I$4366,G$144)</f>
        <v>10</v>
      </c>
      <c r="H248">
        <f>COUNTIFS('Congestion inputs'!$D$276:$D$4366,$C248,'Congestion inputs'!$I$276:$I$4366,H$144)</f>
        <v>10</v>
      </c>
      <c r="I248">
        <f>COUNTIFS('Congestion inputs'!$D$276:$D$4366,$C248,'Congestion inputs'!$I$276:$I$4366,I$144)</f>
        <v>8</v>
      </c>
      <c r="J248">
        <f>COUNTIFS('Congestion inputs'!$D$276:$D$4366,$C248,'Congestion inputs'!$I$276:$I$4366,J$144)</f>
        <v>8</v>
      </c>
      <c r="K248">
        <f>COUNTIFS('Congestion inputs'!$D$276:$D$4366,$C248,'Congestion inputs'!$I$276:$I$4366,K$144)</f>
        <v>8</v>
      </c>
      <c r="L248">
        <f>COUNTIFS('Congestion inputs'!$D$276:$D$4366,$C248,'Congestion inputs'!$I$276:$I$4366,L$144)</f>
        <v>8</v>
      </c>
      <c r="M248" s="195">
        <f t="shared" si="18"/>
        <v>1</v>
      </c>
    </row>
    <row r="249" spans="3:13" x14ac:dyDescent="0.25">
      <c r="C249" s="467" t="str">
        <v>T0493</v>
      </c>
      <c r="D249" s="197"/>
      <c r="E249" s="197">
        <f>COUNTIF('Congestion inputs'!$D$276:$D$4366,$C249)</f>
        <v>49</v>
      </c>
      <c r="F249" s="197">
        <f>COUNTIFS('Congestion inputs'!$D$276:$D$4366,$C249,'Congestion inputs'!$I$276:$I$4366,F$144)</f>
        <v>5</v>
      </c>
      <c r="G249" s="197">
        <f>COUNTIFS('Congestion inputs'!$D$276:$D$4366,$C249,'Congestion inputs'!$I$276:$I$4366,G$144)</f>
        <v>10</v>
      </c>
      <c r="H249" s="197">
        <f>COUNTIFS('Congestion inputs'!$D$276:$D$4366,$C249,'Congestion inputs'!$I$276:$I$4366,H$144)</f>
        <v>10</v>
      </c>
      <c r="I249" s="197">
        <f>COUNTIFS('Congestion inputs'!$D$276:$D$4366,$C249,'Congestion inputs'!$I$276:$I$4366,I$144)</f>
        <v>8</v>
      </c>
      <c r="J249" s="197">
        <f>COUNTIFS('Congestion inputs'!$D$276:$D$4366,$C249,'Congestion inputs'!$I$276:$I$4366,J$144)</f>
        <v>8</v>
      </c>
      <c r="K249" s="197">
        <f>COUNTIFS('Congestion inputs'!$D$276:$D$4366,$C249,'Congestion inputs'!$I$276:$I$4366,K$144)</f>
        <v>8</v>
      </c>
      <c r="L249" s="197">
        <f>COUNTIFS('Congestion inputs'!$D$276:$D$4366,$C249,'Congestion inputs'!$I$276:$I$4366,L$144)</f>
        <v>0</v>
      </c>
      <c r="M249" s="198">
        <f t="shared" si="18"/>
        <v>1</v>
      </c>
    </row>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9ABE0-3AD9-4AF9-B319-E2DE68EDAD0C}">
  <sheetPr codeName="Sheet15"/>
  <dimension ref="A1:AJ64"/>
  <sheetViews>
    <sheetView showGridLines="0" zoomScaleNormal="100" workbookViewId="0"/>
  </sheetViews>
  <sheetFormatPr defaultRowHeight="11.5" x14ac:dyDescent="0.25"/>
  <cols>
    <col min="1" max="2" width="3.69921875" customWidth="1"/>
    <col min="3" max="3" width="20.3984375" customWidth="1"/>
    <col min="4" max="4" width="13.69921875" customWidth="1"/>
    <col min="5" max="8" width="15.69921875" customWidth="1"/>
    <col min="9" max="12" width="13.69921875" customWidth="1"/>
    <col min="13" max="17" width="10.69921875" customWidth="1"/>
  </cols>
  <sheetData>
    <row r="1" spans="1:36" x14ac:dyDescent="0.25">
      <c r="A1" s="347"/>
      <c r="C1" s="42" t="str">
        <f>'Fare optimisation'!$C$1</f>
        <v>Fare Optimisation Model for the 2025 Opal Review - Independent Pricing and Regulatory Tribunal of NSW</v>
      </c>
    </row>
    <row r="4" spans="1:36" ht="23" x14ac:dyDescent="0.5">
      <c r="C4" s="184" t="s">
        <v>1226</v>
      </c>
    </row>
    <row r="7" spans="1:36" x14ac:dyDescent="0.25">
      <c r="C7" s="11" t="s">
        <v>225</v>
      </c>
      <c r="D7" s="11"/>
      <c r="E7" s="11"/>
      <c r="F7" s="11"/>
      <c r="G7" s="11"/>
      <c r="H7" s="185" t="s">
        <v>226</v>
      </c>
    </row>
    <row r="8" spans="1:36" x14ac:dyDescent="0.25">
      <c r="B8" s="186">
        <v>1</v>
      </c>
      <c r="C8" s="187" t="str">
        <f>"Table "&amp;B8&amp;" - Traffic accident externality ($, $2022-23)"</f>
        <v>Table 1 - Traffic accident externality ($, $2022-23)</v>
      </c>
      <c r="D8" s="187"/>
      <c r="E8" s="187"/>
      <c r="F8" s="187"/>
      <c r="G8" s="187"/>
      <c r="H8" s="187">
        <f>ROW(C17)</f>
        <v>17</v>
      </c>
    </row>
    <row r="9" spans="1:36" x14ac:dyDescent="0.25">
      <c r="B9" s="272">
        <f>B8+1</f>
        <v>2</v>
      </c>
      <c r="C9" s="209" t="str">
        <f>"Table "&amp;B9&amp;" - Death/injuring by time"</f>
        <v>Table 2 - Death/injuring by time</v>
      </c>
      <c r="D9" s="209"/>
      <c r="E9" s="209"/>
      <c r="F9" s="209"/>
      <c r="G9" s="209"/>
      <c r="H9" s="209">
        <f>ROW(C36)</f>
        <v>36</v>
      </c>
    </row>
    <row r="12" spans="1:36" x14ac:dyDescent="0.25">
      <c r="B12" s="563"/>
      <c r="C12" s="563"/>
      <c r="D12" s="563"/>
      <c r="E12" s="563"/>
      <c r="F12" s="563"/>
      <c r="G12" s="563"/>
      <c r="H12" s="563"/>
      <c r="I12" s="563"/>
      <c r="J12" s="563"/>
      <c r="K12" s="563"/>
      <c r="L12" s="564"/>
      <c r="M12" s="564"/>
      <c r="N12" s="564"/>
      <c r="O12" s="564"/>
      <c r="P12" s="564"/>
      <c r="Q12" s="564"/>
      <c r="R12" s="564"/>
      <c r="S12" s="564"/>
      <c r="T12" s="564"/>
      <c r="U12" s="564"/>
      <c r="V12" s="564"/>
      <c r="W12" s="564"/>
      <c r="X12" s="564"/>
      <c r="Y12" s="564"/>
      <c r="Z12" s="564"/>
      <c r="AA12" s="564"/>
      <c r="AB12" s="564"/>
      <c r="AC12" s="564"/>
      <c r="AD12" s="564"/>
      <c r="AE12" s="564"/>
      <c r="AF12" s="564"/>
      <c r="AG12" s="564"/>
      <c r="AH12" s="564"/>
      <c r="AI12" s="564"/>
      <c r="AJ12" s="564"/>
    </row>
    <row r="14" spans="1:36" ht="20" x14ac:dyDescent="0.4">
      <c r="C14" s="26" t="s">
        <v>257</v>
      </c>
    </row>
    <row r="17" spans="2:36" ht="15.5" x14ac:dyDescent="0.35">
      <c r="C17" s="43" t="str">
        <f>C8</f>
        <v>Table 1 - Traffic accident externality ($, $2022-23)</v>
      </c>
    </row>
    <row r="18" spans="2:36" x14ac:dyDescent="0.25">
      <c r="C18" s="188"/>
      <c r="D18" s="189"/>
      <c r="E18" s="189"/>
      <c r="F18" s="189"/>
      <c r="G18" s="190"/>
    </row>
    <row r="19" spans="2:36" ht="23" x14ac:dyDescent="0.25">
      <c r="C19" s="191"/>
      <c r="E19" s="203" t="s">
        <v>1047</v>
      </c>
      <c r="F19" s="203" t="s">
        <v>1048</v>
      </c>
      <c r="G19" s="207" t="s">
        <v>1049</v>
      </c>
    </row>
    <row r="20" spans="2:36" x14ac:dyDescent="0.25">
      <c r="C20" s="191"/>
      <c r="G20" s="195"/>
    </row>
    <row r="21" spans="2:36" x14ac:dyDescent="0.25">
      <c r="C21" s="191" t="s">
        <v>1032</v>
      </c>
      <c r="E21" s="324">
        <f>'MEC - traffic accidents'!D63/$D$40</f>
        <v>1.2244233476555855E-9</v>
      </c>
      <c r="F21" s="194">
        <f>'General inputs'!F140</f>
        <v>5400000</v>
      </c>
      <c r="G21" s="327">
        <f t="shared" ref="G21:G26" si="0">E21*F21</f>
        <v>6.611886077340162E-3</v>
      </c>
    </row>
    <row r="22" spans="2:36" x14ac:dyDescent="0.25">
      <c r="C22" s="191" t="s">
        <v>1050</v>
      </c>
      <c r="E22" s="324">
        <f>E63/$D$40</f>
        <v>1.2594068718743165E-8</v>
      </c>
      <c r="F22" s="194">
        <f>'General inputs'!F142</f>
        <v>275043.25938566547</v>
      </c>
      <c r="G22" s="327">
        <f t="shared" si="0"/>
        <v>3.4639137093301722E-3</v>
      </c>
    </row>
    <row r="23" spans="2:36" x14ac:dyDescent="0.25">
      <c r="C23" s="191" t="s">
        <v>1051</v>
      </c>
      <c r="E23" s="324">
        <f>F63/$D$40</f>
        <v>1.1078116002598155E-8</v>
      </c>
      <c r="F23" s="194">
        <f>'General inputs'!F143</f>
        <v>29660.409556313989</v>
      </c>
      <c r="G23" s="327">
        <f t="shared" si="0"/>
        <v>3.2858145774941725E-4</v>
      </c>
    </row>
    <row r="24" spans="2:36" x14ac:dyDescent="0.25">
      <c r="C24" s="191" t="s">
        <v>1052</v>
      </c>
      <c r="E24" s="324">
        <f>SUM(G63,J63)/$D$40</f>
        <v>5.8305873697885025E-11</v>
      </c>
      <c r="F24" s="194">
        <f>F21</f>
        <v>5400000</v>
      </c>
      <c r="G24" s="327">
        <f t="shared" si="0"/>
        <v>3.1485171796857912E-4</v>
      </c>
    </row>
    <row r="25" spans="2:36" x14ac:dyDescent="0.25">
      <c r="C25" s="191" t="s">
        <v>1053</v>
      </c>
      <c r="E25" s="324">
        <f>SUM(H63,K63)/$D$40</f>
        <v>4.9559992643202273E-9</v>
      </c>
      <c r="F25" s="194">
        <f>F22</f>
        <v>275043.25938566547</v>
      </c>
      <c r="G25" s="327">
        <f t="shared" si="0"/>
        <v>1.3631141911715956E-3</v>
      </c>
    </row>
    <row r="26" spans="2:36" x14ac:dyDescent="0.25">
      <c r="C26" s="191" t="s">
        <v>1331</v>
      </c>
      <c r="E26" s="324">
        <f>SUM(I63,L63)/$D$40</f>
        <v>6.0638108645800433E-9</v>
      </c>
      <c r="F26" s="194">
        <f>F23</f>
        <v>29660.409556313989</v>
      </c>
      <c r="G26" s="327">
        <f t="shared" si="0"/>
        <v>1.798551137154705E-4</v>
      </c>
    </row>
    <row r="27" spans="2:36" x14ac:dyDescent="0.25">
      <c r="C27" s="191" t="s">
        <v>1054</v>
      </c>
      <c r="G27" s="328">
        <f>SUM(G21:G26)</f>
        <v>1.2262202267275398E-2</v>
      </c>
    </row>
    <row r="28" spans="2:36" x14ac:dyDescent="0.25">
      <c r="C28" s="196"/>
      <c r="D28" s="197"/>
      <c r="E28" s="197"/>
      <c r="F28" s="197"/>
      <c r="G28" s="198"/>
    </row>
    <row r="31" spans="2:36" x14ac:dyDescent="0.25">
      <c r="B31" s="563"/>
      <c r="C31" s="563"/>
      <c r="D31" s="563"/>
      <c r="E31" s="563"/>
      <c r="F31" s="563"/>
      <c r="G31" s="563"/>
      <c r="H31" s="563"/>
      <c r="I31" s="563"/>
      <c r="J31" s="563"/>
      <c r="K31" s="563"/>
      <c r="L31" s="564"/>
      <c r="M31" s="564"/>
      <c r="N31" s="564"/>
      <c r="O31" s="564"/>
      <c r="P31" s="564"/>
      <c r="Q31" s="564"/>
      <c r="R31" s="564"/>
      <c r="S31" s="564"/>
      <c r="T31" s="564"/>
      <c r="U31" s="564"/>
      <c r="V31" s="564"/>
      <c r="W31" s="564"/>
      <c r="X31" s="564"/>
      <c r="Y31" s="564"/>
      <c r="Z31" s="564"/>
      <c r="AA31" s="564"/>
      <c r="AB31" s="564"/>
      <c r="AC31" s="564"/>
      <c r="AD31" s="564"/>
      <c r="AE31" s="564"/>
      <c r="AF31" s="564"/>
      <c r="AG31" s="564"/>
      <c r="AH31" s="564"/>
      <c r="AI31" s="564"/>
      <c r="AJ31" s="564"/>
    </row>
    <row r="33" spans="3:12" ht="20" x14ac:dyDescent="0.4">
      <c r="C33" s="26" t="s">
        <v>677</v>
      </c>
    </row>
    <row r="36" spans="3:12" ht="15.5" x14ac:dyDescent="0.35">
      <c r="C36" s="43" t="str">
        <f>C9</f>
        <v>Table 2 - Death/injuring by time</v>
      </c>
    </row>
    <row r="37" spans="3:12" x14ac:dyDescent="0.25">
      <c r="C37" s="188"/>
      <c r="D37" s="189"/>
      <c r="E37" s="189"/>
      <c r="F37" s="189"/>
      <c r="G37" s="189"/>
      <c r="H37" s="189"/>
      <c r="I37" s="189"/>
      <c r="J37" s="189"/>
      <c r="K37" s="189"/>
      <c r="L37" s="190"/>
    </row>
    <row r="38" spans="3:12" x14ac:dyDescent="0.25">
      <c r="C38" s="191" t="s">
        <v>1029</v>
      </c>
      <c r="L38" s="195"/>
    </row>
    <row r="39" spans="3:12" x14ac:dyDescent="0.25">
      <c r="C39" s="191"/>
      <c r="L39" s="195"/>
    </row>
    <row r="40" spans="3:12" x14ac:dyDescent="0.25">
      <c r="C40" s="191" t="s">
        <v>1030</v>
      </c>
      <c r="D40">
        <f>5*52*9/12</f>
        <v>195</v>
      </c>
      <c r="L40" s="195"/>
    </row>
    <row r="41" spans="3:12" ht="46" x14ac:dyDescent="0.25">
      <c r="C41" s="191" t="s">
        <v>1031</v>
      </c>
      <c r="D41" s="203" t="s">
        <v>1032</v>
      </c>
      <c r="E41" s="203" t="s">
        <v>1033</v>
      </c>
      <c r="F41" s="203" t="s">
        <v>1034</v>
      </c>
      <c r="G41" s="203" t="s">
        <v>1035</v>
      </c>
      <c r="H41" s="203" t="s">
        <v>1036</v>
      </c>
      <c r="I41" s="203" t="s">
        <v>1037</v>
      </c>
      <c r="J41" s="203" t="s">
        <v>1038</v>
      </c>
      <c r="K41" s="203" t="s">
        <v>1039</v>
      </c>
      <c r="L41" s="207" t="s">
        <v>1040</v>
      </c>
    </row>
    <row r="42" spans="3:12" x14ac:dyDescent="0.25">
      <c r="C42" s="191"/>
      <c r="L42" s="195"/>
    </row>
    <row r="43" spans="3:12" x14ac:dyDescent="0.25">
      <c r="C43" s="191"/>
      <c r="D43" s="322" t="str">
        <f>'SGCCSA inputs'!H14</f>
        <v>No. killed</v>
      </c>
      <c r="E43" s="322" t="str">
        <f>'SGCCSA inputs'!I14</f>
        <v>No. seriously injured</v>
      </c>
      <c r="F43" s="322" t="str">
        <f>'SGCCSA inputs'!J14</f>
        <v>No. moderately injured</v>
      </c>
      <c r="G43" s="322" t="str">
        <f t="shared" ref="G43:L43" si="1">D43</f>
        <v>No. killed</v>
      </c>
      <c r="H43" s="322" t="str">
        <f t="shared" si="1"/>
        <v>No. seriously injured</v>
      </c>
      <c r="I43" s="322" t="str">
        <f t="shared" si="1"/>
        <v>No. moderately injured</v>
      </c>
      <c r="J43" s="322" t="str">
        <f t="shared" si="1"/>
        <v>No. killed</v>
      </c>
      <c r="K43" s="322" t="str">
        <f t="shared" si="1"/>
        <v>No. seriously injured</v>
      </c>
      <c r="L43" s="323" t="str">
        <f t="shared" si="1"/>
        <v>No. moderately injured</v>
      </c>
    </row>
    <row r="44" spans="3:12" x14ac:dyDescent="0.25">
      <c r="C44" s="191"/>
      <c r="D44" s="322" t="str">
        <f>'SGCCSA inputs'!C14</f>
        <v>Time of crash - Two-hour intervals</v>
      </c>
      <c r="E44" s="322" t="str">
        <f>D44</f>
        <v>Time of crash - Two-hour intervals</v>
      </c>
      <c r="F44" s="322" t="str">
        <f t="shared" ref="F44:L46" si="2">E44</f>
        <v>Time of crash - Two-hour intervals</v>
      </c>
      <c r="G44" s="322" t="str">
        <f t="shared" ref="G44:L44" si="3">F44</f>
        <v>Time of crash - Two-hour intervals</v>
      </c>
      <c r="H44" s="322" t="str">
        <f t="shared" si="3"/>
        <v>Time of crash - Two-hour intervals</v>
      </c>
      <c r="I44" s="322" t="str">
        <f t="shared" si="3"/>
        <v>Time of crash - Two-hour intervals</v>
      </c>
      <c r="J44" s="322" t="str">
        <f t="shared" si="3"/>
        <v>Time of crash - Two-hour intervals</v>
      </c>
      <c r="K44" s="322" t="str">
        <f t="shared" si="3"/>
        <v>Time of crash - Two-hour intervals</v>
      </c>
      <c r="L44" s="323" t="str">
        <f t="shared" si="3"/>
        <v>Time of crash - Two-hour intervals</v>
      </c>
    </row>
    <row r="45" spans="3:12" x14ac:dyDescent="0.25">
      <c r="C45" s="191"/>
      <c r="D45" s="322" t="str">
        <f>'SGCCSA inputs'!D14</f>
        <v>First impact type</v>
      </c>
      <c r="E45" s="322" t="str">
        <f>D45</f>
        <v>First impact type</v>
      </c>
      <c r="F45" s="322" t="str">
        <f t="shared" si="2"/>
        <v>First impact type</v>
      </c>
      <c r="G45" s="322" t="s">
        <v>1041</v>
      </c>
      <c r="H45" s="322" t="str">
        <f t="shared" si="2"/>
        <v>Other TU type</v>
      </c>
      <c r="I45" s="322" t="str">
        <f t="shared" si="2"/>
        <v>Other TU type</v>
      </c>
      <c r="J45" s="322" t="s">
        <v>1042</v>
      </c>
      <c r="K45" s="322" t="str">
        <f t="shared" si="2"/>
        <v>Key TU type</v>
      </c>
      <c r="L45" s="323" t="str">
        <f t="shared" si="2"/>
        <v>Key TU type</v>
      </c>
    </row>
    <row r="46" spans="3:12" x14ac:dyDescent="0.25">
      <c r="C46" s="191"/>
      <c r="D46" s="322" t="s">
        <v>1043</v>
      </c>
      <c r="E46" s="322" t="str">
        <f>D46</f>
        <v>Vehicle - Pedestrian</v>
      </c>
      <c r="F46" s="322" t="str">
        <f t="shared" si="2"/>
        <v>Vehicle - Pedestrian</v>
      </c>
      <c r="G46" s="163" t="s">
        <v>1044</v>
      </c>
      <c r="H46" s="163" t="str">
        <f>G46</f>
        <v>Pedal cycle</v>
      </c>
      <c r="I46" s="163" t="str">
        <f t="shared" si="2"/>
        <v>Pedal cycle</v>
      </c>
      <c r="J46" s="163" t="str">
        <f t="shared" si="2"/>
        <v>Pedal cycle</v>
      </c>
      <c r="K46" s="163" t="str">
        <f t="shared" si="2"/>
        <v>Pedal cycle</v>
      </c>
      <c r="L46" s="193" t="str">
        <f t="shared" si="2"/>
        <v>Pedal cycle</v>
      </c>
    </row>
    <row r="47" spans="3:12" x14ac:dyDescent="0.25">
      <c r="C47" s="191"/>
      <c r="D47" s="322"/>
      <c r="E47" s="322"/>
      <c r="F47" s="322"/>
      <c r="G47" s="163"/>
      <c r="H47" s="163"/>
      <c r="I47" s="163"/>
      <c r="J47" s="322" t="s">
        <v>1045</v>
      </c>
      <c r="K47" s="322" t="s">
        <v>1045</v>
      </c>
      <c r="L47" s="323" t="s">
        <v>1045</v>
      </c>
    </row>
    <row r="48" spans="3:12" x14ac:dyDescent="0.25">
      <c r="C48" s="191"/>
      <c r="D48" s="322"/>
      <c r="E48" s="322"/>
      <c r="F48" s="322"/>
      <c r="G48" s="163"/>
      <c r="H48" s="163"/>
      <c r="I48" s="163"/>
      <c r="J48" s="163">
        <v>2</v>
      </c>
      <c r="K48" s="163">
        <v>2</v>
      </c>
      <c r="L48" s="193">
        <v>2</v>
      </c>
    </row>
    <row r="49" spans="3:12" x14ac:dyDescent="0.25">
      <c r="C49" s="191"/>
      <c r="D49" s="194"/>
      <c r="L49" s="195"/>
    </row>
    <row r="50" spans="3:12" x14ac:dyDescent="0.25">
      <c r="C50" s="191" t="str">
        <f>'General inputs'!C151</f>
        <v>00:01 - 01:59</v>
      </c>
      <c r="D50">
        <f>SUMIFS('SGCCSA inputs'!$H$15:$H$7547,'SGCCSA inputs'!$C$15:$C$7547,$C50,'SGCCSA inputs'!$D$15:$D$7547,D$46)</f>
        <v>2</v>
      </c>
      <c r="E50">
        <f>SUMIFS('SGCCSA inputs'!$I$15:$I$7547,'SGCCSA inputs'!$C$15:$C$7547,$C50,'SGCCSA inputs'!$D$15:$D$7547,E$46)</f>
        <v>1</v>
      </c>
      <c r="F50">
        <f>SUMIFS('SGCCSA inputs'!$J$15:$J$7547,'SGCCSA inputs'!$C$15:$C$7547,$C50,'SGCCSA inputs'!$D$15:$D$7547,F$46)</f>
        <v>3</v>
      </c>
      <c r="G50">
        <f>SUMIFS('SGCCSA inputs'!$H$15:$H$7547,'SGCCSA inputs'!$C$15:$C$7547,$C50,'SGCCSA inputs'!$F$15:$F$7547,G$46)</f>
        <v>0</v>
      </c>
      <c r="H50">
        <f>SUMIFS('SGCCSA inputs'!$I$15:$I$7547,'SGCCSA inputs'!$C$15:$C$7547,$C50,'SGCCSA inputs'!$F$15:$F$7547,H$46)</f>
        <v>0</v>
      </c>
      <c r="I50">
        <f>SUMIFS('SGCCSA inputs'!$J$15:$J$7547,'SGCCSA inputs'!$C$15:$C$7547,$C50,'SGCCSA inputs'!$F$15:$F$7547,I$46)</f>
        <v>0</v>
      </c>
      <c r="J50">
        <f>SUMIFS('SGCCSA inputs'!$H$15:$H$7547,'SGCCSA inputs'!$C$15:$C$7547,$C50,'SGCCSA inputs'!$E$15:$E$7547,J$46,'SGCCSA inputs'!$G$15:$G$7547,J$48)</f>
        <v>0</v>
      </c>
      <c r="K50">
        <f>SUMIFS('SGCCSA inputs'!$I$15:$I$7547,'SGCCSA inputs'!$C$15:$C$7547,$C50,'SGCCSA inputs'!$E$15:$E$7547,K$46,'SGCCSA inputs'!$G$15:$G$7547,K$48)</f>
        <v>0</v>
      </c>
      <c r="L50" s="195">
        <f>SUMIFS('SGCCSA inputs'!$J$15:$J$7547,'SGCCSA inputs'!$C$15:$C$7547,$C50,'SGCCSA inputs'!$E$15:$E$7547,L$46,'SGCCSA inputs'!$G$15:$G$7547,L$48)</f>
        <v>0</v>
      </c>
    </row>
    <row r="51" spans="3:12" x14ac:dyDescent="0.25">
      <c r="C51" s="191" t="str">
        <f>'General inputs'!C152</f>
        <v>02:00 - 03:59</v>
      </c>
      <c r="D51">
        <f>SUMIFS('SGCCSA inputs'!$H$15:$H$7547,'SGCCSA inputs'!$C$15:$C$7547,$C51,'SGCCSA inputs'!$D$15:$D$7547,D$46)</f>
        <v>0</v>
      </c>
      <c r="E51">
        <f>SUMIFS('SGCCSA inputs'!$I$15:$I$7547,'SGCCSA inputs'!$C$15:$C$7547,$C51,'SGCCSA inputs'!$D$15:$D$7547,E$46)</f>
        <v>1</v>
      </c>
      <c r="F51">
        <f>SUMIFS('SGCCSA inputs'!$J$15:$J$7547,'SGCCSA inputs'!$C$15:$C$7547,$C51,'SGCCSA inputs'!$D$15:$D$7547,F$46)</f>
        <v>1</v>
      </c>
      <c r="G51">
        <f>SUMIFS('SGCCSA inputs'!$H$15:$H$7547,'SGCCSA inputs'!$C$15:$C$7547,$C51,'SGCCSA inputs'!$F$15:$F$7547,G$46)</f>
        <v>0</v>
      </c>
      <c r="H51">
        <f>SUMIFS('SGCCSA inputs'!$I$15:$I$7547,'SGCCSA inputs'!$C$15:$C$7547,$C51,'SGCCSA inputs'!$F$15:$F$7547,H$46)</f>
        <v>1</v>
      </c>
      <c r="I51">
        <f>SUMIFS('SGCCSA inputs'!$J$15:$J$7547,'SGCCSA inputs'!$C$15:$C$7547,$C51,'SGCCSA inputs'!$F$15:$F$7547,I$46)</f>
        <v>0</v>
      </c>
      <c r="J51">
        <f>SUMIFS('SGCCSA inputs'!$H$15:$H$7547,'SGCCSA inputs'!$C$15:$C$7547,$C51,'SGCCSA inputs'!$E$15:$E$7547,J$46,'SGCCSA inputs'!$G$15:$G$7547,J$48)</f>
        <v>0</v>
      </c>
      <c r="K51">
        <f>SUMIFS('SGCCSA inputs'!$I$15:$I$7547,'SGCCSA inputs'!$C$15:$C$7547,$C51,'SGCCSA inputs'!$E$15:$E$7547,K$46,'SGCCSA inputs'!$G$15:$G$7547,K$48)</f>
        <v>0</v>
      </c>
      <c r="L51" s="195">
        <f>SUMIFS('SGCCSA inputs'!$J$15:$J$7547,'SGCCSA inputs'!$C$15:$C$7547,$C51,'SGCCSA inputs'!$E$15:$E$7547,L$46,'SGCCSA inputs'!$G$15:$G$7547,L$48)</f>
        <v>0</v>
      </c>
    </row>
    <row r="52" spans="3:12" x14ac:dyDescent="0.25">
      <c r="C52" s="191" t="str">
        <f>'General inputs'!C153</f>
        <v>04:00 - 05:59</v>
      </c>
      <c r="D52">
        <f>SUMIFS('SGCCSA inputs'!$H$15:$H$7547,'SGCCSA inputs'!$C$15:$C$7547,$C52,'SGCCSA inputs'!$D$15:$D$7547,D$46)</f>
        <v>1</v>
      </c>
      <c r="E52">
        <f>SUMIFS('SGCCSA inputs'!$I$15:$I$7547,'SGCCSA inputs'!$C$15:$C$7547,$C52,'SGCCSA inputs'!$D$15:$D$7547,E$46)</f>
        <v>7</v>
      </c>
      <c r="F52">
        <f>SUMIFS('SGCCSA inputs'!$J$15:$J$7547,'SGCCSA inputs'!$C$15:$C$7547,$C52,'SGCCSA inputs'!$D$15:$D$7547,F$46)</f>
        <v>3</v>
      </c>
      <c r="G52">
        <f>SUMIFS('SGCCSA inputs'!$H$15:$H$7547,'SGCCSA inputs'!$C$15:$C$7547,$C52,'SGCCSA inputs'!$F$15:$F$7547,G$46)</f>
        <v>0</v>
      </c>
      <c r="H52">
        <f>SUMIFS('SGCCSA inputs'!$I$15:$I$7547,'SGCCSA inputs'!$C$15:$C$7547,$C52,'SGCCSA inputs'!$F$15:$F$7547,H$46)</f>
        <v>1</v>
      </c>
      <c r="I52">
        <f>SUMIFS('SGCCSA inputs'!$J$15:$J$7547,'SGCCSA inputs'!$C$15:$C$7547,$C52,'SGCCSA inputs'!$F$15:$F$7547,I$46)</f>
        <v>2</v>
      </c>
      <c r="J52">
        <f>SUMIFS('SGCCSA inputs'!$H$15:$H$7547,'SGCCSA inputs'!$C$15:$C$7547,$C52,'SGCCSA inputs'!$E$15:$E$7547,J$46,'SGCCSA inputs'!$G$15:$G$7547,J$48)</f>
        <v>1</v>
      </c>
      <c r="K52">
        <f>SUMIFS('SGCCSA inputs'!$I$15:$I$7547,'SGCCSA inputs'!$C$15:$C$7547,$C52,'SGCCSA inputs'!$E$15:$E$7547,K$46,'SGCCSA inputs'!$G$15:$G$7547,K$48)</f>
        <v>0</v>
      </c>
      <c r="L52" s="195">
        <f>SUMIFS('SGCCSA inputs'!$J$15:$J$7547,'SGCCSA inputs'!$C$15:$C$7547,$C52,'SGCCSA inputs'!$E$15:$E$7547,L$46,'SGCCSA inputs'!$G$15:$G$7547,L$48)</f>
        <v>2</v>
      </c>
    </row>
    <row r="53" spans="3:12" x14ac:dyDescent="0.25">
      <c r="C53" s="191" t="str">
        <f>'General inputs'!C154</f>
        <v>06:00 - 07:59</v>
      </c>
      <c r="D53">
        <f>SUMIFS('SGCCSA inputs'!$H$15:$H$7547,'SGCCSA inputs'!$C$15:$C$7547,$C53,'SGCCSA inputs'!$D$15:$D$7547,D$46)</f>
        <v>2</v>
      </c>
      <c r="E53">
        <f>SUMIFS('SGCCSA inputs'!$I$15:$I$7547,'SGCCSA inputs'!$C$15:$C$7547,$C53,'SGCCSA inputs'!$D$15:$D$7547,E$46)</f>
        <v>20</v>
      </c>
      <c r="F53">
        <f>SUMIFS('SGCCSA inputs'!$J$15:$J$7547,'SGCCSA inputs'!$C$15:$C$7547,$C53,'SGCCSA inputs'!$D$15:$D$7547,F$46)</f>
        <v>18</v>
      </c>
      <c r="G53">
        <f>SUMIFS('SGCCSA inputs'!$H$15:$H$7547,'SGCCSA inputs'!$C$15:$C$7547,$C53,'SGCCSA inputs'!$F$15:$F$7547,G$46)</f>
        <v>0</v>
      </c>
      <c r="H53">
        <f>SUMIFS('SGCCSA inputs'!$I$15:$I$7547,'SGCCSA inputs'!$C$15:$C$7547,$C53,'SGCCSA inputs'!$F$15:$F$7547,H$46)</f>
        <v>16</v>
      </c>
      <c r="I53">
        <f>SUMIFS('SGCCSA inputs'!$J$15:$J$7547,'SGCCSA inputs'!$C$15:$C$7547,$C53,'SGCCSA inputs'!$F$15:$F$7547,I$46)</f>
        <v>15</v>
      </c>
      <c r="J53">
        <f>SUMIFS('SGCCSA inputs'!$H$15:$H$7547,'SGCCSA inputs'!$C$15:$C$7547,$C53,'SGCCSA inputs'!$E$15:$E$7547,J$46,'SGCCSA inputs'!$G$15:$G$7547,J$48)</f>
        <v>0</v>
      </c>
      <c r="K53">
        <f>SUMIFS('SGCCSA inputs'!$I$15:$I$7547,'SGCCSA inputs'!$C$15:$C$7547,$C53,'SGCCSA inputs'!$E$15:$E$7547,K$46,'SGCCSA inputs'!$G$15:$G$7547,K$48)</f>
        <v>8</v>
      </c>
      <c r="L53" s="195">
        <f>SUMIFS('SGCCSA inputs'!$J$15:$J$7547,'SGCCSA inputs'!$C$15:$C$7547,$C53,'SGCCSA inputs'!$E$15:$E$7547,L$46,'SGCCSA inputs'!$G$15:$G$7547,L$48)</f>
        <v>2</v>
      </c>
    </row>
    <row r="54" spans="3:12" x14ac:dyDescent="0.25">
      <c r="C54" s="191" t="str">
        <f>'General inputs'!C155</f>
        <v>08:00 - 09:59</v>
      </c>
      <c r="D54">
        <f>SUMIFS('SGCCSA inputs'!$H$15:$H$7547,'SGCCSA inputs'!$C$15:$C$7547,$C54,'SGCCSA inputs'!$D$15:$D$7547,D$46)</f>
        <v>3</v>
      </c>
      <c r="E54">
        <f>SUMIFS('SGCCSA inputs'!$I$15:$I$7547,'SGCCSA inputs'!$C$15:$C$7547,$C54,'SGCCSA inputs'!$D$15:$D$7547,E$46)</f>
        <v>27</v>
      </c>
      <c r="F54">
        <f>SUMIFS('SGCCSA inputs'!$J$15:$J$7547,'SGCCSA inputs'!$C$15:$C$7547,$C54,'SGCCSA inputs'!$D$15:$D$7547,F$46)</f>
        <v>23</v>
      </c>
      <c r="G54">
        <f>SUMIFS('SGCCSA inputs'!$H$15:$H$7547,'SGCCSA inputs'!$C$15:$C$7547,$C54,'SGCCSA inputs'!$F$15:$F$7547,G$46)</f>
        <v>0</v>
      </c>
      <c r="H54">
        <f>SUMIFS('SGCCSA inputs'!$I$15:$I$7547,'SGCCSA inputs'!$C$15:$C$7547,$C54,'SGCCSA inputs'!$F$15:$F$7547,H$46)</f>
        <v>4</v>
      </c>
      <c r="I54">
        <f>SUMIFS('SGCCSA inputs'!$J$15:$J$7547,'SGCCSA inputs'!$C$15:$C$7547,$C54,'SGCCSA inputs'!$F$15:$F$7547,I$46)</f>
        <v>7</v>
      </c>
      <c r="J54">
        <f>SUMIFS('SGCCSA inputs'!$H$15:$H$7547,'SGCCSA inputs'!$C$15:$C$7547,$C54,'SGCCSA inputs'!$E$15:$E$7547,J$46,'SGCCSA inputs'!$G$15:$G$7547,J$48)</f>
        <v>0</v>
      </c>
      <c r="K54">
        <f>SUMIFS('SGCCSA inputs'!$I$15:$I$7547,'SGCCSA inputs'!$C$15:$C$7547,$C54,'SGCCSA inputs'!$E$15:$E$7547,K$46,'SGCCSA inputs'!$G$15:$G$7547,K$48)</f>
        <v>7</v>
      </c>
      <c r="L54" s="195">
        <f>SUMIFS('SGCCSA inputs'!$J$15:$J$7547,'SGCCSA inputs'!$C$15:$C$7547,$C54,'SGCCSA inputs'!$E$15:$E$7547,L$46,'SGCCSA inputs'!$G$15:$G$7547,L$48)</f>
        <v>3</v>
      </c>
    </row>
    <row r="55" spans="3:12" x14ac:dyDescent="0.25">
      <c r="C55" s="191" t="str">
        <f>'General inputs'!C156</f>
        <v>10:00 - 11:59</v>
      </c>
      <c r="D55">
        <f>SUMIFS('SGCCSA inputs'!$H$15:$H$7547,'SGCCSA inputs'!$C$15:$C$7547,$C55,'SGCCSA inputs'!$D$15:$D$7547,D$46)</f>
        <v>4</v>
      </c>
      <c r="E55">
        <f>SUMIFS('SGCCSA inputs'!$I$15:$I$7547,'SGCCSA inputs'!$C$15:$C$7547,$C55,'SGCCSA inputs'!$D$15:$D$7547,E$46)</f>
        <v>29</v>
      </c>
      <c r="F55">
        <f>SUMIFS('SGCCSA inputs'!$J$15:$J$7547,'SGCCSA inputs'!$C$15:$C$7547,$C55,'SGCCSA inputs'!$D$15:$D$7547,F$46)</f>
        <v>14</v>
      </c>
      <c r="G55">
        <f>SUMIFS('SGCCSA inputs'!$H$15:$H$7547,'SGCCSA inputs'!$C$15:$C$7547,$C55,'SGCCSA inputs'!$F$15:$F$7547,G$46)</f>
        <v>0</v>
      </c>
      <c r="H55">
        <f>SUMIFS('SGCCSA inputs'!$I$15:$I$7547,'SGCCSA inputs'!$C$15:$C$7547,$C55,'SGCCSA inputs'!$F$15:$F$7547,H$46)</f>
        <v>3</v>
      </c>
      <c r="I55">
        <f>SUMIFS('SGCCSA inputs'!$J$15:$J$7547,'SGCCSA inputs'!$C$15:$C$7547,$C55,'SGCCSA inputs'!$F$15:$F$7547,I$46)</f>
        <v>5</v>
      </c>
      <c r="J55">
        <f>SUMIFS('SGCCSA inputs'!$H$15:$H$7547,'SGCCSA inputs'!$C$15:$C$7547,$C55,'SGCCSA inputs'!$E$15:$E$7547,J$46,'SGCCSA inputs'!$G$15:$G$7547,J$48)</f>
        <v>0</v>
      </c>
      <c r="K55">
        <f>SUMIFS('SGCCSA inputs'!$I$15:$I$7547,'SGCCSA inputs'!$C$15:$C$7547,$C55,'SGCCSA inputs'!$E$15:$E$7547,K$46,'SGCCSA inputs'!$G$15:$G$7547,K$48)</f>
        <v>2</v>
      </c>
      <c r="L55" s="195">
        <f>SUMIFS('SGCCSA inputs'!$J$15:$J$7547,'SGCCSA inputs'!$C$15:$C$7547,$C55,'SGCCSA inputs'!$E$15:$E$7547,L$46,'SGCCSA inputs'!$G$15:$G$7547,L$48)</f>
        <v>3</v>
      </c>
    </row>
    <row r="56" spans="3:12" x14ac:dyDescent="0.25">
      <c r="C56" s="191" t="str">
        <f>'General inputs'!C157</f>
        <v>12:00 - 13:59</v>
      </c>
      <c r="D56">
        <f>SUMIFS('SGCCSA inputs'!$H$15:$H$7547,'SGCCSA inputs'!$C$15:$C$7547,$C56,'SGCCSA inputs'!$D$15:$D$7547,D$46)</f>
        <v>3</v>
      </c>
      <c r="E56">
        <f>SUMIFS('SGCCSA inputs'!$I$15:$I$7547,'SGCCSA inputs'!$C$15:$C$7547,$C56,'SGCCSA inputs'!$D$15:$D$7547,E$46)</f>
        <v>25</v>
      </c>
      <c r="F56">
        <f>SUMIFS('SGCCSA inputs'!$J$15:$J$7547,'SGCCSA inputs'!$C$15:$C$7547,$C56,'SGCCSA inputs'!$D$15:$D$7547,F$46)</f>
        <v>24</v>
      </c>
      <c r="G56">
        <f>SUMIFS('SGCCSA inputs'!$H$15:$H$7547,'SGCCSA inputs'!$C$15:$C$7547,$C56,'SGCCSA inputs'!$F$15:$F$7547,G$46)</f>
        <v>0</v>
      </c>
      <c r="H56">
        <f>SUMIFS('SGCCSA inputs'!$I$15:$I$7547,'SGCCSA inputs'!$C$15:$C$7547,$C56,'SGCCSA inputs'!$F$15:$F$7547,H$46)</f>
        <v>2</v>
      </c>
      <c r="I56">
        <f>SUMIFS('SGCCSA inputs'!$J$15:$J$7547,'SGCCSA inputs'!$C$15:$C$7547,$C56,'SGCCSA inputs'!$F$15:$F$7547,I$46)</f>
        <v>5</v>
      </c>
      <c r="J56">
        <f>SUMIFS('SGCCSA inputs'!$H$15:$H$7547,'SGCCSA inputs'!$C$15:$C$7547,$C56,'SGCCSA inputs'!$E$15:$E$7547,J$46,'SGCCSA inputs'!$G$15:$G$7547,J$48)</f>
        <v>0</v>
      </c>
      <c r="K56">
        <f>SUMIFS('SGCCSA inputs'!$I$15:$I$7547,'SGCCSA inputs'!$C$15:$C$7547,$C56,'SGCCSA inputs'!$E$15:$E$7547,K$46,'SGCCSA inputs'!$G$15:$G$7547,K$48)</f>
        <v>5</v>
      </c>
      <c r="L56" s="195">
        <f>SUMIFS('SGCCSA inputs'!$J$15:$J$7547,'SGCCSA inputs'!$C$15:$C$7547,$C56,'SGCCSA inputs'!$E$15:$E$7547,L$46,'SGCCSA inputs'!$G$15:$G$7547,L$48)</f>
        <v>6</v>
      </c>
    </row>
    <row r="57" spans="3:12" x14ac:dyDescent="0.25">
      <c r="C57" s="191" t="str">
        <f>'General inputs'!C158</f>
        <v>14:00 - 15:59</v>
      </c>
      <c r="D57">
        <f>SUMIFS('SGCCSA inputs'!$H$15:$H$7547,'SGCCSA inputs'!$C$15:$C$7547,$C57,'SGCCSA inputs'!$D$15:$D$7547,D$46)</f>
        <v>3</v>
      </c>
      <c r="E57">
        <f>SUMIFS('SGCCSA inputs'!$I$15:$I$7547,'SGCCSA inputs'!$C$15:$C$7547,$C57,'SGCCSA inputs'!$D$15:$D$7547,E$46)</f>
        <v>46</v>
      </c>
      <c r="F57">
        <f>SUMIFS('SGCCSA inputs'!$J$15:$J$7547,'SGCCSA inputs'!$C$15:$C$7547,$C57,'SGCCSA inputs'!$D$15:$D$7547,F$46)</f>
        <v>34</v>
      </c>
      <c r="G57">
        <f>SUMIFS('SGCCSA inputs'!$H$15:$H$7547,'SGCCSA inputs'!$C$15:$C$7547,$C57,'SGCCSA inputs'!$F$15:$F$7547,G$46)</f>
        <v>0</v>
      </c>
      <c r="H57">
        <f>SUMIFS('SGCCSA inputs'!$I$15:$I$7547,'SGCCSA inputs'!$C$15:$C$7547,$C57,'SGCCSA inputs'!$F$15:$F$7547,H$46)</f>
        <v>5</v>
      </c>
      <c r="I57">
        <f>SUMIFS('SGCCSA inputs'!$J$15:$J$7547,'SGCCSA inputs'!$C$15:$C$7547,$C57,'SGCCSA inputs'!$F$15:$F$7547,I$46)</f>
        <v>9</v>
      </c>
      <c r="J57">
        <f>SUMIFS('SGCCSA inputs'!$H$15:$H$7547,'SGCCSA inputs'!$C$15:$C$7547,$C57,'SGCCSA inputs'!$E$15:$E$7547,J$46,'SGCCSA inputs'!$G$15:$G$7547,J$48)</f>
        <v>0</v>
      </c>
      <c r="K57">
        <f>SUMIFS('SGCCSA inputs'!$I$15:$I$7547,'SGCCSA inputs'!$C$15:$C$7547,$C57,'SGCCSA inputs'!$E$15:$E$7547,K$46,'SGCCSA inputs'!$G$15:$G$7547,K$48)</f>
        <v>4</v>
      </c>
      <c r="L57" s="195">
        <f>SUMIFS('SGCCSA inputs'!$J$15:$J$7547,'SGCCSA inputs'!$C$15:$C$7547,$C57,'SGCCSA inputs'!$E$15:$E$7547,L$46,'SGCCSA inputs'!$G$15:$G$7547,L$48)</f>
        <v>4</v>
      </c>
    </row>
    <row r="58" spans="3:12" x14ac:dyDescent="0.25">
      <c r="C58" s="191" t="str">
        <f>'General inputs'!C159</f>
        <v>16:00 - 17:59</v>
      </c>
      <c r="D58">
        <f>SUMIFS('SGCCSA inputs'!$H$15:$H$7547,'SGCCSA inputs'!$C$15:$C$7547,$C58,'SGCCSA inputs'!$D$15:$D$7547,D$46)</f>
        <v>0</v>
      </c>
      <c r="E58">
        <f>SUMIFS('SGCCSA inputs'!$I$15:$I$7547,'SGCCSA inputs'!$C$15:$C$7547,$C58,'SGCCSA inputs'!$D$15:$D$7547,E$46)</f>
        <v>29</v>
      </c>
      <c r="F58">
        <f>SUMIFS('SGCCSA inputs'!$J$15:$J$7547,'SGCCSA inputs'!$C$15:$C$7547,$C58,'SGCCSA inputs'!$D$15:$D$7547,F$46)</f>
        <v>35</v>
      </c>
      <c r="G58">
        <f>SUMIFS('SGCCSA inputs'!$H$15:$H$7547,'SGCCSA inputs'!$C$15:$C$7547,$C58,'SGCCSA inputs'!$F$15:$F$7547,G$46)</f>
        <v>0</v>
      </c>
      <c r="H58">
        <f>SUMIFS('SGCCSA inputs'!$I$15:$I$7547,'SGCCSA inputs'!$C$15:$C$7547,$C58,'SGCCSA inputs'!$F$15:$F$7547,H$46)</f>
        <v>7</v>
      </c>
      <c r="I58">
        <f>SUMIFS('SGCCSA inputs'!$J$15:$J$7547,'SGCCSA inputs'!$C$15:$C$7547,$C58,'SGCCSA inputs'!$F$15:$F$7547,I$46)</f>
        <v>13</v>
      </c>
      <c r="J58">
        <f>SUMIFS('SGCCSA inputs'!$H$15:$H$7547,'SGCCSA inputs'!$C$15:$C$7547,$C58,'SGCCSA inputs'!$E$15:$E$7547,J$46,'SGCCSA inputs'!$G$15:$G$7547,J$48)</f>
        <v>1</v>
      </c>
      <c r="K58">
        <f>SUMIFS('SGCCSA inputs'!$I$15:$I$7547,'SGCCSA inputs'!$C$15:$C$7547,$C58,'SGCCSA inputs'!$E$15:$E$7547,K$46,'SGCCSA inputs'!$G$15:$G$7547,K$48)</f>
        <v>7</v>
      </c>
      <c r="L58" s="195">
        <f>SUMIFS('SGCCSA inputs'!$J$15:$J$7547,'SGCCSA inputs'!$C$15:$C$7547,$C58,'SGCCSA inputs'!$E$15:$E$7547,L$46,'SGCCSA inputs'!$G$15:$G$7547,L$48)</f>
        <v>14</v>
      </c>
    </row>
    <row r="59" spans="3:12" x14ac:dyDescent="0.25">
      <c r="C59" s="191" t="str">
        <f>'General inputs'!C160</f>
        <v>18:00 - 19:59</v>
      </c>
      <c r="D59">
        <f>SUMIFS('SGCCSA inputs'!$H$15:$H$7547,'SGCCSA inputs'!$C$15:$C$7547,$C59,'SGCCSA inputs'!$D$15:$D$7547,D$46)</f>
        <v>3</v>
      </c>
      <c r="E59">
        <f>SUMIFS('SGCCSA inputs'!$I$15:$I$7547,'SGCCSA inputs'!$C$15:$C$7547,$C59,'SGCCSA inputs'!$D$15:$D$7547,E$46)</f>
        <v>25</v>
      </c>
      <c r="F59">
        <f>SUMIFS('SGCCSA inputs'!$J$15:$J$7547,'SGCCSA inputs'!$C$15:$C$7547,$C59,'SGCCSA inputs'!$D$15:$D$7547,F$46)</f>
        <v>18</v>
      </c>
      <c r="G59">
        <f>SUMIFS('SGCCSA inputs'!$H$15:$H$7547,'SGCCSA inputs'!$C$15:$C$7547,$C59,'SGCCSA inputs'!$F$15:$F$7547,G$46)</f>
        <v>0</v>
      </c>
      <c r="H59">
        <f>SUMIFS('SGCCSA inputs'!$I$15:$I$7547,'SGCCSA inputs'!$C$15:$C$7547,$C59,'SGCCSA inputs'!$F$15:$F$7547,H$46)</f>
        <v>3</v>
      </c>
      <c r="I59">
        <f>SUMIFS('SGCCSA inputs'!$J$15:$J$7547,'SGCCSA inputs'!$C$15:$C$7547,$C59,'SGCCSA inputs'!$F$15:$F$7547,I$46)</f>
        <v>4</v>
      </c>
      <c r="J59">
        <f>SUMIFS('SGCCSA inputs'!$H$15:$H$7547,'SGCCSA inputs'!$C$15:$C$7547,$C59,'SGCCSA inputs'!$E$15:$E$7547,J$46,'SGCCSA inputs'!$G$15:$G$7547,J$48)</f>
        <v>0</v>
      </c>
      <c r="K59">
        <f>SUMIFS('SGCCSA inputs'!$I$15:$I$7547,'SGCCSA inputs'!$C$15:$C$7547,$C59,'SGCCSA inputs'!$E$15:$E$7547,K$46,'SGCCSA inputs'!$G$15:$G$7547,K$48)</f>
        <v>4</v>
      </c>
      <c r="L59" s="195">
        <f>SUMIFS('SGCCSA inputs'!$J$15:$J$7547,'SGCCSA inputs'!$C$15:$C$7547,$C59,'SGCCSA inputs'!$E$15:$E$7547,L$46,'SGCCSA inputs'!$G$15:$G$7547,L$48)</f>
        <v>10</v>
      </c>
    </row>
    <row r="60" spans="3:12" x14ac:dyDescent="0.25">
      <c r="C60" s="191" t="str">
        <f>'General inputs'!C161</f>
        <v>20:00 - 21:59</v>
      </c>
      <c r="D60">
        <f>SUMIFS('SGCCSA inputs'!$H$15:$H$7547,'SGCCSA inputs'!$C$15:$C$7547,$C60,'SGCCSA inputs'!$D$15:$D$7547,D$46)</f>
        <v>3</v>
      </c>
      <c r="E60">
        <f>SUMIFS('SGCCSA inputs'!$I$15:$I$7547,'SGCCSA inputs'!$C$15:$C$7547,$C60,'SGCCSA inputs'!$D$15:$D$7547,E$46)</f>
        <v>15</v>
      </c>
      <c r="F60">
        <f>SUMIFS('SGCCSA inputs'!$J$15:$J$7547,'SGCCSA inputs'!$C$15:$C$7547,$C60,'SGCCSA inputs'!$D$15:$D$7547,F$46)</f>
        <v>24</v>
      </c>
      <c r="G60">
        <f>SUMIFS('SGCCSA inputs'!$H$15:$H$7547,'SGCCSA inputs'!$C$15:$C$7547,$C60,'SGCCSA inputs'!$F$15:$F$7547,G$46)</f>
        <v>0</v>
      </c>
      <c r="H60">
        <f>SUMIFS('SGCCSA inputs'!$I$15:$I$7547,'SGCCSA inputs'!$C$15:$C$7547,$C60,'SGCCSA inputs'!$F$15:$F$7547,H$46)</f>
        <v>4</v>
      </c>
      <c r="I60">
        <f>SUMIFS('SGCCSA inputs'!$J$15:$J$7547,'SGCCSA inputs'!$C$15:$C$7547,$C60,'SGCCSA inputs'!$F$15:$F$7547,I$46)</f>
        <v>4</v>
      </c>
      <c r="J60">
        <f>SUMIFS('SGCCSA inputs'!$H$15:$H$7547,'SGCCSA inputs'!$C$15:$C$7547,$C60,'SGCCSA inputs'!$E$15:$E$7547,J$46,'SGCCSA inputs'!$G$15:$G$7547,J$48)</f>
        <v>0</v>
      </c>
      <c r="K60">
        <f>SUMIFS('SGCCSA inputs'!$I$15:$I$7547,'SGCCSA inputs'!$C$15:$C$7547,$C60,'SGCCSA inputs'!$E$15:$E$7547,K$46,'SGCCSA inputs'!$G$15:$G$7547,K$48)</f>
        <v>4</v>
      </c>
      <c r="L60" s="195">
        <f>SUMIFS('SGCCSA inputs'!$J$15:$J$7547,'SGCCSA inputs'!$C$15:$C$7547,$C60,'SGCCSA inputs'!$E$15:$E$7547,L$46,'SGCCSA inputs'!$G$15:$G$7547,L$48)</f>
        <v>0</v>
      </c>
    </row>
    <row r="61" spans="3:12" x14ac:dyDescent="0.25">
      <c r="C61" s="191" t="str">
        <f>'General inputs'!C162</f>
        <v>22:00 - Midnight</v>
      </c>
      <c r="D61">
        <f>SUMIFS('SGCCSA inputs'!$H$15:$H$7547,'SGCCSA inputs'!$C$15:$C$7547,$C61,'SGCCSA inputs'!$D$15:$D$7547,D$46)</f>
        <v>0</v>
      </c>
      <c r="E61">
        <f>SUMIFS('SGCCSA inputs'!$I$15:$I$7547,'SGCCSA inputs'!$C$15:$C$7547,$C61,'SGCCSA inputs'!$D$15:$D$7547,E$46)</f>
        <v>12</v>
      </c>
      <c r="F61">
        <f>SUMIFS('SGCCSA inputs'!$J$15:$J$7547,'SGCCSA inputs'!$C$15:$C$7547,$C61,'SGCCSA inputs'!$D$15:$D$7547,F$46)</f>
        <v>7</v>
      </c>
      <c r="G61">
        <f>SUMIFS('SGCCSA inputs'!$H$15:$H$7547,'SGCCSA inputs'!$C$15:$C$7547,$C61,'SGCCSA inputs'!$F$15:$F$7547,G$46)</f>
        <v>1</v>
      </c>
      <c r="H61">
        <f>SUMIFS('SGCCSA inputs'!$I$15:$I$7547,'SGCCSA inputs'!$C$15:$C$7547,$C61,'SGCCSA inputs'!$F$15:$F$7547,H$46)</f>
        <v>2</v>
      </c>
      <c r="I61">
        <f>SUMIFS('SGCCSA inputs'!$J$15:$J$7547,'SGCCSA inputs'!$C$15:$C$7547,$C61,'SGCCSA inputs'!$F$15:$F$7547,I$46)</f>
        <v>1</v>
      </c>
      <c r="J61">
        <f>SUMIFS('SGCCSA inputs'!$H$15:$H$7547,'SGCCSA inputs'!$C$15:$C$7547,$C61,'SGCCSA inputs'!$E$15:$E$7547,J$46,'SGCCSA inputs'!$G$15:$G$7547,J$48)</f>
        <v>1</v>
      </c>
      <c r="K61">
        <f>SUMIFS('SGCCSA inputs'!$I$15:$I$7547,'SGCCSA inputs'!$C$15:$C$7547,$C61,'SGCCSA inputs'!$E$15:$E$7547,K$46,'SGCCSA inputs'!$G$15:$G$7547,K$48)</f>
        <v>3</v>
      </c>
      <c r="L61" s="195">
        <f>SUMIFS('SGCCSA inputs'!$J$15:$J$7547,'SGCCSA inputs'!$C$15:$C$7547,$C61,'SGCCSA inputs'!$E$15:$E$7547,L$46,'SGCCSA inputs'!$G$15:$G$7547,L$48)</f>
        <v>0</v>
      </c>
    </row>
    <row r="62" spans="3:12" x14ac:dyDescent="0.25">
      <c r="C62" s="191"/>
      <c r="L62" s="195"/>
    </row>
    <row r="63" spans="3:12" x14ac:dyDescent="0.25">
      <c r="C63" s="191" t="s">
        <v>1046</v>
      </c>
      <c r="D63" s="324">
        <f>SUM(D53:D60)/SUM('General inputs'!$F154:$F161)</f>
        <v>2.3876255279283919E-7</v>
      </c>
      <c r="E63" s="324">
        <f>SUM(E53:E60)/SUM('General inputs'!$F154:$F161)</f>
        <v>2.4558434001549174E-6</v>
      </c>
      <c r="F63" s="324">
        <f>SUM(F53:F60)/SUM('General inputs'!$F154:$F161)</f>
        <v>2.1602326205066403E-6</v>
      </c>
      <c r="G63" s="324">
        <f>SUM(G53:G60)/SUM('General inputs'!$F154:$F161)</f>
        <v>0</v>
      </c>
      <c r="H63" s="324">
        <f>SUM(H53:H60)/SUM('General inputs'!$F154:$F161)</f>
        <v>5.0026439632785354E-7</v>
      </c>
      <c r="I63" s="324">
        <f>SUM(I53:I60)/SUM('General inputs'!$F154:$F161)</f>
        <v>7.0491801300742999E-7</v>
      </c>
      <c r="J63" s="324">
        <f>SUM(J53:J60)/SUM('General inputs'!$F154:$F161)</f>
        <v>1.1369645371087581E-8</v>
      </c>
      <c r="K63" s="324">
        <f>SUM(K53:K60)/SUM('General inputs'!$F154:$F161)</f>
        <v>4.661554602145908E-7</v>
      </c>
      <c r="L63" s="325">
        <f>SUM(L53:L60)/SUM('General inputs'!$F154:$F161)</f>
        <v>4.7752510558567838E-7</v>
      </c>
    </row>
    <row r="64" spans="3:12" x14ac:dyDescent="0.25">
      <c r="C64" s="196"/>
      <c r="D64" s="326"/>
      <c r="E64" s="197"/>
      <c r="F64" s="197"/>
      <c r="G64" s="197"/>
      <c r="H64" s="197"/>
      <c r="I64" s="197"/>
      <c r="J64" s="197"/>
      <c r="K64" s="197"/>
      <c r="L64" s="198"/>
    </row>
  </sheetData>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CCFF"/>
  </sheetPr>
  <dimension ref="A1:AJ163"/>
  <sheetViews>
    <sheetView showGridLines="0" zoomScaleNormal="100" workbookViewId="0"/>
  </sheetViews>
  <sheetFormatPr defaultRowHeight="11.5" x14ac:dyDescent="0.25"/>
  <cols>
    <col min="1" max="2" width="3.69921875" customWidth="1"/>
    <col min="3" max="11" width="10.69921875" customWidth="1"/>
  </cols>
  <sheetData>
    <row r="1" spans="1:11" x14ac:dyDescent="0.25">
      <c r="A1" s="1"/>
      <c r="C1" s="42" t="str">
        <f>'Fare optimisation'!$C$1</f>
        <v>Fare Optimisation Model for the 2025 Opal Review - Independent Pricing and Regulatory Tribunal of NSW</v>
      </c>
    </row>
    <row r="2" spans="1:11" x14ac:dyDescent="0.25">
      <c r="C2" s="42"/>
    </row>
    <row r="3" spans="1:11" x14ac:dyDescent="0.25">
      <c r="C3" s="42"/>
    </row>
    <row r="4" spans="1:11" ht="23" x14ac:dyDescent="0.5">
      <c r="C4" s="184" t="s">
        <v>228</v>
      </c>
    </row>
    <row r="7" spans="1:11" x14ac:dyDescent="0.25">
      <c r="C7" s="11" t="s">
        <v>225</v>
      </c>
      <c r="D7" s="11"/>
      <c r="E7" s="11"/>
      <c r="F7" s="11"/>
      <c r="G7" s="11"/>
      <c r="H7" s="11"/>
      <c r="I7" s="11"/>
      <c r="J7" s="11"/>
      <c r="K7" s="185" t="s">
        <v>226</v>
      </c>
    </row>
    <row r="8" spans="1:11" x14ac:dyDescent="0.25">
      <c r="B8" s="186">
        <v>1</v>
      </c>
      <c r="C8" s="187" t="str">
        <f>"Table "&amp;B8&amp;" - Mode specific inputs (by mode, by distance, by time-of-day (ToD)"</f>
        <v>Table 1 - Mode specific inputs (by mode, by distance, by time-of-day (ToD)</v>
      </c>
      <c r="D8" s="187"/>
      <c r="E8" s="187"/>
      <c r="F8" s="187"/>
      <c r="G8" s="187"/>
      <c r="H8" s="187"/>
      <c r="I8" s="187"/>
      <c r="J8" s="187"/>
      <c r="K8" s="187">
        <f>ROW(C25)</f>
        <v>25</v>
      </c>
    </row>
    <row r="9" spans="1:11" x14ac:dyDescent="0.25">
      <c r="B9" s="211">
        <f t="shared" ref="B9:B17" si="0">B8+1</f>
        <v>2</v>
      </c>
      <c r="C9" s="11" t="str">
        <f>"Table "&amp;B9&amp;" - Key fixed parameters"</f>
        <v>Table 2 - Key fixed parameters</v>
      </c>
      <c r="D9" s="11"/>
      <c r="E9" s="11"/>
      <c r="F9" s="11"/>
      <c r="G9" s="11"/>
      <c r="H9" s="11"/>
      <c r="I9" s="11"/>
      <c r="J9" s="11"/>
      <c r="K9" s="11">
        <f>ROW(D64)</f>
        <v>64</v>
      </c>
    </row>
    <row r="10" spans="1:11" x14ac:dyDescent="0.25">
      <c r="B10" s="211">
        <f t="shared" si="0"/>
        <v>3</v>
      </c>
      <c r="C10" s="11" t="str">
        <f>"Table "&amp;B10&amp;" - Emissions externalities ($2022-23)"</f>
        <v>Table 3 - Emissions externalities ($2022-23)</v>
      </c>
      <c r="D10" s="11"/>
      <c r="E10" s="11"/>
      <c r="F10" s="11"/>
      <c r="G10" s="11"/>
      <c r="H10" s="11"/>
      <c r="I10" s="11"/>
      <c r="J10" s="11"/>
      <c r="K10" s="11">
        <f>ROW(C72)</f>
        <v>72</v>
      </c>
    </row>
    <row r="11" spans="1:11" x14ac:dyDescent="0.25">
      <c r="B11" s="211">
        <f t="shared" si="0"/>
        <v>4</v>
      </c>
      <c r="C11" s="11" t="str">
        <f>"Table "&amp;B11&amp;" - Time-of-day shift (same mode &amp; distance)"</f>
        <v>Table 4 - Time-of-day shift (same mode &amp; distance)</v>
      </c>
      <c r="D11" s="11"/>
      <c r="E11" s="11"/>
      <c r="F11" s="11"/>
      <c r="G11" s="11"/>
      <c r="H11" s="11"/>
      <c r="I11" s="11"/>
      <c r="J11" s="11"/>
      <c r="K11" s="11">
        <f>ROW(C81)</f>
        <v>81</v>
      </c>
    </row>
    <row r="12" spans="1:11" x14ac:dyDescent="0.25">
      <c r="B12" s="211">
        <f t="shared" si="0"/>
        <v>5</v>
      </c>
      <c r="C12" s="11" t="str">
        <f>"Table "&amp;B12&amp;" - Walking parameters"</f>
        <v>Table 5 - Walking parameters</v>
      </c>
      <c r="D12" s="11"/>
      <c r="E12" s="11"/>
      <c r="F12" s="11"/>
      <c r="G12" s="11"/>
      <c r="I12" s="11"/>
      <c r="J12" s="11"/>
      <c r="K12" s="185">
        <f>ROW('General inputs'!C94)</f>
        <v>94</v>
      </c>
    </row>
    <row r="13" spans="1:11" x14ac:dyDescent="0.25">
      <c r="B13" s="211">
        <f t="shared" si="0"/>
        <v>6</v>
      </c>
      <c r="C13" s="11" t="str">
        <f>"Table "&amp;B13&amp;" - Bus accident parameters"</f>
        <v>Table 6 - Bus accident parameters</v>
      </c>
      <c r="D13" s="11"/>
      <c r="E13" s="11"/>
      <c r="F13" s="11"/>
      <c r="G13" s="11"/>
      <c r="I13" s="11"/>
      <c r="J13" s="11"/>
      <c r="K13" s="11">
        <f>ROW('General inputs'!C104)</f>
        <v>104</v>
      </c>
    </row>
    <row r="14" spans="1:11" x14ac:dyDescent="0.25">
      <c r="B14" s="211">
        <f t="shared" si="0"/>
        <v>7</v>
      </c>
      <c r="C14" s="11" t="str">
        <f>"Table "&amp;B14&amp;" - Marginal cost parameters for cars"</f>
        <v>Table 7 - Marginal cost parameters for cars</v>
      </c>
      <c r="D14" s="11"/>
      <c r="E14" s="11"/>
      <c r="F14" s="11"/>
      <c r="G14" s="11"/>
      <c r="I14" s="11"/>
      <c r="J14" s="11"/>
      <c r="K14" s="11">
        <f>ROW('General inputs'!C117)</f>
        <v>117</v>
      </c>
    </row>
    <row r="15" spans="1:11" x14ac:dyDescent="0.25">
      <c r="B15" s="211">
        <f t="shared" si="0"/>
        <v>8</v>
      </c>
      <c r="C15" s="11" t="str">
        <f>"Table "&amp;B15&amp;" - Pollution and emission parameters ($2020-21)"</f>
        <v>Table 8 - Pollution and emission parameters ($2020-21)</v>
      </c>
      <c r="D15" s="11"/>
      <c r="E15" s="11"/>
      <c r="F15" s="11"/>
      <c r="G15" s="11"/>
      <c r="I15" s="11"/>
      <c r="J15" s="11"/>
      <c r="K15" s="11">
        <f>ROW('General inputs'!C126)</f>
        <v>126</v>
      </c>
    </row>
    <row r="16" spans="1:11" x14ac:dyDescent="0.25">
      <c r="B16" s="211">
        <f t="shared" si="0"/>
        <v>9</v>
      </c>
      <c r="C16" s="11" t="str">
        <f>"Table "&amp;B16&amp;" - Social loss values ($)"</f>
        <v>Table 9 - Social loss values ($)</v>
      </c>
      <c r="D16" s="11"/>
      <c r="E16" s="11"/>
      <c r="F16" s="11"/>
      <c r="G16" s="11"/>
      <c r="I16" s="11"/>
      <c r="J16" s="11"/>
      <c r="K16" s="185">
        <f>ROW('General inputs'!C138)</f>
        <v>138</v>
      </c>
    </row>
    <row r="17" spans="2:36" x14ac:dyDescent="0.25">
      <c r="B17" s="211">
        <f t="shared" si="0"/>
        <v>10</v>
      </c>
      <c r="C17" s="209" t="str">
        <f>"Table "&amp;B17&amp;" - Vehicle km travelled (km)"</f>
        <v>Table 10 - Vehicle km travelled (km)</v>
      </c>
      <c r="D17" s="209"/>
      <c r="E17" s="209"/>
      <c r="F17" s="209"/>
      <c r="G17" s="209"/>
      <c r="H17" s="197"/>
      <c r="I17" s="209"/>
      <c r="J17" s="209"/>
      <c r="K17" s="209">
        <f>ROW('General inputs'!C147)</f>
        <v>147</v>
      </c>
    </row>
    <row r="18" spans="2:36" x14ac:dyDescent="0.25">
      <c r="B18" s="186"/>
      <c r="C18" s="11"/>
      <c r="D18" s="11"/>
      <c r="E18" s="11"/>
      <c r="F18" s="11"/>
      <c r="G18" s="11"/>
      <c r="H18" s="11"/>
      <c r="I18" s="11"/>
      <c r="J18" s="11"/>
      <c r="K18" s="11"/>
    </row>
    <row r="19" spans="2:36" x14ac:dyDescent="0.25">
      <c r="B19" s="186"/>
      <c r="C19" s="11"/>
      <c r="D19" s="11"/>
      <c r="E19" s="11"/>
      <c r="F19" s="11"/>
      <c r="G19" s="11"/>
      <c r="H19" s="11"/>
      <c r="I19" s="11"/>
      <c r="J19" s="11"/>
      <c r="K19" s="11"/>
    </row>
    <row r="20" spans="2:36" x14ac:dyDescent="0.25">
      <c r="B20" s="186"/>
      <c r="C20" s="11"/>
      <c r="D20" s="11"/>
      <c r="E20" s="11"/>
      <c r="F20" s="11"/>
      <c r="G20" s="11"/>
      <c r="H20" s="11"/>
      <c r="I20" s="11"/>
      <c r="J20" s="11"/>
      <c r="K20" s="11"/>
    </row>
    <row r="21" spans="2:36" x14ac:dyDescent="0.25">
      <c r="B21" s="563"/>
      <c r="C21" s="563"/>
      <c r="D21" s="563"/>
      <c r="E21" s="563"/>
      <c r="F21" s="563"/>
      <c r="G21" s="563"/>
      <c r="H21" s="563"/>
      <c r="I21" s="563"/>
      <c r="J21" s="563"/>
      <c r="K21" s="563"/>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row>
    <row r="22" spans="2:36" x14ac:dyDescent="0.25">
      <c r="B22" s="186"/>
      <c r="C22" s="11"/>
      <c r="D22" s="11"/>
      <c r="E22" s="11"/>
      <c r="F22" s="11"/>
      <c r="G22" s="11"/>
      <c r="H22" s="11"/>
      <c r="I22" s="11"/>
      <c r="J22" s="11"/>
      <c r="K22" s="11"/>
    </row>
    <row r="23" spans="2:36" ht="20" x14ac:dyDescent="0.4">
      <c r="B23" s="186"/>
      <c r="C23" s="26" t="s">
        <v>1280</v>
      </c>
      <c r="D23" s="11"/>
      <c r="E23" s="11"/>
      <c r="F23" s="11"/>
      <c r="G23" s="11"/>
      <c r="H23" s="11"/>
      <c r="I23" s="11"/>
      <c r="J23" s="11"/>
      <c r="K23" s="11"/>
    </row>
    <row r="25" spans="2:36" ht="15.5" x14ac:dyDescent="0.35">
      <c r="C25" s="43" t="str">
        <f>C8</f>
        <v>Table 1 - Mode specific inputs (by mode, by distance, by time-of-day (ToD)</v>
      </c>
    </row>
    <row r="26" spans="2:36" ht="15.5" x14ac:dyDescent="0.35">
      <c r="C26" s="217"/>
      <c r="D26" s="189"/>
      <c r="E26" s="189"/>
      <c r="F26" s="189"/>
      <c r="G26" s="189"/>
      <c r="H26" s="189"/>
      <c r="I26" s="189"/>
      <c r="J26" s="189"/>
      <c r="K26" s="190"/>
      <c r="O26" s="237" t="s">
        <v>1175</v>
      </c>
      <c r="P26" s="189"/>
      <c r="Q26" s="500">
        <v>45352</v>
      </c>
      <c r="R26" s="501">
        <f>CPI!E15</f>
        <v>137.4</v>
      </c>
      <c r="S26" s="189"/>
      <c r="T26" s="189"/>
      <c r="U26" s="502" t="s">
        <v>1228</v>
      </c>
      <c r="V26" s="189"/>
      <c r="W26" s="189"/>
      <c r="X26" s="189"/>
      <c r="Y26" s="189"/>
      <c r="Z26" s="189"/>
      <c r="AA26" s="189"/>
      <c r="AB26" s="189"/>
      <c r="AC26" s="502" t="s">
        <v>1227</v>
      </c>
      <c r="AD26" s="189"/>
      <c r="AE26" s="189"/>
      <c r="AF26" s="189"/>
      <c r="AG26" s="189"/>
      <c r="AH26" s="189"/>
      <c r="AI26" s="190"/>
    </row>
    <row r="27" spans="2:36" ht="15.5" x14ac:dyDescent="0.35">
      <c r="C27" s="191"/>
      <c r="J27" t="s">
        <v>1169</v>
      </c>
      <c r="K27" s="389">
        <v>0.7</v>
      </c>
      <c r="O27" s="191"/>
      <c r="Q27" s="503">
        <v>44621</v>
      </c>
      <c r="R27" s="447">
        <f>CPI!E13</f>
        <v>123.9</v>
      </c>
      <c r="U27" s="43"/>
      <c r="AC27" s="43"/>
      <c r="AI27" s="195"/>
    </row>
    <row r="28" spans="2:36" ht="57.5" x14ac:dyDescent="0.25">
      <c r="C28" s="191"/>
      <c r="D28" s="203" t="s">
        <v>173</v>
      </c>
      <c r="E28" s="203" t="s">
        <v>174</v>
      </c>
      <c r="F28" s="203" t="s">
        <v>229</v>
      </c>
      <c r="G28" s="203" t="s">
        <v>1183</v>
      </c>
      <c r="H28" s="203" t="s">
        <v>191</v>
      </c>
      <c r="J28" s="203" t="s">
        <v>1182</v>
      </c>
      <c r="K28" s="207" t="s">
        <v>1181</v>
      </c>
      <c r="O28" s="191"/>
      <c r="U28" s="42" t="s">
        <v>1147</v>
      </c>
      <c r="X28" s="162" t="s">
        <v>1230</v>
      </c>
      <c r="AC28" s="42" t="s">
        <v>1147</v>
      </c>
      <c r="AF28" s="162" t="s">
        <v>1229</v>
      </c>
      <c r="AI28" s="195"/>
    </row>
    <row r="29" spans="2:36" x14ac:dyDescent="0.25">
      <c r="C29" s="204">
        <v>1</v>
      </c>
      <c r="D29" s="205" t="s">
        <v>183</v>
      </c>
      <c r="E29" s="206">
        <v>2</v>
      </c>
      <c r="F29" s="205" t="s">
        <v>197</v>
      </c>
      <c r="G29" s="215">
        <f>IF('Scenario Analysis'!$L$23=1,$J29,$K29)/'General inputs'!$R$29</f>
        <v>3.4414414414414409</v>
      </c>
      <c r="H29" s="329">
        <f>INDEX('MEC - public transport &amp; cars'!$C$93:$H$95,MATCH($F29,'MEC - public transport &amp; cars'!$C$93:$C$95,0),MATCH($D29,'MEC - public transport &amp; cars'!$C$93:$H$93,0))</f>
        <v>-0.38154738677041672</v>
      </c>
      <c r="J29" s="215" cm="1">
        <f t="array" ref="J29">_xlfn.IFS($E29&lt;='General inputs'!$T$30,'General inputs'!$Z$30,$E29&lt;='General inputs'!$T$31,'General inputs'!$Z$31,$E29&lt;='General inputs'!$T$32,'General inputs'!$Z$32,$E29&lt;='General inputs'!$T$33,'General inputs'!$Z$33,$E29&gt;'General inputs'!$T$34,'General inputs'!$Z$34)</f>
        <v>3.82</v>
      </c>
      <c r="K29" s="216" cm="1">
        <f t="array" ref="K29">_xlfn.IFS($E29&lt;='General inputs'!$AB$30,'General inputs'!$AH$30,$E29&lt;='General inputs'!$AB$31,'General inputs'!$AH$31,$E29&lt;='General inputs'!$AB$32,'General inputs'!$AH$32,$E29&lt;='General inputs'!$AB$33,'General inputs'!$AH$33,$E29&gt;'General inputs'!$AB$34,'General inputs'!$AH$34)</f>
        <v>4.1399999999999997</v>
      </c>
      <c r="O29" s="191" t="s">
        <v>1176</v>
      </c>
      <c r="R29" s="394">
        <f>ROUND(R26/R27,2)</f>
        <v>1.1100000000000001</v>
      </c>
      <c r="U29" s="31" t="s">
        <v>1125</v>
      </c>
      <c r="V29" s="31"/>
      <c r="W29" s="31"/>
      <c r="X29" s="31"/>
      <c r="Y29" s="31"/>
      <c r="Z29" s="331" t="s">
        <v>1126</v>
      </c>
      <c r="AC29" s="31" t="s">
        <v>1125</v>
      </c>
      <c r="AD29" s="31"/>
      <c r="AE29" s="31"/>
      <c r="AF29" s="31"/>
      <c r="AG29" s="31"/>
      <c r="AH29" s="331" t="s">
        <v>1126</v>
      </c>
      <c r="AI29" s="195"/>
    </row>
    <row r="30" spans="2:36" x14ac:dyDescent="0.25">
      <c r="C30" s="191">
        <f t="shared" ref="C30:C60" si="1">C29+1</f>
        <v>2</v>
      </c>
      <c r="D30" s="205" t="s">
        <v>183</v>
      </c>
      <c r="E30" s="206">
        <v>5</v>
      </c>
      <c r="F30" s="205" t="s">
        <v>197</v>
      </c>
      <c r="G30" s="215">
        <f>IF('Scenario Analysis'!$L$23=1,$J30,$K30)/'General inputs'!$R$29</f>
        <v>3.4414414414414409</v>
      </c>
      <c r="H30" s="215">
        <f>H29</f>
        <v>-0.38154738677041672</v>
      </c>
      <c r="J30" s="215" cm="1">
        <f t="array" ref="J30">_xlfn.IFS($E30&lt;='General inputs'!$T$30,'General inputs'!$Z$30,$E30&lt;='General inputs'!$T$31,'General inputs'!$Z$31,$E30&lt;='General inputs'!$T$32,'General inputs'!$Z$32,$E30&lt;='General inputs'!$T$33,'General inputs'!$Z$33,$E30&gt;'General inputs'!$T$34,'General inputs'!$Z$34)</f>
        <v>3.82</v>
      </c>
      <c r="K30" s="216" cm="1">
        <f t="array" ref="K30">_xlfn.IFS($E30&lt;='General inputs'!$AB$30,'General inputs'!$AH$30,$E30&lt;='General inputs'!$AB$31,'General inputs'!$AH$31,$E30&lt;='General inputs'!$AB$32,'General inputs'!$AH$32,$E30&lt;='General inputs'!$AB$33,'General inputs'!$AH$33,$E30&gt;'General inputs'!$AB$34,'General inputs'!$AH$34)</f>
        <v>4.1399999999999997</v>
      </c>
      <c r="O30" s="191"/>
      <c r="T30" s="621">
        <f>RIGHT(U30,2)*1</f>
        <v>10</v>
      </c>
      <c r="U30" t="s">
        <v>1127</v>
      </c>
      <c r="W30" s="189"/>
      <c r="Z30" s="122">
        <v>3.82</v>
      </c>
      <c r="AB30" s="621">
        <f>RIGHT(AC30,2)*1</f>
        <v>10</v>
      </c>
      <c r="AC30" t="s">
        <v>1127</v>
      </c>
      <c r="AE30" s="189"/>
      <c r="AH30" s="122">
        <v>4.1399999999999997</v>
      </c>
      <c r="AI30" s="195"/>
    </row>
    <row r="31" spans="2:36" x14ac:dyDescent="0.25">
      <c r="C31" s="191">
        <f t="shared" si="1"/>
        <v>3</v>
      </c>
      <c r="D31" s="205" t="s">
        <v>183</v>
      </c>
      <c r="E31" s="206">
        <v>15</v>
      </c>
      <c r="F31" s="205" t="s">
        <v>197</v>
      </c>
      <c r="G31" s="215">
        <f>IF('Scenario Analysis'!$L$23=1,$J31,$K31)/'General inputs'!$R$29</f>
        <v>4.2792792792792786</v>
      </c>
      <c r="H31" s="215">
        <f>H29</f>
        <v>-0.38154738677041672</v>
      </c>
      <c r="J31" s="454" cm="1">
        <f t="array" ref="J31">_xlfn.IFS($E31&lt;='General inputs'!$T$30,'General inputs'!$Z$30,$E31&lt;='General inputs'!$T$31,'General inputs'!$Z$31,$E31&lt;='General inputs'!$T$32,'General inputs'!$Z$32,$E31&lt;='General inputs'!$T$33,'General inputs'!$Z$33,$E31&gt;'General inputs'!$T$34,'General inputs'!$Z$34)</f>
        <v>4.75</v>
      </c>
      <c r="K31" s="450" cm="1">
        <f t="array" ref="K31">_xlfn.IFS($E31&lt;='General inputs'!$AB$30,'General inputs'!$AH$30,$E31&lt;='General inputs'!$AB$31,'General inputs'!$AH$31,$E31&lt;='General inputs'!$AB$32,'General inputs'!$AH$32,$E31&lt;='General inputs'!$AB$33,'General inputs'!$AH$33,$E31&gt;'General inputs'!$AB$34,'General inputs'!$AH$34)</f>
        <v>5.09</v>
      </c>
      <c r="O31" s="191"/>
      <c r="S31" s="620"/>
      <c r="T31" s="621">
        <f>RIGHT(U31,2)*1</f>
        <v>20</v>
      </c>
      <c r="U31" t="s">
        <v>1130</v>
      </c>
      <c r="Z31" s="122">
        <v>4.75</v>
      </c>
      <c r="AB31" s="621">
        <f>RIGHT(AC31,2)*1</f>
        <v>20</v>
      </c>
      <c r="AC31" t="s">
        <v>1130</v>
      </c>
      <c r="AH31" s="122">
        <v>5.09</v>
      </c>
      <c r="AI31" s="195"/>
    </row>
    <row r="32" spans="2:36" ht="12" thickBot="1" x14ac:dyDescent="0.3">
      <c r="C32" s="191">
        <f t="shared" si="1"/>
        <v>4</v>
      </c>
      <c r="D32" s="205" t="s">
        <v>183</v>
      </c>
      <c r="E32" s="206">
        <v>25</v>
      </c>
      <c r="F32" s="205" t="s">
        <v>197</v>
      </c>
      <c r="G32" s="215">
        <f>IF('Scenario Analysis'!$L$23=1,$J32,$K32)/'General inputs'!$R$29</f>
        <v>4.9189189189189184</v>
      </c>
      <c r="H32" s="215">
        <f>H29</f>
        <v>-0.38154738677041672</v>
      </c>
      <c r="J32" s="455" cm="1">
        <f t="array" ref="J32">_xlfn.IFS($E32&lt;='General inputs'!$T$30,'General inputs'!$Z$30,$E32&lt;='General inputs'!$T$31,'General inputs'!$Z$31,$E32&lt;='General inputs'!$T$32,'General inputs'!$Z$32,$E32&lt;='General inputs'!$T$33,'General inputs'!$Z$33,$E32&gt;'General inputs'!$T$34,'General inputs'!$Z$34)</f>
        <v>5.46</v>
      </c>
      <c r="K32" s="451" cm="1">
        <f t="array" ref="K32">_xlfn.IFS($E32&lt;='General inputs'!$AB$30,'General inputs'!$AH$30,$E32&lt;='General inputs'!$AB$31,'General inputs'!$AH$31,$E32&lt;='General inputs'!$AB$32,'General inputs'!$AH$32,$E32&lt;='General inputs'!$AB$33,'General inputs'!$AH$33,$E32&gt;'General inputs'!$AB$34,'General inputs'!$AH$34)</f>
        <v>5.94</v>
      </c>
      <c r="O32" s="191"/>
      <c r="S32" s="620"/>
      <c r="T32" s="621">
        <f>RIGHT(U32,2)*1</f>
        <v>35</v>
      </c>
      <c r="U32" t="s">
        <v>1128</v>
      </c>
      <c r="Z32" s="122">
        <v>5.46</v>
      </c>
      <c r="AB32" s="621">
        <f>RIGHT(AC32,2)*1</f>
        <v>35</v>
      </c>
      <c r="AC32" t="s">
        <v>1128</v>
      </c>
      <c r="AH32" s="122">
        <v>5.94</v>
      </c>
      <c r="AI32" s="195"/>
    </row>
    <row r="33" spans="3:35" ht="12" thickTop="1" x14ac:dyDescent="0.25">
      <c r="C33" s="191">
        <f t="shared" si="1"/>
        <v>5</v>
      </c>
      <c r="D33" s="205" t="s">
        <v>183</v>
      </c>
      <c r="E33" s="266">
        <f t="shared" ref="E33:E60" si="2">E29</f>
        <v>2</v>
      </c>
      <c r="F33" s="205" t="s">
        <v>198</v>
      </c>
      <c r="G33" s="215">
        <f>IF('Scenario Analysis'!$L$23=1,$J33,$K33)/'General inputs'!$R$29</f>
        <v>2.4090090090090088</v>
      </c>
      <c r="H33" s="329">
        <f>INDEX('MEC - public transport &amp; cars'!$C$93:$H$95,MATCH($F33,'MEC - public transport &amp; cars'!$C$93:$C$95,0),MATCH($D33,'MEC - public transport &amp; cars'!$C$93:$H$93,0))</f>
        <v>-0.49517553721768504</v>
      </c>
      <c r="I33" s="386"/>
      <c r="J33" s="387">
        <f>J29*$K$27</f>
        <v>2.6739999999999999</v>
      </c>
      <c r="K33" s="388">
        <f t="shared" ref="J33:K36" si="3">K29*$K$27</f>
        <v>2.8979999999999997</v>
      </c>
      <c r="O33" s="191"/>
      <c r="S33" s="620"/>
      <c r="T33" s="621">
        <f>RIGHT(U33,2)*1</f>
        <v>65</v>
      </c>
      <c r="U33" t="s">
        <v>1129</v>
      </c>
      <c r="Z33" s="122">
        <v>7.3</v>
      </c>
      <c r="AB33" s="621">
        <f>RIGHT(AC33,2)*1</f>
        <v>65</v>
      </c>
      <c r="AC33" t="s">
        <v>1129</v>
      </c>
      <c r="AH33" s="122">
        <v>7.82</v>
      </c>
      <c r="AI33" s="195"/>
    </row>
    <row r="34" spans="3:35" x14ac:dyDescent="0.25">
      <c r="C34" s="191">
        <f t="shared" si="1"/>
        <v>6</v>
      </c>
      <c r="D34" s="205" t="s">
        <v>183</v>
      </c>
      <c r="E34" s="266">
        <f t="shared" si="2"/>
        <v>5</v>
      </c>
      <c r="F34" s="205" t="s">
        <v>198</v>
      </c>
      <c r="G34" s="215">
        <f>IF('Scenario Analysis'!$L$23=1,$J34,$K34)/'General inputs'!$R$29</f>
        <v>2.4090090090090088</v>
      </c>
      <c r="H34" s="215">
        <f>H33</f>
        <v>-0.49517553721768504</v>
      </c>
      <c r="I34" s="386"/>
      <c r="J34" s="387">
        <f t="shared" si="3"/>
        <v>2.6739999999999999</v>
      </c>
      <c r="K34" s="388">
        <f t="shared" si="3"/>
        <v>2.8979999999999997</v>
      </c>
      <c r="O34" s="191"/>
      <c r="S34" s="620"/>
      <c r="T34" s="621">
        <f>RIGHT(U34,2)*1</f>
        <v>65</v>
      </c>
      <c r="U34" s="197" t="s">
        <v>1131</v>
      </c>
      <c r="V34" s="197"/>
      <c r="W34" s="197"/>
      <c r="X34" s="197"/>
      <c r="Y34" s="197"/>
      <c r="Z34" s="315">
        <v>9.39</v>
      </c>
      <c r="AB34" s="621">
        <f>RIGHT(AC34,2)*1</f>
        <v>65</v>
      </c>
      <c r="AC34" s="197" t="s">
        <v>1131</v>
      </c>
      <c r="AD34" s="197"/>
      <c r="AE34" s="197"/>
      <c r="AF34" s="197"/>
      <c r="AG34" s="197"/>
      <c r="AH34" s="315">
        <v>10.08</v>
      </c>
      <c r="AI34" s="195"/>
    </row>
    <row r="35" spans="3:35" x14ac:dyDescent="0.25">
      <c r="C35" s="191">
        <f t="shared" si="1"/>
        <v>7</v>
      </c>
      <c r="D35" s="205" t="s">
        <v>183</v>
      </c>
      <c r="E35" s="266">
        <f t="shared" si="2"/>
        <v>15</v>
      </c>
      <c r="F35" s="205" t="s">
        <v>198</v>
      </c>
      <c r="G35" s="215">
        <f>IF('Scenario Analysis'!$L$23=1,$J35,$K35)/'General inputs'!$R$29</f>
        <v>2.9954954954954949</v>
      </c>
      <c r="H35" s="215">
        <f>H33</f>
        <v>-0.49517553721768504</v>
      </c>
      <c r="I35" s="386"/>
      <c r="J35" s="387">
        <f t="shared" si="3"/>
        <v>3.3249999999999997</v>
      </c>
      <c r="K35" s="388">
        <f t="shared" si="3"/>
        <v>3.5629999999999997</v>
      </c>
      <c r="O35" s="191"/>
      <c r="S35" s="620"/>
      <c r="T35" s="621"/>
      <c r="AB35" s="621"/>
      <c r="AI35" s="195"/>
    </row>
    <row r="36" spans="3:35" ht="12" thickBot="1" x14ac:dyDescent="0.3">
      <c r="C36" s="191">
        <f t="shared" si="1"/>
        <v>8</v>
      </c>
      <c r="D36" s="205" t="s">
        <v>183</v>
      </c>
      <c r="E36" s="266">
        <f t="shared" si="2"/>
        <v>25</v>
      </c>
      <c r="F36" s="205" t="s">
        <v>198</v>
      </c>
      <c r="G36" s="215">
        <f>IF('Scenario Analysis'!$L$23=1,$J36,$K36)/'General inputs'!$R$29</f>
        <v>3.4432432432432427</v>
      </c>
      <c r="H36" s="215">
        <f>H33</f>
        <v>-0.49517553721768504</v>
      </c>
      <c r="I36" s="386"/>
      <c r="J36" s="387">
        <f t="shared" si="3"/>
        <v>3.8219999999999996</v>
      </c>
      <c r="K36" s="388">
        <f t="shared" si="3"/>
        <v>4.1580000000000004</v>
      </c>
      <c r="O36" s="191"/>
      <c r="T36" s="621"/>
      <c r="AB36" s="621"/>
      <c r="AI36" s="195"/>
    </row>
    <row r="37" spans="3:35" ht="12" thickTop="1" x14ac:dyDescent="0.25">
      <c r="C37" s="191">
        <f t="shared" si="1"/>
        <v>9</v>
      </c>
      <c r="D37" s="205" t="s">
        <v>184</v>
      </c>
      <c r="E37" s="266">
        <f t="shared" si="2"/>
        <v>2</v>
      </c>
      <c r="F37" s="205" t="s">
        <v>197</v>
      </c>
      <c r="G37" s="215">
        <f>IF('Scenario Analysis'!$L$23=1,$J37,$K37)/'General inputs'!$R$29</f>
        <v>2.6216216216216215</v>
      </c>
      <c r="H37" s="329">
        <f>INDEX('MEC - public transport &amp; cars'!$C$93:$H$95,MATCH($F37,'MEC - public transport &amp; cars'!$C$93:$C$95,0),MATCH($D37,'MEC - public transport &amp; cars'!$C$93:$H$93,0))</f>
        <v>-0.29217680633736359</v>
      </c>
      <c r="J37" s="384" cm="1">
        <f t="array" ref="J37">_xlfn.IFS($E37&lt;='General inputs'!$T$49,'General inputs'!$Z$49,$E37&lt;='General inputs'!$T$50,'General inputs'!$Z$50,$E37&lt;='General inputs'!$T$51,'General inputs'!$Z$51,$E37&gt;'General inputs'!$T$52,'General inputs'!$Z$51)</f>
        <v>2.91</v>
      </c>
      <c r="K37" s="456" cm="1">
        <f t="array" ref="K37">_xlfn.IFS($E37&lt;='General inputs'!$AB$49,'General inputs'!$AH$49,$E37&lt;='General inputs'!$AB$50,'General inputs'!$AH$50,$E37&lt;='General inputs'!$AB$51,'General inputs'!$AH$51,$E37&gt;'General inputs'!$AB$52,'General inputs'!$AH$52)</f>
        <v>3.02</v>
      </c>
      <c r="O37" s="191"/>
      <c r="T37" s="621"/>
      <c r="U37" s="42" t="s">
        <v>1149</v>
      </c>
      <c r="AB37" s="621"/>
      <c r="AC37" s="42" t="s">
        <v>1149</v>
      </c>
      <c r="AI37" s="195"/>
    </row>
    <row r="38" spans="3:35" x14ac:dyDescent="0.25">
      <c r="C38" s="191">
        <f t="shared" si="1"/>
        <v>10</v>
      </c>
      <c r="D38" s="205" t="s">
        <v>184</v>
      </c>
      <c r="E38" s="266">
        <f t="shared" si="2"/>
        <v>5</v>
      </c>
      <c r="F38" s="205" t="s">
        <v>197</v>
      </c>
      <c r="G38" s="215">
        <f>IF('Scenario Analysis'!$L$23=1,$J38,$K38)/'General inputs'!$R$29</f>
        <v>3.5675675675675671</v>
      </c>
      <c r="H38" s="215">
        <f>H37</f>
        <v>-0.29217680633736359</v>
      </c>
      <c r="J38" s="269" cm="1">
        <f t="array" ref="J38">_xlfn.IFS($E38&lt;='General inputs'!$T$49,'General inputs'!$Z$49,$E38&lt;='General inputs'!$T$50,'General inputs'!$Z$50,$E38&lt;='General inputs'!$T$51,'General inputs'!$Z$51,$E38&gt;'General inputs'!$T$52,'General inputs'!$Z$51)</f>
        <v>3.96</v>
      </c>
      <c r="K38" s="383" cm="1">
        <f t="array" ref="K38">_xlfn.IFS($E38&lt;='General inputs'!$AB$49,'General inputs'!$AH$49,$E38&lt;='General inputs'!$AB$50,'General inputs'!$AH$50,$E38&lt;='General inputs'!$AB$51,'General inputs'!$AH$51,$E38&gt;'General inputs'!$AB$52,'General inputs'!$AH$52)</f>
        <v>4.33</v>
      </c>
      <c r="O38" s="191"/>
      <c r="T38" s="622"/>
      <c r="U38" s="31" t="s">
        <v>1125</v>
      </c>
      <c r="V38" s="31"/>
      <c r="W38" s="345"/>
      <c r="X38" s="31"/>
      <c r="Y38" s="31"/>
      <c r="Z38" s="331"/>
      <c r="AB38" s="622"/>
      <c r="AC38" s="31" t="s">
        <v>1125</v>
      </c>
      <c r="AD38" s="31"/>
      <c r="AE38" s="345"/>
      <c r="AF38" s="31"/>
      <c r="AG38" s="31"/>
      <c r="AH38" s="331" t="s">
        <v>1126</v>
      </c>
      <c r="AI38" s="195"/>
    </row>
    <row r="39" spans="3:35" x14ac:dyDescent="0.25">
      <c r="C39" s="191">
        <f t="shared" si="1"/>
        <v>11</v>
      </c>
      <c r="D39" s="205" t="s">
        <v>184</v>
      </c>
      <c r="E39" s="266">
        <f t="shared" si="2"/>
        <v>15</v>
      </c>
      <c r="F39" s="205" t="s">
        <v>197</v>
      </c>
      <c r="G39" s="215">
        <f>IF('Scenario Analysis'!$L$23=1,$J39,$K39)/'General inputs'!$R$29</f>
        <v>4.5855855855855854</v>
      </c>
      <c r="H39" s="215">
        <f>H37</f>
        <v>-0.29217680633736359</v>
      </c>
      <c r="J39" s="457" cm="1">
        <f t="array" ref="J39">_xlfn.IFS($E39&lt;='General inputs'!$T$49,'General inputs'!$Z$49,$E39&lt;='General inputs'!$T$50,'General inputs'!$Z$50,$E39&lt;='General inputs'!$T$51,'General inputs'!$Z$51,$E39&gt;'General inputs'!$T$52,'General inputs'!$Z$51)</f>
        <v>5.09</v>
      </c>
      <c r="K39" s="458" cm="1">
        <f t="array" ref="K39">_xlfn.IFS($E39&lt;='General inputs'!$AB$49,'General inputs'!$AH$49,$E39&lt;='General inputs'!$AB$50,'General inputs'!$AH$50,$E39&lt;='General inputs'!$AB$51,'General inputs'!$AH$51,$E39&gt;'General inputs'!$AB$52,'General inputs'!$AH$52)</f>
        <v>5.65</v>
      </c>
      <c r="O39" s="191"/>
      <c r="T39" s="621">
        <f t="shared" ref="T39:T44" si="4">RIGHT(U39,2)*1</f>
        <v>3</v>
      </c>
      <c r="U39" t="s">
        <v>1134</v>
      </c>
      <c r="W39" s="189"/>
      <c r="Z39" s="122">
        <v>2.91</v>
      </c>
      <c r="AB39" s="621">
        <f t="shared" ref="AB39:AB44" si="5">RIGHT(AC39,2)*1</f>
        <v>3</v>
      </c>
      <c r="AC39" t="s">
        <v>1134</v>
      </c>
      <c r="AE39" s="189"/>
      <c r="AH39" s="122">
        <v>3.02</v>
      </c>
      <c r="AI39" s="195"/>
    </row>
    <row r="40" spans="3:35" ht="12" thickBot="1" x14ac:dyDescent="0.3">
      <c r="C40" s="191">
        <f t="shared" si="1"/>
        <v>12</v>
      </c>
      <c r="D40" s="205" t="s">
        <v>184</v>
      </c>
      <c r="E40" s="266">
        <f t="shared" si="2"/>
        <v>25</v>
      </c>
      <c r="F40" s="205" t="s">
        <v>197</v>
      </c>
      <c r="G40" s="215">
        <f>IF('Scenario Analysis'!$L$23=1,$J40,$K40)/'General inputs'!$R$29</f>
        <v>4.5855855855855854</v>
      </c>
      <c r="H40" s="215">
        <f>H37</f>
        <v>-0.29217680633736359</v>
      </c>
      <c r="J40" s="459" cm="1">
        <f t="array" ref="J40">_xlfn.IFS($E40&lt;='General inputs'!$T$49,'General inputs'!$Z$49,$E40&lt;='General inputs'!$T$50,'General inputs'!$Z$50,$E40&lt;='General inputs'!$T$51,'General inputs'!$Z$51,$E40&gt;'General inputs'!$T$52,'General inputs'!$Z$51)</f>
        <v>5.09</v>
      </c>
      <c r="K40" s="460" cm="1">
        <f t="array" ref="K40">_xlfn.IFS($E40&lt;='General inputs'!$AB$49,'General inputs'!$AH$49,$E40&lt;='General inputs'!$AB$50,'General inputs'!$AH$50,$E40&lt;='General inputs'!$AB$51,'General inputs'!$AH$51,$E40&gt;'General inputs'!$AB$52,'General inputs'!$AH$52)</f>
        <v>6.03</v>
      </c>
      <c r="O40" s="191"/>
      <c r="T40" s="621">
        <f t="shared" si="4"/>
        <v>8</v>
      </c>
      <c r="U40" t="s">
        <v>1135</v>
      </c>
      <c r="Z40" s="122">
        <v>3.96</v>
      </c>
      <c r="AB40" s="621">
        <f t="shared" si="5"/>
        <v>8</v>
      </c>
      <c r="AC40" t="s">
        <v>1135</v>
      </c>
      <c r="AH40" s="122">
        <v>4.33</v>
      </c>
      <c r="AI40" s="195"/>
    </row>
    <row r="41" spans="3:35" ht="12" thickTop="1" x14ac:dyDescent="0.25">
      <c r="C41" s="191">
        <f t="shared" si="1"/>
        <v>13</v>
      </c>
      <c r="D41" s="205" t="s">
        <v>184</v>
      </c>
      <c r="E41" s="266">
        <f t="shared" si="2"/>
        <v>2</v>
      </c>
      <c r="F41" s="205" t="s">
        <v>198</v>
      </c>
      <c r="G41" s="215">
        <f>IF('Scenario Analysis'!$L$23=1,$J41,$K41)/'General inputs'!$R$29</f>
        <v>1.8351351351351348</v>
      </c>
      <c r="H41" s="329">
        <f>INDEX('MEC - public transport &amp; cars'!$C$93:$H$95,MATCH($F41,'MEC - public transport &amp; cars'!$C$93:$C$95,0),MATCH($D41,'MEC - public transport &amp; cars'!$C$93:$H$93,0))</f>
        <v>-0.40193149274302742</v>
      </c>
      <c r="I41" s="386"/>
      <c r="J41" s="387">
        <f t="shared" ref="J41:K44" si="6">J37*$K$27</f>
        <v>2.0369999999999999</v>
      </c>
      <c r="K41" s="388">
        <f t="shared" si="6"/>
        <v>2.1139999999999999</v>
      </c>
      <c r="O41" s="191"/>
      <c r="T41" s="621">
        <f t="shared" si="4"/>
        <v>20</v>
      </c>
      <c r="U41" t="s">
        <v>1136</v>
      </c>
      <c r="Z41" s="122">
        <v>5.09</v>
      </c>
      <c r="AB41" s="621">
        <f t="shared" si="5"/>
        <v>20</v>
      </c>
      <c r="AC41" t="s">
        <v>1136</v>
      </c>
      <c r="AH41" s="122">
        <v>5.65</v>
      </c>
      <c r="AI41" s="195"/>
    </row>
    <row r="42" spans="3:35" x14ac:dyDescent="0.25">
      <c r="C42" s="191">
        <f t="shared" si="1"/>
        <v>14</v>
      </c>
      <c r="D42" s="205" t="s">
        <v>184</v>
      </c>
      <c r="E42" s="266">
        <f t="shared" si="2"/>
        <v>5</v>
      </c>
      <c r="F42" s="205" t="s">
        <v>198</v>
      </c>
      <c r="G42" s="215">
        <f>IF('Scenario Analysis'!$L$23=1,$J42,$K42)/'General inputs'!$R$29</f>
        <v>2.4972972972972971</v>
      </c>
      <c r="H42" s="215">
        <f>H41</f>
        <v>-0.40193149274302742</v>
      </c>
      <c r="I42" s="386"/>
      <c r="J42" s="387">
        <f t="shared" si="6"/>
        <v>2.7719999999999998</v>
      </c>
      <c r="K42" s="388">
        <f t="shared" si="6"/>
        <v>3.0309999999999997</v>
      </c>
      <c r="O42" s="191"/>
      <c r="T42" s="621">
        <f t="shared" si="4"/>
        <v>35</v>
      </c>
      <c r="U42" t="s">
        <v>1128</v>
      </c>
      <c r="Z42" s="504">
        <f>ROUND(Z41*AH42/AH41,2)</f>
        <v>5.43</v>
      </c>
      <c r="AB42" s="621">
        <f t="shared" si="5"/>
        <v>35</v>
      </c>
      <c r="AC42" t="s">
        <v>1128</v>
      </c>
      <c r="AH42" s="122">
        <v>6.03</v>
      </c>
      <c r="AI42" s="195"/>
    </row>
    <row r="43" spans="3:35" x14ac:dyDescent="0.25">
      <c r="C43" s="191">
        <f t="shared" si="1"/>
        <v>15</v>
      </c>
      <c r="D43" s="205" t="s">
        <v>184</v>
      </c>
      <c r="E43" s="266">
        <f t="shared" si="2"/>
        <v>15</v>
      </c>
      <c r="F43" s="205" t="s">
        <v>198</v>
      </c>
      <c r="G43" s="215">
        <f>IF('Scenario Analysis'!$L$23=1,$J43,$K43)/'General inputs'!$R$29</f>
        <v>3.2099099099099093</v>
      </c>
      <c r="H43" s="215">
        <f>H41</f>
        <v>-0.40193149274302742</v>
      </c>
      <c r="I43" s="386"/>
      <c r="J43" s="387">
        <f t="shared" si="6"/>
        <v>3.5629999999999997</v>
      </c>
      <c r="K43" s="388">
        <f t="shared" si="6"/>
        <v>3.9550000000000001</v>
      </c>
      <c r="O43" s="191"/>
      <c r="T43" s="621">
        <f t="shared" si="4"/>
        <v>65</v>
      </c>
      <c r="U43" t="s">
        <v>1129</v>
      </c>
      <c r="Z43" s="504">
        <f>ROUND(Z42*AH43/AH42,2)</f>
        <v>7.04</v>
      </c>
      <c r="AB43" s="621">
        <f t="shared" si="5"/>
        <v>65</v>
      </c>
      <c r="AC43" t="s">
        <v>1129</v>
      </c>
      <c r="AH43" s="122">
        <v>7.82</v>
      </c>
      <c r="AI43" s="195"/>
    </row>
    <row r="44" spans="3:35" ht="12" thickBot="1" x14ac:dyDescent="0.3">
      <c r="C44" s="191">
        <f t="shared" si="1"/>
        <v>16</v>
      </c>
      <c r="D44" s="205" t="s">
        <v>184</v>
      </c>
      <c r="E44" s="266">
        <f t="shared" si="2"/>
        <v>25</v>
      </c>
      <c r="F44" s="205" t="s">
        <v>198</v>
      </c>
      <c r="G44" s="215">
        <f>IF('Scenario Analysis'!$L$23=1,$J44,$K44)/'General inputs'!$R$29</f>
        <v>3.2099099099099093</v>
      </c>
      <c r="H44" s="215">
        <f>H41</f>
        <v>-0.40193149274302742</v>
      </c>
      <c r="I44" s="386"/>
      <c r="J44" s="387">
        <f t="shared" si="6"/>
        <v>3.5629999999999997</v>
      </c>
      <c r="K44" s="388">
        <f t="shared" si="6"/>
        <v>4.2210000000000001</v>
      </c>
      <c r="O44" s="191"/>
      <c r="T44" s="621">
        <f t="shared" si="4"/>
        <v>65</v>
      </c>
      <c r="U44" s="197" t="s">
        <v>1131</v>
      </c>
      <c r="V44" s="197"/>
      <c r="W44" s="197"/>
      <c r="X44" s="197"/>
      <c r="Y44" s="197"/>
      <c r="Z44" s="448">
        <f>ROUND(Z43*AH44/AH43,2)</f>
        <v>9.07</v>
      </c>
      <c r="AB44" s="621">
        <f t="shared" si="5"/>
        <v>65</v>
      </c>
      <c r="AC44" s="197" t="s">
        <v>1131</v>
      </c>
      <c r="AD44" s="197"/>
      <c r="AE44" s="197"/>
      <c r="AF44" s="197"/>
      <c r="AG44" s="197"/>
      <c r="AH44" s="315">
        <v>10.08</v>
      </c>
      <c r="AI44" s="195"/>
    </row>
    <row r="45" spans="3:35" ht="12" thickTop="1" x14ac:dyDescent="0.25">
      <c r="C45" s="191">
        <f t="shared" si="1"/>
        <v>17</v>
      </c>
      <c r="D45" s="205" t="s">
        <v>185</v>
      </c>
      <c r="E45" s="266">
        <f t="shared" si="2"/>
        <v>2</v>
      </c>
      <c r="F45" s="205" t="s">
        <v>197</v>
      </c>
      <c r="G45" s="215">
        <f>IF('Scenario Analysis'!$L$23=1,$J45,$K45)/'General inputs'!$R$29</f>
        <v>5.8378378378378377</v>
      </c>
      <c r="H45" s="329">
        <f>INDEX('MEC - public transport &amp; cars'!$C$93:$H$95,MATCH($F45,'MEC - public transport &amp; cars'!$C$93:$C$95,0),MATCH($D45,'MEC - public transport &amp; cars'!$C$93:$H$93,0))</f>
        <v>-0.39962375781751658</v>
      </c>
      <c r="J45" s="167" cm="1">
        <f t="array" ref="J45">_xlfn.IFS($E45&lt;='General inputs'!$T$57,'General inputs'!$Z$57,$E45&gt;'General inputs'!$T$58,'General inputs'!$Z$58)</f>
        <v>6.48</v>
      </c>
      <c r="K45" s="270" cm="1">
        <f t="array" ref="K45">_xlfn.IFS($E45&lt;='General inputs'!$AB$57,'General inputs'!$AH$57,$E45&gt;'General inputs'!$AB$58,'General inputs'!$AH$58)</f>
        <v>6.97</v>
      </c>
      <c r="O45" s="191"/>
      <c r="T45" s="621"/>
      <c r="AB45" s="621"/>
      <c r="AI45" s="195"/>
    </row>
    <row r="46" spans="3:35" x14ac:dyDescent="0.25">
      <c r="C46" s="191">
        <f t="shared" si="1"/>
        <v>18</v>
      </c>
      <c r="D46" s="205" t="s">
        <v>185</v>
      </c>
      <c r="E46" s="266">
        <f t="shared" si="2"/>
        <v>5</v>
      </c>
      <c r="F46" s="205" t="s">
        <v>197</v>
      </c>
      <c r="G46" s="215">
        <f>IF('Scenario Analysis'!$L$23=1,$J46,$K46)/'General inputs'!$R$29</f>
        <v>5.8378378378378377</v>
      </c>
      <c r="H46" s="215">
        <f>H45</f>
        <v>-0.39962375781751658</v>
      </c>
      <c r="J46" s="215" cm="1">
        <f t="array" ref="J46">_xlfn.IFS($E46&lt;='General inputs'!$T$57,'General inputs'!$Z$57,$E46&gt;'General inputs'!$T$58,'General inputs'!$Z$58)</f>
        <v>6.48</v>
      </c>
      <c r="K46" s="216" cm="1">
        <f t="array" ref="K46">_xlfn.IFS($E46&lt;='General inputs'!$AB$57,'General inputs'!$AH$57,$E46&gt;'General inputs'!$AB$58,'General inputs'!$AH$58)</f>
        <v>6.97</v>
      </c>
      <c r="O46" s="191"/>
      <c r="T46" s="621"/>
      <c r="AB46" s="621"/>
      <c r="AI46" s="195"/>
    </row>
    <row r="47" spans="3:35" x14ac:dyDescent="0.25">
      <c r="C47" s="191">
        <f t="shared" si="1"/>
        <v>19</v>
      </c>
      <c r="D47" s="205" t="s">
        <v>185</v>
      </c>
      <c r="E47" s="266">
        <f t="shared" si="2"/>
        <v>15</v>
      </c>
      <c r="F47" s="205" t="s">
        <v>197</v>
      </c>
      <c r="G47" s="215">
        <f>IF('Scenario Analysis'!$L$23=1,$J47,$K47)/'General inputs'!$R$29</f>
        <v>7.306306306306305</v>
      </c>
      <c r="H47" s="215">
        <f>H45</f>
        <v>-0.39962375781751658</v>
      </c>
      <c r="J47" s="454" cm="1">
        <f t="array" ref="J47">_xlfn.IFS($E47&lt;='General inputs'!$T$57,'General inputs'!$Z$57,$E47&gt;'General inputs'!$T$58,'General inputs'!$Z$58)</f>
        <v>8.11</v>
      </c>
      <c r="K47" s="450" cm="1">
        <f t="array" ref="K47">_xlfn.IFS($E47&lt;='General inputs'!$AB$57,'General inputs'!$AH$57,$E47&gt;'General inputs'!$AB$58,'General inputs'!$AH$58)</f>
        <v>8.66</v>
      </c>
      <c r="O47" s="191"/>
      <c r="T47" s="621"/>
      <c r="U47" s="42" t="s">
        <v>1151</v>
      </c>
      <c r="Z47" s="163"/>
      <c r="AB47" s="621"/>
      <c r="AC47" s="42" t="s">
        <v>1151</v>
      </c>
      <c r="AH47" s="163"/>
      <c r="AI47" s="195"/>
    </row>
    <row r="48" spans="3:35" ht="12" thickBot="1" x14ac:dyDescent="0.3">
      <c r="C48" s="191">
        <f t="shared" si="1"/>
        <v>20</v>
      </c>
      <c r="D48" s="205" t="s">
        <v>185</v>
      </c>
      <c r="E48" s="266">
        <f t="shared" si="2"/>
        <v>25</v>
      </c>
      <c r="F48" s="205" t="s">
        <v>197</v>
      </c>
      <c r="G48" s="215">
        <f>IF('Scenario Analysis'!$L$23=1,$J48,$K48)/'General inputs'!$R$29</f>
        <v>7.306306306306305</v>
      </c>
      <c r="H48" s="215">
        <f>H45</f>
        <v>-0.39962375781751658</v>
      </c>
      <c r="J48" s="455" cm="1">
        <f t="array" ref="J48">_xlfn.IFS($E48&lt;='General inputs'!$T$57,'General inputs'!$Z$57,$E48&gt;'General inputs'!$T$58,'General inputs'!$Z$58)</f>
        <v>8.11</v>
      </c>
      <c r="K48" s="451" cm="1">
        <f t="array" ref="K48">_xlfn.IFS($E48&lt;='General inputs'!$AB$57,'General inputs'!$AH$57,$E48&gt;'General inputs'!$AB$58,'General inputs'!$AH$58)</f>
        <v>8.66</v>
      </c>
      <c r="O48" s="191"/>
      <c r="T48" s="622"/>
      <c r="U48" s="31" t="s">
        <v>1125</v>
      </c>
      <c r="V48" s="31"/>
      <c r="W48" s="345"/>
      <c r="X48" s="31"/>
      <c r="Y48" s="31"/>
      <c r="Z48" s="331"/>
      <c r="AB48" s="622"/>
      <c r="AC48" s="31" t="s">
        <v>1125</v>
      </c>
      <c r="AD48" s="31"/>
      <c r="AE48" s="345"/>
      <c r="AF48" s="31"/>
      <c r="AG48" s="31"/>
      <c r="AH48" s="331" t="s">
        <v>1126</v>
      </c>
      <c r="AI48" s="195"/>
    </row>
    <row r="49" spans="3:35" ht="12" thickTop="1" x14ac:dyDescent="0.25">
      <c r="C49" s="191">
        <f t="shared" si="1"/>
        <v>21</v>
      </c>
      <c r="D49" s="205" t="s">
        <v>185</v>
      </c>
      <c r="E49" s="266">
        <f t="shared" si="2"/>
        <v>2</v>
      </c>
      <c r="F49" s="205" t="s">
        <v>198</v>
      </c>
      <c r="G49" s="215">
        <f>IF('Scenario Analysis'!$L$23=1,$J49,$K49)/'General inputs'!$R$29</f>
        <v>5.8378378378378377</v>
      </c>
      <c r="H49" s="329">
        <f>INDEX('MEC - public transport &amp; cars'!$C$93:$H$95,MATCH($F49,'MEC - public transport &amp; cars'!$C$93:$C$95,0),MATCH($D49,'MEC - public transport &amp; cars'!$C$93:$H$93,0))</f>
        <v>-0.51869247931579432</v>
      </c>
      <c r="I49" s="386"/>
      <c r="J49" s="164">
        <f t="shared" ref="J49:K52" si="7">J45</f>
        <v>6.48</v>
      </c>
      <c r="K49" s="452">
        <f t="shared" si="7"/>
        <v>6.97</v>
      </c>
      <c r="O49" s="191"/>
      <c r="T49" s="621">
        <f>RIGHT(U49,2)*1</f>
        <v>3</v>
      </c>
      <c r="U49" t="s">
        <v>1134</v>
      </c>
      <c r="W49" s="189"/>
      <c r="Z49" s="122">
        <v>2.91</v>
      </c>
      <c r="AB49" s="621">
        <f>RIGHT(AC49,2)*1</f>
        <v>3</v>
      </c>
      <c r="AC49" t="s">
        <v>1134</v>
      </c>
      <c r="AE49" s="189"/>
      <c r="AH49" s="122">
        <v>3.02</v>
      </c>
      <c r="AI49" s="195"/>
    </row>
    <row r="50" spans="3:35" x14ac:dyDescent="0.25">
      <c r="C50" s="191">
        <f t="shared" si="1"/>
        <v>22</v>
      </c>
      <c r="D50" s="205" t="s">
        <v>185</v>
      </c>
      <c r="E50" s="266">
        <f t="shared" si="2"/>
        <v>5</v>
      </c>
      <c r="F50" s="205" t="s">
        <v>198</v>
      </c>
      <c r="G50" s="215">
        <f>IF('Scenario Analysis'!$L$23=1,$J50,$K50)/'General inputs'!$R$29</f>
        <v>5.8378378378378377</v>
      </c>
      <c r="H50" s="215">
        <f>H49</f>
        <v>-0.51869247931579432</v>
      </c>
      <c r="I50" s="386"/>
      <c r="J50" s="164">
        <f t="shared" si="7"/>
        <v>6.48</v>
      </c>
      <c r="K50" s="291">
        <f t="shared" si="7"/>
        <v>6.97</v>
      </c>
      <c r="O50" s="191"/>
      <c r="T50" s="621">
        <f>RIGHT(U50,2)*1</f>
        <v>8</v>
      </c>
      <c r="U50" t="s">
        <v>1135</v>
      </c>
      <c r="Z50" s="122">
        <v>3.96</v>
      </c>
      <c r="AB50" s="621">
        <f>RIGHT(AC50,2)*1</f>
        <v>8</v>
      </c>
      <c r="AC50" t="s">
        <v>1135</v>
      </c>
      <c r="AH50" s="122">
        <v>4.33</v>
      </c>
      <c r="AI50" s="195"/>
    </row>
    <row r="51" spans="3:35" x14ac:dyDescent="0.25">
      <c r="C51" s="191">
        <f t="shared" si="1"/>
        <v>23</v>
      </c>
      <c r="D51" s="205" t="s">
        <v>185</v>
      </c>
      <c r="E51" s="266">
        <f t="shared" si="2"/>
        <v>15</v>
      </c>
      <c r="F51" s="205" t="s">
        <v>198</v>
      </c>
      <c r="G51" s="215">
        <f>IF('Scenario Analysis'!$L$23=1,$J51,$K51)/'General inputs'!$R$29</f>
        <v>7.306306306306305</v>
      </c>
      <c r="H51" s="215">
        <f>H49</f>
        <v>-0.51869247931579432</v>
      </c>
      <c r="I51" s="386"/>
      <c r="J51" s="164">
        <f t="shared" si="7"/>
        <v>8.11</v>
      </c>
      <c r="K51" s="291">
        <f t="shared" si="7"/>
        <v>8.66</v>
      </c>
      <c r="O51" s="191"/>
      <c r="T51" s="621">
        <f>RIGHT(U51,2)*1</f>
        <v>20</v>
      </c>
      <c r="U51" t="s">
        <v>1136</v>
      </c>
      <c r="Z51" s="122">
        <v>5.09</v>
      </c>
      <c r="AB51" s="621">
        <f>RIGHT(AC51,2)*1</f>
        <v>20</v>
      </c>
      <c r="AC51" t="s">
        <v>1136</v>
      </c>
      <c r="AH51" s="122">
        <v>5.65</v>
      </c>
      <c r="AI51" s="195"/>
    </row>
    <row r="52" spans="3:35" ht="12" thickBot="1" x14ac:dyDescent="0.3">
      <c r="C52" s="191">
        <f t="shared" si="1"/>
        <v>24</v>
      </c>
      <c r="D52" s="205" t="s">
        <v>185</v>
      </c>
      <c r="E52" s="266">
        <f t="shared" si="2"/>
        <v>25</v>
      </c>
      <c r="F52" s="205" t="s">
        <v>198</v>
      </c>
      <c r="G52" s="215">
        <f>IF('Scenario Analysis'!$L$23=1,$J52,$K52)/'General inputs'!$R$29</f>
        <v>7.306306306306305</v>
      </c>
      <c r="H52" s="215">
        <f>H49</f>
        <v>-0.51869247931579432</v>
      </c>
      <c r="I52" s="386"/>
      <c r="J52" s="455">
        <f t="shared" si="7"/>
        <v>8.11</v>
      </c>
      <c r="K52" s="451">
        <f t="shared" si="7"/>
        <v>8.66</v>
      </c>
      <c r="O52" s="191"/>
      <c r="T52" s="621">
        <f>RIGHT(U52,2)*1</f>
        <v>20</v>
      </c>
      <c r="U52" s="197" t="s">
        <v>1137</v>
      </c>
      <c r="V52" s="197"/>
      <c r="W52" s="197"/>
      <c r="X52" s="197"/>
      <c r="Y52" s="197"/>
      <c r="Z52" s="448">
        <f>ROUND(Z51*AH52/AH51,2)</f>
        <v>5.43</v>
      </c>
      <c r="AB52" s="621">
        <f>RIGHT(AC52,2)*1</f>
        <v>20</v>
      </c>
      <c r="AC52" s="197" t="s">
        <v>1137</v>
      </c>
      <c r="AD52" s="197"/>
      <c r="AE52" s="197"/>
      <c r="AF52" s="197"/>
      <c r="AG52" s="197"/>
      <c r="AH52" s="315">
        <v>6.03</v>
      </c>
      <c r="AI52" s="195"/>
    </row>
    <row r="53" spans="3:35" ht="12" thickTop="1" x14ac:dyDescent="0.25">
      <c r="C53" s="191">
        <f t="shared" si="1"/>
        <v>25</v>
      </c>
      <c r="D53" s="205" t="s">
        <v>186</v>
      </c>
      <c r="E53" s="266">
        <f t="shared" si="2"/>
        <v>2</v>
      </c>
      <c r="F53" s="205" t="s">
        <v>197</v>
      </c>
      <c r="G53" s="215">
        <f>IF('Scenario Analysis'!$L$23=1,$J53,$K53)/'General inputs'!$R$29</f>
        <v>2.6216216216216215</v>
      </c>
      <c r="H53" s="329">
        <f>INDEX('MEC - public transport &amp; cars'!$C$93:$H$95,MATCH($F53,'MEC - public transport &amp; cars'!$C$93:$C$95,0),MATCH($D53,'MEC - public transport &amp; cars'!$C$93:$H$93,0))</f>
        <v>-0.36214456016438729</v>
      </c>
      <c r="J53" s="461" cm="1">
        <f t="array" ref="J53">_xlfn.IFS($E53&lt;='General inputs'!$T$39,'General inputs'!$Z$39,$E53&lt;='General inputs'!$T$40,'General inputs'!$Z$40,$E53&lt;='General inputs'!$T$41,'General inputs'!$Z$41,$E53&gt;'General inputs'!$T$41,'General inputs'!$Z$41)</f>
        <v>2.91</v>
      </c>
      <c r="K53" s="462" cm="1">
        <f t="array" ref="K53">_xlfn.IFS($E53&lt;='General inputs'!$AB$39,'General inputs'!$AH$39,$E53&lt;='General inputs'!$AB$40,'General inputs'!$AH$40,$E53&lt;='General inputs'!$AB$41,'General inputs'!$AH$41,$E53&lt;='General inputs'!$AB$42,'General inputs'!$AH$42,$E53&lt;='General inputs'!$AB$43,'General inputs'!$AH$43,$E53&gt;'General inputs'!$AB$44,'General inputs'!$AH$44)</f>
        <v>3.02</v>
      </c>
      <c r="O53" s="191"/>
      <c r="T53" s="621"/>
      <c r="AB53" s="621"/>
      <c r="AI53" s="195"/>
    </row>
    <row r="54" spans="3:35" x14ac:dyDescent="0.25">
      <c r="C54" s="191">
        <f t="shared" si="1"/>
        <v>26</v>
      </c>
      <c r="D54" s="205" t="s">
        <v>186</v>
      </c>
      <c r="E54" s="266">
        <f t="shared" si="2"/>
        <v>5</v>
      </c>
      <c r="F54" s="205" t="s">
        <v>197</v>
      </c>
      <c r="G54" s="215">
        <f>IF('Scenario Analysis'!$L$23=1,$J54,$K54)/'General inputs'!$R$29</f>
        <v>3.5675675675675671</v>
      </c>
      <c r="H54" s="215">
        <f>H53</f>
        <v>-0.36214456016438729</v>
      </c>
      <c r="J54" s="269" cm="1">
        <f t="array" ref="J54">_xlfn.IFS($E54&lt;='General inputs'!$T$39,'General inputs'!$Z$39,$E54&lt;='General inputs'!$T$40,'General inputs'!$Z$40,$E54&lt;='General inputs'!$T$41,'General inputs'!$Z$41,$E54&gt;'General inputs'!$T$41,'General inputs'!$Z$41)</f>
        <v>3.96</v>
      </c>
      <c r="K54" s="216" cm="1">
        <f t="array" ref="K54">_xlfn.IFS($E54&lt;='General inputs'!$AB$39,'General inputs'!$AH$39,$E54&lt;='General inputs'!$AB$40,'General inputs'!$AH$40,$E54&lt;='General inputs'!$AB$41,'General inputs'!$AH$41,$E54&lt;='General inputs'!$AB$42,'General inputs'!$AH$42,$E54&lt;='General inputs'!$AB$43,'General inputs'!$AH$43,$E54&gt;'General inputs'!$AB$44,'General inputs'!$AH$44)</f>
        <v>4.33</v>
      </c>
      <c r="O54" s="191"/>
      <c r="T54" s="621"/>
      <c r="AB54" s="621"/>
      <c r="AI54" s="195"/>
    </row>
    <row r="55" spans="3:35" x14ac:dyDescent="0.25">
      <c r="C55" s="191">
        <f t="shared" si="1"/>
        <v>27</v>
      </c>
      <c r="D55" s="205" t="s">
        <v>186</v>
      </c>
      <c r="E55" s="266">
        <f t="shared" si="2"/>
        <v>15</v>
      </c>
      <c r="F55" s="205" t="s">
        <v>197</v>
      </c>
      <c r="G55" s="215">
        <f>IF('Scenario Analysis'!$L$23=1,$J55,$K55)/'General inputs'!$R$29</f>
        <v>4.5855855855855854</v>
      </c>
      <c r="H55" s="215">
        <f>H53</f>
        <v>-0.36214456016438729</v>
      </c>
      <c r="J55" s="457" cm="1">
        <f t="array" ref="J55">_xlfn.IFS($E55&lt;='General inputs'!$T$39,'General inputs'!$Z$39,$E55&lt;='General inputs'!$T$40,'General inputs'!$Z$40,$E55&lt;='General inputs'!$T$41,'General inputs'!$Z$41,$E55&gt;'General inputs'!$T$41,'General inputs'!$Z$41)</f>
        <v>5.09</v>
      </c>
      <c r="K55" s="450" cm="1">
        <f t="array" ref="K55">_xlfn.IFS($E55&lt;='General inputs'!$AB$39,'General inputs'!$AH$39,$E55&lt;='General inputs'!$AB$40,'General inputs'!$AH$40,$E55&lt;='General inputs'!$AB$41,'General inputs'!$AH$41,$E55&lt;='General inputs'!$AB$42,'General inputs'!$AH$42,$E55&lt;='General inputs'!$AB$43,'General inputs'!$AH$43,$E55&gt;'General inputs'!$AB$44,'General inputs'!$AH$44)</f>
        <v>5.65</v>
      </c>
      <c r="O55" s="191"/>
      <c r="T55" s="621"/>
      <c r="U55" s="42" t="s">
        <v>1150</v>
      </c>
      <c r="AB55" s="621"/>
      <c r="AC55" s="42" t="s">
        <v>1150</v>
      </c>
      <c r="AI55" s="195"/>
    </row>
    <row r="56" spans="3:35" ht="12" thickBot="1" x14ac:dyDescent="0.3">
      <c r="C56" s="191">
        <f t="shared" si="1"/>
        <v>28</v>
      </c>
      <c r="D56" s="205" t="s">
        <v>186</v>
      </c>
      <c r="E56" s="266">
        <f t="shared" si="2"/>
        <v>25</v>
      </c>
      <c r="F56" s="205" t="s">
        <v>197</v>
      </c>
      <c r="G56" s="215">
        <f>IF('Scenario Analysis'!$L$23=1,$J56,$K56)/'General inputs'!$R$29</f>
        <v>4.5855855855855854</v>
      </c>
      <c r="H56" s="215">
        <f>H53</f>
        <v>-0.36214456016438729</v>
      </c>
      <c r="J56" s="459" cm="1">
        <f t="array" ref="J56">_xlfn.IFS($E56&lt;='General inputs'!$T$39,'General inputs'!$Z$39,$E56&lt;='General inputs'!$T$40,'General inputs'!$Z$40,$E56&lt;='General inputs'!$T$41,'General inputs'!$Z$41,$E56&gt;'General inputs'!$T$41,'General inputs'!$Z$41)</f>
        <v>5.09</v>
      </c>
      <c r="K56" s="451" cm="1">
        <f t="array" ref="K56">_xlfn.IFS($E56&lt;='General inputs'!$AB$39,'General inputs'!$AH$39,$E56&lt;='General inputs'!$AB$40,'General inputs'!$AH$40,$E56&lt;='General inputs'!$AB$41,'General inputs'!$AH$41,$E56&lt;='General inputs'!$AB$42,'General inputs'!$AH$42,$E56&lt;='General inputs'!$AB$43,'General inputs'!$AH$43,$E56&gt;'General inputs'!$AB$44,'General inputs'!$AH$44)</f>
        <v>6.03</v>
      </c>
      <c r="O56" s="191"/>
      <c r="T56" s="622"/>
      <c r="U56" s="31" t="s">
        <v>1125</v>
      </c>
      <c r="V56" s="31"/>
      <c r="W56" s="345"/>
      <c r="X56" s="31"/>
      <c r="Y56" s="31"/>
      <c r="Z56" s="331"/>
      <c r="AB56" s="622"/>
      <c r="AC56" s="31" t="s">
        <v>1125</v>
      </c>
      <c r="AD56" s="31"/>
      <c r="AE56" s="345"/>
      <c r="AF56" s="31"/>
      <c r="AG56" s="31"/>
      <c r="AH56" s="331" t="s">
        <v>1126</v>
      </c>
      <c r="AI56" s="195"/>
    </row>
    <row r="57" spans="3:35" ht="12" thickTop="1" x14ac:dyDescent="0.25">
      <c r="C57" s="191">
        <f t="shared" si="1"/>
        <v>29</v>
      </c>
      <c r="D57" s="205" t="s">
        <v>186</v>
      </c>
      <c r="E57" s="266">
        <f t="shared" si="2"/>
        <v>2</v>
      </c>
      <c r="F57" s="205" t="s">
        <v>198</v>
      </c>
      <c r="G57" s="215">
        <f>IF('Scenario Analysis'!$L$23=1,$J57,$K57)/'General inputs'!$R$29</f>
        <v>1.8351351351351348</v>
      </c>
      <c r="H57" s="329">
        <f>INDEX('MEC - public transport &amp; cars'!$C$93:$H$95,MATCH($F57,'MEC - public transport &amp; cars'!$C$93:$C$95,0),MATCH($D57,'MEC - public transport &amp; cars'!$C$93:$H$93,0))</f>
        <v>-0.45003021222685446</v>
      </c>
      <c r="I57" s="386"/>
      <c r="J57" s="164">
        <f t="shared" ref="J57:K60" si="8">J53*$K$27</f>
        <v>2.0369999999999999</v>
      </c>
      <c r="K57" s="291">
        <f t="shared" si="8"/>
        <v>2.1139999999999999</v>
      </c>
      <c r="O57" s="191"/>
      <c r="T57" s="621">
        <f>RIGHT(U57,2)*1</f>
        <v>9</v>
      </c>
      <c r="U57" t="s">
        <v>1132</v>
      </c>
      <c r="W57" s="189"/>
      <c r="Z57" s="122">
        <v>6.48</v>
      </c>
      <c r="AA57" s="164"/>
      <c r="AB57" s="621">
        <f>RIGHT(AC57,2)*1</f>
        <v>9</v>
      </c>
      <c r="AC57" t="s">
        <v>1132</v>
      </c>
      <c r="AE57" s="189"/>
      <c r="AH57" s="122">
        <v>6.97</v>
      </c>
      <c r="AI57" s="195"/>
    </row>
    <row r="58" spans="3:35" x14ac:dyDescent="0.25">
      <c r="C58" s="191">
        <f t="shared" si="1"/>
        <v>30</v>
      </c>
      <c r="D58" s="205" t="s">
        <v>186</v>
      </c>
      <c r="E58" s="266">
        <f t="shared" si="2"/>
        <v>5</v>
      </c>
      <c r="F58" s="205" t="s">
        <v>198</v>
      </c>
      <c r="G58" s="215">
        <f>IF('Scenario Analysis'!$L$23=1,$J58,$K58)/'General inputs'!$R$29</f>
        <v>2.4972972972972971</v>
      </c>
      <c r="H58" s="215">
        <f>H57</f>
        <v>-0.45003021222685446</v>
      </c>
      <c r="I58" s="386"/>
      <c r="J58" s="164">
        <f t="shared" si="8"/>
        <v>2.7719999999999998</v>
      </c>
      <c r="K58" s="291">
        <f t="shared" si="8"/>
        <v>3.0309999999999997</v>
      </c>
      <c r="O58" s="191"/>
      <c r="T58" s="621">
        <f>RIGHT(U58,2)*1</f>
        <v>9</v>
      </c>
      <c r="U58" s="197" t="s">
        <v>1133</v>
      </c>
      <c r="V58" s="197"/>
      <c r="W58" s="197"/>
      <c r="X58" s="197"/>
      <c r="Y58" s="197"/>
      <c r="Z58" s="315">
        <v>8.11</v>
      </c>
      <c r="AA58" s="164"/>
      <c r="AB58" s="621">
        <f>RIGHT(AC58,2)*1</f>
        <v>9</v>
      </c>
      <c r="AC58" s="197" t="s">
        <v>1133</v>
      </c>
      <c r="AD58" s="197"/>
      <c r="AE58" s="197"/>
      <c r="AF58" s="197"/>
      <c r="AG58" s="197"/>
      <c r="AH58" s="315">
        <v>8.66</v>
      </c>
      <c r="AI58" s="195"/>
    </row>
    <row r="59" spans="3:35" x14ac:dyDescent="0.25">
      <c r="C59" s="191">
        <f t="shared" si="1"/>
        <v>31</v>
      </c>
      <c r="D59" s="205" t="s">
        <v>186</v>
      </c>
      <c r="E59" s="266">
        <f t="shared" si="2"/>
        <v>15</v>
      </c>
      <c r="F59" s="205" t="s">
        <v>198</v>
      </c>
      <c r="G59" s="215">
        <f>IF('Scenario Analysis'!$L$23=1,$J59,$K59)/'General inputs'!$R$29</f>
        <v>3.2099099099099093</v>
      </c>
      <c r="H59" s="215">
        <f>H57</f>
        <v>-0.45003021222685446</v>
      </c>
      <c r="I59" s="386"/>
      <c r="J59" s="164">
        <f t="shared" si="8"/>
        <v>3.5629999999999997</v>
      </c>
      <c r="K59" s="291">
        <f t="shared" si="8"/>
        <v>3.9550000000000001</v>
      </c>
      <c r="O59" s="191"/>
      <c r="T59" s="621"/>
      <c r="AB59" s="621"/>
      <c r="AI59" s="195"/>
    </row>
    <row r="60" spans="3:35" x14ac:dyDescent="0.25">
      <c r="C60" s="191">
        <f t="shared" si="1"/>
        <v>32</v>
      </c>
      <c r="D60" s="205" t="s">
        <v>186</v>
      </c>
      <c r="E60" s="266">
        <f t="shared" si="2"/>
        <v>25</v>
      </c>
      <c r="F60" s="205" t="s">
        <v>198</v>
      </c>
      <c r="G60" s="215">
        <f>IF('Scenario Analysis'!$L$23=1,$J60,$K60)/'General inputs'!$R$29</f>
        <v>3.2099099099099093</v>
      </c>
      <c r="H60" s="215">
        <f>H57</f>
        <v>-0.45003021222685446</v>
      </c>
      <c r="I60" s="386"/>
      <c r="J60" s="164">
        <f t="shared" si="8"/>
        <v>3.5629999999999997</v>
      </c>
      <c r="K60" s="291">
        <f t="shared" si="8"/>
        <v>4.2210000000000001</v>
      </c>
      <c r="O60" s="191"/>
      <c r="T60" s="621"/>
      <c r="AB60" s="621"/>
      <c r="AI60" s="195"/>
    </row>
    <row r="61" spans="3:35" x14ac:dyDescent="0.25">
      <c r="C61" s="196"/>
      <c r="D61" s="197"/>
      <c r="E61" s="197"/>
      <c r="F61" s="197"/>
      <c r="G61" s="197"/>
      <c r="H61" s="197"/>
      <c r="I61" s="197"/>
      <c r="J61" s="197"/>
      <c r="K61" s="198"/>
      <c r="O61" s="191"/>
      <c r="T61" s="621"/>
      <c r="U61" s="42" t="s">
        <v>1148</v>
      </c>
      <c r="AB61" s="621"/>
      <c r="AC61" s="42" t="s">
        <v>1148</v>
      </c>
      <c r="AI61" s="195"/>
    </row>
    <row r="62" spans="3:35" x14ac:dyDescent="0.25">
      <c r="O62" s="191"/>
      <c r="T62" s="622"/>
      <c r="U62" s="31" t="s">
        <v>1125</v>
      </c>
      <c r="V62" s="31"/>
      <c r="W62" s="345"/>
      <c r="X62" s="31"/>
      <c r="Y62" s="31"/>
      <c r="Z62" s="331"/>
      <c r="AB62" s="622"/>
      <c r="AC62" s="31" t="s">
        <v>1125</v>
      </c>
      <c r="AD62" s="31"/>
      <c r="AE62" s="345"/>
      <c r="AF62" s="31"/>
      <c r="AG62" s="31"/>
      <c r="AH62" s="331"/>
      <c r="AI62" s="195"/>
    </row>
    <row r="63" spans="3:35" x14ac:dyDescent="0.25">
      <c r="O63" s="191"/>
      <c r="T63" s="621">
        <f>RIGHT(U63,2)*1</f>
        <v>9</v>
      </c>
      <c r="U63" s="197" t="s">
        <v>1132</v>
      </c>
      <c r="V63" s="197"/>
      <c r="W63" s="197"/>
      <c r="X63" s="197"/>
      <c r="Y63" s="197"/>
      <c r="Z63" s="315">
        <v>2.91</v>
      </c>
      <c r="AA63" s="164"/>
      <c r="AB63" s="621">
        <f>RIGHT(AC63,2)*1</f>
        <v>9</v>
      </c>
      <c r="AC63" s="197" t="s">
        <v>1132</v>
      </c>
      <c r="AD63" s="197"/>
      <c r="AE63" s="197"/>
      <c r="AF63" s="197"/>
      <c r="AG63" s="197"/>
      <c r="AH63" s="315">
        <v>3.02</v>
      </c>
      <c r="AI63" s="195"/>
    </row>
    <row r="64" spans="3:35" ht="15.5" x14ac:dyDescent="0.35">
      <c r="C64" s="43" t="str">
        <f>C9</f>
        <v>Table 2 - Key fixed parameters</v>
      </c>
      <c r="O64" s="196"/>
      <c r="P64" s="197"/>
      <c r="Q64" s="197"/>
      <c r="R64" s="197"/>
      <c r="S64" s="197"/>
      <c r="T64" s="197"/>
      <c r="U64" s="197"/>
      <c r="V64" s="197"/>
      <c r="W64" s="197"/>
      <c r="X64" s="197"/>
      <c r="Y64" s="197"/>
      <c r="Z64" s="197"/>
      <c r="AA64" s="197"/>
      <c r="AB64" s="197"/>
      <c r="AC64" s="197"/>
      <c r="AD64" s="197"/>
      <c r="AE64" s="197"/>
      <c r="AF64" s="197"/>
      <c r="AG64" s="197"/>
      <c r="AH64" s="197"/>
      <c r="AI64" s="198"/>
    </row>
    <row r="65" spans="3:22" x14ac:dyDescent="0.25">
      <c r="C65" s="188"/>
      <c r="D65" s="189"/>
      <c r="E65" s="189"/>
      <c r="F65" s="189"/>
      <c r="G65" s="189"/>
      <c r="H65" s="190"/>
    </row>
    <row r="66" spans="3:22" x14ac:dyDescent="0.25">
      <c r="C66" s="191" t="s">
        <v>1123</v>
      </c>
      <c r="F66" s="210">
        <v>0.08</v>
      </c>
      <c r="H66" s="195"/>
      <c r="K66" s="162" t="s">
        <v>1513</v>
      </c>
    </row>
    <row r="67" spans="3:22" x14ac:dyDescent="0.25">
      <c r="C67" s="191"/>
      <c r="F67" s="1"/>
      <c r="H67" s="195"/>
      <c r="O67" s="453"/>
      <c r="V67" s="453"/>
    </row>
    <row r="68" spans="3:22" x14ac:dyDescent="0.25">
      <c r="C68" s="191" t="s">
        <v>172</v>
      </c>
      <c r="F68" s="210">
        <v>0.06</v>
      </c>
      <c r="H68" s="195"/>
      <c r="K68" s="162" t="s">
        <v>1514</v>
      </c>
      <c r="O68" s="453"/>
      <c r="V68" s="453"/>
    </row>
    <row r="69" spans="3:22" x14ac:dyDescent="0.25">
      <c r="C69" s="196"/>
      <c r="D69" s="197"/>
      <c r="E69" s="197"/>
      <c r="F69" s="197"/>
      <c r="G69" s="197"/>
      <c r="H69" s="198"/>
    </row>
    <row r="72" spans="3:22" ht="15.5" x14ac:dyDescent="0.35">
      <c r="C72" s="43" t="str">
        <f>C10</f>
        <v>Table 3 - Emissions externalities ($2022-23)</v>
      </c>
    </row>
    <row r="73" spans="3:22" x14ac:dyDescent="0.25">
      <c r="C73" s="188"/>
      <c r="D73" s="189"/>
      <c r="E73" s="189"/>
      <c r="F73" s="189"/>
      <c r="G73" s="189"/>
      <c r="H73" s="190"/>
      <c r="I73" s="191"/>
    </row>
    <row r="74" spans="3:22" x14ac:dyDescent="0.25">
      <c r="C74" s="191" t="s">
        <v>187</v>
      </c>
      <c r="D74" t="s">
        <v>230</v>
      </c>
      <c r="F74" s="215">
        <f>G74*(CPI!F14/CPI!F10)</f>
        <v>3.9248170731707317</v>
      </c>
      <c r="G74" s="122">
        <v>3.37</v>
      </c>
      <c r="H74" t="s">
        <v>178</v>
      </c>
      <c r="K74" s="162" t="s">
        <v>180</v>
      </c>
    </row>
    <row r="75" spans="3:22" x14ac:dyDescent="0.25">
      <c r="C75" s="191"/>
      <c r="D75" t="s">
        <v>1292</v>
      </c>
      <c r="F75" s="329">
        <f>'Scenario Analysis'!I85</f>
        <v>2.61</v>
      </c>
      <c r="G75" t="s">
        <v>178</v>
      </c>
      <c r="H75" s="195"/>
      <c r="I75" s="191"/>
    </row>
    <row r="76" spans="3:22" x14ac:dyDescent="0.25">
      <c r="C76" s="191"/>
      <c r="D76" t="s">
        <v>231</v>
      </c>
      <c r="F76" s="329">
        <f>'Scenario Analysis'!I89</f>
        <v>1.2</v>
      </c>
      <c r="G76" t="s">
        <v>179</v>
      </c>
      <c r="H76" s="195"/>
      <c r="I76" s="191"/>
    </row>
    <row r="77" spans="3:22" x14ac:dyDescent="0.25">
      <c r="C77" s="191"/>
      <c r="D77" t="s">
        <v>1120</v>
      </c>
      <c r="F77">
        <f>(F74+F75)/F76/100</f>
        <v>5.4456808943089435E-2</v>
      </c>
      <c r="G77" t="s">
        <v>177</v>
      </c>
      <c r="H77" s="195"/>
    </row>
    <row r="78" spans="3:22" x14ac:dyDescent="0.25">
      <c r="C78" s="196"/>
      <c r="D78" s="197"/>
      <c r="E78" s="197"/>
      <c r="F78" s="197"/>
      <c r="G78" s="197"/>
      <c r="H78" s="198"/>
      <c r="I78" s="191"/>
    </row>
    <row r="81" spans="2:36" ht="28" x14ac:dyDescent="0.7">
      <c r="C81" s="43" t="str">
        <f>C11</f>
        <v>Table 4 - Time-of-day shift (same mode &amp; distance)</v>
      </c>
      <c r="I81" s="168" t="s">
        <v>196</v>
      </c>
    </row>
    <row r="82" spans="2:36" x14ac:dyDescent="0.25">
      <c r="C82" s="188"/>
      <c r="D82" s="189"/>
      <c r="E82" s="189"/>
      <c r="F82" s="189"/>
      <c r="G82" s="190"/>
    </row>
    <row r="83" spans="2:36" x14ac:dyDescent="0.25">
      <c r="C83" s="191"/>
      <c r="D83" s="259"/>
      <c r="E83" s="260" t="s">
        <v>241</v>
      </c>
      <c r="F83" s="171" t="s">
        <v>197</v>
      </c>
      <c r="G83" s="242" t="s">
        <v>198</v>
      </c>
    </row>
    <row r="84" spans="2:36" x14ac:dyDescent="0.25">
      <c r="C84" s="263" t="s">
        <v>1293</v>
      </c>
      <c r="G84" s="195"/>
    </row>
    <row r="85" spans="2:36" x14ac:dyDescent="0.25">
      <c r="C85" s="265" t="s">
        <v>197</v>
      </c>
      <c r="F85" s="256">
        <v>1</v>
      </c>
      <c r="G85" s="257">
        <v>-0.1</v>
      </c>
      <c r="I85" s="162" t="s">
        <v>1422</v>
      </c>
    </row>
    <row r="86" spans="2:36" x14ac:dyDescent="0.25">
      <c r="C86" s="265" t="s">
        <v>198</v>
      </c>
      <c r="F86" s="256">
        <v>-0.1</v>
      </c>
      <c r="G86" s="257">
        <v>1</v>
      </c>
    </row>
    <row r="87" spans="2:36" x14ac:dyDescent="0.25">
      <c r="C87" s="196"/>
      <c r="D87" s="197"/>
      <c r="E87" s="197"/>
      <c r="F87" s="197"/>
      <c r="G87" s="198"/>
    </row>
    <row r="90" spans="2:36" x14ac:dyDescent="0.25">
      <c r="B90" s="563"/>
      <c r="C90" s="563"/>
      <c r="D90" s="563"/>
      <c r="E90" s="563"/>
      <c r="F90" s="563"/>
      <c r="G90" s="563"/>
      <c r="H90" s="563"/>
      <c r="I90" s="563"/>
      <c r="J90" s="563"/>
      <c r="K90" s="563"/>
      <c r="L90" s="564"/>
      <c r="M90" s="564"/>
      <c r="N90" s="564"/>
      <c r="O90" s="564"/>
      <c r="P90" s="564"/>
      <c r="Q90" s="564"/>
      <c r="R90" s="564"/>
      <c r="S90" s="564"/>
      <c r="T90" s="564"/>
      <c r="U90" s="564"/>
      <c r="V90" s="564"/>
      <c r="W90" s="564"/>
      <c r="X90" s="564"/>
      <c r="Y90" s="564"/>
      <c r="Z90" s="564"/>
      <c r="AA90" s="564"/>
      <c r="AB90" s="564"/>
      <c r="AC90" s="564"/>
      <c r="AD90" s="564"/>
      <c r="AE90" s="564"/>
      <c r="AF90" s="564"/>
      <c r="AG90" s="564"/>
      <c r="AH90" s="564"/>
      <c r="AI90" s="564"/>
      <c r="AJ90" s="564"/>
    </row>
    <row r="92" spans="2:36" ht="20" x14ac:dyDescent="0.4">
      <c r="C92" s="26" t="s">
        <v>1281</v>
      </c>
    </row>
    <row r="94" spans="2:36" ht="15.5" x14ac:dyDescent="0.35">
      <c r="C94" s="43" t="str">
        <f>'General inputs'!C12</f>
        <v>Table 5 - Walking parameters</v>
      </c>
    </row>
    <row r="95" spans="2:36" x14ac:dyDescent="0.25">
      <c r="C95" s="188"/>
      <c r="D95" s="189"/>
      <c r="E95" s="189"/>
      <c r="F95" s="189"/>
      <c r="G95" s="190"/>
    </row>
    <row r="96" spans="2:36" x14ac:dyDescent="0.25">
      <c r="C96" s="191"/>
      <c r="E96" s="163" t="s">
        <v>183</v>
      </c>
      <c r="F96" s="163" t="s">
        <v>184</v>
      </c>
      <c r="G96" s="193" t="s">
        <v>185</v>
      </c>
    </row>
    <row r="97" spans="3:9" x14ac:dyDescent="0.25">
      <c r="C97" s="191" t="s">
        <v>283</v>
      </c>
      <c r="E97" s="122">
        <v>770</v>
      </c>
      <c r="F97" s="122">
        <v>610</v>
      </c>
      <c r="G97" s="208">
        <v>980</v>
      </c>
      <c r="I97" s="162" t="s">
        <v>1238</v>
      </c>
    </row>
    <row r="98" spans="3:9" x14ac:dyDescent="0.25">
      <c r="C98" s="191" t="s">
        <v>284</v>
      </c>
      <c r="E98" s="122">
        <v>760</v>
      </c>
      <c r="F98" s="122">
        <v>540</v>
      </c>
      <c r="G98" s="208">
        <v>640</v>
      </c>
      <c r="I98" s="162" t="s">
        <v>1239</v>
      </c>
    </row>
    <row r="99" spans="3:9" x14ac:dyDescent="0.25">
      <c r="C99" s="191" t="s">
        <v>285</v>
      </c>
      <c r="E99" s="122">
        <v>0.76</v>
      </c>
      <c r="F99" s="122">
        <v>0.76</v>
      </c>
      <c r="G99" s="208">
        <v>0.76</v>
      </c>
      <c r="I99" s="162" t="s">
        <v>1240</v>
      </c>
    </row>
    <row r="100" spans="3:9" x14ac:dyDescent="0.25">
      <c r="C100" s="191" t="s">
        <v>286</v>
      </c>
      <c r="E100" s="122">
        <v>0.77</v>
      </c>
      <c r="F100" s="122">
        <v>0.77</v>
      </c>
      <c r="G100" s="208">
        <v>0.77</v>
      </c>
      <c r="I100" s="162" t="s">
        <v>1241</v>
      </c>
    </row>
    <row r="101" spans="3:9" x14ac:dyDescent="0.25">
      <c r="C101" s="196"/>
      <c r="D101" s="197"/>
      <c r="E101" s="197"/>
      <c r="F101" s="197"/>
      <c r="G101" s="198"/>
    </row>
    <row r="104" spans="3:9" ht="15.5" x14ac:dyDescent="0.35">
      <c r="C104" s="43" t="str">
        <f>'General inputs'!C13</f>
        <v>Table 6 - Bus accident parameters</v>
      </c>
    </row>
    <row r="105" spans="3:9" x14ac:dyDescent="0.25">
      <c r="C105" s="188"/>
      <c r="D105" s="189"/>
      <c r="E105" s="189"/>
      <c r="F105" s="190"/>
    </row>
    <row r="106" spans="3:9" x14ac:dyDescent="0.25">
      <c r="C106" s="191" t="s">
        <v>287</v>
      </c>
      <c r="E106" s="283">
        <v>195</v>
      </c>
      <c r="F106" s="195"/>
    </row>
    <row r="107" spans="3:9" x14ac:dyDescent="0.25">
      <c r="C107" s="191" t="s">
        <v>288</v>
      </c>
      <c r="E107" s="286">
        <f>SUM('STM inputs'!F67:F70)</f>
        <v>7204197</v>
      </c>
      <c r="F107" s="195"/>
    </row>
    <row r="108" spans="3:9" x14ac:dyDescent="0.25">
      <c r="C108" s="191"/>
      <c r="F108" s="195"/>
    </row>
    <row r="109" spans="3:9" x14ac:dyDescent="0.25">
      <c r="C109" s="220" t="s">
        <v>1153</v>
      </c>
      <c r="E109" s="192" t="s">
        <v>289</v>
      </c>
      <c r="F109" s="221" t="s">
        <v>290</v>
      </c>
      <c r="G109" s="333" t="s">
        <v>1270</v>
      </c>
    </row>
    <row r="110" spans="3:9" x14ac:dyDescent="0.25">
      <c r="C110" s="191" t="s">
        <v>291</v>
      </c>
      <c r="E110">
        <f>COUNTIF('SGCCSA inputs'!$E$15:$E$7547,$G$109)</f>
        <v>18</v>
      </c>
      <c r="F110" s="195">
        <f>COUNTIF('SGCCSA inputs'!$F$15:$F$7547,G109)</f>
        <v>13</v>
      </c>
    </row>
    <row r="111" spans="3:9" x14ac:dyDescent="0.25">
      <c r="C111" s="191" t="s">
        <v>292</v>
      </c>
      <c r="E111">
        <f>SUMIF('SGCCSA inputs'!$E$15:$E$7547,$G$109,'SGCCSA inputs'!$H$15:$H$7547)</f>
        <v>1</v>
      </c>
      <c r="F111" s="195">
        <f>SUMIF('SGCCSA inputs'!$F$15:$F$7547,$G$109,'SGCCSA inputs'!$H$15:$H$7547)</f>
        <v>0</v>
      </c>
    </row>
    <row r="112" spans="3:9" x14ac:dyDescent="0.25">
      <c r="C112" s="191" t="s">
        <v>293</v>
      </c>
      <c r="E112">
        <f>SUMIF('SGCCSA inputs'!$E$15:$E$7547,$G$109,'SGCCSA inputs'!$I$15:$I$7547)</f>
        <v>5</v>
      </c>
      <c r="F112" s="195">
        <f>SUMIF('SGCCSA inputs'!$F$15:$F$7547,$G$109,'SGCCSA inputs'!$I$15:$I$7547)</f>
        <v>4</v>
      </c>
    </row>
    <row r="113" spans="3:10" x14ac:dyDescent="0.25">
      <c r="C113" s="191" t="s">
        <v>294</v>
      </c>
      <c r="E113">
        <f>SUMIF('SGCCSA inputs'!$E$15:$E$7547,$G$109,'SGCCSA inputs'!$J$15:$J$7547)</f>
        <v>5</v>
      </c>
      <c r="F113" s="195">
        <f>SUMIF('SGCCSA inputs'!$F$15:$F$7547,$G$109,'SGCCSA inputs'!$J$15:$J$7547)</f>
        <v>10</v>
      </c>
    </row>
    <row r="114" spans="3:10" x14ac:dyDescent="0.25">
      <c r="C114" s="196"/>
      <c r="D114" s="197"/>
      <c r="E114" s="197"/>
      <c r="F114" s="198"/>
    </row>
    <row r="117" spans="3:10" ht="15.5" x14ac:dyDescent="0.35">
      <c r="C117" s="43" t="str">
        <f>'General inputs'!C14</f>
        <v>Table 7 - Marginal cost parameters for cars</v>
      </c>
    </row>
    <row r="118" spans="3:10" x14ac:dyDescent="0.25">
      <c r="C118" s="188"/>
      <c r="D118" s="189"/>
      <c r="E118" s="190"/>
    </row>
    <row r="119" spans="3:10" x14ac:dyDescent="0.25">
      <c r="C119" s="191" t="s">
        <v>295</v>
      </c>
      <c r="E119" s="208">
        <v>49.6</v>
      </c>
      <c r="G119" s="162" t="s">
        <v>1188</v>
      </c>
      <c r="J119" s="399"/>
    </row>
    <row r="120" spans="3:10" x14ac:dyDescent="0.25">
      <c r="C120" s="191" t="s">
        <v>296</v>
      </c>
      <c r="E120" s="208">
        <v>0.105</v>
      </c>
      <c r="G120" s="162" t="s">
        <v>1406</v>
      </c>
    </row>
    <row r="121" spans="3:10" x14ac:dyDescent="0.25">
      <c r="C121" s="191" t="s">
        <v>297</v>
      </c>
      <c r="E121" s="208">
        <v>4.95</v>
      </c>
      <c r="G121" s="162" t="s">
        <v>1178</v>
      </c>
    </row>
    <row r="122" spans="3:10" x14ac:dyDescent="0.25">
      <c r="C122" s="191" t="s">
        <v>298</v>
      </c>
      <c r="E122" s="208">
        <v>107</v>
      </c>
      <c r="G122" s="162" t="s">
        <v>282</v>
      </c>
      <c r="H122" s="399" t="s">
        <v>1179</v>
      </c>
    </row>
    <row r="123" spans="3:10" x14ac:dyDescent="0.25">
      <c r="C123" s="196"/>
      <c r="D123" s="197"/>
      <c r="E123" s="198"/>
    </row>
    <row r="126" spans="3:10" ht="15.5" x14ac:dyDescent="0.35">
      <c r="C126" s="43" t="str">
        <f>'General inputs'!C15</f>
        <v>Table 8 - Pollution and emission parameters ($2020-21)</v>
      </c>
    </row>
    <row r="127" spans="3:10" x14ac:dyDescent="0.25">
      <c r="C127" s="188"/>
      <c r="D127" s="189"/>
      <c r="E127" s="189"/>
      <c r="F127" s="189"/>
      <c r="G127" s="189"/>
      <c r="H127" s="190"/>
    </row>
    <row r="128" spans="3:10" x14ac:dyDescent="0.25">
      <c r="C128" s="191"/>
      <c r="E128" s="163" t="s">
        <v>183</v>
      </c>
      <c r="F128" s="163" t="s">
        <v>694</v>
      </c>
      <c r="G128" s="163" t="s">
        <v>185</v>
      </c>
      <c r="H128" s="193" t="s">
        <v>248</v>
      </c>
    </row>
    <row r="129" spans="2:36" x14ac:dyDescent="0.25">
      <c r="C129" s="191" t="s">
        <v>1235</v>
      </c>
      <c r="E129" s="122">
        <f>0.04</f>
        <v>0.04</v>
      </c>
      <c r="F129" s="122">
        <f>1.89</f>
        <v>1.89</v>
      </c>
      <c r="G129" s="122">
        <f>10.06</f>
        <v>10.06</v>
      </c>
      <c r="H129" s="208">
        <f>0.64</f>
        <v>0.64</v>
      </c>
      <c r="J129" s="162" t="s">
        <v>1236</v>
      </c>
    </row>
    <row r="130" spans="2:36" x14ac:dyDescent="0.25">
      <c r="C130" s="191" t="s">
        <v>1237</v>
      </c>
      <c r="E130" s="122">
        <v>0.01</v>
      </c>
      <c r="F130" s="122">
        <v>0.78</v>
      </c>
      <c r="G130" s="122">
        <v>0.99</v>
      </c>
      <c r="H130" s="208">
        <v>0.5</v>
      </c>
      <c r="J130" s="162" t="s">
        <v>1236</v>
      </c>
    </row>
    <row r="131" spans="2:36" x14ac:dyDescent="0.25">
      <c r="C131" s="196"/>
      <c r="D131" s="197"/>
      <c r="E131" s="197"/>
      <c r="F131" s="197"/>
      <c r="G131" s="197"/>
      <c r="H131" s="198"/>
    </row>
    <row r="134" spans="2:36" x14ac:dyDescent="0.25">
      <c r="B134" s="563"/>
      <c r="C134" s="563"/>
      <c r="D134" s="563"/>
      <c r="E134" s="563"/>
      <c r="F134" s="563"/>
      <c r="G134" s="563"/>
      <c r="H134" s="563"/>
      <c r="I134" s="563"/>
      <c r="J134" s="563"/>
      <c r="K134" s="563"/>
      <c r="L134" s="564"/>
      <c r="M134" s="564"/>
      <c r="N134" s="564"/>
      <c r="O134" s="564"/>
      <c r="P134" s="564"/>
      <c r="Q134" s="564"/>
      <c r="R134" s="564"/>
      <c r="S134" s="564"/>
      <c r="T134" s="564"/>
      <c r="U134" s="564"/>
      <c r="V134" s="564"/>
      <c r="W134" s="564"/>
      <c r="X134" s="564"/>
      <c r="Y134" s="564"/>
      <c r="Z134" s="564"/>
      <c r="AA134" s="564"/>
      <c r="AB134" s="564"/>
      <c r="AC134" s="564"/>
      <c r="AD134" s="564"/>
      <c r="AE134" s="564"/>
      <c r="AF134" s="564"/>
      <c r="AG134" s="564"/>
      <c r="AH134" s="564"/>
      <c r="AI134" s="564"/>
      <c r="AJ134" s="564"/>
    </row>
    <row r="136" spans="2:36" ht="20" x14ac:dyDescent="0.4">
      <c r="C136" s="26" t="s">
        <v>1282</v>
      </c>
    </row>
    <row r="138" spans="2:36" ht="15.5" x14ac:dyDescent="0.35">
      <c r="C138" s="43" t="str">
        <f>'General inputs'!C16</f>
        <v>Table 9 - Social loss values ($)</v>
      </c>
    </row>
    <row r="139" spans="2:36" x14ac:dyDescent="0.25">
      <c r="C139" s="188"/>
      <c r="D139" s="189"/>
      <c r="E139" s="189"/>
      <c r="F139" s="238" t="s">
        <v>1222</v>
      </c>
      <c r="G139" s="449"/>
    </row>
    <row r="140" spans="2:36" x14ac:dyDescent="0.25">
      <c r="C140" s="191" t="s">
        <v>1294</v>
      </c>
      <c r="F140" s="283">
        <v>5400000</v>
      </c>
      <c r="G140" s="287"/>
      <c r="I140" s="162" t="s">
        <v>282</v>
      </c>
      <c r="J140" s="399" t="s">
        <v>1405</v>
      </c>
    </row>
    <row r="141" spans="2:36" x14ac:dyDescent="0.25">
      <c r="C141" s="191"/>
      <c r="F141" s="286"/>
      <c r="G141" s="628" t="s">
        <v>1189</v>
      </c>
    </row>
    <row r="142" spans="2:36" x14ac:dyDescent="0.25">
      <c r="C142" s="191" t="s">
        <v>1055</v>
      </c>
      <c r="F142" s="286">
        <f>G142*CPI!$F$14/CPI!$D$12</f>
        <v>275043.25938566547</v>
      </c>
      <c r="G142" s="284">
        <v>241100</v>
      </c>
      <c r="I142" s="162" t="s">
        <v>1231</v>
      </c>
    </row>
    <row r="143" spans="2:36" x14ac:dyDescent="0.25">
      <c r="C143" s="191" t="s">
        <v>1056</v>
      </c>
      <c r="F143" s="286">
        <f>G143*CPI!$F$14/CPI!$D$12</f>
        <v>29660.409556313989</v>
      </c>
      <c r="G143" s="284">
        <v>26000</v>
      </c>
    </row>
    <row r="144" spans="2:36" x14ac:dyDescent="0.25">
      <c r="C144" s="196"/>
      <c r="D144" s="197"/>
      <c r="E144" s="197"/>
      <c r="F144" s="197"/>
      <c r="G144" s="198"/>
    </row>
    <row r="147" spans="3:8" ht="15.5" x14ac:dyDescent="0.35">
      <c r="C147" s="43" t="str">
        <f>'General inputs'!C17</f>
        <v>Table 10 - Vehicle km travelled (km)</v>
      </c>
    </row>
    <row r="148" spans="3:8" x14ac:dyDescent="0.25">
      <c r="C148" s="188"/>
      <c r="D148" s="189"/>
      <c r="E148" s="189"/>
      <c r="F148" s="190"/>
    </row>
    <row r="149" spans="3:8" x14ac:dyDescent="0.25">
      <c r="C149" s="191" t="s">
        <v>175</v>
      </c>
      <c r="F149" s="195"/>
    </row>
    <row r="150" spans="3:8" x14ac:dyDescent="0.25">
      <c r="C150" s="191"/>
      <c r="F150" s="195"/>
    </row>
    <row r="151" spans="3:8" x14ac:dyDescent="0.25">
      <c r="C151" s="191" t="s">
        <v>1057</v>
      </c>
      <c r="F151" s="284">
        <v>398255.06</v>
      </c>
      <c r="H151" s="162" t="s">
        <v>1295</v>
      </c>
    </row>
    <row r="152" spans="3:8" x14ac:dyDescent="0.25">
      <c r="C152" s="191" t="s">
        <v>1058</v>
      </c>
      <c r="F152" s="284">
        <v>188322.27</v>
      </c>
    </row>
    <row r="153" spans="3:8" x14ac:dyDescent="0.25">
      <c r="C153" s="191" t="s">
        <v>1059</v>
      </c>
      <c r="F153" s="284">
        <v>2545812.16</v>
      </c>
    </row>
    <row r="154" spans="3:8" x14ac:dyDescent="0.25">
      <c r="C154" s="191" t="s">
        <v>1060</v>
      </c>
      <c r="F154" s="284">
        <v>11307034.91</v>
      </c>
    </row>
    <row r="155" spans="3:8" x14ac:dyDescent="0.25">
      <c r="C155" s="191" t="s">
        <v>1061</v>
      </c>
      <c r="F155" s="284">
        <v>14590210.32</v>
      </c>
    </row>
    <row r="156" spans="3:8" x14ac:dyDescent="0.25">
      <c r="C156" s="191" t="s">
        <v>1062</v>
      </c>
      <c r="F156" s="284">
        <v>9393598.1600000001</v>
      </c>
    </row>
    <row r="157" spans="3:8" x14ac:dyDescent="0.25">
      <c r="C157" s="191" t="s">
        <v>1063</v>
      </c>
      <c r="F157" s="284">
        <v>8610923.5600000005</v>
      </c>
    </row>
    <row r="158" spans="3:8" x14ac:dyDescent="0.25">
      <c r="C158" s="191" t="s">
        <v>1064</v>
      </c>
      <c r="F158" s="284">
        <v>12454898.41</v>
      </c>
    </row>
    <row r="159" spans="3:8" x14ac:dyDescent="0.25">
      <c r="C159" s="191" t="s">
        <v>1065</v>
      </c>
      <c r="F159" s="284">
        <v>16368864.15</v>
      </c>
    </row>
    <row r="160" spans="3:8" x14ac:dyDescent="0.25">
      <c r="C160" s="191" t="s">
        <v>1066</v>
      </c>
      <c r="F160" s="284">
        <v>11128647.609999999</v>
      </c>
    </row>
    <row r="161" spans="3:6" x14ac:dyDescent="0.25">
      <c r="C161" s="191" t="s">
        <v>1067</v>
      </c>
      <c r="F161" s="284">
        <v>4099313.72</v>
      </c>
    </row>
    <row r="162" spans="3:6" x14ac:dyDescent="0.25">
      <c r="C162" s="191" t="s">
        <v>1068</v>
      </c>
      <c r="F162" s="284">
        <v>1982259.53</v>
      </c>
    </row>
    <row r="163" spans="3:6" x14ac:dyDescent="0.25">
      <c r="C163" s="196"/>
      <c r="D163" s="197"/>
      <c r="E163" s="197"/>
      <c r="F163" s="198"/>
    </row>
  </sheetData>
  <phoneticPr fontId="40" type="noConversion"/>
  <hyperlinks>
    <hyperlink ref="H122" r:id="rId1" xr:uid="{A8AD3B12-296A-402E-B318-55F61D55EB13}"/>
    <hyperlink ref="J140" r:id="rId2" display="https://oia.pmc.gov.au/sites/default/files/2023-10/value-of-statistical-life.pdf" xr:uid="{CC06C17B-5FA4-4F6E-A734-3225DC91E696}"/>
  </hyperlinks>
  <pageMargins left="0.7" right="0.7" top="0.75" bottom="0.75" header="0.3" footer="0.3"/>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9EF0-F33D-4F78-8E68-473985719CB9}">
  <sheetPr codeName="Sheet16">
    <tabColor rgb="FF99CCFF"/>
  </sheetPr>
  <dimension ref="B1:U124"/>
  <sheetViews>
    <sheetView showGridLines="0" zoomScaleNormal="100" workbookViewId="0"/>
  </sheetViews>
  <sheetFormatPr defaultRowHeight="11.5" x14ac:dyDescent="0.25"/>
  <cols>
    <col min="1" max="2" width="3.69921875" customWidth="1"/>
    <col min="3" max="21" width="12.69921875" customWidth="1"/>
  </cols>
  <sheetData>
    <row r="1" spans="2:21" x14ac:dyDescent="0.25">
      <c r="C1" s="42" t="str">
        <f>'Fare optimisation'!$C$1</f>
        <v>Fare Optimisation Model for the 2025 Opal Review - Independent Pricing and Regulatory Tribunal of NSW</v>
      </c>
    </row>
    <row r="2" spans="2:21" x14ac:dyDescent="0.25">
      <c r="C2" s="42"/>
    </row>
    <row r="3" spans="2:21" x14ac:dyDescent="0.25">
      <c r="C3" s="42"/>
    </row>
    <row r="4" spans="2:21" ht="23" x14ac:dyDescent="0.5">
      <c r="C4" s="184" t="s">
        <v>1278</v>
      </c>
    </row>
    <row r="7" spans="2:21" x14ac:dyDescent="0.25">
      <c r="C7" s="209" t="s">
        <v>225</v>
      </c>
      <c r="D7" s="209"/>
      <c r="E7" s="209"/>
      <c r="F7" s="209"/>
      <c r="G7" s="209"/>
      <c r="H7" s="234" t="s">
        <v>226</v>
      </c>
    </row>
    <row r="8" spans="2:21" x14ac:dyDescent="0.25">
      <c r="B8" s="186">
        <v>1</v>
      </c>
      <c r="C8" s="533" t="str">
        <f>"Table "&amp;B8&amp;" - Demand by mode (vehicle kms travelled)"</f>
        <v>Table 1 - Demand by mode (vehicle kms travelled)</v>
      </c>
      <c r="D8" s="533"/>
      <c r="E8" s="533"/>
      <c r="F8" s="533"/>
      <c r="G8" s="533"/>
      <c r="H8" s="533">
        <f>ROW(C12)</f>
        <v>12</v>
      </c>
    </row>
    <row r="12" spans="2:21" ht="15.5" x14ac:dyDescent="0.35">
      <c r="C12" s="43" t="str">
        <f>C8</f>
        <v>Table 1 - Demand by mode (vehicle kms travelled)</v>
      </c>
      <c r="H12" s="650" t="s">
        <v>1493</v>
      </c>
    </row>
    <row r="13" spans="2:21" x14ac:dyDescent="0.25">
      <c r="C13" s="188"/>
      <c r="D13" s="189"/>
      <c r="E13" s="189"/>
      <c r="F13" s="189"/>
      <c r="G13" s="189"/>
      <c r="H13" s="189"/>
      <c r="I13" s="189"/>
      <c r="J13" s="189"/>
      <c r="K13" s="189"/>
      <c r="L13" s="189"/>
      <c r="M13" s="189"/>
      <c r="N13" s="189"/>
      <c r="O13" s="189"/>
      <c r="P13" s="189"/>
      <c r="Q13" s="189"/>
      <c r="R13" s="189"/>
      <c r="S13" s="189"/>
      <c r="T13" s="189"/>
      <c r="U13" s="190"/>
    </row>
    <row r="14" spans="2:21" x14ac:dyDescent="0.25">
      <c r="C14" s="191" t="s">
        <v>299</v>
      </c>
      <c r="F14" t="s">
        <v>300</v>
      </c>
      <c r="U14" s="195"/>
    </row>
    <row r="15" spans="2:21" x14ac:dyDescent="0.25">
      <c r="C15" s="191" t="s">
        <v>173</v>
      </c>
      <c r="F15" t="s">
        <v>301</v>
      </c>
      <c r="G15" t="s">
        <v>302</v>
      </c>
      <c r="H15" t="s">
        <v>303</v>
      </c>
      <c r="I15" t="s">
        <v>304</v>
      </c>
      <c r="J15" t="s">
        <v>305</v>
      </c>
      <c r="K15" t="s">
        <v>306</v>
      </c>
      <c r="L15" t="s">
        <v>307</v>
      </c>
      <c r="M15" t="s">
        <v>302</v>
      </c>
      <c r="N15" t="s">
        <v>303</v>
      </c>
      <c r="O15" t="s">
        <v>304</v>
      </c>
      <c r="P15" t="s">
        <v>305</v>
      </c>
      <c r="Q15" t="s">
        <v>306</v>
      </c>
      <c r="R15" t="s">
        <v>307</v>
      </c>
      <c r="S15" t="s">
        <v>307</v>
      </c>
      <c r="T15" t="s">
        <v>307</v>
      </c>
      <c r="U15" s="195" t="s">
        <v>307</v>
      </c>
    </row>
    <row r="16" spans="2:21" x14ac:dyDescent="0.25">
      <c r="C16" s="191" t="s">
        <v>308</v>
      </c>
      <c r="F16" t="s">
        <v>301</v>
      </c>
      <c r="G16" s="285" t="s">
        <v>309</v>
      </c>
      <c r="H16" s="285" t="s">
        <v>309</v>
      </c>
      <c r="I16" s="285" t="s">
        <v>309</v>
      </c>
      <c r="J16" s="285" t="s">
        <v>309</v>
      </c>
      <c r="K16" s="285" t="s">
        <v>309</v>
      </c>
      <c r="L16" s="285" t="s">
        <v>309</v>
      </c>
      <c r="M16" s="285" t="s">
        <v>310</v>
      </c>
      <c r="N16" s="285" t="s">
        <v>310</v>
      </c>
      <c r="O16" s="285" t="s">
        <v>310</v>
      </c>
      <c r="P16" s="285" t="s">
        <v>310</v>
      </c>
      <c r="Q16" s="285" t="s">
        <v>310</v>
      </c>
      <c r="R16" s="285" t="s">
        <v>310</v>
      </c>
      <c r="S16" s="285">
        <v>-0.6</v>
      </c>
      <c r="T16" t="s">
        <v>311</v>
      </c>
      <c r="U16" s="195" t="s">
        <v>312</v>
      </c>
    </row>
    <row r="17" spans="3:21" x14ac:dyDescent="0.25">
      <c r="C17" s="191" t="s">
        <v>313</v>
      </c>
      <c r="F17">
        <v>2021</v>
      </c>
      <c r="G17">
        <v>2021</v>
      </c>
      <c r="H17">
        <v>2021</v>
      </c>
      <c r="I17">
        <v>2021</v>
      </c>
      <c r="J17">
        <v>2021</v>
      </c>
      <c r="K17">
        <v>2021</v>
      </c>
      <c r="L17">
        <v>2021</v>
      </c>
      <c r="M17">
        <v>2021</v>
      </c>
      <c r="N17">
        <v>2021</v>
      </c>
      <c r="O17">
        <v>2021</v>
      </c>
      <c r="P17">
        <v>2021</v>
      </c>
      <c r="Q17">
        <v>2021</v>
      </c>
      <c r="R17">
        <v>2021</v>
      </c>
      <c r="S17">
        <v>2021</v>
      </c>
      <c r="T17">
        <v>2021</v>
      </c>
      <c r="U17" s="195">
        <v>2021</v>
      </c>
    </row>
    <row r="18" spans="3:21" x14ac:dyDescent="0.25">
      <c r="C18" s="191" t="s">
        <v>314</v>
      </c>
      <c r="F18" t="s">
        <v>315</v>
      </c>
      <c r="G18" t="s">
        <v>316</v>
      </c>
      <c r="H18" t="s">
        <v>317</v>
      </c>
      <c r="I18" t="s">
        <v>318</v>
      </c>
      <c r="J18" t="s">
        <v>319</v>
      </c>
      <c r="K18" t="s">
        <v>320</v>
      </c>
      <c r="L18" t="s">
        <v>321</v>
      </c>
      <c r="M18" t="s">
        <v>322</v>
      </c>
      <c r="N18" t="s">
        <v>323</v>
      </c>
      <c r="O18" t="s">
        <v>324</v>
      </c>
      <c r="P18" t="s">
        <v>325</v>
      </c>
      <c r="Q18" t="s">
        <v>326</v>
      </c>
      <c r="R18" t="s">
        <v>327</v>
      </c>
      <c r="S18" t="s">
        <v>328</v>
      </c>
      <c r="T18" t="s">
        <v>329</v>
      </c>
      <c r="U18" s="195" t="s">
        <v>330</v>
      </c>
    </row>
    <row r="19" spans="3:21" x14ac:dyDescent="0.25">
      <c r="C19" s="191" t="s">
        <v>331</v>
      </c>
      <c r="U19" s="195"/>
    </row>
    <row r="20" spans="3:21" x14ac:dyDescent="0.25">
      <c r="C20" s="191" t="s">
        <v>332</v>
      </c>
      <c r="D20" t="s">
        <v>333</v>
      </c>
      <c r="E20" t="s">
        <v>334</v>
      </c>
      <c r="F20" s="283">
        <v>1507472</v>
      </c>
      <c r="G20" s="283">
        <v>1499716</v>
      </c>
      <c r="H20" s="283">
        <v>1500872</v>
      </c>
      <c r="I20" s="283">
        <v>1501215</v>
      </c>
      <c r="J20" s="283">
        <v>1507182</v>
      </c>
      <c r="K20" s="283">
        <v>1507447</v>
      </c>
      <c r="L20" s="283">
        <v>1489727</v>
      </c>
      <c r="M20" s="283">
        <v>1513418</v>
      </c>
      <c r="N20" s="283">
        <v>1511650</v>
      </c>
      <c r="O20" s="283">
        <v>1511432</v>
      </c>
      <c r="P20" s="283">
        <v>1507704</v>
      </c>
      <c r="Q20" s="283">
        <v>1507495</v>
      </c>
      <c r="R20" s="283">
        <v>1522461</v>
      </c>
      <c r="S20" s="283">
        <v>1420358</v>
      </c>
      <c r="T20" s="283">
        <v>1515155</v>
      </c>
      <c r="U20" s="284">
        <v>1500394</v>
      </c>
    </row>
    <row r="21" spans="3:21" x14ac:dyDescent="0.25">
      <c r="C21" s="191" t="s">
        <v>335</v>
      </c>
      <c r="D21" t="s">
        <v>336</v>
      </c>
      <c r="E21" t="s">
        <v>337</v>
      </c>
      <c r="F21" s="283">
        <v>3482716</v>
      </c>
      <c r="G21" s="283">
        <v>3468674</v>
      </c>
      <c r="H21" s="283">
        <v>3473612</v>
      </c>
      <c r="I21" s="283">
        <v>3474103</v>
      </c>
      <c r="J21" s="283">
        <v>3482300</v>
      </c>
      <c r="K21" s="283">
        <v>3482683</v>
      </c>
      <c r="L21" s="283">
        <v>3455083</v>
      </c>
      <c r="M21" s="283">
        <v>3493038</v>
      </c>
      <c r="N21" s="283">
        <v>3488397</v>
      </c>
      <c r="O21" s="283">
        <v>3488089</v>
      </c>
      <c r="P21" s="283">
        <v>3483055</v>
      </c>
      <c r="Q21" s="283">
        <v>3482738</v>
      </c>
      <c r="R21" s="283">
        <v>3504830</v>
      </c>
      <c r="S21" s="283">
        <v>3300295</v>
      </c>
      <c r="T21" s="283">
        <v>3494698</v>
      </c>
      <c r="U21" s="284">
        <v>3471957</v>
      </c>
    </row>
    <row r="22" spans="3:21" x14ac:dyDescent="0.25">
      <c r="C22" s="191" t="s">
        <v>338</v>
      </c>
      <c r="D22" t="s">
        <v>339</v>
      </c>
      <c r="E22" t="s">
        <v>340</v>
      </c>
      <c r="F22" s="283">
        <v>2583045</v>
      </c>
      <c r="G22" s="283">
        <v>2571148</v>
      </c>
      <c r="H22" s="283">
        <v>2574030</v>
      </c>
      <c r="I22" s="283">
        <v>2574497</v>
      </c>
      <c r="J22" s="283">
        <v>2582642</v>
      </c>
      <c r="K22" s="283">
        <v>2583021</v>
      </c>
      <c r="L22" s="283">
        <v>2557449</v>
      </c>
      <c r="M22" s="283">
        <v>2592004</v>
      </c>
      <c r="N22" s="283">
        <v>2588709</v>
      </c>
      <c r="O22" s="283">
        <v>2588408</v>
      </c>
      <c r="P22" s="283">
        <v>2583354</v>
      </c>
      <c r="Q22" s="283">
        <v>2583061</v>
      </c>
      <c r="R22" s="283">
        <v>2604246</v>
      </c>
      <c r="S22" s="283">
        <v>2441200</v>
      </c>
      <c r="T22" s="283">
        <v>2594085</v>
      </c>
      <c r="U22" s="284">
        <v>2572952</v>
      </c>
    </row>
    <row r="23" spans="3:21" x14ac:dyDescent="0.25">
      <c r="C23" s="191" t="s">
        <v>341</v>
      </c>
      <c r="D23" t="s">
        <v>342</v>
      </c>
      <c r="E23" t="s">
        <v>343</v>
      </c>
      <c r="F23" s="283">
        <v>3207267</v>
      </c>
      <c r="G23" s="283">
        <v>3194426</v>
      </c>
      <c r="H23" s="283">
        <v>3197213</v>
      </c>
      <c r="I23" s="283">
        <v>3197760</v>
      </c>
      <c r="J23" s="283">
        <v>3206769</v>
      </c>
      <c r="K23" s="283">
        <v>3207240</v>
      </c>
      <c r="L23" s="283">
        <v>3179009</v>
      </c>
      <c r="M23" s="283">
        <v>3216904</v>
      </c>
      <c r="N23" s="283">
        <v>3213570</v>
      </c>
      <c r="O23" s="283">
        <v>3213217</v>
      </c>
      <c r="P23" s="283">
        <v>3207661</v>
      </c>
      <c r="Q23" s="283">
        <v>3207314</v>
      </c>
      <c r="R23" s="283">
        <v>3230700</v>
      </c>
      <c r="S23" s="283">
        <v>3056185</v>
      </c>
      <c r="T23" s="283">
        <v>3219193</v>
      </c>
      <c r="U23" s="284">
        <v>3196351</v>
      </c>
    </row>
    <row r="24" spans="3:21" x14ac:dyDescent="0.25">
      <c r="C24" s="191" t="s">
        <v>344</v>
      </c>
      <c r="F24" s="286"/>
      <c r="G24" s="286"/>
      <c r="H24" s="286"/>
      <c r="I24" s="286"/>
      <c r="J24" s="286"/>
      <c r="K24" s="286"/>
      <c r="L24" s="286"/>
      <c r="M24" s="286"/>
      <c r="N24" s="286"/>
      <c r="O24" s="286"/>
      <c r="P24" s="286"/>
      <c r="Q24" s="286"/>
      <c r="R24" s="286"/>
      <c r="S24" s="286"/>
      <c r="T24" s="286"/>
      <c r="U24" s="287"/>
    </row>
    <row r="25" spans="3:21" x14ac:dyDescent="0.25">
      <c r="C25" s="191" t="s">
        <v>345</v>
      </c>
      <c r="D25" t="s">
        <v>346</v>
      </c>
      <c r="E25" t="s">
        <v>347</v>
      </c>
      <c r="F25" s="283">
        <v>15750016</v>
      </c>
      <c r="G25" s="283">
        <v>15693880</v>
      </c>
      <c r="H25" s="283">
        <v>15696098</v>
      </c>
      <c r="I25" s="283">
        <v>15697938</v>
      </c>
      <c r="J25" s="283">
        <v>15748422</v>
      </c>
      <c r="K25" s="283">
        <v>15750690</v>
      </c>
      <c r="L25" s="283">
        <v>15600572</v>
      </c>
      <c r="M25" s="283">
        <v>15793374</v>
      </c>
      <c r="N25" s="283">
        <v>15782304</v>
      </c>
      <c r="O25" s="283">
        <v>15781056</v>
      </c>
      <c r="P25" s="283">
        <v>15751540</v>
      </c>
      <c r="Q25" s="283">
        <v>15751030</v>
      </c>
      <c r="R25" s="283">
        <v>15877976</v>
      </c>
      <c r="S25" s="283">
        <v>15104518</v>
      </c>
      <c r="T25" s="283">
        <v>15810742</v>
      </c>
      <c r="U25" s="284">
        <v>15688826</v>
      </c>
    </row>
    <row r="26" spans="3:21" x14ac:dyDescent="0.25">
      <c r="C26" s="191" t="s">
        <v>348</v>
      </c>
      <c r="D26" t="s">
        <v>349</v>
      </c>
      <c r="E26" t="s">
        <v>350</v>
      </c>
      <c r="F26" s="283">
        <v>34266288</v>
      </c>
      <c r="G26" s="283">
        <v>34189968</v>
      </c>
      <c r="H26" s="283">
        <v>34203212</v>
      </c>
      <c r="I26" s="283">
        <v>34208536</v>
      </c>
      <c r="J26" s="283">
        <v>34266488</v>
      </c>
      <c r="K26" s="283">
        <v>34270140</v>
      </c>
      <c r="L26" s="283">
        <v>34085960</v>
      </c>
      <c r="M26" s="283">
        <v>34327480</v>
      </c>
      <c r="N26" s="283">
        <v>34304732</v>
      </c>
      <c r="O26" s="283">
        <v>34299520</v>
      </c>
      <c r="P26" s="283">
        <v>34269420</v>
      </c>
      <c r="Q26" s="283">
        <v>34267812</v>
      </c>
      <c r="R26" s="283">
        <v>34417780</v>
      </c>
      <c r="S26" s="283">
        <v>33206374</v>
      </c>
      <c r="T26" s="283">
        <v>34342144</v>
      </c>
      <c r="U26" s="284">
        <v>34190092</v>
      </c>
    </row>
    <row r="27" spans="3:21" x14ac:dyDescent="0.25">
      <c r="C27" s="191" t="s">
        <v>351</v>
      </c>
      <c r="D27" t="s">
        <v>352</v>
      </c>
      <c r="E27" t="s">
        <v>353</v>
      </c>
      <c r="F27" s="283">
        <v>25632126</v>
      </c>
      <c r="G27" s="283">
        <v>25552908</v>
      </c>
      <c r="H27" s="283">
        <v>25564328</v>
      </c>
      <c r="I27" s="283">
        <v>25568662</v>
      </c>
      <c r="J27" s="283">
        <v>25628158</v>
      </c>
      <c r="K27" s="283">
        <v>25630392</v>
      </c>
      <c r="L27" s="283">
        <v>25435328</v>
      </c>
      <c r="M27" s="283">
        <v>25688706</v>
      </c>
      <c r="N27" s="283">
        <v>25668134</v>
      </c>
      <c r="O27" s="283">
        <v>25667926</v>
      </c>
      <c r="P27" s="283">
        <v>25631808</v>
      </c>
      <c r="Q27" s="283">
        <v>25630154</v>
      </c>
      <c r="R27" s="283">
        <v>25791372</v>
      </c>
      <c r="S27" s="283">
        <v>24703066</v>
      </c>
      <c r="T27" s="283">
        <v>25707434</v>
      </c>
      <c r="U27" s="284">
        <v>25549916</v>
      </c>
    </row>
    <row r="28" spans="3:21" x14ac:dyDescent="0.25">
      <c r="C28" s="191" t="s">
        <v>354</v>
      </c>
      <c r="D28" t="s">
        <v>355</v>
      </c>
      <c r="E28" t="s">
        <v>356</v>
      </c>
      <c r="F28" s="283">
        <v>34931900</v>
      </c>
      <c r="G28" s="283">
        <v>34841340</v>
      </c>
      <c r="H28" s="283">
        <v>34844304</v>
      </c>
      <c r="I28" s="283">
        <v>34851184</v>
      </c>
      <c r="J28" s="283">
        <v>34929228</v>
      </c>
      <c r="K28" s="283">
        <v>34931904</v>
      </c>
      <c r="L28" s="283">
        <v>34693576</v>
      </c>
      <c r="M28" s="283">
        <v>34998544</v>
      </c>
      <c r="N28" s="283">
        <v>34978576</v>
      </c>
      <c r="O28" s="283">
        <v>34978284</v>
      </c>
      <c r="P28" s="283">
        <v>34935084</v>
      </c>
      <c r="Q28" s="283">
        <v>34933072</v>
      </c>
      <c r="R28" s="283">
        <v>35129420</v>
      </c>
      <c r="S28" s="283">
        <v>33820220</v>
      </c>
      <c r="T28" s="283">
        <v>35024776</v>
      </c>
      <c r="U28" s="284">
        <v>34833632</v>
      </c>
    </row>
    <row r="29" spans="3:21" x14ac:dyDescent="0.25">
      <c r="C29" s="191" t="s">
        <v>357</v>
      </c>
      <c r="F29" s="286"/>
      <c r="G29" s="286"/>
      <c r="H29" s="286"/>
      <c r="I29" s="286"/>
      <c r="J29" s="286"/>
      <c r="K29" s="286"/>
      <c r="L29" s="286"/>
      <c r="M29" s="286"/>
      <c r="N29" s="286"/>
      <c r="O29" s="286"/>
      <c r="P29" s="286"/>
      <c r="Q29" s="286"/>
      <c r="R29" s="286"/>
      <c r="S29" s="286"/>
      <c r="T29" s="286"/>
      <c r="U29" s="287"/>
    </row>
    <row r="30" spans="3:21" x14ac:dyDescent="0.25">
      <c r="C30" s="191" t="s">
        <v>358</v>
      </c>
      <c r="D30" t="s">
        <v>359</v>
      </c>
      <c r="E30" t="s">
        <v>360</v>
      </c>
      <c r="F30" s="283">
        <v>452194</v>
      </c>
      <c r="G30" s="283">
        <v>450033</v>
      </c>
      <c r="H30" s="283">
        <v>449796</v>
      </c>
      <c r="I30" s="283">
        <v>449667</v>
      </c>
      <c r="J30" s="283">
        <v>452475</v>
      </c>
      <c r="K30" s="283">
        <v>452427</v>
      </c>
      <c r="L30" s="283">
        <v>446723</v>
      </c>
      <c r="M30" s="283">
        <v>453917</v>
      </c>
      <c r="N30" s="283">
        <v>453987</v>
      </c>
      <c r="O30" s="283">
        <v>453849</v>
      </c>
      <c r="P30" s="283">
        <v>452575</v>
      </c>
      <c r="Q30" s="283">
        <v>452202</v>
      </c>
      <c r="R30" s="283">
        <v>456968</v>
      </c>
      <c r="S30" s="283">
        <v>430208</v>
      </c>
      <c r="T30" s="283">
        <v>454767</v>
      </c>
      <c r="U30" s="284">
        <v>450080</v>
      </c>
    </row>
    <row r="31" spans="3:21" x14ac:dyDescent="0.25">
      <c r="C31" s="191" t="s">
        <v>361</v>
      </c>
      <c r="D31" t="s">
        <v>362</v>
      </c>
      <c r="E31" t="s">
        <v>363</v>
      </c>
      <c r="F31" s="283">
        <v>854881</v>
      </c>
      <c r="G31" s="283">
        <v>853449</v>
      </c>
      <c r="H31" s="283">
        <v>852557</v>
      </c>
      <c r="I31" s="283">
        <v>851457</v>
      </c>
      <c r="J31" s="283">
        <v>854020</v>
      </c>
      <c r="K31" s="283">
        <v>855450</v>
      </c>
      <c r="L31" s="283">
        <v>849135</v>
      </c>
      <c r="M31" s="283">
        <v>855956</v>
      </c>
      <c r="N31" s="283">
        <v>857174</v>
      </c>
      <c r="O31" s="283">
        <v>856456</v>
      </c>
      <c r="P31" s="283">
        <v>855114</v>
      </c>
      <c r="Q31" s="283">
        <v>855512</v>
      </c>
      <c r="R31" s="283">
        <v>858959</v>
      </c>
      <c r="S31" s="283">
        <v>827566</v>
      </c>
      <c r="T31" s="283">
        <v>856320</v>
      </c>
      <c r="U31" s="284">
        <v>851652</v>
      </c>
    </row>
    <row r="32" spans="3:21" x14ac:dyDescent="0.25">
      <c r="C32" s="191" t="s">
        <v>364</v>
      </c>
      <c r="D32" t="s">
        <v>365</v>
      </c>
      <c r="E32" t="s">
        <v>366</v>
      </c>
      <c r="F32" s="283">
        <v>650597</v>
      </c>
      <c r="G32" s="283">
        <v>648095</v>
      </c>
      <c r="H32" s="283">
        <v>647704</v>
      </c>
      <c r="I32" s="283">
        <v>647799</v>
      </c>
      <c r="J32" s="283">
        <v>650109</v>
      </c>
      <c r="K32" s="283">
        <v>650700</v>
      </c>
      <c r="L32" s="283">
        <v>644623</v>
      </c>
      <c r="M32" s="283">
        <v>652162</v>
      </c>
      <c r="N32" s="283">
        <v>651807</v>
      </c>
      <c r="O32" s="283">
        <v>651780</v>
      </c>
      <c r="P32" s="283">
        <v>650473</v>
      </c>
      <c r="Q32" s="283">
        <v>650340</v>
      </c>
      <c r="R32" s="283">
        <v>654979</v>
      </c>
      <c r="S32" s="283">
        <v>625008</v>
      </c>
      <c r="T32" s="283">
        <v>652633</v>
      </c>
      <c r="U32" s="284">
        <v>647763</v>
      </c>
    </row>
    <row r="33" spans="3:21" x14ac:dyDescent="0.25">
      <c r="C33" s="191" t="s">
        <v>367</v>
      </c>
      <c r="D33" t="s">
        <v>368</v>
      </c>
      <c r="E33" t="s">
        <v>369</v>
      </c>
      <c r="F33" s="283">
        <v>968200</v>
      </c>
      <c r="G33" s="283">
        <v>967887</v>
      </c>
      <c r="H33" s="283">
        <v>963444</v>
      </c>
      <c r="I33" s="283">
        <v>962968</v>
      </c>
      <c r="J33" s="283">
        <v>967149</v>
      </c>
      <c r="K33" s="283">
        <v>967849</v>
      </c>
      <c r="L33" s="283">
        <v>958505</v>
      </c>
      <c r="M33" s="283">
        <v>969907</v>
      </c>
      <c r="N33" s="283">
        <v>970252</v>
      </c>
      <c r="O33" s="283">
        <v>969781</v>
      </c>
      <c r="P33" s="283">
        <v>967496</v>
      </c>
      <c r="Q33" s="283">
        <v>970340</v>
      </c>
      <c r="R33" s="283">
        <v>974717</v>
      </c>
      <c r="S33" s="283">
        <v>923591</v>
      </c>
      <c r="T33" s="283">
        <v>973706</v>
      </c>
      <c r="U33" s="284">
        <v>964288</v>
      </c>
    </row>
    <row r="34" spans="3:21" x14ac:dyDescent="0.25">
      <c r="C34" s="191" t="s">
        <v>370</v>
      </c>
      <c r="F34" s="286"/>
      <c r="G34" s="286"/>
      <c r="H34" s="286"/>
      <c r="I34" s="286"/>
      <c r="J34" s="286"/>
      <c r="K34" s="286"/>
      <c r="L34" s="286"/>
      <c r="M34" s="286"/>
      <c r="N34" s="286"/>
      <c r="O34" s="286"/>
      <c r="P34" s="286"/>
      <c r="Q34" s="286"/>
      <c r="R34" s="286"/>
      <c r="S34" s="286"/>
      <c r="T34" s="286"/>
      <c r="U34" s="287"/>
    </row>
    <row r="35" spans="3:21" x14ac:dyDescent="0.25">
      <c r="C35" s="191" t="s">
        <v>371</v>
      </c>
      <c r="D35" t="s">
        <v>372</v>
      </c>
      <c r="E35" t="s">
        <v>373</v>
      </c>
      <c r="F35" s="283">
        <v>478363</v>
      </c>
      <c r="G35" s="283">
        <v>475463</v>
      </c>
      <c r="H35" s="283">
        <v>475521</v>
      </c>
      <c r="I35" s="283">
        <v>475644</v>
      </c>
      <c r="J35" s="283">
        <v>478229</v>
      </c>
      <c r="K35" s="283">
        <v>478323</v>
      </c>
      <c r="L35" s="283">
        <v>471181</v>
      </c>
      <c r="M35" s="283">
        <v>480550</v>
      </c>
      <c r="N35" s="283">
        <v>480041</v>
      </c>
      <c r="O35" s="283">
        <v>479978</v>
      </c>
      <c r="P35" s="283">
        <v>478406</v>
      </c>
      <c r="Q35" s="283">
        <v>478346</v>
      </c>
      <c r="R35" s="283">
        <v>484488</v>
      </c>
      <c r="S35" s="283">
        <v>447615</v>
      </c>
      <c r="T35" s="283">
        <v>481460</v>
      </c>
      <c r="U35" s="284">
        <v>475271</v>
      </c>
    </row>
    <row r="36" spans="3:21" x14ac:dyDescent="0.25">
      <c r="C36" s="191" t="s">
        <v>374</v>
      </c>
      <c r="D36" t="s">
        <v>375</v>
      </c>
      <c r="E36" t="s">
        <v>376</v>
      </c>
      <c r="F36" s="283">
        <v>940571</v>
      </c>
      <c r="G36" s="283">
        <v>937240</v>
      </c>
      <c r="H36" s="283">
        <v>937928</v>
      </c>
      <c r="I36" s="283">
        <v>938035</v>
      </c>
      <c r="J36" s="283">
        <v>940433</v>
      </c>
      <c r="K36" s="283">
        <v>940537</v>
      </c>
      <c r="L36" s="283">
        <v>933308</v>
      </c>
      <c r="M36" s="283">
        <v>942910</v>
      </c>
      <c r="N36" s="283">
        <v>942052</v>
      </c>
      <c r="O36" s="283">
        <v>941999</v>
      </c>
      <c r="P36" s="283">
        <v>940595</v>
      </c>
      <c r="Q36" s="283">
        <v>940541</v>
      </c>
      <c r="R36" s="283">
        <v>946315</v>
      </c>
      <c r="S36" s="283">
        <v>897491</v>
      </c>
      <c r="T36" s="283">
        <v>943617</v>
      </c>
      <c r="U36" s="284">
        <v>937491</v>
      </c>
    </row>
    <row r="37" spans="3:21" x14ac:dyDescent="0.25">
      <c r="C37" s="191" t="s">
        <v>377</v>
      </c>
      <c r="D37" t="s">
        <v>378</v>
      </c>
      <c r="E37" t="s">
        <v>379</v>
      </c>
      <c r="F37" s="283">
        <v>760038</v>
      </c>
      <c r="G37" s="283">
        <v>756212</v>
      </c>
      <c r="H37" s="283">
        <v>756688</v>
      </c>
      <c r="I37" s="283">
        <v>756861</v>
      </c>
      <c r="J37" s="283">
        <v>759881</v>
      </c>
      <c r="K37" s="283">
        <v>760027</v>
      </c>
      <c r="L37" s="283">
        <v>750990</v>
      </c>
      <c r="M37" s="283">
        <v>762873</v>
      </c>
      <c r="N37" s="283">
        <v>761976</v>
      </c>
      <c r="O37" s="283">
        <v>761917</v>
      </c>
      <c r="P37" s="283">
        <v>760089</v>
      </c>
      <c r="Q37" s="283">
        <v>760021</v>
      </c>
      <c r="R37" s="283">
        <v>767601</v>
      </c>
      <c r="S37" s="283">
        <v>716658</v>
      </c>
      <c r="T37" s="283">
        <v>763832</v>
      </c>
      <c r="U37" s="284">
        <v>756196</v>
      </c>
    </row>
    <row r="38" spans="3:21" x14ac:dyDescent="0.25">
      <c r="C38" s="191" t="s">
        <v>380</v>
      </c>
      <c r="D38" t="s">
        <v>381</v>
      </c>
      <c r="E38" t="s">
        <v>382</v>
      </c>
      <c r="F38" s="283">
        <v>849114</v>
      </c>
      <c r="G38" s="283">
        <v>846094</v>
      </c>
      <c r="H38" s="283">
        <v>846150</v>
      </c>
      <c r="I38" s="283">
        <v>846304</v>
      </c>
      <c r="J38" s="283">
        <v>848966</v>
      </c>
      <c r="K38" s="283">
        <v>849122</v>
      </c>
      <c r="L38" s="283">
        <v>841559</v>
      </c>
      <c r="M38" s="283">
        <v>851361</v>
      </c>
      <c r="N38" s="283">
        <v>850864</v>
      </c>
      <c r="O38" s="283">
        <v>850809</v>
      </c>
      <c r="P38" s="283">
        <v>849213</v>
      </c>
      <c r="Q38" s="283">
        <v>849111</v>
      </c>
      <c r="R38" s="283">
        <v>855409</v>
      </c>
      <c r="S38" s="283">
        <v>813341</v>
      </c>
      <c r="T38" s="283">
        <v>852207</v>
      </c>
      <c r="U38" s="284">
        <v>845978</v>
      </c>
    </row>
    <row r="39" spans="3:21" x14ac:dyDescent="0.25">
      <c r="C39" s="191" t="s">
        <v>383</v>
      </c>
      <c r="F39" s="286"/>
      <c r="G39" s="286"/>
      <c r="H39" s="286"/>
      <c r="I39" s="286"/>
      <c r="J39" s="286"/>
      <c r="K39" s="286"/>
      <c r="L39" s="286"/>
      <c r="M39" s="286"/>
      <c r="N39" s="286"/>
      <c r="O39" s="286"/>
      <c r="P39" s="286"/>
      <c r="Q39" s="286"/>
      <c r="R39" s="286"/>
      <c r="S39" s="286"/>
      <c r="T39" s="286"/>
      <c r="U39" s="287"/>
    </row>
    <row r="40" spans="3:21" x14ac:dyDescent="0.25">
      <c r="C40" s="191" t="s">
        <v>384</v>
      </c>
      <c r="E40" t="s">
        <v>385</v>
      </c>
      <c r="F40" s="283">
        <v>3.0372223113932076E-2</v>
      </c>
      <c r="G40" s="283">
        <v>3.0296077196971048E-2</v>
      </c>
      <c r="H40" s="283">
        <v>3.0295491274328179E-2</v>
      </c>
      <c r="I40" s="283">
        <v>3.02997756775444E-2</v>
      </c>
      <c r="J40" s="283">
        <v>3.0366788494745695E-2</v>
      </c>
      <c r="K40" s="283">
        <v>3.0368383861278457E-2</v>
      </c>
      <c r="L40" s="283">
        <v>3.0202802820306844E-2</v>
      </c>
      <c r="M40" s="283">
        <v>3.0427317177444162E-2</v>
      </c>
      <c r="N40" s="283">
        <v>3.0416408149279092E-2</v>
      </c>
      <c r="O40" s="283">
        <v>3.0414821416260104E-2</v>
      </c>
      <c r="P40" s="283">
        <v>3.0372014418907613E-2</v>
      </c>
      <c r="Q40" s="283">
        <v>3.0369188554653252E-2</v>
      </c>
      <c r="R40" s="283">
        <v>3.0513208988349649E-2</v>
      </c>
      <c r="S40" s="283">
        <v>2.9634510680843971E-2</v>
      </c>
      <c r="T40" s="283">
        <v>3.045144876818558E-2</v>
      </c>
      <c r="U40" s="284">
        <v>3.0293598768958239E-2</v>
      </c>
    </row>
    <row r="41" spans="3:21" x14ac:dyDescent="0.25">
      <c r="C41" s="191" t="s">
        <v>386</v>
      </c>
      <c r="E41" t="s">
        <v>385</v>
      </c>
      <c r="F41" s="283">
        <v>2.7448873364981932E-2</v>
      </c>
      <c r="G41" s="283">
        <v>2.7412719426938334E-2</v>
      </c>
      <c r="H41" s="283">
        <v>2.7422219878062915E-2</v>
      </c>
      <c r="I41" s="283">
        <v>2.7421079931628761E-2</v>
      </c>
      <c r="J41" s="283">
        <v>2.744468589836227E-2</v>
      </c>
      <c r="K41" s="283">
        <v>2.7444795965233873E-2</v>
      </c>
      <c r="L41" s="283">
        <v>2.7381009659108911E-2</v>
      </c>
      <c r="M41" s="283">
        <v>2.7468080966036541E-2</v>
      </c>
      <c r="N41" s="283">
        <v>2.7461284349925834E-2</v>
      </c>
      <c r="O41" s="283">
        <v>2.7463912031422014E-2</v>
      </c>
      <c r="P41" s="283">
        <v>2.7447065050998819E-2</v>
      </c>
      <c r="Q41" s="283">
        <v>2.7446777168031622E-2</v>
      </c>
      <c r="R41" s="283">
        <v>2.7494945926204422E-2</v>
      </c>
      <c r="S41" s="283">
        <v>2.7027672458305747E-2</v>
      </c>
      <c r="T41" s="283">
        <v>2.7476939121797404E-2</v>
      </c>
      <c r="U41" s="284">
        <v>2.7419961315108481E-2</v>
      </c>
    </row>
    <row r="42" spans="3:21" x14ac:dyDescent="0.25">
      <c r="C42" s="191" t="s">
        <v>387</v>
      </c>
      <c r="E42" t="s">
        <v>385</v>
      </c>
      <c r="F42" s="283">
        <v>2.9651773715531828E-2</v>
      </c>
      <c r="G42" s="283">
        <v>2.9593970283147419E-2</v>
      </c>
      <c r="H42" s="283">
        <v>2.9599369871955952E-2</v>
      </c>
      <c r="I42" s="283">
        <v>2.9601118744500592E-2</v>
      </c>
      <c r="J42" s="283">
        <v>2.9650238616446799E-2</v>
      </c>
      <c r="K42" s="283">
        <v>2.9653350600334166E-2</v>
      </c>
      <c r="L42" s="283">
        <v>2.952546945728398E-2</v>
      </c>
      <c r="M42" s="283">
        <v>2.9696824744695198E-2</v>
      </c>
      <c r="N42" s="283">
        <v>2.9685679527775569E-2</v>
      </c>
      <c r="O42" s="283">
        <v>2.9683621497116675E-2</v>
      </c>
      <c r="P42" s="283">
        <v>2.9654131304354341E-2</v>
      </c>
      <c r="Q42" s="283">
        <v>2.9653391860228386E-2</v>
      </c>
      <c r="R42" s="283">
        <v>2.9761929687183761E-2</v>
      </c>
      <c r="S42" s="283">
        <v>2.901089281791985E-2</v>
      </c>
      <c r="T42" s="283">
        <v>2.9712494837096537E-2</v>
      </c>
      <c r="U42" s="284">
        <v>2.9596809633346741E-2</v>
      </c>
    </row>
    <row r="43" spans="3:21" x14ac:dyDescent="0.25">
      <c r="C43" s="191" t="s">
        <v>388</v>
      </c>
      <c r="E43" t="s">
        <v>385</v>
      </c>
      <c r="F43" s="283">
        <v>2.4307695831031234E-2</v>
      </c>
      <c r="G43" s="283">
        <v>2.4284198024530631E-2</v>
      </c>
      <c r="H43" s="283">
        <v>2.4283739459970272E-2</v>
      </c>
      <c r="I43" s="283">
        <v>2.428336437579854E-2</v>
      </c>
      <c r="J43" s="283">
        <v>2.4305318170788084E-2</v>
      </c>
      <c r="K43" s="283">
        <v>2.4307922064597452E-2</v>
      </c>
      <c r="L43" s="283">
        <v>2.4256911423601878E-2</v>
      </c>
      <c r="M43" s="283">
        <v>2.4325611945456932E-2</v>
      </c>
      <c r="N43" s="283">
        <v>2.432528985742587E-2</v>
      </c>
      <c r="O43" s="283">
        <v>2.4323920521658524E-2</v>
      </c>
      <c r="P43" s="283">
        <v>2.430831424364115E-2</v>
      </c>
      <c r="Q43" s="283">
        <v>2.430679443250797E-2</v>
      </c>
      <c r="R43" s="283">
        <v>2.4350216997604857E-2</v>
      </c>
      <c r="S43" s="283">
        <v>2.4048956511814532E-2</v>
      </c>
      <c r="T43" s="283">
        <v>2.4331547473708325E-2</v>
      </c>
      <c r="U43" s="284">
        <v>2.4286241526579828E-2</v>
      </c>
    </row>
    <row r="44" spans="3:21" x14ac:dyDescent="0.25">
      <c r="C44" s="191"/>
      <c r="F44" s="286"/>
      <c r="G44" s="286"/>
      <c r="H44" s="286"/>
      <c r="I44" s="286"/>
      <c r="J44" s="286"/>
      <c r="K44" s="286"/>
      <c r="L44" s="286"/>
      <c r="M44" s="286"/>
      <c r="N44" s="286"/>
      <c r="O44" s="286"/>
      <c r="P44" s="286"/>
      <c r="Q44" s="286"/>
      <c r="R44" s="286"/>
      <c r="S44" s="286"/>
      <c r="T44" s="286"/>
      <c r="U44" s="287"/>
    </row>
    <row r="45" spans="3:21" x14ac:dyDescent="0.25">
      <c r="C45" s="191" t="s">
        <v>389</v>
      </c>
      <c r="F45" s="286"/>
      <c r="G45" s="286"/>
      <c r="H45" s="286"/>
      <c r="I45" s="286"/>
      <c r="J45" s="286"/>
      <c r="K45" s="286"/>
      <c r="L45" s="286"/>
      <c r="M45" s="286"/>
      <c r="N45" s="286"/>
      <c r="O45" s="286"/>
      <c r="P45" s="286"/>
      <c r="Q45" s="286"/>
      <c r="R45" s="286"/>
      <c r="S45" s="286"/>
      <c r="T45" s="286"/>
      <c r="U45" s="287"/>
    </row>
    <row r="46" spans="3:21" x14ac:dyDescent="0.25">
      <c r="C46" s="191" t="s">
        <v>390</v>
      </c>
      <c r="D46" t="s">
        <v>391</v>
      </c>
      <c r="E46" t="s">
        <v>334</v>
      </c>
      <c r="F46" s="283">
        <v>320274</v>
      </c>
      <c r="G46" s="283">
        <v>322993</v>
      </c>
      <c r="H46" s="283">
        <v>335387</v>
      </c>
      <c r="I46" s="283">
        <v>335007</v>
      </c>
      <c r="J46" s="283">
        <v>320644</v>
      </c>
      <c r="K46" s="283">
        <v>320338</v>
      </c>
      <c r="L46" s="283">
        <v>345155</v>
      </c>
      <c r="M46" s="283">
        <v>318937</v>
      </c>
      <c r="N46" s="283">
        <v>310208</v>
      </c>
      <c r="O46" s="283">
        <v>310489</v>
      </c>
      <c r="P46" s="283">
        <v>320022</v>
      </c>
      <c r="Q46" s="283">
        <v>320284</v>
      </c>
      <c r="R46" s="283">
        <v>299758</v>
      </c>
      <c r="S46" s="283">
        <v>464619</v>
      </c>
      <c r="T46" s="283">
        <v>314321</v>
      </c>
      <c r="U46" s="284">
        <v>327295</v>
      </c>
    </row>
    <row r="47" spans="3:21" x14ac:dyDescent="0.25">
      <c r="C47" s="191" t="s">
        <v>392</v>
      </c>
      <c r="D47" t="s">
        <v>393</v>
      </c>
      <c r="E47" t="s">
        <v>337</v>
      </c>
      <c r="F47" s="283">
        <v>251866</v>
      </c>
      <c r="G47" s="283">
        <v>259955</v>
      </c>
      <c r="H47" s="283">
        <v>268979</v>
      </c>
      <c r="I47" s="283">
        <v>268846</v>
      </c>
      <c r="J47" s="283">
        <v>251991</v>
      </c>
      <c r="K47" s="283">
        <v>251897</v>
      </c>
      <c r="L47" s="283">
        <v>286310</v>
      </c>
      <c r="M47" s="283">
        <v>247651</v>
      </c>
      <c r="N47" s="283">
        <v>241141</v>
      </c>
      <c r="O47" s="283">
        <v>241234</v>
      </c>
      <c r="P47" s="283">
        <v>251787</v>
      </c>
      <c r="Q47" s="283">
        <v>251869</v>
      </c>
      <c r="R47" s="283">
        <v>227622</v>
      </c>
      <c r="S47" s="283">
        <v>676006</v>
      </c>
      <c r="T47" s="283">
        <v>243616</v>
      </c>
      <c r="U47" s="284">
        <v>262076</v>
      </c>
    </row>
    <row r="48" spans="3:21" x14ac:dyDescent="0.25">
      <c r="C48" s="191" t="s">
        <v>394</v>
      </c>
      <c r="D48" t="s">
        <v>395</v>
      </c>
      <c r="E48" t="s">
        <v>340</v>
      </c>
      <c r="F48" s="283">
        <v>321566</v>
      </c>
      <c r="G48" s="283">
        <v>326261</v>
      </c>
      <c r="H48" s="283">
        <v>338169</v>
      </c>
      <c r="I48" s="283">
        <v>337863</v>
      </c>
      <c r="J48" s="283">
        <v>321854</v>
      </c>
      <c r="K48" s="283">
        <v>321636</v>
      </c>
      <c r="L48" s="283">
        <v>351209</v>
      </c>
      <c r="M48" s="283">
        <v>319259</v>
      </c>
      <c r="N48" s="283">
        <v>310752</v>
      </c>
      <c r="O48" s="283">
        <v>310980</v>
      </c>
      <c r="P48" s="283">
        <v>321368</v>
      </c>
      <c r="Q48" s="283">
        <v>321570</v>
      </c>
      <c r="R48" s="283">
        <v>298635</v>
      </c>
      <c r="S48" s="283">
        <v>571820</v>
      </c>
      <c r="T48" s="283">
        <v>314710</v>
      </c>
      <c r="U48" s="284">
        <v>330010</v>
      </c>
    </row>
    <row r="49" spans="3:21" x14ac:dyDescent="0.25">
      <c r="C49" s="191" t="s">
        <v>396</v>
      </c>
      <c r="D49" t="s">
        <v>397</v>
      </c>
      <c r="E49" t="s">
        <v>343</v>
      </c>
      <c r="F49" s="283">
        <v>249786</v>
      </c>
      <c r="G49" s="283">
        <v>252042</v>
      </c>
      <c r="H49" s="283">
        <v>263233</v>
      </c>
      <c r="I49" s="283">
        <v>262928</v>
      </c>
      <c r="J49" s="283">
        <v>250088</v>
      </c>
      <c r="K49" s="283">
        <v>249851</v>
      </c>
      <c r="L49" s="283">
        <v>272313</v>
      </c>
      <c r="M49" s="283">
        <v>248916</v>
      </c>
      <c r="N49" s="283">
        <v>241023</v>
      </c>
      <c r="O49" s="283">
        <v>241258</v>
      </c>
      <c r="P49" s="283">
        <v>249583</v>
      </c>
      <c r="Q49" s="283">
        <v>249795</v>
      </c>
      <c r="R49" s="283">
        <v>231566</v>
      </c>
      <c r="S49" s="283">
        <v>404065</v>
      </c>
      <c r="T49" s="283">
        <v>244815</v>
      </c>
      <c r="U49" s="284">
        <v>256099</v>
      </c>
    </row>
    <row r="50" spans="3:21" x14ac:dyDescent="0.25">
      <c r="C50" s="191" t="s">
        <v>398</v>
      </c>
      <c r="F50" s="286"/>
      <c r="G50" s="286"/>
      <c r="H50" s="286"/>
      <c r="I50" s="286"/>
      <c r="J50" s="286"/>
      <c r="K50" s="286"/>
      <c r="L50" s="286"/>
      <c r="M50" s="286"/>
      <c r="N50" s="286"/>
      <c r="O50" s="286"/>
      <c r="P50" s="286"/>
      <c r="Q50" s="286"/>
      <c r="R50" s="286"/>
      <c r="S50" s="286"/>
      <c r="T50" s="286"/>
      <c r="U50" s="287"/>
    </row>
    <row r="51" spans="3:21" x14ac:dyDescent="0.25">
      <c r="C51" s="191" t="s">
        <v>399</v>
      </c>
      <c r="D51" t="s">
        <v>400</v>
      </c>
      <c r="E51" t="s">
        <v>401</v>
      </c>
      <c r="F51" s="283">
        <v>6914078</v>
      </c>
      <c r="G51" s="283">
        <v>6891377</v>
      </c>
      <c r="H51" s="283">
        <v>7146549</v>
      </c>
      <c r="I51" s="283">
        <v>7147908</v>
      </c>
      <c r="J51" s="283">
        <v>6913996</v>
      </c>
      <c r="K51" s="283">
        <v>6914923</v>
      </c>
      <c r="L51" s="283">
        <v>7479078</v>
      </c>
      <c r="M51" s="283">
        <v>6946722</v>
      </c>
      <c r="N51" s="283">
        <v>6794458</v>
      </c>
      <c r="O51" s="283">
        <v>6793038</v>
      </c>
      <c r="P51" s="283">
        <v>6915940</v>
      </c>
      <c r="Q51" s="283">
        <v>6914818</v>
      </c>
      <c r="R51" s="283">
        <v>6436478</v>
      </c>
      <c r="S51" s="283">
        <v>9462222</v>
      </c>
      <c r="T51" s="283">
        <v>6838474</v>
      </c>
      <c r="U51" s="284">
        <v>7084146</v>
      </c>
    </row>
    <row r="52" spans="3:21" x14ac:dyDescent="0.25">
      <c r="C52" s="191" t="s">
        <v>402</v>
      </c>
      <c r="D52" t="s">
        <v>403</v>
      </c>
      <c r="E52" t="s">
        <v>404</v>
      </c>
      <c r="F52" s="283">
        <v>5441131</v>
      </c>
      <c r="G52" s="283">
        <v>5394714</v>
      </c>
      <c r="H52" s="283">
        <v>5731201</v>
      </c>
      <c r="I52" s="283">
        <v>5732494</v>
      </c>
      <c r="J52" s="283">
        <v>5440210</v>
      </c>
      <c r="K52" s="283">
        <v>5441213</v>
      </c>
      <c r="L52" s="283">
        <v>6111918</v>
      </c>
      <c r="M52" s="283">
        <v>5520658</v>
      </c>
      <c r="N52" s="283">
        <v>5299715</v>
      </c>
      <c r="O52" s="283">
        <v>5298685</v>
      </c>
      <c r="P52" s="283">
        <v>5442277</v>
      </c>
      <c r="Q52" s="283">
        <v>5441314</v>
      </c>
      <c r="R52" s="283">
        <v>4950549</v>
      </c>
      <c r="S52" s="283">
        <v>10412404</v>
      </c>
      <c r="T52" s="283">
        <v>5416729</v>
      </c>
      <c r="U52" s="284">
        <v>5632969</v>
      </c>
    </row>
    <row r="53" spans="3:21" x14ac:dyDescent="0.25">
      <c r="C53" s="191" t="s">
        <v>405</v>
      </c>
      <c r="D53" t="s">
        <v>406</v>
      </c>
      <c r="E53" t="s">
        <v>407</v>
      </c>
      <c r="F53" s="283">
        <v>6955186</v>
      </c>
      <c r="G53" s="283">
        <v>6917579</v>
      </c>
      <c r="H53" s="283">
        <v>7219678</v>
      </c>
      <c r="I53" s="283">
        <v>7221147</v>
      </c>
      <c r="J53" s="283">
        <v>6954894</v>
      </c>
      <c r="K53" s="283">
        <v>6955765</v>
      </c>
      <c r="L53" s="283">
        <v>7588923</v>
      </c>
      <c r="M53" s="283">
        <v>7012013</v>
      </c>
      <c r="N53" s="283">
        <v>6822786</v>
      </c>
      <c r="O53" s="283">
        <v>6821708</v>
      </c>
      <c r="P53" s="283">
        <v>6956669</v>
      </c>
      <c r="Q53" s="283">
        <v>6955748</v>
      </c>
      <c r="R53" s="283">
        <v>6446652</v>
      </c>
      <c r="S53" s="283">
        <v>10463446</v>
      </c>
      <c r="T53" s="283">
        <v>6899520</v>
      </c>
      <c r="U53" s="284">
        <v>7141231</v>
      </c>
    </row>
    <row r="54" spans="3:21" x14ac:dyDescent="0.25">
      <c r="C54" s="191" t="s">
        <v>408</v>
      </c>
      <c r="D54" t="s">
        <v>409</v>
      </c>
      <c r="E54" t="s">
        <v>410</v>
      </c>
      <c r="F54" s="283">
        <v>5739883</v>
      </c>
      <c r="G54" s="283">
        <v>5703542</v>
      </c>
      <c r="H54" s="283">
        <v>5950763</v>
      </c>
      <c r="I54" s="283">
        <v>5952160</v>
      </c>
      <c r="J54" s="283">
        <v>5739787</v>
      </c>
      <c r="K54" s="283">
        <v>5740624</v>
      </c>
      <c r="L54" s="283">
        <v>6259792</v>
      </c>
      <c r="M54" s="283">
        <v>5784839</v>
      </c>
      <c r="N54" s="283">
        <v>5634496</v>
      </c>
      <c r="O54" s="283">
        <v>5633477</v>
      </c>
      <c r="P54" s="283">
        <v>5741417</v>
      </c>
      <c r="Q54" s="283">
        <v>5740522</v>
      </c>
      <c r="R54" s="283">
        <v>5306537</v>
      </c>
      <c r="S54" s="283">
        <v>8238585</v>
      </c>
      <c r="T54" s="283">
        <v>5687527</v>
      </c>
      <c r="U54" s="284">
        <v>5889922</v>
      </c>
    </row>
    <row r="55" spans="3:21" x14ac:dyDescent="0.25">
      <c r="C55" s="191" t="s">
        <v>411</v>
      </c>
      <c r="F55" s="286"/>
      <c r="G55" s="286"/>
      <c r="H55" s="286"/>
      <c r="I55" s="286"/>
      <c r="J55" s="286"/>
      <c r="K55" s="286"/>
      <c r="L55" s="286"/>
      <c r="M55" s="286"/>
      <c r="N55" s="286"/>
      <c r="O55" s="286"/>
      <c r="P55" s="286"/>
      <c r="Q55" s="286"/>
      <c r="R55" s="286"/>
      <c r="S55" s="286"/>
      <c r="T55" s="286"/>
      <c r="U55" s="287"/>
    </row>
    <row r="56" spans="3:21" x14ac:dyDescent="0.25">
      <c r="C56" s="191" t="s">
        <v>412</v>
      </c>
      <c r="D56" t="s">
        <v>413</v>
      </c>
      <c r="E56" t="s">
        <v>414</v>
      </c>
      <c r="F56" s="283">
        <v>147703</v>
      </c>
      <c r="G56" s="283">
        <v>147326</v>
      </c>
      <c r="H56" s="283">
        <v>153265</v>
      </c>
      <c r="I56" s="283">
        <v>153294</v>
      </c>
      <c r="J56" s="283">
        <v>147700</v>
      </c>
      <c r="K56" s="283">
        <v>147722</v>
      </c>
      <c r="L56" s="283">
        <v>159593</v>
      </c>
      <c r="M56" s="283">
        <v>148330</v>
      </c>
      <c r="N56" s="283">
        <v>144665</v>
      </c>
      <c r="O56" s="283">
        <v>144632</v>
      </c>
      <c r="P56" s="283">
        <v>147747</v>
      </c>
      <c r="Q56" s="283">
        <v>147719</v>
      </c>
      <c r="R56" s="283">
        <v>137675</v>
      </c>
      <c r="S56" s="283">
        <v>202457</v>
      </c>
      <c r="T56" s="283">
        <v>145676</v>
      </c>
      <c r="U56" s="284">
        <v>151540</v>
      </c>
    </row>
    <row r="57" spans="3:21" x14ac:dyDescent="0.25">
      <c r="C57" s="191" t="s">
        <v>415</v>
      </c>
      <c r="D57" t="s">
        <v>416</v>
      </c>
      <c r="E57" t="s">
        <v>417</v>
      </c>
      <c r="F57" s="283">
        <v>116125</v>
      </c>
      <c r="G57" s="283">
        <v>115583</v>
      </c>
      <c r="H57" s="283">
        <v>123052</v>
      </c>
      <c r="I57" s="283">
        <v>123082</v>
      </c>
      <c r="J57" s="283">
        <v>116104</v>
      </c>
      <c r="K57" s="283">
        <v>116129</v>
      </c>
      <c r="L57" s="283">
        <v>130742</v>
      </c>
      <c r="M57" s="283">
        <v>117487</v>
      </c>
      <c r="N57" s="283">
        <v>112537</v>
      </c>
      <c r="O57" s="283">
        <v>112513</v>
      </c>
      <c r="P57" s="283">
        <v>116152</v>
      </c>
      <c r="Q57" s="283">
        <v>116129</v>
      </c>
      <c r="R57" s="283">
        <v>105528</v>
      </c>
      <c r="S57" s="283">
        <v>229916</v>
      </c>
      <c r="T57" s="283">
        <v>114949</v>
      </c>
      <c r="U57" s="284">
        <v>120568</v>
      </c>
    </row>
    <row r="58" spans="3:21" x14ac:dyDescent="0.25">
      <c r="C58" s="191" t="s">
        <v>418</v>
      </c>
      <c r="D58" t="s">
        <v>419</v>
      </c>
      <c r="E58" t="s">
        <v>420</v>
      </c>
      <c r="F58" s="283">
        <v>153546</v>
      </c>
      <c r="G58" s="283">
        <v>152949</v>
      </c>
      <c r="H58" s="283">
        <v>160024</v>
      </c>
      <c r="I58" s="283">
        <v>160058</v>
      </c>
      <c r="J58" s="283">
        <v>153540</v>
      </c>
      <c r="K58" s="283">
        <v>153561</v>
      </c>
      <c r="L58" s="283">
        <v>167511</v>
      </c>
      <c r="M58" s="283">
        <v>154623</v>
      </c>
      <c r="N58" s="283">
        <v>150111</v>
      </c>
      <c r="O58" s="283">
        <v>150087</v>
      </c>
      <c r="P58" s="283">
        <v>153580</v>
      </c>
      <c r="Q58" s="283">
        <v>153558</v>
      </c>
      <c r="R58" s="283">
        <v>142382</v>
      </c>
      <c r="S58" s="283">
        <v>233123</v>
      </c>
      <c r="T58" s="283">
        <v>151786</v>
      </c>
      <c r="U58" s="284">
        <v>157932</v>
      </c>
    </row>
    <row r="59" spans="3:21" x14ac:dyDescent="0.25">
      <c r="C59" s="191" t="s">
        <v>421</v>
      </c>
      <c r="D59" t="s">
        <v>422</v>
      </c>
      <c r="E59" t="s">
        <v>423</v>
      </c>
      <c r="F59" s="283">
        <v>126007</v>
      </c>
      <c r="G59" s="283">
        <v>125348</v>
      </c>
      <c r="H59" s="283">
        <v>131184</v>
      </c>
      <c r="I59" s="283">
        <v>131216</v>
      </c>
      <c r="J59" s="283">
        <v>126005</v>
      </c>
      <c r="K59" s="283">
        <v>126025</v>
      </c>
      <c r="L59" s="283">
        <v>137308</v>
      </c>
      <c r="M59" s="283">
        <v>126896</v>
      </c>
      <c r="N59" s="283">
        <v>123260</v>
      </c>
      <c r="O59" s="283">
        <v>123236</v>
      </c>
      <c r="P59" s="283">
        <v>126043</v>
      </c>
      <c r="Q59" s="283">
        <v>126022</v>
      </c>
      <c r="R59" s="283">
        <v>116614</v>
      </c>
      <c r="S59" s="283">
        <v>181613</v>
      </c>
      <c r="T59" s="283">
        <v>124440</v>
      </c>
      <c r="U59" s="284">
        <v>129534</v>
      </c>
    </row>
    <row r="60" spans="3:21" x14ac:dyDescent="0.25">
      <c r="C60" s="191"/>
      <c r="F60" s="286"/>
      <c r="G60" s="286"/>
      <c r="H60" s="286"/>
      <c r="I60" s="286"/>
      <c r="J60" s="286"/>
      <c r="K60" s="286"/>
      <c r="L60" s="286"/>
      <c r="M60" s="286"/>
      <c r="N60" s="286"/>
      <c r="O60" s="286"/>
      <c r="P60" s="286"/>
      <c r="Q60" s="286"/>
      <c r="R60" s="286"/>
      <c r="S60" s="286"/>
      <c r="T60" s="286"/>
      <c r="U60" s="287"/>
    </row>
    <row r="61" spans="3:21" x14ac:dyDescent="0.25">
      <c r="C61" s="191" t="s">
        <v>424</v>
      </c>
      <c r="F61" s="286"/>
      <c r="G61" s="286"/>
      <c r="H61" s="286"/>
      <c r="I61" s="286"/>
      <c r="J61" s="286"/>
      <c r="K61" s="286"/>
      <c r="L61" s="286"/>
      <c r="M61" s="286"/>
      <c r="N61" s="286"/>
      <c r="O61" s="286"/>
      <c r="P61" s="286"/>
      <c r="Q61" s="286"/>
      <c r="R61" s="286"/>
      <c r="S61" s="286"/>
      <c r="T61" s="286"/>
      <c r="U61" s="287"/>
    </row>
    <row r="62" spans="3:21" x14ac:dyDescent="0.25">
      <c r="C62" s="191" t="s">
        <v>425</v>
      </c>
      <c r="D62" t="s">
        <v>426</v>
      </c>
      <c r="E62" t="s">
        <v>334</v>
      </c>
      <c r="F62" s="283">
        <v>180021</v>
      </c>
      <c r="G62" s="283">
        <v>195132</v>
      </c>
      <c r="H62" s="283">
        <v>176777</v>
      </c>
      <c r="I62" s="283">
        <v>177099</v>
      </c>
      <c r="J62" s="283">
        <v>179739</v>
      </c>
      <c r="K62" s="283">
        <v>179989</v>
      </c>
      <c r="L62" s="283">
        <v>190413</v>
      </c>
      <c r="M62" s="283">
        <v>167623</v>
      </c>
      <c r="N62" s="283">
        <v>182343</v>
      </c>
      <c r="O62" s="283">
        <v>182095</v>
      </c>
      <c r="P62" s="283">
        <v>180265</v>
      </c>
      <c r="Q62" s="283">
        <v>180029</v>
      </c>
      <c r="R62" s="283">
        <v>171149</v>
      </c>
      <c r="S62" s="283">
        <v>212439</v>
      </c>
      <c r="T62" s="283">
        <v>169203</v>
      </c>
      <c r="U62" s="284">
        <v>187391</v>
      </c>
    </row>
    <row r="63" spans="3:21" x14ac:dyDescent="0.25">
      <c r="C63" s="191" t="s">
        <v>427</v>
      </c>
      <c r="D63" t="s">
        <v>428</v>
      </c>
      <c r="E63" t="s">
        <v>337</v>
      </c>
      <c r="F63" s="283">
        <v>211851</v>
      </c>
      <c r="G63" s="283">
        <v>243047</v>
      </c>
      <c r="H63" s="283">
        <v>206991</v>
      </c>
      <c r="I63" s="283">
        <v>207259</v>
      </c>
      <c r="J63" s="283">
        <v>211616</v>
      </c>
      <c r="K63" s="283">
        <v>211826</v>
      </c>
      <c r="L63" s="283">
        <v>234920</v>
      </c>
      <c r="M63" s="283">
        <v>187872</v>
      </c>
      <c r="N63" s="283">
        <v>215032</v>
      </c>
      <c r="O63" s="283">
        <v>214838</v>
      </c>
      <c r="P63" s="283">
        <v>212039</v>
      </c>
      <c r="Q63" s="283">
        <v>211860</v>
      </c>
      <c r="R63" s="283">
        <v>193599</v>
      </c>
      <c r="S63" s="283">
        <v>265312</v>
      </c>
      <c r="T63" s="283">
        <v>190744</v>
      </c>
      <c r="U63" s="284">
        <v>225527</v>
      </c>
    </row>
    <row r="64" spans="3:21" x14ac:dyDescent="0.25">
      <c r="C64" s="191" t="s">
        <v>429</v>
      </c>
      <c r="D64" t="s">
        <v>430</v>
      </c>
      <c r="E64" t="s">
        <v>340</v>
      </c>
      <c r="F64" s="283">
        <v>184500</v>
      </c>
      <c r="G64" s="283">
        <v>202796</v>
      </c>
      <c r="H64" s="283">
        <v>180948</v>
      </c>
      <c r="I64" s="283">
        <v>181227</v>
      </c>
      <c r="J64" s="283">
        <v>184257</v>
      </c>
      <c r="K64" s="283">
        <v>184473</v>
      </c>
      <c r="L64" s="283">
        <v>197278</v>
      </c>
      <c r="M64" s="283">
        <v>169872</v>
      </c>
      <c r="N64" s="283">
        <v>186944</v>
      </c>
      <c r="O64" s="283">
        <v>186734</v>
      </c>
      <c r="P64" s="283">
        <v>184705</v>
      </c>
      <c r="Q64" s="283">
        <v>184508</v>
      </c>
      <c r="R64" s="283">
        <v>173896</v>
      </c>
      <c r="S64" s="283">
        <v>217128</v>
      </c>
      <c r="T64" s="283">
        <v>171564</v>
      </c>
      <c r="U64" s="284">
        <v>192998</v>
      </c>
    </row>
    <row r="65" spans="3:21" x14ac:dyDescent="0.25">
      <c r="C65" s="191" t="s">
        <v>431</v>
      </c>
      <c r="D65" t="s">
        <v>432</v>
      </c>
      <c r="E65" t="s">
        <v>343</v>
      </c>
      <c r="F65" s="283">
        <v>103156</v>
      </c>
      <c r="G65" s="283">
        <v>114428</v>
      </c>
      <c r="H65" s="283">
        <v>100333</v>
      </c>
      <c r="I65" s="283">
        <v>100603</v>
      </c>
      <c r="J65" s="283">
        <v>102917</v>
      </c>
      <c r="K65" s="283">
        <v>103129</v>
      </c>
      <c r="L65" s="283">
        <v>110144</v>
      </c>
      <c r="M65" s="283">
        <v>93887</v>
      </c>
      <c r="N65" s="283">
        <v>105135</v>
      </c>
      <c r="O65" s="283">
        <v>104927</v>
      </c>
      <c r="P65" s="283">
        <v>103359</v>
      </c>
      <c r="Q65" s="283">
        <v>103162</v>
      </c>
      <c r="R65" s="283">
        <v>97095</v>
      </c>
      <c r="S65" s="283">
        <v>120680</v>
      </c>
      <c r="T65" s="283">
        <v>95149</v>
      </c>
      <c r="U65" s="284">
        <v>108640</v>
      </c>
    </row>
    <row r="66" spans="3:21" x14ac:dyDescent="0.25">
      <c r="C66" s="191" t="s">
        <v>433</v>
      </c>
      <c r="F66" s="286"/>
      <c r="G66" s="286"/>
      <c r="H66" s="286"/>
      <c r="I66" s="286"/>
      <c r="J66" s="286"/>
      <c r="K66" s="286"/>
      <c r="L66" s="286"/>
      <c r="M66" s="286"/>
      <c r="N66" s="286"/>
      <c r="O66" s="286"/>
      <c r="P66" s="286"/>
      <c r="Q66" s="286"/>
      <c r="R66" s="286"/>
      <c r="S66" s="286"/>
      <c r="T66" s="286"/>
      <c r="U66" s="287"/>
    </row>
    <row r="67" spans="3:21" x14ac:dyDescent="0.25">
      <c r="C67" s="191" t="s">
        <v>434</v>
      </c>
      <c r="D67" t="s">
        <v>435</v>
      </c>
      <c r="E67" t="s">
        <v>401</v>
      </c>
      <c r="F67" s="283">
        <v>1923611</v>
      </c>
      <c r="G67" s="283">
        <v>2097394</v>
      </c>
      <c r="H67" s="283">
        <v>1887323</v>
      </c>
      <c r="I67" s="283">
        <v>1889506</v>
      </c>
      <c r="J67" s="283">
        <v>1921797</v>
      </c>
      <c r="K67" s="283">
        <v>1923359</v>
      </c>
      <c r="L67" s="283">
        <v>2041602</v>
      </c>
      <c r="M67" s="283">
        <v>1781208</v>
      </c>
      <c r="N67" s="283">
        <v>1947855</v>
      </c>
      <c r="O67" s="283">
        <v>1946296</v>
      </c>
      <c r="P67" s="283">
        <v>1925269</v>
      </c>
      <c r="Q67" s="283">
        <v>1923674</v>
      </c>
      <c r="R67" s="283">
        <v>1821503</v>
      </c>
      <c r="S67" s="283">
        <v>2296894</v>
      </c>
      <c r="T67" s="283">
        <v>1756276</v>
      </c>
      <c r="U67" s="284">
        <v>2048084</v>
      </c>
    </row>
    <row r="68" spans="3:21" x14ac:dyDescent="0.25">
      <c r="C68" s="191" t="s">
        <v>436</v>
      </c>
      <c r="D68" t="s">
        <v>437</v>
      </c>
      <c r="E68" t="s">
        <v>404</v>
      </c>
      <c r="F68" s="283">
        <v>2110586</v>
      </c>
      <c r="G68" s="283">
        <v>2413904</v>
      </c>
      <c r="H68" s="283">
        <v>2061915</v>
      </c>
      <c r="I68" s="283">
        <v>2063741</v>
      </c>
      <c r="J68" s="283">
        <v>2109060</v>
      </c>
      <c r="K68" s="283">
        <v>2110374</v>
      </c>
      <c r="L68" s="283">
        <v>2331055</v>
      </c>
      <c r="M68" s="283">
        <v>1877222</v>
      </c>
      <c r="N68" s="283">
        <v>2141319</v>
      </c>
      <c r="O68" s="283">
        <v>2140075</v>
      </c>
      <c r="P68" s="283">
        <v>2111836</v>
      </c>
      <c r="Q68" s="283">
        <v>2110658</v>
      </c>
      <c r="R68" s="283">
        <v>1934169</v>
      </c>
      <c r="S68" s="283">
        <v>2640010</v>
      </c>
      <c r="T68" s="283">
        <v>1789540</v>
      </c>
      <c r="U68" s="284">
        <v>2337912</v>
      </c>
    </row>
    <row r="69" spans="3:21" x14ac:dyDescent="0.25">
      <c r="C69" s="191" t="s">
        <v>438</v>
      </c>
      <c r="D69" t="s">
        <v>439</v>
      </c>
      <c r="E69" t="s">
        <v>407</v>
      </c>
      <c r="F69" s="283">
        <v>1924358</v>
      </c>
      <c r="G69" s="283">
        <v>2122900</v>
      </c>
      <c r="H69" s="283">
        <v>1886310</v>
      </c>
      <c r="I69" s="283">
        <v>1888200</v>
      </c>
      <c r="J69" s="283">
        <v>1922796</v>
      </c>
      <c r="K69" s="283">
        <v>1924134</v>
      </c>
      <c r="L69" s="283">
        <v>2061584</v>
      </c>
      <c r="M69" s="283">
        <v>1765562</v>
      </c>
      <c r="N69" s="283">
        <v>1949164</v>
      </c>
      <c r="O69" s="283">
        <v>1947840</v>
      </c>
      <c r="P69" s="283">
        <v>1925738</v>
      </c>
      <c r="Q69" s="283">
        <v>1924424</v>
      </c>
      <c r="R69" s="283">
        <v>1809039</v>
      </c>
      <c r="S69" s="283">
        <v>2293754</v>
      </c>
      <c r="T69" s="283">
        <v>1723375</v>
      </c>
      <c r="U69" s="284">
        <v>2068896</v>
      </c>
    </row>
    <row r="70" spans="3:21" x14ac:dyDescent="0.25">
      <c r="C70" s="191" t="s">
        <v>440</v>
      </c>
      <c r="D70" t="s">
        <v>441</v>
      </c>
      <c r="E70" t="s">
        <v>410</v>
      </c>
      <c r="F70" s="283">
        <v>1245642</v>
      </c>
      <c r="G70" s="283">
        <v>1383575</v>
      </c>
      <c r="H70" s="283">
        <v>1213985</v>
      </c>
      <c r="I70" s="283">
        <v>1215817</v>
      </c>
      <c r="J70" s="283">
        <v>1244115</v>
      </c>
      <c r="K70" s="283">
        <v>1245431</v>
      </c>
      <c r="L70" s="283">
        <v>1333171</v>
      </c>
      <c r="M70" s="283">
        <v>1132590</v>
      </c>
      <c r="N70" s="283">
        <v>1266418</v>
      </c>
      <c r="O70" s="283">
        <v>1265118</v>
      </c>
      <c r="P70" s="283">
        <v>1247015</v>
      </c>
      <c r="Q70" s="283">
        <v>1245691</v>
      </c>
      <c r="R70" s="283">
        <v>1169195</v>
      </c>
      <c r="S70" s="283">
        <v>1485891</v>
      </c>
      <c r="T70" s="283">
        <v>1113496</v>
      </c>
      <c r="U70" s="284">
        <v>1344888</v>
      </c>
    </row>
    <row r="71" spans="3:21" x14ac:dyDescent="0.25">
      <c r="C71" s="191" t="s">
        <v>442</v>
      </c>
      <c r="F71" s="286"/>
      <c r="G71" s="286"/>
      <c r="H71" s="286"/>
      <c r="I71" s="286"/>
      <c r="J71" s="286"/>
      <c r="K71" s="286"/>
      <c r="L71" s="286"/>
      <c r="M71" s="286"/>
      <c r="N71" s="286"/>
      <c r="O71" s="286"/>
      <c r="P71" s="286"/>
      <c r="Q71" s="286"/>
      <c r="R71" s="286"/>
      <c r="S71" s="286"/>
      <c r="T71" s="286"/>
      <c r="U71" s="287"/>
    </row>
    <row r="72" spans="3:21" x14ac:dyDescent="0.25">
      <c r="C72" s="191" t="s">
        <v>443</v>
      </c>
      <c r="D72" t="s">
        <v>444</v>
      </c>
      <c r="E72" t="s">
        <v>414</v>
      </c>
      <c r="F72" s="283">
        <v>82827</v>
      </c>
      <c r="G72" s="283">
        <v>90345</v>
      </c>
      <c r="H72" s="283">
        <v>81092</v>
      </c>
      <c r="I72" s="283">
        <v>81221</v>
      </c>
      <c r="J72" s="283">
        <v>82719</v>
      </c>
      <c r="K72" s="283">
        <v>82813</v>
      </c>
      <c r="L72" s="283">
        <v>87809</v>
      </c>
      <c r="M72" s="283">
        <v>76654</v>
      </c>
      <c r="N72" s="283">
        <v>84043</v>
      </c>
      <c r="O72" s="283">
        <v>83948</v>
      </c>
      <c r="P72" s="283">
        <v>82924</v>
      </c>
      <c r="Q72" s="283">
        <v>82831</v>
      </c>
      <c r="R72" s="283">
        <v>78502</v>
      </c>
      <c r="S72" s="283">
        <v>98001</v>
      </c>
      <c r="T72" s="283">
        <v>75768</v>
      </c>
      <c r="U72" s="284">
        <v>88023</v>
      </c>
    </row>
    <row r="73" spans="3:21" x14ac:dyDescent="0.25">
      <c r="C73" s="191" t="s">
        <v>445</v>
      </c>
      <c r="D73" t="s">
        <v>446</v>
      </c>
      <c r="E73" t="s">
        <v>417</v>
      </c>
      <c r="F73" s="283">
        <v>92448</v>
      </c>
      <c r="G73" s="283">
        <v>105788</v>
      </c>
      <c r="H73" s="283">
        <v>90132</v>
      </c>
      <c r="I73" s="283">
        <v>90237</v>
      </c>
      <c r="J73" s="283">
        <v>92359</v>
      </c>
      <c r="K73" s="283">
        <v>92437</v>
      </c>
      <c r="L73" s="283">
        <v>102032</v>
      </c>
      <c r="M73" s="283">
        <v>82170</v>
      </c>
      <c r="N73" s="283">
        <v>93964</v>
      </c>
      <c r="O73" s="283">
        <v>93891</v>
      </c>
      <c r="P73" s="283">
        <v>92520</v>
      </c>
      <c r="Q73" s="283">
        <v>92452</v>
      </c>
      <c r="R73" s="283">
        <v>84754</v>
      </c>
      <c r="S73" s="283">
        <v>112942</v>
      </c>
      <c r="T73" s="283">
        <v>78641</v>
      </c>
      <c r="U73" s="284">
        <v>102169</v>
      </c>
    </row>
    <row r="74" spans="3:21" x14ac:dyDescent="0.25">
      <c r="C74" s="191" t="s">
        <v>447</v>
      </c>
      <c r="D74" t="s">
        <v>448</v>
      </c>
      <c r="E74" t="s">
        <v>420</v>
      </c>
      <c r="F74" s="283">
        <v>80948</v>
      </c>
      <c r="G74" s="283">
        <v>89328</v>
      </c>
      <c r="H74" s="283">
        <v>79202</v>
      </c>
      <c r="I74" s="283">
        <v>79312</v>
      </c>
      <c r="J74" s="283">
        <v>80855</v>
      </c>
      <c r="K74" s="283">
        <v>80937</v>
      </c>
      <c r="L74" s="283">
        <v>86653</v>
      </c>
      <c r="M74" s="283">
        <v>74237</v>
      </c>
      <c r="N74" s="283">
        <v>82135</v>
      </c>
      <c r="O74" s="283">
        <v>82055</v>
      </c>
      <c r="P74" s="283">
        <v>81029</v>
      </c>
      <c r="Q74" s="283">
        <v>80952</v>
      </c>
      <c r="R74" s="283">
        <v>76141</v>
      </c>
      <c r="S74" s="283">
        <v>95069</v>
      </c>
      <c r="T74" s="283">
        <v>72572</v>
      </c>
      <c r="U74" s="284">
        <v>86923</v>
      </c>
    </row>
    <row r="75" spans="3:21" x14ac:dyDescent="0.25">
      <c r="C75" s="191" t="s">
        <v>449</v>
      </c>
      <c r="D75" t="s">
        <v>450</v>
      </c>
      <c r="E75" t="s">
        <v>423</v>
      </c>
      <c r="F75" s="283">
        <v>52010</v>
      </c>
      <c r="G75" s="283">
        <v>57777</v>
      </c>
      <c r="H75" s="283">
        <v>50564</v>
      </c>
      <c r="I75" s="283">
        <v>50672</v>
      </c>
      <c r="J75" s="283">
        <v>51918</v>
      </c>
      <c r="K75" s="283">
        <v>52000</v>
      </c>
      <c r="L75" s="283">
        <v>55597</v>
      </c>
      <c r="M75" s="283">
        <v>47277</v>
      </c>
      <c r="N75" s="283">
        <v>53005</v>
      </c>
      <c r="O75" s="283">
        <v>52926</v>
      </c>
      <c r="P75" s="283">
        <v>52091</v>
      </c>
      <c r="Q75" s="283">
        <v>52013</v>
      </c>
      <c r="R75" s="283">
        <v>48866</v>
      </c>
      <c r="S75" s="283">
        <v>61234</v>
      </c>
      <c r="T75" s="283">
        <v>46582</v>
      </c>
      <c r="U75" s="284">
        <v>56048</v>
      </c>
    </row>
    <row r="76" spans="3:21" x14ac:dyDescent="0.25">
      <c r="C76" s="191"/>
      <c r="F76" s="286"/>
      <c r="G76" s="286"/>
      <c r="H76" s="286"/>
      <c r="I76" s="286"/>
      <c r="J76" s="286"/>
      <c r="K76" s="286"/>
      <c r="L76" s="286"/>
      <c r="M76" s="286"/>
      <c r="N76" s="286"/>
      <c r="O76" s="286"/>
      <c r="P76" s="286"/>
      <c r="Q76" s="286"/>
      <c r="R76" s="286"/>
      <c r="S76" s="286"/>
      <c r="T76" s="286"/>
      <c r="U76" s="287"/>
    </row>
    <row r="77" spans="3:21" x14ac:dyDescent="0.25">
      <c r="C77" s="191" t="s">
        <v>451</v>
      </c>
      <c r="F77" s="286"/>
      <c r="G77" s="286"/>
      <c r="H77" s="286"/>
      <c r="I77" s="286"/>
      <c r="J77" s="286"/>
      <c r="K77" s="286"/>
      <c r="L77" s="286"/>
      <c r="M77" s="286"/>
      <c r="N77" s="286"/>
      <c r="O77" s="286"/>
      <c r="P77" s="286"/>
      <c r="Q77" s="286"/>
      <c r="R77" s="286"/>
      <c r="S77" s="286"/>
      <c r="T77" s="286"/>
      <c r="U77" s="287"/>
    </row>
    <row r="78" spans="3:21" x14ac:dyDescent="0.25">
      <c r="C78" s="191" t="s">
        <v>452</v>
      </c>
      <c r="D78" t="s">
        <v>453</v>
      </c>
      <c r="E78" t="s">
        <v>334</v>
      </c>
      <c r="F78" s="283">
        <v>1102</v>
      </c>
      <c r="G78" s="283">
        <v>1085</v>
      </c>
      <c r="H78" s="283">
        <v>1146</v>
      </c>
      <c r="I78" s="283">
        <v>1104</v>
      </c>
      <c r="J78" s="283">
        <v>1102</v>
      </c>
      <c r="K78" s="283">
        <v>1143</v>
      </c>
      <c r="L78" s="283">
        <v>1191</v>
      </c>
      <c r="M78" s="283">
        <v>1120</v>
      </c>
      <c r="N78" s="283">
        <v>1092</v>
      </c>
      <c r="O78" s="283">
        <v>1102</v>
      </c>
      <c r="P78" s="283">
        <v>1102</v>
      </c>
      <c r="Q78" s="283">
        <v>1092</v>
      </c>
      <c r="R78" s="283">
        <v>1028</v>
      </c>
      <c r="S78" s="283">
        <v>1525</v>
      </c>
      <c r="T78" s="283">
        <v>1123</v>
      </c>
      <c r="U78" s="284">
        <v>1089</v>
      </c>
    </row>
    <row r="79" spans="3:21" x14ac:dyDescent="0.25">
      <c r="C79" s="191" t="s">
        <v>454</v>
      </c>
      <c r="D79" t="s">
        <v>455</v>
      </c>
      <c r="E79" t="s">
        <v>337</v>
      </c>
      <c r="F79" s="283">
        <v>775</v>
      </c>
      <c r="G79" s="283">
        <v>771</v>
      </c>
      <c r="H79" s="283">
        <v>820</v>
      </c>
      <c r="I79" s="283">
        <v>780</v>
      </c>
      <c r="J79" s="283">
        <v>776</v>
      </c>
      <c r="K79" s="283">
        <v>813</v>
      </c>
      <c r="L79" s="283">
        <v>880</v>
      </c>
      <c r="M79" s="283">
        <v>787</v>
      </c>
      <c r="N79" s="283">
        <v>761</v>
      </c>
      <c r="O79" s="283">
        <v>773</v>
      </c>
      <c r="P79" s="283">
        <v>775</v>
      </c>
      <c r="Q79" s="283">
        <v>763</v>
      </c>
      <c r="R79" s="283">
        <v>698</v>
      </c>
      <c r="S79" s="283">
        <v>1675</v>
      </c>
      <c r="T79" s="283">
        <v>791</v>
      </c>
      <c r="U79" s="284">
        <v>770</v>
      </c>
    </row>
    <row r="80" spans="3:21" x14ac:dyDescent="0.25">
      <c r="C80" s="191" t="s">
        <v>456</v>
      </c>
      <c r="D80" t="s">
        <v>457</v>
      </c>
      <c r="E80" t="s">
        <v>340</v>
      </c>
      <c r="F80" s="283">
        <v>879</v>
      </c>
      <c r="G80" s="283">
        <v>874</v>
      </c>
      <c r="H80" s="283">
        <v>913</v>
      </c>
      <c r="I80" s="283">
        <v>883</v>
      </c>
      <c r="J80" s="283">
        <v>879</v>
      </c>
      <c r="K80" s="283">
        <v>908</v>
      </c>
      <c r="L80" s="283">
        <v>963</v>
      </c>
      <c r="M80" s="283">
        <v>888</v>
      </c>
      <c r="N80" s="283">
        <v>869</v>
      </c>
      <c r="O80" s="283">
        <v>877</v>
      </c>
      <c r="P80" s="283">
        <v>879</v>
      </c>
      <c r="Q80" s="283">
        <v>871</v>
      </c>
      <c r="R80" s="283">
        <v>812</v>
      </c>
      <c r="S80" s="283">
        <v>1462</v>
      </c>
      <c r="T80" s="283">
        <v>892</v>
      </c>
      <c r="U80" s="284">
        <v>874</v>
      </c>
    </row>
    <row r="81" spans="3:21" x14ac:dyDescent="0.25">
      <c r="C81" s="191" t="s">
        <v>458</v>
      </c>
      <c r="D81" t="s">
        <v>459</v>
      </c>
      <c r="E81" t="s">
        <v>343</v>
      </c>
      <c r="F81" s="283">
        <v>694</v>
      </c>
      <c r="G81" s="283">
        <v>685</v>
      </c>
      <c r="H81" s="283">
        <v>723</v>
      </c>
      <c r="I81" s="283">
        <v>696</v>
      </c>
      <c r="J81" s="283">
        <v>694</v>
      </c>
      <c r="K81" s="283">
        <v>720</v>
      </c>
      <c r="L81" s="283">
        <v>762</v>
      </c>
      <c r="M81" s="283">
        <v>704</v>
      </c>
      <c r="N81" s="283">
        <v>686</v>
      </c>
      <c r="O81" s="283">
        <v>693</v>
      </c>
      <c r="P81" s="283">
        <v>694</v>
      </c>
      <c r="Q81" s="283">
        <v>687</v>
      </c>
      <c r="R81" s="283">
        <v>637</v>
      </c>
      <c r="S81" s="283">
        <v>1085</v>
      </c>
      <c r="T81" s="283">
        <v>707</v>
      </c>
      <c r="U81" s="284">
        <v>687</v>
      </c>
    </row>
    <row r="82" spans="3:21" x14ac:dyDescent="0.25">
      <c r="C82" s="191" t="s">
        <v>460</v>
      </c>
      <c r="F82" s="286"/>
      <c r="G82" s="286"/>
      <c r="H82" s="286"/>
      <c r="I82" s="286"/>
      <c r="J82" s="286"/>
      <c r="K82" s="286"/>
      <c r="L82" s="286"/>
      <c r="M82" s="286"/>
      <c r="N82" s="286"/>
      <c r="O82" s="286"/>
      <c r="P82" s="286"/>
      <c r="Q82" s="286"/>
      <c r="R82" s="286"/>
      <c r="S82" s="286"/>
      <c r="T82" s="286"/>
      <c r="U82" s="287"/>
    </row>
    <row r="83" spans="3:21" x14ac:dyDescent="0.25">
      <c r="C83" s="191" t="s">
        <v>461</v>
      </c>
      <c r="D83" t="s">
        <v>462</v>
      </c>
      <c r="E83" t="s">
        <v>401</v>
      </c>
      <c r="F83" s="283">
        <v>4119</v>
      </c>
      <c r="G83" s="283">
        <v>4043</v>
      </c>
      <c r="H83" s="283">
        <v>4253</v>
      </c>
      <c r="I83" s="283">
        <v>4122</v>
      </c>
      <c r="J83" s="283">
        <v>4119</v>
      </c>
      <c r="K83" s="283">
        <v>4250</v>
      </c>
      <c r="L83" s="283">
        <v>4450</v>
      </c>
      <c r="M83" s="283">
        <v>4196</v>
      </c>
      <c r="N83" s="283">
        <v>4099</v>
      </c>
      <c r="O83" s="283">
        <v>4127</v>
      </c>
      <c r="P83" s="283">
        <v>4120</v>
      </c>
      <c r="Q83" s="283">
        <v>4090</v>
      </c>
      <c r="R83" s="283">
        <v>3842</v>
      </c>
      <c r="S83" s="283">
        <v>5611</v>
      </c>
      <c r="T83" s="283">
        <v>4206</v>
      </c>
      <c r="U83" s="284">
        <v>4063</v>
      </c>
    </row>
    <row r="84" spans="3:21" x14ac:dyDescent="0.25">
      <c r="C84" s="191" t="s">
        <v>463</v>
      </c>
      <c r="D84" t="s">
        <v>464</v>
      </c>
      <c r="E84" t="s">
        <v>404</v>
      </c>
      <c r="F84" s="283">
        <v>2691</v>
      </c>
      <c r="G84" s="283">
        <v>2641</v>
      </c>
      <c r="H84" s="283">
        <v>2841</v>
      </c>
      <c r="I84" s="283">
        <v>2709</v>
      </c>
      <c r="J84" s="283">
        <v>2691</v>
      </c>
      <c r="K84" s="283">
        <v>2822</v>
      </c>
      <c r="L84" s="283">
        <v>3034</v>
      </c>
      <c r="M84" s="283">
        <v>2751</v>
      </c>
      <c r="N84" s="283">
        <v>2648</v>
      </c>
      <c r="O84" s="283">
        <v>2683</v>
      </c>
      <c r="P84" s="283">
        <v>2691</v>
      </c>
      <c r="Q84" s="283">
        <v>2656</v>
      </c>
      <c r="R84" s="283">
        <v>2433</v>
      </c>
      <c r="S84" s="283">
        <v>5115</v>
      </c>
      <c r="T84" s="283">
        <v>2764</v>
      </c>
      <c r="U84" s="284">
        <v>2656</v>
      </c>
    </row>
    <row r="85" spans="3:21" x14ac:dyDescent="0.25">
      <c r="C85" s="191" t="s">
        <v>465</v>
      </c>
      <c r="D85" t="s">
        <v>466</v>
      </c>
      <c r="E85" t="s">
        <v>407</v>
      </c>
      <c r="F85" s="283">
        <v>3437</v>
      </c>
      <c r="G85" s="283">
        <v>3387</v>
      </c>
      <c r="H85" s="283">
        <v>3570</v>
      </c>
      <c r="I85" s="283">
        <v>3449</v>
      </c>
      <c r="J85" s="283">
        <v>3437</v>
      </c>
      <c r="K85" s="283">
        <v>3555</v>
      </c>
      <c r="L85" s="283">
        <v>3755</v>
      </c>
      <c r="M85" s="283">
        <v>3490</v>
      </c>
      <c r="N85" s="283">
        <v>3399</v>
      </c>
      <c r="O85" s="283">
        <v>3429</v>
      </c>
      <c r="P85" s="283">
        <v>3437</v>
      </c>
      <c r="Q85" s="283">
        <v>3407</v>
      </c>
      <c r="R85" s="283">
        <v>3177</v>
      </c>
      <c r="S85" s="283">
        <v>5201</v>
      </c>
      <c r="T85" s="283">
        <v>3497</v>
      </c>
      <c r="U85" s="284">
        <v>3407</v>
      </c>
    </row>
    <row r="86" spans="3:21" x14ac:dyDescent="0.25">
      <c r="C86" s="191" t="s">
        <v>467</v>
      </c>
      <c r="D86" t="s">
        <v>468</v>
      </c>
      <c r="E86" t="s">
        <v>410</v>
      </c>
      <c r="F86" s="283">
        <v>2871</v>
      </c>
      <c r="G86" s="283">
        <v>2814</v>
      </c>
      <c r="H86" s="283">
        <v>2980</v>
      </c>
      <c r="I86" s="283">
        <v>2879</v>
      </c>
      <c r="J86" s="283">
        <v>2871</v>
      </c>
      <c r="K86" s="283">
        <v>2971</v>
      </c>
      <c r="L86" s="283">
        <v>3140</v>
      </c>
      <c r="M86" s="283">
        <v>2926</v>
      </c>
      <c r="N86" s="283">
        <v>2843</v>
      </c>
      <c r="O86" s="283">
        <v>2868</v>
      </c>
      <c r="P86" s="283">
        <v>2871</v>
      </c>
      <c r="Q86" s="283">
        <v>2846</v>
      </c>
      <c r="R86" s="283">
        <v>2645</v>
      </c>
      <c r="S86" s="283">
        <v>4168</v>
      </c>
      <c r="T86" s="283">
        <v>2932</v>
      </c>
      <c r="U86" s="284">
        <v>2834</v>
      </c>
    </row>
    <row r="87" spans="3:21" x14ac:dyDescent="0.25">
      <c r="C87" s="191" t="s">
        <v>469</v>
      </c>
      <c r="F87" s="286"/>
      <c r="G87" s="286"/>
      <c r="H87" s="286"/>
      <c r="I87" s="286"/>
      <c r="J87" s="286"/>
      <c r="K87" s="286"/>
      <c r="L87" s="286"/>
      <c r="M87" s="286"/>
      <c r="N87" s="286"/>
      <c r="O87" s="286"/>
      <c r="P87" s="286"/>
      <c r="Q87" s="286"/>
      <c r="R87" s="286"/>
      <c r="S87" s="286"/>
      <c r="T87" s="286"/>
      <c r="U87" s="287"/>
    </row>
    <row r="88" spans="3:21" x14ac:dyDescent="0.25">
      <c r="C88" s="191" t="s">
        <v>470</v>
      </c>
      <c r="D88" t="s">
        <v>471</v>
      </c>
      <c r="E88" t="s">
        <v>414</v>
      </c>
      <c r="F88" s="283">
        <v>247</v>
      </c>
      <c r="G88" s="283">
        <v>243</v>
      </c>
      <c r="H88" s="283">
        <v>255</v>
      </c>
      <c r="I88" s="283">
        <v>247</v>
      </c>
      <c r="J88" s="283">
        <v>247</v>
      </c>
      <c r="K88" s="283">
        <v>254</v>
      </c>
      <c r="L88" s="283">
        <v>266</v>
      </c>
      <c r="M88" s="283">
        <v>251</v>
      </c>
      <c r="N88" s="283">
        <v>245</v>
      </c>
      <c r="O88" s="283">
        <v>247</v>
      </c>
      <c r="P88" s="283">
        <v>247</v>
      </c>
      <c r="Q88" s="283">
        <v>245</v>
      </c>
      <c r="R88" s="283">
        <v>231</v>
      </c>
      <c r="S88" s="283">
        <v>336</v>
      </c>
      <c r="T88" s="283">
        <v>251</v>
      </c>
      <c r="U88" s="284">
        <v>244</v>
      </c>
    </row>
    <row r="89" spans="3:21" x14ac:dyDescent="0.25">
      <c r="C89" s="191" t="s">
        <v>472</v>
      </c>
      <c r="D89" t="s">
        <v>473</v>
      </c>
      <c r="E89" t="s">
        <v>417</v>
      </c>
      <c r="F89" s="283">
        <v>182</v>
      </c>
      <c r="G89" s="283">
        <v>180</v>
      </c>
      <c r="H89" s="283">
        <v>192</v>
      </c>
      <c r="I89" s="283">
        <v>183</v>
      </c>
      <c r="J89" s="283">
        <v>182</v>
      </c>
      <c r="K89" s="283">
        <v>190</v>
      </c>
      <c r="L89" s="283">
        <v>205</v>
      </c>
      <c r="M89" s="283">
        <v>185</v>
      </c>
      <c r="N89" s="283">
        <v>179</v>
      </c>
      <c r="O89" s="283">
        <v>181</v>
      </c>
      <c r="P89" s="283">
        <v>182</v>
      </c>
      <c r="Q89" s="283">
        <v>180</v>
      </c>
      <c r="R89" s="283">
        <v>165</v>
      </c>
      <c r="S89" s="283">
        <v>346</v>
      </c>
      <c r="T89" s="283">
        <v>186</v>
      </c>
      <c r="U89" s="284">
        <v>181</v>
      </c>
    </row>
    <row r="90" spans="3:21" x14ac:dyDescent="0.25">
      <c r="C90" s="191" t="s">
        <v>474</v>
      </c>
      <c r="D90" t="s">
        <v>475</v>
      </c>
      <c r="E90" t="s">
        <v>420</v>
      </c>
      <c r="F90" s="283">
        <v>225</v>
      </c>
      <c r="G90" s="283">
        <v>223</v>
      </c>
      <c r="H90" s="283">
        <v>233</v>
      </c>
      <c r="I90" s="283">
        <v>226</v>
      </c>
      <c r="J90" s="283">
        <v>225</v>
      </c>
      <c r="K90" s="283">
        <v>231</v>
      </c>
      <c r="L90" s="283">
        <v>245</v>
      </c>
      <c r="M90" s="283">
        <v>227</v>
      </c>
      <c r="N90" s="283">
        <v>222</v>
      </c>
      <c r="O90" s="283">
        <v>224</v>
      </c>
      <c r="P90" s="283">
        <v>225</v>
      </c>
      <c r="Q90" s="283">
        <v>223</v>
      </c>
      <c r="R90" s="283">
        <v>208</v>
      </c>
      <c r="S90" s="283">
        <v>339</v>
      </c>
      <c r="T90" s="283">
        <v>227</v>
      </c>
      <c r="U90" s="284">
        <v>224</v>
      </c>
    </row>
    <row r="91" spans="3:21" x14ac:dyDescent="0.25">
      <c r="C91" s="191" t="s">
        <v>476</v>
      </c>
      <c r="D91" t="s">
        <v>477</v>
      </c>
      <c r="E91" t="s">
        <v>423</v>
      </c>
      <c r="F91" s="283">
        <v>170</v>
      </c>
      <c r="G91" s="283">
        <v>168</v>
      </c>
      <c r="H91" s="283">
        <v>177</v>
      </c>
      <c r="I91" s="283">
        <v>171</v>
      </c>
      <c r="J91" s="283">
        <v>170</v>
      </c>
      <c r="K91" s="283">
        <v>176</v>
      </c>
      <c r="L91" s="283">
        <v>186</v>
      </c>
      <c r="M91" s="283">
        <v>173</v>
      </c>
      <c r="N91" s="283">
        <v>169</v>
      </c>
      <c r="O91" s="283">
        <v>170</v>
      </c>
      <c r="P91" s="283">
        <v>170</v>
      </c>
      <c r="Q91" s="283">
        <v>169</v>
      </c>
      <c r="R91" s="283">
        <v>157</v>
      </c>
      <c r="S91" s="283">
        <v>250</v>
      </c>
      <c r="T91" s="283">
        <v>173</v>
      </c>
      <c r="U91" s="284">
        <v>169</v>
      </c>
    </row>
    <row r="92" spans="3:21" x14ac:dyDescent="0.25">
      <c r="C92" s="191"/>
      <c r="F92" s="286"/>
      <c r="G92" s="286"/>
      <c r="H92" s="286"/>
      <c r="I92" s="286"/>
      <c r="J92" s="286"/>
      <c r="K92" s="286"/>
      <c r="L92" s="286"/>
      <c r="M92" s="286"/>
      <c r="N92" s="286"/>
      <c r="O92" s="286"/>
      <c r="P92" s="286"/>
      <c r="Q92" s="286"/>
      <c r="R92" s="286"/>
      <c r="S92" s="286"/>
      <c r="T92" s="286"/>
      <c r="U92" s="287"/>
    </row>
    <row r="93" spans="3:21" x14ac:dyDescent="0.25">
      <c r="C93" s="191" t="s">
        <v>478</v>
      </c>
      <c r="F93" s="286"/>
      <c r="G93" s="286"/>
      <c r="H93" s="286"/>
      <c r="I93" s="286"/>
      <c r="J93" s="286"/>
      <c r="K93" s="286"/>
      <c r="L93" s="286"/>
      <c r="M93" s="286"/>
      <c r="N93" s="286"/>
      <c r="O93" s="286"/>
      <c r="P93" s="286"/>
      <c r="Q93" s="286"/>
      <c r="R93" s="286"/>
      <c r="S93" s="286"/>
      <c r="T93" s="286"/>
      <c r="U93" s="287"/>
    </row>
    <row r="94" spans="3:21" x14ac:dyDescent="0.25">
      <c r="C94" s="191" t="s">
        <v>479</v>
      </c>
      <c r="D94" t="s">
        <v>480</v>
      </c>
      <c r="E94" t="s">
        <v>334</v>
      </c>
      <c r="F94" s="283">
        <v>13902</v>
      </c>
      <c r="G94" s="283">
        <v>13975</v>
      </c>
      <c r="H94" s="283">
        <v>14558</v>
      </c>
      <c r="I94" s="283">
        <v>14010</v>
      </c>
      <c r="J94" s="283">
        <v>14417</v>
      </c>
      <c r="K94" s="283">
        <v>13914</v>
      </c>
      <c r="L94" s="283">
        <v>14874</v>
      </c>
      <c r="M94" s="283">
        <v>13906</v>
      </c>
      <c r="N94" s="283">
        <v>13455</v>
      </c>
      <c r="O94" s="283">
        <v>13865</v>
      </c>
      <c r="P94" s="283">
        <v>13489</v>
      </c>
      <c r="Q94" s="283">
        <v>13900</v>
      </c>
      <c r="R94" s="283">
        <v>13135</v>
      </c>
      <c r="S94" s="283">
        <v>21772</v>
      </c>
      <c r="T94" s="283">
        <v>13808</v>
      </c>
      <c r="U94" s="284">
        <v>14027</v>
      </c>
    </row>
    <row r="95" spans="3:21" x14ac:dyDescent="0.25">
      <c r="C95" s="191" t="s">
        <v>481</v>
      </c>
      <c r="D95" t="s">
        <v>482</v>
      </c>
      <c r="E95" t="s">
        <v>337</v>
      </c>
      <c r="F95" s="283">
        <v>11280</v>
      </c>
      <c r="G95" s="283">
        <v>11617</v>
      </c>
      <c r="H95" s="283">
        <v>12005</v>
      </c>
      <c r="I95" s="283">
        <v>11417</v>
      </c>
      <c r="J95" s="283">
        <v>11838</v>
      </c>
      <c r="K95" s="283">
        <v>11288</v>
      </c>
      <c r="L95" s="283">
        <v>12647</v>
      </c>
      <c r="M95" s="283">
        <v>11101</v>
      </c>
      <c r="N95" s="283">
        <v>10833</v>
      </c>
      <c r="O95" s="283">
        <v>11229</v>
      </c>
      <c r="P95" s="283">
        <v>10875</v>
      </c>
      <c r="Q95" s="283">
        <v>11278</v>
      </c>
      <c r="R95" s="283">
        <v>10352</v>
      </c>
      <c r="S95" s="283">
        <v>41867</v>
      </c>
      <c r="T95" s="283">
        <v>11057</v>
      </c>
      <c r="U95" s="284">
        <v>11521</v>
      </c>
    </row>
    <row r="96" spans="3:21" x14ac:dyDescent="0.25">
      <c r="C96" s="191" t="s">
        <v>483</v>
      </c>
      <c r="D96" t="s">
        <v>484</v>
      </c>
      <c r="E96" t="s">
        <v>340</v>
      </c>
      <c r="F96" s="283">
        <v>11596</v>
      </c>
      <c r="G96" s="283">
        <v>11729</v>
      </c>
      <c r="H96" s="283">
        <v>12333</v>
      </c>
      <c r="I96" s="283">
        <v>11734</v>
      </c>
      <c r="J96" s="283">
        <v>12153</v>
      </c>
      <c r="K96" s="283">
        <v>11605</v>
      </c>
      <c r="L96" s="283">
        <v>12683</v>
      </c>
      <c r="M96" s="283">
        <v>11529</v>
      </c>
      <c r="N96" s="283">
        <v>11116</v>
      </c>
      <c r="O96" s="283">
        <v>11536</v>
      </c>
      <c r="P96" s="283">
        <v>11167</v>
      </c>
      <c r="Q96" s="283">
        <v>11593</v>
      </c>
      <c r="R96" s="283">
        <v>10774</v>
      </c>
      <c r="S96" s="283">
        <v>26708</v>
      </c>
      <c r="T96" s="283">
        <v>11381</v>
      </c>
      <c r="U96" s="284">
        <v>11775</v>
      </c>
    </row>
    <row r="97" spans="3:21" x14ac:dyDescent="0.25">
      <c r="C97" s="191" t="s">
        <v>485</v>
      </c>
      <c r="D97" t="s">
        <v>486</v>
      </c>
      <c r="E97" t="s">
        <v>343</v>
      </c>
      <c r="F97" s="283">
        <v>9472</v>
      </c>
      <c r="G97" s="283">
        <v>9505</v>
      </c>
      <c r="H97" s="283">
        <v>10087</v>
      </c>
      <c r="I97" s="283">
        <v>9573</v>
      </c>
      <c r="J97" s="283">
        <v>9950</v>
      </c>
      <c r="K97" s="283">
        <v>9481</v>
      </c>
      <c r="L97" s="283">
        <v>10300</v>
      </c>
      <c r="M97" s="283">
        <v>9474</v>
      </c>
      <c r="N97" s="283">
        <v>9064</v>
      </c>
      <c r="O97" s="283">
        <v>9433</v>
      </c>
      <c r="P97" s="283">
        <v>9098</v>
      </c>
      <c r="Q97" s="283">
        <v>9470</v>
      </c>
      <c r="R97" s="283">
        <v>8817</v>
      </c>
      <c r="S97" s="283">
        <v>18261</v>
      </c>
      <c r="T97" s="283">
        <v>9346</v>
      </c>
      <c r="U97" s="284">
        <v>9582</v>
      </c>
    </row>
    <row r="98" spans="3:21" x14ac:dyDescent="0.25">
      <c r="C98" s="191" t="s">
        <v>487</v>
      </c>
      <c r="F98" s="286"/>
      <c r="G98" s="286"/>
      <c r="H98" s="286"/>
      <c r="I98" s="286"/>
      <c r="J98" s="286"/>
      <c r="K98" s="286"/>
      <c r="L98" s="286"/>
      <c r="M98" s="286"/>
      <c r="N98" s="286"/>
      <c r="O98" s="286"/>
      <c r="P98" s="286"/>
      <c r="Q98" s="286"/>
      <c r="R98" s="286"/>
      <c r="S98" s="286"/>
      <c r="T98" s="286"/>
      <c r="U98" s="287"/>
    </row>
    <row r="99" spans="3:21" x14ac:dyDescent="0.25">
      <c r="C99" s="191" t="s">
        <v>488</v>
      </c>
      <c r="D99" t="s">
        <v>489</v>
      </c>
      <c r="E99" t="s">
        <v>401</v>
      </c>
      <c r="F99" s="283">
        <v>36636</v>
      </c>
      <c r="G99" s="283">
        <v>36878</v>
      </c>
      <c r="H99" s="283">
        <v>38017</v>
      </c>
      <c r="I99" s="283">
        <v>36621</v>
      </c>
      <c r="J99" s="283">
        <v>37972</v>
      </c>
      <c r="K99" s="283">
        <v>36644</v>
      </c>
      <c r="L99" s="283">
        <v>38956</v>
      </c>
      <c r="M99" s="283">
        <v>36628</v>
      </c>
      <c r="N99" s="283">
        <v>35713</v>
      </c>
      <c r="O99" s="283">
        <v>36772</v>
      </c>
      <c r="P99" s="283">
        <v>35575</v>
      </c>
      <c r="Q99" s="283">
        <v>36633</v>
      </c>
      <c r="R99" s="283">
        <v>34815</v>
      </c>
      <c r="S99" s="283">
        <v>54842</v>
      </c>
      <c r="T99" s="283">
        <v>36085</v>
      </c>
      <c r="U99" s="284">
        <v>37232</v>
      </c>
    </row>
    <row r="100" spans="3:21" x14ac:dyDescent="0.25">
      <c r="C100" s="191" t="s">
        <v>490</v>
      </c>
      <c r="D100" t="s">
        <v>491</v>
      </c>
      <c r="E100" t="s">
        <v>404</v>
      </c>
      <c r="F100" s="283">
        <v>29443</v>
      </c>
      <c r="G100" s="283">
        <v>30085</v>
      </c>
      <c r="H100" s="283">
        <v>31158</v>
      </c>
      <c r="I100" s="283">
        <v>29608</v>
      </c>
      <c r="J100" s="283">
        <v>30940</v>
      </c>
      <c r="K100" s="283">
        <v>29450</v>
      </c>
      <c r="L100" s="283">
        <v>32563</v>
      </c>
      <c r="M100" s="283">
        <v>29173</v>
      </c>
      <c r="N100" s="283">
        <v>28414</v>
      </c>
      <c r="O100" s="283">
        <v>29455</v>
      </c>
      <c r="P100" s="283">
        <v>28382</v>
      </c>
      <c r="Q100" s="283">
        <v>29442</v>
      </c>
      <c r="R100" s="283">
        <v>27317</v>
      </c>
      <c r="S100" s="283">
        <v>98343</v>
      </c>
      <c r="T100" s="283">
        <v>28644</v>
      </c>
      <c r="U100" s="284">
        <v>30283</v>
      </c>
    </row>
    <row r="101" spans="3:21" x14ac:dyDescent="0.25">
      <c r="C101" s="191" t="s">
        <v>492</v>
      </c>
      <c r="D101" t="s">
        <v>493</v>
      </c>
      <c r="E101" t="s">
        <v>407</v>
      </c>
      <c r="F101" s="283">
        <v>26642</v>
      </c>
      <c r="G101" s="283">
        <v>26770</v>
      </c>
      <c r="H101" s="283">
        <v>28469</v>
      </c>
      <c r="I101" s="283">
        <v>26722</v>
      </c>
      <c r="J101" s="283">
        <v>28341</v>
      </c>
      <c r="K101" s="283">
        <v>26648</v>
      </c>
      <c r="L101" s="283">
        <v>29017</v>
      </c>
      <c r="M101" s="283">
        <v>26652</v>
      </c>
      <c r="N101" s="283">
        <v>25358</v>
      </c>
      <c r="O101" s="283">
        <v>26663</v>
      </c>
      <c r="P101" s="283">
        <v>25329</v>
      </c>
      <c r="Q101" s="283">
        <v>26641</v>
      </c>
      <c r="R101" s="283">
        <v>24838</v>
      </c>
      <c r="S101" s="283">
        <v>61432</v>
      </c>
      <c r="T101" s="283">
        <v>25822</v>
      </c>
      <c r="U101" s="284">
        <v>27291</v>
      </c>
    </row>
    <row r="102" spans="3:21" x14ac:dyDescent="0.25">
      <c r="C102" s="191" t="s">
        <v>494</v>
      </c>
      <c r="D102" t="s">
        <v>495</v>
      </c>
      <c r="E102" t="s">
        <v>410</v>
      </c>
      <c r="F102" s="283">
        <v>21555</v>
      </c>
      <c r="G102" s="283">
        <v>21516</v>
      </c>
      <c r="H102" s="283">
        <v>23001</v>
      </c>
      <c r="I102" s="283">
        <v>21552</v>
      </c>
      <c r="J102" s="283">
        <v>22963</v>
      </c>
      <c r="K102" s="283">
        <v>21561</v>
      </c>
      <c r="L102" s="283">
        <v>23333</v>
      </c>
      <c r="M102" s="283">
        <v>21675</v>
      </c>
      <c r="N102" s="283">
        <v>20523</v>
      </c>
      <c r="O102" s="283">
        <v>21629</v>
      </c>
      <c r="P102" s="283">
        <v>20448</v>
      </c>
      <c r="Q102" s="283">
        <v>21554</v>
      </c>
      <c r="R102" s="283">
        <v>20140</v>
      </c>
      <c r="S102" s="283">
        <v>41128</v>
      </c>
      <c r="T102" s="283">
        <v>20983</v>
      </c>
      <c r="U102" s="284">
        <v>22015</v>
      </c>
    </row>
    <row r="103" spans="3:21" x14ac:dyDescent="0.25">
      <c r="C103" s="191" t="s">
        <v>496</v>
      </c>
      <c r="F103" s="286"/>
      <c r="G103" s="286"/>
      <c r="H103" s="286"/>
      <c r="I103" s="286"/>
      <c r="J103" s="286"/>
      <c r="K103" s="286"/>
      <c r="L103" s="286"/>
      <c r="M103" s="286"/>
      <c r="N103" s="286"/>
      <c r="O103" s="286"/>
      <c r="P103" s="286"/>
      <c r="Q103" s="286"/>
      <c r="R103" s="286"/>
      <c r="S103" s="286"/>
      <c r="T103" s="286"/>
      <c r="U103" s="287"/>
    </row>
    <row r="104" spans="3:21" x14ac:dyDescent="0.25">
      <c r="C104" s="191" t="s">
        <v>497</v>
      </c>
      <c r="D104" t="s">
        <v>498</v>
      </c>
      <c r="E104" t="s">
        <v>414</v>
      </c>
      <c r="F104" s="283">
        <v>2105</v>
      </c>
      <c r="G104" s="283">
        <v>2119</v>
      </c>
      <c r="H104" s="283">
        <v>2184</v>
      </c>
      <c r="I104" s="283">
        <v>2106</v>
      </c>
      <c r="J104" s="283">
        <v>2179</v>
      </c>
      <c r="K104" s="283">
        <v>2106</v>
      </c>
      <c r="L104" s="283">
        <v>2238</v>
      </c>
      <c r="M104" s="283">
        <v>2104</v>
      </c>
      <c r="N104" s="283">
        <v>2052</v>
      </c>
      <c r="O104" s="283">
        <v>2111</v>
      </c>
      <c r="P104" s="283">
        <v>2046</v>
      </c>
      <c r="Q104" s="283">
        <v>2105</v>
      </c>
      <c r="R104" s="283">
        <v>2000</v>
      </c>
      <c r="S104" s="283">
        <v>3063</v>
      </c>
      <c r="T104" s="283">
        <v>2077</v>
      </c>
      <c r="U104" s="284">
        <v>2136</v>
      </c>
    </row>
    <row r="105" spans="3:21" x14ac:dyDescent="0.25">
      <c r="C105" s="191" t="s">
        <v>499</v>
      </c>
      <c r="D105" t="s">
        <v>500</v>
      </c>
      <c r="E105" t="s">
        <v>417</v>
      </c>
      <c r="F105" s="283">
        <v>1705</v>
      </c>
      <c r="G105" s="283">
        <v>1744</v>
      </c>
      <c r="H105" s="283">
        <v>1800</v>
      </c>
      <c r="I105" s="283">
        <v>1715</v>
      </c>
      <c r="J105" s="283">
        <v>1787</v>
      </c>
      <c r="K105" s="283">
        <v>1705</v>
      </c>
      <c r="L105" s="283">
        <v>1883</v>
      </c>
      <c r="M105" s="283">
        <v>1687</v>
      </c>
      <c r="N105" s="283">
        <v>1647</v>
      </c>
      <c r="O105" s="283">
        <v>1705</v>
      </c>
      <c r="P105" s="283">
        <v>1646</v>
      </c>
      <c r="Q105" s="283">
        <v>1705</v>
      </c>
      <c r="R105" s="283">
        <v>1583</v>
      </c>
      <c r="S105" s="283">
        <v>5016</v>
      </c>
      <c r="T105" s="283">
        <v>1661</v>
      </c>
      <c r="U105" s="284">
        <v>1751</v>
      </c>
    </row>
    <row r="106" spans="3:21" x14ac:dyDescent="0.25">
      <c r="C106" s="191" t="s">
        <v>501</v>
      </c>
      <c r="D106" t="s">
        <v>502</v>
      </c>
      <c r="E106" t="s">
        <v>420</v>
      </c>
      <c r="F106" s="283">
        <v>1564</v>
      </c>
      <c r="G106" s="283">
        <v>1572</v>
      </c>
      <c r="H106" s="283">
        <v>1667</v>
      </c>
      <c r="I106" s="283">
        <v>1570</v>
      </c>
      <c r="J106" s="283">
        <v>1658</v>
      </c>
      <c r="K106" s="283">
        <v>1564</v>
      </c>
      <c r="L106" s="283">
        <v>1702</v>
      </c>
      <c r="M106" s="283">
        <v>1564</v>
      </c>
      <c r="N106" s="283">
        <v>1491</v>
      </c>
      <c r="O106" s="283">
        <v>1564</v>
      </c>
      <c r="P106" s="283">
        <v>1490</v>
      </c>
      <c r="Q106" s="283">
        <v>1564</v>
      </c>
      <c r="R106" s="283">
        <v>1458</v>
      </c>
      <c r="S106" s="283">
        <v>3287</v>
      </c>
      <c r="T106" s="283">
        <v>1520</v>
      </c>
      <c r="U106" s="284">
        <v>1598</v>
      </c>
    </row>
    <row r="107" spans="3:21" x14ac:dyDescent="0.25">
      <c r="C107" s="191" t="s">
        <v>503</v>
      </c>
      <c r="D107" t="s">
        <v>504</v>
      </c>
      <c r="E107" t="s">
        <v>423</v>
      </c>
      <c r="F107" s="283">
        <v>1288</v>
      </c>
      <c r="G107" s="283">
        <v>1286</v>
      </c>
      <c r="H107" s="283">
        <v>1371</v>
      </c>
      <c r="I107" s="283">
        <v>1290</v>
      </c>
      <c r="J107" s="283">
        <v>1367</v>
      </c>
      <c r="K107" s="283">
        <v>1288</v>
      </c>
      <c r="L107" s="283">
        <v>1393</v>
      </c>
      <c r="M107" s="283">
        <v>1294</v>
      </c>
      <c r="N107" s="283">
        <v>1228</v>
      </c>
      <c r="O107" s="283">
        <v>1291</v>
      </c>
      <c r="P107" s="283">
        <v>1225</v>
      </c>
      <c r="Q107" s="283">
        <v>1288</v>
      </c>
      <c r="R107" s="283">
        <v>1204</v>
      </c>
      <c r="S107" s="283">
        <v>2291</v>
      </c>
      <c r="T107" s="283">
        <v>1258</v>
      </c>
      <c r="U107" s="284">
        <v>1312</v>
      </c>
    </row>
    <row r="108" spans="3:21" x14ac:dyDescent="0.25">
      <c r="C108" s="191"/>
      <c r="F108" s="286"/>
      <c r="G108" s="286"/>
      <c r="H108" s="286"/>
      <c r="I108" s="286"/>
      <c r="J108" s="286"/>
      <c r="K108" s="286"/>
      <c r="L108" s="286"/>
      <c r="M108" s="286"/>
      <c r="N108" s="286"/>
      <c r="O108" s="286"/>
      <c r="P108" s="286"/>
      <c r="Q108" s="286"/>
      <c r="R108" s="286"/>
      <c r="S108" s="286"/>
      <c r="T108" s="286"/>
      <c r="U108" s="287"/>
    </row>
    <row r="109" spans="3:21" x14ac:dyDescent="0.25">
      <c r="C109" s="191" t="s">
        <v>505</v>
      </c>
      <c r="F109" s="286"/>
      <c r="G109" s="286"/>
      <c r="H109" s="286"/>
      <c r="I109" s="286"/>
      <c r="J109" s="286"/>
      <c r="K109" s="286"/>
      <c r="L109" s="286"/>
      <c r="M109" s="286"/>
      <c r="N109" s="286"/>
      <c r="O109" s="286"/>
      <c r="P109" s="286"/>
      <c r="Q109" s="286"/>
      <c r="R109" s="286"/>
      <c r="S109" s="286"/>
      <c r="T109" s="286"/>
      <c r="U109" s="287"/>
    </row>
    <row r="110" spans="3:21" x14ac:dyDescent="0.25">
      <c r="C110" s="191" t="s">
        <v>506</v>
      </c>
      <c r="E110" t="s">
        <v>334</v>
      </c>
      <c r="F110" s="283">
        <v>335278</v>
      </c>
      <c r="G110" s="283">
        <v>338053</v>
      </c>
      <c r="H110" s="283">
        <v>351091</v>
      </c>
      <c r="I110" s="283">
        <v>350121</v>
      </c>
      <c r="J110" s="283">
        <v>336163</v>
      </c>
      <c r="K110" s="283">
        <v>335395</v>
      </c>
      <c r="L110" s="283">
        <v>361220</v>
      </c>
      <c r="M110" s="283">
        <v>333963</v>
      </c>
      <c r="N110" s="283">
        <v>324755</v>
      </c>
      <c r="O110" s="283">
        <v>325456</v>
      </c>
      <c r="P110" s="283">
        <v>334613</v>
      </c>
      <c r="Q110" s="283">
        <v>335276</v>
      </c>
      <c r="R110" s="283">
        <v>313921</v>
      </c>
      <c r="S110" s="283">
        <v>487916</v>
      </c>
      <c r="T110" s="283">
        <v>329252</v>
      </c>
      <c r="U110" s="284">
        <v>342411</v>
      </c>
    </row>
    <row r="111" spans="3:21" x14ac:dyDescent="0.25">
      <c r="C111" s="191" t="s">
        <v>507</v>
      </c>
      <c r="E111" t="s">
        <v>337</v>
      </c>
      <c r="F111" s="283">
        <v>263921</v>
      </c>
      <c r="G111" s="283">
        <v>272343</v>
      </c>
      <c r="H111" s="283">
        <v>281804</v>
      </c>
      <c r="I111" s="283">
        <v>281043</v>
      </c>
      <c r="J111" s="283">
        <v>264605</v>
      </c>
      <c r="K111" s="283">
        <v>263998</v>
      </c>
      <c r="L111" s="283">
        <v>299837</v>
      </c>
      <c r="M111" s="283">
        <v>259539</v>
      </c>
      <c r="N111" s="283">
        <v>252735</v>
      </c>
      <c r="O111" s="283">
        <v>253236</v>
      </c>
      <c r="P111" s="283">
        <v>263437</v>
      </c>
      <c r="Q111" s="283">
        <v>263910</v>
      </c>
      <c r="R111" s="283">
        <v>238672</v>
      </c>
      <c r="S111" s="283">
        <v>719548</v>
      </c>
      <c r="T111" s="283">
        <v>255464</v>
      </c>
      <c r="U111" s="284">
        <v>274367</v>
      </c>
    </row>
    <row r="112" spans="3:21" x14ac:dyDescent="0.25">
      <c r="C112" s="191" t="s">
        <v>508</v>
      </c>
      <c r="E112" t="s">
        <v>340</v>
      </c>
      <c r="F112" s="283">
        <v>334041</v>
      </c>
      <c r="G112" s="283">
        <v>338864</v>
      </c>
      <c r="H112" s="283">
        <v>351415</v>
      </c>
      <c r="I112" s="283">
        <v>350480</v>
      </c>
      <c r="J112" s="283">
        <v>334886</v>
      </c>
      <c r="K112" s="283">
        <v>334149</v>
      </c>
      <c r="L112" s="283">
        <v>364855</v>
      </c>
      <c r="M112" s="283">
        <v>331676</v>
      </c>
      <c r="N112" s="283">
        <v>322737</v>
      </c>
      <c r="O112" s="283">
        <v>323393</v>
      </c>
      <c r="P112" s="283">
        <v>333414</v>
      </c>
      <c r="Q112" s="283">
        <v>334034</v>
      </c>
      <c r="R112" s="283">
        <v>310221</v>
      </c>
      <c r="S112" s="283">
        <v>599990</v>
      </c>
      <c r="T112" s="283">
        <v>326983</v>
      </c>
      <c r="U112" s="284">
        <v>342659</v>
      </c>
    </row>
    <row r="113" spans="3:21" x14ac:dyDescent="0.25">
      <c r="C113" s="191" t="s">
        <v>509</v>
      </c>
      <c r="E113" t="s">
        <v>343</v>
      </c>
      <c r="F113" s="283">
        <v>259952</v>
      </c>
      <c r="G113" s="283">
        <v>262232</v>
      </c>
      <c r="H113" s="283">
        <v>274043</v>
      </c>
      <c r="I113" s="283">
        <v>273197</v>
      </c>
      <c r="J113" s="283">
        <v>260732</v>
      </c>
      <c r="K113" s="283">
        <v>260052</v>
      </c>
      <c r="L113" s="283">
        <v>283375</v>
      </c>
      <c r="M113" s="283">
        <v>259094</v>
      </c>
      <c r="N113" s="283">
        <v>250773</v>
      </c>
      <c r="O113" s="283">
        <v>251384</v>
      </c>
      <c r="P113" s="283">
        <v>259375</v>
      </c>
      <c r="Q113" s="283">
        <v>259952</v>
      </c>
      <c r="R113" s="283">
        <v>241020</v>
      </c>
      <c r="S113" s="283">
        <v>423411</v>
      </c>
      <c r="T113" s="283">
        <v>254868</v>
      </c>
      <c r="U113" s="284">
        <v>266368</v>
      </c>
    </row>
    <row r="114" spans="3:21" x14ac:dyDescent="0.25">
      <c r="C114" s="191" t="s">
        <v>510</v>
      </c>
      <c r="F114" s="286"/>
      <c r="G114" s="286"/>
      <c r="H114" s="286"/>
      <c r="I114" s="286"/>
      <c r="J114" s="286"/>
      <c r="K114" s="286"/>
      <c r="L114" s="286"/>
      <c r="M114" s="286"/>
      <c r="N114" s="286"/>
      <c r="O114" s="286"/>
      <c r="P114" s="286"/>
      <c r="Q114" s="286"/>
      <c r="R114" s="286"/>
      <c r="S114" s="286"/>
      <c r="T114" s="286"/>
      <c r="U114" s="287"/>
    </row>
    <row r="115" spans="3:21" x14ac:dyDescent="0.25">
      <c r="C115" s="191" t="s">
        <v>511</v>
      </c>
      <c r="E115" t="s">
        <v>401</v>
      </c>
      <c r="F115" s="283">
        <v>6954833</v>
      </c>
      <c r="G115" s="283">
        <v>6932298</v>
      </c>
      <c r="H115" s="283">
        <v>7188819</v>
      </c>
      <c r="I115" s="283">
        <v>7188651</v>
      </c>
      <c r="J115" s="283">
        <v>6956087</v>
      </c>
      <c r="K115" s="283">
        <v>6955817</v>
      </c>
      <c r="L115" s="283">
        <v>7522484</v>
      </c>
      <c r="M115" s="283">
        <v>6987546</v>
      </c>
      <c r="N115" s="283">
        <v>6834270</v>
      </c>
      <c r="O115" s="283">
        <v>6833937</v>
      </c>
      <c r="P115" s="283">
        <v>6955635</v>
      </c>
      <c r="Q115" s="283">
        <v>6955541</v>
      </c>
      <c r="R115" s="283">
        <v>6475135</v>
      </c>
      <c r="S115" s="283">
        <v>9522675</v>
      </c>
      <c r="T115" s="283">
        <v>6878765</v>
      </c>
      <c r="U115" s="284">
        <v>7125441</v>
      </c>
    </row>
    <row r="116" spans="3:21" x14ac:dyDescent="0.25">
      <c r="C116" s="191" t="s">
        <v>512</v>
      </c>
      <c r="E116" t="s">
        <v>404</v>
      </c>
      <c r="F116" s="283">
        <v>5473265</v>
      </c>
      <c r="G116" s="283">
        <v>5427440</v>
      </c>
      <c r="H116" s="283">
        <v>5765200</v>
      </c>
      <c r="I116" s="283">
        <v>5764811</v>
      </c>
      <c r="J116" s="283">
        <v>5473841</v>
      </c>
      <c r="K116" s="283">
        <v>5473485</v>
      </c>
      <c r="L116" s="283">
        <v>6147515</v>
      </c>
      <c r="M116" s="283">
        <v>5552582</v>
      </c>
      <c r="N116" s="283">
        <v>5330777</v>
      </c>
      <c r="O116" s="283">
        <v>5330823</v>
      </c>
      <c r="P116" s="283">
        <v>5473350</v>
      </c>
      <c r="Q116" s="283">
        <v>5473412</v>
      </c>
      <c r="R116" s="283">
        <v>4980299</v>
      </c>
      <c r="S116" s="283">
        <v>10515862</v>
      </c>
      <c r="T116" s="283">
        <v>5448137</v>
      </c>
      <c r="U116" s="284">
        <v>5665908</v>
      </c>
    </row>
    <row r="117" spans="3:21" x14ac:dyDescent="0.25">
      <c r="C117" s="191" t="s">
        <v>513</v>
      </c>
      <c r="E117" t="s">
        <v>407</v>
      </c>
      <c r="F117" s="283">
        <v>6985265</v>
      </c>
      <c r="G117" s="283">
        <v>6947736</v>
      </c>
      <c r="H117" s="283">
        <v>7251717</v>
      </c>
      <c r="I117" s="283">
        <v>7251318</v>
      </c>
      <c r="J117" s="283">
        <v>6986672</v>
      </c>
      <c r="K117" s="283">
        <v>6985968</v>
      </c>
      <c r="L117" s="283">
        <v>7621695</v>
      </c>
      <c r="M117" s="283">
        <v>7042155</v>
      </c>
      <c r="N117" s="283">
        <v>6851543</v>
      </c>
      <c r="O117" s="283">
        <v>6851800</v>
      </c>
      <c r="P117" s="283">
        <v>6985435</v>
      </c>
      <c r="Q117" s="283">
        <v>6985796</v>
      </c>
      <c r="R117" s="283">
        <v>6474667</v>
      </c>
      <c r="S117" s="283">
        <v>10530079</v>
      </c>
      <c r="T117" s="283">
        <v>6928839</v>
      </c>
      <c r="U117" s="284">
        <v>7171929</v>
      </c>
    </row>
    <row r="118" spans="3:21" x14ac:dyDescent="0.25">
      <c r="C118" s="191" t="s">
        <v>514</v>
      </c>
      <c r="E118" t="s">
        <v>410</v>
      </c>
      <c r="F118" s="283">
        <v>5764309</v>
      </c>
      <c r="G118" s="283">
        <v>5727872</v>
      </c>
      <c r="H118" s="283">
        <v>5976744</v>
      </c>
      <c r="I118" s="283">
        <v>5976591</v>
      </c>
      <c r="J118" s="283">
        <v>5765621</v>
      </c>
      <c r="K118" s="283">
        <v>5765156</v>
      </c>
      <c r="L118" s="283">
        <v>6286265</v>
      </c>
      <c r="M118" s="283">
        <v>5809440</v>
      </c>
      <c r="N118" s="283">
        <v>5657862</v>
      </c>
      <c r="O118" s="283">
        <v>5657974</v>
      </c>
      <c r="P118" s="283">
        <v>5764736</v>
      </c>
      <c r="Q118" s="283">
        <v>5764922</v>
      </c>
      <c r="R118" s="283">
        <v>5329322</v>
      </c>
      <c r="S118" s="283">
        <v>8283881</v>
      </c>
      <c r="T118" s="283">
        <v>5711442</v>
      </c>
      <c r="U118" s="284">
        <v>5914771</v>
      </c>
    </row>
    <row r="119" spans="3:21" x14ac:dyDescent="0.25">
      <c r="C119" s="191" t="s">
        <v>515</v>
      </c>
      <c r="F119" s="286"/>
      <c r="G119" s="286"/>
      <c r="H119" s="286"/>
      <c r="I119" s="286"/>
      <c r="J119" s="286"/>
      <c r="K119" s="286"/>
      <c r="L119" s="286"/>
      <c r="M119" s="286"/>
      <c r="N119" s="286"/>
      <c r="O119" s="286"/>
      <c r="P119" s="286"/>
      <c r="Q119" s="286"/>
      <c r="R119" s="286"/>
      <c r="S119" s="286"/>
      <c r="T119" s="286"/>
      <c r="U119" s="287"/>
    </row>
    <row r="120" spans="3:21" x14ac:dyDescent="0.25">
      <c r="C120" s="191" t="s">
        <v>516</v>
      </c>
      <c r="E120" t="s">
        <v>414</v>
      </c>
      <c r="F120" s="283">
        <v>150055</v>
      </c>
      <c r="G120" s="283">
        <v>149688</v>
      </c>
      <c r="H120" s="283">
        <v>155704</v>
      </c>
      <c r="I120" s="283">
        <v>155647</v>
      </c>
      <c r="J120" s="283">
        <v>150126</v>
      </c>
      <c r="K120" s="283">
        <v>150082</v>
      </c>
      <c r="L120" s="283">
        <v>162097</v>
      </c>
      <c r="M120" s="283">
        <v>150685</v>
      </c>
      <c r="N120" s="283">
        <v>146962</v>
      </c>
      <c r="O120" s="283">
        <v>146990</v>
      </c>
      <c r="P120" s="283">
        <v>150040</v>
      </c>
      <c r="Q120" s="283">
        <v>150069</v>
      </c>
      <c r="R120" s="283">
        <v>139906</v>
      </c>
      <c r="S120" s="283">
        <v>205856</v>
      </c>
      <c r="T120" s="283">
        <v>148004</v>
      </c>
      <c r="U120" s="284">
        <v>153920</v>
      </c>
    </row>
    <row r="121" spans="3:21" x14ac:dyDescent="0.25">
      <c r="C121" s="191" t="s">
        <v>517</v>
      </c>
      <c r="E121" t="s">
        <v>417</v>
      </c>
      <c r="F121" s="283">
        <v>118012</v>
      </c>
      <c r="G121" s="283">
        <v>117507</v>
      </c>
      <c r="H121" s="283">
        <v>125044</v>
      </c>
      <c r="I121" s="283">
        <v>124980</v>
      </c>
      <c r="J121" s="283">
        <v>118073</v>
      </c>
      <c r="K121" s="283">
        <v>118024</v>
      </c>
      <c r="L121" s="283">
        <v>132830</v>
      </c>
      <c r="M121" s="283">
        <v>119359</v>
      </c>
      <c r="N121" s="283">
        <v>114363</v>
      </c>
      <c r="O121" s="283">
        <v>114399</v>
      </c>
      <c r="P121" s="283">
        <v>117980</v>
      </c>
      <c r="Q121" s="283">
        <v>118014</v>
      </c>
      <c r="R121" s="283">
        <v>107276</v>
      </c>
      <c r="S121" s="283">
        <v>235278</v>
      </c>
      <c r="T121" s="283">
        <v>116796</v>
      </c>
      <c r="U121" s="284">
        <v>122500</v>
      </c>
    </row>
    <row r="122" spans="3:21" x14ac:dyDescent="0.25">
      <c r="C122" s="191" t="s">
        <v>518</v>
      </c>
      <c r="E122" t="s">
        <v>420</v>
      </c>
      <c r="F122" s="283">
        <v>155335</v>
      </c>
      <c r="G122" s="283">
        <v>154744</v>
      </c>
      <c r="H122" s="283">
        <v>161924</v>
      </c>
      <c r="I122" s="283">
        <v>161854</v>
      </c>
      <c r="J122" s="283">
        <v>155423</v>
      </c>
      <c r="K122" s="283">
        <v>155356</v>
      </c>
      <c r="L122" s="283">
        <v>169458</v>
      </c>
      <c r="M122" s="283">
        <v>156414</v>
      </c>
      <c r="N122" s="283">
        <v>151824</v>
      </c>
      <c r="O122" s="283">
        <v>151875</v>
      </c>
      <c r="P122" s="283">
        <v>155295</v>
      </c>
      <c r="Q122" s="283">
        <v>155345</v>
      </c>
      <c r="R122" s="283">
        <v>144048</v>
      </c>
      <c r="S122" s="283">
        <v>236749</v>
      </c>
      <c r="T122" s="283">
        <v>153533</v>
      </c>
      <c r="U122" s="284">
        <v>159754</v>
      </c>
    </row>
    <row r="123" spans="3:21" x14ac:dyDescent="0.25">
      <c r="C123" s="191" t="s">
        <v>519</v>
      </c>
      <c r="E123" t="s">
        <v>423</v>
      </c>
      <c r="F123" s="283">
        <v>127465</v>
      </c>
      <c r="G123" s="283">
        <v>126802</v>
      </c>
      <c r="H123" s="283">
        <v>132732</v>
      </c>
      <c r="I123" s="283">
        <v>132677</v>
      </c>
      <c r="J123" s="283">
        <v>127542</v>
      </c>
      <c r="K123" s="283">
        <v>127489</v>
      </c>
      <c r="L123" s="283">
        <v>138887</v>
      </c>
      <c r="M123" s="283">
        <v>128363</v>
      </c>
      <c r="N123" s="283">
        <v>124657</v>
      </c>
      <c r="O123" s="283">
        <v>124697</v>
      </c>
      <c r="P123" s="283">
        <v>127438</v>
      </c>
      <c r="Q123" s="283">
        <v>127479</v>
      </c>
      <c r="R123" s="283">
        <v>117975</v>
      </c>
      <c r="S123" s="283">
        <v>184154</v>
      </c>
      <c r="T123" s="283">
        <v>125871</v>
      </c>
      <c r="U123" s="284">
        <v>131015</v>
      </c>
    </row>
    <row r="124" spans="3:21" x14ac:dyDescent="0.25">
      <c r="C124" s="196"/>
      <c r="D124" s="197"/>
      <c r="E124" s="197"/>
      <c r="F124" s="197"/>
      <c r="G124" s="197"/>
      <c r="H124" s="197"/>
      <c r="I124" s="197"/>
      <c r="J124" s="197"/>
      <c r="K124" s="197"/>
      <c r="L124" s="197"/>
      <c r="M124" s="197"/>
      <c r="N124" s="197"/>
      <c r="O124" s="197"/>
      <c r="P124" s="197"/>
      <c r="Q124" s="197"/>
      <c r="R124" s="197"/>
      <c r="S124" s="197"/>
      <c r="T124" s="197"/>
      <c r="U124" s="19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A9B71-BCA2-418D-8C41-5825D3B76E75}">
  <sheetPr codeName="Sheet17">
    <tabColor rgb="FF99CCFF"/>
  </sheetPr>
  <dimension ref="A1:R4366"/>
  <sheetViews>
    <sheetView showGridLines="0" workbookViewId="0"/>
  </sheetViews>
  <sheetFormatPr defaultRowHeight="11.5" x14ac:dyDescent="0.25"/>
  <cols>
    <col min="1" max="2" width="3.69921875" customWidth="1"/>
    <col min="3" max="21" width="12.69921875" customWidth="1"/>
  </cols>
  <sheetData>
    <row r="1" spans="1:13" x14ac:dyDescent="0.25">
      <c r="A1" s="1"/>
      <c r="C1" s="42" t="str">
        <f>'Fare optimisation'!$C$1</f>
        <v>Fare Optimisation Model for the 2025 Opal Review - Independent Pricing and Regulatory Tribunal of NSW</v>
      </c>
    </row>
    <row r="2" spans="1:13" x14ac:dyDescent="0.25">
      <c r="C2" s="42"/>
    </row>
    <row r="3" spans="1:13" x14ac:dyDescent="0.25">
      <c r="C3" s="42"/>
    </row>
    <row r="4" spans="1:13" ht="23" x14ac:dyDescent="0.5">
      <c r="C4" s="184" t="s">
        <v>1275</v>
      </c>
    </row>
    <row r="7" spans="1:13" x14ac:dyDescent="0.25">
      <c r="C7" s="11" t="s">
        <v>225</v>
      </c>
      <c r="D7" s="11"/>
      <c r="E7" s="11"/>
      <c r="F7" s="11"/>
      <c r="G7" s="11"/>
      <c r="H7" s="185" t="s">
        <v>226</v>
      </c>
    </row>
    <row r="8" spans="1:13" x14ac:dyDescent="0.25">
      <c r="B8" s="281">
        <v>1</v>
      </c>
      <c r="C8" s="187" t="str">
        <f>"Table "&amp;B8&amp;" - Speeds data and identifier calculations"</f>
        <v>Table 1 - Speeds data and identifier calculations</v>
      </c>
      <c r="D8" s="187"/>
      <c r="E8" s="187"/>
      <c r="F8" s="187"/>
      <c r="G8" s="187"/>
      <c r="H8" s="268">
        <f>ROW(C13)</f>
        <v>13</v>
      </c>
    </row>
    <row r="9" spans="1:13" x14ac:dyDescent="0.25">
      <c r="B9" s="282">
        <f>B8+1</f>
        <v>2</v>
      </c>
      <c r="C9" s="209" t="str">
        <f>"Table "&amp;B9&amp;" - Traffic volume data and identifier calculations"</f>
        <v>Table 2 - Traffic volume data and identifier calculations</v>
      </c>
      <c r="D9" s="209"/>
      <c r="E9" s="209"/>
      <c r="F9" s="209"/>
      <c r="G9" s="209"/>
      <c r="H9" s="209">
        <f>ROW(C273)</f>
        <v>273</v>
      </c>
    </row>
    <row r="13" spans="1:13" ht="15.5" x14ac:dyDescent="0.35">
      <c r="C13" s="43" t="str">
        <f>C8</f>
        <v>Table 1 - Speeds data and identifier calculations</v>
      </c>
      <c r="H13" s="650" t="s">
        <v>1494</v>
      </c>
    </row>
    <row r="14" spans="1:13" x14ac:dyDescent="0.25">
      <c r="C14" s="188"/>
      <c r="D14" s="189"/>
      <c r="E14" s="189"/>
      <c r="F14" s="189"/>
      <c r="G14" s="189"/>
      <c r="H14" s="189"/>
      <c r="I14" s="189"/>
      <c r="J14" s="189"/>
      <c r="K14" s="189"/>
      <c r="L14" s="189"/>
      <c r="M14" s="190"/>
    </row>
    <row r="15" spans="1:13" ht="34.5" x14ac:dyDescent="0.25">
      <c r="C15" s="310" t="s">
        <v>1306</v>
      </c>
      <c r="D15" s="203" t="s">
        <v>1296</v>
      </c>
      <c r="E15" s="566" t="s">
        <v>1297</v>
      </c>
      <c r="F15" s="627" t="s">
        <v>1307</v>
      </c>
      <c r="G15" s="627" t="s">
        <v>1308</v>
      </c>
      <c r="H15" s="627" t="s">
        <v>1309</v>
      </c>
      <c r="I15" s="203" t="s">
        <v>1310</v>
      </c>
      <c r="J15" s="203" t="s">
        <v>1311</v>
      </c>
      <c r="L15" s="6" t="s">
        <v>720</v>
      </c>
      <c r="M15" s="311" t="s">
        <v>761</v>
      </c>
    </row>
    <row r="16" spans="1:13" x14ac:dyDescent="0.25">
      <c r="C16" s="294" t="s">
        <v>762</v>
      </c>
      <c r="D16" s="312">
        <v>2018</v>
      </c>
      <c r="E16" s="122" t="s">
        <v>763</v>
      </c>
      <c r="F16" s="122" t="b">
        <v>0</v>
      </c>
      <c r="G16" s="122" t="b">
        <v>0</v>
      </c>
      <c r="H16" s="122" t="b">
        <v>0</v>
      </c>
      <c r="I16" s="122">
        <v>55.2</v>
      </c>
      <c r="J16" s="122">
        <v>72</v>
      </c>
      <c r="L16" t="str">
        <f>IF($H16,"PUBLIC HOLIDAYS",IF(NOT($F16),"WEEKENDS",IF($E16="AM Peak","AM PEAK",IF($E16="PM Peak","PM PEAK","OFF PEAK"))))</f>
        <v>WEEKENDS</v>
      </c>
      <c r="M16" s="195" t="str">
        <f>D16&amp;L16</f>
        <v>2018WEEKENDS</v>
      </c>
    </row>
    <row r="17" spans="3:13" x14ac:dyDescent="0.25">
      <c r="C17" s="294" t="s">
        <v>762</v>
      </c>
      <c r="D17" s="312">
        <v>2018</v>
      </c>
      <c r="E17" s="122" t="s">
        <v>763</v>
      </c>
      <c r="F17" s="122" t="b">
        <v>0</v>
      </c>
      <c r="G17" s="122" t="b">
        <v>0</v>
      </c>
      <c r="H17" s="122" t="b">
        <v>1</v>
      </c>
      <c r="I17" s="122">
        <v>55.62</v>
      </c>
      <c r="J17" s="122">
        <v>2</v>
      </c>
      <c r="L17" t="str">
        <f t="shared" ref="L17:L80" si="0">IF($H17,"PUBLIC HOLIDAYS",IF(NOT($F17),"WEEKENDS",IF($E17="AM Peak","AM PEAK",IF($E17="PM Peak","PM PEAK","OFF PEAK"))))</f>
        <v>PUBLIC HOLIDAYS</v>
      </c>
      <c r="M17" s="195" t="str">
        <f t="shared" ref="M17:M80" si="1">D17&amp;L17</f>
        <v>2018PUBLIC HOLIDAYS</v>
      </c>
    </row>
    <row r="18" spans="3:13" x14ac:dyDescent="0.25">
      <c r="C18" s="294" t="s">
        <v>762</v>
      </c>
      <c r="D18" s="312">
        <v>2018</v>
      </c>
      <c r="E18" s="122" t="s">
        <v>763</v>
      </c>
      <c r="F18" s="122" t="b">
        <v>0</v>
      </c>
      <c r="G18" s="122" t="b">
        <v>1</v>
      </c>
      <c r="H18" s="122" t="b">
        <v>0</v>
      </c>
      <c r="I18" s="122">
        <v>55.21</v>
      </c>
      <c r="J18" s="122">
        <v>30</v>
      </c>
      <c r="L18" t="str">
        <f t="shared" si="0"/>
        <v>WEEKENDS</v>
      </c>
      <c r="M18" s="195" t="str">
        <f t="shared" si="1"/>
        <v>2018WEEKENDS</v>
      </c>
    </row>
    <row r="19" spans="3:13" x14ac:dyDescent="0.25">
      <c r="C19" s="294" t="s">
        <v>762</v>
      </c>
      <c r="D19" s="312">
        <v>2018</v>
      </c>
      <c r="E19" s="122" t="s">
        <v>763</v>
      </c>
      <c r="F19" s="122" t="b">
        <v>1</v>
      </c>
      <c r="G19" s="122" t="b">
        <v>0</v>
      </c>
      <c r="H19" s="122" t="b">
        <v>0</v>
      </c>
      <c r="I19" s="122">
        <v>54.27</v>
      </c>
      <c r="J19" s="122">
        <v>200</v>
      </c>
      <c r="L19" t="str">
        <f t="shared" si="0"/>
        <v>OFF PEAK</v>
      </c>
      <c r="M19" s="195" t="str">
        <f t="shared" si="1"/>
        <v>2018OFF PEAK</v>
      </c>
    </row>
    <row r="20" spans="3:13" x14ac:dyDescent="0.25">
      <c r="C20" s="294" t="s">
        <v>762</v>
      </c>
      <c r="D20" s="312">
        <v>2018</v>
      </c>
      <c r="E20" s="122" t="s">
        <v>763</v>
      </c>
      <c r="F20" s="122" t="b">
        <v>1</v>
      </c>
      <c r="G20" s="122" t="b">
        <v>0</v>
      </c>
      <c r="H20" s="122" t="b">
        <v>1</v>
      </c>
      <c r="I20" s="122">
        <v>55.08</v>
      </c>
      <c r="J20" s="122">
        <v>3</v>
      </c>
      <c r="L20" t="str">
        <f t="shared" si="0"/>
        <v>PUBLIC HOLIDAYS</v>
      </c>
      <c r="M20" s="195" t="str">
        <f t="shared" si="1"/>
        <v>2018PUBLIC HOLIDAYS</v>
      </c>
    </row>
    <row r="21" spans="3:13" x14ac:dyDescent="0.25">
      <c r="C21" s="294" t="s">
        <v>762</v>
      </c>
      <c r="D21" s="312">
        <v>2018</v>
      </c>
      <c r="E21" s="122" t="s">
        <v>763</v>
      </c>
      <c r="F21" s="122" t="b">
        <v>1</v>
      </c>
      <c r="G21" s="122" t="b">
        <v>1</v>
      </c>
      <c r="H21" s="122" t="b">
        <v>0</v>
      </c>
      <c r="I21" s="122">
        <v>54.48</v>
      </c>
      <c r="J21" s="122">
        <v>52</v>
      </c>
      <c r="L21" t="str">
        <f t="shared" si="0"/>
        <v>OFF PEAK</v>
      </c>
      <c r="M21" s="195" t="str">
        <f t="shared" si="1"/>
        <v>2018OFF PEAK</v>
      </c>
    </row>
    <row r="22" spans="3:13" x14ac:dyDescent="0.25">
      <c r="C22" s="294" t="s">
        <v>762</v>
      </c>
      <c r="D22" s="312">
        <v>2018</v>
      </c>
      <c r="E22" s="122" t="s">
        <v>763</v>
      </c>
      <c r="F22" s="122" t="b">
        <v>1</v>
      </c>
      <c r="G22" s="122" t="b">
        <v>1</v>
      </c>
      <c r="H22" s="122" t="b">
        <v>1</v>
      </c>
      <c r="I22" s="122">
        <v>55.37</v>
      </c>
      <c r="J22" s="122">
        <v>6</v>
      </c>
      <c r="L22" t="str">
        <f t="shared" si="0"/>
        <v>PUBLIC HOLIDAYS</v>
      </c>
      <c r="M22" s="195" t="str">
        <f t="shared" si="1"/>
        <v>2018PUBLIC HOLIDAYS</v>
      </c>
    </row>
    <row r="23" spans="3:13" x14ac:dyDescent="0.25">
      <c r="C23" s="294" t="s">
        <v>762</v>
      </c>
      <c r="D23" s="312">
        <v>2018</v>
      </c>
      <c r="E23" s="122" t="s">
        <v>247</v>
      </c>
      <c r="F23" s="122" t="b">
        <v>0</v>
      </c>
      <c r="G23" s="122" t="b">
        <v>0</v>
      </c>
      <c r="H23" s="122" t="b">
        <v>0</v>
      </c>
      <c r="I23" s="122">
        <v>50.41</v>
      </c>
      <c r="J23" s="122">
        <v>72</v>
      </c>
      <c r="L23" t="str">
        <f t="shared" si="0"/>
        <v>WEEKENDS</v>
      </c>
      <c r="M23" s="195" t="str">
        <f t="shared" si="1"/>
        <v>2018WEEKENDS</v>
      </c>
    </row>
    <row r="24" spans="3:13" x14ac:dyDescent="0.25">
      <c r="C24" s="294" t="s">
        <v>762</v>
      </c>
      <c r="D24" s="312">
        <v>2018</v>
      </c>
      <c r="E24" s="122" t="s">
        <v>247</v>
      </c>
      <c r="F24" s="122" t="b">
        <v>0</v>
      </c>
      <c r="G24" s="122" t="b">
        <v>0</v>
      </c>
      <c r="H24" s="122" t="b">
        <v>1</v>
      </c>
      <c r="I24" s="122">
        <v>51.39</v>
      </c>
      <c r="J24" s="122">
        <v>2</v>
      </c>
      <c r="L24" t="str">
        <f t="shared" si="0"/>
        <v>PUBLIC HOLIDAYS</v>
      </c>
      <c r="M24" s="195" t="str">
        <f t="shared" si="1"/>
        <v>2018PUBLIC HOLIDAYS</v>
      </c>
    </row>
    <row r="25" spans="3:13" x14ac:dyDescent="0.25">
      <c r="C25" s="294" t="s">
        <v>762</v>
      </c>
      <c r="D25" s="312">
        <v>2018</v>
      </c>
      <c r="E25" s="122" t="s">
        <v>247</v>
      </c>
      <c r="F25" s="122" t="b">
        <v>0</v>
      </c>
      <c r="G25" s="122" t="b">
        <v>1</v>
      </c>
      <c r="H25" s="122" t="b">
        <v>0</v>
      </c>
      <c r="I25" s="122">
        <v>50.62</v>
      </c>
      <c r="J25" s="122">
        <v>30</v>
      </c>
      <c r="L25" t="str">
        <f t="shared" si="0"/>
        <v>WEEKENDS</v>
      </c>
      <c r="M25" s="195" t="str">
        <f t="shared" si="1"/>
        <v>2018WEEKENDS</v>
      </c>
    </row>
    <row r="26" spans="3:13" x14ac:dyDescent="0.25">
      <c r="C26" s="294" t="s">
        <v>762</v>
      </c>
      <c r="D26" s="312">
        <v>2018</v>
      </c>
      <c r="E26" s="122" t="s">
        <v>247</v>
      </c>
      <c r="F26" s="122" t="b">
        <v>1</v>
      </c>
      <c r="G26" s="122" t="b">
        <v>0</v>
      </c>
      <c r="H26" s="122" t="b">
        <v>0</v>
      </c>
      <c r="I26" s="122">
        <v>43.07</v>
      </c>
      <c r="J26" s="122">
        <v>200</v>
      </c>
      <c r="L26" t="str">
        <f t="shared" si="0"/>
        <v>AM PEAK</v>
      </c>
      <c r="M26" s="195" t="str">
        <f t="shared" si="1"/>
        <v>2018AM PEAK</v>
      </c>
    </row>
    <row r="27" spans="3:13" x14ac:dyDescent="0.25">
      <c r="C27" s="294" t="s">
        <v>762</v>
      </c>
      <c r="D27" s="312">
        <v>2018</v>
      </c>
      <c r="E27" s="122" t="s">
        <v>247</v>
      </c>
      <c r="F27" s="122" t="b">
        <v>1</v>
      </c>
      <c r="G27" s="122" t="b">
        <v>0</v>
      </c>
      <c r="H27" s="122" t="b">
        <v>1</v>
      </c>
      <c r="I27" s="122">
        <v>47.76</v>
      </c>
      <c r="J27" s="122">
        <v>3</v>
      </c>
      <c r="L27" t="str">
        <f t="shared" si="0"/>
        <v>PUBLIC HOLIDAYS</v>
      </c>
      <c r="M27" s="195" t="str">
        <f t="shared" si="1"/>
        <v>2018PUBLIC HOLIDAYS</v>
      </c>
    </row>
    <row r="28" spans="3:13" x14ac:dyDescent="0.25">
      <c r="C28" s="294" t="s">
        <v>762</v>
      </c>
      <c r="D28" s="312">
        <v>2018</v>
      </c>
      <c r="E28" s="122" t="s">
        <v>247</v>
      </c>
      <c r="F28" s="122" t="b">
        <v>1</v>
      </c>
      <c r="G28" s="122" t="b">
        <v>1</v>
      </c>
      <c r="H28" s="122" t="b">
        <v>0</v>
      </c>
      <c r="I28" s="122">
        <v>45.32</v>
      </c>
      <c r="J28" s="122">
        <v>52</v>
      </c>
      <c r="L28" t="str">
        <f t="shared" si="0"/>
        <v>AM PEAK</v>
      </c>
      <c r="M28" s="195" t="str">
        <f t="shared" si="1"/>
        <v>2018AM PEAK</v>
      </c>
    </row>
    <row r="29" spans="3:13" x14ac:dyDescent="0.25">
      <c r="C29" s="294" t="s">
        <v>762</v>
      </c>
      <c r="D29" s="312">
        <v>2018</v>
      </c>
      <c r="E29" s="122" t="s">
        <v>247</v>
      </c>
      <c r="F29" s="122" t="b">
        <v>1</v>
      </c>
      <c r="G29" s="122" t="b">
        <v>1</v>
      </c>
      <c r="H29" s="122" t="b">
        <v>1</v>
      </c>
      <c r="I29" s="122">
        <v>47.49</v>
      </c>
      <c r="J29" s="122">
        <v>6</v>
      </c>
      <c r="L29" t="str">
        <f t="shared" si="0"/>
        <v>PUBLIC HOLIDAYS</v>
      </c>
      <c r="M29" s="195" t="str">
        <f t="shared" si="1"/>
        <v>2018PUBLIC HOLIDAYS</v>
      </c>
    </row>
    <row r="30" spans="3:13" x14ac:dyDescent="0.25">
      <c r="C30" s="294" t="s">
        <v>762</v>
      </c>
      <c r="D30" s="312">
        <v>2018</v>
      </c>
      <c r="E30" s="122" t="s">
        <v>764</v>
      </c>
      <c r="F30" s="122" t="b">
        <v>0</v>
      </c>
      <c r="G30" s="122" t="b">
        <v>0</v>
      </c>
      <c r="H30" s="122" t="b">
        <v>0</v>
      </c>
      <c r="I30" s="122">
        <v>45.74</v>
      </c>
      <c r="J30" s="122">
        <v>72</v>
      </c>
      <c r="L30" t="str">
        <f t="shared" si="0"/>
        <v>WEEKENDS</v>
      </c>
      <c r="M30" s="195" t="str">
        <f t="shared" si="1"/>
        <v>2018WEEKENDS</v>
      </c>
    </row>
    <row r="31" spans="3:13" x14ac:dyDescent="0.25">
      <c r="C31" s="294" t="s">
        <v>762</v>
      </c>
      <c r="D31" s="312">
        <v>2018</v>
      </c>
      <c r="E31" s="122" t="s">
        <v>764</v>
      </c>
      <c r="F31" s="122" t="b">
        <v>0</v>
      </c>
      <c r="G31" s="122" t="b">
        <v>0</v>
      </c>
      <c r="H31" s="122" t="b">
        <v>1</v>
      </c>
      <c r="I31" s="122">
        <v>46.82</v>
      </c>
      <c r="J31" s="122">
        <v>2</v>
      </c>
      <c r="L31" t="str">
        <f t="shared" si="0"/>
        <v>PUBLIC HOLIDAYS</v>
      </c>
      <c r="M31" s="195" t="str">
        <f t="shared" si="1"/>
        <v>2018PUBLIC HOLIDAYS</v>
      </c>
    </row>
    <row r="32" spans="3:13" x14ac:dyDescent="0.25">
      <c r="C32" s="294" t="s">
        <v>762</v>
      </c>
      <c r="D32" s="312">
        <v>2018</v>
      </c>
      <c r="E32" s="122" t="s">
        <v>764</v>
      </c>
      <c r="F32" s="122" t="b">
        <v>0</v>
      </c>
      <c r="G32" s="122" t="b">
        <v>1</v>
      </c>
      <c r="H32" s="122" t="b">
        <v>0</v>
      </c>
      <c r="I32" s="122">
        <v>46.32</v>
      </c>
      <c r="J32" s="122">
        <v>30</v>
      </c>
      <c r="L32" t="str">
        <f t="shared" si="0"/>
        <v>WEEKENDS</v>
      </c>
      <c r="M32" s="195" t="str">
        <f t="shared" si="1"/>
        <v>2018WEEKENDS</v>
      </c>
    </row>
    <row r="33" spans="3:13" x14ac:dyDescent="0.25">
      <c r="C33" s="294" t="s">
        <v>762</v>
      </c>
      <c r="D33" s="312">
        <v>2018</v>
      </c>
      <c r="E33" s="122" t="s">
        <v>764</v>
      </c>
      <c r="F33" s="122" t="b">
        <v>1</v>
      </c>
      <c r="G33" s="122" t="b">
        <v>0</v>
      </c>
      <c r="H33" s="122" t="b">
        <v>0</v>
      </c>
      <c r="I33" s="122">
        <v>43.53</v>
      </c>
      <c r="J33" s="122">
        <v>200</v>
      </c>
      <c r="L33" t="str">
        <f t="shared" si="0"/>
        <v>OFF PEAK</v>
      </c>
      <c r="M33" s="195" t="str">
        <f t="shared" si="1"/>
        <v>2018OFF PEAK</v>
      </c>
    </row>
    <row r="34" spans="3:13" x14ac:dyDescent="0.25">
      <c r="C34" s="294" t="s">
        <v>762</v>
      </c>
      <c r="D34" s="312">
        <v>2018</v>
      </c>
      <c r="E34" s="122" t="s">
        <v>764</v>
      </c>
      <c r="F34" s="122" t="b">
        <v>1</v>
      </c>
      <c r="G34" s="122" t="b">
        <v>0</v>
      </c>
      <c r="H34" s="122" t="b">
        <v>1</v>
      </c>
      <c r="I34" s="122">
        <v>45.2</v>
      </c>
      <c r="J34" s="122">
        <v>3</v>
      </c>
      <c r="L34" t="str">
        <f t="shared" si="0"/>
        <v>PUBLIC HOLIDAYS</v>
      </c>
      <c r="M34" s="195" t="str">
        <f t="shared" si="1"/>
        <v>2018PUBLIC HOLIDAYS</v>
      </c>
    </row>
    <row r="35" spans="3:13" x14ac:dyDescent="0.25">
      <c r="C35" s="294" t="s">
        <v>762</v>
      </c>
      <c r="D35" s="312">
        <v>2018</v>
      </c>
      <c r="E35" s="122" t="s">
        <v>764</v>
      </c>
      <c r="F35" s="122" t="b">
        <v>1</v>
      </c>
      <c r="G35" s="122" t="b">
        <v>1</v>
      </c>
      <c r="H35" s="122" t="b">
        <v>0</v>
      </c>
      <c r="I35" s="122">
        <v>43.93</v>
      </c>
      <c r="J35" s="122">
        <v>52</v>
      </c>
      <c r="L35" t="str">
        <f t="shared" si="0"/>
        <v>OFF PEAK</v>
      </c>
      <c r="M35" s="195" t="str">
        <f t="shared" si="1"/>
        <v>2018OFF PEAK</v>
      </c>
    </row>
    <row r="36" spans="3:13" x14ac:dyDescent="0.25">
      <c r="C36" s="294" t="s">
        <v>762</v>
      </c>
      <c r="D36" s="312">
        <v>2018</v>
      </c>
      <c r="E36" s="122" t="s">
        <v>764</v>
      </c>
      <c r="F36" s="122" t="b">
        <v>1</v>
      </c>
      <c r="G36" s="122" t="b">
        <v>1</v>
      </c>
      <c r="H36" s="122" t="b">
        <v>1</v>
      </c>
      <c r="I36" s="122">
        <v>45.41</v>
      </c>
      <c r="J36" s="122">
        <v>6</v>
      </c>
      <c r="L36" t="str">
        <f t="shared" si="0"/>
        <v>PUBLIC HOLIDAYS</v>
      </c>
      <c r="M36" s="195" t="str">
        <f t="shared" si="1"/>
        <v>2018PUBLIC HOLIDAYS</v>
      </c>
    </row>
    <row r="37" spans="3:13" x14ac:dyDescent="0.25">
      <c r="C37" s="294" t="s">
        <v>762</v>
      </c>
      <c r="D37" s="312">
        <v>2018</v>
      </c>
      <c r="E37" s="122" t="s">
        <v>765</v>
      </c>
      <c r="F37" s="122" t="b">
        <v>0</v>
      </c>
      <c r="G37" s="122" t="b">
        <v>0</v>
      </c>
      <c r="H37" s="122" t="b">
        <v>0</v>
      </c>
      <c r="I37" s="122">
        <v>51.35</v>
      </c>
      <c r="J37" s="122">
        <v>72</v>
      </c>
      <c r="L37" t="str">
        <f t="shared" si="0"/>
        <v>WEEKENDS</v>
      </c>
      <c r="M37" s="195" t="str">
        <f t="shared" si="1"/>
        <v>2018WEEKENDS</v>
      </c>
    </row>
    <row r="38" spans="3:13" x14ac:dyDescent="0.25">
      <c r="C38" s="294" t="s">
        <v>762</v>
      </c>
      <c r="D38" s="312">
        <v>2018</v>
      </c>
      <c r="E38" s="122" t="s">
        <v>765</v>
      </c>
      <c r="F38" s="122" t="b">
        <v>0</v>
      </c>
      <c r="G38" s="122" t="b">
        <v>0</v>
      </c>
      <c r="H38" s="122" t="b">
        <v>1</v>
      </c>
      <c r="I38" s="122">
        <v>51.46</v>
      </c>
      <c r="J38" s="122">
        <v>2</v>
      </c>
      <c r="L38" t="str">
        <f t="shared" si="0"/>
        <v>PUBLIC HOLIDAYS</v>
      </c>
      <c r="M38" s="195" t="str">
        <f t="shared" si="1"/>
        <v>2018PUBLIC HOLIDAYS</v>
      </c>
    </row>
    <row r="39" spans="3:13" x14ac:dyDescent="0.25">
      <c r="C39" s="294" t="s">
        <v>762</v>
      </c>
      <c r="D39" s="312">
        <v>2018</v>
      </c>
      <c r="E39" s="122" t="s">
        <v>765</v>
      </c>
      <c r="F39" s="122" t="b">
        <v>0</v>
      </c>
      <c r="G39" s="122" t="b">
        <v>1</v>
      </c>
      <c r="H39" s="122" t="b">
        <v>0</v>
      </c>
      <c r="I39" s="122">
        <v>51.42</v>
      </c>
      <c r="J39" s="122">
        <v>30</v>
      </c>
      <c r="L39" t="str">
        <f t="shared" si="0"/>
        <v>WEEKENDS</v>
      </c>
      <c r="M39" s="195" t="str">
        <f t="shared" si="1"/>
        <v>2018WEEKENDS</v>
      </c>
    </row>
    <row r="40" spans="3:13" x14ac:dyDescent="0.25">
      <c r="C40" s="294" t="s">
        <v>762</v>
      </c>
      <c r="D40" s="312">
        <v>2018</v>
      </c>
      <c r="E40" s="122" t="s">
        <v>765</v>
      </c>
      <c r="F40" s="122" t="b">
        <v>1</v>
      </c>
      <c r="G40" s="122" t="b">
        <v>0</v>
      </c>
      <c r="H40" s="122" t="b">
        <v>0</v>
      </c>
      <c r="I40" s="122">
        <v>49.63</v>
      </c>
      <c r="J40" s="122">
        <v>200</v>
      </c>
      <c r="L40" t="str">
        <f t="shared" si="0"/>
        <v>OFF PEAK</v>
      </c>
      <c r="M40" s="195" t="str">
        <f t="shared" si="1"/>
        <v>2018OFF PEAK</v>
      </c>
    </row>
    <row r="41" spans="3:13" x14ac:dyDescent="0.25">
      <c r="C41" s="294" t="s">
        <v>762</v>
      </c>
      <c r="D41" s="312">
        <v>2018</v>
      </c>
      <c r="E41" s="122" t="s">
        <v>765</v>
      </c>
      <c r="F41" s="122" t="b">
        <v>1</v>
      </c>
      <c r="G41" s="122" t="b">
        <v>0</v>
      </c>
      <c r="H41" s="122" t="b">
        <v>1</v>
      </c>
      <c r="I41" s="122">
        <v>50.51</v>
      </c>
      <c r="J41" s="122">
        <v>3</v>
      </c>
      <c r="L41" t="str">
        <f t="shared" si="0"/>
        <v>PUBLIC HOLIDAYS</v>
      </c>
      <c r="M41" s="195" t="str">
        <f t="shared" si="1"/>
        <v>2018PUBLIC HOLIDAYS</v>
      </c>
    </row>
    <row r="42" spans="3:13" x14ac:dyDescent="0.25">
      <c r="C42" s="294" t="s">
        <v>762</v>
      </c>
      <c r="D42" s="312">
        <v>2018</v>
      </c>
      <c r="E42" s="122" t="s">
        <v>765</v>
      </c>
      <c r="F42" s="122" t="b">
        <v>1</v>
      </c>
      <c r="G42" s="122" t="b">
        <v>1</v>
      </c>
      <c r="H42" s="122" t="b">
        <v>0</v>
      </c>
      <c r="I42" s="122">
        <v>49.88</v>
      </c>
      <c r="J42" s="122">
        <v>52</v>
      </c>
      <c r="L42" t="str">
        <f t="shared" si="0"/>
        <v>OFF PEAK</v>
      </c>
      <c r="M42" s="195" t="str">
        <f t="shared" si="1"/>
        <v>2018OFF PEAK</v>
      </c>
    </row>
    <row r="43" spans="3:13" x14ac:dyDescent="0.25">
      <c r="C43" s="294" t="s">
        <v>762</v>
      </c>
      <c r="D43" s="312">
        <v>2018</v>
      </c>
      <c r="E43" s="122" t="s">
        <v>765</v>
      </c>
      <c r="F43" s="122" t="b">
        <v>1</v>
      </c>
      <c r="G43" s="122" t="b">
        <v>1</v>
      </c>
      <c r="H43" s="122" t="b">
        <v>1</v>
      </c>
      <c r="I43" s="122">
        <v>50.29</v>
      </c>
      <c r="J43" s="122">
        <v>6</v>
      </c>
      <c r="L43" t="str">
        <f t="shared" si="0"/>
        <v>PUBLIC HOLIDAYS</v>
      </c>
      <c r="M43" s="195" t="str">
        <f t="shared" si="1"/>
        <v>2018PUBLIC HOLIDAYS</v>
      </c>
    </row>
    <row r="44" spans="3:13" x14ac:dyDescent="0.25">
      <c r="C44" s="294" t="s">
        <v>762</v>
      </c>
      <c r="D44" s="312">
        <v>2018</v>
      </c>
      <c r="E44" s="122" t="s">
        <v>250</v>
      </c>
      <c r="F44" s="122" t="b">
        <v>0</v>
      </c>
      <c r="G44" s="122" t="b">
        <v>0</v>
      </c>
      <c r="H44" s="122" t="b">
        <v>0</v>
      </c>
      <c r="I44" s="122">
        <v>47.41</v>
      </c>
      <c r="J44" s="122">
        <v>72</v>
      </c>
      <c r="L44" t="str">
        <f t="shared" si="0"/>
        <v>WEEKENDS</v>
      </c>
      <c r="M44" s="195" t="str">
        <f t="shared" si="1"/>
        <v>2018WEEKENDS</v>
      </c>
    </row>
    <row r="45" spans="3:13" x14ac:dyDescent="0.25">
      <c r="C45" s="294" t="s">
        <v>762</v>
      </c>
      <c r="D45" s="312">
        <v>2018</v>
      </c>
      <c r="E45" s="122" t="s">
        <v>250</v>
      </c>
      <c r="F45" s="122" t="b">
        <v>0</v>
      </c>
      <c r="G45" s="122" t="b">
        <v>0</v>
      </c>
      <c r="H45" s="122" t="b">
        <v>1</v>
      </c>
      <c r="I45" s="122">
        <v>47.94</v>
      </c>
      <c r="J45" s="122">
        <v>2</v>
      </c>
      <c r="L45" t="str">
        <f t="shared" si="0"/>
        <v>PUBLIC HOLIDAYS</v>
      </c>
      <c r="M45" s="195" t="str">
        <f t="shared" si="1"/>
        <v>2018PUBLIC HOLIDAYS</v>
      </c>
    </row>
    <row r="46" spans="3:13" x14ac:dyDescent="0.25">
      <c r="C46" s="294" t="s">
        <v>762</v>
      </c>
      <c r="D46" s="312">
        <v>2018</v>
      </c>
      <c r="E46" s="122" t="s">
        <v>250</v>
      </c>
      <c r="F46" s="122" t="b">
        <v>0</v>
      </c>
      <c r="G46" s="122" t="b">
        <v>1</v>
      </c>
      <c r="H46" s="122" t="b">
        <v>0</v>
      </c>
      <c r="I46" s="122">
        <v>47.75</v>
      </c>
      <c r="J46" s="122">
        <v>30</v>
      </c>
      <c r="L46" t="str">
        <f t="shared" si="0"/>
        <v>WEEKENDS</v>
      </c>
      <c r="M46" s="195" t="str">
        <f t="shared" si="1"/>
        <v>2018WEEKENDS</v>
      </c>
    </row>
    <row r="47" spans="3:13" x14ac:dyDescent="0.25">
      <c r="C47" s="294" t="s">
        <v>762</v>
      </c>
      <c r="D47" s="312">
        <v>2018</v>
      </c>
      <c r="E47" s="122" t="s">
        <v>250</v>
      </c>
      <c r="F47" s="122" t="b">
        <v>1</v>
      </c>
      <c r="G47" s="122" t="b">
        <v>0</v>
      </c>
      <c r="H47" s="122" t="b">
        <v>0</v>
      </c>
      <c r="I47" s="122">
        <v>41.74</v>
      </c>
      <c r="J47" s="122">
        <v>200</v>
      </c>
      <c r="L47" t="str">
        <f t="shared" si="0"/>
        <v>PM PEAK</v>
      </c>
      <c r="M47" s="195" t="str">
        <f t="shared" si="1"/>
        <v>2018PM PEAK</v>
      </c>
    </row>
    <row r="48" spans="3:13" x14ac:dyDescent="0.25">
      <c r="C48" s="294" t="s">
        <v>762</v>
      </c>
      <c r="D48" s="312">
        <v>2018</v>
      </c>
      <c r="E48" s="122" t="s">
        <v>250</v>
      </c>
      <c r="F48" s="122" t="b">
        <v>1</v>
      </c>
      <c r="G48" s="122" t="b">
        <v>0</v>
      </c>
      <c r="H48" s="122" t="b">
        <v>1</v>
      </c>
      <c r="I48" s="122">
        <v>45.25</v>
      </c>
      <c r="J48" s="122">
        <v>3</v>
      </c>
      <c r="L48" t="str">
        <f t="shared" si="0"/>
        <v>PUBLIC HOLIDAYS</v>
      </c>
      <c r="M48" s="195" t="str">
        <f t="shared" si="1"/>
        <v>2018PUBLIC HOLIDAYS</v>
      </c>
    </row>
    <row r="49" spans="3:13" x14ac:dyDescent="0.25">
      <c r="C49" s="294" t="s">
        <v>762</v>
      </c>
      <c r="D49" s="312">
        <v>2018</v>
      </c>
      <c r="E49" s="122" t="s">
        <v>250</v>
      </c>
      <c r="F49" s="122" t="b">
        <v>1</v>
      </c>
      <c r="G49" s="122" t="b">
        <v>1</v>
      </c>
      <c r="H49" s="122" t="b">
        <v>0</v>
      </c>
      <c r="I49" s="122">
        <v>43.35</v>
      </c>
      <c r="J49" s="122">
        <v>52</v>
      </c>
      <c r="L49" t="str">
        <f t="shared" si="0"/>
        <v>PM PEAK</v>
      </c>
      <c r="M49" s="195" t="str">
        <f t="shared" si="1"/>
        <v>2018PM PEAK</v>
      </c>
    </row>
    <row r="50" spans="3:13" x14ac:dyDescent="0.25">
      <c r="C50" s="294" t="s">
        <v>762</v>
      </c>
      <c r="D50" s="312">
        <v>2018</v>
      </c>
      <c r="E50" s="122" t="s">
        <v>250</v>
      </c>
      <c r="F50" s="122" t="b">
        <v>1</v>
      </c>
      <c r="G50" s="122" t="b">
        <v>1</v>
      </c>
      <c r="H50" s="122" t="b">
        <v>1</v>
      </c>
      <c r="I50" s="122">
        <v>45.12</v>
      </c>
      <c r="J50" s="122">
        <v>6</v>
      </c>
      <c r="L50" t="str">
        <f t="shared" si="0"/>
        <v>PUBLIC HOLIDAYS</v>
      </c>
      <c r="M50" s="195" t="str">
        <f t="shared" si="1"/>
        <v>2018PUBLIC HOLIDAYS</v>
      </c>
    </row>
    <row r="51" spans="3:13" x14ac:dyDescent="0.25">
      <c r="C51" s="294" t="s">
        <v>762</v>
      </c>
      <c r="D51" s="312">
        <v>2019</v>
      </c>
      <c r="E51" s="122" t="s">
        <v>763</v>
      </c>
      <c r="F51" s="122" t="b">
        <v>0</v>
      </c>
      <c r="G51" s="122" t="b">
        <v>0</v>
      </c>
      <c r="H51" s="122" t="b">
        <v>0</v>
      </c>
      <c r="I51" s="122">
        <v>55</v>
      </c>
      <c r="J51" s="122">
        <v>74</v>
      </c>
      <c r="L51" t="str">
        <f t="shared" si="0"/>
        <v>WEEKENDS</v>
      </c>
      <c r="M51" s="195" t="str">
        <f t="shared" si="1"/>
        <v>2019WEEKENDS</v>
      </c>
    </row>
    <row r="52" spans="3:13" x14ac:dyDescent="0.25">
      <c r="C52" s="294" t="s">
        <v>762</v>
      </c>
      <c r="D52" s="312">
        <v>2019</v>
      </c>
      <c r="E52" s="122" t="s">
        <v>763</v>
      </c>
      <c r="F52" s="122" t="b">
        <v>0</v>
      </c>
      <c r="G52" s="122" t="b">
        <v>1</v>
      </c>
      <c r="H52" s="122" t="b">
        <v>0</v>
      </c>
      <c r="I52" s="122">
        <v>55.18</v>
      </c>
      <c r="J52" s="122">
        <v>28</v>
      </c>
      <c r="L52" t="str">
        <f t="shared" si="0"/>
        <v>WEEKENDS</v>
      </c>
      <c r="M52" s="195" t="str">
        <f t="shared" si="1"/>
        <v>2019WEEKENDS</v>
      </c>
    </row>
    <row r="53" spans="3:13" x14ac:dyDescent="0.25">
      <c r="C53" s="294" t="s">
        <v>762</v>
      </c>
      <c r="D53" s="312">
        <v>2019</v>
      </c>
      <c r="E53" s="122" t="s">
        <v>763</v>
      </c>
      <c r="F53" s="122" t="b">
        <v>0</v>
      </c>
      <c r="G53" s="122" t="b">
        <v>1</v>
      </c>
      <c r="H53" s="122" t="b">
        <v>1</v>
      </c>
      <c r="I53" s="122">
        <v>55.42</v>
      </c>
      <c r="J53" s="122">
        <v>2</v>
      </c>
      <c r="L53" t="str">
        <f t="shared" si="0"/>
        <v>PUBLIC HOLIDAYS</v>
      </c>
      <c r="M53" s="195" t="str">
        <f t="shared" si="1"/>
        <v>2019PUBLIC HOLIDAYS</v>
      </c>
    </row>
    <row r="54" spans="3:13" x14ac:dyDescent="0.25">
      <c r="C54" s="294" t="s">
        <v>762</v>
      </c>
      <c r="D54" s="312">
        <v>2019</v>
      </c>
      <c r="E54" s="122" t="s">
        <v>763</v>
      </c>
      <c r="F54" s="122" t="b">
        <v>1</v>
      </c>
      <c r="G54" s="122" t="b">
        <v>0</v>
      </c>
      <c r="H54" s="122" t="b">
        <v>0</v>
      </c>
      <c r="I54" s="122">
        <v>54.02</v>
      </c>
      <c r="J54" s="122">
        <v>203</v>
      </c>
      <c r="L54" t="str">
        <f t="shared" si="0"/>
        <v>OFF PEAK</v>
      </c>
      <c r="M54" s="195" t="str">
        <f t="shared" si="1"/>
        <v>2019OFF PEAK</v>
      </c>
    </row>
    <row r="55" spans="3:13" x14ac:dyDescent="0.25">
      <c r="C55" s="294" t="s">
        <v>762</v>
      </c>
      <c r="D55" s="312">
        <v>2019</v>
      </c>
      <c r="E55" s="122" t="s">
        <v>763</v>
      </c>
      <c r="F55" s="122" t="b">
        <v>1</v>
      </c>
      <c r="G55" s="122" t="b">
        <v>0</v>
      </c>
      <c r="H55" s="122" t="b">
        <v>1</v>
      </c>
      <c r="I55" s="122">
        <v>55.22</v>
      </c>
      <c r="J55" s="122">
        <v>1</v>
      </c>
      <c r="L55" t="str">
        <f t="shared" si="0"/>
        <v>PUBLIC HOLIDAYS</v>
      </c>
      <c r="M55" s="195" t="str">
        <f t="shared" si="1"/>
        <v>2019PUBLIC HOLIDAYS</v>
      </c>
    </row>
    <row r="56" spans="3:13" x14ac:dyDescent="0.25">
      <c r="C56" s="294" t="s">
        <v>762</v>
      </c>
      <c r="D56" s="312">
        <v>2019</v>
      </c>
      <c r="E56" s="122" t="s">
        <v>763</v>
      </c>
      <c r="F56" s="122" t="b">
        <v>1</v>
      </c>
      <c r="G56" s="122" t="b">
        <v>1</v>
      </c>
      <c r="H56" s="122" t="b">
        <v>0</v>
      </c>
      <c r="I56" s="122">
        <v>54.28</v>
      </c>
      <c r="J56" s="122">
        <v>49</v>
      </c>
      <c r="L56" t="str">
        <f t="shared" si="0"/>
        <v>OFF PEAK</v>
      </c>
      <c r="M56" s="195" t="str">
        <f t="shared" si="1"/>
        <v>2019OFF PEAK</v>
      </c>
    </row>
    <row r="57" spans="3:13" x14ac:dyDescent="0.25">
      <c r="C57" s="294" t="s">
        <v>762</v>
      </c>
      <c r="D57" s="312">
        <v>2019</v>
      </c>
      <c r="E57" s="122" t="s">
        <v>763</v>
      </c>
      <c r="F57" s="122" t="b">
        <v>1</v>
      </c>
      <c r="G57" s="122" t="b">
        <v>1</v>
      </c>
      <c r="H57" s="122" t="b">
        <v>1</v>
      </c>
      <c r="I57" s="122">
        <v>54.96</v>
      </c>
      <c r="J57" s="122">
        <v>8</v>
      </c>
      <c r="L57" t="str">
        <f t="shared" si="0"/>
        <v>PUBLIC HOLIDAYS</v>
      </c>
      <c r="M57" s="195" t="str">
        <f t="shared" si="1"/>
        <v>2019PUBLIC HOLIDAYS</v>
      </c>
    </row>
    <row r="58" spans="3:13" x14ac:dyDescent="0.25">
      <c r="C58" s="294" t="s">
        <v>762</v>
      </c>
      <c r="D58" s="312">
        <v>2019</v>
      </c>
      <c r="E58" s="122" t="s">
        <v>247</v>
      </c>
      <c r="F58" s="122" t="b">
        <v>0</v>
      </c>
      <c r="G58" s="122" t="b">
        <v>0</v>
      </c>
      <c r="H58" s="122" t="b">
        <v>0</v>
      </c>
      <c r="I58" s="122">
        <v>50.26</v>
      </c>
      <c r="J58" s="122">
        <v>74</v>
      </c>
      <c r="L58" t="str">
        <f t="shared" si="0"/>
        <v>WEEKENDS</v>
      </c>
      <c r="M58" s="195" t="str">
        <f t="shared" si="1"/>
        <v>2019WEEKENDS</v>
      </c>
    </row>
    <row r="59" spans="3:13" x14ac:dyDescent="0.25">
      <c r="C59" s="294" t="s">
        <v>762</v>
      </c>
      <c r="D59" s="312">
        <v>2019</v>
      </c>
      <c r="E59" s="122" t="s">
        <v>247</v>
      </c>
      <c r="F59" s="122" t="b">
        <v>0</v>
      </c>
      <c r="G59" s="122" t="b">
        <v>1</v>
      </c>
      <c r="H59" s="122" t="b">
        <v>0</v>
      </c>
      <c r="I59" s="122">
        <v>50.58</v>
      </c>
      <c r="J59" s="122">
        <v>28</v>
      </c>
      <c r="L59" t="str">
        <f t="shared" si="0"/>
        <v>WEEKENDS</v>
      </c>
      <c r="M59" s="195" t="str">
        <f t="shared" si="1"/>
        <v>2019WEEKENDS</v>
      </c>
    </row>
    <row r="60" spans="3:13" x14ac:dyDescent="0.25">
      <c r="C60" s="294" t="s">
        <v>762</v>
      </c>
      <c r="D60" s="312">
        <v>2019</v>
      </c>
      <c r="E60" s="122" t="s">
        <v>247</v>
      </c>
      <c r="F60" s="122" t="b">
        <v>0</v>
      </c>
      <c r="G60" s="122" t="b">
        <v>1</v>
      </c>
      <c r="H60" s="122" t="b">
        <v>1</v>
      </c>
      <c r="I60" s="122">
        <v>50.93</v>
      </c>
      <c r="J60" s="122">
        <v>2</v>
      </c>
      <c r="L60" t="str">
        <f t="shared" si="0"/>
        <v>PUBLIC HOLIDAYS</v>
      </c>
      <c r="M60" s="195" t="str">
        <f t="shared" si="1"/>
        <v>2019PUBLIC HOLIDAYS</v>
      </c>
    </row>
    <row r="61" spans="3:13" x14ac:dyDescent="0.25">
      <c r="C61" s="294" t="s">
        <v>762</v>
      </c>
      <c r="D61" s="312">
        <v>2019</v>
      </c>
      <c r="E61" s="122" t="s">
        <v>247</v>
      </c>
      <c r="F61" s="122" t="b">
        <v>1</v>
      </c>
      <c r="G61" s="122" t="b">
        <v>0</v>
      </c>
      <c r="H61" s="122" t="b">
        <v>0</v>
      </c>
      <c r="I61" s="122">
        <v>43.08</v>
      </c>
      <c r="J61" s="122">
        <v>203</v>
      </c>
      <c r="L61" t="str">
        <f t="shared" si="0"/>
        <v>AM PEAK</v>
      </c>
      <c r="M61" s="195" t="str">
        <f t="shared" si="1"/>
        <v>2019AM PEAK</v>
      </c>
    </row>
    <row r="62" spans="3:13" x14ac:dyDescent="0.25">
      <c r="C62" s="294" t="s">
        <v>762</v>
      </c>
      <c r="D62" s="312">
        <v>2019</v>
      </c>
      <c r="E62" s="122" t="s">
        <v>247</v>
      </c>
      <c r="F62" s="122" t="b">
        <v>1</v>
      </c>
      <c r="G62" s="122" t="b">
        <v>0</v>
      </c>
      <c r="H62" s="122" t="b">
        <v>1</v>
      </c>
      <c r="I62" s="122">
        <v>47.97</v>
      </c>
      <c r="J62" s="122">
        <v>1</v>
      </c>
      <c r="L62" t="str">
        <f t="shared" si="0"/>
        <v>PUBLIC HOLIDAYS</v>
      </c>
      <c r="M62" s="195" t="str">
        <f t="shared" si="1"/>
        <v>2019PUBLIC HOLIDAYS</v>
      </c>
    </row>
    <row r="63" spans="3:13" x14ac:dyDescent="0.25">
      <c r="C63" s="294" t="s">
        <v>762</v>
      </c>
      <c r="D63" s="312">
        <v>2019</v>
      </c>
      <c r="E63" s="122" t="s">
        <v>247</v>
      </c>
      <c r="F63" s="122" t="b">
        <v>1</v>
      </c>
      <c r="G63" s="122" t="b">
        <v>1</v>
      </c>
      <c r="H63" s="122" t="b">
        <v>0</v>
      </c>
      <c r="I63" s="122">
        <v>45.37</v>
      </c>
      <c r="J63" s="122">
        <v>49</v>
      </c>
      <c r="L63" t="str">
        <f t="shared" si="0"/>
        <v>AM PEAK</v>
      </c>
      <c r="M63" s="195" t="str">
        <f t="shared" si="1"/>
        <v>2019AM PEAK</v>
      </c>
    </row>
    <row r="64" spans="3:13" x14ac:dyDescent="0.25">
      <c r="C64" s="294" t="s">
        <v>762</v>
      </c>
      <c r="D64" s="312">
        <v>2019</v>
      </c>
      <c r="E64" s="122" t="s">
        <v>247</v>
      </c>
      <c r="F64" s="122" t="b">
        <v>1</v>
      </c>
      <c r="G64" s="122" t="b">
        <v>1</v>
      </c>
      <c r="H64" s="122" t="b">
        <v>1</v>
      </c>
      <c r="I64" s="122">
        <v>47.53</v>
      </c>
      <c r="J64" s="122">
        <v>8</v>
      </c>
      <c r="L64" t="str">
        <f t="shared" si="0"/>
        <v>PUBLIC HOLIDAYS</v>
      </c>
      <c r="M64" s="195" t="str">
        <f t="shared" si="1"/>
        <v>2019PUBLIC HOLIDAYS</v>
      </c>
    </row>
    <row r="65" spans="3:13" x14ac:dyDescent="0.25">
      <c r="C65" s="294" t="s">
        <v>762</v>
      </c>
      <c r="D65" s="312">
        <v>2019</v>
      </c>
      <c r="E65" s="122" t="s">
        <v>764</v>
      </c>
      <c r="F65" s="122" t="b">
        <v>0</v>
      </c>
      <c r="G65" s="122" t="b">
        <v>0</v>
      </c>
      <c r="H65" s="122" t="b">
        <v>0</v>
      </c>
      <c r="I65" s="122">
        <v>45.63</v>
      </c>
      <c r="J65" s="122">
        <v>74</v>
      </c>
      <c r="L65" t="str">
        <f t="shared" si="0"/>
        <v>WEEKENDS</v>
      </c>
      <c r="M65" s="195" t="str">
        <f t="shared" si="1"/>
        <v>2019WEEKENDS</v>
      </c>
    </row>
    <row r="66" spans="3:13" x14ac:dyDescent="0.25">
      <c r="C66" s="294" t="s">
        <v>762</v>
      </c>
      <c r="D66" s="312">
        <v>2019</v>
      </c>
      <c r="E66" s="122" t="s">
        <v>764</v>
      </c>
      <c r="F66" s="122" t="b">
        <v>0</v>
      </c>
      <c r="G66" s="122" t="b">
        <v>1</v>
      </c>
      <c r="H66" s="122" t="b">
        <v>0</v>
      </c>
      <c r="I66" s="122">
        <v>46.3</v>
      </c>
      <c r="J66" s="122">
        <v>28</v>
      </c>
      <c r="L66" t="str">
        <f t="shared" si="0"/>
        <v>WEEKENDS</v>
      </c>
      <c r="M66" s="195" t="str">
        <f t="shared" si="1"/>
        <v>2019WEEKENDS</v>
      </c>
    </row>
    <row r="67" spans="3:13" x14ac:dyDescent="0.25">
      <c r="C67" s="294" t="s">
        <v>762</v>
      </c>
      <c r="D67" s="312">
        <v>2019</v>
      </c>
      <c r="E67" s="122" t="s">
        <v>764</v>
      </c>
      <c r="F67" s="122" t="b">
        <v>0</v>
      </c>
      <c r="G67" s="122" t="b">
        <v>1</v>
      </c>
      <c r="H67" s="122" t="b">
        <v>1</v>
      </c>
      <c r="I67" s="122">
        <v>46.87</v>
      </c>
      <c r="J67" s="122">
        <v>2</v>
      </c>
      <c r="L67" t="str">
        <f t="shared" si="0"/>
        <v>PUBLIC HOLIDAYS</v>
      </c>
      <c r="M67" s="195" t="str">
        <f t="shared" si="1"/>
        <v>2019PUBLIC HOLIDAYS</v>
      </c>
    </row>
    <row r="68" spans="3:13" x14ac:dyDescent="0.25">
      <c r="C68" s="294" t="s">
        <v>762</v>
      </c>
      <c r="D68" s="312">
        <v>2019</v>
      </c>
      <c r="E68" s="122" t="s">
        <v>764</v>
      </c>
      <c r="F68" s="122" t="b">
        <v>1</v>
      </c>
      <c r="G68" s="122" t="b">
        <v>0</v>
      </c>
      <c r="H68" s="122" t="b">
        <v>0</v>
      </c>
      <c r="I68" s="122">
        <v>43.55</v>
      </c>
      <c r="J68" s="122">
        <v>203</v>
      </c>
      <c r="L68" t="str">
        <f t="shared" si="0"/>
        <v>OFF PEAK</v>
      </c>
      <c r="M68" s="195" t="str">
        <f t="shared" si="1"/>
        <v>2019OFF PEAK</v>
      </c>
    </row>
    <row r="69" spans="3:13" x14ac:dyDescent="0.25">
      <c r="C69" s="294" t="s">
        <v>762</v>
      </c>
      <c r="D69" s="312">
        <v>2019</v>
      </c>
      <c r="E69" s="122" t="s">
        <v>764</v>
      </c>
      <c r="F69" s="122" t="b">
        <v>1</v>
      </c>
      <c r="G69" s="122" t="b">
        <v>0</v>
      </c>
      <c r="H69" s="122" t="b">
        <v>1</v>
      </c>
      <c r="I69" s="122">
        <v>45.58</v>
      </c>
      <c r="J69" s="122">
        <v>1</v>
      </c>
      <c r="L69" t="str">
        <f t="shared" si="0"/>
        <v>PUBLIC HOLIDAYS</v>
      </c>
      <c r="M69" s="195" t="str">
        <f t="shared" si="1"/>
        <v>2019PUBLIC HOLIDAYS</v>
      </c>
    </row>
    <row r="70" spans="3:13" x14ac:dyDescent="0.25">
      <c r="C70" s="294" t="s">
        <v>762</v>
      </c>
      <c r="D70" s="312">
        <v>2019</v>
      </c>
      <c r="E70" s="122" t="s">
        <v>764</v>
      </c>
      <c r="F70" s="122" t="b">
        <v>1</v>
      </c>
      <c r="G70" s="122" t="b">
        <v>1</v>
      </c>
      <c r="H70" s="122" t="b">
        <v>0</v>
      </c>
      <c r="I70" s="122">
        <v>43.77</v>
      </c>
      <c r="J70" s="122">
        <v>49</v>
      </c>
      <c r="L70" t="str">
        <f t="shared" si="0"/>
        <v>OFF PEAK</v>
      </c>
      <c r="M70" s="195" t="str">
        <f t="shared" si="1"/>
        <v>2019OFF PEAK</v>
      </c>
    </row>
    <row r="71" spans="3:13" x14ac:dyDescent="0.25">
      <c r="C71" s="294" t="s">
        <v>762</v>
      </c>
      <c r="D71" s="312">
        <v>2019</v>
      </c>
      <c r="E71" s="122" t="s">
        <v>764</v>
      </c>
      <c r="F71" s="122" t="b">
        <v>1</v>
      </c>
      <c r="G71" s="122" t="b">
        <v>1</v>
      </c>
      <c r="H71" s="122" t="b">
        <v>1</v>
      </c>
      <c r="I71" s="122">
        <v>45.27</v>
      </c>
      <c r="J71" s="122">
        <v>8</v>
      </c>
      <c r="L71" t="str">
        <f t="shared" si="0"/>
        <v>PUBLIC HOLIDAYS</v>
      </c>
      <c r="M71" s="195" t="str">
        <f t="shared" si="1"/>
        <v>2019PUBLIC HOLIDAYS</v>
      </c>
    </row>
    <row r="72" spans="3:13" x14ac:dyDescent="0.25">
      <c r="C72" s="294" t="s">
        <v>762</v>
      </c>
      <c r="D72" s="312">
        <v>2019</v>
      </c>
      <c r="E72" s="122" t="s">
        <v>765</v>
      </c>
      <c r="F72" s="122" t="b">
        <v>0</v>
      </c>
      <c r="G72" s="122" t="b">
        <v>0</v>
      </c>
      <c r="H72" s="122" t="b">
        <v>0</v>
      </c>
      <c r="I72" s="122">
        <v>51.14</v>
      </c>
      <c r="J72" s="122">
        <v>74</v>
      </c>
      <c r="L72" t="str">
        <f t="shared" si="0"/>
        <v>WEEKENDS</v>
      </c>
      <c r="M72" s="195" t="str">
        <f t="shared" si="1"/>
        <v>2019WEEKENDS</v>
      </c>
    </row>
    <row r="73" spans="3:13" x14ac:dyDescent="0.25">
      <c r="C73" s="294" t="s">
        <v>762</v>
      </c>
      <c r="D73" s="312">
        <v>2019</v>
      </c>
      <c r="E73" s="122" t="s">
        <v>765</v>
      </c>
      <c r="F73" s="122" t="b">
        <v>0</v>
      </c>
      <c r="G73" s="122" t="b">
        <v>1</v>
      </c>
      <c r="H73" s="122" t="b">
        <v>0</v>
      </c>
      <c r="I73" s="122">
        <v>51.34</v>
      </c>
      <c r="J73" s="122">
        <v>28</v>
      </c>
      <c r="L73" t="str">
        <f t="shared" si="0"/>
        <v>WEEKENDS</v>
      </c>
      <c r="M73" s="195" t="str">
        <f t="shared" si="1"/>
        <v>2019WEEKENDS</v>
      </c>
    </row>
    <row r="74" spans="3:13" x14ac:dyDescent="0.25">
      <c r="C74" s="294" t="s">
        <v>762</v>
      </c>
      <c r="D74" s="312">
        <v>2019</v>
      </c>
      <c r="E74" s="122" t="s">
        <v>765</v>
      </c>
      <c r="F74" s="122" t="b">
        <v>0</v>
      </c>
      <c r="G74" s="122" t="b">
        <v>1</v>
      </c>
      <c r="H74" s="122" t="b">
        <v>1</v>
      </c>
      <c r="I74" s="122">
        <v>51.71</v>
      </c>
      <c r="J74" s="122">
        <v>2</v>
      </c>
      <c r="L74" t="str">
        <f t="shared" si="0"/>
        <v>PUBLIC HOLIDAYS</v>
      </c>
      <c r="M74" s="195" t="str">
        <f t="shared" si="1"/>
        <v>2019PUBLIC HOLIDAYS</v>
      </c>
    </row>
    <row r="75" spans="3:13" x14ac:dyDescent="0.25">
      <c r="C75" s="294" t="s">
        <v>762</v>
      </c>
      <c r="D75" s="312">
        <v>2019</v>
      </c>
      <c r="E75" s="122" t="s">
        <v>765</v>
      </c>
      <c r="F75" s="122" t="b">
        <v>1</v>
      </c>
      <c r="G75" s="122" t="b">
        <v>0</v>
      </c>
      <c r="H75" s="122" t="b">
        <v>0</v>
      </c>
      <c r="I75" s="122">
        <v>49.4</v>
      </c>
      <c r="J75" s="122">
        <v>203</v>
      </c>
      <c r="L75" t="str">
        <f t="shared" si="0"/>
        <v>OFF PEAK</v>
      </c>
      <c r="M75" s="195" t="str">
        <f t="shared" si="1"/>
        <v>2019OFF PEAK</v>
      </c>
    </row>
    <row r="76" spans="3:13" x14ac:dyDescent="0.25">
      <c r="C76" s="294" t="s">
        <v>762</v>
      </c>
      <c r="D76" s="312">
        <v>2019</v>
      </c>
      <c r="E76" s="122" t="s">
        <v>765</v>
      </c>
      <c r="F76" s="122" t="b">
        <v>1</v>
      </c>
      <c r="G76" s="122" t="b">
        <v>0</v>
      </c>
      <c r="H76" s="122" t="b">
        <v>1</v>
      </c>
      <c r="I76" s="122">
        <v>50.64</v>
      </c>
      <c r="J76" s="122">
        <v>1</v>
      </c>
      <c r="L76" t="str">
        <f t="shared" si="0"/>
        <v>PUBLIC HOLIDAYS</v>
      </c>
      <c r="M76" s="195" t="str">
        <f t="shared" si="1"/>
        <v>2019PUBLIC HOLIDAYS</v>
      </c>
    </row>
    <row r="77" spans="3:13" x14ac:dyDescent="0.25">
      <c r="C77" s="294" t="s">
        <v>762</v>
      </c>
      <c r="D77" s="312">
        <v>2019</v>
      </c>
      <c r="E77" s="122" t="s">
        <v>765</v>
      </c>
      <c r="F77" s="122" t="b">
        <v>1</v>
      </c>
      <c r="G77" s="122" t="b">
        <v>1</v>
      </c>
      <c r="H77" s="122" t="b">
        <v>0</v>
      </c>
      <c r="I77" s="122">
        <v>49.66</v>
      </c>
      <c r="J77" s="122">
        <v>49</v>
      </c>
      <c r="L77" t="str">
        <f t="shared" si="0"/>
        <v>OFF PEAK</v>
      </c>
      <c r="M77" s="195" t="str">
        <f t="shared" si="1"/>
        <v>2019OFF PEAK</v>
      </c>
    </row>
    <row r="78" spans="3:13" x14ac:dyDescent="0.25">
      <c r="C78" s="294" t="s">
        <v>762</v>
      </c>
      <c r="D78" s="312">
        <v>2019</v>
      </c>
      <c r="E78" s="122" t="s">
        <v>765</v>
      </c>
      <c r="F78" s="122" t="b">
        <v>1</v>
      </c>
      <c r="G78" s="122" t="b">
        <v>1</v>
      </c>
      <c r="H78" s="122" t="b">
        <v>1</v>
      </c>
      <c r="I78" s="122">
        <v>50.21</v>
      </c>
      <c r="J78" s="122">
        <v>8</v>
      </c>
      <c r="L78" t="str">
        <f t="shared" si="0"/>
        <v>PUBLIC HOLIDAYS</v>
      </c>
      <c r="M78" s="195" t="str">
        <f t="shared" si="1"/>
        <v>2019PUBLIC HOLIDAYS</v>
      </c>
    </row>
    <row r="79" spans="3:13" x14ac:dyDescent="0.25">
      <c r="C79" s="294" t="s">
        <v>762</v>
      </c>
      <c r="D79" s="312">
        <v>2019</v>
      </c>
      <c r="E79" s="122" t="s">
        <v>250</v>
      </c>
      <c r="F79" s="122" t="b">
        <v>0</v>
      </c>
      <c r="G79" s="122" t="b">
        <v>0</v>
      </c>
      <c r="H79" s="122" t="b">
        <v>0</v>
      </c>
      <c r="I79" s="122">
        <v>47.24</v>
      </c>
      <c r="J79" s="122">
        <v>74</v>
      </c>
      <c r="L79" t="str">
        <f t="shared" si="0"/>
        <v>WEEKENDS</v>
      </c>
      <c r="M79" s="195" t="str">
        <f t="shared" si="1"/>
        <v>2019WEEKENDS</v>
      </c>
    </row>
    <row r="80" spans="3:13" x14ac:dyDescent="0.25">
      <c r="C80" s="294" t="s">
        <v>762</v>
      </c>
      <c r="D80" s="312">
        <v>2019</v>
      </c>
      <c r="E80" s="122" t="s">
        <v>250</v>
      </c>
      <c r="F80" s="122" t="b">
        <v>0</v>
      </c>
      <c r="G80" s="122" t="b">
        <v>1</v>
      </c>
      <c r="H80" s="122" t="b">
        <v>0</v>
      </c>
      <c r="I80" s="122">
        <v>47.64</v>
      </c>
      <c r="J80" s="122">
        <v>28</v>
      </c>
      <c r="L80" t="str">
        <f t="shared" si="0"/>
        <v>WEEKENDS</v>
      </c>
      <c r="M80" s="195" t="str">
        <f t="shared" si="1"/>
        <v>2019WEEKENDS</v>
      </c>
    </row>
    <row r="81" spans="3:13" x14ac:dyDescent="0.25">
      <c r="C81" s="294" t="s">
        <v>762</v>
      </c>
      <c r="D81" s="312">
        <v>2019</v>
      </c>
      <c r="E81" s="122" t="s">
        <v>250</v>
      </c>
      <c r="F81" s="122" t="b">
        <v>0</v>
      </c>
      <c r="G81" s="122" t="b">
        <v>1</v>
      </c>
      <c r="H81" s="122" t="b">
        <v>1</v>
      </c>
      <c r="I81" s="122">
        <v>47.86</v>
      </c>
      <c r="J81" s="122">
        <v>2</v>
      </c>
      <c r="L81" t="str">
        <f t="shared" ref="L81:L144" si="2">IF($H81,"PUBLIC HOLIDAYS",IF(NOT($F81),"WEEKENDS",IF($E81="AM Peak","AM PEAK",IF($E81="PM Peak","PM PEAK","OFF PEAK"))))</f>
        <v>PUBLIC HOLIDAYS</v>
      </c>
      <c r="M81" s="195" t="str">
        <f t="shared" ref="M81:M144" si="3">D81&amp;L81</f>
        <v>2019PUBLIC HOLIDAYS</v>
      </c>
    </row>
    <row r="82" spans="3:13" x14ac:dyDescent="0.25">
      <c r="C82" s="294" t="s">
        <v>762</v>
      </c>
      <c r="D82" s="312">
        <v>2019</v>
      </c>
      <c r="E82" s="122" t="s">
        <v>250</v>
      </c>
      <c r="F82" s="122" t="b">
        <v>1</v>
      </c>
      <c r="G82" s="122" t="b">
        <v>0</v>
      </c>
      <c r="H82" s="122" t="b">
        <v>0</v>
      </c>
      <c r="I82" s="122">
        <v>41.86</v>
      </c>
      <c r="J82" s="122">
        <v>203</v>
      </c>
      <c r="L82" t="str">
        <f t="shared" si="2"/>
        <v>PM PEAK</v>
      </c>
      <c r="M82" s="195" t="str">
        <f t="shared" si="3"/>
        <v>2019PM PEAK</v>
      </c>
    </row>
    <row r="83" spans="3:13" x14ac:dyDescent="0.25">
      <c r="C83" s="294" t="s">
        <v>762</v>
      </c>
      <c r="D83" s="312">
        <v>2019</v>
      </c>
      <c r="E83" s="122" t="s">
        <v>250</v>
      </c>
      <c r="F83" s="122" t="b">
        <v>1</v>
      </c>
      <c r="G83" s="122" t="b">
        <v>0</v>
      </c>
      <c r="H83" s="122" t="b">
        <v>1</v>
      </c>
      <c r="I83" s="122">
        <v>45.24</v>
      </c>
      <c r="J83" s="122">
        <v>1</v>
      </c>
      <c r="L83" t="str">
        <f t="shared" si="2"/>
        <v>PUBLIC HOLIDAYS</v>
      </c>
      <c r="M83" s="195" t="str">
        <f t="shared" si="3"/>
        <v>2019PUBLIC HOLIDAYS</v>
      </c>
    </row>
    <row r="84" spans="3:13" x14ac:dyDescent="0.25">
      <c r="C84" s="294" t="s">
        <v>762</v>
      </c>
      <c r="D84" s="312">
        <v>2019</v>
      </c>
      <c r="E84" s="122" t="s">
        <v>250</v>
      </c>
      <c r="F84" s="122" t="b">
        <v>1</v>
      </c>
      <c r="G84" s="122" t="b">
        <v>1</v>
      </c>
      <c r="H84" s="122" t="b">
        <v>0</v>
      </c>
      <c r="I84" s="122">
        <v>43.4</v>
      </c>
      <c r="J84" s="122">
        <v>49</v>
      </c>
      <c r="L84" t="str">
        <f t="shared" si="2"/>
        <v>PM PEAK</v>
      </c>
      <c r="M84" s="195" t="str">
        <f t="shared" si="3"/>
        <v>2019PM PEAK</v>
      </c>
    </row>
    <row r="85" spans="3:13" x14ac:dyDescent="0.25">
      <c r="C85" s="294" t="s">
        <v>762</v>
      </c>
      <c r="D85" s="312">
        <v>2019</v>
      </c>
      <c r="E85" s="122" t="s">
        <v>250</v>
      </c>
      <c r="F85" s="122" t="b">
        <v>1</v>
      </c>
      <c r="G85" s="122" t="b">
        <v>1</v>
      </c>
      <c r="H85" s="122" t="b">
        <v>1</v>
      </c>
      <c r="I85" s="122">
        <v>45.04</v>
      </c>
      <c r="J85" s="122">
        <v>8</v>
      </c>
      <c r="L85" t="str">
        <f t="shared" si="2"/>
        <v>PUBLIC HOLIDAYS</v>
      </c>
      <c r="M85" s="195" t="str">
        <f t="shared" si="3"/>
        <v>2019PUBLIC HOLIDAYS</v>
      </c>
    </row>
    <row r="86" spans="3:13" x14ac:dyDescent="0.25">
      <c r="C86" s="294" t="s">
        <v>762</v>
      </c>
      <c r="D86" s="312">
        <v>2020</v>
      </c>
      <c r="E86" s="122" t="s">
        <v>763</v>
      </c>
      <c r="F86" s="122" t="b">
        <v>0</v>
      </c>
      <c r="G86" s="122" t="b">
        <v>0</v>
      </c>
      <c r="H86" s="122" t="b">
        <v>0</v>
      </c>
      <c r="I86" s="122">
        <v>55.06</v>
      </c>
      <c r="J86" s="122">
        <v>85</v>
      </c>
      <c r="L86" t="str">
        <f t="shared" si="2"/>
        <v>WEEKENDS</v>
      </c>
      <c r="M86" s="195" t="str">
        <f t="shared" si="3"/>
        <v>2020WEEKENDS</v>
      </c>
    </row>
    <row r="87" spans="3:13" x14ac:dyDescent="0.25">
      <c r="C87" s="294" t="s">
        <v>762</v>
      </c>
      <c r="D87" s="312">
        <v>2020</v>
      </c>
      <c r="E87" s="122" t="s">
        <v>763</v>
      </c>
      <c r="F87" s="122" t="b">
        <v>0</v>
      </c>
      <c r="G87" s="122" t="b">
        <v>0</v>
      </c>
      <c r="H87" s="122" t="b">
        <v>1</v>
      </c>
      <c r="I87" s="122">
        <v>55.28</v>
      </c>
      <c r="J87" s="122">
        <v>1</v>
      </c>
      <c r="L87" t="str">
        <f t="shared" si="2"/>
        <v>PUBLIC HOLIDAYS</v>
      </c>
      <c r="M87" s="195" t="str">
        <f t="shared" si="3"/>
        <v>2020PUBLIC HOLIDAYS</v>
      </c>
    </row>
    <row r="88" spans="3:13" x14ac:dyDescent="0.25">
      <c r="C88" s="294" t="s">
        <v>762</v>
      </c>
      <c r="D88" s="312">
        <v>2020</v>
      </c>
      <c r="E88" s="122" t="s">
        <v>763</v>
      </c>
      <c r="F88" s="122" t="b">
        <v>0</v>
      </c>
      <c r="G88" s="122" t="b">
        <v>1</v>
      </c>
      <c r="H88" s="122" t="b">
        <v>0</v>
      </c>
      <c r="I88" s="122">
        <v>55.04</v>
      </c>
      <c r="J88" s="122">
        <v>16</v>
      </c>
      <c r="L88" t="str">
        <f t="shared" si="2"/>
        <v>WEEKENDS</v>
      </c>
      <c r="M88" s="195" t="str">
        <f t="shared" si="3"/>
        <v>2020WEEKENDS</v>
      </c>
    </row>
    <row r="89" spans="3:13" x14ac:dyDescent="0.25">
      <c r="C89" s="294" t="s">
        <v>762</v>
      </c>
      <c r="D89" s="312">
        <v>2020</v>
      </c>
      <c r="E89" s="122" t="s">
        <v>763</v>
      </c>
      <c r="F89" s="122" t="b">
        <v>0</v>
      </c>
      <c r="G89" s="122" t="b">
        <v>1</v>
      </c>
      <c r="H89" s="122" t="b">
        <v>1</v>
      </c>
      <c r="I89" s="122">
        <v>55.54</v>
      </c>
      <c r="J89" s="122">
        <v>2</v>
      </c>
      <c r="L89" t="str">
        <f t="shared" si="2"/>
        <v>PUBLIC HOLIDAYS</v>
      </c>
      <c r="M89" s="195" t="str">
        <f t="shared" si="3"/>
        <v>2020PUBLIC HOLIDAYS</v>
      </c>
    </row>
    <row r="90" spans="3:13" x14ac:dyDescent="0.25">
      <c r="C90" s="294" t="s">
        <v>762</v>
      </c>
      <c r="D90" s="312">
        <v>2020</v>
      </c>
      <c r="E90" s="122" t="s">
        <v>763</v>
      </c>
      <c r="F90" s="122" t="b">
        <v>1</v>
      </c>
      <c r="G90" s="122" t="b">
        <v>0</v>
      </c>
      <c r="H90" s="122" t="b">
        <v>0</v>
      </c>
      <c r="I90" s="122">
        <v>53.98</v>
      </c>
      <c r="J90" s="122">
        <v>202</v>
      </c>
      <c r="L90" t="str">
        <f t="shared" si="2"/>
        <v>OFF PEAK</v>
      </c>
      <c r="M90" s="195" t="str">
        <f t="shared" si="3"/>
        <v>2020OFF PEAK</v>
      </c>
    </row>
    <row r="91" spans="3:13" x14ac:dyDescent="0.25">
      <c r="C91" s="294" t="s">
        <v>762</v>
      </c>
      <c r="D91" s="312">
        <v>2020</v>
      </c>
      <c r="E91" s="122" t="s">
        <v>763</v>
      </c>
      <c r="F91" s="122" t="b">
        <v>1</v>
      </c>
      <c r="G91" s="122" t="b">
        <v>0</v>
      </c>
      <c r="H91" s="122" t="b">
        <v>1</v>
      </c>
      <c r="I91" s="122">
        <v>55.13</v>
      </c>
      <c r="J91" s="122">
        <v>1</v>
      </c>
      <c r="L91" t="str">
        <f t="shared" si="2"/>
        <v>PUBLIC HOLIDAYS</v>
      </c>
      <c r="M91" s="195" t="str">
        <f t="shared" si="3"/>
        <v>2020PUBLIC HOLIDAYS</v>
      </c>
    </row>
    <row r="92" spans="3:13" x14ac:dyDescent="0.25">
      <c r="C92" s="294" t="s">
        <v>762</v>
      </c>
      <c r="D92" s="312">
        <v>2020</v>
      </c>
      <c r="E92" s="122" t="s">
        <v>763</v>
      </c>
      <c r="F92" s="122" t="b">
        <v>1</v>
      </c>
      <c r="G92" s="122" t="b">
        <v>1</v>
      </c>
      <c r="H92" s="122" t="b">
        <v>0</v>
      </c>
      <c r="I92" s="122">
        <v>54.13</v>
      </c>
      <c r="J92" s="122">
        <v>52</v>
      </c>
      <c r="L92" t="str">
        <f t="shared" si="2"/>
        <v>OFF PEAK</v>
      </c>
      <c r="M92" s="195" t="str">
        <f t="shared" si="3"/>
        <v>2020OFF PEAK</v>
      </c>
    </row>
    <row r="93" spans="3:13" x14ac:dyDescent="0.25">
      <c r="C93" s="294" t="s">
        <v>762</v>
      </c>
      <c r="D93" s="312">
        <v>2020</v>
      </c>
      <c r="E93" s="122" t="s">
        <v>763</v>
      </c>
      <c r="F93" s="122" t="b">
        <v>1</v>
      </c>
      <c r="G93" s="122" t="b">
        <v>1</v>
      </c>
      <c r="H93" s="122" t="b">
        <v>1</v>
      </c>
      <c r="I93" s="122">
        <v>54.67</v>
      </c>
      <c r="J93" s="122">
        <v>7</v>
      </c>
      <c r="L93" t="str">
        <f t="shared" si="2"/>
        <v>PUBLIC HOLIDAYS</v>
      </c>
      <c r="M93" s="195" t="str">
        <f t="shared" si="3"/>
        <v>2020PUBLIC HOLIDAYS</v>
      </c>
    </row>
    <row r="94" spans="3:13" x14ac:dyDescent="0.25">
      <c r="C94" s="294" t="s">
        <v>762</v>
      </c>
      <c r="D94" s="312">
        <v>2020</v>
      </c>
      <c r="E94" s="122" t="s">
        <v>247</v>
      </c>
      <c r="F94" s="122" t="b">
        <v>0</v>
      </c>
      <c r="G94" s="122" t="b">
        <v>0</v>
      </c>
      <c r="H94" s="122" t="b">
        <v>0</v>
      </c>
      <c r="I94" s="122">
        <v>50.59</v>
      </c>
      <c r="J94" s="122">
        <v>85</v>
      </c>
      <c r="L94" t="str">
        <f t="shared" si="2"/>
        <v>WEEKENDS</v>
      </c>
      <c r="M94" s="195" t="str">
        <f t="shared" si="3"/>
        <v>2020WEEKENDS</v>
      </c>
    </row>
    <row r="95" spans="3:13" x14ac:dyDescent="0.25">
      <c r="C95" s="294" t="s">
        <v>762</v>
      </c>
      <c r="D95" s="312">
        <v>2020</v>
      </c>
      <c r="E95" s="122" t="s">
        <v>247</v>
      </c>
      <c r="F95" s="122" t="b">
        <v>0</v>
      </c>
      <c r="G95" s="122" t="b">
        <v>0</v>
      </c>
      <c r="H95" s="122" t="b">
        <v>1</v>
      </c>
      <c r="I95" s="122">
        <v>50.44</v>
      </c>
      <c r="J95" s="122">
        <v>1</v>
      </c>
      <c r="L95" t="str">
        <f t="shared" si="2"/>
        <v>PUBLIC HOLIDAYS</v>
      </c>
      <c r="M95" s="195" t="str">
        <f t="shared" si="3"/>
        <v>2020PUBLIC HOLIDAYS</v>
      </c>
    </row>
    <row r="96" spans="3:13" x14ac:dyDescent="0.25">
      <c r="C96" s="294" t="s">
        <v>762</v>
      </c>
      <c r="D96" s="312">
        <v>2020</v>
      </c>
      <c r="E96" s="122" t="s">
        <v>247</v>
      </c>
      <c r="F96" s="122" t="b">
        <v>0</v>
      </c>
      <c r="G96" s="122" t="b">
        <v>1</v>
      </c>
      <c r="H96" s="122" t="b">
        <v>0</v>
      </c>
      <c r="I96" s="122">
        <v>50.75</v>
      </c>
      <c r="J96" s="122">
        <v>16</v>
      </c>
      <c r="L96" t="str">
        <f t="shared" si="2"/>
        <v>WEEKENDS</v>
      </c>
      <c r="M96" s="195" t="str">
        <f t="shared" si="3"/>
        <v>2020WEEKENDS</v>
      </c>
    </row>
    <row r="97" spans="3:13" x14ac:dyDescent="0.25">
      <c r="C97" s="294" t="s">
        <v>762</v>
      </c>
      <c r="D97" s="312">
        <v>2020</v>
      </c>
      <c r="E97" s="122" t="s">
        <v>247</v>
      </c>
      <c r="F97" s="122" t="b">
        <v>0</v>
      </c>
      <c r="G97" s="122" t="b">
        <v>1</v>
      </c>
      <c r="H97" s="122" t="b">
        <v>1</v>
      </c>
      <c r="I97" s="122">
        <v>51.14</v>
      </c>
      <c r="J97" s="122">
        <v>2</v>
      </c>
      <c r="L97" t="str">
        <f t="shared" si="2"/>
        <v>PUBLIC HOLIDAYS</v>
      </c>
      <c r="M97" s="195" t="str">
        <f t="shared" si="3"/>
        <v>2020PUBLIC HOLIDAYS</v>
      </c>
    </row>
    <row r="98" spans="3:13" x14ac:dyDescent="0.25">
      <c r="C98" s="294" t="s">
        <v>762</v>
      </c>
      <c r="D98" s="312">
        <v>2020</v>
      </c>
      <c r="E98" s="122" t="s">
        <v>247</v>
      </c>
      <c r="F98" s="122" t="b">
        <v>1</v>
      </c>
      <c r="G98" s="122" t="b">
        <v>0</v>
      </c>
      <c r="H98" s="122" t="b">
        <v>0</v>
      </c>
      <c r="I98" s="122">
        <v>44.4</v>
      </c>
      <c r="J98" s="122">
        <v>202</v>
      </c>
      <c r="L98" t="str">
        <f t="shared" si="2"/>
        <v>AM PEAK</v>
      </c>
      <c r="M98" s="195" t="str">
        <f t="shared" si="3"/>
        <v>2020AM PEAK</v>
      </c>
    </row>
    <row r="99" spans="3:13" x14ac:dyDescent="0.25">
      <c r="C99" s="294" t="s">
        <v>762</v>
      </c>
      <c r="D99" s="312">
        <v>2020</v>
      </c>
      <c r="E99" s="122" t="s">
        <v>247</v>
      </c>
      <c r="F99" s="122" t="b">
        <v>1</v>
      </c>
      <c r="G99" s="122" t="b">
        <v>0</v>
      </c>
      <c r="H99" s="122" t="b">
        <v>1</v>
      </c>
      <c r="I99" s="122">
        <v>48.12</v>
      </c>
      <c r="J99" s="122">
        <v>1</v>
      </c>
      <c r="L99" t="str">
        <f t="shared" si="2"/>
        <v>PUBLIC HOLIDAYS</v>
      </c>
      <c r="M99" s="195" t="str">
        <f t="shared" si="3"/>
        <v>2020PUBLIC HOLIDAYS</v>
      </c>
    </row>
    <row r="100" spans="3:13" x14ac:dyDescent="0.25">
      <c r="C100" s="294" t="s">
        <v>762</v>
      </c>
      <c r="D100" s="312">
        <v>2020</v>
      </c>
      <c r="E100" s="122" t="s">
        <v>247</v>
      </c>
      <c r="F100" s="122" t="b">
        <v>1</v>
      </c>
      <c r="G100" s="122" t="b">
        <v>1</v>
      </c>
      <c r="H100" s="122" t="b">
        <v>0</v>
      </c>
      <c r="I100" s="122">
        <v>46.31</v>
      </c>
      <c r="J100" s="122">
        <v>52</v>
      </c>
      <c r="L100" t="str">
        <f t="shared" si="2"/>
        <v>AM PEAK</v>
      </c>
      <c r="M100" s="195" t="str">
        <f t="shared" si="3"/>
        <v>2020AM PEAK</v>
      </c>
    </row>
    <row r="101" spans="3:13" x14ac:dyDescent="0.25">
      <c r="C101" s="294" t="s">
        <v>762</v>
      </c>
      <c r="D101" s="312">
        <v>2020</v>
      </c>
      <c r="E101" s="122" t="s">
        <v>247</v>
      </c>
      <c r="F101" s="122" t="b">
        <v>1</v>
      </c>
      <c r="G101" s="122" t="b">
        <v>1</v>
      </c>
      <c r="H101" s="122" t="b">
        <v>1</v>
      </c>
      <c r="I101" s="122">
        <v>47.91</v>
      </c>
      <c r="J101" s="122">
        <v>7</v>
      </c>
      <c r="L101" t="str">
        <f t="shared" si="2"/>
        <v>PUBLIC HOLIDAYS</v>
      </c>
      <c r="M101" s="195" t="str">
        <f t="shared" si="3"/>
        <v>2020PUBLIC HOLIDAYS</v>
      </c>
    </row>
    <row r="102" spans="3:13" x14ac:dyDescent="0.25">
      <c r="C102" s="294" t="s">
        <v>762</v>
      </c>
      <c r="D102" s="312">
        <v>2020</v>
      </c>
      <c r="E102" s="122" t="s">
        <v>764</v>
      </c>
      <c r="F102" s="122" t="b">
        <v>0</v>
      </c>
      <c r="G102" s="122" t="b">
        <v>0</v>
      </c>
      <c r="H102" s="122" t="b">
        <v>0</v>
      </c>
      <c r="I102" s="122">
        <v>45.99</v>
      </c>
      <c r="J102" s="122">
        <v>85</v>
      </c>
      <c r="L102" t="str">
        <f t="shared" si="2"/>
        <v>WEEKENDS</v>
      </c>
      <c r="M102" s="195" t="str">
        <f t="shared" si="3"/>
        <v>2020WEEKENDS</v>
      </c>
    </row>
    <row r="103" spans="3:13" x14ac:dyDescent="0.25">
      <c r="C103" s="294" t="s">
        <v>762</v>
      </c>
      <c r="D103" s="312">
        <v>2020</v>
      </c>
      <c r="E103" s="122" t="s">
        <v>764</v>
      </c>
      <c r="F103" s="122" t="b">
        <v>0</v>
      </c>
      <c r="G103" s="122" t="b">
        <v>0</v>
      </c>
      <c r="H103" s="122" t="b">
        <v>1</v>
      </c>
      <c r="I103" s="122">
        <v>46.77</v>
      </c>
      <c r="J103" s="122">
        <v>1</v>
      </c>
      <c r="L103" t="str">
        <f t="shared" si="2"/>
        <v>PUBLIC HOLIDAYS</v>
      </c>
      <c r="M103" s="195" t="str">
        <f t="shared" si="3"/>
        <v>2020PUBLIC HOLIDAYS</v>
      </c>
    </row>
    <row r="104" spans="3:13" x14ac:dyDescent="0.25">
      <c r="C104" s="294" t="s">
        <v>762</v>
      </c>
      <c r="D104" s="312">
        <v>2020</v>
      </c>
      <c r="E104" s="122" t="s">
        <v>764</v>
      </c>
      <c r="F104" s="122" t="b">
        <v>0</v>
      </c>
      <c r="G104" s="122" t="b">
        <v>1</v>
      </c>
      <c r="H104" s="122" t="b">
        <v>0</v>
      </c>
      <c r="I104" s="122">
        <v>46.37</v>
      </c>
      <c r="J104" s="122">
        <v>16</v>
      </c>
      <c r="L104" t="str">
        <f t="shared" si="2"/>
        <v>WEEKENDS</v>
      </c>
      <c r="M104" s="195" t="str">
        <f t="shared" si="3"/>
        <v>2020WEEKENDS</v>
      </c>
    </row>
    <row r="105" spans="3:13" x14ac:dyDescent="0.25">
      <c r="C105" s="294" t="s">
        <v>762</v>
      </c>
      <c r="D105" s="312">
        <v>2020</v>
      </c>
      <c r="E105" s="122" t="s">
        <v>764</v>
      </c>
      <c r="F105" s="122" t="b">
        <v>0</v>
      </c>
      <c r="G105" s="122" t="b">
        <v>1</v>
      </c>
      <c r="H105" s="122" t="b">
        <v>1</v>
      </c>
      <c r="I105" s="122">
        <v>47.75</v>
      </c>
      <c r="J105" s="122">
        <v>2</v>
      </c>
      <c r="L105" t="str">
        <f t="shared" si="2"/>
        <v>PUBLIC HOLIDAYS</v>
      </c>
      <c r="M105" s="195" t="str">
        <f t="shared" si="3"/>
        <v>2020PUBLIC HOLIDAYS</v>
      </c>
    </row>
    <row r="106" spans="3:13" x14ac:dyDescent="0.25">
      <c r="C106" s="294" t="s">
        <v>762</v>
      </c>
      <c r="D106" s="312">
        <v>2020</v>
      </c>
      <c r="E106" s="122" t="s">
        <v>764</v>
      </c>
      <c r="F106" s="122" t="b">
        <v>1</v>
      </c>
      <c r="G106" s="122" t="b">
        <v>0</v>
      </c>
      <c r="H106" s="122" t="b">
        <v>0</v>
      </c>
      <c r="I106" s="122">
        <v>44.02</v>
      </c>
      <c r="J106" s="122">
        <v>202</v>
      </c>
      <c r="L106" t="str">
        <f t="shared" si="2"/>
        <v>OFF PEAK</v>
      </c>
      <c r="M106" s="195" t="str">
        <f t="shared" si="3"/>
        <v>2020OFF PEAK</v>
      </c>
    </row>
    <row r="107" spans="3:13" x14ac:dyDescent="0.25">
      <c r="C107" s="294" t="s">
        <v>762</v>
      </c>
      <c r="D107" s="312">
        <v>2020</v>
      </c>
      <c r="E107" s="122" t="s">
        <v>764</v>
      </c>
      <c r="F107" s="122" t="b">
        <v>1</v>
      </c>
      <c r="G107" s="122" t="b">
        <v>0</v>
      </c>
      <c r="H107" s="122" t="b">
        <v>1</v>
      </c>
      <c r="I107" s="122">
        <v>45.39</v>
      </c>
      <c r="J107" s="122">
        <v>1</v>
      </c>
      <c r="L107" t="str">
        <f t="shared" si="2"/>
        <v>PUBLIC HOLIDAYS</v>
      </c>
      <c r="M107" s="195" t="str">
        <f t="shared" si="3"/>
        <v>2020PUBLIC HOLIDAYS</v>
      </c>
    </row>
    <row r="108" spans="3:13" x14ac:dyDescent="0.25">
      <c r="C108" s="294" t="s">
        <v>762</v>
      </c>
      <c r="D108" s="312">
        <v>2020</v>
      </c>
      <c r="E108" s="122" t="s">
        <v>764</v>
      </c>
      <c r="F108" s="122" t="b">
        <v>1</v>
      </c>
      <c r="G108" s="122" t="b">
        <v>1</v>
      </c>
      <c r="H108" s="122" t="b">
        <v>0</v>
      </c>
      <c r="I108" s="122">
        <v>44.23</v>
      </c>
      <c r="J108" s="122">
        <v>52</v>
      </c>
      <c r="L108" t="str">
        <f t="shared" si="2"/>
        <v>OFF PEAK</v>
      </c>
      <c r="M108" s="195" t="str">
        <f t="shared" si="3"/>
        <v>2020OFF PEAK</v>
      </c>
    </row>
    <row r="109" spans="3:13" x14ac:dyDescent="0.25">
      <c r="C109" s="294" t="s">
        <v>762</v>
      </c>
      <c r="D109" s="312">
        <v>2020</v>
      </c>
      <c r="E109" s="122" t="s">
        <v>764</v>
      </c>
      <c r="F109" s="122" t="b">
        <v>1</v>
      </c>
      <c r="G109" s="122" t="b">
        <v>1</v>
      </c>
      <c r="H109" s="122" t="b">
        <v>1</v>
      </c>
      <c r="I109" s="122">
        <v>45.7</v>
      </c>
      <c r="J109" s="122">
        <v>7</v>
      </c>
      <c r="L109" t="str">
        <f t="shared" si="2"/>
        <v>PUBLIC HOLIDAYS</v>
      </c>
      <c r="M109" s="195" t="str">
        <f t="shared" si="3"/>
        <v>2020PUBLIC HOLIDAYS</v>
      </c>
    </row>
    <row r="110" spans="3:13" x14ac:dyDescent="0.25">
      <c r="C110" s="294" t="s">
        <v>762</v>
      </c>
      <c r="D110" s="312">
        <v>2020</v>
      </c>
      <c r="E110" s="122" t="s">
        <v>765</v>
      </c>
      <c r="F110" s="122" t="b">
        <v>0</v>
      </c>
      <c r="G110" s="122" t="b">
        <v>0</v>
      </c>
      <c r="H110" s="122" t="b">
        <v>0</v>
      </c>
      <c r="I110" s="122">
        <v>51.31</v>
      </c>
      <c r="J110" s="122">
        <v>85</v>
      </c>
      <c r="L110" t="str">
        <f t="shared" si="2"/>
        <v>WEEKENDS</v>
      </c>
      <c r="M110" s="195" t="str">
        <f t="shared" si="3"/>
        <v>2020WEEKENDS</v>
      </c>
    </row>
    <row r="111" spans="3:13" x14ac:dyDescent="0.25">
      <c r="C111" s="294" t="s">
        <v>762</v>
      </c>
      <c r="D111" s="312">
        <v>2020</v>
      </c>
      <c r="E111" s="122" t="s">
        <v>765</v>
      </c>
      <c r="F111" s="122" t="b">
        <v>0</v>
      </c>
      <c r="G111" s="122" t="b">
        <v>0</v>
      </c>
      <c r="H111" s="122" t="b">
        <v>1</v>
      </c>
      <c r="I111" s="122">
        <v>51.65</v>
      </c>
      <c r="J111" s="122">
        <v>1</v>
      </c>
      <c r="L111" t="str">
        <f t="shared" si="2"/>
        <v>PUBLIC HOLIDAYS</v>
      </c>
      <c r="M111" s="195" t="str">
        <f t="shared" si="3"/>
        <v>2020PUBLIC HOLIDAYS</v>
      </c>
    </row>
    <row r="112" spans="3:13" x14ac:dyDescent="0.25">
      <c r="C112" s="294" t="s">
        <v>762</v>
      </c>
      <c r="D112" s="312">
        <v>2020</v>
      </c>
      <c r="E112" s="122" t="s">
        <v>765</v>
      </c>
      <c r="F112" s="122" t="b">
        <v>0</v>
      </c>
      <c r="G112" s="122" t="b">
        <v>1</v>
      </c>
      <c r="H112" s="122" t="b">
        <v>0</v>
      </c>
      <c r="I112" s="122">
        <v>51.28</v>
      </c>
      <c r="J112" s="122">
        <v>16</v>
      </c>
      <c r="L112" t="str">
        <f t="shared" si="2"/>
        <v>WEEKENDS</v>
      </c>
      <c r="M112" s="195" t="str">
        <f t="shared" si="3"/>
        <v>2020WEEKENDS</v>
      </c>
    </row>
    <row r="113" spans="3:13" x14ac:dyDescent="0.25">
      <c r="C113" s="294" t="s">
        <v>762</v>
      </c>
      <c r="D113" s="312">
        <v>2020</v>
      </c>
      <c r="E113" s="122" t="s">
        <v>765</v>
      </c>
      <c r="F113" s="122" t="b">
        <v>0</v>
      </c>
      <c r="G113" s="122" t="b">
        <v>1</v>
      </c>
      <c r="H113" s="122" t="b">
        <v>1</v>
      </c>
      <c r="I113" s="122">
        <v>51.92</v>
      </c>
      <c r="J113" s="122">
        <v>2</v>
      </c>
      <c r="L113" t="str">
        <f t="shared" si="2"/>
        <v>PUBLIC HOLIDAYS</v>
      </c>
      <c r="M113" s="195" t="str">
        <f t="shared" si="3"/>
        <v>2020PUBLIC HOLIDAYS</v>
      </c>
    </row>
    <row r="114" spans="3:13" x14ac:dyDescent="0.25">
      <c r="C114" s="294" t="s">
        <v>762</v>
      </c>
      <c r="D114" s="312">
        <v>2020</v>
      </c>
      <c r="E114" s="122" t="s">
        <v>765</v>
      </c>
      <c r="F114" s="122" t="b">
        <v>1</v>
      </c>
      <c r="G114" s="122" t="b">
        <v>0</v>
      </c>
      <c r="H114" s="122" t="b">
        <v>0</v>
      </c>
      <c r="I114" s="122">
        <v>49.69</v>
      </c>
      <c r="J114" s="122">
        <v>202</v>
      </c>
      <c r="L114" t="str">
        <f t="shared" si="2"/>
        <v>OFF PEAK</v>
      </c>
      <c r="M114" s="195" t="str">
        <f t="shared" si="3"/>
        <v>2020OFF PEAK</v>
      </c>
    </row>
    <row r="115" spans="3:13" x14ac:dyDescent="0.25">
      <c r="C115" s="294" t="s">
        <v>762</v>
      </c>
      <c r="D115" s="312">
        <v>2020</v>
      </c>
      <c r="E115" s="122" t="s">
        <v>765</v>
      </c>
      <c r="F115" s="122" t="b">
        <v>1</v>
      </c>
      <c r="G115" s="122" t="b">
        <v>0</v>
      </c>
      <c r="H115" s="122" t="b">
        <v>1</v>
      </c>
      <c r="I115" s="122">
        <v>50.71</v>
      </c>
      <c r="J115" s="122">
        <v>1</v>
      </c>
      <c r="L115" t="str">
        <f t="shared" si="2"/>
        <v>PUBLIC HOLIDAYS</v>
      </c>
      <c r="M115" s="195" t="str">
        <f t="shared" si="3"/>
        <v>2020PUBLIC HOLIDAYS</v>
      </c>
    </row>
    <row r="116" spans="3:13" x14ac:dyDescent="0.25">
      <c r="C116" s="294" t="s">
        <v>762</v>
      </c>
      <c r="D116" s="312">
        <v>2020</v>
      </c>
      <c r="E116" s="122" t="s">
        <v>765</v>
      </c>
      <c r="F116" s="122" t="b">
        <v>1</v>
      </c>
      <c r="G116" s="122" t="b">
        <v>1</v>
      </c>
      <c r="H116" s="122" t="b">
        <v>0</v>
      </c>
      <c r="I116" s="122">
        <v>49.8</v>
      </c>
      <c r="J116" s="122">
        <v>52</v>
      </c>
      <c r="L116" t="str">
        <f t="shared" si="2"/>
        <v>OFF PEAK</v>
      </c>
      <c r="M116" s="195" t="str">
        <f t="shared" si="3"/>
        <v>2020OFF PEAK</v>
      </c>
    </row>
    <row r="117" spans="3:13" x14ac:dyDescent="0.25">
      <c r="C117" s="294" t="s">
        <v>762</v>
      </c>
      <c r="D117" s="312">
        <v>2020</v>
      </c>
      <c r="E117" s="122" t="s">
        <v>765</v>
      </c>
      <c r="F117" s="122" t="b">
        <v>1</v>
      </c>
      <c r="G117" s="122" t="b">
        <v>1</v>
      </c>
      <c r="H117" s="122" t="b">
        <v>1</v>
      </c>
      <c r="I117" s="122">
        <v>50.37</v>
      </c>
      <c r="J117" s="122">
        <v>7</v>
      </c>
      <c r="L117" t="str">
        <f t="shared" si="2"/>
        <v>PUBLIC HOLIDAYS</v>
      </c>
      <c r="M117" s="195" t="str">
        <f t="shared" si="3"/>
        <v>2020PUBLIC HOLIDAYS</v>
      </c>
    </row>
    <row r="118" spans="3:13" x14ac:dyDescent="0.25">
      <c r="C118" s="294" t="s">
        <v>762</v>
      </c>
      <c r="D118" s="312">
        <v>2020</v>
      </c>
      <c r="E118" s="122" t="s">
        <v>250</v>
      </c>
      <c r="F118" s="122" t="b">
        <v>0</v>
      </c>
      <c r="G118" s="122" t="b">
        <v>0</v>
      </c>
      <c r="H118" s="122" t="b">
        <v>0</v>
      </c>
      <c r="I118" s="122">
        <v>47.57</v>
      </c>
      <c r="J118" s="122">
        <v>85</v>
      </c>
      <c r="L118" t="str">
        <f t="shared" si="2"/>
        <v>WEEKENDS</v>
      </c>
      <c r="M118" s="195" t="str">
        <f t="shared" si="3"/>
        <v>2020WEEKENDS</v>
      </c>
    </row>
    <row r="119" spans="3:13" x14ac:dyDescent="0.25">
      <c r="C119" s="294" t="s">
        <v>762</v>
      </c>
      <c r="D119" s="312">
        <v>2020</v>
      </c>
      <c r="E119" s="122" t="s">
        <v>250</v>
      </c>
      <c r="F119" s="122" t="b">
        <v>0</v>
      </c>
      <c r="G119" s="122" t="b">
        <v>0</v>
      </c>
      <c r="H119" s="122" t="b">
        <v>1</v>
      </c>
      <c r="I119" s="122">
        <v>47.93</v>
      </c>
      <c r="J119" s="122">
        <v>1</v>
      </c>
      <c r="L119" t="str">
        <f t="shared" si="2"/>
        <v>PUBLIC HOLIDAYS</v>
      </c>
      <c r="M119" s="195" t="str">
        <f t="shared" si="3"/>
        <v>2020PUBLIC HOLIDAYS</v>
      </c>
    </row>
    <row r="120" spans="3:13" x14ac:dyDescent="0.25">
      <c r="C120" s="294" t="s">
        <v>762</v>
      </c>
      <c r="D120" s="312">
        <v>2020</v>
      </c>
      <c r="E120" s="122" t="s">
        <v>250</v>
      </c>
      <c r="F120" s="122" t="b">
        <v>0</v>
      </c>
      <c r="G120" s="122" t="b">
        <v>1</v>
      </c>
      <c r="H120" s="122" t="b">
        <v>0</v>
      </c>
      <c r="I120" s="122">
        <v>47.79</v>
      </c>
      <c r="J120" s="122">
        <v>16</v>
      </c>
      <c r="L120" t="str">
        <f t="shared" si="2"/>
        <v>WEEKENDS</v>
      </c>
      <c r="M120" s="195" t="str">
        <f t="shared" si="3"/>
        <v>2020WEEKENDS</v>
      </c>
    </row>
    <row r="121" spans="3:13" x14ac:dyDescent="0.25">
      <c r="C121" s="294" t="s">
        <v>762</v>
      </c>
      <c r="D121" s="312">
        <v>2020</v>
      </c>
      <c r="E121" s="122" t="s">
        <v>250</v>
      </c>
      <c r="F121" s="122" t="b">
        <v>0</v>
      </c>
      <c r="G121" s="122" t="b">
        <v>1</v>
      </c>
      <c r="H121" s="122" t="b">
        <v>1</v>
      </c>
      <c r="I121" s="122">
        <v>48.67</v>
      </c>
      <c r="J121" s="122">
        <v>2</v>
      </c>
      <c r="L121" t="str">
        <f t="shared" si="2"/>
        <v>PUBLIC HOLIDAYS</v>
      </c>
      <c r="M121" s="195" t="str">
        <f t="shared" si="3"/>
        <v>2020PUBLIC HOLIDAYS</v>
      </c>
    </row>
    <row r="122" spans="3:13" x14ac:dyDescent="0.25">
      <c r="C122" s="294" t="s">
        <v>762</v>
      </c>
      <c r="D122" s="312">
        <v>2020</v>
      </c>
      <c r="E122" s="122" t="s">
        <v>250</v>
      </c>
      <c r="F122" s="122" t="b">
        <v>1</v>
      </c>
      <c r="G122" s="122" t="b">
        <v>0</v>
      </c>
      <c r="H122" s="122" t="b">
        <v>0</v>
      </c>
      <c r="I122" s="122">
        <v>42.88</v>
      </c>
      <c r="J122" s="122">
        <v>202</v>
      </c>
      <c r="L122" t="str">
        <f t="shared" si="2"/>
        <v>PM PEAK</v>
      </c>
      <c r="M122" s="195" t="str">
        <f t="shared" si="3"/>
        <v>2020PM PEAK</v>
      </c>
    </row>
    <row r="123" spans="3:13" x14ac:dyDescent="0.25">
      <c r="C123" s="294" t="s">
        <v>762</v>
      </c>
      <c r="D123" s="312">
        <v>2020</v>
      </c>
      <c r="E123" s="122" t="s">
        <v>250</v>
      </c>
      <c r="F123" s="122" t="b">
        <v>1</v>
      </c>
      <c r="G123" s="122" t="b">
        <v>0</v>
      </c>
      <c r="H123" s="122" t="b">
        <v>1</v>
      </c>
      <c r="I123" s="122">
        <v>45.17</v>
      </c>
      <c r="J123" s="122">
        <v>1</v>
      </c>
      <c r="L123" t="str">
        <f t="shared" si="2"/>
        <v>PUBLIC HOLIDAYS</v>
      </c>
      <c r="M123" s="195" t="str">
        <f t="shared" si="3"/>
        <v>2020PUBLIC HOLIDAYS</v>
      </c>
    </row>
    <row r="124" spans="3:13" x14ac:dyDescent="0.25">
      <c r="C124" s="294" t="s">
        <v>762</v>
      </c>
      <c r="D124" s="312">
        <v>2020</v>
      </c>
      <c r="E124" s="122" t="s">
        <v>250</v>
      </c>
      <c r="F124" s="122" t="b">
        <v>1</v>
      </c>
      <c r="G124" s="122" t="b">
        <v>1</v>
      </c>
      <c r="H124" s="122" t="b">
        <v>0</v>
      </c>
      <c r="I124" s="122">
        <v>44.35</v>
      </c>
      <c r="J124" s="122">
        <v>52</v>
      </c>
      <c r="L124" t="str">
        <f t="shared" si="2"/>
        <v>PM PEAK</v>
      </c>
      <c r="M124" s="195" t="str">
        <f t="shared" si="3"/>
        <v>2020PM PEAK</v>
      </c>
    </row>
    <row r="125" spans="3:13" x14ac:dyDescent="0.25">
      <c r="C125" s="294" t="s">
        <v>762</v>
      </c>
      <c r="D125" s="312">
        <v>2020</v>
      </c>
      <c r="E125" s="122" t="s">
        <v>250</v>
      </c>
      <c r="F125" s="122" t="b">
        <v>1</v>
      </c>
      <c r="G125" s="122" t="b">
        <v>1</v>
      </c>
      <c r="H125" s="122" t="b">
        <v>1</v>
      </c>
      <c r="I125" s="122">
        <v>45.57</v>
      </c>
      <c r="J125" s="122">
        <v>7</v>
      </c>
      <c r="L125" t="str">
        <f t="shared" si="2"/>
        <v>PUBLIC HOLIDAYS</v>
      </c>
      <c r="M125" s="195" t="str">
        <f t="shared" si="3"/>
        <v>2020PUBLIC HOLIDAYS</v>
      </c>
    </row>
    <row r="126" spans="3:13" x14ac:dyDescent="0.25">
      <c r="C126" s="294" t="s">
        <v>762</v>
      </c>
      <c r="D126" s="312">
        <v>2021</v>
      </c>
      <c r="E126" s="122" t="s">
        <v>763</v>
      </c>
      <c r="F126" s="122" t="b">
        <v>0</v>
      </c>
      <c r="G126" s="122" t="b">
        <v>0</v>
      </c>
      <c r="H126" s="122" t="b">
        <v>0</v>
      </c>
      <c r="I126" s="122">
        <v>55.17</v>
      </c>
      <c r="J126" s="122">
        <v>85</v>
      </c>
      <c r="L126" t="str">
        <f t="shared" si="2"/>
        <v>WEEKENDS</v>
      </c>
      <c r="M126" s="195" t="str">
        <f t="shared" si="3"/>
        <v>2021WEEKENDS</v>
      </c>
    </row>
    <row r="127" spans="3:13" x14ac:dyDescent="0.25">
      <c r="C127" s="294" t="s">
        <v>762</v>
      </c>
      <c r="D127" s="312">
        <v>2021</v>
      </c>
      <c r="E127" s="122" t="s">
        <v>763</v>
      </c>
      <c r="F127" s="122" t="b">
        <v>0</v>
      </c>
      <c r="G127" s="122" t="b">
        <v>0</v>
      </c>
      <c r="H127" s="122" t="b">
        <v>1</v>
      </c>
      <c r="I127" s="122">
        <v>55.38</v>
      </c>
      <c r="J127" s="122">
        <v>3</v>
      </c>
      <c r="L127" t="str">
        <f t="shared" si="2"/>
        <v>PUBLIC HOLIDAYS</v>
      </c>
      <c r="M127" s="195" t="str">
        <f t="shared" si="3"/>
        <v>2021PUBLIC HOLIDAYS</v>
      </c>
    </row>
    <row r="128" spans="3:13" x14ac:dyDescent="0.25">
      <c r="C128" s="294" t="s">
        <v>762</v>
      </c>
      <c r="D128" s="312">
        <v>2021</v>
      </c>
      <c r="E128" s="122" t="s">
        <v>763</v>
      </c>
      <c r="F128" s="122" t="b">
        <v>0</v>
      </c>
      <c r="G128" s="122" t="b">
        <v>1</v>
      </c>
      <c r="H128" s="122" t="b">
        <v>0</v>
      </c>
      <c r="I128" s="122">
        <v>55.26</v>
      </c>
      <c r="J128" s="122">
        <v>14</v>
      </c>
      <c r="L128" t="str">
        <f t="shared" si="2"/>
        <v>WEEKENDS</v>
      </c>
      <c r="M128" s="195" t="str">
        <f t="shared" si="3"/>
        <v>2021WEEKENDS</v>
      </c>
    </row>
    <row r="129" spans="3:13" x14ac:dyDescent="0.25">
      <c r="C129" s="294" t="s">
        <v>762</v>
      </c>
      <c r="D129" s="312">
        <v>2021</v>
      </c>
      <c r="E129" s="122" t="s">
        <v>763</v>
      </c>
      <c r="F129" s="122" t="b">
        <v>0</v>
      </c>
      <c r="G129" s="122" t="b">
        <v>1</v>
      </c>
      <c r="H129" s="122" t="b">
        <v>1</v>
      </c>
      <c r="I129" s="122">
        <v>55.43</v>
      </c>
      <c r="J129" s="122">
        <v>2</v>
      </c>
      <c r="L129" t="str">
        <f t="shared" si="2"/>
        <v>PUBLIC HOLIDAYS</v>
      </c>
      <c r="M129" s="195" t="str">
        <f t="shared" si="3"/>
        <v>2021PUBLIC HOLIDAYS</v>
      </c>
    </row>
    <row r="130" spans="3:13" x14ac:dyDescent="0.25">
      <c r="C130" s="294" t="s">
        <v>762</v>
      </c>
      <c r="D130" s="312">
        <v>2021</v>
      </c>
      <c r="E130" s="122" t="s">
        <v>763</v>
      </c>
      <c r="F130" s="122" t="b">
        <v>1</v>
      </c>
      <c r="G130" s="122" t="b">
        <v>0</v>
      </c>
      <c r="H130" s="122" t="b">
        <v>0</v>
      </c>
      <c r="I130" s="122">
        <v>54.34</v>
      </c>
      <c r="J130" s="122">
        <v>200</v>
      </c>
      <c r="L130" t="str">
        <f t="shared" si="2"/>
        <v>OFF PEAK</v>
      </c>
      <c r="M130" s="195" t="str">
        <f t="shared" si="3"/>
        <v>2021OFF PEAK</v>
      </c>
    </row>
    <row r="131" spans="3:13" x14ac:dyDescent="0.25">
      <c r="C131" s="294" t="s">
        <v>762</v>
      </c>
      <c r="D131" s="312">
        <v>2021</v>
      </c>
      <c r="E131" s="122" t="s">
        <v>763</v>
      </c>
      <c r="F131" s="122" t="b">
        <v>1</v>
      </c>
      <c r="G131" s="122" t="b">
        <v>0</v>
      </c>
      <c r="H131" s="122" t="b">
        <v>1</v>
      </c>
      <c r="I131" s="122">
        <v>55.13</v>
      </c>
      <c r="J131" s="122">
        <v>3</v>
      </c>
      <c r="L131" t="str">
        <f t="shared" si="2"/>
        <v>PUBLIC HOLIDAYS</v>
      </c>
      <c r="M131" s="195" t="str">
        <f t="shared" si="3"/>
        <v>2021PUBLIC HOLIDAYS</v>
      </c>
    </row>
    <row r="132" spans="3:13" x14ac:dyDescent="0.25">
      <c r="C132" s="294" t="s">
        <v>762</v>
      </c>
      <c r="D132" s="312">
        <v>2021</v>
      </c>
      <c r="E132" s="122" t="s">
        <v>763</v>
      </c>
      <c r="F132" s="122" t="b">
        <v>1</v>
      </c>
      <c r="G132" s="122" t="b">
        <v>1</v>
      </c>
      <c r="H132" s="122" t="b">
        <v>0</v>
      </c>
      <c r="I132" s="122">
        <v>54.41</v>
      </c>
      <c r="J132" s="122">
        <v>53</v>
      </c>
      <c r="L132" t="str">
        <f t="shared" si="2"/>
        <v>OFF PEAK</v>
      </c>
      <c r="M132" s="195" t="str">
        <f t="shared" si="3"/>
        <v>2021OFF PEAK</v>
      </c>
    </row>
    <row r="133" spans="3:13" x14ac:dyDescent="0.25">
      <c r="C133" s="294" t="s">
        <v>762</v>
      </c>
      <c r="D133" s="312">
        <v>2021</v>
      </c>
      <c r="E133" s="122" t="s">
        <v>763</v>
      </c>
      <c r="F133" s="122" t="b">
        <v>1</v>
      </c>
      <c r="G133" s="122" t="b">
        <v>1</v>
      </c>
      <c r="H133" s="122" t="b">
        <v>1</v>
      </c>
      <c r="I133" s="122">
        <v>54.94</v>
      </c>
      <c r="J133" s="122">
        <v>5</v>
      </c>
      <c r="L133" t="str">
        <f t="shared" si="2"/>
        <v>PUBLIC HOLIDAYS</v>
      </c>
      <c r="M133" s="195" t="str">
        <f t="shared" si="3"/>
        <v>2021PUBLIC HOLIDAYS</v>
      </c>
    </row>
    <row r="134" spans="3:13" x14ac:dyDescent="0.25">
      <c r="C134" s="294" t="s">
        <v>762</v>
      </c>
      <c r="D134" s="312">
        <v>2021</v>
      </c>
      <c r="E134" s="122" t="s">
        <v>247</v>
      </c>
      <c r="F134" s="122" t="b">
        <v>0</v>
      </c>
      <c r="G134" s="122" t="b">
        <v>0</v>
      </c>
      <c r="H134" s="122" t="b">
        <v>0</v>
      </c>
      <c r="I134" s="122">
        <v>50.6</v>
      </c>
      <c r="J134" s="122">
        <v>85</v>
      </c>
      <c r="L134" t="str">
        <f t="shared" si="2"/>
        <v>WEEKENDS</v>
      </c>
      <c r="M134" s="195" t="str">
        <f t="shared" si="3"/>
        <v>2021WEEKENDS</v>
      </c>
    </row>
    <row r="135" spans="3:13" x14ac:dyDescent="0.25">
      <c r="C135" s="294" t="s">
        <v>762</v>
      </c>
      <c r="D135" s="312">
        <v>2021</v>
      </c>
      <c r="E135" s="122" t="s">
        <v>247</v>
      </c>
      <c r="F135" s="122" t="b">
        <v>0</v>
      </c>
      <c r="G135" s="122" t="b">
        <v>0</v>
      </c>
      <c r="H135" s="122" t="b">
        <v>1</v>
      </c>
      <c r="I135" s="122">
        <v>51.19</v>
      </c>
      <c r="J135" s="122">
        <v>3</v>
      </c>
      <c r="L135" t="str">
        <f t="shared" si="2"/>
        <v>PUBLIC HOLIDAYS</v>
      </c>
      <c r="M135" s="195" t="str">
        <f t="shared" si="3"/>
        <v>2021PUBLIC HOLIDAYS</v>
      </c>
    </row>
    <row r="136" spans="3:13" x14ac:dyDescent="0.25">
      <c r="C136" s="294" t="s">
        <v>762</v>
      </c>
      <c r="D136" s="312">
        <v>2021</v>
      </c>
      <c r="E136" s="122" t="s">
        <v>247</v>
      </c>
      <c r="F136" s="122" t="b">
        <v>0</v>
      </c>
      <c r="G136" s="122" t="b">
        <v>1</v>
      </c>
      <c r="H136" s="122" t="b">
        <v>0</v>
      </c>
      <c r="I136" s="122">
        <v>50.75</v>
      </c>
      <c r="J136" s="122">
        <v>14</v>
      </c>
      <c r="L136" t="str">
        <f t="shared" si="2"/>
        <v>WEEKENDS</v>
      </c>
      <c r="M136" s="195" t="str">
        <f t="shared" si="3"/>
        <v>2021WEEKENDS</v>
      </c>
    </row>
    <row r="137" spans="3:13" x14ac:dyDescent="0.25">
      <c r="C137" s="294" t="s">
        <v>762</v>
      </c>
      <c r="D137" s="312">
        <v>2021</v>
      </c>
      <c r="E137" s="122" t="s">
        <v>247</v>
      </c>
      <c r="F137" s="122" t="b">
        <v>0</v>
      </c>
      <c r="G137" s="122" t="b">
        <v>1</v>
      </c>
      <c r="H137" s="122" t="b">
        <v>1</v>
      </c>
      <c r="I137" s="122">
        <v>51.29</v>
      </c>
      <c r="J137" s="122">
        <v>2</v>
      </c>
      <c r="L137" t="str">
        <f t="shared" si="2"/>
        <v>PUBLIC HOLIDAYS</v>
      </c>
      <c r="M137" s="195" t="str">
        <f t="shared" si="3"/>
        <v>2021PUBLIC HOLIDAYS</v>
      </c>
    </row>
    <row r="138" spans="3:13" x14ac:dyDescent="0.25">
      <c r="C138" s="294" t="s">
        <v>762</v>
      </c>
      <c r="D138" s="312">
        <v>2021</v>
      </c>
      <c r="E138" s="122" t="s">
        <v>247</v>
      </c>
      <c r="F138" s="122" t="b">
        <v>1</v>
      </c>
      <c r="G138" s="122" t="b">
        <v>0</v>
      </c>
      <c r="H138" s="122" t="b">
        <v>0</v>
      </c>
      <c r="I138" s="122">
        <v>45.17</v>
      </c>
      <c r="J138" s="122">
        <v>200</v>
      </c>
      <c r="L138" t="str">
        <f t="shared" si="2"/>
        <v>AM PEAK</v>
      </c>
      <c r="M138" s="195" t="str">
        <f t="shared" si="3"/>
        <v>2021AM PEAK</v>
      </c>
    </row>
    <row r="139" spans="3:13" x14ac:dyDescent="0.25">
      <c r="C139" s="294" t="s">
        <v>762</v>
      </c>
      <c r="D139" s="312">
        <v>2021</v>
      </c>
      <c r="E139" s="122" t="s">
        <v>247</v>
      </c>
      <c r="F139" s="122" t="b">
        <v>1</v>
      </c>
      <c r="G139" s="122" t="b">
        <v>0</v>
      </c>
      <c r="H139" s="122" t="b">
        <v>1</v>
      </c>
      <c r="I139" s="122">
        <v>48.22</v>
      </c>
      <c r="J139" s="122">
        <v>3</v>
      </c>
      <c r="L139" t="str">
        <f t="shared" si="2"/>
        <v>PUBLIC HOLIDAYS</v>
      </c>
      <c r="M139" s="195" t="str">
        <f t="shared" si="3"/>
        <v>2021PUBLIC HOLIDAYS</v>
      </c>
    </row>
    <row r="140" spans="3:13" x14ac:dyDescent="0.25">
      <c r="C140" s="294" t="s">
        <v>762</v>
      </c>
      <c r="D140" s="312">
        <v>2021</v>
      </c>
      <c r="E140" s="122" t="s">
        <v>247</v>
      </c>
      <c r="F140" s="122" t="b">
        <v>1</v>
      </c>
      <c r="G140" s="122" t="b">
        <v>1</v>
      </c>
      <c r="H140" s="122" t="b">
        <v>0</v>
      </c>
      <c r="I140" s="122">
        <v>46.77</v>
      </c>
      <c r="J140" s="122">
        <v>53</v>
      </c>
      <c r="L140" t="str">
        <f t="shared" si="2"/>
        <v>AM PEAK</v>
      </c>
      <c r="M140" s="195" t="str">
        <f t="shared" si="3"/>
        <v>2021AM PEAK</v>
      </c>
    </row>
    <row r="141" spans="3:13" x14ac:dyDescent="0.25">
      <c r="C141" s="294" t="s">
        <v>762</v>
      </c>
      <c r="D141" s="312">
        <v>2021</v>
      </c>
      <c r="E141" s="122" t="s">
        <v>247</v>
      </c>
      <c r="F141" s="122" t="b">
        <v>1</v>
      </c>
      <c r="G141" s="122" t="b">
        <v>1</v>
      </c>
      <c r="H141" s="122" t="b">
        <v>1</v>
      </c>
      <c r="I141" s="122">
        <v>48.07</v>
      </c>
      <c r="J141" s="122">
        <v>5</v>
      </c>
      <c r="L141" t="str">
        <f t="shared" si="2"/>
        <v>PUBLIC HOLIDAYS</v>
      </c>
      <c r="M141" s="195" t="str">
        <f t="shared" si="3"/>
        <v>2021PUBLIC HOLIDAYS</v>
      </c>
    </row>
    <row r="142" spans="3:13" x14ac:dyDescent="0.25">
      <c r="C142" s="294" t="s">
        <v>762</v>
      </c>
      <c r="D142" s="312">
        <v>2021</v>
      </c>
      <c r="E142" s="122" t="s">
        <v>764</v>
      </c>
      <c r="F142" s="122" t="b">
        <v>0</v>
      </c>
      <c r="G142" s="122" t="b">
        <v>0</v>
      </c>
      <c r="H142" s="122" t="b">
        <v>0</v>
      </c>
      <c r="I142" s="122">
        <v>46.11</v>
      </c>
      <c r="J142" s="122">
        <v>85</v>
      </c>
      <c r="L142" t="str">
        <f t="shared" si="2"/>
        <v>WEEKENDS</v>
      </c>
      <c r="M142" s="195" t="str">
        <f t="shared" si="3"/>
        <v>2021WEEKENDS</v>
      </c>
    </row>
    <row r="143" spans="3:13" x14ac:dyDescent="0.25">
      <c r="C143" s="294" t="s">
        <v>762</v>
      </c>
      <c r="D143" s="312">
        <v>2021</v>
      </c>
      <c r="E143" s="122" t="s">
        <v>764</v>
      </c>
      <c r="F143" s="122" t="b">
        <v>0</v>
      </c>
      <c r="G143" s="122" t="b">
        <v>0</v>
      </c>
      <c r="H143" s="122" t="b">
        <v>1</v>
      </c>
      <c r="I143" s="122">
        <v>46.56</v>
      </c>
      <c r="J143" s="122">
        <v>3</v>
      </c>
      <c r="L143" t="str">
        <f t="shared" si="2"/>
        <v>PUBLIC HOLIDAYS</v>
      </c>
      <c r="M143" s="195" t="str">
        <f t="shared" si="3"/>
        <v>2021PUBLIC HOLIDAYS</v>
      </c>
    </row>
    <row r="144" spans="3:13" x14ac:dyDescent="0.25">
      <c r="C144" s="294" t="s">
        <v>762</v>
      </c>
      <c r="D144" s="312">
        <v>2021</v>
      </c>
      <c r="E144" s="122" t="s">
        <v>764</v>
      </c>
      <c r="F144" s="122" t="b">
        <v>0</v>
      </c>
      <c r="G144" s="122" t="b">
        <v>1</v>
      </c>
      <c r="H144" s="122" t="b">
        <v>0</v>
      </c>
      <c r="I144" s="122">
        <v>46.57</v>
      </c>
      <c r="J144" s="122">
        <v>14</v>
      </c>
      <c r="L144" t="str">
        <f t="shared" si="2"/>
        <v>WEEKENDS</v>
      </c>
      <c r="M144" s="195" t="str">
        <f t="shared" si="3"/>
        <v>2021WEEKENDS</v>
      </c>
    </row>
    <row r="145" spans="3:13" x14ac:dyDescent="0.25">
      <c r="C145" s="294" t="s">
        <v>762</v>
      </c>
      <c r="D145" s="312">
        <v>2021</v>
      </c>
      <c r="E145" s="122" t="s">
        <v>764</v>
      </c>
      <c r="F145" s="122" t="b">
        <v>0</v>
      </c>
      <c r="G145" s="122" t="b">
        <v>1</v>
      </c>
      <c r="H145" s="122" t="b">
        <v>1</v>
      </c>
      <c r="I145" s="122">
        <v>47.14</v>
      </c>
      <c r="J145" s="122">
        <v>2</v>
      </c>
      <c r="L145" t="str">
        <f t="shared" ref="L145:L208" si="4">IF($H145,"PUBLIC HOLIDAYS",IF(NOT($F145),"WEEKENDS",IF($E145="AM Peak","AM PEAK",IF($E145="PM Peak","PM PEAK","OFF PEAK"))))</f>
        <v>PUBLIC HOLIDAYS</v>
      </c>
      <c r="M145" s="195" t="str">
        <f t="shared" ref="M145:M208" si="5">D145&amp;L145</f>
        <v>2021PUBLIC HOLIDAYS</v>
      </c>
    </row>
    <row r="146" spans="3:13" x14ac:dyDescent="0.25">
      <c r="C146" s="294" t="s">
        <v>762</v>
      </c>
      <c r="D146" s="312">
        <v>2021</v>
      </c>
      <c r="E146" s="122" t="s">
        <v>764</v>
      </c>
      <c r="F146" s="122" t="b">
        <v>1</v>
      </c>
      <c r="G146" s="122" t="b">
        <v>0</v>
      </c>
      <c r="H146" s="122" t="b">
        <v>0</v>
      </c>
      <c r="I146" s="122">
        <v>44.53</v>
      </c>
      <c r="J146" s="122">
        <v>200</v>
      </c>
      <c r="L146" t="str">
        <f t="shared" si="4"/>
        <v>OFF PEAK</v>
      </c>
      <c r="M146" s="195" t="str">
        <f t="shared" si="5"/>
        <v>2021OFF PEAK</v>
      </c>
    </row>
    <row r="147" spans="3:13" x14ac:dyDescent="0.25">
      <c r="C147" s="294" t="s">
        <v>762</v>
      </c>
      <c r="D147" s="312">
        <v>2021</v>
      </c>
      <c r="E147" s="122" t="s">
        <v>764</v>
      </c>
      <c r="F147" s="122" t="b">
        <v>1</v>
      </c>
      <c r="G147" s="122" t="b">
        <v>0</v>
      </c>
      <c r="H147" s="122" t="b">
        <v>1</v>
      </c>
      <c r="I147" s="122">
        <v>45.15</v>
      </c>
      <c r="J147" s="122">
        <v>3</v>
      </c>
      <c r="L147" t="str">
        <f t="shared" si="4"/>
        <v>PUBLIC HOLIDAYS</v>
      </c>
      <c r="M147" s="195" t="str">
        <f t="shared" si="5"/>
        <v>2021PUBLIC HOLIDAYS</v>
      </c>
    </row>
    <row r="148" spans="3:13" x14ac:dyDescent="0.25">
      <c r="C148" s="294" t="s">
        <v>762</v>
      </c>
      <c r="D148" s="312">
        <v>2021</v>
      </c>
      <c r="E148" s="122" t="s">
        <v>764</v>
      </c>
      <c r="F148" s="122" t="b">
        <v>1</v>
      </c>
      <c r="G148" s="122" t="b">
        <v>1</v>
      </c>
      <c r="H148" s="122" t="b">
        <v>0</v>
      </c>
      <c r="I148" s="122">
        <v>44.74</v>
      </c>
      <c r="J148" s="122">
        <v>53</v>
      </c>
      <c r="L148" t="str">
        <f t="shared" si="4"/>
        <v>OFF PEAK</v>
      </c>
      <c r="M148" s="195" t="str">
        <f t="shared" si="5"/>
        <v>2021OFF PEAK</v>
      </c>
    </row>
    <row r="149" spans="3:13" x14ac:dyDescent="0.25">
      <c r="C149" s="294" t="s">
        <v>762</v>
      </c>
      <c r="D149" s="312">
        <v>2021</v>
      </c>
      <c r="E149" s="122" t="s">
        <v>764</v>
      </c>
      <c r="F149" s="122" t="b">
        <v>1</v>
      </c>
      <c r="G149" s="122" t="b">
        <v>1</v>
      </c>
      <c r="H149" s="122" t="b">
        <v>1</v>
      </c>
      <c r="I149" s="122">
        <v>45.66</v>
      </c>
      <c r="J149" s="122">
        <v>5</v>
      </c>
      <c r="L149" t="str">
        <f t="shared" si="4"/>
        <v>PUBLIC HOLIDAYS</v>
      </c>
      <c r="M149" s="195" t="str">
        <f t="shared" si="5"/>
        <v>2021PUBLIC HOLIDAYS</v>
      </c>
    </row>
    <row r="150" spans="3:13" x14ac:dyDescent="0.25">
      <c r="C150" s="294" t="s">
        <v>762</v>
      </c>
      <c r="D150" s="312">
        <v>2021</v>
      </c>
      <c r="E150" s="122" t="s">
        <v>765</v>
      </c>
      <c r="F150" s="122" t="b">
        <v>0</v>
      </c>
      <c r="G150" s="122" t="b">
        <v>0</v>
      </c>
      <c r="H150" s="122" t="b">
        <v>0</v>
      </c>
      <c r="I150" s="122">
        <v>51.36</v>
      </c>
      <c r="J150" s="122">
        <v>85</v>
      </c>
      <c r="L150" t="str">
        <f t="shared" si="4"/>
        <v>WEEKENDS</v>
      </c>
      <c r="M150" s="195" t="str">
        <f t="shared" si="5"/>
        <v>2021WEEKENDS</v>
      </c>
    </row>
    <row r="151" spans="3:13" x14ac:dyDescent="0.25">
      <c r="C151" s="294" t="s">
        <v>762</v>
      </c>
      <c r="D151" s="312">
        <v>2021</v>
      </c>
      <c r="E151" s="122" t="s">
        <v>765</v>
      </c>
      <c r="F151" s="122" t="b">
        <v>0</v>
      </c>
      <c r="G151" s="122" t="b">
        <v>0</v>
      </c>
      <c r="H151" s="122" t="b">
        <v>1</v>
      </c>
      <c r="I151" s="122">
        <v>51.56</v>
      </c>
      <c r="J151" s="122">
        <v>3</v>
      </c>
      <c r="L151" t="str">
        <f t="shared" si="4"/>
        <v>PUBLIC HOLIDAYS</v>
      </c>
      <c r="M151" s="195" t="str">
        <f t="shared" si="5"/>
        <v>2021PUBLIC HOLIDAYS</v>
      </c>
    </row>
    <row r="152" spans="3:13" x14ac:dyDescent="0.25">
      <c r="C152" s="294" t="s">
        <v>762</v>
      </c>
      <c r="D152" s="312">
        <v>2021</v>
      </c>
      <c r="E152" s="122" t="s">
        <v>765</v>
      </c>
      <c r="F152" s="122" t="b">
        <v>0</v>
      </c>
      <c r="G152" s="122" t="b">
        <v>1</v>
      </c>
      <c r="H152" s="122" t="b">
        <v>0</v>
      </c>
      <c r="I152" s="122">
        <v>51.42</v>
      </c>
      <c r="J152" s="122">
        <v>14</v>
      </c>
      <c r="L152" t="str">
        <f t="shared" si="4"/>
        <v>WEEKENDS</v>
      </c>
      <c r="M152" s="195" t="str">
        <f t="shared" si="5"/>
        <v>2021WEEKENDS</v>
      </c>
    </row>
    <row r="153" spans="3:13" x14ac:dyDescent="0.25">
      <c r="C153" s="294" t="s">
        <v>762</v>
      </c>
      <c r="D153" s="312">
        <v>2021</v>
      </c>
      <c r="E153" s="122" t="s">
        <v>765</v>
      </c>
      <c r="F153" s="122" t="b">
        <v>0</v>
      </c>
      <c r="G153" s="122" t="b">
        <v>1</v>
      </c>
      <c r="H153" s="122" t="b">
        <v>1</v>
      </c>
      <c r="I153" s="122">
        <v>51.6</v>
      </c>
      <c r="J153" s="122">
        <v>2</v>
      </c>
      <c r="L153" t="str">
        <f t="shared" si="4"/>
        <v>PUBLIC HOLIDAYS</v>
      </c>
      <c r="M153" s="195" t="str">
        <f t="shared" si="5"/>
        <v>2021PUBLIC HOLIDAYS</v>
      </c>
    </row>
    <row r="154" spans="3:13" x14ac:dyDescent="0.25">
      <c r="C154" s="294" t="s">
        <v>762</v>
      </c>
      <c r="D154" s="312">
        <v>2021</v>
      </c>
      <c r="E154" s="122" t="s">
        <v>765</v>
      </c>
      <c r="F154" s="122" t="b">
        <v>1</v>
      </c>
      <c r="G154" s="122" t="b">
        <v>0</v>
      </c>
      <c r="H154" s="122" t="b">
        <v>0</v>
      </c>
      <c r="I154" s="122">
        <v>49.81</v>
      </c>
      <c r="J154" s="122">
        <v>200</v>
      </c>
      <c r="L154" t="str">
        <f t="shared" si="4"/>
        <v>OFF PEAK</v>
      </c>
      <c r="M154" s="195" t="str">
        <f t="shared" si="5"/>
        <v>2021OFF PEAK</v>
      </c>
    </row>
    <row r="155" spans="3:13" x14ac:dyDescent="0.25">
      <c r="C155" s="294" t="s">
        <v>762</v>
      </c>
      <c r="D155" s="312">
        <v>2021</v>
      </c>
      <c r="E155" s="122" t="s">
        <v>765</v>
      </c>
      <c r="F155" s="122" t="b">
        <v>1</v>
      </c>
      <c r="G155" s="122" t="b">
        <v>0</v>
      </c>
      <c r="H155" s="122" t="b">
        <v>1</v>
      </c>
      <c r="I155" s="122">
        <v>50.48</v>
      </c>
      <c r="J155" s="122">
        <v>3</v>
      </c>
      <c r="L155" t="str">
        <f t="shared" si="4"/>
        <v>PUBLIC HOLIDAYS</v>
      </c>
      <c r="M155" s="195" t="str">
        <f t="shared" si="5"/>
        <v>2021PUBLIC HOLIDAYS</v>
      </c>
    </row>
    <row r="156" spans="3:13" x14ac:dyDescent="0.25">
      <c r="C156" s="294" t="s">
        <v>762</v>
      </c>
      <c r="D156" s="312">
        <v>2021</v>
      </c>
      <c r="E156" s="122" t="s">
        <v>765</v>
      </c>
      <c r="F156" s="122" t="b">
        <v>1</v>
      </c>
      <c r="G156" s="122" t="b">
        <v>1</v>
      </c>
      <c r="H156" s="122" t="b">
        <v>0</v>
      </c>
      <c r="I156" s="122">
        <v>49.93</v>
      </c>
      <c r="J156" s="122">
        <v>53</v>
      </c>
      <c r="L156" t="str">
        <f t="shared" si="4"/>
        <v>OFF PEAK</v>
      </c>
      <c r="M156" s="195" t="str">
        <f t="shared" si="5"/>
        <v>2021OFF PEAK</v>
      </c>
    </row>
    <row r="157" spans="3:13" x14ac:dyDescent="0.25">
      <c r="C157" s="294" t="s">
        <v>762</v>
      </c>
      <c r="D157" s="312">
        <v>2021</v>
      </c>
      <c r="E157" s="122" t="s">
        <v>765</v>
      </c>
      <c r="F157" s="122" t="b">
        <v>1</v>
      </c>
      <c r="G157" s="122" t="b">
        <v>1</v>
      </c>
      <c r="H157" s="122" t="b">
        <v>1</v>
      </c>
      <c r="I157" s="122">
        <v>50.36</v>
      </c>
      <c r="J157" s="122">
        <v>5</v>
      </c>
      <c r="L157" t="str">
        <f t="shared" si="4"/>
        <v>PUBLIC HOLIDAYS</v>
      </c>
      <c r="M157" s="195" t="str">
        <f t="shared" si="5"/>
        <v>2021PUBLIC HOLIDAYS</v>
      </c>
    </row>
    <row r="158" spans="3:13" x14ac:dyDescent="0.25">
      <c r="C158" s="294" t="s">
        <v>762</v>
      </c>
      <c r="D158" s="312">
        <v>2021</v>
      </c>
      <c r="E158" s="122" t="s">
        <v>250</v>
      </c>
      <c r="F158" s="122" t="b">
        <v>0</v>
      </c>
      <c r="G158" s="122" t="b">
        <v>0</v>
      </c>
      <c r="H158" s="122" t="b">
        <v>0</v>
      </c>
      <c r="I158" s="122">
        <v>47.51</v>
      </c>
      <c r="J158" s="122">
        <v>85</v>
      </c>
      <c r="L158" t="str">
        <f t="shared" si="4"/>
        <v>WEEKENDS</v>
      </c>
      <c r="M158" s="195" t="str">
        <f t="shared" si="5"/>
        <v>2021WEEKENDS</v>
      </c>
    </row>
    <row r="159" spans="3:13" x14ac:dyDescent="0.25">
      <c r="C159" s="294" t="s">
        <v>762</v>
      </c>
      <c r="D159" s="312">
        <v>2021</v>
      </c>
      <c r="E159" s="122" t="s">
        <v>250</v>
      </c>
      <c r="F159" s="122" t="b">
        <v>0</v>
      </c>
      <c r="G159" s="122" t="b">
        <v>0</v>
      </c>
      <c r="H159" s="122" t="b">
        <v>1</v>
      </c>
      <c r="I159" s="122">
        <v>47.71</v>
      </c>
      <c r="J159" s="122">
        <v>3</v>
      </c>
      <c r="L159" t="str">
        <f t="shared" si="4"/>
        <v>PUBLIC HOLIDAYS</v>
      </c>
      <c r="M159" s="195" t="str">
        <f t="shared" si="5"/>
        <v>2021PUBLIC HOLIDAYS</v>
      </c>
    </row>
    <row r="160" spans="3:13" x14ac:dyDescent="0.25">
      <c r="C160" s="294" t="s">
        <v>762</v>
      </c>
      <c r="D160" s="312">
        <v>2021</v>
      </c>
      <c r="E160" s="122" t="s">
        <v>250</v>
      </c>
      <c r="F160" s="122" t="b">
        <v>0</v>
      </c>
      <c r="G160" s="122" t="b">
        <v>1</v>
      </c>
      <c r="H160" s="122" t="b">
        <v>0</v>
      </c>
      <c r="I160" s="122">
        <v>47.8</v>
      </c>
      <c r="J160" s="122">
        <v>14</v>
      </c>
      <c r="L160" t="str">
        <f t="shared" si="4"/>
        <v>WEEKENDS</v>
      </c>
      <c r="M160" s="195" t="str">
        <f t="shared" si="5"/>
        <v>2021WEEKENDS</v>
      </c>
    </row>
    <row r="161" spans="3:13" x14ac:dyDescent="0.25">
      <c r="C161" s="294" t="s">
        <v>762</v>
      </c>
      <c r="D161" s="312">
        <v>2021</v>
      </c>
      <c r="E161" s="122" t="s">
        <v>250</v>
      </c>
      <c r="F161" s="122" t="b">
        <v>0</v>
      </c>
      <c r="G161" s="122" t="b">
        <v>1</v>
      </c>
      <c r="H161" s="122" t="b">
        <v>1</v>
      </c>
      <c r="I161" s="122">
        <v>48.36</v>
      </c>
      <c r="J161" s="122">
        <v>2</v>
      </c>
      <c r="L161" t="str">
        <f t="shared" si="4"/>
        <v>PUBLIC HOLIDAYS</v>
      </c>
      <c r="M161" s="195" t="str">
        <f t="shared" si="5"/>
        <v>2021PUBLIC HOLIDAYS</v>
      </c>
    </row>
    <row r="162" spans="3:13" x14ac:dyDescent="0.25">
      <c r="C162" s="294" t="s">
        <v>762</v>
      </c>
      <c r="D162" s="312">
        <v>2021</v>
      </c>
      <c r="E162" s="122" t="s">
        <v>250</v>
      </c>
      <c r="F162" s="122" t="b">
        <v>1</v>
      </c>
      <c r="G162" s="122" t="b">
        <v>0</v>
      </c>
      <c r="H162" s="122" t="b">
        <v>0</v>
      </c>
      <c r="I162" s="122">
        <v>43.2</v>
      </c>
      <c r="J162" s="122">
        <v>200</v>
      </c>
      <c r="L162" t="str">
        <f t="shared" si="4"/>
        <v>PM PEAK</v>
      </c>
      <c r="M162" s="195" t="str">
        <f t="shared" si="5"/>
        <v>2021PM PEAK</v>
      </c>
    </row>
    <row r="163" spans="3:13" x14ac:dyDescent="0.25">
      <c r="C163" s="294" t="s">
        <v>762</v>
      </c>
      <c r="D163" s="312">
        <v>2021</v>
      </c>
      <c r="E163" s="122" t="s">
        <v>250</v>
      </c>
      <c r="F163" s="122" t="b">
        <v>1</v>
      </c>
      <c r="G163" s="122" t="b">
        <v>0</v>
      </c>
      <c r="H163" s="122" t="b">
        <v>1</v>
      </c>
      <c r="I163" s="122">
        <v>45.44</v>
      </c>
      <c r="J163" s="122">
        <v>3</v>
      </c>
      <c r="L163" t="str">
        <f t="shared" si="4"/>
        <v>PUBLIC HOLIDAYS</v>
      </c>
      <c r="M163" s="195" t="str">
        <f t="shared" si="5"/>
        <v>2021PUBLIC HOLIDAYS</v>
      </c>
    </row>
    <row r="164" spans="3:13" x14ac:dyDescent="0.25">
      <c r="C164" s="294" t="s">
        <v>762</v>
      </c>
      <c r="D164" s="312">
        <v>2021</v>
      </c>
      <c r="E164" s="122" t="s">
        <v>250</v>
      </c>
      <c r="F164" s="122" t="b">
        <v>1</v>
      </c>
      <c r="G164" s="122" t="b">
        <v>1</v>
      </c>
      <c r="H164" s="122" t="b">
        <v>0</v>
      </c>
      <c r="I164" s="122">
        <v>44.56</v>
      </c>
      <c r="J164" s="122">
        <v>53</v>
      </c>
      <c r="L164" t="str">
        <f t="shared" si="4"/>
        <v>PM PEAK</v>
      </c>
      <c r="M164" s="195" t="str">
        <f t="shared" si="5"/>
        <v>2021PM PEAK</v>
      </c>
    </row>
    <row r="165" spans="3:13" x14ac:dyDescent="0.25">
      <c r="C165" s="294" t="s">
        <v>762</v>
      </c>
      <c r="D165" s="312">
        <v>2021</v>
      </c>
      <c r="E165" s="122" t="s">
        <v>250</v>
      </c>
      <c r="F165" s="122" t="b">
        <v>1</v>
      </c>
      <c r="G165" s="122" t="b">
        <v>1</v>
      </c>
      <c r="H165" s="122" t="b">
        <v>1</v>
      </c>
      <c r="I165" s="122">
        <v>45.76</v>
      </c>
      <c r="J165" s="122">
        <v>5</v>
      </c>
      <c r="L165" t="str">
        <f t="shared" si="4"/>
        <v>PUBLIC HOLIDAYS</v>
      </c>
      <c r="M165" s="195" t="str">
        <f t="shared" si="5"/>
        <v>2021PUBLIC HOLIDAYS</v>
      </c>
    </row>
    <row r="166" spans="3:13" x14ac:dyDescent="0.25">
      <c r="C166" s="294" t="s">
        <v>762</v>
      </c>
      <c r="D166" s="312">
        <v>2022</v>
      </c>
      <c r="E166" s="122" t="s">
        <v>763</v>
      </c>
      <c r="F166" s="122" t="b">
        <v>0</v>
      </c>
      <c r="G166" s="122" t="b">
        <v>0</v>
      </c>
      <c r="H166" s="122" t="b">
        <v>0</v>
      </c>
      <c r="I166" s="122">
        <v>54.9</v>
      </c>
      <c r="J166" s="122">
        <v>76</v>
      </c>
      <c r="L166" t="str">
        <f t="shared" si="4"/>
        <v>WEEKENDS</v>
      </c>
      <c r="M166" s="195" t="str">
        <f t="shared" si="5"/>
        <v>2022WEEKENDS</v>
      </c>
    </row>
    <row r="167" spans="3:13" x14ac:dyDescent="0.25">
      <c r="C167" s="294" t="s">
        <v>762</v>
      </c>
      <c r="D167" s="312">
        <v>2022</v>
      </c>
      <c r="E167" s="122" t="s">
        <v>763</v>
      </c>
      <c r="F167" s="122" t="b">
        <v>0</v>
      </c>
      <c r="G167" s="122" t="b">
        <v>1</v>
      </c>
      <c r="H167" s="122" t="b">
        <v>0</v>
      </c>
      <c r="I167" s="122">
        <v>55.03</v>
      </c>
      <c r="J167" s="122">
        <v>25</v>
      </c>
      <c r="L167" t="str">
        <f t="shared" si="4"/>
        <v>WEEKENDS</v>
      </c>
      <c r="M167" s="195" t="str">
        <f t="shared" si="5"/>
        <v>2022WEEKENDS</v>
      </c>
    </row>
    <row r="168" spans="3:13" x14ac:dyDescent="0.25">
      <c r="C168" s="294" t="s">
        <v>762</v>
      </c>
      <c r="D168" s="312">
        <v>2022</v>
      </c>
      <c r="E168" s="122" t="s">
        <v>763</v>
      </c>
      <c r="F168" s="122" t="b">
        <v>0</v>
      </c>
      <c r="G168" s="122" t="b">
        <v>1</v>
      </c>
      <c r="H168" s="122" t="b">
        <v>1</v>
      </c>
      <c r="I168" s="122">
        <v>55.23</v>
      </c>
      <c r="J168" s="122">
        <v>4</v>
      </c>
      <c r="L168" t="str">
        <f t="shared" si="4"/>
        <v>PUBLIC HOLIDAYS</v>
      </c>
      <c r="M168" s="195" t="str">
        <f t="shared" si="5"/>
        <v>2022PUBLIC HOLIDAYS</v>
      </c>
    </row>
    <row r="169" spans="3:13" x14ac:dyDescent="0.25">
      <c r="C169" s="294" t="s">
        <v>762</v>
      </c>
      <c r="D169" s="312">
        <v>2022</v>
      </c>
      <c r="E169" s="122" t="s">
        <v>763</v>
      </c>
      <c r="F169" s="122" t="b">
        <v>1</v>
      </c>
      <c r="G169" s="122" t="b">
        <v>0</v>
      </c>
      <c r="H169" s="122" t="b">
        <v>0</v>
      </c>
      <c r="I169" s="122">
        <v>53.93</v>
      </c>
      <c r="J169" s="122">
        <v>198</v>
      </c>
      <c r="L169" t="str">
        <f t="shared" si="4"/>
        <v>OFF PEAK</v>
      </c>
      <c r="M169" s="195" t="str">
        <f t="shared" si="5"/>
        <v>2022OFF PEAK</v>
      </c>
    </row>
    <row r="170" spans="3:13" x14ac:dyDescent="0.25">
      <c r="C170" s="294" t="s">
        <v>762</v>
      </c>
      <c r="D170" s="312">
        <v>2022</v>
      </c>
      <c r="E170" s="122" t="s">
        <v>763</v>
      </c>
      <c r="F170" s="122" t="b">
        <v>1</v>
      </c>
      <c r="G170" s="122" t="b">
        <v>0</v>
      </c>
      <c r="H170" s="122" t="b">
        <v>1</v>
      </c>
      <c r="I170" s="122">
        <v>54.52</v>
      </c>
      <c r="J170" s="122">
        <v>3</v>
      </c>
      <c r="L170" t="str">
        <f t="shared" si="4"/>
        <v>PUBLIC HOLIDAYS</v>
      </c>
      <c r="M170" s="195" t="str">
        <f t="shared" si="5"/>
        <v>2022PUBLIC HOLIDAYS</v>
      </c>
    </row>
    <row r="171" spans="3:13" x14ac:dyDescent="0.25">
      <c r="C171" s="294" t="s">
        <v>762</v>
      </c>
      <c r="D171" s="312">
        <v>2022</v>
      </c>
      <c r="E171" s="122" t="s">
        <v>763</v>
      </c>
      <c r="F171" s="122" t="b">
        <v>1</v>
      </c>
      <c r="G171" s="122" t="b">
        <v>1</v>
      </c>
      <c r="H171" s="122" t="b">
        <v>0</v>
      </c>
      <c r="I171" s="122">
        <v>54.17</v>
      </c>
      <c r="J171" s="122">
        <v>52</v>
      </c>
      <c r="L171" t="str">
        <f t="shared" si="4"/>
        <v>OFF PEAK</v>
      </c>
      <c r="M171" s="195" t="str">
        <f t="shared" si="5"/>
        <v>2022OFF PEAK</v>
      </c>
    </row>
    <row r="172" spans="3:13" x14ac:dyDescent="0.25">
      <c r="C172" s="294" t="s">
        <v>762</v>
      </c>
      <c r="D172" s="312">
        <v>2022</v>
      </c>
      <c r="E172" s="122" t="s">
        <v>763</v>
      </c>
      <c r="F172" s="122" t="b">
        <v>1</v>
      </c>
      <c r="G172" s="122" t="b">
        <v>1</v>
      </c>
      <c r="H172" s="122" t="b">
        <v>1</v>
      </c>
      <c r="I172" s="122">
        <v>55.1</v>
      </c>
      <c r="J172" s="122">
        <v>7</v>
      </c>
      <c r="L172" t="str">
        <f t="shared" si="4"/>
        <v>PUBLIC HOLIDAYS</v>
      </c>
      <c r="M172" s="195" t="str">
        <f t="shared" si="5"/>
        <v>2022PUBLIC HOLIDAYS</v>
      </c>
    </row>
    <row r="173" spans="3:13" x14ac:dyDescent="0.25">
      <c r="C173" s="294" t="s">
        <v>762</v>
      </c>
      <c r="D173" s="312">
        <v>2022</v>
      </c>
      <c r="E173" s="122" t="s">
        <v>247</v>
      </c>
      <c r="F173" s="122" t="b">
        <v>0</v>
      </c>
      <c r="G173" s="122" t="b">
        <v>0</v>
      </c>
      <c r="H173" s="122" t="b">
        <v>0</v>
      </c>
      <c r="I173" s="122">
        <v>50.41</v>
      </c>
      <c r="J173" s="122">
        <v>76</v>
      </c>
      <c r="L173" t="str">
        <f t="shared" si="4"/>
        <v>WEEKENDS</v>
      </c>
      <c r="M173" s="195" t="str">
        <f t="shared" si="5"/>
        <v>2022WEEKENDS</v>
      </c>
    </row>
    <row r="174" spans="3:13" x14ac:dyDescent="0.25">
      <c r="C174" s="294" t="s">
        <v>762</v>
      </c>
      <c r="D174" s="312">
        <v>2022</v>
      </c>
      <c r="E174" s="122" t="s">
        <v>247</v>
      </c>
      <c r="F174" s="122" t="b">
        <v>0</v>
      </c>
      <c r="G174" s="122" t="b">
        <v>1</v>
      </c>
      <c r="H174" s="122" t="b">
        <v>0</v>
      </c>
      <c r="I174" s="122">
        <v>50.65</v>
      </c>
      <c r="J174" s="122">
        <v>25</v>
      </c>
      <c r="L174" t="str">
        <f t="shared" si="4"/>
        <v>WEEKENDS</v>
      </c>
      <c r="M174" s="195" t="str">
        <f t="shared" si="5"/>
        <v>2022WEEKENDS</v>
      </c>
    </row>
    <row r="175" spans="3:13" x14ac:dyDescent="0.25">
      <c r="C175" s="294" t="s">
        <v>762</v>
      </c>
      <c r="D175" s="312">
        <v>2022</v>
      </c>
      <c r="E175" s="122" t="s">
        <v>247</v>
      </c>
      <c r="F175" s="122" t="b">
        <v>0</v>
      </c>
      <c r="G175" s="122" t="b">
        <v>1</v>
      </c>
      <c r="H175" s="122" t="b">
        <v>1</v>
      </c>
      <c r="I175" s="122">
        <v>51.2</v>
      </c>
      <c r="J175" s="122">
        <v>4</v>
      </c>
      <c r="L175" t="str">
        <f t="shared" si="4"/>
        <v>PUBLIC HOLIDAYS</v>
      </c>
      <c r="M175" s="195" t="str">
        <f t="shared" si="5"/>
        <v>2022PUBLIC HOLIDAYS</v>
      </c>
    </row>
    <row r="176" spans="3:13" x14ac:dyDescent="0.25">
      <c r="C176" s="294" t="s">
        <v>762</v>
      </c>
      <c r="D176" s="312">
        <v>2022</v>
      </c>
      <c r="E176" s="122" t="s">
        <v>247</v>
      </c>
      <c r="F176" s="122" t="b">
        <v>1</v>
      </c>
      <c r="G176" s="122" t="b">
        <v>0</v>
      </c>
      <c r="H176" s="122" t="b">
        <v>0</v>
      </c>
      <c r="I176" s="122">
        <v>44.41</v>
      </c>
      <c r="J176" s="122">
        <v>198</v>
      </c>
      <c r="L176" t="str">
        <f t="shared" si="4"/>
        <v>AM PEAK</v>
      </c>
      <c r="M176" s="195" t="str">
        <f t="shared" si="5"/>
        <v>2022AM PEAK</v>
      </c>
    </row>
    <row r="177" spans="3:13" x14ac:dyDescent="0.25">
      <c r="C177" s="294" t="s">
        <v>762</v>
      </c>
      <c r="D177" s="312">
        <v>2022</v>
      </c>
      <c r="E177" s="122" t="s">
        <v>247</v>
      </c>
      <c r="F177" s="122" t="b">
        <v>1</v>
      </c>
      <c r="G177" s="122" t="b">
        <v>0</v>
      </c>
      <c r="H177" s="122" t="b">
        <v>1</v>
      </c>
      <c r="I177" s="122">
        <v>48.16</v>
      </c>
      <c r="J177" s="122">
        <v>3</v>
      </c>
      <c r="L177" t="str">
        <f t="shared" si="4"/>
        <v>PUBLIC HOLIDAYS</v>
      </c>
      <c r="M177" s="195" t="str">
        <f t="shared" si="5"/>
        <v>2022PUBLIC HOLIDAYS</v>
      </c>
    </row>
    <row r="178" spans="3:13" x14ac:dyDescent="0.25">
      <c r="C178" s="294" t="s">
        <v>762</v>
      </c>
      <c r="D178" s="312">
        <v>2022</v>
      </c>
      <c r="E178" s="122" t="s">
        <v>247</v>
      </c>
      <c r="F178" s="122" t="b">
        <v>1</v>
      </c>
      <c r="G178" s="122" t="b">
        <v>1</v>
      </c>
      <c r="H178" s="122" t="b">
        <v>0</v>
      </c>
      <c r="I178" s="122">
        <v>46.64</v>
      </c>
      <c r="J178" s="122">
        <v>52</v>
      </c>
      <c r="L178" t="str">
        <f t="shared" si="4"/>
        <v>AM PEAK</v>
      </c>
      <c r="M178" s="195" t="str">
        <f t="shared" si="5"/>
        <v>2022AM PEAK</v>
      </c>
    </row>
    <row r="179" spans="3:13" x14ac:dyDescent="0.25">
      <c r="C179" s="294" t="s">
        <v>762</v>
      </c>
      <c r="D179" s="312">
        <v>2022</v>
      </c>
      <c r="E179" s="122" t="s">
        <v>247</v>
      </c>
      <c r="F179" s="122" t="b">
        <v>1</v>
      </c>
      <c r="G179" s="122" t="b">
        <v>1</v>
      </c>
      <c r="H179" s="122" t="b">
        <v>1</v>
      </c>
      <c r="I179" s="122">
        <v>48.49</v>
      </c>
      <c r="J179" s="122">
        <v>7</v>
      </c>
      <c r="L179" t="str">
        <f t="shared" si="4"/>
        <v>PUBLIC HOLIDAYS</v>
      </c>
      <c r="M179" s="195" t="str">
        <f t="shared" si="5"/>
        <v>2022PUBLIC HOLIDAYS</v>
      </c>
    </row>
    <row r="180" spans="3:13" x14ac:dyDescent="0.25">
      <c r="C180" s="294" t="s">
        <v>762</v>
      </c>
      <c r="D180" s="312">
        <v>2022</v>
      </c>
      <c r="E180" s="122" t="s">
        <v>764</v>
      </c>
      <c r="F180" s="122" t="b">
        <v>0</v>
      </c>
      <c r="G180" s="122" t="b">
        <v>0</v>
      </c>
      <c r="H180" s="122" t="b">
        <v>0</v>
      </c>
      <c r="I180" s="122">
        <v>45.68</v>
      </c>
      <c r="J180" s="122">
        <v>76</v>
      </c>
      <c r="L180" t="str">
        <f t="shared" si="4"/>
        <v>WEEKENDS</v>
      </c>
      <c r="M180" s="195" t="str">
        <f t="shared" si="5"/>
        <v>2022WEEKENDS</v>
      </c>
    </row>
    <row r="181" spans="3:13" x14ac:dyDescent="0.25">
      <c r="C181" s="294" t="s">
        <v>762</v>
      </c>
      <c r="D181" s="312">
        <v>2022</v>
      </c>
      <c r="E181" s="122" t="s">
        <v>764</v>
      </c>
      <c r="F181" s="122" t="b">
        <v>0</v>
      </c>
      <c r="G181" s="122" t="b">
        <v>1</v>
      </c>
      <c r="H181" s="122" t="b">
        <v>0</v>
      </c>
      <c r="I181" s="122">
        <v>46.41</v>
      </c>
      <c r="J181" s="122">
        <v>25</v>
      </c>
      <c r="L181" t="str">
        <f t="shared" si="4"/>
        <v>WEEKENDS</v>
      </c>
      <c r="M181" s="195" t="str">
        <f t="shared" si="5"/>
        <v>2022WEEKENDS</v>
      </c>
    </row>
    <row r="182" spans="3:13" x14ac:dyDescent="0.25">
      <c r="C182" s="294" t="s">
        <v>762</v>
      </c>
      <c r="D182" s="312">
        <v>2022</v>
      </c>
      <c r="E182" s="122" t="s">
        <v>764</v>
      </c>
      <c r="F182" s="122" t="b">
        <v>0</v>
      </c>
      <c r="G182" s="122" t="b">
        <v>1</v>
      </c>
      <c r="H182" s="122" t="b">
        <v>1</v>
      </c>
      <c r="I182" s="122">
        <v>47.12</v>
      </c>
      <c r="J182" s="122">
        <v>4</v>
      </c>
      <c r="L182" t="str">
        <f t="shared" si="4"/>
        <v>PUBLIC HOLIDAYS</v>
      </c>
      <c r="M182" s="195" t="str">
        <f t="shared" si="5"/>
        <v>2022PUBLIC HOLIDAYS</v>
      </c>
    </row>
    <row r="183" spans="3:13" x14ac:dyDescent="0.25">
      <c r="C183" s="294" t="s">
        <v>762</v>
      </c>
      <c r="D183" s="312">
        <v>2022</v>
      </c>
      <c r="E183" s="122" t="s">
        <v>764</v>
      </c>
      <c r="F183" s="122" t="b">
        <v>1</v>
      </c>
      <c r="G183" s="122" t="b">
        <v>0</v>
      </c>
      <c r="H183" s="122" t="b">
        <v>0</v>
      </c>
      <c r="I183" s="122">
        <v>44.49</v>
      </c>
      <c r="J183" s="122">
        <v>198</v>
      </c>
      <c r="L183" t="str">
        <f t="shared" si="4"/>
        <v>OFF PEAK</v>
      </c>
      <c r="M183" s="195" t="str">
        <f t="shared" si="5"/>
        <v>2022OFF PEAK</v>
      </c>
    </row>
    <row r="184" spans="3:13" x14ac:dyDescent="0.25">
      <c r="C184" s="294" t="s">
        <v>762</v>
      </c>
      <c r="D184" s="312">
        <v>2022</v>
      </c>
      <c r="E184" s="122" t="s">
        <v>764</v>
      </c>
      <c r="F184" s="122" t="b">
        <v>1</v>
      </c>
      <c r="G184" s="122" t="b">
        <v>0</v>
      </c>
      <c r="H184" s="122" t="b">
        <v>1</v>
      </c>
      <c r="I184" s="122">
        <v>45.69</v>
      </c>
      <c r="J184" s="122">
        <v>3</v>
      </c>
      <c r="L184" t="str">
        <f t="shared" si="4"/>
        <v>PUBLIC HOLIDAYS</v>
      </c>
      <c r="M184" s="195" t="str">
        <f t="shared" si="5"/>
        <v>2022PUBLIC HOLIDAYS</v>
      </c>
    </row>
    <row r="185" spans="3:13" x14ac:dyDescent="0.25">
      <c r="C185" s="294" t="s">
        <v>762</v>
      </c>
      <c r="D185" s="312">
        <v>2022</v>
      </c>
      <c r="E185" s="122" t="s">
        <v>764</v>
      </c>
      <c r="F185" s="122" t="b">
        <v>1</v>
      </c>
      <c r="G185" s="122" t="b">
        <v>1</v>
      </c>
      <c r="H185" s="122" t="b">
        <v>0</v>
      </c>
      <c r="I185" s="122">
        <v>44.63</v>
      </c>
      <c r="J185" s="122">
        <v>52</v>
      </c>
      <c r="L185" t="str">
        <f t="shared" si="4"/>
        <v>OFF PEAK</v>
      </c>
      <c r="M185" s="195" t="str">
        <f t="shared" si="5"/>
        <v>2022OFF PEAK</v>
      </c>
    </row>
    <row r="186" spans="3:13" x14ac:dyDescent="0.25">
      <c r="C186" s="294" t="s">
        <v>762</v>
      </c>
      <c r="D186" s="312">
        <v>2022</v>
      </c>
      <c r="E186" s="122" t="s">
        <v>764</v>
      </c>
      <c r="F186" s="122" t="b">
        <v>1</v>
      </c>
      <c r="G186" s="122" t="b">
        <v>1</v>
      </c>
      <c r="H186" s="122" t="b">
        <v>1</v>
      </c>
      <c r="I186" s="122">
        <v>45.65</v>
      </c>
      <c r="J186" s="122">
        <v>7</v>
      </c>
      <c r="L186" t="str">
        <f t="shared" si="4"/>
        <v>PUBLIC HOLIDAYS</v>
      </c>
      <c r="M186" s="195" t="str">
        <f t="shared" si="5"/>
        <v>2022PUBLIC HOLIDAYS</v>
      </c>
    </row>
    <row r="187" spans="3:13" x14ac:dyDescent="0.25">
      <c r="C187" s="294" t="s">
        <v>762</v>
      </c>
      <c r="D187" s="312">
        <v>2022</v>
      </c>
      <c r="E187" s="122" t="s">
        <v>765</v>
      </c>
      <c r="F187" s="122" t="b">
        <v>0</v>
      </c>
      <c r="G187" s="122" t="b">
        <v>0</v>
      </c>
      <c r="H187" s="122" t="b">
        <v>0</v>
      </c>
      <c r="I187" s="122">
        <v>50.98</v>
      </c>
      <c r="J187" s="122">
        <v>76</v>
      </c>
      <c r="L187" t="str">
        <f t="shared" si="4"/>
        <v>WEEKENDS</v>
      </c>
      <c r="M187" s="195" t="str">
        <f t="shared" si="5"/>
        <v>2022WEEKENDS</v>
      </c>
    </row>
    <row r="188" spans="3:13" x14ac:dyDescent="0.25">
      <c r="C188" s="294" t="s">
        <v>762</v>
      </c>
      <c r="D188" s="312">
        <v>2022</v>
      </c>
      <c r="E188" s="122" t="s">
        <v>765</v>
      </c>
      <c r="F188" s="122" t="b">
        <v>0</v>
      </c>
      <c r="G188" s="122" t="b">
        <v>1</v>
      </c>
      <c r="H188" s="122" t="b">
        <v>0</v>
      </c>
      <c r="I188" s="122">
        <v>51.21</v>
      </c>
      <c r="J188" s="122">
        <v>25</v>
      </c>
      <c r="L188" t="str">
        <f t="shared" si="4"/>
        <v>WEEKENDS</v>
      </c>
      <c r="M188" s="195" t="str">
        <f t="shared" si="5"/>
        <v>2022WEEKENDS</v>
      </c>
    </row>
    <row r="189" spans="3:13" x14ac:dyDescent="0.25">
      <c r="C189" s="294" t="s">
        <v>762</v>
      </c>
      <c r="D189" s="312">
        <v>2022</v>
      </c>
      <c r="E189" s="122" t="s">
        <v>765</v>
      </c>
      <c r="F189" s="122" t="b">
        <v>0</v>
      </c>
      <c r="G189" s="122" t="b">
        <v>1</v>
      </c>
      <c r="H189" s="122" t="b">
        <v>1</v>
      </c>
      <c r="I189" s="122">
        <v>51.44</v>
      </c>
      <c r="J189" s="122">
        <v>4</v>
      </c>
      <c r="L189" t="str">
        <f t="shared" si="4"/>
        <v>PUBLIC HOLIDAYS</v>
      </c>
      <c r="M189" s="195" t="str">
        <f t="shared" si="5"/>
        <v>2022PUBLIC HOLIDAYS</v>
      </c>
    </row>
    <row r="190" spans="3:13" x14ac:dyDescent="0.25">
      <c r="C190" s="294" t="s">
        <v>762</v>
      </c>
      <c r="D190" s="312">
        <v>2022</v>
      </c>
      <c r="E190" s="122" t="s">
        <v>765</v>
      </c>
      <c r="F190" s="122" t="b">
        <v>1</v>
      </c>
      <c r="G190" s="122" t="b">
        <v>0</v>
      </c>
      <c r="H190" s="122" t="b">
        <v>0</v>
      </c>
      <c r="I190" s="122">
        <v>49.49</v>
      </c>
      <c r="J190" s="122">
        <v>198</v>
      </c>
      <c r="L190" t="str">
        <f t="shared" si="4"/>
        <v>OFF PEAK</v>
      </c>
      <c r="M190" s="195" t="str">
        <f t="shared" si="5"/>
        <v>2022OFF PEAK</v>
      </c>
    </row>
    <row r="191" spans="3:13" x14ac:dyDescent="0.25">
      <c r="C191" s="294" t="s">
        <v>762</v>
      </c>
      <c r="D191" s="312">
        <v>2022</v>
      </c>
      <c r="E191" s="122" t="s">
        <v>765</v>
      </c>
      <c r="F191" s="122" t="b">
        <v>1</v>
      </c>
      <c r="G191" s="122" t="b">
        <v>0</v>
      </c>
      <c r="H191" s="122" t="b">
        <v>1</v>
      </c>
      <c r="I191" s="122">
        <v>50.26</v>
      </c>
      <c r="J191" s="122">
        <v>3</v>
      </c>
      <c r="L191" t="str">
        <f t="shared" si="4"/>
        <v>PUBLIC HOLIDAYS</v>
      </c>
      <c r="M191" s="195" t="str">
        <f t="shared" si="5"/>
        <v>2022PUBLIC HOLIDAYS</v>
      </c>
    </row>
    <row r="192" spans="3:13" x14ac:dyDescent="0.25">
      <c r="C192" s="294" t="s">
        <v>762</v>
      </c>
      <c r="D192" s="312">
        <v>2022</v>
      </c>
      <c r="E192" s="122" t="s">
        <v>765</v>
      </c>
      <c r="F192" s="122" t="b">
        <v>1</v>
      </c>
      <c r="G192" s="122" t="b">
        <v>1</v>
      </c>
      <c r="H192" s="122" t="b">
        <v>0</v>
      </c>
      <c r="I192" s="122">
        <v>49.64</v>
      </c>
      <c r="J192" s="122">
        <v>52</v>
      </c>
      <c r="L192" t="str">
        <f t="shared" si="4"/>
        <v>OFF PEAK</v>
      </c>
      <c r="M192" s="195" t="str">
        <f t="shared" si="5"/>
        <v>2022OFF PEAK</v>
      </c>
    </row>
    <row r="193" spans="3:13" x14ac:dyDescent="0.25">
      <c r="C193" s="294" t="s">
        <v>762</v>
      </c>
      <c r="D193" s="312">
        <v>2022</v>
      </c>
      <c r="E193" s="122" t="s">
        <v>765</v>
      </c>
      <c r="F193" s="122" t="b">
        <v>1</v>
      </c>
      <c r="G193" s="122" t="b">
        <v>1</v>
      </c>
      <c r="H193" s="122" t="b">
        <v>1</v>
      </c>
      <c r="I193" s="122">
        <v>50.44</v>
      </c>
      <c r="J193" s="122">
        <v>7</v>
      </c>
      <c r="L193" t="str">
        <f t="shared" si="4"/>
        <v>PUBLIC HOLIDAYS</v>
      </c>
      <c r="M193" s="195" t="str">
        <f t="shared" si="5"/>
        <v>2022PUBLIC HOLIDAYS</v>
      </c>
    </row>
    <row r="194" spans="3:13" x14ac:dyDescent="0.25">
      <c r="C194" s="294" t="s">
        <v>762</v>
      </c>
      <c r="D194" s="312">
        <v>2022</v>
      </c>
      <c r="E194" s="122" t="s">
        <v>250</v>
      </c>
      <c r="F194" s="122" t="b">
        <v>0</v>
      </c>
      <c r="G194" s="122" t="b">
        <v>0</v>
      </c>
      <c r="H194" s="122" t="b">
        <v>0</v>
      </c>
      <c r="I194" s="122">
        <v>47.11</v>
      </c>
      <c r="J194" s="122">
        <v>76</v>
      </c>
      <c r="L194" t="str">
        <f t="shared" si="4"/>
        <v>WEEKENDS</v>
      </c>
      <c r="M194" s="195" t="str">
        <f t="shared" si="5"/>
        <v>2022WEEKENDS</v>
      </c>
    </row>
    <row r="195" spans="3:13" x14ac:dyDescent="0.25">
      <c r="C195" s="294" t="s">
        <v>762</v>
      </c>
      <c r="D195" s="312">
        <v>2022</v>
      </c>
      <c r="E195" s="122" t="s">
        <v>250</v>
      </c>
      <c r="F195" s="122" t="b">
        <v>0</v>
      </c>
      <c r="G195" s="122" t="b">
        <v>1</v>
      </c>
      <c r="H195" s="122" t="b">
        <v>0</v>
      </c>
      <c r="I195" s="122">
        <v>47.53</v>
      </c>
      <c r="J195" s="122">
        <v>25</v>
      </c>
      <c r="L195" t="str">
        <f t="shared" si="4"/>
        <v>WEEKENDS</v>
      </c>
      <c r="M195" s="195" t="str">
        <f t="shared" si="5"/>
        <v>2022WEEKENDS</v>
      </c>
    </row>
    <row r="196" spans="3:13" x14ac:dyDescent="0.25">
      <c r="C196" s="294" t="s">
        <v>762</v>
      </c>
      <c r="D196" s="312">
        <v>2022</v>
      </c>
      <c r="E196" s="122" t="s">
        <v>250</v>
      </c>
      <c r="F196" s="122" t="b">
        <v>0</v>
      </c>
      <c r="G196" s="122" t="b">
        <v>1</v>
      </c>
      <c r="H196" s="122" t="b">
        <v>1</v>
      </c>
      <c r="I196" s="122">
        <v>48.06</v>
      </c>
      <c r="J196" s="122">
        <v>4</v>
      </c>
      <c r="L196" t="str">
        <f t="shared" si="4"/>
        <v>PUBLIC HOLIDAYS</v>
      </c>
      <c r="M196" s="195" t="str">
        <f t="shared" si="5"/>
        <v>2022PUBLIC HOLIDAYS</v>
      </c>
    </row>
    <row r="197" spans="3:13" x14ac:dyDescent="0.25">
      <c r="C197" s="294" t="s">
        <v>762</v>
      </c>
      <c r="D197" s="312">
        <v>2022</v>
      </c>
      <c r="E197" s="122" t="s">
        <v>250</v>
      </c>
      <c r="F197" s="122" t="b">
        <v>1</v>
      </c>
      <c r="G197" s="122" t="b">
        <v>0</v>
      </c>
      <c r="H197" s="122" t="b">
        <v>0</v>
      </c>
      <c r="I197" s="122">
        <v>42.64</v>
      </c>
      <c r="J197" s="122">
        <v>198</v>
      </c>
      <c r="L197" t="str">
        <f t="shared" si="4"/>
        <v>PM PEAK</v>
      </c>
      <c r="M197" s="195" t="str">
        <f t="shared" si="5"/>
        <v>2022PM PEAK</v>
      </c>
    </row>
    <row r="198" spans="3:13" x14ac:dyDescent="0.25">
      <c r="C198" s="294" t="s">
        <v>762</v>
      </c>
      <c r="D198" s="312">
        <v>2022</v>
      </c>
      <c r="E198" s="122" t="s">
        <v>250</v>
      </c>
      <c r="F198" s="122" t="b">
        <v>1</v>
      </c>
      <c r="G198" s="122" t="b">
        <v>0</v>
      </c>
      <c r="H198" s="122" t="b">
        <v>1</v>
      </c>
      <c r="I198" s="122">
        <v>45.51</v>
      </c>
      <c r="J198" s="122">
        <v>3</v>
      </c>
      <c r="L198" t="str">
        <f t="shared" si="4"/>
        <v>PUBLIC HOLIDAYS</v>
      </c>
      <c r="M198" s="195" t="str">
        <f t="shared" si="5"/>
        <v>2022PUBLIC HOLIDAYS</v>
      </c>
    </row>
    <row r="199" spans="3:13" x14ac:dyDescent="0.25">
      <c r="C199" s="294" t="s">
        <v>762</v>
      </c>
      <c r="D199" s="312">
        <v>2022</v>
      </c>
      <c r="E199" s="122" t="s">
        <v>250</v>
      </c>
      <c r="F199" s="122" t="b">
        <v>1</v>
      </c>
      <c r="G199" s="122" t="b">
        <v>1</v>
      </c>
      <c r="H199" s="122" t="b">
        <v>0</v>
      </c>
      <c r="I199" s="122">
        <v>44.21</v>
      </c>
      <c r="J199" s="122">
        <v>52</v>
      </c>
      <c r="L199" t="str">
        <f t="shared" si="4"/>
        <v>PM PEAK</v>
      </c>
      <c r="M199" s="195" t="str">
        <f t="shared" si="5"/>
        <v>2022PM PEAK</v>
      </c>
    </row>
    <row r="200" spans="3:13" x14ac:dyDescent="0.25">
      <c r="C200" s="294" t="s">
        <v>762</v>
      </c>
      <c r="D200" s="312">
        <v>2022</v>
      </c>
      <c r="E200" s="122" t="s">
        <v>250</v>
      </c>
      <c r="F200" s="122" t="b">
        <v>1</v>
      </c>
      <c r="G200" s="122" t="b">
        <v>1</v>
      </c>
      <c r="H200" s="122" t="b">
        <v>1</v>
      </c>
      <c r="I200" s="122">
        <v>45.99</v>
      </c>
      <c r="J200" s="122">
        <v>7</v>
      </c>
      <c r="L200" t="str">
        <f t="shared" si="4"/>
        <v>PUBLIC HOLIDAYS</v>
      </c>
      <c r="M200" s="195" t="str">
        <f t="shared" si="5"/>
        <v>2022PUBLIC HOLIDAYS</v>
      </c>
    </row>
    <row r="201" spans="3:13" x14ac:dyDescent="0.25">
      <c r="C201" s="294" t="s">
        <v>762</v>
      </c>
      <c r="D201" s="312">
        <v>2023</v>
      </c>
      <c r="E201" s="122" t="s">
        <v>763</v>
      </c>
      <c r="F201" s="122" t="b">
        <v>0</v>
      </c>
      <c r="G201" s="122" t="b">
        <v>0</v>
      </c>
      <c r="H201" s="122" t="b">
        <v>0</v>
      </c>
      <c r="I201" s="122">
        <v>54.86</v>
      </c>
      <c r="J201" s="122">
        <v>74</v>
      </c>
      <c r="L201" t="str">
        <f t="shared" si="4"/>
        <v>WEEKENDS</v>
      </c>
      <c r="M201" s="195" t="str">
        <f t="shared" si="5"/>
        <v>2023WEEKENDS</v>
      </c>
    </row>
    <row r="202" spans="3:13" x14ac:dyDescent="0.25">
      <c r="C202" s="294" t="s">
        <v>762</v>
      </c>
      <c r="D202" s="312">
        <v>2023</v>
      </c>
      <c r="E202" s="122" t="s">
        <v>763</v>
      </c>
      <c r="F202" s="122" t="b">
        <v>0</v>
      </c>
      <c r="G202" s="122" t="b">
        <v>1</v>
      </c>
      <c r="H202" s="122" t="b">
        <v>0</v>
      </c>
      <c r="I202" s="122">
        <v>54.88</v>
      </c>
      <c r="J202" s="122">
        <v>28</v>
      </c>
      <c r="L202" t="str">
        <f t="shared" si="4"/>
        <v>WEEKENDS</v>
      </c>
      <c r="M202" s="195" t="str">
        <f t="shared" si="5"/>
        <v>2023WEEKENDS</v>
      </c>
    </row>
    <row r="203" spans="3:13" x14ac:dyDescent="0.25">
      <c r="C203" s="294" t="s">
        <v>762</v>
      </c>
      <c r="D203" s="312">
        <v>2023</v>
      </c>
      <c r="E203" s="122" t="s">
        <v>763</v>
      </c>
      <c r="F203" s="122" t="b">
        <v>0</v>
      </c>
      <c r="G203" s="122" t="b">
        <v>1</v>
      </c>
      <c r="H203" s="122" t="b">
        <v>1</v>
      </c>
      <c r="I203" s="122">
        <v>55</v>
      </c>
      <c r="J203" s="122">
        <v>3</v>
      </c>
      <c r="L203" t="str">
        <f t="shared" si="4"/>
        <v>PUBLIC HOLIDAYS</v>
      </c>
      <c r="M203" s="195" t="str">
        <f t="shared" si="5"/>
        <v>2023PUBLIC HOLIDAYS</v>
      </c>
    </row>
    <row r="204" spans="3:13" x14ac:dyDescent="0.25">
      <c r="C204" s="294" t="s">
        <v>762</v>
      </c>
      <c r="D204" s="312">
        <v>2023</v>
      </c>
      <c r="E204" s="122" t="s">
        <v>763</v>
      </c>
      <c r="F204" s="122" t="b">
        <v>1</v>
      </c>
      <c r="G204" s="122" t="b">
        <v>0</v>
      </c>
      <c r="H204" s="122" t="b">
        <v>0</v>
      </c>
      <c r="I204" s="122">
        <v>53.78</v>
      </c>
      <c r="J204" s="122">
        <v>197</v>
      </c>
      <c r="L204" t="str">
        <f t="shared" si="4"/>
        <v>OFF PEAK</v>
      </c>
      <c r="M204" s="195" t="str">
        <f t="shared" si="5"/>
        <v>2023OFF PEAK</v>
      </c>
    </row>
    <row r="205" spans="3:13" x14ac:dyDescent="0.25">
      <c r="C205" s="294" t="s">
        <v>762</v>
      </c>
      <c r="D205" s="312">
        <v>2023</v>
      </c>
      <c r="E205" s="122" t="s">
        <v>763</v>
      </c>
      <c r="F205" s="122" t="b">
        <v>1</v>
      </c>
      <c r="G205" s="122" t="b">
        <v>0</v>
      </c>
      <c r="H205" s="122" t="b">
        <v>1</v>
      </c>
      <c r="I205" s="122">
        <v>54.67</v>
      </c>
      <c r="J205" s="122">
        <v>3</v>
      </c>
      <c r="L205" t="str">
        <f t="shared" si="4"/>
        <v>PUBLIC HOLIDAYS</v>
      </c>
      <c r="M205" s="195" t="str">
        <f t="shared" si="5"/>
        <v>2023PUBLIC HOLIDAYS</v>
      </c>
    </row>
    <row r="206" spans="3:13" x14ac:dyDescent="0.25">
      <c r="C206" s="294" t="s">
        <v>762</v>
      </c>
      <c r="D206" s="312">
        <v>2023</v>
      </c>
      <c r="E206" s="122" t="s">
        <v>763</v>
      </c>
      <c r="F206" s="122" t="b">
        <v>1</v>
      </c>
      <c r="G206" s="122" t="b">
        <v>1</v>
      </c>
      <c r="H206" s="122" t="b">
        <v>0</v>
      </c>
      <c r="I206" s="122">
        <v>53.97</v>
      </c>
      <c r="J206" s="122">
        <v>54</v>
      </c>
      <c r="L206" t="str">
        <f t="shared" si="4"/>
        <v>OFF PEAK</v>
      </c>
      <c r="M206" s="195" t="str">
        <f t="shared" si="5"/>
        <v>2023OFF PEAK</v>
      </c>
    </row>
    <row r="207" spans="3:13" x14ac:dyDescent="0.25">
      <c r="C207" s="294" t="s">
        <v>762</v>
      </c>
      <c r="D207" s="312">
        <v>2023</v>
      </c>
      <c r="E207" s="122" t="s">
        <v>763</v>
      </c>
      <c r="F207" s="122" t="b">
        <v>1</v>
      </c>
      <c r="G207" s="122" t="b">
        <v>1</v>
      </c>
      <c r="H207" s="122" t="b">
        <v>1</v>
      </c>
      <c r="I207" s="122">
        <v>54.94</v>
      </c>
      <c r="J207" s="122">
        <v>6</v>
      </c>
      <c r="L207" t="str">
        <f t="shared" si="4"/>
        <v>PUBLIC HOLIDAYS</v>
      </c>
      <c r="M207" s="195" t="str">
        <f t="shared" si="5"/>
        <v>2023PUBLIC HOLIDAYS</v>
      </c>
    </row>
    <row r="208" spans="3:13" x14ac:dyDescent="0.25">
      <c r="C208" s="294" t="s">
        <v>762</v>
      </c>
      <c r="D208" s="312">
        <v>2023</v>
      </c>
      <c r="E208" s="122" t="s">
        <v>247</v>
      </c>
      <c r="F208" s="122" t="b">
        <v>0</v>
      </c>
      <c r="G208" s="122" t="b">
        <v>0</v>
      </c>
      <c r="H208" s="122" t="b">
        <v>0</v>
      </c>
      <c r="I208" s="122">
        <v>50.37</v>
      </c>
      <c r="J208" s="122">
        <v>74</v>
      </c>
      <c r="L208" t="str">
        <f t="shared" si="4"/>
        <v>WEEKENDS</v>
      </c>
      <c r="M208" s="195" t="str">
        <f t="shared" si="5"/>
        <v>2023WEEKENDS</v>
      </c>
    </row>
    <row r="209" spans="3:13" x14ac:dyDescent="0.25">
      <c r="C209" s="294" t="s">
        <v>762</v>
      </c>
      <c r="D209" s="312">
        <v>2023</v>
      </c>
      <c r="E209" s="122" t="s">
        <v>247</v>
      </c>
      <c r="F209" s="122" t="b">
        <v>0</v>
      </c>
      <c r="G209" s="122" t="b">
        <v>1</v>
      </c>
      <c r="H209" s="122" t="b">
        <v>0</v>
      </c>
      <c r="I209" s="122">
        <v>50.52</v>
      </c>
      <c r="J209" s="122">
        <v>28</v>
      </c>
      <c r="L209" t="str">
        <f t="shared" ref="L209:L270" si="6">IF($H209,"PUBLIC HOLIDAYS",IF(NOT($F209),"WEEKENDS",IF($E209="AM Peak","AM PEAK",IF($E209="PM Peak","PM PEAK","OFF PEAK"))))</f>
        <v>WEEKENDS</v>
      </c>
      <c r="M209" s="195" t="str">
        <f t="shared" ref="M209:M270" si="7">D209&amp;L209</f>
        <v>2023WEEKENDS</v>
      </c>
    </row>
    <row r="210" spans="3:13" x14ac:dyDescent="0.25">
      <c r="C210" s="294" t="s">
        <v>762</v>
      </c>
      <c r="D210" s="312">
        <v>2023</v>
      </c>
      <c r="E210" s="122" t="s">
        <v>247</v>
      </c>
      <c r="F210" s="122" t="b">
        <v>0</v>
      </c>
      <c r="G210" s="122" t="b">
        <v>1</v>
      </c>
      <c r="H210" s="122" t="b">
        <v>1</v>
      </c>
      <c r="I210" s="122">
        <v>51.35</v>
      </c>
      <c r="J210" s="122">
        <v>3</v>
      </c>
      <c r="L210" t="str">
        <f t="shared" si="6"/>
        <v>PUBLIC HOLIDAYS</v>
      </c>
      <c r="M210" s="195" t="str">
        <f t="shared" si="7"/>
        <v>2023PUBLIC HOLIDAYS</v>
      </c>
    </row>
    <row r="211" spans="3:13" x14ac:dyDescent="0.25">
      <c r="C211" s="294" t="s">
        <v>762</v>
      </c>
      <c r="D211" s="312">
        <v>2023</v>
      </c>
      <c r="E211" s="122" t="s">
        <v>247</v>
      </c>
      <c r="F211" s="122" t="b">
        <v>1</v>
      </c>
      <c r="G211" s="122" t="b">
        <v>0</v>
      </c>
      <c r="H211" s="122" t="b">
        <v>0</v>
      </c>
      <c r="I211" s="122">
        <v>44.23</v>
      </c>
      <c r="J211" s="122">
        <v>197</v>
      </c>
      <c r="L211" t="str">
        <f t="shared" si="6"/>
        <v>AM PEAK</v>
      </c>
      <c r="M211" s="195" t="str">
        <f t="shared" si="7"/>
        <v>2023AM PEAK</v>
      </c>
    </row>
    <row r="212" spans="3:13" x14ac:dyDescent="0.25">
      <c r="C212" s="294" t="s">
        <v>762</v>
      </c>
      <c r="D212" s="312">
        <v>2023</v>
      </c>
      <c r="E212" s="122" t="s">
        <v>247</v>
      </c>
      <c r="F212" s="122" t="b">
        <v>1</v>
      </c>
      <c r="G212" s="122" t="b">
        <v>0</v>
      </c>
      <c r="H212" s="122" t="b">
        <v>1</v>
      </c>
      <c r="I212" s="122">
        <v>48.36</v>
      </c>
      <c r="J212" s="122">
        <v>3</v>
      </c>
      <c r="L212" t="str">
        <f t="shared" si="6"/>
        <v>PUBLIC HOLIDAYS</v>
      </c>
      <c r="M212" s="195" t="str">
        <f t="shared" si="7"/>
        <v>2023PUBLIC HOLIDAYS</v>
      </c>
    </row>
    <row r="213" spans="3:13" x14ac:dyDescent="0.25">
      <c r="C213" s="294" t="s">
        <v>762</v>
      </c>
      <c r="D213" s="312">
        <v>2023</v>
      </c>
      <c r="E213" s="122" t="s">
        <v>247</v>
      </c>
      <c r="F213" s="122" t="b">
        <v>1</v>
      </c>
      <c r="G213" s="122" t="b">
        <v>1</v>
      </c>
      <c r="H213" s="122" t="b">
        <v>0</v>
      </c>
      <c r="I213" s="122">
        <v>46.38</v>
      </c>
      <c r="J213" s="122">
        <v>54</v>
      </c>
      <c r="L213" t="str">
        <f t="shared" si="6"/>
        <v>AM PEAK</v>
      </c>
      <c r="M213" s="195" t="str">
        <f t="shared" si="7"/>
        <v>2023AM PEAK</v>
      </c>
    </row>
    <row r="214" spans="3:13" x14ac:dyDescent="0.25">
      <c r="C214" s="294" t="s">
        <v>762</v>
      </c>
      <c r="D214" s="312">
        <v>2023</v>
      </c>
      <c r="E214" s="122" t="s">
        <v>247</v>
      </c>
      <c r="F214" s="122" t="b">
        <v>1</v>
      </c>
      <c r="G214" s="122" t="b">
        <v>1</v>
      </c>
      <c r="H214" s="122" t="b">
        <v>1</v>
      </c>
      <c r="I214" s="122">
        <v>48.31</v>
      </c>
      <c r="J214" s="122">
        <v>6</v>
      </c>
      <c r="L214" t="str">
        <f t="shared" si="6"/>
        <v>PUBLIC HOLIDAYS</v>
      </c>
      <c r="M214" s="195" t="str">
        <f t="shared" si="7"/>
        <v>2023PUBLIC HOLIDAYS</v>
      </c>
    </row>
    <row r="215" spans="3:13" x14ac:dyDescent="0.25">
      <c r="C215" s="294" t="s">
        <v>762</v>
      </c>
      <c r="D215" s="312">
        <v>2023</v>
      </c>
      <c r="E215" s="122" t="s">
        <v>764</v>
      </c>
      <c r="F215" s="122" t="b">
        <v>0</v>
      </c>
      <c r="G215" s="122" t="b">
        <v>0</v>
      </c>
      <c r="H215" s="122" t="b">
        <v>0</v>
      </c>
      <c r="I215" s="122">
        <v>45.68</v>
      </c>
      <c r="J215" s="122">
        <v>74</v>
      </c>
      <c r="L215" t="str">
        <f t="shared" si="6"/>
        <v>WEEKENDS</v>
      </c>
      <c r="M215" s="195" t="str">
        <f t="shared" si="7"/>
        <v>2023WEEKENDS</v>
      </c>
    </row>
    <row r="216" spans="3:13" x14ac:dyDescent="0.25">
      <c r="C216" s="294" t="s">
        <v>762</v>
      </c>
      <c r="D216" s="312">
        <v>2023</v>
      </c>
      <c r="E216" s="122" t="s">
        <v>764</v>
      </c>
      <c r="F216" s="122" t="b">
        <v>0</v>
      </c>
      <c r="G216" s="122" t="b">
        <v>1</v>
      </c>
      <c r="H216" s="122" t="b">
        <v>0</v>
      </c>
      <c r="I216" s="122">
        <v>46.22</v>
      </c>
      <c r="J216" s="122">
        <v>28</v>
      </c>
      <c r="L216" t="str">
        <f t="shared" si="6"/>
        <v>WEEKENDS</v>
      </c>
      <c r="M216" s="195" t="str">
        <f t="shared" si="7"/>
        <v>2023WEEKENDS</v>
      </c>
    </row>
    <row r="217" spans="3:13" x14ac:dyDescent="0.25">
      <c r="C217" s="294" t="s">
        <v>762</v>
      </c>
      <c r="D217" s="312">
        <v>2023</v>
      </c>
      <c r="E217" s="122" t="s">
        <v>764</v>
      </c>
      <c r="F217" s="122" t="b">
        <v>0</v>
      </c>
      <c r="G217" s="122" t="b">
        <v>1</v>
      </c>
      <c r="H217" s="122" t="b">
        <v>1</v>
      </c>
      <c r="I217" s="122">
        <v>47.09</v>
      </c>
      <c r="J217" s="122">
        <v>3</v>
      </c>
      <c r="L217" t="str">
        <f t="shared" si="6"/>
        <v>PUBLIC HOLIDAYS</v>
      </c>
      <c r="M217" s="195" t="str">
        <f t="shared" si="7"/>
        <v>2023PUBLIC HOLIDAYS</v>
      </c>
    </row>
    <row r="218" spans="3:13" x14ac:dyDescent="0.25">
      <c r="C218" s="294" t="s">
        <v>762</v>
      </c>
      <c r="D218" s="312">
        <v>2023</v>
      </c>
      <c r="E218" s="122" t="s">
        <v>764</v>
      </c>
      <c r="F218" s="122" t="b">
        <v>1</v>
      </c>
      <c r="G218" s="122" t="b">
        <v>0</v>
      </c>
      <c r="H218" s="122" t="b">
        <v>0</v>
      </c>
      <c r="I218" s="122">
        <v>44.59</v>
      </c>
      <c r="J218" s="122">
        <v>197</v>
      </c>
      <c r="L218" t="str">
        <f t="shared" si="6"/>
        <v>OFF PEAK</v>
      </c>
      <c r="M218" s="195" t="str">
        <f t="shared" si="7"/>
        <v>2023OFF PEAK</v>
      </c>
    </row>
    <row r="219" spans="3:13" x14ac:dyDescent="0.25">
      <c r="C219" s="294" t="s">
        <v>762</v>
      </c>
      <c r="D219" s="312">
        <v>2023</v>
      </c>
      <c r="E219" s="122" t="s">
        <v>764</v>
      </c>
      <c r="F219" s="122" t="b">
        <v>1</v>
      </c>
      <c r="G219" s="122" t="b">
        <v>0</v>
      </c>
      <c r="H219" s="122" t="b">
        <v>1</v>
      </c>
      <c r="I219" s="122">
        <v>45.7</v>
      </c>
      <c r="J219" s="122">
        <v>3</v>
      </c>
      <c r="L219" t="str">
        <f t="shared" si="6"/>
        <v>PUBLIC HOLIDAYS</v>
      </c>
      <c r="M219" s="195" t="str">
        <f t="shared" si="7"/>
        <v>2023PUBLIC HOLIDAYS</v>
      </c>
    </row>
    <row r="220" spans="3:13" x14ac:dyDescent="0.25">
      <c r="C220" s="294" t="s">
        <v>762</v>
      </c>
      <c r="D220" s="312">
        <v>2023</v>
      </c>
      <c r="E220" s="122" t="s">
        <v>764</v>
      </c>
      <c r="F220" s="122" t="b">
        <v>1</v>
      </c>
      <c r="G220" s="122" t="b">
        <v>1</v>
      </c>
      <c r="H220" s="122" t="b">
        <v>0</v>
      </c>
      <c r="I220" s="122">
        <v>44.55</v>
      </c>
      <c r="J220" s="122">
        <v>54</v>
      </c>
      <c r="L220" t="str">
        <f t="shared" si="6"/>
        <v>OFF PEAK</v>
      </c>
      <c r="M220" s="195" t="str">
        <f t="shared" si="7"/>
        <v>2023OFF PEAK</v>
      </c>
    </row>
    <row r="221" spans="3:13" x14ac:dyDescent="0.25">
      <c r="C221" s="294" t="s">
        <v>762</v>
      </c>
      <c r="D221" s="312">
        <v>2023</v>
      </c>
      <c r="E221" s="122" t="s">
        <v>764</v>
      </c>
      <c r="F221" s="122" t="b">
        <v>1</v>
      </c>
      <c r="G221" s="122" t="b">
        <v>1</v>
      </c>
      <c r="H221" s="122" t="b">
        <v>1</v>
      </c>
      <c r="I221" s="122">
        <v>45.61</v>
      </c>
      <c r="J221" s="122">
        <v>6</v>
      </c>
      <c r="L221" t="str">
        <f t="shared" si="6"/>
        <v>PUBLIC HOLIDAYS</v>
      </c>
      <c r="M221" s="195" t="str">
        <f t="shared" si="7"/>
        <v>2023PUBLIC HOLIDAYS</v>
      </c>
    </row>
    <row r="222" spans="3:13" x14ac:dyDescent="0.25">
      <c r="C222" s="294" t="s">
        <v>762</v>
      </c>
      <c r="D222" s="312">
        <v>2023</v>
      </c>
      <c r="E222" s="122" t="s">
        <v>765</v>
      </c>
      <c r="F222" s="122" t="b">
        <v>0</v>
      </c>
      <c r="G222" s="122" t="b">
        <v>0</v>
      </c>
      <c r="H222" s="122" t="b">
        <v>0</v>
      </c>
      <c r="I222" s="122">
        <v>50.76</v>
      </c>
      <c r="J222" s="122">
        <v>74</v>
      </c>
      <c r="L222" t="str">
        <f t="shared" si="6"/>
        <v>WEEKENDS</v>
      </c>
      <c r="M222" s="195" t="str">
        <f t="shared" si="7"/>
        <v>2023WEEKENDS</v>
      </c>
    </row>
    <row r="223" spans="3:13" x14ac:dyDescent="0.25">
      <c r="C223" s="294" t="s">
        <v>762</v>
      </c>
      <c r="D223" s="312">
        <v>2023</v>
      </c>
      <c r="E223" s="122" t="s">
        <v>765</v>
      </c>
      <c r="F223" s="122" t="b">
        <v>0</v>
      </c>
      <c r="G223" s="122" t="b">
        <v>1</v>
      </c>
      <c r="H223" s="122" t="b">
        <v>0</v>
      </c>
      <c r="I223" s="122">
        <v>50.88</v>
      </c>
      <c r="J223" s="122">
        <v>28</v>
      </c>
      <c r="L223" t="str">
        <f t="shared" si="6"/>
        <v>WEEKENDS</v>
      </c>
      <c r="M223" s="195" t="str">
        <f t="shared" si="7"/>
        <v>2023WEEKENDS</v>
      </c>
    </row>
    <row r="224" spans="3:13" x14ac:dyDescent="0.25">
      <c r="C224" s="294" t="s">
        <v>762</v>
      </c>
      <c r="D224" s="312">
        <v>2023</v>
      </c>
      <c r="E224" s="122" t="s">
        <v>765</v>
      </c>
      <c r="F224" s="122" t="b">
        <v>0</v>
      </c>
      <c r="G224" s="122" t="b">
        <v>1</v>
      </c>
      <c r="H224" s="122" t="b">
        <v>1</v>
      </c>
      <c r="I224" s="122">
        <v>51.41</v>
      </c>
      <c r="J224" s="122">
        <v>3</v>
      </c>
      <c r="L224" t="str">
        <f t="shared" si="6"/>
        <v>PUBLIC HOLIDAYS</v>
      </c>
      <c r="M224" s="195" t="str">
        <f t="shared" si="7"/>
        <v>2023PUBLIC HOLIDAYS</v>
      </c>
    </row>
    <row r="225" spans="3:13" x14ac:dyDescent="0.25">
      <c r="C225" s="294" t="s">
        <v>762</v>
      </c>
      <c r="D225" s="312">
        <v>2023</v>
      </c>
      <c r="E225" s="122" t="s">
        <v>765</v>
      </c>
      <c r="F225" s="122" t="b">
        <v>1</v>
      </c>
      <c r="G225" s="122" t="b">
        <v>0</v>
      </c>
      <c r="H225" s="122" t="b">
        <v>0</v>
      </c>
      <c r="I225" s="122">
        <v>49.3</v>
      </c>
      <c r="J225" s="122">
        <v>197</v>
      </c>
      <c r="L225" t="str">
        <f t="shared" si="6"/>
        <v>OFF PEAK</v>
      </c>
      <c r="M225" s="195" t="str">
        <f t="shared" si="7"/>
        <v>2023OFF PEAK</v>
      </c>
    </row>
    <row r="226" spans="3:13" x14ac:dyDescent="0.25">
      <c r="C226" s="294" t="s">
        <v>762</v>
      </c>
      <c r="D226" s="312">
        <v>2023</v>
      </c>
      <c r="E226" s="122" t="s">
        <v>765</v>
      </c>
      <c r="F226" s="122" t="b">
        <v>1</v>
      </c>
      <c r="G226" s="122" t="b">
        <v>0</v>
      </c>
      <c r="H226" s="122" t="b">
        <v>1</v>
      </c>
      <c r="I226" s="122">
        <v>50.25</v>
      </c>
      <c r="J226" s="122">
        <v>3</v>
      </c>
      <c r="L226" t="str">
        <f t="shared" si="6"/>
        <v>PUBLIC HOLIDAYS</v>
      </c>
      <c r="M226" s="195" t="str">
        <f t="shared" si="7"/>
        <v>2023PUBLIC HOLIDAYS</v>
      </c>
    </row>
    <row r="227" spans="3:13" x14ac:dyDescent="0.25">
      <c r="C227" s="294" t="s">
        <v>762</v>
      </c>
      <c r="D227" s="312">
        <v>2023</v>
      </c>
      <c r="E227" s="122" t="s">
        <v>765</v>
      </c>
      <c r="F227" s="122" t="b">
        <v>1</v>
      </c>
      <c r="G227" s="122" t="b">
        <v>1</v>
      </c>
      <c r="H227" s="122" t="b">
        <v>0</v>
      </c>
      <c r="I227" s="122">
        <v>49.44</v>
      </c>
      <c r="J227" s="122">
        <v>54</v>
      </c>
      <c r="L227" t="str">
        <f t="shared" si="6"/>
        <v>OFF PEAK</v>
      </c>
      <c r="M227" s="195" t="str">
        <f t="shared" si="7"/>
        <v>2023OFF PEAK</v>
      </c>
    </row>
    <row r="228" spans="3:13" x14ac:dyDescent="0.25">
      <c r="C228" s="294" t="s">
        <v>762</v>
      </c>
      <c r="D228" s="312">
        <v>2023</v>
      </c>
      <c r="E228" s="122" t="s">
        <v>765</v>
      </c>
      <c r="F228" s="122" t="b">
        <v>1</v>
      </c>
      <c r="G228" s="122" t="b">
        <v>1</v>
      </c>
      <c r="H228" s="122" t="b">
        <v>1</v>
      </c>
      <c r="I228" s="122">
        <v>50.23</v>
      </c>
      <c r="J228" s="122">
        <v>6</v>
      </c>
      <c r="L228" t="str">
        <f t="shared" si="6"/>
        <v>PUBLIC HOLIDAYS</v>
      </c>
      <c r="M228" s="195" t="str">
        <f t="shared" si="7"/>
        <v>2023PUBLIC HOLIDAYS</v>
      </c>
    </row>
    <row r="229" spans="3:13" x14ac:dyDescent="0.25">
      <c r="C229" s="294" t="s">
        <v>762</v>
      </c>
      <c r="D229" s="312">
        <v>2023</v>
      </c>
      <c r="E229" s="122" t="s">
        <v>250</v>
      </c>
      <c r="F229" s="122" t="b">
        <v>0</v>
      </c>
      <c r="G229" s="122" t="b">
        <v>0</v>
      </c>
      <c r="H229" s="122" t="b">
        <v>0</v>
      </c>
      <c r="I229" s="122">
        <v>47.04</v>
      </c>
      <c r="J229" s="122">
        <v>74</v>
      </c>
      <c r="L229" t="str">
        <f t="shared" si="6"/>
        <v>WEEKENDS</v>
      </c>
      <c r="M229" s="195" t="str">
        <f t="shared" si="7"/>
        <v>2023WEEKENDS</v>
      </c>
    </row>
    <row r="230" spans="3:13" x14ac:dyDescent="0.25">
      <c r="C230" s="294" t="s">
        <v>762</v>
      </c>
      <c r="D230" s="312">
        <v>2023</v>
      </c>
      <c r="E230" s="122" t="s">
        <v>250</v>
      </c>
      <c r="F230" s="122" t="b">
        <v>0</v>
      </c>
      <c r="G230" s="122" t="b">
        <v>1</v>
      </c>
      <c r="H230" s="122" t="b">
        <v>0</v>
      </c>
      <c r="I230" s="122">
        <v>47.32</v>
      </c>
      <c r="J230" s="122">
        <v>28</v>
      </c>
      <c r="L230" t="str">
        <f t="shared" si="6"/>
        <v>WEEKENDS</v>
      </c>
      <c r="M230" s="195" t="str">
        <f t="shared" si="7"/>
        <v>2023WEEKENDS</v>
      </c>
    </row>
    <row r="231" spans="3:13" x14ac:dyDescent="0.25">
      <c r="C231" s="294" t="s">
        <v>762</v>
      </c>
      <c r="D231" s="312">
        <v>2023</v>
      </c>
      <c r="E231" s="122" t="s">
        <v>250</v>
      </c>
      <c r="F231" s="122" t="b">
        <v>0</v>
      </c>
      <c r="G231" s="122" t="b">
        <v>1</v>
      </c>
      <c r="H231" s="122" t="b">
        <v>1</v>
      </c>
      <c r="I231" s="122">
        <v>47.88</v>
      </c>
      <c r="J231" s="122">
        <v>3</v>
      </c>
      <c r="L231" t="str">
        <f t="shared" si="6"/>
        <v>PUBLIC HOLIDAYS</v>
      </c>
      <c r="M231" s="195" t="str">
        <f t="shared" si="7"/>
        <v>2023PUBLIC HOLIDAYS</v>
      </c>
    </row>
    <row r="232" spans="3:13" x14ac:dyDescent="0.25">
      <c r="C232" s="294" t="s">
        <v>762</v>
      </c>
      <c r="D232" s="312">
        <v>2023</v>
      </c>
      <c r="E232" s="122" t="s">
        <v>250</v>
      </c>
      <c r="F232" s="122" t="b">
        <v>1</v>
      </c>
      <c r="G232" s="122" t="b">
        <v>0</v>
      </c>
      <c r="H232" s="122" t="b">
        <v>0</v>
      </c>
      <c r="I232" s="122">
        <v>42.61</v>
      </c>
      <c r="J232" s="122">
        <v>197</v>
      </c>
      <c r="L232" t="str">
        <f t="shared" si="6"/>
        <v>PM PEAK</v>
      </c>
      <c r="M232" s="195" t="str">
        <f t="shared" si="7"/>
        <v>2023PM PEAK</v>
      </c>
    </row>
    <row r="233" spans="3:13" x14ac:dyDescent="0.25">
      <c r="C233" s="294" t="s">
        <v>762</v>
      </c>
      <c r="D233" s="312">
        <v>2023</v>
      </c>
      <c r="E233" s="122" t="s">
        <v>250</v>
      </c>
      <c r="F233" s="122" t="b">
        <v>1</v>
      </c>
      <c r="G233" s="122" t="b">
        <v>0</v>
      </c>
      <c r="H233" s="122" t="b">
        <v>1</v>
      </c>
      <c r="I233" s="122">
        <v>45.64</v>
      </c>
      <c r="J233" s="122">
        <v>3</v>
      </c>
      <c r="L233" t="str">
        <f t="shared" si="6"/>
        <v>PUBLIC HOLIDAYS</v>
      </c>
      <c r="M233" s="195" t="str">
        <f t="shared" si="7"/>
        <v>2023PUBLIC HOLIDAYS</v>
      </c>
    </row>
    <row r="234" spans="3:13" x14ac:dyDescent="0.25">
      <c r="C234" s="294" t="s">
        <v>762</v>
      </c>
      <c r="D234" s="312">
        <v>2023</v>
      </c>
      <c r="E234" s="122" t="s">
        <v>250</v>
      </c>
      <c r="F234" s="122" t="b">
        <v>1</v>
      </c>
      <c r="G234" s="122" t="b">
        <v>1</v>
      </c>
      <c r="H234" s="122" t="b">
        <v>0</v>
      </c>
      <c r="I234" s="122">
        <v>44.17</v>
      </c>
      <c r="J234" s="122">
        <v>54</v>
      </c>
      <c r="L234" t="str">
        <f t="shared" si="6"/>
        <v>PM PEAK</v>
      </c>
      <c r="M234" s="195" t="str">
        <f t="shared" si="7"/>
        <v>2023PM PEAK</v>
      </c>
    </row>
    <row r="235" spans="3:13" x14ac:dyDescent="0.25">
      <c r="C235" s="294" t="s">
        <v>762</v>
      </c>
      <c r="D235" s="312">
        <v>2023</v>
      </c>
      <c r="E235" s="122" t="s">
        <v>250</v>
      </c>
      <c r="F235" s="122" t="b">
        <v>1</v>
      </c>
      <c r="G235" s="122" t="b">
        <v>1</v>
      </c>
      <c r="H235" s="122" t="b">
        <v>1</v>
      </c>
      <c r="I235" s="122">
        <v>45.85</v>
      </c>
      <c r="J235" s="122">
        <v>6</v>
      </c>
      <c r="L235" t="str">
        <f t="shared" si="6"/>
        <v>PUBLIC HOLIDAYS</v>
      </c>
      <c r="M235" s="195" t="str">
        <f t="shared" si="7"/>
        <v>2023PUBLIC HOLIDAYS</v>
      </c>
    </row>
    <row r="236" spans="3:13" x14ac:dyDescent="0.25">
      <c r="C236" s="294" t="s">
        <v>762</v>
      </c>
      <c r="D236" s="312">
        <v>2024</v>
      </c>
      <c r="E236" s="122" t="s">
        <v>763</v>
      </c>
      <c r="F236" s="122" t="b">
        <v>0</v>
      </c>
      <c r="G236" s="122" t="b">
        <v>0</v>
      </c>
      <c r="H236" s="122" t="b">
        <v>0</v>
      </c>
      <c r="I236" s="122">
        <v>54.69</v>
      </c>
      <c r="J236" s="122">
        <v>22</v>
      </c>
      <c r="L236" t="str">
        <f t="shared" si="6"/>
        <v>WEEKENDS</v>
      </c>
      <c r="M236" s="195" t="str">
        <f t="shared" si="7"/>
        <v>2024WEEKENDS</v>
      </c>
    </row>
    <row r="237" spans="3:13" x14ac:dyDescent="0.25">
      <c r="C237" s="294" t="s">
        <v>762</v>
      </c>
      <c r="D237" s="312">
        <v>2024</v>
      </c>
      <c r="E237" s="122" t="s">
        <v>763</v>
      </c>
      <c r="F237" s="122" t="b">
        <v>0</v>
      </c>
      <c r="G237" s="122" t="b">
        <v>0</v>
      </c>
      <c r="H237" s="122" t="b">
        <v>1</v>
      </c>
      <c r="I237" s="122">
        <v>55.19</v>
      </c>
      <c r="J237" s="122">
        <v>2</v>
      </c>
      <c r="L237" t="str">
        <f t="shared" si="6"/>
        <v>PUBLIC HOLIDAYS</v>
      </c>
      <c r="M237" s="195" t="str">
        <f t="shared" si="7"/>
        <v>2024PUBLIC HOLIDAYS</v>
      </c>
    </row>
    <row r="238" spans="3:13" x14ac:dyDescent="0.25">
      <c r="C238" s="294" t="s">
        <v>762</v>
      </c>
      <c r="D238" s="312">
        <v>2024</v>
      </c>
      <c r="E238" s="122" t="s">
        <v>763</v>
      </c>
      <c r="F238" s="122" t="b">
        <v>0</v>
      </c>
      <c r="G238" s="122" t="b">
        <v>1</v>
      </c>
      <c r="H238" s="122" t="b">
        <v>0</v>
      </c>
      <c r="I238" s="122">
        <v>54.86</v>
      </c>
      <c r="J238" s="122">
        <v>10</v>
      </c>
      <c r="L238" t="str">
        <f t="shared" si="6"/>
        <v>WEEKENDS</v>
      </c>
      <c r="M238" s="195" t="str">
        <f t="shared" si="7"/>
        <v>2024WEEKENDS</v>
      </c>
    </row>
    <row r="239" spans="3:13" x14ac:dyDescent="0.25">
      <c r="C239" s="294" t="s">
        <v>762</v>
      </c>
      <c r="D239" s="312">
        <v>2024</v>
      </c>
      <c r="E239" s="122" t="s">
        <v>763</v>
      </c>
      <c r="F239" s="122" t="b">
        <v>1</v>
      </c>
      <c r="G239" s="122" t="b">
        <v>0</v>
      </c>
      <c r="H239" s="122" t="b">
        <v>0</v>
      </c>
      <c r="I239" s="122">
        <v>53.53</v>
      </c>
      <c r="J239" s="122">
        <v>54</v>
      </c>
      <c r="L239" t="str">
        <f t="shared" si="6"/>
        <v>OFF PEAK</v>
      </c>
      <c r="M239" s="195" t="str">
        <f t="shared" si="7"/>
        <v>2024OFF PEAK</v>
      </c>
    </row>
    <row r="240" spans="3:13" x14ac:dyDescent="0.25">
      <c r="C240" s="294" t="s">
        <v>762</v>
      </c>
      <c r="D240" s="312">
        <v>2024</v>
      </c>
      <c r="E240" s="122" t="s">
        <v>763</v>
      </c>
      <c r="F240" s="122" t="b">
        <v>1</v>
      </c>
      <c r="G240" s="122" t="b">
        <v>0</v>
      </c>
      <c r="H240" s="122" t="b">
        <v>1</v>
      </c>
      <c r="I240" s="122">
        <v>54.4</v>
      </c>
      <c r="J240" s="122">
        <v>2</v>
      </c>
      <c r="L240" t="str">
        <f t="shared" si="6"/>
        <v>PUBLIC HOLIDAYS</v>
      </c>
      <c r="M240" s="195" t="str">
        <f t="shared" si="7"/>
        <v>2024PUBLIC HOLIDAYS</v>
      </c>
    </row>
    <row r="241" spans="3:13" x14ac:dyDescent="0.25">
      <c r="C241" s="294" t="s">
        <v>762</v>
      </c>
      <c r="D241" s="312">
        <v>2024</v>
      </c>
      <c r="E241" s="122" t="s">
        <v>763</v>
      </c>
      <c r="F241" s="122" t="b">
        <v>1</v>
      </c>
      <c r="G241" s="122" t="b">
        <v>1</v>
      </c>
      <c r="H241" s="122" t="b">
        <v>0</v>
      </c>
      <c r="I241" s="122">
        <v>53.91</v>
      </c>
      <c r="J241" s="122">
        <v>28</v>
      </c>
      <c r="L241" t="str">
        <f t="shared" si="6"/>
        <v>OFF PEAK</v>
      </c>
      <c r="M241" s="195" t="str">
        <f t="shared" si="7"/>
        <v>2024OFF PEAK</v>
      </c>
    </row>
    <row r="242" spans="3:13" x14ac:dyDescent="0.25">
      <c r="C242" s="294" t="s">
        <v>762</v>
      </c>
      <c r="D242" s="312">
        <v>2024</v>
      </c>
      <c r="E242" s="122" t="s">
        <v>763</v>
      </c>
      <c r="F242" s="122" t="b">
        <v>1</v>
      </c>
      <c r="G242" s="122" t="b">
        <v>1</v>
      </c>
      <c r="H242" s="122" t="b">
        <v>1</v>
      </c>
      <c r="I242" s="122">
        <v>54.29</v>
      </c>
      <c r="J242" s="122">
        <v>3</v>
      </c>
      <c r="L242" t="str">
        <f t="shared" si="6"/>
        <v>PUBLIC HOLIDAYS</v>
      </c>
      <c r="M242" s="195" t="str">
        <f t="shared" si="7"/>
        <v>2024PUBLIC HOLIDAYS</v>
      </c>
    </row>
    <row r="243" spans="3:13" x14ac:dyDescent="0.25">
      <c r="C243" s="294" t="s">
        <v>762</v>
      </c>
      <c r="D243" s="312">
        <v>2024</v>
      </c>
      <c r="E243" s="122" t="s">
        <v>247</v>
      </c>
      <c r="F243" s="122" t="b">
        <v>0</v>
      </c>
      <c r="G243" s="122" t="b">
        <v>0</v>
      </c>
      <c r="H243" s="122" t="b">
        <v>0</v>
      </c>
      <c r="I243" s="122">
        <v>50.11</v>
      </c>
      <c r="J243" s="122">
        <v>22</v>
      </c>
      <c r="L243" t="str">
        <f t="shared" si="6"/>
        <v>WEEKENDS</v>
      </c>
      <c r="M243" s="195" t="str">
        <f t="shared" si="7"/>
        <v>2024WEEKENDS</v>
      </c>
    </row>
    <row r="244" spans="3:13" x14ac:dyDescent="0.25">
      <c r="C244" s="294" t="s">
        <v>762</v>
      </c>
      <c r="D244" s="312">
        <v>2024</v>
      </c>
      <c r="E244" s="122" t="s">
        <v>247</v>
      </c>
      <c r="F244" s="122" t="b">
        <v>0</v>
      </c>
      <c r="G244" s="122" t="b">
        <v>0</v>
      </c>
      <c r="H244" s="122" t="b">
        <v>1</v>
      </c>
      <c r="I244" s="122">
        <v>50.83</v>
      </c>
      <c r="J244" s="122">
        <v>2</v>
      </c>
      <c r="L244" t="str">
        <f t="shared" si="6"/>
        <v>PUBLIC HOLIDAYS</v>
      </c>
      <c r="M244" s="195" t="str">
        <f t="shared" si="7"/>
        <v>2024PUBLIC HOLIDAYS</v>
      </c>
    </row>
    <row r="245" spans="3:13" x14ac:dyDescent="0.25">
      <c r="C245" s="294" t="s">
        <v>762</v>
      </c>
      <c r="D245" s="312">
        <v>2024</v>
      </c>
      <c r="E245" s="122" t="s">
        <v>247</v>
      </c>
      <c r="F245" s="122" t="b">
        <v>0</v>
      </c>
      <c r="G245" s="122" t="b">
        <v>1</v>
      </c>
      <c r="H245" s="122" t="b">
        <v>0</v>
      </c>
      <c r="I245" s="122">
        <v>50.53</v>
      </c>
      <c r="J245" s="122">
        <v>10</v>
      </c>
      <c r="L245" t="str">
        <f t="shared" si="6"/>
        <v>WEEKENDS</v>
      </c>
      <c r="M245" s="195" t="str">
        <f t="shared" si="7"/>
        <v>2024WEEKENDS</v>
      </c>
    </row>
    <row r="246" spans="3:13" x14ac:dyDescent="0.25">
      <c r="C246" s="294" t="s">
        <v>762</v>
      </c>
      <c r="D246" s="312">
        <v>2024</v>
      </c>
      <c r="E246" s="122" t="s">
        <v>247</v>
      </c>
      <c r="F246" s="122" t="b">
        <v>1</v>
      </c>
      <c r="G246" s="122" t="b">
        <v>0</v>
      </c>
      <c r="H246" s="122" t="b">
        <v>0</v>
      </c>
      <c r="I246" s="122">
        <v>43.58</v>
      </c>
      <c r="J246" s="122">
        <v>54</v>
      </c>
      <c r="L246" t="str">
        <f t="shared" si="6"/>
        <v>AM PEAK</v>
      </c>
      <c r="M246" s="195" t="str">
        <f t="shared" si="7"/>
        <v>2024AM PEAK</v>
      </c>
    </row>
    <row r="247" spans="3:13" x14ac:dyDescent="0.25">
      <c r="C247" s="294" t="s">
        <v>762</v>
      </c>
      <c r="D247" s="312">
        <v>2024</v>
      </c>
      <c r="E247" s="122" t="s">
        <v>247</v>
      </c>
      <c r="F247" s="122" t="b">
        <v>1</v>
      </c>
      <c r="G247" s="122" t="b">
        <v>0</v>
      </c>
      <c r="H247" s="122" t="b">
        <v>1</v>
      </c>
      <c r="I247" s="122">
        <v>47.51</v>
      </c>
      <c r="J247" s="122">
        <v>2</v>
      </c>
      <c r="L247" t="str">
        <f t="shared" si="6"/>
        <v>PUBLIC HOLIDAYS</v>
      </c>
      <c r="M247" s="195" t="str">
        <f t="shared" si="7"/>
        <v>2024PUBLIC HOLIDAYS</v>
      </c>
    </row>
    <row r="248" spans="3:13" x14ac:dyDescent="0.25">
      <c r="C248" s="294" t="s">
        <v>762</v>
      </c>
      <c r="D248" s="312">
        <v>2024</v>
      </c>
      <c r="E248" s="122" t="s">
        <v>247</v>
      </c>
      <c r="F248" s="122" t="b">
        <v>1</v>
      </c>
      <c r="G248" s="122" t="b">
        <v>1</v>
      </c>
      <c r="H248" s="122" t="b">
        <v>0</v>
      </c>
      <c r="I248" s="122">
        <v>46.44</v>
      </c>
      <c r="J248" s="122">
        <v>28</v>
      </c>
      <c r="L248" t="str">
        <f t="shared" si="6"/>
        <v>AM PEAK</v>
      </c>
      <c r="M248" s="195" t="str">
        <f t="shared" si="7"/>
        <v>2024AM PEAK</v>
      </c>
    </row>
    <row r="249" spans="3:13" x14ac:dyDescent="0.25">
      <c r="C249" s="294" t="s">
        <v>762</v>
      </c>
      <c r="D249" s="312">
        <v>2024</v>
      </c>
      <c r="E249" s="122" t="s">
        <v>247</v>
      </c>
      <c r="F249" s="122" t="b">
        <v>1</v>
      </c>
      <c r="G249" s="122" t="b">
        <v>1</v>
      </c>
      <c r="H249" s="122" t="b">
        <v>1</v>
      </c>
      <c r="I249" s="122">
        <v>48.1</v>
      </c>
      <c r="J249" s="122">
        <v>3</v>
      </c>
      <c r="L249" t="str">
        <f t="shared" si="6"/>
        <v>PUBLIC HOLIDAYS</v>
      </c>
      <c r="M249" s="195" t="str">
        <f t="shared" si="7"/>
        <v>2024PUBLIC HOLIDAYS</v>
      </c>
    </row>
    <row r="250" spans="3:13" x14ac:dyDescent="0.25">
      <c r="C250" s="294" t="s">
        <v>762</v>
      </c>
      <c r="D250" s="312">
        <v>2024</v>
      </c>
      <c r="E250" s="122" t="s">
        <v>764</v>
      </c>
      <c r="F250" s="122" t="b">
        <v>0</v>
      </c>
      <c r="G250" s="122" t="b">
        <v>0</v>
      </c>
      <c r="H250" s="122" t="b">
        <v>0</v>
      </c>
      <c r="I250" s="122">
        <v>45.35</v>
      </c>
      <c r="J250" s="122">
        <v>22</v>
      </c>
      <c r="L250" t="str">
        <f t="shared" si="6"/>
        <v>WEEKENDS</v>
      </c>
      <c r="M250" s="195" t="str">
        <f t="shared" si="7"/>
        <v>2024WEEKENDS</v>
      </c>
    </row>
    <row r="251" spans="3:13" x14ac:dyDescent="0.25">
      <c r="C251" s="294" t="s">
        <v>762</v>
      </c>
      <c r="D251" s="312">
        <v>2024</v>
      </c>
      <c r="E251" s="122" t="s">
        <v>764</v>
      </c>
      <c r="F251" s="122" t="b">
        <v>0</v>
      </c>
      <c r="G251" s="122" t="b">
        <v>0</v>
      </c>
      <c r="H251" s="122" t="b">
        <v>1</v>
      </c>
      <c r="I251" s="122">
        <v>46.3</v>
      </c>
      <c r="J251" s="122">
        <v>2</v>
      </c>
      <c r="L251" t="str">
        <f t="shared" si="6"/>
        <v>PUBLIC HOLIDAYS</v>
      </c>
      <c r="M251" s="195" t="str">
        <f t="shared" si="7"/>
        <v>2024PUBLIC HOLIDAYS</v>
      </c>
    </row>
    <row r="252" spans="3:13" x14ac:dyDescent="0.25">
      <c r="C252" s="294" t="s">
        <v>762</v>
      </c>
      <c r="D252" s="312">
        <v>2024</v>
      </c>
      <c r="E252" s="122" t="s">
        <v>764</v>
      </c>
      <c r="F252" s="122" t="b">
        <v>0</v>
      </c>
      <c r="G252" s="122" t="b">
        <v>1</v>
      </c>
      <c r="H252" s="122" t="b">
        <v>0</v>
      </c>
      <c r="I252" s="122">
        <v>46.25</v>
      </c>
      <c r="J252" s="122">
        <v>10</v>
      </c>
      <c r="L252" t="str">
        <f t="shared" si="6"/>
        <v>WEEKENDS</v>
      </c>
      <c r="M252" s="195" t="str">
        <f t="shared" si="7"/>
        <v>2024WEEKENDS</v>
      </c>
    </row>
    <row r="253" spans="3:13" x14ac:dyDescent="0.25">
      <c r="C253" s="294" t="s">
        <v>762</v>
      </c>
      <c r="D253" s="312">
        <v>2024</v>
      </c>
      <c r="E253" s="122" t="s">
        <v>764</v>
      </c>
      <c r="F253" s="122" t="b">
        <v>1</v>
      </c>
      <c r="G253" s="122" t="b">
        <v>0</v>
      </c>
      <c r="H253" s="122" t="b">
        <v>0</v>
      </c>
      <c r="I253" s="122">
        <v>44.26</v>
      </c>
      <c r="J253" s="122">
        <v>54</v>
      </c>
      <c r="L253" t="str">
        <f t="shared" si="6"/>
        <v>OFF PEAK</v>
      </c>
      <c r="M253" s="195" t="str">
        <f t="shared" si="7"/>
        <v>2024OFF PEAK</v>
      </c>
    </row>
    <row r="254" spans="3:13" x14ac:dyDescent="0.25">
      <c r="C254" s="294" t="s">
        <v>762</v>
      </c>
      <c r="D254" s="312">
        <v>2024</v>
      </c>
      <c r="E254" s="122" t="s">
        <v>764</v>
      </c>
      <c r="F254" s="122" t="b">
        <v>1</v>
      </c>
      <c r="G254" s="122" t="b">
        <v>0</v>
      </c>
      <c r="H254" s="122" t="b">
        <v>1</v>
      </c>
      <c r="I254" s="122">
        <v>44.68</v>
      </c>
      <c r="J254" s="122">
        <v>2</v>
      </c>
      <c r="L254" t="str">
        <f t="shared" si="6"/>
        <v>PUBLIC HOLIDAYS</v>
      </c>
      <c r="M254" s="195" t="str">
        <f t="shared" si="7"/>
        <v>2024PUBLIC HOLIDAYS</v>
      </c>
    </row>
    <row r="255" spans="3:13" x14ac:dyDescent="0.25">
      <c r="C255" s="294" t="s">
        <v>762</v>
      </c>
      <c r="D255" s="312">
        <v>2024</v>
      </c>
      <c r="E255" s="122" t="s">
        <v>764</v>
      </c>
      <c r="F255" s="122" t="b">
        <v>1</v>
      </c>
      <c r="G255" s="122" t="b">
        <v>1</v>
      </c>
      <c r="H255" s="122" t="b">
        <v>0</v>
      </c>
      <c r="I255" s="122">
        <v>44.77</v>
      </c>
      <c r="J255" s="122">
        <v>28</v>
      </c>
      <c r="L255" t="str">
        <f t="shared" si="6"/>
        <v>OFF PEAK</v>
      </c>
      <c r="M255" s="195" t="str">
        <f t="shared" si="7"/>
        <v>2024OFF PEAK</v>
      </c>
    </row>
    <row r="256" spans="3:13" x14ac:dyDescent="0.25">
      <c r="C256" s="294" t="s">
        <v>762</v>
      </c>
      <c r="D256" s="312">
        <v>2024</v>
      </c>
      <c r="E256" s="122" t="s">
        <v>764</v>
      </c>
      <c r="F256" s="122" t="b">
        <v>1</v>
      </c>
      <c r="G256" s="122" t="b">
        <v>1</v>
      </c>
      <c r="H256" s="122" t="b">
        <v>1</v>
      </c>
      <c r="I256" s="122">
        <v>45.77</v>
      </c>
      <c r="J256" s="122">
        <v>3</v>
      </c>
      <c r="L256" t="str">
        <f t="shared" si="6"/>
        <v>PUBLIC HOLIDAYS</v>
      </c>
      <c r="M256" s="195" t="str">
        <f t="shared" si="7"/>
        <v>2024PUBLIC HOLIDAYS</v>
      </c>
    </row>
    <row r="257" spans="3:13" x14ac:dyDescent="0.25">
      <c r="C257" s="294" t="s">
        <v>762</v>
      </c>
      <c r="D257" s="312">
        <v>2024</v>
      </c>
      <c r="E257" s="122" t="s">
        <v>765</v>
      </c>
      <c r="F257" s="122" t="b">
        <v>0</v>
      </c>
      <c r="G257" s="122" t="b">
        <v>0</v>
      </c>
      <c r="H257" s="122" t="b">
        <v>0</v>
      </c>
      <c r="I257" s="122">
        <v>50.51</v>
      </c>
      <c r="J257" s="122">
        <v>22</v>
      </c>
      <c r="L257" t="str">
        <f t="shared" si="6"/>
        <v>WEEKENDS</v>
      </c>
      <c r="M257" s="195" t="str">
        <f t="shared" si="7"/>
        <v>2024WEEKENDS</v>
      </c>
    </row>
    <row r="258" spans="3:13" x14ac:dyDescent="0.25">
      <c r="C258" s="294" t="s">
        <v>762</v>
      </c>
      <c r="D258" s="312">
        <v>2024</v>
      </c>
      <c r="E258" s="122" t="s">
        <v>765</v>
      </c>
      <c r="F258" s="122" t="b">
        <v>0</v>
      </c>
      <c r="G258" s="122" t="b">
        <v>0</v>
      </c>
      <c r="H258" s="122" t="b">
        <v>1</v>
      </c>
      <c r="I258" s="122">
        <v>51.15</v>
      </c>
      <c r="J258" s="122">
        <v>2</v>
      </c>
      <c r="L258" t="str">
        <f t="shared" si="6"/>
        <v>PUBLIC HOLIDAYS</v>
      </c>
      <c r="M258" s="195" t="str">
        <f t="shared" si="7"/>
        <v>2024PUBLIC HOLIDAYS</v>
      </c>
    </row>
    <row r="259" spans="3:13" x14ac:dyDescent="0.25">
      <c r="C259" s="294" t="s">
        <v>762</v>
      </c>
      <c r="D259" s="312">
        <v>2024</v>
      </c>
      <c r="E259" s="122" t="s">
        <v>765</v>
      </c>
      <c r="F259" s="122" t="b">
        <v>0</v>
      </c>
      <c r="G259" s="122" t="b">
        <v>1</v>
      </c>
      <c r="H259" s="122" t="b">
        <v>0</v>
      </c>
      <c r="I259" s="122">
        <v>50.72</v>
      </c>
      <c r="J259" s="122">
        <v>10</v>
      </c>
      <c r="L259" t="str">
        <f t="shared" si="6"/>
        <v>WEEKENDS</v>
      </c>
      <c r="M259" s="195" t="str">
        <f t="shared" si="7"/>
        <v>2024WEEKENDS</v>
      </c>
    </row>
    <row r="260" spans="3:13" x14ac:dyDescent="0.25">
      <c r="C260" s="294" t="s">
        <v>762</v>
      </c>
      <c r="D260" s="312">
        <v>2024</v>
      </c>
      <c r="E260" s="122" t="s">
        <v>765</v>
      </c>
      <c r="F260" s="122" t="b">
        <v>1</v>
      </c>
      <c r="G260" s="122" t="b">
        <v>0</v>
      </c>
      <c r="H260" s="122" t="b">
        <v>0</v>
      </c>
      <c r="I260" s="122">
        <v>49.18</v>
      </c>
      <c r="J260" s="122">
        <v>54</v>
      </c>
      <c r="L260" t="str">
        <f t="shared" si="6"/>
        <v>OFF PEAK</v>
      </c>
      <c r="M260" s="195" t="str">
        <f t="shared" si="7"/>
        <v>2024OFF PEAK</v>
      </c>
    </row>
    <row r="261" spans="3:13" x14ac:dyDescent="0.25">
      <c r="C261" s="294" t="s">
        <v>762</v>
      </c>
      <c r="D261" s="312">
        <v>2024</v>
      </c>
      <c r="E261" s="122" t="s">
        <v>765</v>
      </c>
      <c r="F261" s="122" t="b">
        <v>1</v>
      </c>
      <c r="G261" s="122" t="b">
        <v>0</v>
      </c>
      <c r="H261" s="122" t="b">
        <v>1</v>
      </c>
      <c r="I261" s="122">
        <v>50.27</v>
      </c>
      <c r="J261" s="122">
        <v>2</v>
      </c>
      <c r="L261" t="str">
        <f t="shared" si="6"/>
        <v>PUBLIC HOLIDAYS</v>
      </c>
      <c r="M261" s="195" t="str">
        <f t="shared" si="7"/>
        <v>2024PUBLIC HOLIDAYS</v>
      </c>
    </row>
    <row r="262" spans="3:13" x14ac:dyDescent="0.25">
      <c r="C262" s="294" t="s">
        <v>762</v>
      </c>
      <c r="D262" s="312">
        <v>2024</v>
      </c>
      <c r="E262" s="122" t="s">
        <v>765</v>
      </c>
      <c r="F262" s="122" t="b">
        <v>1</v>
      </c>
      <c r="G262" s="122" t="b">
        <v>1</v>
      </c>
      <c r="H262" s="122" t="b">
        <v>0</v>
      </c>
      <c r="I262" s="122">
        <v>49.48</v>
      </c>
      <c r="J262" s="122">
        <v>28</v>
      </c>
      <c r="L262" t="str">
        <f t="shared" si="6"/>
        <v>OFF PEAK</v>
      </c>
      <c r="M262" s="195" t="str">
        <f t="shared" si="7"/>
        <v>2024OFF PEAK</v>
      </c>
    </row>
    <row r="263" spans="3:13" x14ac:dyDescent="0.25">
      <c r="C263" s="294" t="s">
        <v>762</v>
      </c>
      <c r="D263" s="312">
        <v>2024</v>
      </c>
      <c r="E263" s="122" t="s">
        <v>765</v>
      </c>
      <c r="F263" s="122" t="b">
        <v>1</v>
      </c>
      <c r="G263" s="122" t="b">
        <v>1</v>
      </c>
      <c r="H263" s="122" t="b">
        <v>1</v>
      </c>
      <c r="I263" s="122">
        <v>50.16</v>
      </c>
      <c r="J263" s="122">
        <v>3</v>
      </c>
      <c r="L263" t="str">
        <f t="shared" si="6"/>
        <v>PUBLIC HOLIDAYS</v>
      </c>
      <c r="M263" s="195" t="str">
        <f t="shared" si="7"/>
        <v>2024PUBLIC HOLIDAYS</v>
      </c>
    </row>
    <row r="264" spans="3:13" x14ac:dyDescent="0.25">
      <c r="C264" s="294" t="s">
        <v>762</v>
      </c>
      <c r="D264" s="312">
        <v>2024</v>
      </c>
      <c r="E264" s="122" t="s">
        <v>250</v>
      </c>
      <c r="F264" s="122" t="b">
        <v>0</v>
      </c>
      <c r="G264" s="122" t="b">
        <v>0</v>
      </c>
      <c r="H264" s="122" t="b">
        <v>0</v>
      </c>
      <c r="I264" s="122">
        <v>46.84</v>
      </c>
      <c r="J264" s="122">
        <v>22</v>
      </c>
      <c r="L264" t="str">
        <f t="shared" si="6"/>
        <v>WEEKENDS</v>
      </c>
      <c r="M264" s="195" t="str">
        <f t="shared" si="7"/>
        <v>2024WEEKENDS</v>
      </c>
    </row>
    <row r="265" spans="3:13" x14ac:dyDescent="0.25">
      <c r="C265" s="294" t="s">
        <v>762</v>
      </c>
      <c r="D265" s="312">
        <v>2024</v>
      </c>
      <c r="E265" s="122" t="s">
        <v>250</v>
      </c>
      <c r="F265" s="122" t="b">
        <v>0</v>
      </c>
      <c r="G265" s="122" t="b">
        <v>0</v>
      </c>
      <c r="H265" s="122" t="b">
        <v>1</v>
      </c>
      <c r="I265" s="122">
        <v>47.6</v>
      </c>
      <c r="J265" s="122">
        <v>2</v>
      </c>
      <c r="L265" t="str">
        <f t="shared" si="6"/>
        <v>PUBLIC HOLIDAYS</v>
      </c>
      <c r="M265" s="195" t="str">
        <f t="shared" si="7"/>
        <v>2024PUBLIC HOLIDAYS</v>
      </c>
    </row>
    <row r="266" spans="3:13" x14ac:dyDescent="0.25">
      <c r="C266" s="294" t="s">
        <v>762</v>
      </c>
      <c r="D266" s="312">
        <v>2024</v>
      </c>
      <c r="E266" s="122" t="s">
        <v>250</v>
      </c>
      <c r="F266" s="122" t="b">
        <v>0</v>
      </c>
      <c r="G266" s="122" t="b">
        <v>1</v>
      </c>
      <c r="H266" s="122" t="b">
        <v>0</v>
      </c>
      <c r="I266" s="122">
        <v>47.46</v>
      </c>
      <c r="J266" s="122">
        <v>10</v>
      </c>
      <c r="L266" t="str">
        <f t="shared" si="6"/>
        <v>WEEKENDS</v>
      </c>
      <c r="M266" s="195" t="str">
        <f t="shared" si="7"/>
        <v>2024WEEKENDS</v>
      </c>
    </row>
    <row r="267" spans="3:13" x14ac:dyDescent="0.25">
      <c r="C267" s="294" t="s">
        <v>762</v>
      </c>
      <c r="D267" s="312">
        <v>2024</v>
      </c>
      <c r="E267" s="122" t="s">
        <v>250</v>
      </c>
      <c r="F267" s="122" t="b">
        <v>1</v>
      </c>
      <c r="G267" s="122" t="b">
        <v>0</v>
      </c>
      <c r="H267" s="122" t="b">
        <v>0</v>
      </c>
      <c r="I267" s="122">
        <v>42.3</v>
      </c>
      <c r="J267" s="122">
        <v>54</v>
      </c>
      <c r="L267" t="str">
        <f t="shared" si="6"/>
        <v>PM PEAK</v>
      </c>
      <c r="M267" s="195" t="str">
        <f t="shared" si="7"/>
        <v>2024PM PEAK</v>
      </c>
    </row>
    <row r="268" spans="3:13" x14ac:dyDescent="0.25">
      <c r="C268" s="294" t="s">
        <v>762</v>
      </c>
      <c r="D268" s="312">
        <v>2024</v>
      </c>
      <c r="E268" s="122" t="s">
        <v>250</v>
      </c>
      <c r="F268" s="122" t="b">
        <v>1</v>
      </c>
      <c r="G268" s="122" t="b">
        <v>0</v>
      </c>
      <c r="H268" s="122" t="b">
        <v>1</v>
      </c>
      <c r="I268" s="122">
        <v>45.16</v>
      </c>
      <c r="J268" s="122">
        <v>2</v>
      </c>
      <c r="L268" t="str">
        <f t="shared" si="6"/>
        <v>PUBLIC HOLIDAYS</v>
      </c>
      <c r="M268" s="195" t="str">
        <f t="shared" si="7"/>
        <v>2024PUBLIC HOLIDAYS</v>
      </c>
    </row>
    <row r="269" spans="3:13" x14ac:dyDescent="0.25">
      <c r="C269" s="294" t="s">
        <v>762</v>
      </c>
      <c r="D269" s="312">
        <v>2024</v>
      </c>
      <c r="E269" s="122" t="s">
        <v>250</v>
      </c>
      <c r="F269" s="122" t="b">
        <v>1</v>
      </c>
      <c r="G269" s="122" t="b">
        <v>1</v>
      </c>
      <c r="H269" s="122" t="b">
        <v>0</v>
      </c>
      <c r="I269" s="122">
        <v>44.36</v>
      </c>
      <c r="J269" s="122">
        <v>28</v>
      </c>
      <c r="L269" t="str">
        <f t="shared" si="6"/>
        <v>PM PEAK</v>
      </c>
      <c r="M269" s="195" t="str">
        <f t="shared" si="7"/>
        <v>2024PM PEAK</v>
      </c>
    </row>
    <row r="270" spans="3:13" x14ac:dyDescent="0.25">
      <c r="C270" s="313" t="s">
        <v>762</v>
      </c>
      <c r="D270" s="314">
        <v>2024</v>
      </c>
      <c r="E270" s="315" t="s">
        <v>250</v>
      </c>
      <c r="F270" s="315" t="b">
        <v>1</v>
      </c>
      <c r="G270" s="315" t="b">
        <v>1</v>
      </c>
      <c r="H270" s="315" t="b">
        <v>1</v>
      </c>
      <c r="I270" s="315">
        <v>45.82</v>
      </c>
      <c r="J270" s="315">
        <v>3</v>
      </c>
      <c r="K270" s="197"/>
      <c r="L270" s="197" t="str">
        <f t="shared" si="6"/>
        <v>PUBLIC HOLIDAYS</v>
      </c>
      <c r="M270" s="198" t="str">
        <f t="shared" si="7"/>
        <v>2024PUBLIC HOLIDAYS</v>
      </c>
    </row>
    <row r="273" spans="3:18" ht="15.5" x14ac:dyDescent="0.35">
      <c r="C273" s="43" t="str">
        <f>C9</f>
        <v>Table 2 - Traffic volume data and identifier calculations</v>
      </c>
      <c r="H273" s="162" t="s">
        <v>1419</v>
      </c>
    </row>
    <row r="274" spans="3:18" x14ac:dyDescent="0.25">
      <c r="C274" s="188"/>
      <c r="D274" s="189"/>
      <c r="E274" s="189"/>
      <c r="F274" s="189"/>
      <c r="G274" s="189"/>
      <c r="H274" s="189"/>
      <c r="I274" s="189"/>
      <c r="J274" s="189"/>
      <c r="K274" s="189"/>
      <c r="L274" s="189"/>
      <c r="M274" s="189"/>
      <c r="N274" s="189"/>
      <c r="O274" s="189"/>
      <c r="P274" s="189"/>
      <c r="Q274" s="189"/>
      <c r="R274" s="190"/>
    </row>
    <row r="275" spans="3:18" ht="34.5" x14ac:dyDescent="0.25">
      <c r="C275" s="316" t="s">
        <v>1301</v>
      </c>
      <c r="D275" s="203" t="s">
        <v>1302</v>
      </c>
      <c r="E275" s="203" t="s">
        <v>1298</v>
      </c>
      <c r="F275" s="203" t="s">
        <v>766</v>
      </c>
      <c r="G275" s="203" t="s">
        <v>1303</v>
      </c>
      <c r="H275" s="203" t="s">
        <v>1299</v>
      </c>
      <c r="I275" s="203" t="s">
        <v>767</v>
      </c>
      <c r="J275" s="203" t="s">
        <v>768</v>
      </c>
      <c r="K275" s="203" t="s">
        <v>1300</v>
      </c>
      <c r="L275" s="203" t="s">
        <v>1304</v>
      </c>
      <c r="M275" s="203" t="s">
        <v>1305</v>
      </c>
      <c r="N275" s="6"/>
      <c r="O275" s="203" t="s">
        <v>769</v>
      </c>
      <c r="P275" s="203" t="s">
        <v>770</v>
      </c>
      <c r="Q275" s="203" t="s">
        <v>771</v>
      </c>
      <c r="R275" s="207" t="s">
        <v>772</v>
      </c>
    </row>
    <row r="276" spans="3:18" x14ac:dyDescent="0.25">
      <c r="C276" s="294" t="s">
        <v>773</v>
      </c>
      <c r="D276" s="317">
        <v>100001</v>
      </c>
      <c r="E276" s="122" t="s">
        <v>774</v>
      </c>
      <c r="F276" s="122" t="s">
        <v>775</v>
      </c>
      <c r="G276" s="122" t="s">
        <v>776</v>
      </c>
      <c r="H276" s="122" t="s">
        <v>777</v>
      </c>
      <c r="I276" s="312">
        <v>2018</v>
      </c>
      <c r="J276" s="122" t="s">
        <v>709</v>
      </c>
      <c r="K276" s="283">
        <v>5479</v>
      </c>
      <c r="L276" s="318">
        <v>-33.878180999999998</v>
      </c>
      <c r="M276" s="318">
        <v>150.92494199999999</v>
      </c>
      <c r="O276">
        <f>INDEX('MEC - traffic congestion'!$M$145:$M$249,MATCH($D276,'MEC - traffic congestion'!$C$145:$C$249,0))</f>
        <v>1</v>
      </c>
      <c r="P276" t="str">
        <f>IF($O276=1,$I276&amp;$J276,"")</f>
        <v>2018AM PEAK</v>
      </c>
      <c r="Q276">
        <f>IF(AND($M276&gt;150.246,AND($L276&gt;-34.397,$L276&lt;-32.662)),1,0)</f>
        <v>1</v>
      </c>
      <c r="R276" s="195" t="str">
        <f>IF($O276=1,$I276&amp;$H276,"")</f>
        <v>2018LIGHT VEHICLES</v>
      </c>
    </row>
    <row r="277" spans="3:18" x14ac:dyDescent="0.25">
      <c r="C277" s="294" t="s">
        <v>773</v>
      </c>
      <c r="D277" s="317">
        <v>100001</v>
      </c>
      <c r="E277" s="122" t="s">
        <v>774</v>
      </c>
      <c r="F277" s="122" t="s">
        <v>775</v>
      </c>
      <c r="G277" s="122" t="s">
        <v>778</v>
      </c>
      <c r="H277" s="122" t="s">
        <v>777</v>
      </c>
      <c r="I277" s="312">
        <v>2018</v>
      </c>
      <c r="J277" s="122" t="s">
        <v>709</v>
      </c>
      <c r="K277" s="283">
        <v>3818</v>
      </c>
      <c r="L277" s="318">
        <v>-33.878180999999998</v>
      </c>
      <c r="M277" s="318">
        <v>150.92494199999999</v>
      </c>
      <c r="O277">
        <f>INDEX('MEC - traffic congestion'!$M$145:$M$249,MATCH($D277,'MEC - traffic congestion'!$C$145:$C$249,0))</f>
        <v>1</v>
      </c>
      <c r="P277" t="str">
        <f t="shared" ref="P277:P340" si="8">IF($O277=1,$I277&amp;$J277,"")</f>
        <v>2018AM PEAK</v>
      </c>
      <c r="Q277">
        <f t="shared" ref="Q277:Q340" si="9">IF(AND($M277&gt;150.246,AND($L277&gt;-34.397,$L277&lt;-32.662)),1,0)</f>
        <v>1</v>
      </c>
      <c r="R277" s="195" t="str">
        <f t="shared" ref="R277:R340" si="10">IF($O277=1,$I277&amp;$H277,"")</f>
        <v>2018LIGHT VEHICLES</v>
      </c>
    </row>
    <row r="278" spans="3:18" x14ac:dyDescent="0.25">
      <c r="C278" s="294" t="s">
        <v>773</v>
      </c>
      <c r="D278" s="317">
        <v>100001</v>
      </c>
      <c r="E278" s="122" t="s">
        <v>774</v>
      </c>
      <c r="F278" s="122" t="s">
        <v>775</v>
      </c>
      <c r="G278" s="122" t="s">
        <v>776</v>
      </c>
      <c r="H278" s="122" t="s">
        <v>777</v>
      </c>
      <c r="I278" s="312">
        <v>2018</v>
      </c>
      <c r="J278" s="122" t="s">
        <v>710</v>
      </c>
      <c r="K278" s="283">
        <v>10126</v>
      </c>
      <c r="L278" s="318">
        <v>-33.878180999999998</v>
      </c>
      <c r="M278" s="318">
        <v>150.92494199999999</v>
      </c>
      <c r="O278">
        <f>INDEX('MEC - traffic congestion'!$M$145:$M$249,MATCH($D278,'MEC - traffic congestion'!$C$145:$C$249,0))</f>
        <v>1</v>
      </c>
      <c r="P278" t="str">
        <f t="shared" si="8"/>
        <v>2018OFF PEAK</v>
      </c>
      <c r="Q278">
        <f t="shared" si="9"/>
        <v>1</v>
      </c>
      <c r="R278" s="195" t="str">
        <f t="shared" si="10"/>
        <v>2018LIGHT VEHICLES</v>
      </c>
    </row>
    <row r="279" spans="3:18" x14ac:dyDescent="0.25">
      <c r="C279" s="294" t="s">
        <v>773</v>
      </c>
      <c r="D279" s="317">
        <v>100001</v>
      </c>
      <c r="E279" s="122" t="s">
        <v>774</v>
      </c>
      <c r="F279" s="122" t="s">
        <v>775</v>
      </c>
      <c r="G279" s="122" t="s">
        <v>778</v>
      </c>
      <c r="H279" s="122" t="s">
        <v>777</v>
      </c>
      <c r="I279" s="312">
        <v>2018</v>
      </c>
      <c r="J279" s="122" t="s">
        <v>710</v>
      </c>
      <c r="K279" s="283">
        <v>9617</v>
      </c>
      <c r="L279" s="318">
        <v>-33.878180999999998</v>
      </c>
      <c r="M279" s="318">
        <v>150.92494199999999</v>
      </c>
      <c r="O279">
        <f>INDEX('MEC - traffic congestion'!$M$145:$M$249,MATCH($D279,'MEC - traffic congestion'!$C$145:$C$249,0))</f>
        <v>1</v>
      </c>
      <c r="P279" t="str">
        <f t="shared" si="8"/>
        <v>2018OFF PEAK</v>
      </c>
      <c r="Q279">
        <f t="shared" si="9"/>
        <v>1</v>
      </c>
      <c r="R279" s="195" t="str">
        <f t="shared" si="10"/>
        <v>2018LIGHT VEHICLES</v>
      </c>
    </row>
    <row r="280" spans="3:18" x14ac:dyDescent="0.25">
      <c r="C280" s="294" t="s">
        <v>773</v>
      </c>
      <c r="D280" s="317">
        <v>100001</v>
      </c>
      <c r="E280" s="122" t="s">
        <v>774</v>
      </c>
      <c r="F280" s="122" t="s">
        <v>775</v>
      </c>
      <c r="G280" s="122" t="s">
        <v>776</v>
      </c>
      <c r="H280" s="122" t="s">
        <v>777</v>
      </c>
      <c r="I280" s="312">
        <v>2018</v>
      </c>
      <c r="J280" s="122" t="s">
        <v>711</v>
      </c>
      <c r="K280" s="283">
        <v>4675</v>
      </c>
      <c r="L280" s="318">
        <v>-33.878180999999998</v>
      </c>
      <c r="M280" s="318">
        <v>150.92494199999999</v>
      </c>
      <c r="O280">
        <f>INDEX('MEC - traffic congestion'!$M$145:$M$249,MATCH($D280,'MEC - traffic congestion'!$C$145:$C$249,0))</f>
        <v>1</v>
      </c>
      <c r="P280" t="str">
        <f t="shared" si="8"/>
        <v>2018PM PEAK</v>
      </c>
      <c r="Q280">
        <f t="shared" si="9"/>
        <v>1</v>
      </c>
      <c r="R280" s="195" t="str">
        <f t="shared" si="10"/>
        <v>2018LIGHT VEHICLES</v>
      </c>
    </row>
    <row r="281" spans="3:18" x14ac:dyDescent="0.25">
      <c r="C281" s="294" t="s">
        <v>773</v>
      </c>
      <c r="D281" s="317">
        <v>100001</v>
      </c>
      <c r="E281" s="122" t="s">
        <v>774</v>
      </c>
      <c r="F281" s="122" t="s">
        <v>775</v>
      </c>
      <c r="G281" s="122" t="s">
        <v>778</v>
      </c>
      <c r="H281" s="122" t="s">
        <v>777</v>
      </c>
      <c r="I281" s="312">
        <v>2018</v>
      </c>
      <c r="J281" s="122" t="s">
        <v>711</v>
      </c>
      <c r="K281" s="283">
        <v>6143</v>
      </c>
      <c r="L281" s="318">
        <v>-33.878180999999998</v>
      </c>
      <c r="M281" s="318">
        <v>150.92494199999999</v>
      </c>
      <c r="O281">
        <f>INDEX('MEC - traffic congestion'!$M$145:$M$249,MATCH($D281,'MEC - traffic congestion'!$C$145:$C$249,0))</f>
        <v>1</v>
      </c>
      <c r="P281" t="str">
        <f t="shared" si="8"/>
        <v>2018PM PEAK</v>
      </c>
      <c r="Q281">
        <f t="shared" si="9"/>
        <v>1</v>
      </c>
      <c r="R281" s="195" t="str">
        <f t="shared" si="10"/>
        <v>2018LIGHT VEHICLES</v>
      </c>
    </row>
    <row r="282" spans="3:18" x14ac:dyDescent="0.25">
      <c r="C282" s="294" t="s">
        <v>773</v>
      </c>
      <c r="D282" s="317">
        <v>100001</v>
      </c>
      <c r="E282" s="122" t="s">
        <v>774</v>
      </c>
      <c r="F282" s="122" t="s">
        <v>775</v>
      </c>
      <c r="G282" s="122" t="s">
        <v>776</v>
      </c>
      <c r="H282" s="122" t="s">
        <v>777</v>
      </c>
      <c r="I282" s="312">
        <v>2018</v>
      </c>
      <c r="J282" s="122" t="s">
        <v>712</v>
      </c>
      <c r="K282" s="283">
        <v>14595</v>
      </c>
      <c r="L282" s="318">
        <v>-33.878180999999998</v>
      </c>
      <c r="M282" s="318">
        <v>150.92494199999999</v>
      </c>
      <c r="O282">
        <f>INDEX('MEC - traffic congestion'!$M$145:$M$249,MATCH($D282,'MEC - traffic congestion'!$C$145:$C$249,0))</f>
        <v>1</v>
      </c>
      <c r="P282" t="str">
        <f t="shared" si="8"/>
        <v>2018PUBLIC HOLIDAYS</v>
      </c>
      <c r="Q282">
        <f t="shared" si="9"/>
        <v>1</v>
      </c>
      <c r="R282" s="195" t="str">
        <f t="shared" si="10"/>
        <v>2018LIGHT VEHICLES</v>
      </c>
    </row>
    <row r="283" spans="3:18" x14ac:dyDescent="0.25">
      <c r="C283" s="294" t="s">
        <v>773</v>
      </c>
      <c r="D283" s="317">
        <v>100001</v>
      </c>
      <c r="E283" s="122" t="s">
        <v>774</v>
      </c>
      <c r="F283" s="122" t="s">
        <v>775</v>
      </c>
      <c r="G283" s="122" t="s">
        <v>778</v>
      </c>
      <c r="H283" s="122" t="s">
        <v>777</v>
      </c>
      <c r="I283" s="312">
        <v>2018</v>
      </c>
      <c r="J283" s="122" t="s">
        <v>712</v>
      </c>
      <c r="K283" s="283">
        <v>14672</v>
      </c>
      <c r="L283" s="318">
        <v>-33.878180999999998</v>
      </c>
      <c r="M283" s="318">
        <v>150.92494199999999</v>
      </c>
      <c r="O283">
        <f>INDEX('MEC - traffic congestion'!$M$145:$M$249,MATCH($D283,'MEC - traffic congestion'!$C$145:$C$249,0))</f>
        <v>1</v>
      </c>
      <c r="P283" t="str">
        <f t="shared" si="8"/>
        <v>2018PUBLIC HOLIDAYS</v>
      </c>
      <c r="Q283">
        <f t="shared" si="9"/>
        <v>1</v>
      </c>
      <c r="R283" s="195" t="str">
        <f t="shared" si="10"/>
        <v>2018LIGHT VEHICLES</v>
      </c>
    </row>
    <row r="284" spans="3:18" x14ac:dyDescent="0.25">
      <c r="C284" s="294" t="s">
        <v>773</v>
      </c>
      <c r="D284" s="317">
        <v>100001</v>
      </c>
      <c r="E284" s="122" t="s">
        <v>774</v>
      </c>
      <c r="F284" s="122" t="s">
        <v>775</v>
      </c>
      <c r="G284" s="122" t="s">
        <v>776</v>
      </c>
      <c r="H284" s="122" t="s">
        <v>777</v>
      </c>
      <c r="I284" s="312">
        <v>2018</v>
      </c>
      <c r="J284" s="122" t="s">
        <v>713</v>
      </c>
      <c r="K284" s="283">
        <v>17688</v>
      </c>
      <c r="L284" s="318">
        <v>-33.878180999999998</v>
      </c>
      <c r="M284" s="318">
        <v>150.92494199999999</v>
      </c>
      <c r="O284">
        <f>INDEX('MEC - traffic congestion'!$M$145:$M$249,MATCH($D284,'MEC - traffic congestion'!$C$145:$C$249,0))</f>
        <v>1</v>
      </c>
      <c r="P284" t="str">
        <f t="shared" si="8"/>
        <v>2018WEEKENDS</v>
      </c>
      <c r="Q284">
        <f t="shared" si="9"/>
        <v>1</v>
      </c>
      <c r="R284" s="195" t="str">
        <f t="shared" si="10"/>
        <v>2018LIGHT VEHICLES</v>
      </c>
    </row>
    <row r="285" spans="3:18" x14ac:dyDescent="0.25">
      <c r="C285" s="294" t="s">
        <v>773</v>
      </c>
      <c r="D285" s="317">
        <v>100001</v>
      </c>
      <c r="E285" s="122" t="s">
        <v>774</v>
      </c>
      <c r="F285" s="122" t="s">
        <v>775</v>
      </c>
      <c r="G285" s="122" t="s">
        <v>778</v>
      </c>
      <c r="H285" s="122" t="s">
        <v>777</v>
      </c>
      <c r="I285" s="312">
        <v>2018</v>
      </c>
      <c r="J285" s="122" t="s">
        <v>713</v>
      </c>
      <c r="K285" s="283">
        <v>17906</v>
      </c>
      <c r="L285" s="318">
        <v>-33.878180999999998</v>
      </c>
      <c r="M285" s="318">
        <v>150.92494199999999</v>
      </c>
      <c r="O285">
        <f>INDEX('MEC - traffic congestion'!$M$145:$M$249,MATCH($D285,'MEC - traffic congestion'!$C$145:$C$249,0))</f>
        <v>1</v>
      </c>
      <c r="P285" t="str">
        <f t="shared" si="8"/>
        <v>2018WEEKENDS</v>
      </c>
      <c r="Q285">
        <f t="shared" si="9"/>
        <v>1</v>
      </c>
      <c r="R285" s="195" t="str">
        <f t="shared" si="10"/>
        <v>2018LIGHT VEHICLES</v>
      </c>
    </row>
    <row r="286" spans="3:18" x14ac:dyDescent="0.25">
      <c r="C286" s="294" t="s">
        <v>773</v>
      </c>
      <c r="D286" s="317">
        <v>100001</v>
      </c>
      <c r="E286" s="122" t="s">
        <v>774</v>
      </c>
      <c r="F286" s="122" t="s">
        <v>775</v>
      </c>
      <c r="G286" s="122" t="s">
        <v>776</v>
      </c>
      <c r="H286" s="122" t="s">
        <v>777</v>
      </c>
      <c r="I286" s="312">
        <v>2019</v>
      </c>
      <c r="J286" s="122" t="s">
        <v>709</v>
      </c>
      <c r="K286" s="283">
        <v>5331</v>
      </c>
      <c r="L286" s="318">
        <v>-33.878180999999998</v>
      </c>
      <c r="M286" s="318">
        <v>150.92494199999999</v>
      </c>
      <c r="O286">
        <f>INDEX('MEC - traffic congestion'!$M$145:$M$249,MATCH($D286,'MEC - traffic congestion'!$C$145:$C$249,0))</f>
        <v>1</v>
      </c>
      <c r="P286" t="str">
        <f t="shared" si="8"/>
        <v>2019AM PEAK</v>
      </c>
      <c r="Q286">
        <f t="shared" si="9"/>
        <v>1</v>
      </c>
      <c r="R286" s="195" t="str">
        <f t="shared" si="10"/>
        <v>2019LIGHT VEHICLES</v>
      </c>
    </row>
    <row r="287" spans="3:18" x14ac:dyDescent="0.25">
      <c r="C287" s="294" t="s">
        <v>773</v>
      </c>
      <c r="D287" s="317">
        <v>100001</v>
      </c>
      <c r="E287" s="122" t="s">
        <v>774</v>
      </c>
      <c r="F287" s="122" t="s">
        <v>775</v>
      </c>
      <c r="G287" s="122" t="s">
        <v>778</v>
      </c>
      <c r="H287" s="122" t="s">
        <v>777</v>
      </c>
      <c r="I287" s="312">
        <v>2019</v>
      </c>
      <c r="J287" s="122" t="s">
        <v>709</v>
      </c>
      <c r="K287" s="283">
        <v>3742</v>
      </c>
      <c r="L287" s="318">
        <v>-33.878180999999998</v>
      </c>
      <c r="M287" s="318">
        <v>150.92494199999999</v>
      </c>
      <c r="O287">
        <f>INDEX('MEC - traffic congestion'!$M$145:$M$249,MATCH($D287,'MEC - traffic congestion'!$C$145:$C$249,0))</f>
        <v>1</v>
      </c>
      <c r="P287" t="str">
        <f t="shared" si="8"/>
        <v>2019AM PEAK</v>
      </c>
      <c r="Q287">
        <f t="shared" si="9"/>
        <v>1</v>
      </c>
      <c r="R287" s="195" t="str">
        <f t="shared" si="10"/>
        <v>2019LIGHT VEHICLES</v>
      </c>
    </row>
    <row r="288" spans="3:18" x14ac:dyDescent="0.25">
      <c r="C288" s="294" t="s">
        <v>773</v>
      </c>
      <c r="D288" s="317">
        <v>100001</v>
      </c>
      <c r="E288" s="122" t="s">
        <v>774</v>
      </c>
      <c r="F288" s="122" t="s">
        <v>775</v>
      </c>
      <c r="G288" s="122" t="s">
        <v>776</v>
      </c>
      <c r="H288" s="122" t="s">
        <v>777</v>
      </c>
      <c r="I288" s="312">
        <v>2019</v>
      </c>
      <c r="J288" s="122" t="s">
        <v>710</v>
      </c>
      <c r="K288" s="283">
        <v>9710</v>
      </c>
      <c r="L288" s="318">
        <v>-33.878180999999998</v>
      </c>
      <c r="M288" s="318">
        <v>150.92494199999999</v>
      </c>
      <c r="O288">
        <f>INDEX('MEC - traffic congestion'!$M$145:$M$249,MATCH($D288,'MEC - traffic congestion'!$C$145:$C$249,0))</f>
        <v>1</v>
      </c>
      <c r="P288" t="str">
        <f t="shared" si="8"/>
        <v>2019OFF PEAK</v>
      </c>
      <c r="Q288">
        <f t="shared" si="9"/>
        <v>1</v>
      </c>
      <c r="R288" s="195" t="str">
        <f t="shared" si="10"/>
        <v>2019LIGHT VEHICLES</v>
      </c>
    </row>
    <row r="289" spans="3:18" x14ac:dyDescent="0.25">
      <c r="C289" s="294" t="s">
        <v>773</v>
      </c>
      <c r="D289" s="317">
        <v>100001</v>
      </c>
      <c r="E289" s="122" t="s">
        <v>774</v>
      </c>
      <c r="F289" s="122" t="s">
        <v>775</v>
      </c>
      <c r="G289" s="122" t="s">
        <v>778</v>
      </c>
      <c r="H289" s="122" t="s">
        <v>777</v>
      </c>
      <c r="I289" s="312">
        <v>2019</v>
      </c>
      <c r="J289" s="122" t="s">
        <v>710</v>
      </c>
      <c r="K289" s="283">
        <v>9489</v>
      </c>
      <c r="L289" s="318">
        <v>-33.878180999999998</v>
      </c>
      <c r="M289" s="318">
        <v>150.92494199999999</v>
      </c>
      <c r="O289">
        <f>INDEX('MEC - traffic congestion'!$M$145:$M$249,MATCH($D289,'MEC - traffic congestion'!$C$145:$C$249,0))</f>
        <v>1</v>
      </c>
      <c r="P289" t="str">
        <f t="shared" si="8"/>
        <v>2019OFF PEAK</v>
      </c>
      <c r="Q289">
        <f t="shared" si="9"/>
        <v>1</v>
      </c>
      <c r="R289" s="195" t="str">
        <f t="shared" si="10"/>
        <v>2019LIGHT VEHICLES</v>
      </c>
    </row>
    <row r="290" spans="3:18" x14ac:dyDescent="0.25">
      <c r="C290" s="294" t="s">
        <v>773</v>
      </c>
      <c r="D290" s="317">
        <v>100001</v>
      </c>
      <c r="E290" s="122" t="s">
        <v>774</v>
      </c>
      <c r="F290" s="122" t="s">
        <v>775</v>
      </c>
      <c r="G290" s="122" t="s">
        <v>776</v>
      </c>
      <c r="H290" s="122" t="s">
        <v>777</v>
      </c>
      <c r="I290" s="312">
        <v>2019</v>
      </c>
      <c r="J290" s="122" t="s">
        <v>711</v>
      </c>
      <c r="K290" s="283">
        <v>4538</v>
      </c>
      <c r="L290" s="318">
        <v>-33.878180999999998</v>
      </c>
      <c r="M290" s="318">
        <v>150.92494199999999</v>
      </c>
      <c r="O290">
        <f>INDEX('MEC - traffic congestion'!$M$145:$M$249,MATCH($D290,'MEC - traffic congestion'!$C$145:$C$249,0))</f>
        <v>1</v>
      </c>
      <c r="P290" t="str">
        <f t="shared" si="8"/>
        <v>2019PM PEAK</v>
      </c>
      <c r="Q290">
        <f t="shared" si="9"/>
        <v>1</v>
      </c>
      <c r="R290" s="195" t="str">
        <f t="shared" si="10"/>
        <v>2019LIGHT VEHICLES</v>
      </c>
    </row>
    <row r="291" spans="3:18" x14ac:dyDescent="0.25">
      <c r="C291" s="294" t="s">
        <v>773</v>
      </c>
      <c r="D291" s="317">
        <v>100001</v>
      </c>
      <c r="E291" s="122" t="s">
        <v>774</v>
      </c>
      <c r="F291" s="122" t="s">
        <v>775</v>
      </c>
      <c r="G291" s="122" t="s">
        <v>778</v>
      </c>
      <c r="H291" s="122" t="s">
        <v>777</v>
      </c>
      <c r="I291" s="312">
        <v>2019</v>
      </c>
      <c r="J291" s="122" t="s">
        <v>711</v>
      </c>
      <c r="K291" s="283">
        <v>6083</v>
      </c>
      <c r="L291" s="318">
        <v>-33.878180999999998</v>
      </c>
      <c r="M291" s="318">
        <v>150.92494199999999</v>
      </c>
      <c r="O291">
        <f>INDEX('MEC - traffic congestion'!$M$145:$M$249,MATCH($D291,'MEC - traffic congestion'!$C$145:$C$249,0))</f>
        <v>1</v>
      </c>
      <c r="P291" t="str">
        <f t="shared" si="8"/>
        <v>2019PM PEAK</v>
      </c>
      <c r="Q291">
        <f t="shared" si="9"/>
        <v>1</v>
      </c>
      <c r="R291" s="195" t="str">
        <f t="shared" si="10"/>
        <v>2019LIGHT VEHICLES</v>
      </c>
    </row>
    <row r="292" spans="3:18" x14ac:dyDescent="0.25">
      <c r="C292" s="294" t="s">
        <v>773</v>
      </c>
      <c r="D292" s="317">
        <v>100001</v>
      </c>
      <c r="E292" s="122" t="s">
        <v>774</v>
      </c>
      <c r="F292" s="122" t="s">
        <v>775</v>
      </c>
      <c r="G292" s="122" t="s">
        <v>776</v>
      </c>
      <c r="H292" s="122" t="s">
        <v>777</v>
      </c>
      <c r="I292" s="312">
        <v>2019</v>
      </c>
      <c r="J292" s="122" t="s">
        <v>712</v>
      </c>
      <c r="K292" s="283">
        <v>14468</v>
      </c>
      <c r="L292" s="318">
        <v>-33.878180999999998</v>
      </c>
      <c r="M292" s="318">
        <v>150.92494199999999</v>
      </c>
      <c r="O292">
        <f>INDEX('MEC - traffic congestion'!$M$145:$M$249,MATCH($D292,'MEC - traffic congestion'!$C$145:$C$249,0))</f>
        <v>1</v>
      </c>
      <c r="P292" t="str">
        <f t="shared" si="8"/>
        <v>2019PUBLIC HOLIDAYS</v>
      </c>
      <c r="Q292">
        <f t="shared" si="9"/>
        <v>1</v>
      </c>
      <c r="R292" s="195" t="str">
        <f t="shared" si="10"/>
        <v>2019LIGHT VEHICLES</v>
      </c>
    </row>
    <row r="293" spans="3:18" x14ac:dyDescent="0.25">
      <c r="C293" s="294" t="s">
        <v>773</v>
      </c>
      <c r="D293" s="317">
        <v>100001</v>
      </c>
      <c r="E293" s="122" t="s">
        <v>774</v>
      </c>
      <c r="F293" s="122" t="s">
        <v>775</v>
      </c>
      <c r="G293" s="122" t="s">
        <v>778</v>
      </c>
      <c r="H293" s="122" t="s">
        <v>777</v>
      </c>
      <c r="I293" s="312">
        <v>2019</v>
      </c>
      <c r="J293" s="122" t="s">
        <v>712</v>
      </c>
      <c r="K293" s="283">
        <v>14835</v>
      </c>
      <c r="L293" s="318">
        <v>-33.878180999999998</v>
      </c>
      <c r="M293" s="318">
        <v>150.92494199999999</v>
      </c>
      <c r="O293">
        <f>INDEX('MEC - traffic congestion'!$M$145:$M$249,MATCH($D293,'MEC - traffic congestion'!$C$145:$C$249,0))</f>
        <v>1</v>
      </c>
      <c r="P293" t="str">
        <f t="shared" si="8"/>
        <v>2019PUBLIC HOLIDAYS</v>
      </c>
      <c r="Q293">
        <f t="shared" si="9"/>
        <v>1</v>
      </c>
      <c r="R293" s="195" t="str">
        <f t="shared" si="10"/>
        <v>2019LIGHT VEHICLES</v>
      </c>
    </row>
    <row r="294" spans="3:18" x14ac:dyDescent="0.25">
      <c r="C294" s="294" t="s">
        <v>773</v>
      </c>
      <c r="D294" s="317">
        <v>100001</v>
      </c>
      <c r="E294" s="122" t="s">
        <v>774</v>
      </c>
      <c r="F294" s="122" t="s">
        <v>775</v>
      </c>
      <c r="G294" s="122" t="s">
        <v>776</v>
      </c>
      <c r="H294" s="122" t="s">
        <v>777</v>
      </c>
      <c r="I294" s="312">
        <v>2019</v>
      </c>
      <c r="J294" s="122" t="s">
        <v>713</v>
      </c>
      <c r="K294" s="283">
        <v>17198</v>
      </c>
      <c r="L294" s="318">
        <v>-33.878180999999998</v>
      </c>
      <c r="M294" s="318">
        <v>150.92494199999999</v>
      </c>
      <c r="O294">
        <f>INDEX('MEC - traffic congestion'!$M$145:$M$249,MATCH($D294,'MEC - traffic congestion'!$C$145:$C$249,0))</f>
        <v>1</v>
      </c>
      <c r="P294" t="str">
        <f t="shared" si="8"/>
        <v>2019WEEKENDS</v>
      </c>
      <c r="Q294">
        <f t="shared" si="9"/>
        <v>1</v>
      </c>
      <c r="R294" s="195" t="str">
        <f t="shared" si="10"/>
        <v>2019LIGHT VEHICLES</v>
      </c>
    </row>
    <row r="295" spans="3:18" x14ac:dyDescent="0.25">
      <c r="C295" s="294" t="s">
        <v>773</v>
      </c>
      <c r="D295" s="317">
        <v>100001</v>
      </c>
      <c r="E295" s="122" t="s">
        <v>774</v>
      </c>
      <c r="F295" s="122" t="s">
        <v>775</v>
      </c>
      <c r="G295" s="122" t="s">
        <v>778</v>
      </c>
      <c r="H295" s="122" t="s">
        <v>777</v>
      </c>
      <c r="I295" s="312">
        <v>2019</v>
      </c>
      <c r="J295" s="122" t="s">
        <v>713</v>
      </c>
      <c r="K295" s="283">
        <v>17547</v>
      </c>
      <c r="L295" s="318">
        <v>-33.878180999999998</v>
      </c>
      <c r="M295" s="318">
        <v>150.92494199999999</v>
      </c>
      <c r="O295">
        <f>INDEX('MEC - traffic congestion'!$M$145:$M$249,MATCH($D295,'MEC - traffic congestion'!$C$145:$C$249,0))</f>
        <v>1</v>
      </c>
      <c r="P295" t="str">
        <f t="shared" si="8"/>
        <v>2019WEEKENDS</v>
      </c>
      <c r="Q295">
        <f t="shared" si="9"/>
        <v>1</v>
      </c>
      <c r="R295" s="195" t="str">
        <f t="shared" si="10"/>
        <v>2019LIGHT VEHICLES</v>
      </c>
    </row>
    <row r="296" spans="3:18" x14ac:dyDescent="0.25">
      <c r="C296" s="294" t="s">
        <v>773</v>
      </c>
      <c r="D296" s="317">
        <v>100001</v>
      </c>
      <c r="E296" s="122" t="s">
        <v>774</v>
      </c>
      <c r="F296" s="122" t="s">
        <v>775</v>
      </c>
      <c r="G296" s="122" t="s">
        <v>776</v>
      </c>
      <c r="H296" s="122" t="s">
        <v>777</v>
      </c>
      <c r="I296" s="312">
        <v>2020</v>
      </c>
      <c r="J296" s="122" t="s">
        <v>709</v>
      </c>
      <c r="K296" s="283">
        <v>4772</v>
      </c>
      <c r="L296" s="318">
        <v>-33.878180999999998</v>
      </c>
      <c r="M296" s="318">
        <v>150.92494199999999</v>
      </c>
      <c r="O296">
        <f>INDEX('MEC - traffic congestion'!$M$145:$M$249,MATCH($D296,'MEC - traffic congestion'!$C$145:$C$249,0))</f>
        <v>1</v>
      </c>
      <c r="P296" t="str">
        <f t="shared" si="8"/>
        <v>2020AM PEAK</v>
      </c>
      <c r="Q296">
        <f t="shared" si="9"/>
        <v>1</v>
      </c>
      <c r="R296" s="195" t="str">
        <f t="shared" si="10"/>
        <v>2020LIGHT VEHICLES</v>
      </c>
    </row>
    <row r="297" spans="3:18" x14ac:dyDescent="0.25">
      <c r="C297" s="294" t="s">
        <v>773</v>
      </c>
      <c r="D297" s="317">
        <v>100001</v>
      </c>
      <c r="E297" s="122" t="s">
        <v>774</v>
      </c>
      <c r="F297" s="122" t="s">
        <v>775</v>
      </c>
      <c r="G297" s="122" t="s">
        <v>778</v>
      </c>
      <c r="H297" s="122" t="s">
        <v>777</v>
      </c>
      <c r="I297" s="312">
        <v>2020</v>
      </c>
      <c r="J297" s="122" t="s">
        <v>709</v>
      </c>
      <c r="K297" s="283">
        <v>3584</v>
      </c>
      <c r="L297" s="318">
        <v>-33.878180999999998</v>
      </c>
      <c r="M297" s="318">
        <v>150.92494199999999</v>
      </c>
      <c r="O297">
        <f>INDEX('MEC - traffic congestion'!$M$145:$M$249,MATCH($D297,'MEC - traffic congestion'!$C$145:$C$249,0))</f>
        <v>1</v>
      </c>
      <c r="P297" t="str">
        <f t="shared" si="8"/>
        <v>2020AM PEAK</v>
      </c>
      <c r="Q297">
        <f t="shared" si="9"/>
        <v>1</v>
      </c>
      <c r="R297" s="195" t="str">
        <f t="shared" si="10"/>
        <v>2020LIGHT VEHICLES</v>
      </c>
    </row>
    <row r="298" spans="3:18" x14ac:dyDescent="0.25">
      <c r="C298" s="294" t="s">
        <v>773</v>
      </c>
      <c r="D298" s="317">
        <v>100001</v>
      </c>
      <c r="E298" s="122" t="s">
        <v>774</v>
      </c>
      <c r="F298" s="122" t="s">
        <v>775</v>
      </c>
      <c r="G298" s="122" t="s">
        <v>776</v>
      </c>
      <c r="H298" s="122" t="s">
        <v>777</v>
      </c>
      <c r="I298" s="312">
        <v>2020</v>
      </c>
      <c r="J298" s="122" t="s">
        <v>710</v>
      </c>
      <c r="K298" s="283">
        <v>9181</v>
      </c>
      <c r="L298" s="318">
        <v>-33.878180999999998</v>
      </c>
      <c r="M298" s="318">
        <v>150.92494199999999</v>
      </c>
      <c r="O298">
        <f>INDEX('MEC - traffic congestion'!$M$145:$M$249,MATCH($D298,'MEC - traffic congestion'!$C$145:$C$249,0))</f>
        <v>1</v>
      </c>
      <c r="P298" t="str">
        <f t="shared" si="8"/>
        <v>2020OFF PEAK</v>
      </c>
      <c r="Q298">
        <f t="shared" si="9"/>
        <v>1</v>
      </c>
      <c r="R298" s="195" t="str">
        <f t="shared" si="10"/>
        <v>2020LIGHT VEHICLES</v>
      </c>
    </row>
    <row r="299" spans="3:18" x14ac:dyDescent="0.25">
      <c r="C299" s="294" t="s">
        <v>773</v>
      </c>
      <c r="D299" s="317">
        <v>100001</v>
      </c>
      <c r="E299" s="122" t="s">
        <v>774</v>
      </c>
      <c r="F299" s="122" t="s">
        <v>775</v>
      </c>
      <c r="G299" s="122" t="s">
        <v>778</v>
      </c>
      <c r="H299" s="122" t="s">
        <v>777</v>
      </c>
      <c r="I299" s="312">
        <v>2020</v>
      </c>
      <c r="J299" s="122" t="s">
        <v>710</v>
      </c>
      <c r="K299" s="283">
        <v>9336</v>
      </c>
      <c r="L299" s="318">
        <v>-33.878180999999998</v>
      </c>
      <c r="M299" s="318">
        <v>150.92494199999999</v>
      </c>
      <c r="O299">
        <f>INDEX('MEC - traffic congestion'!$M$145:$M$249,MATCH($D299,'MEC - traffic congestion'!$C$145:$C$249,0))</f>
        <v>1</v>
      </c>
      <c r="P299" t="str">
        <f t="shared" si="8"/>
        <v>2020OFF PEAK</v>
      </c>
      <c r="Q299">
        <f t="shared" si="9"/>
        <v>1</v>
      </c>
      <c r="R299" s="195" t="str">
        <f t="shared" si="10"/>
        <v>2020LIGHT VEHICLES</v>
      </c>
    </row>
    <row r="300" spans="3:18" x14ac:dyDescent="0.25">
      <c r="C300" s="294" t="s">
        <v>773</v>
      </c>
      <c r="D300" s="317">
        <v>100001</v>
      </c>
      <c r="E300" s="122" t="s">
        <v>774</v>
      </c>
      <c r="F300" s="122" t="s">
        <v>775</v>
      </c>
      <c r="G300" s="122" t="s">
        <v>776</v>
      </c>
      <c r="H300" s="122" t="s">
        <v>777</v>
      </c>
      <c r="I300" s="312">
        <v>2020</v>
      </c>
      <c r="J300" s="122" t="s">
        <v>711</v>
      </c>
      <c r="K300" s="283">
        <v>4309</v>
      </c>
      <c r="L300" s="318">
        <v>-33.878180999999998</v>
      </c>
      <c r="M300" s="318">
        <v>150.92494199999999</v>
      </c>
      <c r="O300">
        <f>INDEX('MEC - traffic congestion'!$M$145:$M$249,MATCH($D300,'MEC - traffic congestion'!$C$145:$C$249,0))</f>
        <v>1</v>
      </c>
      <c r="P300" t="str">
        <f t="shared" si="8"/>
        <v>2020PM PEAK</v>
      </c>
      <c r="Q300">
        <f t="shared" si="9"/>
        <v>1</v>
      </c>
      <c r="R300" s="195" t="str">
        <f t="shared" si="10"/>
        <v>2020LIGHT VEHICLES</v>
      </c>
    </row>
    <row r="301" spans="3:18" x14ac:dyDescent="0.25">
      <c r="C301" s="294" t="s">
        <v>773</v>
      </c>
      <c r="D301" s="317">
        <v>100001</v>
      </c>
      <c r="E301" s="122" t="s">
        <v>774</v>
      </c>
      <c r="F301" s="122" t="s">
        <v>775</v>
      </c>
      <c r="G301" s="122" t="s">
        <v>778</v>
      </c>
      <c r="H301" s="122" t="s">
        <v>777</v>
      </c>
      <c r="I301" s="312">
        <v>2020</v>
      </c>
      <c r="J301" s="122" t="s">
        <v>711</v>
      </c>
      <c r="K301" s="283">
        <v>5822</v>
      </c>
      <c r="L301" s="318">
        <v>-33.878180999999998</v>
      </c>
      <c r="M301" s="318">
        <v>150.92494199999999</v>
      </c>
      <c r="O301">
        <f>INDEX('MEC - traffic congestion'!$M$145:$M$249,MATCH($D301,'MEC - traffic congestion'!$C$145:$C$249,0))</f>
        <v>1</v>
      </c>
      <c r="P301" t="str">
        <f t="shared" si="8"/>
        <v>2020PM PEAK</v>
      </c>
      <c r="Q301">
        <f t="shared" si="9"/>
        <v>1</v>
      </c>
      <c r="R301" s="195" t="str">
        <f t="shared" si="10"/>
        <v>2020LIGHT VEHICLES</v>
      </c>
    </row>
    <row r="302" spans="3:18" x14ac:dyDescent="0.25">
      <c r="C302" s="294" t="s">
        <v>773</v>
      </c>
      <c r="D302" s="317">
        <v>100001</v>
      </c>
      <c r="E302" s="122" t="s">
        <v>774</v>
      </c>
      <c r="F302" s="122" t="s">
        <v>775</v>
      </c>
      <c r="G302" s="122" t="s">
        <v>776</v>
      </c>
      <c r="H302" s="122" t="s">
        <v>777</v>
      </c>
      <c r="I302" s="312">
        <v>2020</v>
      </c>
      <c r="J302" s="122" t="s">
        <v>712</v>
      </c>
      <c r="K302" s="283">
        <v>11496</v>
      </c>
      <c r="L302" s="318">
        <v>-33.878180999999998</v>
      </c>
      <c r="M302" s="318">
        <v>150.92494199999999</v>
      </c>
      <c r="O302">
        <f>INDEX('MEC - traffic congestion'!$M$145:$M$249,MATCH($D302,'MEC - traffic congestion'!$C$145:$C$249,0))</f>
        <v>1</v>
      </c>
      <c r="P302" t="str">
        <f t="shared" si="8"/>
        <v>2020PUBLIC HOLIDAYS</v>
      </c>
      <c r="Q302">
        <f t="shared" si="9"/>
        <v>1</v>
      </c>
      <c r="R302" s="195" t="str">
        <f t="shared" si="10"/>
        <v>2020LIGHT VEHICLES</v>
      </c>
    </row>
    <row r="303" spans="3:18" x14ac:dyDescent="0.25">
      <c r="C303" s="294" t="s">
        <v>773</v>
      </c>
      <c r="D303" s="317">
        <v>100001</v>
      </c>
      <c r="E303" s="122" t="s">
        <v>774</v>
      </c>
      <c r="F303" s="122" t="s">
        <v>775</v>
      </c>
      <c r="G303" s="122" t="s">
        <v>778</v>
      </c>
      <c r="H303" s="122" t="s">
        <v>777</v>
      </c>
      <c r="I303" s="312">
        <v>2020</v>
      </c>
      <c r="J303" s="122" t="s">
        <v>712</v>
      </c>
      <c r="K303" s="283">
        <v>12013</v>
      </c>
      <c r="L303" s="318">
        <v>-33.878180999999998</v>
      </c>
      <c r="M303" s="318">
        <v>150.92494199999999</v>
      </c>
      <c r="O303">
        <f>INDEX('MEC - traffic congestion'!$M$145:$M$249,MATCH($D303,'MEC - traffic congestion'!$C$145:$C$249,0))</f>
        <v>1</v>
      </c>
      <c r="P303" t="str">
        <f t="shared" si="8"/>
        <v>2020PUBLIC HOLIDAYS</v>
      </c>
      <c r="Q303">
        <f t="shared" si="9"/>
        <v>1</v>
      </c>
      <c r="R303" s="195" t="str">
        <f t="shared" si="10"/>
        <v>2020LIGHT VEHICLES</v>
      </c>
    </row>
    <row r="304" spans="3:18" x14ac:dyDescent="0.25">
      <c r="C304" s="294" t="s">
        <v>773</v>
      </c>
      <c r="D304" s="317">
        <v>100001</v>
      </c>
      <c r="E304" s="122" t="s">
        <v>774</v>
      </c>
      <c r="F304" s="122" t="s">
        <v>775</v>
      </c>
      <c r="G304" s="122" t="s">
        <v>776</v>
      </c>
      <c r="H304" s="122" t="s">
        <v>777</v>
      </c>
      <c r="I304" s="312">
        <v>2020</v>
      </c>
      <c r="J304" s="122" t="s">
        <v>713</v>
      </c>
      <c r="K304" s="283">
        <v>15098</v>
      </c>
      <c r="L304" s="318">
        <v>-33.878180999999998</v>
      </c>
      <c r="M304" s="318">
        <v>150.92494199999999</v>
      </c>
      <c r="O304">
        <f>INDEX('MEC - traffic congestion'!$M$145:$M$249,MATCH($D304,'MEC - traffic congestion'!$C$145:$C$249,0))</f>
        <v>1</v>
      </c>
      <c r="P304" t="str">
        <f t="shared" si="8"/>
        <v>2020WEEKENDS</v>
      </c>
      <c r="Q304">
        <f t="shared" si="9"/>
        <v>1</v>
      </c>
      <c r="R304" s="195" t="str">
        <f t="shared" si="10"/>
        <v>2020LIGHT VEHICLES</v>
      </c>
    </row>
    <row r="305" spans="3:18" x14ac:dyDescent="0.25">
      <c r="C305" s="294" t="s">
        <v>773</v>
      </c>
      <c r="D305" s="317">
        <v>100001</v>
      </c>
      <c r="E305" s="122" t="s">
        <v>774</v>
      </c>
      <c r="F305" s="122" t="s">
        <v>775</v>
      </c>
      <c r="G305" s="122" t="s">
        <v>778</v>
      </c>
      <c r="H305" s="122" t="s">
        <v>777</v>
      </c>
      <c r="I305" s="312">
        <v>2020</v>
      </c>
      <c r="J305" s="122" t="s">
        <v>713</v>
      </c>
      <c r="K305" s="283">
        <v>16075</v>
      </c>
      <c r="L305" s="318">
        <v>-33.878180999999998</v>
      </c>
      <c r="M305" s="318">
        <v>150.92494199999999</v>
      </c>
      <c r="O305">
        <f>INDEX('MEC - traffic congestion'!$M$145:$M$249,MATCH($D305,'MEC - traffic congestion'!$C$145:$C$249,0))</f>
        <v>1</v>
      </c>
      <c r="P305" t="str">
        <f t="shared" si="8"/>
        <v>2020WEEKENDS</v>
      </c>
      <c r="Q305">
        <f t="shared" si="9"/>
        <v>1</v>
      </c>
      <c r="R305" s="195" t="str">
        <f t="shared" si="10"/>
        <v>2020LIGHT VEHICLES</v>
      </c>
    </row>
    <row r="306" spans="3:18" x14ac:dyDescent="0.25">
      <c r="C306" s="294" t="s">
        <v>773</v>
      </c>
      <c r="D306" s="317">
        <v>100001</v>
      </c>
      <c r="E306" s="122" t="s">
        <v>774</v>
      </c>
      <c r="F306" s="122" t="s">
        <v>775</v>
      </c>
      <c r="G306" s="122" t="s">
        <v>776</v>
      </c>
      <c r="H306" s="122" t="s">
        <v>777</v>
      </c>
      <c r="I306" s="312">
        <v>2021</v>
      </c>
      <c r="J306" s="122" t="s">
        <v>709</v>
      </c>
      <c r="K306" s="283">
        <v>4310</v>
      </c>
      <c r="L306" s="318">
        <v>-33.878180999999998</v>
      </c>
      <c r="M306" s="318">
        <v>150.92494199999999</v>
      </c>
      <c r="O306">
        <f>INDEX('MEC - traffic congestion'!$M$145:$M$249,MATCH($D306,'MEC - traffic congestion'!$C$145:$C$249,0))</f>
        <v>1</v>
      </c>
      <c r="P306" t="str">
        <f t="shared" si="8"/>
        <v>2021AM PEAK</v>
      </c>
      <c r="Q306">
        <f t="shared" si="9"/>
        <v>1</v>
      </c>
      <c r="R306" s="195" t="str">
        <f t="shared" si="10"/>
        <v>2021LIGHT VEHICLES</v>
      </c>
    </row>
    <row r="307" spans="3:18" x14ac:dyDescent="0.25">
      <c r="C307" s="294" t="s">
        <v>773</v>
      </c>
      <c r="D307" s="317">
        <v>100001</v>
      </c>
      <c r="E307" s="122" t="s">
        <v>774</v>
      </c>
      <c r="F307" s="122" t="s">
        <v>775</v>
      </c>
      <c r="G307" s="122" t="s">
        <v>778</v>
      </c>
      <c r="H307" s="122" t="s">
        <v>777</v>
      </c>
      <c r="I307" s="312">
        <v>2021</v>
      </c>
      <c r="J307" s="122" t="s">
        <v>709</v>
      </c>
      <c r="K307" s="283">
        <v>3480</v>
      </c>
      <c r="L307" s="318">
        <v>-33.878180999999998</v>
      </c>
      <c r="M307" s="318">
        <v>150.92494199999999</v>
      </c>
      <c r="O307">
        <f>INDEX('MEC - traffic congestion'!$M$145:$M$249,MATCH($D307,'MEC - traffic congestion'!$C$145:$C$249,0))</f>
        <v>1</v>
      </c>
      <c r="P307" t="str">
        <f t="shared" si="8"/>
        <v>2021AM PEAK</v>
      </c>
      <c r="Q307">
        <f t="shared" si="9"/>
        <v>1</v>
      </c>
      <c r="R307" s="195" t="str">
        <f t="shared" si="10"/>
        <v>2021LIGHT VEHICLES</v>
      </c>
    </row>
    <row r="308" spans="3:18" x14ac:dyDescent="0.25">
      <c r="C308" s="294" t="s">
        <v>773</v>
      </c>
      <c r="D308" s="317">
        <v>100001</v>
      </c>
      <c r="E308" s="122" t="s">
        <v>774</v>
      </c>
      <c r="F308" s="122" t="s">
        <v>775</v>
      </c>
      <c r="G308" s="122" t="s">
        <v>776</v>
      </c>
      <c r="H308" s="122" t="s">
        <v>777</v>
      </c>
      <c r="I308" s="312">
        <v>2021</v>
      </c>
      <c r="J308" s="122" t="s">
        <v>710</v>
      </c>
      <c r="K308" s="283">
        <v>8422</v>
      </c>
      <c r="L308" s="318">
        <v>-33.878180999999998</v>
      </c>
      <c r="M308" s="318">
        <v>150.92494199999999</v>
      </c>
      <c r="O308">
        <f>INDEX('MEC - traffic congestion'!$M$145:$M$249,MATCH($D308,'MEC - traffic congestion'!$C$145:$C$249,0))</f>
        <v>1</v>
      </c>
      <c r="P308" t="str">
        <f t="shared" si="8"/>
        <v>2021OFF PEAK</v>
      </c>
      <c r="Q308">
        <f t="shared" si="9"/>
        <v>1</v>
      </c>
      <c r="R308" s="195" t="str">
        <f t="shared" si="10"/>
        <v>2021LIGHT VEHICLES</v>
      </c>
    </row>
    <row r="309" spans="3:18" x14ac:dyDescent="0.25">
      <c r="C309" s="294" t="s">
        <v>773</v>
      </c>
      <c r="D309" s="317">
        <v>100001</v>
      </c>
      <c r="E309" s="122" t="s">
        <v>774</v>
      </c>
      <c r="F309" s="122" t="s">
        <v>775</v>
      </c>
      <c r="G309" s="122" t="s">
        <v>778</v>
      </c>
      <c r="H309" s="122" t="s">
        <v>777</v>
      </c>
      <c r="I309" s="312">
        <v>2021</v>
      </c>
      <c r="J309" s="122" t="s">
        <v>710</v>
      </c>
      <c r="K309" s="283">
        <v>8826</v>
      </c>
      <c r="L309" s="318">
        <v>-33.878180999999998</v>
      </c>
      <c r="M309" s="318">
        <v>150.92494199999999</v>
      </c>
      <c r="O309">
        <f>INDEX('MEC - traffic congestion'!$M$145:$M$249,MATCH($D309,'MEC - traffic congestion'!$C$145:$C$249,0))</f>
        <v>1</v>
      </c>
      <c r="P309" t="str">
        <f t="shared" si="8"/>
        <v>2021OFF PEAK</v>
      </c>
      <c r="Q309">
        <f t="shared" si="9"/>
        <v>1</v>
      </c>
      <c r="R309" s="195" t="str">
        <f t="shared" si="10"/>
        <v>2021LIGHT VEHICLES</v>
      </c>
    </row>
    <row r="310" spans="3:18" x14ac:dyDescent="0.25">
      <c r="C310" s="294" t="s">
        <v>773</v>
      </c>
      <c r="D310" s="317">
        <v>100001</v>
      </c>
      <c r="E310" s="122" t="s">
        <v>774</v>
      </c>
      <c r="F310" s="122" t="s">
        <v>775</v>
      </c>
      <c r="G310" s="122" t="s">
        <v>776</v>
      </c>
      <c r="H310" s="122" t="s">
        <v>777</v>
      </c>
      <c r="I310" s="312">
        <v>2021</v>
      </c>
      <c r="J310" s="122" t="s">
        <v>711</v>
      </c>
      <c r="K310" s="283">
        <v>3881</v>
      </c>
      <c r="L310" s="318">
        <v>-33.878180999999998</v>
      </c>
      <c r="M310" s="318">
        <v>150.92494199999999</v>
      </c>
      <c r="O310">
        <f>INDEX('MEC - traffic congestion'!$M$145:$M$249,MATCH($D310,'MEC - traffic congestion'!$C$145:$C$249,0))</f>
        <v>1</v>
      </c>
      <c r="P310" t="str">
        <f t="shared" si="8"/>
        <v>2021PM PEAK</v>
      </c>
      <c r="Q310">
        <f t="shared" si="9"/>
        <v>1</v>
      </c>
      <c r="R310" s="195" t="str">
        <f t="shared" si="10"/>
        <v>2021LIGHT VEHICLES</v>
      </c>
    </row>
    <row r="311" spans="3:18" x14ac:dyDescent="0.25">
      <c r="C311" s="294" t="s">
        <v>773</v>
      </c>
      <c r="D311" s="317">
        <v>100001</v>
      </c>
      <c r="E311" s="122" t="s">
        <v>774</v>
      </c>
      <c r="F311" s="122" t="s">
        <v>775</v>
      </c>
      <c r="G311" s="122" t="s">
        <v>778</v>
      </c>
      <c r="H311" s="122" t="s">
        <v>777</v>
      </c>
      <c r="I311" s="312">
        <v>2021</v>
      </c>
      <c r="J311" s="122" t="s">
        <v>711</v>
      </c>
      <c r="K311" s="283">
        <v>5363</v>
      </c>
      <c r="L311" s="318">
        <v>-33.878180999999998</v>
      </c>
      <c r="M311" s="318">
        <v>150.92494199999999</v>
      </c>
      <c r="O311">
        <f>INDEX('MEC - traffic congestion'!$M$145:$M$249,MATCH($D311,'MEC - traffic congestion'!$C$145:$C$249,0))</f>
        <v>1</v>
      </c>
      <c r="P311" t="str">
        <f t="shared" si="8"/>
        <v>2021PM PEAK</v>
      </c>
      <c r="Q311">
        <f t="shared" si="9"/>
        <v>1</v>
      </c>
      <c r="R311" s="195" t="str">
        <f t="shared" si="10"/>
        <v>2021LIGHT VEHICLES</v>
      </c>
    </row>
    <row r="312" spans="3:18" x14ac:dyDescent="0.25">
      <c r="C312" s="294" t="s">
        <v>773</v>
      </c>
      <c r="D312" s="317">
        <v>100001</v>
      </c>
      <c r="E312" s="122" t="s">
        <v>774</v>
      </c>
      <c r="F312" s="122" t="s">
        <v>775</v>
      </c>
      <c r="G312" s="122" t="s">
        <v>776</v>
      </c>
      <c r="H312" s="122" t="s">
        <v>777</v>
      </c>
      <c r="I312" s="312">
        <v>2021</v>
      </c>
      <c r="J312" s="122" t="s">
        <v>713</v>
      </c>
      <c r="K312" s="283">
        <v>13407</v>
      </c>
      <c r="L312" s="318">
        <v>-33.878180999999998</v>
      </c>
      <c r="M312" s="318">
        <v>150.92494199999999</v>
      </c>
      <c r="O312">
        <f>INDEX('MEC - traffic congestion'!$M$145:$M$249,MATCH($D312,'MEC - traffic congestion'!$C$145:$C$249,0))</f>
        <v>1</v>
      </c>
      <c r="P312" t="str">
        <f t="shared" si="8"/>
        <v>2021WEEKENDS</v>
      </c>
      <c r="Q312">
        <f t="shared" si="9"/>
        <v>1</v>
      </c>
      <c r="R312" s="195" t="str">
        <f t="shared" si="10"/>
        <v>2021LIGHT VEHICLES</v>
      </c>
    </row>
    <row r="313" spans="3:18" x14ac:dyDescent="0.25">
      <c r="C313" s="294" t="s">
        <v>773</v>
      </c>
      <c r="D313" s="317">
        <v>100001</v>
      </c>
      <c r="E313" s="122" t="s">
        <v>774</v>
      </c>
      <c r="F313" s="122" t="s">
        <v>775</v>
      </c>
      <c r="G313" s="122" t="s">
        <v>778</v>
      </c>
      <c r="H313" s="122" t="s">
        <v>777</v>
      </c>
      <c r="I313" s="312">
        <v>2021</v>
      </c>
      <c r="J313" s="122" t="s">
        <v>713</v>
      </c>
      <c r="K313" s="283">
        <v>14764</v>
      </c>
      <c r="L313" s="318">
        <v>-33.878180999999998</v>
      </c>
      <c r="M313" s="318">
        <v>150.92494199999999</v>
      </c>
      <c r="O313">
        <f>INDEX('MEC - traffic congestion'!$M$145:$M$249,MATCH($D313,'MEC - traffic congestion'!$C$145:$C$249,0))</f>
        <v>1</v>
      </c>
      <c r="P313" t="str">
        <f t="shared" si="8"/>
        <v>2021WEEKENDS</v>
      </c>
      <c r="Q313">
        <f t="shared" si="9"/>
        <v>1</v>
      </c>
      <c r="R313" s="195" t="str">
        <f t="shared" si="10"/>
        <v>2021LIGHT VEHICLES</v>
      </c>
    </row>
    <row r="314" spans="3:18" x14ac:dyDescent="0.25">
      <c r="C314" s="294" t="s">
        <v>773</v>
      </c>
      <c r="D314" s="317">
        <v>100001</v>
      </c>
      <c r="E314" s="122" t="s">
        <v>774</v>
      </c>
      <c r="F314" s="122" t="s">
        <v>775</v>
      </c>
      <c r="G314" s="122" t="s">
        <v>776</v>
      </c>
      <c r="H314" s="122" t="s">
        <v>777</v>
      </c>
      <c r="I314" s="312">
        <v>2022</v>
      </c>
      <c r="J314" s="122" t="s">
        <v>709</v>
      </c>
      <c r="K314" s="283">
        <v>4432</v>
      </c>
      <c r="L314" s="318">
        <v>-33.878180999999998</v>
      </c>
      <c r="M314" s="318">
        <v>150.92494199999999</v>
      </c>
      <c r="O314">
        <f>INDEX('MEC - traffic congestion'!$M$145:$M$249,MATCH($D314,'MEC - traffic congestion'!$C$145:$C$249,0))</f>
        <v>1</v>
      </c>
      <c r="P314" t="str">
        <f t="shared" si="8"/>
        <v>2022AM PEAK</v>
      </c>
      <c r="Q314">
        <f t="shared" si="9"/>
        <v>1</v>
      </c>
      <c r="R314" s="195" t="str">
        <f t="shared" si="10"/>
        <v>2022LIGHT VEHICLES</v>
      </c>
    </row>
    <row r="315" spans="3:18" x14ac:dyDescent="0.25">
      <c r="C315" s="294" t="s">
        <v>773</v>
      </c>
      <c r="D315" s="317">
        <v>100001</v>
      </c>
      <c r="E315" s="122" t="s">
        <v>774</v>
      </c>
      <c r="F315" s="122" t="s">
        <v>775</v>
      </c>
      <c r="G315" s="122" t="s">
        <v>778</v>
      </c>
      <c r="H315" s="122" t="s">
        <v>777</v>
      </c>
      <c r="I315" s="312">
        <v>2022</v>
      </c>
      <c r="J315" s="122" t="s">
        <v>709</v>
      </c>
      <c r="K315" s="283">
        <v>3552</v>
      </c>
      <c r="L315" s="318">
        <v>-33.878180999999998</v>
      </c>
      <c r="M315" s="318">
        <v>150.92494199999999</v>
      </c>
      <c r="O315">
        <f>INDEX('MEC - traffic congestion'!$M$145:$M$249,MATCH($D315,'MEC - traffic congestion'!$C$145:$C$249,0))</f>
        <v>1</v>
      </c>
      <c r="P315" t="str">
        <f t="shared" si="8"/>
        <v>2022AM PEAK</v>
      </c>
      <c r="Q315">
        <f t="shared" si="9"/>
        <v>1</v>
      </c>
      <c r="R315" s="195" t="str">
        <f t="shared" si="10"/>
        <v>2022LIGHT VEHICLES</v>
      </c>
    </row>
    <row r="316" spans="3:18" x14ac:dyDescent="0.25">
      <c r="C316" s="294" t="s">
        <v>773</v>
      </c>
      <c r="D316" s="317">
        <v>100001</v>
      </c>
      <c r="E316" s="122" t="s">
        <v>774</v>
      </c>
      <c r="F316" s="122" t="s">
        <v>775</v>
      </c>
      <c r="G316" s="122" t="s">
        <v>776</v>
      </c>
      <c r="H316" s="122" t="s">
        <v>777</v>
      </c>
      <c r="I316" s="312">
        <v>2022</v>
      </c>
      <c r="J316" s="122" t="s">
        <v>710</v>
      </c>
      <c r="K316" s="283">
        <v>8617</v>
      </c>
      <c r="L316" s="318">
        <v>-33.878180999999998</v>
      </c>
      <c r="M316" s="318">
        <v>150.92494199999999</v>
      </c>
      <c r="O316">
        <f>INDEX('MEC - traffic congestion'!$M$145:$M$249,MATCH($D316,'MEC - traffic congestion'!$C$145:$C$249,0))</f>
        <v>1</v>
      </c>
      <c r="P316" t="str">
        <f t="shared" si="8"/>
        <v>2022OFF PEAK</v>
      </c>
      <c r="Q316">
        <f t="shared" si="9"/>
        <v>1</v>
      </c>
      <c r="R316" s="195" t="str">
        <f t="shared" si="10"/>
        <v>2022LIGHT VEHICLES</v>
      </c>
    </row>
    <row r="317" spans="3:18" x14ac:dyDescent="0.25">
      <c r="C317" s="294" t="s">
        <v>773</v>
      </c>
      <c r="D317" s="317">
        <v>100001</v>
      </c>
      <c r="E317" s="122" t="s">
        <v>774</v>
      </c>
      <c r="F317" s="122" t="s">
        <v>775</v>
      </c>
      <c r="G317" s="122" t="s">
        <v>778</v>
      </c>
      <c r="H317" s="122" t="s">
        <v>777</v>
      </c>
      <c r="I317" s="312">
        <v>2022</v>
      </c>
      <c r="J317" s="122" t="s">
        <v>710</v>
      </c>
      <c r="K317" s="283">
        <v>9281</v>
      </c>
      <c r="L317" s="318">
        <v>-33.878180999999998</v>
      </c>
      <c r="M317" s="318">
        <v>150.92494199999999</v>
      </c>
      <c r="O317">
        <f>INDEX('MEC - traffic congestion'!$M$145:$M$249,MATCH($D317,'MEC - traffic congestion'!$C$145:$C$249,0))</f>
        <v>1</v>
      </c>
      <c r="P317" t="str">
        <f t="shared" si="8"/>
        <v>2022OFF PEAK</v>
      </c>
      <c r="Q317">
        <f t="shared" si="9"/>
        <v>1</v>
      </c>
      <c r="R317" s="195" t="str">
        <f t="shared" si="10"/>
        <v>2022LIGHT VEHICLES</v>
      </c>
    </row>
    <row r="318" spans="3:18" x14ac:dyDescent="0.25">
      <c r="C318" s="294" t="s">
        <v>773</v>
      </c>
      <c r="D318" s="317">
        <v>100001</v>
      </c>
      <c r="E318" s="122" t="s">
        <v>774</v>
      </c>
      <c r="F318" s="122" t="s">
        <v>775</v>
      </c>
      <c r="G318" s="122" t="s">
        <v>776</v>
      </c>
      <c r="H318" s="122" t="s">
        <v>777</v>
      </c>
      <c r="I318" s="312">
        <v>2022</v>
      </c>
      <c r="J318" s="122" t="s">
        <v>711</v>
      </c>
      <c r="K318" s="283">
        <v>4100</v>
      </c>
      <c r="L318" s="318">
        <v>-33.878180999999998</v>
      </c>
      <c r="M318" s="318">
        <v>150.92494199999999</v>
      </c>
      <c r="O318">
        <f>INDEX('MEC - traffic congestion'!$M$145:$M$249,MATCH($D318,'MEC - traffic congestion'!$C$145:$C$249,0))</f>
        <v>1</v>
      </c>
      <c r="P318" t="str">
        <f t="shared" si="8"/>
        <v>2022PM PEAK</v>
      </c>
      <c r="Q318">
        <f t="shared" si="9"/>
        <v>1</v>
      </c>
      <c r="R318" s="195" t="str">
        <f t="shared" si="10"/>
        <v>2022LIGHT VEHICLES</v>
      </c>
    </row>
    <row r="319" spans="3:18" x14ac:dyDescent="0.25">
      <c r="C319" s="294" t="s">
        <v>773</v>
      </c>
      <c r="D319" s="317">
        <v>100001</v>
      </c>
      <c r="E319" s="122" t="s">
        <v>774</v>
      </c>
      <c r="F319" s="122" t="s">
        <v>775</v>
      </c>
      <c r="G319" s="122" t="s">
        <v>778</v>
      </c>
      <c r="H319" s="122" t="s">
        <v>777</v>
      </c>
      <c r="I319" s="312">
        <v>2022</v>
      </c>
      <c r="J319" s="122" t="s">
        <v>711</v>
      </c>
      <c r="K319" s="283">
        <v>5620</v>
      </c>
      <c r="L319" s="318">
        <v>-33.878180999999998</v>
      </c>
      <c r="M319" s="318">
        <v>150.92494199999999</v>
      </c>
      <c r="O319">
        <f>INDEX('MEC - traffic congestion'!$M$145:$M$249,MATCH($D319,'MEC - traffic congestion'!$C$145:$C$249,0))</f>
        <v>1</v>
      </c>
      <c r="P319" t="str">
        <f t="shared" si="8"/>
        <v>2022PM PEAK</v>
      </c>
      <c r="Q319">
        <f t="shared" si="9"/>
        <v>1</v>
      </c>
      <c r="R319" s="195" t="str">
        <f t="shared" si="10"/>
        <v>2022LIGHT VEHICLES</v>
      </c>
    </row>
    <row r="320" spans="3:18" x14ac:dyDescent="0.25">
      <c r="C320" s="294" t="s">
        <v>773</v>
      </c>
      <c r="D320" s="317">
        <v>100001</v>
      </c>
      <c r="E320" s="122" t="s">
        <v>774</v>
      </c>
      <c r="F320" s="122" t="s">
        <v>775</v>
      </c>
      <c r="G320" s="122" t="s">
        <v>776</v>
      </c>
      <c r="H320" s="122" t="s">
        <v>777</v>
      </c>
      <c r="I320" s="312">
        <v>2022</v>
      </c>
      <c r="J320" s="122" t="s">
        <v>713</v>
      </c>
      <c r="K320" s="283">
        <v>15553</v>
      </c>
      <c r="L320" s="318">
        <v>-33.878180999999998</v>
      </c>
      <c r="M320" s="318">
        <v>150.92494199999999</v>
      </c>
      <c r="O320">
        <f>INDEX('MEC - traffic congestion'!$M$145:$M$249,MATCH($D320,'MEC - traffic congestion'!$C$145:$C$249,0))</f>
        <v>1</v>
      </c>
      <c r="P320" t="str">
        <f t="shared" si="8"/>
        <v>2022WEEKENDS</v>
      </c>
      <c r="Q320">
        <f t="shared" si="9"/>
        <v>1</v>
      </c>
      <c r="R320" s="195" t="str">
        <f t="shared" si="10"/>
        <v>2022LIGHT VEHICLES</v>
      </c>
    </row>
    <row r="321" spans="3:18" x14ac:dyDescent="0.25">
      <c r="C321" s="294" t="s">
        <v>773</v>
      </c>
      <c r="D321" s="317">
        <v>100001</v>
      </c>
      <c r="E321" s="122" t="s">
        <v>774</v>
      </c>
      <c r="F321" s="122" t="s">
        <v>775</v>
      </c>
      <c r="G321" s="122" t="s">
        <v>778</v>
      </c>
      <c r="H321" s="122" t="s">
        <v>777</v>
      </c>
      <c r="I321" s="312">
        <v>2022</v>
      </c>
      <c r="J321" s="122" t="s">
        <v>713</v>
      </c>
      <c r="K321" s="283">
        <v>17313</v>
      </c>
      <c r="L321" s="318">
        <v>-33.878180999999998</v>
      </c>
      <c r="M321" s="318">
        <v>150.92494199999999</v>
      </c>
      <c r="O321">
        <f>INDEX('MEC - traffic congestion'!$M$145:$M$249,MATCH($D321,'MEC - traffic congestion'!$C$145:$C$249,0))</f>
        <v>1</v>
      </c>
      <c r="P321" t="str">
        <f t="shared" si="8"/>
        <v>2022WEEKENDS</v>
      </c>
      <c r="Q321">
        <f t="shared" si="9"/>
        <v>1</v>
      </c>
      <c r="R321" s="195" t="str">
        <f t="shared" si="10"/>
        <v>2022LIGHT VEHICLES</v>
      </c>
    </row>
    <row r="322" spans="3:18" x14ac:dyDescent="0.25">
      <c r="C322" s="294" t="s">
        <v>773</v>
      </c>
      <c r="D322" s="317">
        <v>100001</v>
      </c>
      <c r="E322" s="122" t="s">
        <v>774</v>
      </c>
      <c r="F322" s="122" t="s">
        <v>775</v>
      </c>
      <c r="G322" s="122" t="s">
        <v>776</v>
      </c>
      <c r="H322" s="122" t="s">
        <v>777</v>
      </c>
      <c r="I322" s="312">
        <v>2023</v>
      </c>
      <c r="J322" s="122" t="s">
        <v>709</v>
      </c>
      <c r="K322" s="283">
        <v>4749</v>
      </c>
      <c r="L322" s="318">
        <v>-33.878180999999998</v>
      </c>
      <c r="M322" s="318">
        <v>150.92494199999999</v>
      </c>
      <c r="O322">
        <f>INDEX('MEC - traffic congestion'!$M$145:$M$249,MATCH($D322,'MEC - traffic congestion'!$C$145:$C$249,0))</f>
        <v>1</v>
      </c>
      <c r="P322" t="str">
        <f t="shared" si="8"/>
        <v>2023AM PEAK</v>
      </c>
      <c r="Q322">
        <f t="shared" si="9"/>
        <v>1</v>
      </c>
      <c r="R322" s="195" t="str">
        <f t="shared" si="10"/>
        <v>2023LIGHT VEHICLES</v>
      </c>
    </row>
    <row r="323" spans="3:18" x14ac:dyDescent="0.25">
      <c r="C323" s="294" t="s">
        <v>773</v>
      </c>
      <c r="D323" s="317">
        <v>100001</v>
      </c>
      <c r="E323" s="122" t="s">
        <v>774</v>
      </c>
      <c r="F323" s="122" t="s">
        <v>775</v>
      </c>
      <c r="G323" s="122" t="s">
        <v>778</v>
      </c>
      <c r="H323" s="122" t="s">
        <v>777</v>
      </c>
      <c r="I323" s="312">
        <v>2023</v>
      </c>
      <c r="J323" s="122" t="s">
        <v>709</v>
      </c>
      <c r="K323" s="283">
        <v>3819</v>
      </c>
      <c r="L323" s="318">
        <v>-33.878180999999998</v>
      </c>
      <c r="M323" s="318">
        <v>150.92494199999999</v>
      </c>
      <c r="O323">
        <f>INDEX('MEC - traffic congestion'!$M$145:$M$249,MATCH($D323,'MEC - traffic congestion'!$C$145:$C$249,0))</f>
        <v>1</v>
      </c>
      <c r="P323" t="str">
        <f t="shared" si="8"/>
        <v>2023AM PEAK</v>
      </c>
      <c r="Q323">
        <f t="shared" si="9"/>
        <v>1</v>
      </c>
      <c r="R323" s="195" t="str">
        <f t="shared" si="10"/>
        <v>2023LIGHT VEHICLES</v>
      </c>
    </row>
    <row r="324" spans="3:18" x14ac:dyDescent="0.25">
      <c r="C324" s="294" t="s">
        <v>773</v>
      </c>
      <c r="D324" s="317">
        <v>100001</v>
      </c>
      <c r="E324" s="122" t="s">
        <v>774</v>
      </c>
      <c r="F324" s="122" t="s">
        <v>775</v>
      </c>
      <c r="G324" s="122" t="s">
        <v>776</v>
      </c>
      <c r="H324" s="122" t="s">
        <v>777</v>
      </c>
      <c r="I324" s="312">
        <v>2023</v>
      </c>
      <c r="J324" s="122" t="s">
        <v>710</v>
      </c>
      <c r="K324" s="283">
        <v>9126</v>
      </c>
      <c r="L324" s="318">
        <v>-33.878180999999998</v>
      </c>
      <c r="M324" s="318">
        <v>150.92494199999999</v>
      </c>
      <c r="O324">
        <f>INDEX('MEC - traffic congestion'!$M$145:$M$249,MATCH($D324,'MEC - traffic congestion'!$C$145:$C$249,0))</f>
        <v>1</v>
      </c>
      <c r="P324" t="str">
        <f t="shared" si="8"/>
        <v>2023OFF PEAK</v>
      </c>
      <c r="Q324">
        <f t="shared" si="9"/>
        <v>1</v>
      </c>
      <c r="R324" s="195" t="str">
        <f t="shared" si="10"/>
        <v>2023LIGHT VEHICLES</v>
      </c>
    </row>
    <row r="325" spans="3:18" x14ac:dyDescent="0.25">
      <c r="C325" s="294" t="s">
        <v>773</v>
      </c>
      <c r="D325" s="317">
        <v>100001</v>
      </c>
      <c r="E325" s="122" t="s">
        <v>774</v>
      </c>
      <c r="F325" s="122" t="s">
        <v>775</v>
      </c>
      <c r="G325" s="122" t="s">
        <v>778</v>
      </c>
      <c r="H325" s="122" t="s">
        <v>777</v>
      </c>
      <c r="I325" s="312">
        <v>2023</v>
      </c>
      <c r="J325" s="122" t="s">
        <v>710</v>
      </c>
      <c r="K325" s="283">
        <v>9824</v>
      </c>
      <c r="L325" s="318">
        <v>-33.878180999999998</v>
      </c>
      <c r="M325" s="318">
        <v>150.92494199999999</v>
      </c>
      <c r="O325">
        <f>INDEX('MEC - traffic congestion'!$M$145:$M$249,MATCH($D325,'MEC - traffic congestion'!$C$145:$C$249,0))</f>
        <v>1</v>
      </c>
      <c r="P325" t="str">
        <f t="shared" si="8"/>
        <v>2023OFF PEAK</v>
      </c>
      <c r="Q325">
        <f t="shared" si="9"/>
        <v>1</v>
      </c>
      <c r="R325" s="195" t="str">
        <f t="shared" si="10"/>
        <v>2023LIGHT VEHICLES</v>
      </c>
    </row>
    <row r="326" spans="3:18" x14ac:dyDescent="0.25">
      <c r="C326" s="294" t="s">
        <v>773</v>
      </c>
      <c r="D326" s="317">
        <v>100001</v>
      </c>
      <c r="E326" s="122" t="s">
        <v>774</v>
      </c>
      <c r="F326" s="122" t="s">
        <v>775</v>
      </c>
      <c r="G326" s="122" t="s">
        <v>776</v>
      </c>
      <c r="H326" s="122" t="s">
        <v>777</v>
      </c>
      <c r="I326" s="312">
        <v>2023</v>
      </c>
      <c r="J326" s="122" t="s">
        <v>711</v>
      </c>
      <c r="K326" s="283">
        <v>4034</v>
      </c>
      <c r="L326" s="318">
        <v>-33.878180999999998</v>
      </c>
      <c r="M326" s="318">
        <v>150.92494199999999</v>
      </c>
      <c r="O326">
        <f>INDEX('MEC - traffic congestion'!$M$145:$M$249,MATCH($D326,'MEC - traffic congestion'!$C$145:$C$249,0))</f>
        <v>1</v>
      </c>
      <c r="P326" t="str">
        <f t="shared" si="8"/>
        <v>2023PM PEAK</v>
      </c>
      <c r="Q326">
        <f t="shared" si="9"/>
        <v>1</v>
      </c>
      <c r="R326" s="195" t="str">
        <f t="shared" si="10"/>
        <v>2023LIGHT VEHICLES</v>
      </c>
    </row>
    <row r="327" spans="3:18" x14ac:dyDescent="0.25">
      <c r="C327" s="294" t="s">
        <v>773</v>
      </c>
      <c r="D327" s="317">
        <v>100001</v>
      </c>
      <c r="E327" s="122" t="s">
        <v>774</v>
      </c>
      <c r="F327" s="122" t="s">
        <v>775</v>
      </c>
      <c r="G327" s="122" t="s">
        <v>778</v>
      </c>
      <c r="H327" s="122" t="s">
        <v>777</v>
      </c>
      <c r="I327" s="312">
        <v>2023</v>
      </c>
      <c r="J327" s="122" t="s">
        <v>711</v>
      </c>
      <c r="K327" s="283">
        <v>5993</v>
      </c>
      <c r="L327" s="318">
        <v>-33.878180999999998</v>
      </c>
      <c r="M327" s="318">
        <v>150.92494199999999</v>
      </c>
      <c r="O327">
        <f>INDEX('MEC - traffic congestion'!$M$145:$M$249,MATCH($D327,'MEC - traffic congestion'!$C$145:$C$249,0))</f>
        <v>1</v>
      </c>
      <c r="P327" t="str">
        <f t="shared" si="8"/>
        <v>2023PM PEAK</v>
      </c>
      <c r="Q327">
        <f t="shared" si="9"/>
        <v>1</v>
      </c>
      <c r="R327" s="195" t="str">
        <f t="shared" si="10"/>
        <v>2023LIGHT VEHICLES</v>
      </c>
    </row>
    <row r="328" spans="3:18" x14ac:dyDescent="0.25">
      <c r="C328" s="294" t="s">
        <v>773</v>
      </c>
      <c r="D328" s="317">
        <v>100001</v>
      </c>
      <c r="E328" s="122" t="s">
        <v>774</v>
      </c>
      <c r="F328" s="122" t="s">
        <v>775</v>
      </c>
      <c r="G328" s="122" t="s">
        <v>776</v>
      </c>
      <c r="H328" s="122" t="s">
        <v>777</v>
      </c>
      <c r="I328" s="312">
        <v>2023</v>
      </c>
      <c r="J328" s="122" t="s">
        <v>713</v>
      </c>
      <c r="K328" s="283">
        <v>15813</v>
      </c>
      <c r="L328" s="318">
        <v>-33.878180999999998</v>
      </c>
      <c r="M328" s="318">
        <v>150.92494199999999</v>
      </c>
      <c r="O328">
        <f>INDEX('MEC - traffic congestion'!$M$145:$M$249,MATCH($D328,'MEC - traffic congestion'!$C$145:$C$249,0))</f>
        <v>1</v>
      </c>
      <c r="P328" t="str">
        <f t="shared" si="8"/>
        <v>2023WEEKENDS</v>
      </c>
      <c r="Q328">
        <f t="shared" si="9"/>
        <v>1</v>
      </c>
      <c r="R328" s="195" t="str">
        <f t="shared" si="10"/>
        <v>2023LIGHT VEHICLES</v>
      </c>
    </row>
    <row r="329" spans="3:18" x14ac:dyDescent="0.25">
      <c r="C329" s="294" t="s">
        <v>773</v>
      </c>
      <c r="D329" s="317">
        <v>100001</v>
      </c>
      <c r="E329" s="122" t="s">
        <v>774</v>
      </c>
      <c r="F329" s="122" t="s">
        <v>775</v>
      </c>
      <c r="G329" s="122" t="s">
        <v>778</v>
      </c>
      <c r="H329" s="122" t="s">
        <v>777</v>
      </c>
      <c r="I329" s="312">
        <v>2023</v>
      </c>
      <c r="J329" s="122" t="s">
        <v>713</v>
      </c>
      <c r="K329" s="283">
        <v>17919</v>
      </c>
      <c r="L329" s="318">
        <v>-33.878180999999998</v>
      </c>
      <c r="M329" s="318">
        <v>150.92494199999999</v>
      </c>
      <c r="O329">
        <f>INDEX('MEC - traffic congestion'!$M$145:$M$249,MATCH($D329,'MEC - traffic congestion'!$C$145:$C$249,0))</f>
        <v>1</v>
      </c>
      <c r="P329" t="str">
        <f t="shared" si="8"/>
        <v>2023WEEKENDS</v>
      </c>
      <c r="Q329">
        <f t="shared" si="9"/>
        <v>1</v>
      </c>
      <c r="R329" s="195" t="str">
        <f t="shared" si="10"/>
        <v>2023LIGHT VEHICLES</v>
      </c>
    </row>
    <row r="330" spans="3:18" x14ac:dyDescent="0.25">
      <c r="C330" s="294" t="s">
        <v>773</v>
      </c>
      <c r="D330" s="317">
        <v>100001</v>
      </c>
      <c r="E330" s="122" t="s">
        <v>774</v>
      </c>
      <c r="F330" s="122" t="s">
        <v>775</v>
      </c>
      <c r="G330" s="122" t="s">
        <v>776</v>
      </c>
      <c r="H330" s="122" t="s">
        <v>777</v>
      </c>
      <c r="I330" s="312">
        <v>2024</v>
      </c>
      <c r="J330" s="122" t="s">
        <v>709</v>
      </c>
      <c r="K330" s="283">
        <v>4578</v>
      </c>
      <c r="L330" s="318">
        <v>-33.878180999999998</v>
      </c>
      <c r="M330" s="318">
        <v>150.92494199999999</v>
      </c>
      <c r="O330">
        <f>INDEX('MEC - traffic congestion'!$M$145:$M$249,MATCH($D330,'MEC - traffic congestion'!$C$145:$C$249,0))</f>
        <v>1</v>
      </c>
      <c r="P330" t="str">
        <f t="shared" si="8"/>
        <v>2024AM PEAK</v>
      </c>
      <c r="Q330">
        <f t="shared" si="9"/>
        <v>1</v>
      </c>
      <c r="R330" s="195" t="str">
        <f t="shared" si="10"/>
        <v>2024LIGHT VEHICLES</v>
      </c>
    </row>
    <row r="331" spans="3:18" x14ac:dyDescent="0.25">
      <c r="C331" s="294" t="s">
        <v>773</v>
      </c>
      <c r="D331" s="317">
        <v>100001</v>
      </c>
      <c r="E331" s="122" t="s">
        <v>774</v>
      </c>
      <c r="F331" s="122" t="s">
        <v>775</v>
      </c>
      <c r="G331" s="122" t="s">
        <v>778</v>
      </c>
      <c r="H331" s="122" t="s">
        <v>777</v>
      </c>
      <c r="I331" s="312">
        <v>2024</v>
      </c>
      <c r="J331" s="122" t="s">
        <v>709</v>
      </c>
      <c r="K331" s="283">
        <v>3771</v>
      </c>
      <c r="L331" s="318">
        <v>-33.878180999999998</v>
      </c>
      <c r="M331" s="318">
        <v>150.92494199999999</v>
      </c>
      <c r="O331">
        <f>INDEX('MEC - traffic congestion'!$M$145:$M$249,MATCH($D331,'MEC - traffic congestion'!$C$145:$C$249,0))</f>
        <v>1</v>
      </c>
      <c r="P331" t="str">
        <f t="shared" si="8"/>
        <v>2024AM PEAK</v>
      </c>
      <c r="Q331">
        <f t="shared" si="9"/>
        <v>1</v>
      </c>
      <c r="R331" s="195" t="str">
        <f t="shared" si="10"/>
        <v>2024LIGHT VEHICLES</v>
      </c>
    </row>
    <row r="332" spans="3:18" x14ac:dyDescent="0.25">
      <c r="C332" s="294" t="s">
        <v>773</v>
      </c>
      <c r="D332" s="317">
        <v>100001</v>
      </c>
      <c r="E332" s="122" t="s">
        <v>774</v>
      </c>
      <c r="F332" s="122" t="s">
        <v>775</v>
      </c>
      <c r="G332" s="122" t="s">
        <v>776</v>
      </c>
      <c r="H332" s="122" t="s">
        <v>777</v>
      </c>
      <c r="I332" s="312">
        <v>2024</v>
      </c>
      <c r="J332" s="122" t="s">
        <v>710</v>
      </c>
      <c r="K332" s="283">
        <v>9389</v>
      </c>
      <c r="L332" s="318">
        <v>-33.878180999999998</v>
      </c>
      <c r="M332" s="318">
        <v>150.92494199999999</v>
      </c>
      <c r="O332">
        <f>INDEX('MEC - traffic congestion'!$M$145:$M$249,MATCH($D332,'MEC - traffic congestion'!$C$145:$C$249,0))</f>
        <v>1</v>
      </c>
      <c r="P332" t="str">
        <f t="shared" si="8"/>
        <v>2024OFF PEAK</v>
      </c>
      <c r="Q332">
        <f t="shared" si="9"/>
        <v>1</v>
      </c>
      <c r="R332" s="195" t="str">
        <f t="shared" si="10"/>
        <v>2024LIGHT VEHICLES</v>
      </c>
    </row>
    <row r="333" spans="3:18" x14ac:dyDescent="0.25">
      <c r="C333" s="294" t="s">
        <v>773</v>
      </c>
      <c r="D333" s="317">
        <v>100001</v>
      </c>
      <c r="E333" s="122" t="s">
        <v>774</v>
      </c>
      <c r="F333" s="122" t="s">
        <v>775</v>
      </c>
      <c r="G333" s="122" t="s">
        <v>778</v>
      </c>
      <c r="H333" s="122" t="s">
        <v>777</v>
      </c>
      <c r="I333" s="312">
        <v>2024</v>
      </c>
      <c r="J333" s="122" t="s">
        <v>710</v>
      </c>
      <c r="K333" s="283">
        <v>10132</v>
      </c>
      <c r="L333" s="318">
        <v>-33.878180999999998</v>
      </c>
      <c r="M333" s="318">
        <v>150.92494199999999</v>
      </c>
      <c r="O333">
        <f>INDEX('MEC - traffic congestion'!$M$145:$M$249,MATCH($D333,'MEC - traffic congestion'!$C$145:$C$249,0))</f>
        <v>1</v>
      </c>
      <c r="P333" t="str">
        <f t="shared" si="8"/>
        <v>2024OFF PEAK</v>
      </c>
      <c r="Q333">
        <f t="shared" si="9"/>
        <v>1</v>
      </c>
      <c r="R333" s="195" t="str">
        <f t="shared" si="10"/>
        <v>2024LIGHT VEHICLES</v>
      </c>
    </row>
    <row r="334" spans="3:18" x14ac:dyDescent="0.25">
      <c r="C334" s="294" t="s">
        <v>773</v>
      </c>
      <c r="D334" s="317">
        <v>100001</v>
      </c>
      <c r="E334" s="122" t="s">
        <v>774</v>
      </c>
      <c r="F334" s="122" t="s">
        <v>775</v>
      </c>
      <c r="G334" s="122" t="s">
        <v>776</v>
      </c>
      <c r="H334" s="122" t="s">
        <v>777</v>
      </c>
      <c r="I334" s="312">
        <v>2024</v>
      </c>
      <c r="J334" s="122" t="s">
        <v>711</v>
      </c>
      <c r="K334" s="283">
        <v>4204</v>
      </c>
      <c r="L334" s="318">
        <v>-33.878180999999998</v>
      </c>
      <c r="M334" s="318">
        <v>150.92494199999999</v>
      </c>
      <c r="O334">
        <f>INDEX('MEC - traffic congestion'!$M$145:$M$249,MATCH($D334,'MEC - traffic congestion'!$C$145:$C$249,0))</f>
        <v>1</v>
      </c>
      <c r="P334" t="str">
        <f t="shared" si="8"/>
        <v>2024PM PEAK</v>
      </c>
      <c r="Q334">
        <f t="shared" si="9"/>
        <v>1</v>
      </c>
      <c r="R334" s="195" t="str">
        <f t="shared" si="10"/>
        <v>2024LIGHT VEHICLES</v>
      </c>
    </row>
    <row r="335" spans="3:18" x14ac:dyDescent="0.25">
      <c r="C335" s="294" t="s">
        <v>773</v>
      </c>
      <c r="D335" s="317">
        <v>100001</v>
      </c>
      <c r="E335" s="122" t="s">
        <v>774</v>
      </c>
      <c r="F335" s="122" t="s">
        <v>775</v>
      </c>
      <c r="G335" s="122" t="s">
        <v>778</v>
      </c>
      <c r="H335" s="122" t="s">
        <v>777</v>
      </c>
      <c r="I335" s="312">
        <v>2024</v>
      </c>
      <c r="J335" s="122" t="s">
        <v>711</v>
      </c>
      <c r="K335" s="283">
        <v>5902</v>
      </c>
      <c r="L335" s="318">
        <v>-33.878180999999998</v>
      </c>
      <c r="M335" s="318">
        <v>150.92494199999999</v>
      </c>
      <c r="O335">
        <f>INDEX('MEC - traffic congestion'!$M$145:$M$249,MATCH($D335,'MEC - traffic congestion'!$C$145:$C$249,0))</f>
        <v>1</v>
      </c>
      <c r="P335" t="str">
        <f t="shared" si="8"/>
        <v>2024PM PEAK</v>
      </c>
      <c r="Q335">
        <f t="shared" si="9"/>
        <v>1</v>
      </c>
      <c r="R335" s="195" t="str">
        <f t="shared" si="10"/>
        <v>2024LIGHT VEHICLES</v>
      </c>
    </row>
    <row r="336" spans="3:18" x14ac:dyDescent="0.25">
      <c r="C336" s="294" t="s">
        <v>773</v>
      </c>
      <c r="D336" s="317">
        <v>100001</v>
      </c>
      <c r="E336" s="122" t="s">
        <v>774</v>
      </c>
      <c r="F336" s="122" t="s">
        <v>775</v>
      </c>
      <c r="G336" s="122" t="s">
        <v>776</v>
      </c>
      <c r="H336" s="122" t="s">
        <v>777</v>
      </c>
      <c r="I336" s="312">
        <v>2024</v>
      </c>
      <c r="J336" s="122" t="s">
        <v>713</v>
      </c>
      <c r="K336" s="283">
        <v>16188</v>
      </c>
      <c r="L336" s="318">
        <v>-33.878180999999998</v>
      </c>
      <c r="M336" s="318">
        <v>150.92494199999999</v>
      </c>
      <c r="O336">
        <f>INDEX('MEC - traffic congestion'!$M$145:$M$249,MATCH($D336,'MEC - traffic congestion'!$C$145:$C$249,0))</f>
        <v>1</v>
      </c>
      <c r="P336" t="str">
        <f t="shared" si="8"/>
        <v>2024WEEKENDS</v>
      </c>
      <c r="Q336">
        <f t="shared" si="9"/>
        <v>1</v>
      </c>
      <c r="R336" s="195" t="str">
        <f t="shared" si="10"/>
        <v>2024LIGHT VEHICLES</v>
      </c>
    </row>
    <row r="337" spans="3:18" x14ac:dyDescent="0.25">
      <c r="C337" s="294" t="s">
        <v>773</v>
      </c>
      <c r="D337" s="317">
        <v>100001</v>
      </c>
      <c r="E337" s="122" t="s">
        <v>774</v>
      </c>
      <c r="F337" s="122" t="s">
        <v>775</v>
      </c>
      <c r="G337" s="122" t="s">
        <v>778</v>
      </c>
      <c r="H337" s="122" t="s">
        <v>777</v>
      </c>
      <c r="I337" s="312">
        <v>2024</v>
      </c>
      <c r="J337" s="122" t="s">
        <v>713</v>
      </c>
      <c r="K337" s="283">
        <v>18414</v>
      </c>
      <c r="L337" s="318">
        <v>-33.878180999999998</v>
      </c>
      <c r="M337" s="318">
        <v>150.92494199999999</v>
      </c>
      <c r="O337">
        <f>INDEX('MEC - traffic congestion'!$M$145:$M$249,MATCH($D337,'MEC - traffic congestion'!$C$145:$C$249,0))</f>
        <v>1</v>
      </c>
      <c r="P337" t="str">
        <f t="shared" si="8"/>
        <v>2024WEEKENDS</v>
      </c>
      <c r="Q337">
        <f t="shared" si="9"/>
        <v>1</v>
      </c>
      <c r="R337" s="195" t="str">
        <f t="shared" si="10"/>
        <v>2024LIGHT VEHICLES</v>
      </c>
    </row>
    <row r="338" spans="3:18" x14ac:dyDescent="0.25">
      <c r="C338" s="294" t="s">
        <v>779</v>
      </c>
      <c r="D338" s="317">
        <v>100004</v>
      </c>
      <c r="E338" s="122" t="s">
        <v>780</v>
      </c>
      <c r="F338" s="122" t="s">
        <v>781</v>
      </c>
      <c r="G338" s="122" t="s">
        <v>776</v>
      </c>
      <c r="H338" s="122" t="s">
        <v>777</v>
      </c>
      <c r="I338" s="312">
        <v>2018</v>
      </c>
      <c r="J338" s="122" t="s">
        <v>709</v>
      </c>
      <c r="K338" s="283">
        <v>441</v>
      </c>
      <c r="L338" s="318">
        <v>-34.259788999999998</v>
      </c>
      <c r="M338" s="318">
        <v>150.96946700000001</v>
      </c>
      <c r="O338">
        <f>INDEX('MEC - traffic congestion'!$M$145:$M$249,MATCH($D338,'MEC - traffic congestion'!$C$145:$C$249,0))</f>
        <v>0</v>
      </c>
      <c r="P338" t="str">
        <f t="shared" si="8"/>
        <v/>
      </c>
      <c r="Q338">
        <f t="shared" si="9"/>
        <v>1</v>
      </c>
      <c r="R338" s="195" t="str">
        <f t="shared" si="10"/>
        <v/>
      </c>
    </row>
    <row r="339" spans="3:18" x14ac:dyDescent="0.25">
      <c r="C339" s="294" t="s">
        <v>779</v>
      </c>
      <c r="D339" s="317">
        <v>100004</v>
      </c>
      <c r="E339" s="122" t="s">
        <v>780</v>
      </c>
      <c r="F339" s="122" t="s">
        <v>781</v>
      </c>
      <c r="G339" s="122" t="s">
        <v>778</v>
      </c>
      <c r="H339" s="122" t="s">
        <v>777</v>
      </c>
      <c r="I339" s="312">
        <v>2018</v>
      </c>
      <c r="J339" s="122" t="s">
        <v>709</v>
      </c>
      <c r="K339" s="283">
        <v>337</v>
      </c>
      <c r="L339" s="318">
        <v>-34.259788999999998</v>
      </c>
      <c r="M339" s="318">
        <v>150.96946700000001</v>
      </c>
      <c r="O339">
        <f>INDEX('MEC - traffic congestion'!$M$145:$M$249,MATCH($D339,'MEC - traffic congestion'!$C$145:$C$249,0))</f>
        <v>0</v>
      </c>
      <c r="P339" t="str">
        <f t="shared" si="8"/>
        <v/>
      </c>
      <c r="Q339">
        <f t="shared" si="9"/>
        <v>1</v>
      </c>
      <c r="R339" s="195" t="str">
        <f t="shared" si="10"/>
        <v/>
      </c>
    </row>
    <row r="340" spans="3:18" x14ac:dyDescent="0.25">
      <c r="C340" s="294" t="s">
        <v>779</v>
      </c>
      <c r="D340" s="317">
        <v>100004</v>
      </c>
      <c r="E340" s="122" t="s">
        <v>780</v>
      </c>
      <c r="F340" s="122" t="s">
        <v>781</v>
      </c>
      <c r="G340" s="122" t="s">
        <v>776</v>
      </c>
      <c r="H340" s="122" t="s">
        <v>777</v>
      </c>
      <c r="I340" s="312">
        <v>2018</v>
      </c>
      <c r="J340" s="122" t="s">
        <v>710</v>
      </c>
      <c r="K340" s="283">
        <v>947</v>
      </c>
      <c r="L340" s="318">
        <v>-34.259788999999998</v>
      </c>
      <c r="M340" s="318">
        <v>150.96946700000001</v>
      </c>
      <c r="O340">
        <f>INDEX('MEC - traffic congestion'!$M$145:$M$249,MATCH($D340,'MEC - traffic congestion'!$C$145:$C$249,0))</f>
        <v>0</v>
      </c>
      <c r="P340" t="str">
        <f t="shared" si="8"/>
        <v/>
      </c>
      <c r="Q340">
        <f t="shared" si="9"/>
        <v>1</v>
      </c>
      <c r="R340" s="195" t="str">
        <f t="shared" si="10"/>
        <v/>
      </c>
    </row>
    <row r="341" spans="3:18" x14ac:dyDescent="0.25">
      <c r="C341" s="294" t="s">
        <v>779</v>
      </c>
      <c r="D341" s="317">
        <v>100004</v>
      </c>
      <c r="E341" s="122" t="s">
        <v>780</v>
      </c>
      <c r="F341" s="122" t="s">
        <v>781</v>
      </c>
      <c r="G341" s="122" t="s">
        <v>778</v>
      </c>
      <c r="H341" s="122" t="s">
        <v>777</v>
      </c>
      <c r="I341" s="312">
        <v>2018</v>
      </c>
      <c r="J341" s="122" t="s">
        <v>710</v>
      </c>
      <c r="K341" s="283">
        <v>1010</v>
      </c>
      <c r="L341" s="318">
        <v>-34.259788999999998</v>
      </c>
      <c r="M341" s="318">
        <v>150.96946700000001</v>
      </c>
      <c r="O341">
        <f>INDEX('MEC - traffic congestion'!$M$145:$M$249,MATCH($D341,'MEC - traffic congestion'!$C$145:$C$249,0))</f>
        <v>0</v>
      </c>
      <c r="P341" t="str">
        <f t="shared" ref="P341:P404" si="11">IF($O341=1,$I341&amp;$J341,"")</f>
        <v/>
      </c>
      <c r="Q341">
        <f t="shared" ref="Q341:Q404" si="12">IF(AND($M341&gt;150.246,AND($L341&gt;-34.397,$L341&lt;-32.662)),1,0)</f>
        <v>1</v>
      </c>
      <c r="R341" s="195" t="str">
        <f t="shared" ref="R341:R404" si="13">IF($O341=1,$I341&amp;$H341,"")</f>
        <v/>
      </c>
    </row>
    <row r="342" spans="3:18" x14ac:dyDescent="0.25">
      <c r="C342" s="294" t="s">
        <v>779</v>
      </c>
      <c r="D342" s="317">
        <v>100004</v>
      </c>
      <c r="E342" s="122" t="s">
        <v>780</v>
      </c>
      <c r="F342" s="122" t="s">
        <v>781</v>
      </c>
      <c r="G342" s="122" t="s">
        <v>776</v>
      </c>
      <c r="H342" s="122" t="s">
        <v>777</v>
      </c>
      <c r="I342" s="312">
        <v>2018</v>
      </c>
      <c r="J342" s="122" t="s">
        <v>711</v>
      </c>
      <c r="K342" s="283">
        <v>411</v>
      </c>
      <c r="L342" s="318">
        <v>-34.259788999999998</v>
      </c>
      <c r="M342" s="318">
        <v>150.96946700000001</v>
      </c>
      <c r="O342">
        <f>INDEX('MEC - traffic congestion'!$M$145:$M$249,MATCH($D342,'MEC - traffic congestion'!$C$145:$C$249,0))</f>
        <v>0</v>
      </c>
      <c r="P342" t="str">
        <f t="shared" si="11"/>
        <v/>
      </c>
      <c r="Q342">
        <f t="shared" si="12"/>
        <v>1</v>
      </c>
      <c r="R342" s="195" t="str">
        <f t="shared" si="13"/>
        <v/>
      </c>
    </row>
    <row r="343" spans="3:18" x14ac:dyDescent="0.25">
      <c r="C343" s="294" t="s">
        <v>779</v>
      </c>
      <c r="D343" s="317">
        <v>100004</v>
      </c>
      <c r="E343" s="122" t="s">
        <v>780</v>
      </c>
      <c r="F343" s="122" t="s">
        <v>781</v>
      </c>
      <c r="G343" s="122" t="s">
        <v>778</v>
      </c>
      <c r="H343" s="122" t="s">
        <v>777</v>
      </c>
      <c r="I343" s="312">
        <v>2018</v>
      </c>
      <c r="J343" s="122" t="s">
        <v>711</v>
      </c>
      <c r="K343" s="283">
        <v>565</v>
      </c>
      <c r="L343" s="318">
        <v>-34.259788999999998</v>
      </c>
      <c r="M343" s="318">
        <v>150.96946700000001</v>
      </c>
      <c r="O343">
        <f>INDEX('MEC - traffic congestion'!$M$145:$M$249,MATCH($D343,'MEC - traffic congestion'!$C$145:$C$249,0))</f>
        <v>0</v>
      </c>
      <c r="P343" t="str">
        <f t="shared" si="11"/>
        <v/>
      </c>
      <c r="Q343">
        <f t="shared" si="12"/>
        <v>1</v>
      </c>
      <c r="R343" s="195" t="str">
        <f t="shared" si="13"/>
        <v/>
      </c>
    </row>
    <row r="344" spans="3:18" x14ac:dyDescent="0.25">
      <c r="C344" s="294" t="s">
        <v>779</v>
      </c>
      <c r="D344" s="317">
        <v>100004</v>
      </c>
      <c r="E344" s="122" t="s">
        <v>780</v>
      </c>
      <c r="F344" s="122" t="s">
        <v>781</v>
      </c>
      <c r="G344" s="122" t="s">
        <v>776</v>
      </c>
      <c r="H344" s="122" t="s">
        <v>777</v>
      </c>
      <c r="I344" s="312">
        <v>2018</v>
      </c>
      <c r="J344" s="122" t="s">
        <v>713</v>
      </c>
      <c r="K344" s="283">
        <v>2693</v>
      </c>
      <c r="L344" s="318">
        <v>-34.259788999999998</v>
      </c>
      <c r="M344" s="318">
        <v>150.96946700000001</v>
      </c>
      <c r="O344">
        <f>INDEX('MEC - traffic congestion'!$M$145:$M$249,MATCH($D344,'MEC - traffic congestion'!$C$145:$C$249,0))</f>
        <v>0</v>
      </c>
      <c r="P344" t="str">
        <f t="shared" si="11"/>
        <v/>
      </c>
      <c r="Q344">
        <f t="shared" si="12"/>
        <v>1</v>
      </c>
      <c r="R344" s="195" t="str">
        <f t="shared" si="13"/>
        <v/>
      </c>
    </row>
    <row r="345" spans="3:18" x14ac:dyDescent="0.25">
      <c r="C345" s="294" t="s">
        <v>779</v>
      </c>
      <c r="D345" s="317">
        <v>100004</v>
      </c>
      <c r="E345" s="122" t="s">
        <v>780</v>
      </c>
      <c r="F345" s="122" t="s">
        <v>781</v>
      </c>
      <c r="G345" s="122" t="s">
        <v>778</v>
      </c>
      <c r="H345" s="122" t="s">
        <v>777</v>
      </c>
      <c r="I345" s="312">
        <v>2018</v>
      </c>
      <c r="J345" s="122" t="s">
        <v>713</v>
      </c>
      <c r="K345" s="283">
        <v>2849</v>
      </c>
      <c r="L345" s="318">
        <v>-34.259788999999998</v>
      </c>
      <c r="M345" s="318">
        <v>150.96946700000001</v>
      </c>
      <c r="O345">
        <f>INDEX('MEC - traffic congestion'!$M$145:$M$249,MATCH($D345,'MEC - traffic congestion'!$C$145:$C$249,0))</f>
        <v>0</v>
      </c>
      <c r="P345" t="str">
        <f t="shared" si="11"/>
        <v/>
      </c>
      <c r="Q345">
        <f t="shared" si="12"/>
        <v>1</v>
      </c>
      <c r="R345" s="195" t="str">
        <f t="shared" si="13"/>
        <v/>
      </c>
    </row>
    <row r="346" spans="3:18" x14ac:dyDescent="0.25">
      <c r="C346" s="294" t="s">
        <v>779</v>
      </c>
      <c r="D346" s="317">
        <v>100004</v>
      </c>
      <c r="E346" s="122" t="s">
        <v>780</v>
      </c>
      <c r="F346" s="122" t="s">
        <v>781</v>
      </c>
      <c r="G346" s="122" t="s">
        <v>776</v>
      </c>
      <c r="H346" s="122" t="s">
        <v>777</v>
      </c>
      <c r="I346" s="312">
        <v>2019</v>
      </c>
      <c r="J346" s="122" t="s">
        <v>709</v>
      </c>
      <c r="K346" s="283">
        <v>445</v>
      </c>
      <c r="L346" s="318">
        <v>-34.259788999999998</v>
      </c>
      <c r="M346" s="318">
        <v>150.96946700000001</v>
      </c>
      <c r="O346">
        <f>INDEX('MEC - traffic congestion'!$M$145:$M$249,MATCH($D346,'MEC - traffic congestion'!$C$145:$C$249,0))</f>
        <v>0</v>
      </c>
      <c r="P346" t="str">
        <f t="shared" si="11"/>
        <v/>
      </c>
      <c r="Q346">
        <f t="shared" si="12"/>
        <v>1</v>
      </c>
      <c r="R346" s="195" t="str">
        <f t="shared" si="13"/>
        <v/>
      </c>
    </row>
    <row r="347" spans="3:18" x14ac:dyDescent="0.25">
      <c r="C347" s="294" t="s">
        <v>779</v>
      </c>
      <c r="D347" s="317">
        <v>100004</v>
      </c>
      <c r="E347" s="122" t="s">
        <v>780</v>
      </c>
      <c r="F347" s="122" t="s">
        <v>781</v>
      </c>
      <c r="G347" s="122" t="s">
        <v>778</v>
      </c>
      <c r="H347" s="122" t="s">
        <v>777</v>
      </c>
      <c r="I347" s="312">
        <v>2019</v>
      </c>
      <c r="J347" s="122" t="s">
        <v>709</v>
      </c>
      <c r="K347" s="283">
        <v>349</v>
      </c>
      <c r="L347" s="318">
        <v>-34.259788999999998</v>
      </c>
      <c r="M347" s="318">
        <v>150.96946700000001</v>
      </c>
      <c r="O347">
        <f>INDEX('MEC - traffic congestion'!$M$145:$M$249,MATCH($D347,'MEC - traffic congestion'!$C$145:$C$249,0))</f>
        <v>0</v>
      </c>
      <c r="P347" t="str">
        <f t="shared" si="11"/>
        <v/>
      </c>
      <c r="Q347">
        <f t="shared" si="12"/>
        <v>1</v>
      </c>
      <c r="R347" s="195" t="str">
        <f t="shared" si="13"/>
        <v/>
      </c>
    </row>
    <row r="348" spans="3:18" x14ac:dyDescent="0.25">
      <c r="C348" s="294" t="s">
        <v>779</v>
      </c>
      <c r="D348" s="317">
        <v>100004</v>
      </c>
      <c r="E348" s="122" t="s">
        <v>780</v>
      </c>
      <c r="F348" s="122" t="s">
        <v>781</v>
      </c>
      <c r="G348" s="122" t="s">
        <v>776</v>
      </c>
      <c r="H348" s="122" t="s">
        <v>777</v>
      </c>
      <c r="I348" s="312">
        <v>2019</v>
      </c>
      <c r="J348" s="122" t="s">
        <v>710</v>
      </c>
      <c r="K348" s="283">
        <v>962</v>
      </c>
      <c r="L348" s="318">
        <v>-34.259788999999998</v>
      </c>
      <c r="M348" s="318">
        <v>150.96946700000001</v>
      </c>
      <c r="O348">
        <f>INDEX('MEC - traffic congestion'!$M$145:$M$249,MATCH($D348,'MEC - traffic congestion'!$C$145:$C$249,0))</f>
        <v>0</v>
      </c>
      <c r="P348" t="str">
        <f t="shared" si="11"/>
        <v/>
      </c>
      <c r="Q348">
        <f t="shared" si="12"/>
        <v>1</v>
      </c>
      <c r="R348" s="195" t="str">
        <f t="shared" si="13"/>
        <v/>
      </c>
    </row>
    <row r="349" spans="3:18" x14ac:dyDescent="0.25">
      <c r="C349" s="294" t="s">
        <v>779</v>
      </c>
      <c r="D349" s="317">
        <v>100004</v>
      </c>
      <c r="E349" s="122" t="s">
        <v>780</v>
      </c>
      <c r="F349" s="122" t="s">
        <v>781</v>
      </c>
      <c r="G349" s="122" t="s">
        <v>778</v>
      </c>
      <c r="H349" s="122" t="s">
        <v>777</v>
      </c>
      <c r="I349" s="312">
        <v>2019</v>
      </c>
      <c r="J349" s="122" t="s">
        <v>710</v>
      </c>
      <c r="K349" s="283">
        <v>1018</v>
      </c>
      <c r="L349" s="318">
        <v>-34.259788999999998</v>
      </c>
      <c r="M349" s="318">
        <v>150.96946700000001</v>
      </c>
      <c r="O349">
        <f>INDEX('MEC - traffic congestion'!$M$145:$M$249,MATCH($D349,'MEC - traffic congestion'!$C$145:$C$249,0))</f>
        <v>0</v>
      </c>
      <c r="P349" t="str">
        <f t="shared" si="11"/>
        <v/>
      </c>
      <c r="Q349">
        <f t="shared" si="12"/>
        <v>1</v>
      </c>
      <c r="R349" s="195" t="str">
        <f t="shared" si="13"/>
        <v/>
      </c>
    </row>
    <row r="350" spans="3:18" x14ac:dyDescent="0.25">
      <c r="C350" s="294" t="s">
        <v>779</v>
      </c>
      <c r="D350" s="317">
        <v>100004</v>
      </c>
      <c r="E350" s="122" t="s">
        <v>780</v>
      </c>
      <c r="F350" s="122" t="s">
        <v>781</v>
      </c>
      <c r="G350" s="122" t="s">
        <v>776</v>
      </c>
      <c r="H350" s="122" t="s">
        <v>777</v>
      </c>
      <c r="I350" s="312">
        <v>2019</v>
      </c>
      <c r="J350" s="122" t="s">
        <v>711</v>
      </c>
      <c r="K350" s="283">
        <v>421</v>
      </c>
      <c r="L350" s="318">
        <v>-34.259788999999998</v>
      </c>
      <c r="M350" s="318">
        <v>150.96946700000001</v>
      </c>
      <c r="O350">
        <f>INDEX('MEC - traffic congestion'!$M$145:$M$249,MATCH($D350,'MEC - traffic congestion'!$C$145:$C$249,0))</f>
        <v>0</v>
      </c>
      <c r="P350" t="str">
        <f t="shared" si="11"/>
        <v/>
      </c>
      <c r="Q350">
        <f t="shared" si="12"/>
        <v>1</v>
      </c>
      <c r="R350" s="195" t="str">
        <f t="shared" si="13"/>
        <v/>
      </c>
    </row>
    <row r="351" spans="3:18" x14ac:dyDescent="0.25">
      <c r="C351" s="294" t="s">
        <v>779</v>
      </c>
      <c r="D351" s="317">
        <v>100004</v>
      </c>
      <c r="E351" s="122" t="s">
        <v>780</v>
      </c>
      <c r="F351" s="122" t="s">
        <v>781</v>
      </c>
      <c r="G351" s="122" t="s">
        <v>778</v>
      </c>
      <c r="H351" s="122" t="s">
        <v>777</v>
      </c>
      <c r="I351" s="312">
        <v>2019</v>
      </c>
      <c r="J351" s="122" t="s">
        <v>711</v>
      </c>
      <c r="K351" s="283">
        <v>555</v>
      </c>
      <c r="L351" s="318">
        <v>-34.259788999999998</v>
      </c>
      <c r="M351" s="318">
        <v>150.96946700000001</v>
      </c>
      <c r="O351">
        <f>INDEX('MEC - traffic congestion'!$M$145:$M$249,MATCH($D351,'MEC - traffic congestion'!$C$145:$C$249,0))</f>
        <v>0</v>
      </c>
      <c r="P351" t="str">
        <f t="shared" si="11"/>
        <v/>
      </c>
      <c r="Q351">
        <f t="shared" si="12"/>
        <v>1</v>
      </c>
      <c r="R351" s="195" t="str">
        <f t="shared" si="13"/>
        <v/>
      </c>
    </row>
    <row r="352" spans="3:18" x14ac:dyDescent="0.25">
      <c r="C352" s="294" t="s">
        <v>779</v>
      </c>
      <c r="D352" s="317">
        <v>100004</v>
      </c>
      <c r="E352" s="122" t="s">
        <v>780</v>
      </c>
      <c r="F352" s="122" t="s">
        <v>781</v>
      </c>
      <c r="G352" s="122" t="s">
        <v>776</v>
      </c>
      <c r="H352" s="122" t="s">
        <v>777</v>
      </c>
      <c r="I352" s="312">
        <v>2019</v>
      </c>
      <c r="J352" s="122" t="s">
        <v>712</v>
      </c>
      <c r="K352" s="283">
        <v>2460</v>
      </c>
      <c r="L352" s="318">
        <v>-34.259788999999998</v>
      </c>
      <c r="M352" s="318">
        <v>150.96946700000001</v>
      </c>
      <c r="O352">
        <f>INDEX('MEC - traffic congestion'!$M$145:$M$249,MATCH($D352,'MEC - traffic congestion'!$C$145:$C$249,0))</f>
        <v>0</v>
      </c>
      <c r="P352" t="str">
        <f t="shared" si="11"/>
        <v/>
      </c>
      <c r="Q352">
        <f t="shared" si="12"/>
        <v>1</v>
      </c>
      <c r="R352" s="195" t="str">
        <f t="shared" si="13"/>
        <v/>
      </c>
    </row>
    <row r="353" spans="3:18" x14ac:dyDescent="0.25">
      <c r="C353" s="294" t="s">
        <v>779</v>
      </c>
      <c r="D353" s="317">
        <v>100004</v>
      </c>
      <c r="E353" s="122" t="s">
        <v>780</v>
      </c>
      <c r="F353" s="122" t="s">
        <v>781</v>
      </c>
      <c r="G353" s="122" t="s">
        <v>778</v>
      </c>
      <c r="H353" s="122" t="s">
        <v>777</v>
      </c>
      <c r="I353" s="312">
        <v>2019</v>
      </c>
      <c r="J353" s="122" t="s">
        <v>712</v>
      </c>
      <c r="K353" s="283">
        <v>3282</v>
      </c>
      <c r="L353" s="318">
        <v>-34.259788999999998</v>
      </c>
      <c r="M353" s="318">
        <v>150.96946700000001</v>
      </c>
      <c r="O353">
        <f>INDEX('MEC - traffic congestion'!$M$145:$M$249,MATCH($D353,'MEC - traffic congestion'!$C$145:$C$249,0))</f>
        <v>0</v>
      </c>
      <c r="P353" t="str">
        <f t="shared" si="11"/>
        <v/>
      </c>
      <c r="Q353">
        <f t="shared" si="12"/>
        <v>1</v>
      </c>
      <c r="R353" s="195" t="str">
        <f t="shared" si="13"/>
        <v/>
      </c>
    </row>
    <row r="354" spans="3:18" x14ac:dyDescent="0.25">
      <c r="C354" s="294" t="s">
        <v>779</v>
      </c>
      <c r="D354" s="317">
        <v>100004</v>
      </c>
      <c r="E354" s="122" t="s">
        <v>780</v>
      </c>
      <c r="F354" s="122" t="s">
        <v>781</v>
      </c>
      <c r="G354" s="122" t="s">
        <v>776</v>
      </c>
      <c r="H354" s="122" t="s">
        <v>777</v>
      </c>
      <c r="I354" s="312">
        <v>2019</v>
      </c>
      <c r="J354" s="122" t="s">
        <v>713</v>
      </c>
      <c r="K354" s="283">
        <v>2674</v>
      </c>
      <c r="L354" s="318">
        <v>-34.259788999999998</v>
      </c>
      <c r="M354" s="318">
        <v>150.96946700000001</v>
      </c>
      <c r="O354">
        <f>INDEX('MEC - traffic congestion'!$M$145:$M$249,MATCH($D354,'MEC - traffic congestion'!$C$145:$C$249,0))</f>
        <v>0</v>
      </c>
      <c r="P354" t="str">
        <f t="shared" si="11"/>
        <v/>
      </c>
      <c r="Q354">
        <f t="shared" si="12"/>
        <v>1</v>
      </c>
      <c r="R354" s="195" t="str">
        <f t="shared" si="13"/>
        <v/>
      </c>
    </row>
    <row r="355" spans="3:18" x14ac:dyDescent="0.25">
      <c r="C355" s="294" t="s">
        <v>779</v>
      </c>
      <c r="D355" s="317">
        <v>100004</v>
      </c>
      <c r="E355" s="122" t="s">
        <v>780</v>
      </c>
      <c r="F355" s="122" t="s">
        <v>781</v>
      </c>
      <c r="G355" s="122" t="s">
        <v>778</v>
      </c>
      <c r="H355" s="122" t="s">
        <v>777</v>
      </c>
      <c r="I355" s="312">
        <v>2019</v>
      </c>
      <c r="J355" s="122" t="s">
        <v>713</v>
      </c>
      <c r="K355" s="283">
        <v>2853</v>
      </c>
      <c r="L355" s="318">
        <v>-34.259788999999998</v>
      </c>
      <c r="M355" s="318">
        <v>150.96946700000001</v>
      </c>
      <c r="O355">
        <f>INDEX('MEC - traffic congestion'!$M$145:$M$249,MATCH($D355,'MEC - traffic congestion'!$C$145:$C$249,0))</f>
        <v>0</v>
      </c>
      <c r="P355" t="str">
        <f t="shared" si="11"/>
        <v/>
      </c>
      <c r="Q355">
        <f t="shared" si="12"/>
        <v>1</v>
      </c>
      <c r="R355" s="195" t="str">
        <f t="shared" si="13"/>
        <v/>
      </c>
    </row>
    <row r="356" spans="3:18" x14ac:dyDescent="0.25">
      <c r="C356" s="294" t="s">
        <v>779</v>
      </c>
      <c r="D356" s="317">
        <v>100004</v>
      </c>
      <c r="E356" s="122" t="s">
        <v>780</v>
      </c>
      <c r="F356" s="122" t="s">
        <v>781</v>
      </c>
      <c r="G356" s="122" t="s">
        <v>776</v>
      </c>
      <c r="H356" s="122" t="s">
        <v>777</v>
      </c>
      <c r="I356" s="312">
        <v>2020</v>
      </c>
      <c r="J356" s="122" t="s">
        <v>709</v>
      </c>
      <c r="K356" s="283">
        <v>385</v>
      </c>
      <c r="L356" s="318">
        <v>-34.259788999999998</v>
      </c>
      <c r="M356" s="318">
        <v>150.96946700000001</v>
      </c>
      <c r="O356">
        <f>INDEX('MEC - traffic congestion'!$M$145:$M$249,MATCH($D356,'MEC - traffic congestion'!$C$145:$C$249,0))</f>
        <v>0</v>
      </c>
      <c r="P356" t="str">
        <f t="shared" si="11"/>
        <v/>
      </c>
      <c r="Q356">
        <f t="shared" si="12"/>
        <v>1</v>
      </c>
      <c r="R356" s="195" t="str">
        <f t="shared" si="13"/>
        <v/>
      </c>
    </row>
    <row r="357" spans="3:18" x14ac:dyDescent="0.25">
      <c r="C357" s="294" t="s">
        <v>779</v>
      </c>
      <c r="D357" s="317">
        <v>100004</v>
      </c>
      <c r="E357" s="122" t="s">
        <v>780</v>
      </c>
      <c r="F357" s="122" t="s">
        <v>781</v>
      </c>
      <c r="G357" s="122" t="s">
        <v>778</v>
      </c>
      <c r="H357" s="122" t="s">
        <v>777</v>
      </c>
      <c r="I357" s="312">
        <v>2020</v>
      </c>
      <c r="J357" s="122" t="s">
        <v>709</v>
      </c>
      <c r="K357" s="283">
        <v>377</v>
      </c>
      <c r="L357" s="318">
        <v>-34.259788999999998</v>
      </c>
      <c r="M357" s="318">
        <v>150.96946700000001</v>
      </c>
      <c r="O357">
        <f>INDEX('MEC - traffic congestion'!$M$145:$M$249,MATCH($D357,'MEC - traffic congestion'!$C$145:$C$249,0))</f>
        <v>0</v>
      </c>
      <c r="P357" t="str">
        <f t="shared" si="11"/>
        <v/>
      </c>
      <c r="Q357">
        <f t="shared" si="12"/>
        <v>1</v>
      </c>
      <c r="R357" s="195" t="str">
        <f t="shared" si="13"/>
        <v/>
      </c>
    </row>
    <row r="358" spans="3:18" x14ac:dyDescent="0.25">
      <c r="C358" s="294" t="s">
        <v>779</v>
      </c>
      <c r="D358" s="317">
        <v>100004</v>
      </c>
      <c r="E358" s="122" t="s">
        <v>780</v>
      </c>
      <c r="F358" s="122" t="s">
        <v>781</v>
      </c>
      <c r="G358" s="122" t="s">
        <v>776</v>
      </c>
      <c r="H358" s="122" t="s">
        <v>777</v>
      </c>
      <c r="I358" s="312">
        <v>2020</v>
      </c>
      <c r="J358" s="122" t="s">
        <v>710</v>
      </c>
      <c r="K358" s="283">
        <v>924</v>
      </c>
      <c r="L358" s="318">
        <v>-34.259788999999998</v>
      </c>
      <c r="M358" s="318">
        <v>150.96946700000001</v>
      </c>
      <c r="O358">
        <f>INDEX('MEC - traffic congestion'!$M$145:$M$249,MATCH($D358,'MEC - traffic congestion'!$C$145:$C$249,0))</f>
        <v>0</v>
      </c>
      <c r="P358" t="str">
        <f t="shared" si="11"/>
        <v/>
      </c>
      <c r="Q358">
        <f t="shared" si="12"/>
        <v>1</v>
      </c>
      <c r="R358" s="195" t="str">
        <f t="shared" si="13"/>
        <v/>
      </c>
    </row>
    <row r="359" spans="3:18" x14ac:dyDescent="0.25">
      <c r="C359" s="294" t="s">
        <v>779</v>
      </c>
      <c r="D359" s="317">
        <v>100004</v>
      </c>
      <c r="E359" s="122" t="s">
        <v>780</v>
      </c>
      <c r="F359" s="122" t="s">
        <v>781</v>
      </c>
      <c r="G359" s="122" t="s">
        <v>778</v>
      </c>
      <c r="H359" s="122" t="s">
        <v>777</v>
      </c>
      <c r="I359" s="312">
        <v>2020</v>
      </c>
      <c r="J359" s="122" t="s">
        <v>710</v>
      </c>
      <c r="K359" s="283">
        <v>959</v>
      </c>
      <c r="L359" s="318">
        <v>-34.259788999999998</v>
      </c>
      <c r="M359" s="318">
        <v>150.96946700000001</v>
      </c>
      <c r="O359">
        <f>INDEX('MEC - traffic congestion'!$M$145:$M$249,MATCH($D359,'MEC - traffic congestion'!$C$145:$C$249,0))</f>
        <v>0</v>
      </c>
      <c r="P359" t="str">
        <f t="shared" si="11"/>
        <v/>
      </c>
      <c r="Q359">
        <f t="shared" si="12"/>
        <v>1</v>
      </c>
      <c r="R359" s="195" t="str">
        <f t="shared" si="13"/>
        <v/>
      </c>
    </row>
    <row r="360" spans="3:18" x14ac:dyDescent="0.25">
      <c r="C360" s="294" t="s">
        <v>779</v>
      </c>
      <c r="D360" s="317">
        <v>100004</v>
      </c>
      <c r="E360" s="122" t="s">
        <v>780</v>
      </c>
      <c r="F360" s="122" t="s">
        <v>781</v>
      </c>
      <c r="G360" s="122" t="s">
        <v>776</v>
      </c>
      <c r="H360" s="122" t="s">
        <v>777</v>
      </c>
      <c r="I360" s="312">
        <v>2020</v>
      </c>
      <c r="J360" s="122" t="s">
        <v>711</v>
      </c>
      <c r="K360" s="283">
        <v>434</v>
      </c>
      <c r="L360" s="318">
        <v>-34.259788999999998</v>
      </c>
      <c r="M360" s="318">
        <v>150.96946700000001</v>
      </c>
      <c r="O360">
        <f>INDEX('MEC - traffic congestion'!$M$145:$M$249,MATCH($D360,'MEC - traffic congestion'!$C$145:$C$249,0))</f>
        <v>0</v>
      </c>
      <c r="P360" t="str">
        <f t="shared" si="11"/>
        <v/>
      </c>
      <c r="Q360">
        <f t="shared" si="12"/>
        <v>1</v>
      </c>
      <c r="R360" s="195" t="str">
        <f t="shared" si="13"/>
        <v/>
      </c>
    </row>
    <row r="361" spans="3:18" x14ac:dyDescent="0.25">
      <c r="C361" s="294" t="s">
        <v>779</v>
      </c>
      <c r="D361" s="317">
        <v>100004</v>
      </c>
      <c r="E361" s="122" t="s">
        <v>780</v>
      </c>
      <c r="F361" s="122" t="s">
        <v>781</v>
      </c>
      <c r="G361" s="122" t="s">
        <v>778</v>
      </c>
      <c r="H361" s="122" t="s">
        <v>777</v>
      </c>
      <c r="I361" s="312">
        <v>2020</v>
      </c>
      <c r="J361" s="122" t="s">
        <v>711</v>
      </c>
      <c r="K361" s="283">
        <v>500</v>
      </c>
      <c r="L361" s="318">
        <v>-34.259788999999998</v>
      </c>
      <c r="M361" s="318">
        <v>150.96946700000001</v>
      </c>
      <c r="O361">
        <f>INDEX('MEC - traffic congestion'!$M$145:$M$249,MATCH($D361,'MEC - traffic congestion'!$C$145:$C$249,0))</f>
        <v>0</v>
      </c>
      <c r="P361" t="str">
        <f t="shared" si="11"/>
        <v/>
      </c>
      <c r="Q361">
        <f t="shared" si="12"/>
        <v>1</v>
      </c>
      <c r="R361" s="195" t="str">
        <f t="shared" si="13"/>
        <v/>
      </c>
    </row>
    <row r="362" spans="3:18" x14ac:dyDescent="0.25">
      <c r="C362" s="294" t="s">
        <v>779</v>
      </c>
      <c r="D362" s="317">
        <v>100004</v>
      </c>
      <c r="E362" s="122" t="s">
        <v>780</v>
      </c>
      <c r="F362" s="122" t="s">
        <v>781</v>
      </c>
      <c r="G362" s="122" t="s">
        <v>776</v>
      </c>
      <c r="H362" s="122" t="s">
        <v>777</v>
      </c>
      <c r="I362" s="312">
        <v>2020</v>
      </c>
      <c r="J362" s="122" t="s">
        <v>712</v>
      </c>
      <c r="K362" s="283">
        <v>1879</v>
      </c>
      <c r="L362" s="318">
        <v>-34.259788999999998</v>
      </c>
      <c r="M362" s="318">
        <v>150.96946700000001</v>
      </c>
      <c r="O362">
        <f>INDEX('MEC - traffic congestion'!$M$145:$M$249,MATCH($D362,'MEC - traffic congestion'!$C$145:$C$249,0))</f>
        <v>0</v>
      </c>
      <c r="P362" t="str">
        <f t="shared" si="11"/>
        <v/>
      </c>
      <c r="Q362">
        <f t="shared" si="12"/>
        <v>1</v>
      </c>
      <c r="R362" s="195" t="str">
        <f t="shared" si="13"/>
        <v/>
      </c>
    </row>
    <row r="363" spans="3:18" x14ac:dyDescent="0.25">
      <c r="C363" s="294" t="s">
        <v>779</v>
      </c>
      <c r="D363" s="317">
        <v>100004</v>
      </c>
      <c r="E363" s="122" t="s">
        <v>780</v>
      </c>
      <c r="F363" s="122" t="s">
        <v>781</v>
      </c>
      <c r="G363" s="122" t="s">
        <v>778</v>
      </c>
      <c r="H363" s="122" t="s">
        <v>777</v>
      </c>
      <c r="I363" s="312">
        <v>2020</v>
      </c>
      <c r="J363" s="122" t="s">
        <v>712</v>
      </c>
      <c r="K363" s="283">
        <v>2023</v>
      </c>
      <c r="L363" s="318">
        <v>-34.259788999999998</v>
      </c>
      <c r="M363" s="318">
        <v>150.96946700000001</v>
      </c>
      <c r="O363">
        <f>INDEX('MEC - traffic congestion'!$M$145:$M$249,MATCH($D363,'MEC - traffic congestion'!$C$145:$C$249,0))</f>
        <v>0</v>
      </c>
      <c r="P363" t="str">
        <f t="shared" si="11"/>
        <v/>
      </c>
      <c r="Q363">
        <f t="shared" si="12"/>
        <v>1</v>
      </c>
      <c r="R363" s="195" t="str">
        <f t="shared" si="13"/>
        <v/>
      </c>
    </row>
    <row r="364" spans="3:18" x14ac:dyDescent="0.25">
      <c r="C364" s="294" t="s">
        <v>779</v>
      </c>
      <c r="D364" s="317">
        <v>100004</v>
      </c>
      <c r="E364" s="122" t="s">
        <v>780</v>
      </c>
      <c r="F364" s="122" t="s">
        <v>781</v>
      </c>
      <c r="G364" s="122" t="s">
        <v>776</v>
      </c>
      <c r="H364" s="122" t="s">
        <v>777</v>
      </c>
      <c r="I364" s="312">
        <v>2020</v>
      </c>
      <c r="J364" s="122" t="s">
        <v>713</v>
      </c>
      <c r="K364" s="283">
        <v>2450</v>
      </c>
      <c r="L364" s="318">
        <v>-34.259788999999998</v>
      </c>
      <c r="M364" s="318">
        <v>150.96946700000001</v>
      </c>
      <c r="O364">
        <f>INDEX('MEC - traffic congestion'!$M$145:$M$249,MATCH($D364,'MEC - traffic congestion'!$C$145:$C$249,0))</f>
        <v>0</v>
      </c>
      <c r="P364" t="str">
        <f t="shared" si="11"/>
        <v/>
      </c>
      <c r="Q364">
        <f t="shared" si="12"/>
        <v>1</v>
      </c>
      <c r="R364" s="195" t="str">
        <f t="shared" si="13"/>
        <v/>
      </c>
    </row>
    <row r="365" spans="3:18" x14ac:dyDescent="0.25">
      <c r="C365" s="294" t="s">
        <v>779</v>
      </c>
      <c r="D365" s="317">
        <v>100004</v>
      </c>
      <c r="E365" s="122" t="s">
        <v>780</v>
      </c>
      <c r="F365" s="122" t="s">
        <v>781</v>
      </c>
      <c r="G365" s="122" t="s">
        <v>778</v>
      </c>
      <c r="H365" s="122" t="s">
        <v>777</v>
      </c>
      <c r="I365" s="312">
        <v>2020</v>
      </c>
      <c r="J365" s="122" t="s">
        <v>713</v>
      </c>
      <c r="K365" s="283">
        <v>2554</v>
      </c>
      <c r="L365" s="318">
        <v>-34.259788999999998</v>
      </c>
      <c r="M365" s="318">
        <v>150.96946700000001</v>
      </c>
      <c r="O365">
        <f>INDEX('MEC - traffic congestion'!$M$145:$M$249,MATCH($D365,'MEC - traffic congestion'!$C$145:$C$249,0))</f>
        <v>0</v>
      </c>
      <c r="P365" t="str">
        <f t="shared" si="11"/>
        <v/>
      </c>
      <c r="Q365">
        <f t="shared" si="12"/>
        <v>1</v>
      </c>
      <c r="R365" s="195" t="str">
        <f t="shared" si="13"/>
        <v/>
      </c>
    </row>
    <row r="366" spans="3:18" x14ac:dyDescent="0.25">
      <c r="C366" s="294" t="s">
        <v>779</v>
      </c>
      <c r="D366" s="317">
        <v>100004</v>
      </c>
      <c r="E366" s="122" t="s">
        <v>780</v>
      </c>
      <c r="F366" s="122" t="s">
        <v>781</v>
      </c>
      <c r="G366" s="122" t="s">
        <v>776</v>
      </c>
      <c r="H366" s="122" t="s">
        <v>777</v>
      </c>
      <c r="I366" s="312">
        <v>2021</v>
      </c>
      <c r="J366" s="122" t="s">
        <v>709</v>
      </c>
      <c r="K366" s="283">
        <v>431</v>
      </c>
      <c r="L366" s="318">
        <v>-34.259788999999998</v>
      </c>
      <c r="M366" s="318">
        <v>150.96946700000001</v>
      </c>
      <c r="O366">
        <f>INDEX('MEC - traffic congestion'!$M$145:$M$249,MATCH($D366,'MEC - traffic congestion'!$C$145:$C$249,0))</f>
        <v>0</v>
      </c>
      <c r="P366" t="str">
        <f t="shared" si="11"/>
        <v/>
      </c>
      <c r="Q366">
        <f t="shared" si="12"/>
        <v>1</v>
      </c>
      <c r="R366" s="195" t="str">
        <f t="shared" si="13"/>
        <v/>
      </c>
    </row>
    <row r="367" spans="3:18" x14ac:dyDescent="0.25">
      <c r="C367" s="294" t="s">
        <v>779</v>
      </c>
      <c r="D367" s="317">
        <v>100004</v>
      </c>
      <c r="E367" s="122" t="s">
        <v>780</v>
      </c>
      <c r="F367" s="122" t="s">
        <v>781</v>
      </c>
      <c r="G367" s="122" t="s">
        <v>778</v>
      </c>
      <c r="H367" s="122" t="s">
        <v>777</v>
      </c>
      <c r="I367" s="312">
        <v>2021</v>
      </c>
      <c r="J367" s="122" t="s">
        <v>709</v>
      </c>
      <c r="K367" s="283">
        <v>400</v>
      </c>
      <c r="L367" s="318">
        <v>-34.259788999999998</v>
      </c>
      <c r="M367" s="318">
        <v>150.96946700000001</v>
      </c>
      <c r="O367">
        <f>INDEX('MEC - traffic congestion'!$M$145:$M$249,MATCH($D367,'MEC - traffic congestion'!$C$145:$C$249,0))</f>
        <v>0</v>
      </c>
      <c r="P367" t="str">
        <f t="shared" si="11"/>
        <v/>
      </c>
      <c r="Q367">
        <f t="shared" si="12"/>
        <v>1</v>
      </c>
      <c r="R367" s="195" t="str">
        <f t="shared" si="13"/>
        <v/>
      </c>
    </row>
    <row r="368" spans="3:18" x14ac:dyDescent="0.25">
      <c r="C368" s="294" t="s">
        <v>779</v>
      </c>
      <c r="D368" s="317">
        <v>100004</v>
      </c>
      <c r="E368" s="122" t="s">
        <v>780</v>
      </c>
      <c r="F368" s="122" t="s">
        <v>781</v>
      </c>
      <c r="G368" s="122" t="s">
        <v>776</v>
      </c>
      <c r="H368" s="122" t="s">
        <v>777</v>
      </c>
      <c r="I368" s="312">
        <v>2021</v>
      </c>
      <c r="J368" s="122" t="s">
        <v>710</v>
      </c>
      <c r="K368" s="283">
        <v>1078</v>
      </c>
      <c r="L368" s="318">
        <v>-34.259788999999998</v>
      </c>
      <c r="M368" s="318">
        <v>150.96946700000001</v>
      </c>
      <c r="O368">
        <f>INDEX('MEC - traffic congestion'!$M$145:$M$249,MATCH($D368,'MEC - traffic congestion'!$C$145:$C$249,0))</f>
        <v>0</v>
      </c>
      <c r="P368" t="str">
        <f t="shared" si="11"/>
        <v/>
      </c>
      <c r="Q368">
        <f t="shared" si="12"/>
        <v>1</v>
      </c>
      <c r="R368" s="195" t="str">
        <f t="shared" si="13"/>
        <v/>
      </c>
    </row>
    <row r="369" spans="3:18" x14ac:dyDescent="0.25">
      <c r="C369" s="294" t="s">
        <v>779</v>
      </c>
      <c r="D369" s="317">
        <v>100004</v>
      </c>
      <c r="E369" s="122" t="s">
        <v>780</v>
      </c>
      <c r="F369" s="122" t="s">
        <v>781</v>
      </c>
      <c r="G369" s="122" t="s">
        <v>778</v>
      </c>
      <c r="H369" s="122" t="s">
        <v>777</v>
      </c>
      <c r="I369" s="312">
        <v>2021</v>
      </c>
      <c r="J369" s="122" t="s">
        <v>710</v>
      </c>
      <c r="K369" s="283">
        <v>1098</v>
      </c>
      <c r="L369" s="318">
        <v>-34.259788999999998</v>
      </c>
      <c r="M369" s="318">
        <v>150.96946700000001</v>
      </c>
      <c r="O369">
        <f>INDEX('MEC - traffic congestion'!$M$145:$M$249,MATCH($D369,'MEC - traffic congestion'!$C$145:$C$249,0))</f>
        <v>0</v>
      </c>
      <c r="P369" t="str">
        <f t="shared" si="11"/>
        <v/>
      </c>
      <c r="Q369">
        <f t="shared" si="12"/>
        <v>1</v>
      </c>
      <c r="R369" s="195" t="str">
        <f t="shared" si="13"/>
        <v/>
      </c>
    </row>
    <row r="370" spans="3:18" x14ac:dyDescent="0.25">
      <c r="C370" s="294" t="s">
        <v>779</v>
      </c>
      <c r="D370" s="317">
        <v>100004</v>
      </c>
      <c r="E370" s="122" t="s">
        <v>780</v>
      </c>
      <c r="F370" s="122" t="s">
        <v>781</v>
      </c>
      <c r="G370" s="122" t="s">
        <v>776</v>
      </c>
      <c r="H370" s="122" t="s">
        <v>777</v>
      </c>
      <c r="I370" s="312">
        <v>2021</v>
      </c>
      <c r="J370" s="122" t="s">
        <v>711</v>
      </c>
      <c r="K370" s="283">
        <v>439</v>
      </c>
      <c r="L370" s="318">
        <v>-34.259788999999998</v>
      </c>
      <c r="M370" s="318">
        <v>150.96946700000001</v>
      </c>
      <c r="O370">
        <f>INDEX('MEC - traffic congestion'!$M$145:$M$249,MATCH($D370,'MEC - traffic congestion'!$C$145:$C$249,0))</f>
        <v>0</v>
      </c>
      <c r="P370" t="str">
        <f t="shared" si="11"/>
        <v/>
      </c>
      <c r="Q370">
        <f t="shared" si="12"/>
        <v>1</v>
      </c>
      <c r="R370" s="195" t="str">
        <f t="shared" si="13"/>
        <v/>
      </c>
    </row>
    <row r="371" spans="3:18" x14ac:dyDescent="0.25">
      <c r="C371" s="294" t="s">
        <v>779</v>
      </c>
      <c r="D371" s="317">
        <v>100004</v>
      </c>
      <c r="E371" s="122" t="s">
        <v>780</v>
      </c>
      <c r="F371" s="122" t="s">
        <v>781</v>
      </c>
      <c r="G371" s="122" t="s">
        <v>778</v>
      </c>
      <c r="H371" s="122" t="s">
        <v>777</v>
      </c>
      <c r="I371" s="312">
        <v>2021</v>
      </c>
      <c r="J371" s="122" t="s">
        <v>711</v>
      </c>
      <c r="K371" s="283">
        <v>511</v>
      </c>
      <c r="L371" s="318">
        <v>-34.259788999999998</v>
      </c>
      <c r="M371" s="318">
        <v>150.96946700000001</v>
      </c>
      <c r="O371">
        <f>INDEX('MEC - traffic congestion'!$M$145:$M$249,MATCH($D371,'MEC - traffic congestion'!$C$145:$C$249,0))</f>
        <v>0</v>
      </c>
      <c r="P371" t="str">
        <f t="shared" si="11"/>
        <v/>
      </c>
      <c r="Q371">
        <f t="shared" si="12"/>
        <v>1</v>
      </c>
      <c r="R371" s="195" t="str">
        <f t="shared" si="13"/>
        <v/>
      </c>
    </row>
    <row r="372" spans="3:18" x14ac:dyDescent="0.25">
      <c r="C372" s="294" t="s">
        <v>779</v>
      </c>
      <c r="D372" s="317">
        <v>100004</v>
      </c>
      <c r="E372" s="122" t="s">
        <v>780</v>
      </c>
      <c r="F372" s="122" t="s">
        <v>781</v>
      </c>
      <c r="G372" s="122" t="s">
        <v>776</v>
      </c>
      <c r="H372" s="122" t="s">
        <v>777</v>
      </c>
      <c r="I372" s="312">
        <v>2021</v>
      </c>
      <c r="J372" s="122" t="s">
        <v>713</v>
      </c>
      <c r="K372" s="283">
        <v>2509</v>
      </c>
      <c r="L372" s="318">
        <v>-34.259788999999998</v>
      </c>
      <c r="M372" s="318">
        <v>150.96946700000001</v>
      </c>
      <c r="O372">
        <f>INDEX('MEC - traffic congestion'!$M$145:$M$249,MATCH($D372,'MEC - traffic congestion'!$C$145:$C$249,0))</f>
        <v>0</v>
      </c>
      <c r="P372" t="str">
        <f t="shared" si="11"/>
        <v/>
      </c>
      <c r="Q372">
        <f t="shared" si="12"/>
        <v>1</v>
      </c>
      <c r="R372" s="195" t="str">
        <f t="shared" si="13"/>
        <v/>
      </c>
    </row>
    <row r="373" spans="3:18" x14ac:dyDescent="0.25">
      <c r="C373" s="294" t="s">
        <v>779</v>
      </c>
      <c r="D373" s="317">
        <v>100004</v>
      </c>
      <c r="E373" s="122" t="s">
        <v>780</v>
      </c>
      <c r="F373" s="122" t="s">
        <v>781</v>
      </c>
      <c r="G373" s="122" t="s">
        <v>778</v>
      </c>
      <c r="H373" s="122" t="s">
        <v>777</v>
      </c>
      <c r="I373" s="312">
        <v>2021</v>
      </c>
      <c r="J373" s="122" t="s">
        <v>713</v>
      </c>
      <c r="K373" s="283">
        <v>2453</v>
      </c>
      <c r="L373" s="318">
        <v>-34.259788999999998</v>
      </c>
      <c r="M373" s="318">
        <v>150.96946700000001</v>
      </c>
      <c r="O373">
        <f>INDEX('MEC - traffic congestion'!$M$145:$M$249,MATCH($D373,'MEC - traffic congestion'!$C$145:$C$249,0))</f>
        <v>0</v>
      </c>
      <c r="P373" t="str">
        <f t="shared" si="11"/>
        <v/>
      </c>
      <c r="Q373">
        <f t="shared" si="12"/>
        <v>1</v>
      </c>
      <c r="R373" s="195" t="str">
        <f t="shared" si="13"/>
        <v/>
      </c>
    </row>
    <row r="374" spans="3:18" x14ac:dyDescent="0.25">
      <c r="C374" s="294" t="s">
        <v>782</v>
      </c>
      <c r="D374" s="317">
        <v>10011</v>
      </c>
      <c r="E374" s="122" t="s">
        <v>783</v>
      </c>
      <c r="F374" s="122" t="s">
        <v>784</v>
      </c>
      <c r="G374" s="122" t="s">
        <v>785</v>
      </c>
      <c r="H374" s="122" t="s">
        <v>777</v>
      </c>
      <c r="I374" s="312">
        <v>2018</v>
      </c>
      <c r="J374" s="122" t="s">
        <v>709</v>
      </c>
      <c r="K374" s="283">
        <v>6240</v>
      </c>
      <c r="L374" s="318">
        <v>-33.876652</v>
      </c>
      <c r="M374" s="318">
        <v>151.23060599999999</v>
      </c>
      <c r="O374">
        <f>INDEX('MEC - traffic congestion'!$M$145:$M$249,MATCH($D374,'MEC - traffic congestion'!$C$145:$C$249,0))</f>
        <v>1</v>
      </c>
      <c r="P374" t="str">
        <f t="shared" si="11"/>
        <v>2018AM PEAK</v>
      </c>
      <c r="Q374">
        <f t="shared" si="12"/>
        <v>1</v>
      </c>
      <c r="R374" s="195" t="str">
        <f t="shared" si="13"/>
        <v>2018LIGHT VEHICLES</v>
      </c>
    </row>
    <row r="375" spans="3:18" x14ac:dyDescent="0.25">
      <c r="C375" s="294" t="s">
        <v>782</v>
      </c>
      <c r="D375" s="317">
        <v>10011</v>
      </c>
      <c r="E375" s="122" t="s">
        <v>783</v>
      </c>
      <c r="F375" s="122" t="s">
        <v>784</v>
      </c>
      <c r="G375" s="122" t="s">
        <v>786</v>
      </c>
      <c r="H375" s="122" t="s">
        <v>777</v>
      </c>
      <c r="I375" s="312">
        <v>2018</v>
      </c>
      <c r="J375" s="122" t="s">
        <v>709</v>
      </c>
      <c r="K375" s="283">
        <v>10428</v>
      </c>
      <c r="L375" s="318">
        <v>-33.876652</v>
      </c>
      <c r="M375" s="318">
        <v>151.23060599999999</v>
      </c>
      <c r="O375">
        <f>INDEX('MEC - traffic congestion'!$M$145:$M$249,MATCH($D375,'MEC - traffic congestion'!$C$145:$C$249,0))</f>
        <v>1</v>
      </c>
      <c r="P375" t="str">
        <f t="shared" si="11"/>
        <v>2018AM PEAK</v>
      </c>
      <c r="Q375">
        <f t="shared" si="12"/>
        <v>1</v>
      </c>
      <c r="R375" s="195" t="str">
        <f t="shared" si="13"/>
        <v>2018LIGHT VEHICLES</v>
      </c>
    </row>
    <row r="376" spans="3:18" x14ac:dyDescent="0.25">
      <c r="C376" s="294" t="s">
        <v>782</v>
      </c>
      <c r="D376" s="317">
        <v>10011</v>
      </c>
      <c r="E376" s="122" t="s">
        <v>783</v>
      </c>
      <c r="F376" s="122" t="s">
        <v>784</v>
      </c>
      <c r="G376" s="122" t="s">
        <v>785</v>
      </c>
      <c r="H376" s="122" t="s">
        <v>777</v>
      </c>
      <c r="I376" s="312">
        <v>2018</v>
      </c>
      <c r="J376" s="122" t="s">
        <v>710</v>
      </c>
      <c r="K376" s="283">
        <v>14935</v>
      </c>
      <c r="L376" s="318">
        <v>-33.876652</v>
      </c>
      <c r="M376" s="318">
        <v>151.23060599999999</v>
      </c>
      <c r="O376">
        <f>INDEX('MEC - traffic congestion'!$M$145:$M$249,MATCH($D376,'MEC - traffic congestion'!$C$145:$C$249,0))</f>
        <v>1</v>
      </c>
      <c r="P376" t="str">
        <f t="shared" si="11"/>
        <v>2018OFF PEAK</v>
      </c>
      <c r="Q376">
        <f t="shared" si="12"/>
        <v>1</v>
      </c>
      <c r="R376" s="195" t="str">
        <f t="shared" si="13"/>
        <v>2018LIGHT VEHICLES</v>
      </c>
    </row>
    <row r="377" spans="3:18" x14ac:dyDescent="0.25">
      <c r="C377" s="294" t="s">
        <v>782</v>
      </c>
      <c r="D377" s="317">
        <v>10011</v>
      </c>
      <c r="E377" s="122" t="s">
        <v>783</v>
      </c>
      <c r="F377" s="122" t="s">
        <v>784</v>
      </c>
      <c r="G377" s="122" t="s">
        <v>786</v>
      </c>
      <c r="H377" s="122" t="s">
        <v>777</v>
      </c>
      <c r="I377" s="312">
        <v>2018</v>
      </c>
      <c r="J377" s="122" t="s">
        <v>710</v>
      </c>
      <c r="K377" s="283">
        <v>17940</v>
      </c>
      <c r="L377" s="318">
        <v>-33.876652</v>
      </c>
      <c r="M377" s="318">
        <v>151.23060599999999</v>
      </c>
      <c r="O377">
        <f>INDEX('MEC - traffic congestion'!$M$145:$M$249,MATCH($D377,'MEC - traffic congestion'!$C$145:$C$249,0))</f>
        <v>1</v>
      </c>
      <c r="P377" t="str">
        <f t="shared" si="11"/>
        <v>2018OFF PEAK</v>
      </c>
      <c r="Q377">
        <f t="shared" si="12"/>
        <v>1</v>
      </c>
      <c r="R377" s="195" t="str">
        <f t="shared" si="13"/>
        <v>2018LIGHT VEHICLES</v>
      </c>
    </row>
    <row r="378" spans="3:18" x14ac:dyDescent="0.25">
      <c r="C378" s="294" t="s">
        <v>782</v>
      </c>
      <c r="D378" s="317">
        <v>10011</v>
      </c>
      <c r="E378" s="122" t="s">
        <v>783</v>
      </c>
      <c r="F378" s="122" t="s">
        <v>784</v>
      </c>
      <c r="G378" s="122" t="s">
        <v>785</v>
      </c>
      <c r="H378" s="122" t="s">
        <v>777</v>
      </c>
      <c r="I378" s="312">
        <v>2018</v>
      </c>
      <c r="J378" s="122" t="s">
        <v>711</v>
      </c>
      <c r="K378" s="283">
        <v>9102</v>
      </c>
      <c r="L378" s="318">
        <v>-33.876652</v>
      </c>
      <c r="M378" s="318">
        <v>151.23060599999999</v>
      </c>
      <c r="O378">
        <f>INDEX('MEC - traffic congestion'!$M$145:$M$249,MATCH($D378,'MEC - traffic congestion'!$C$145:$C$249,0))</f>
        <v>1</v>
      </c>
      <c r="P378" t="str">
        <f t="shared" si="11"/>
        <v>2018PM PEAK</v>
      </c>
      <c r="Q378">
        <f t="shared" si="12"/>
        <v>1</v>
      </c>
      <c r="R378" s="195" t="str">
        <f t="shared" si="13"/>
        <v>2018LIGHT VEHICLES</v>
      </c>
    </row>
    <row r="379" spans="3:18" x14ac:dyDescent="0.25">
      <c r="C379" s="294" t="s">
        <v>782</v>
      </c>
      <c r="D379" s="317">
        <v>10011</v>
      </c>
      <c r="E379" s="122" t="s">
        <v>783</v>
      </c>
      <c r="F379" s="122" t="s">
        <v>784</v>
      </c>
      <c r="G379" s="122" t="s">
        <v>786</v>
      </c>
      <c r="H379" s="122" t="s">
        <v>777</v>
      </c>
      <c r="I379" s="312">
        <v>2018</v>
      </c>
      <c r="J379" s="122" t="s">
        <v>711</v>
      </c>
      <c r="K379" s="283">
        <v>9276</v>
      </c>
      <c r="L379" s="318">
        <v>-33.876652</v>
      </c>
      <c r="M379" s="318">
        <v>151.23060599999999</v>
      </c>
      <c r="O379">
        <f>INDEX('MEC - traffic congestion'!$M$145:$M$249,MATCH($D379,'MEC - traffic congestion'!$C$145:$C$249,0))</f>
        <v>1</v>
      </c>
      <c r="P379" t="str">
        <f t="shared" si="11"/>
        <v>2018PM PEAK</v>
      </c>
      <c r="Q379">
        <f t="shared" si="12"/>
        <v>1</v>
      </c>
      <c r="R379" s="195" t="str">
        <f t="shared" si="13"/>
        <v>2018LIGHT VEHICLES</v>
      </c>
    </row>
    <row r="380" spans="3:18" x14ac:dyDescent="0.25">
      <c r="C380" s="294" t="s">
        <v>782</v>
      </c>
      <c r="D380" s="317">
        <v>10011</v>
      </c>
      <c r="E380" s="122" t="s">
        <v>783</v>
      </c>
      <c r="F380" s="122" t="s">
        <v>784</v>
      </c>
      <c r="G380" s="122" t="s">
        <v>785</v>
      </c>
      <c r="H380" s="122" t="s">
        <v>777</v>
      </c>
      <c r="I380" s="312">
        <v>2018</v>
      </c>
      <c r="J380" s="122" t="s">
        <v>712</v>
      </c>
      <c r="K380" s="283">
        <v>22091</v>
      </c>
      <c r="L380" s="318">
        <v>-33.876652</v>
      </c>
      <c r="M380" s="318">
        <v>151.23060599999999</v>
      </c>
      <c r="O380">
        <f>INDEX('MEC - traffic congestion'!$M$145:$M$249,MATCH($D380,'MEC - traffic congestion'!$C$145:$C$249,0))</f>
        <v>1</v>
      </c>
      <c r="P380" t="str">
        <f t="shared" si="11"/>
        <v>2018PUBLIC HOLIDAYS</v>
      </c>
      <c r="Q380">
        <f t="shared" si="12"/>
        <v>1</v>
      </c>
      <c r="R380" s="195" t="str">
        <f t="shared" si="13"/>
        <v>2018LIGHT VEHICLES</v>
      </c>
    </row>
    <row r="381" spans="3:18" x14ac:dyDescent="0.25">
      <c r="C381" s="294" t="s">
        <v>782</v>
      </c>
      <c r="D381" s="317">
        <v>10011</v>
      </c>
      <c r="E381" s="122" t="s">
        <v>783</v>
      </c>
      <c r="F381" s="122" t="s">
        <v>784</v>
      </c>
      <c r="G381" s="122" t="s">
        <v>786</v>
      </c>
      <c r="H381" s="122" t="s">
        <v>777</v>
      </c>
      <c r="I381" s="312">
        <v>2018</v>
      </c>
      <c r="J381" s="122" t="s">
        <v>712</v>
      </c>
      <c r="K381" s="283">
        <v>28534</v>
      </c>
      <c r="L381" s="318">
        <v>-33.876652</v>
      </c>
      <c r="M381" s="318">
        <v>151.23060599999999</v>
      </c>
      <c r="O381">
        <f>INDEX('MEC - traffic congestion'!$M$145:$M$249,MATCH($D381,'MEC - traffic congestion'!$C$145:$C$249,0))</f>
        <v>1</v>
      </c>
      <c r="P381" t="str">
        <f t="shared" si="11"/>
        <v>2018PUBLIC HOLIDAYS</v>
      </c>
      <c r="Q381">
        <f t="shared" si="12"/>
        <v>1</v>
      </c>
      <c r="R381" s="195" t="str">
        <f t="shared" si="13"/>
        <v>2018LIGHT VEHICLES</v>
      </c>
    </row>
    <row r="382" spans="3:18" x14ac:dyDescent="0.25">
      <c r="C382" s="294" t="s">
        <v>782</v>
      </c>
      <c r="D382" s="317">
        <v>10011</v>
      </c>
      <c r="E382" s="122" t="s">
        <v>783</v>
      </c>
      <c r="F382" s="122" t="s">
        <v>784</v>
      </c>
      <c r="G382" s="122" t="s">
        <v>785</v>
      </c>
      <c r="H382" s="122" t="s">
        <v>777</v>
      </c>
      <c r="I382" s="312">
        <v>2018</v>
      </c>
      <c r="J382" s="122" t="s">
        <v>713</v>
      </c>
      <c r="K382" s="283">
        <v>27758</v>
      </c>
      <c r="L382" s="318">
        <v>-33.876652</v>
      </c>
      <c r="M382" s="318">
        <v>151.23060599999999</v>
      </c>
      <c r="O382">
        <f>INDEX('MEC - traffic congestion'!$M$145:$M$249,MATCH($D382,'MEC - traffic congestion'!$C$145:$C$249,0))</f>
        <v>1</v>
      </c>
      <c r="P382" t="str">
        <f t="shared" si="11"/>
        <v>2018WEEKENDS</v>
      </c>
      <c r="Q382">
        <f t="shared" si="12"/>
        <v>1</v>
      </c>
      <c r="R382" s="195" t="str">
        <f t="shared" si="13"/>
        <v>2018LIGHT VEHICLES</v>
      </c>
    </row>
    <row r="383" spans="3:18" x14ac:dyDescent="0.25">
      <c r="C383" s="294" t="s">
        <v>782</v>
      </c>
      <c r="D383" s="317">
        <v>10011</v>
      </c>
      <c r="E383" s="122" t="s">
        <v>783</v>
      </c>
      <c r="F383" s="122" t="s">
        <v>784</v>
      </c>
      <c r="G383" s="122" t="s">
        <v>786</v>
      </c>
      <c r="H383" s="122" t="s">
        <v>777</v>
      </c>
      <c r="I383" s="312">
        <v>2018</v>
      </c>
      <c r="J383" s="122" t="s">
        <v>713</v>
      </c>
      <c r="K383" s="283">
        <v>35016</v>
      </c>
      <c r="L383" s="318">
        <v>-33.876652</v>
      </c>
      <c r="M383" s="318">
        <v>151.23060599999999</v>
      </c>
      <c r="O383">
        <f>INDEX('MEC - traffic congestion'!$M$145:$M$249,MATCH($D383,'MEC - traffic congestion'!$C$145:$C$249,0))</f>
        <v>1</v>
      </c>
      <c r="P383" t="str">
        <f t="shared" si="11"/>
        <v>2018WEEKENDS</v>
      </c>
      <c r="Q383">
        <f t="shared" si="12"/>
        <v>1</v>
      </c>
      <c r="R383" s="195" t="str">
        <f t="shared" si="13"/>
        <v>2018LIGHT VEHICLES</v>
      </c>
    </row>
    <row r="384" spans="3:18" x14ac:dyDescent="0.25">
      <c r="C384" s="294" t="s">
        <v>782</v>
      </c>
      <c r="D384" s="317">
        <v>10011</v>
      </c>
      <c r="E384" s="122" t="s">
        <v>783</v>
      </c>
      <c r="F384" s="122" t="s">
        <v>784</v>
      </c>
      <c r="G384" s="122" t="s">
        <v>785</v>
      </c>
      <c r="H384" s="122" t="s">
        <v>777</v>
      </c>
      <c r="I384" s="312">
        <v>2019</v>
      </c>
      <c r="J384" s="122" t="s">
        <v>709</v>
      </c>
      <c r="K384" s="283">
        <v>7050</v>
      </c>
      <c r="L384" s="318">
        <v>-33.876652</v>
      </c>
      <c r="M384" s="318">
        <v>151.23060599999999</v>
      </c>
      <c r="O384">
        <f>INDEX('MEC - traffic congestion'!$M$145:$M$249,MATCH($D384,'MEC - traffic congestion'!$C$145:$C$249,0))</f>
        <v>1</v>
      </c>
      <c r="P384" t="str">
        <f t="shared" si="11"/>
        <v>2019AM PEAK</v>
      </c>
      <c r="Q384">
        <f t="shared" si="12"/>
        <v>1</v>
      </c>
      <c r="R384" s="195" t="str">
        <f t="shared" si="13"/>
        <v>2019LIGHT VEHICLES</v>
      </c>
    </row>
    <row r="385" spans="3:18" x14ac:dyDescent="0.25">
      <c r="C385" s="294" t="s">
        <v>782</v>
      </c>
      <c r="D385" s="317">
        <v>10011</v>
      </c>
      <c r="E385" s="122" t="s">
        <v>783</v>
      </c>
      <c r="F385" s="122" t="s">
        <v>784</v>
      </c>
      <c r="G385" s="122" t="s">
        <v>786</v>
      </c>
      <c r="H385" s="122" t="s">
        <v>777</v>
      </c>
      <c r="I385" s="312">
        <v>2019</v>
      </c>
      <c r="J385" s="122" t="s">
        <v>709</v>
      </c>
      <c r="K385" s="283">
        <v>10301</v>
      </c>
      <c r="L385" s="318">
        <v>-33.876652</v>
      </c>
      <c r="M385" s="318">
        <v>151.23060599999999</v>
      </c>
      <c r="O385">
        <f>INDEX('MEC - traffic congestion'!$M$145:$M$249,MATCH($D385,'MEC - traffic congestion'!$C$145:$C$249,0))</f>
        <v>1</v>
      </c>
      <c r="P385" t="str">
        <f t="shared" si="11"/>
        <v>2019AM PEAK</v>
      </c>
      <c r="Q385">
        <f t="shared" si="12"/>
        <v>1</v>
      </c>
      <c r="R385" s="195" t="str">
        <f t="shared" si="13"/>
        <v>2019LIGHT VEHICLES</v>
      </c>
    </row>
    <row r="386" spans="3:18" x14ac:dyDescent="0.25">
      <c r="C386" s="294" t="s">
        <v>782</v>
      </c>
      <c r="D386" s="317">
        <v>10011</v>
      </c>
      <c r="E386" s="122" t="s">
        <v>783</v>
      </c>
      <c r="F386" s="122" t="s">
        <v>784</v>
      </c>
      <c r="G386" s="122" t="s">
        <v>785</v>
      </c>
      <c r="H386" s="122" t="s">
        <v>777</v>
      </c>
      <c r="I386" s="312">
        <v>2019</v>
      </c>
      <c r="J386" s="122" t="s">
        <v>710</v>
      </c>
      <c r="K386" s="283">
        <v>15322</v>
      </c>
      <c r="L386" s="318">
        <v>-33.876652</v>
      </c>
      <c r="M386" s="318">
        <v>151.23060599999999</v>
      </c>
      <c r="O386">
        <f>INDEX('MEC - traffic congestion'!$M$145:$M$249,MATCH($D386,'MEC - traffic congestion'!$C$145:$C$249,0))</f>
        <v>1</v>
      </c>
      <c r="P386" t="str">
        <f t="shared" si="11"/>
        <v>2019OFF PEAK</v>
      </c>
      <c r="Q386">
        <f t="shared" si="12"/>
        <v>1</v>
      </c>
      <c r="R386" s="195" t="str">
        <f t="shared" si="13"/>
        <v>2019LIGHT VEHICLES</v>
      </c>
    </row>
    <row r="387" spans="3:18" x14ac:dyDescent="0.25">
      <c r="C387" s="294" t="s">
        <v>782</v>
      </c>
      <c r="D387" s="317">
        <v>10011</v>
      </c>
      <c r="E387" s="122" t="s">
        <v>783</v>
      </c>
      <c r="F387" s="122" t="s">
        <v>784</v>
      </c>
      <c r="G387" s="122" t="s">
        <v>786</v>
      </c>
      <c r="H387" s="122" t="s">
        <v>777</v>
      </c>
      <c r="I387" s="312">
        <v>2019</v>
      </c>
      <c r="J387" s="122" t="s">
        <v>710</v>
      </c>
      <c r="K387" s="283">
        <v>17849</v>
      </c>
      <c r="L387" s="318">
        <v>-33.876652</v>
      </c>
      <c r="M387" s="318">
        <v>151.23060599999999</v>
      </c>
      <c r="O387">
        <f>INDEX('MEC - traffic congestion'!$M$145:$M$249,MATCH($D387,'MEC - traffic congestion'!$C$145:$C$249,0))</f>
        <v>1</v>
      </c>
      <c r="P387" t="str">
        <f t="shared" si="11"/>
        <v>2019OFF PEAK</v>
      </c>
      <c r="Q387">
        <f t="shared" si="12"/>
        <v>1</v>
      </c>
      <c r="R387" s="195" t="str">
        <f t="shared" si="13"/>
        <v>2019LIGHT VEHICLES</v>
      </c>
    </row>
    <row r="388" spans="3:18" x14ac:dyDescent="0.25">
      <c r="C388" s="294" t="s">
        <v>782</v>
      </c>
      <c r="D388" s="317">
        <v>10011</v>
      </c>
      <c r="E388" s="122" t="s">
        <v>783</v>
      </c>
      <c r="F388" s="122" t="s">
        <v>784</v>
      </c>
      <c r="G388" s="122" t="s">
        <v>785</v>
      </c>
      <c r="H388" s="122" t="s">
        <v>777</v>
      </c>
      <c r="I388" s="312">
        <v>2019</v>
      </c>
      <c r="J388" s="122" t="s">
        <v>711</v>
      </c>
      <c r="K388" s="283">
        <v>9192</v>
      </c>
      <c r="L388" s="318">
        <v>-33.876652</v>
      </c>
      <c r="M388" s="318">
        <v>151.23060599999999</v>
      </c>
      <c r="O388">
        <f>INDEX('MEC - traffic congestion'!$M$145:$M$249,MATCH($D388,'MEC - traffic congestion'!$C$145:$C$249,0))</f>
        <v>1</v>
      </c>
      <c r="P388" t="str">
        <f t="shared" si="11"/>
        <v>2019PM PEAK</v>
      </c>
      <c r="Q388">
        <f t="shared" si="12"/>
        <v>1</v>
      </c>
      <c r="R388" s="195" t="str">
        <f t="shared" si="13"/>
        <v>2019LIGHT VEHICLES</v>
      </c>
    </row>
    <row r="389" spans="3:18" x14ac:dyDescent="0.25">
      <c r="C389" s="294" t="s">
        <v>782</v>
      </c>
      <c r="D389" s="317">
        <v>10011</v>
      </c>
      <c r="E389" s="122" t="s">
        <v>783</v>
      </c>
      <c r="F389" s="122" t="s">
        <v>784</v>
      </c>
      <c r="G389" s="122" t="s">
        <v>786</v>
      </c>
      <c r="H389" s="122" t="s">
        <v>777</v>
      </c>
      <c r="I389" s="312">
        <v>2019</v>
      </c>
      <c r="J389" s="122" t="s">
        <v>711</v>
      </c>
      <c r="K389" s="283">
        <v>9305</v>
      </c>
      <c r="L389" s="318">
        <v>-33.876652</v>
      </c>
      <c r="M389" s="318">
        <v>151.23060599999999</v>
      </c>
      <c r="O389">
        <f>INDEX('MEC - traffic congestion'!$M$145:$M$249,MATCH($D389,'MEC - traffic congestion'!$C$145:$C$249,0))</f>
        <v>1</v>
      </c>
      <c r="P389" t="str">
        <f t="shared" si="11"/>
        <v>2019PM PEAK</v>
      </c>
      <c r="Q389">
        <f t="shared" si="12"/>
        <v>1</v>
      </c>
      <c r="R389" s="195" t="str">
        <f t="shared" si="13"/>
        <v>2019LIGHT VEHICLES</v>
      </c>
    </row>
    <row r="390" spans="3:18" x14ac:dyDescent="0.25">
      <c r="C390" s="294" t="s">
        <v>782</v>
      </c>
      <c r="D390" s="317">
        <v>10011</v>
      </c>
      <c r="E390" s="122" t="s">
        <v>783</v>
      </c>
      <c r="F390" s="122" t="s">
        <v>784</v>
      </c>
      <c r="G390" s="122" t="s">
        <v>785</v>
      </c>
      <c r="H390" s="122" t="s">
        <v>777</v>
      </c>
      <c r="I390" s="312">
        <v>2019</v>
      </c>
      <c r="J390" s="122" t="s">
        <v>712</v>
      </c>
      <c r="K390" s="283">
        <v>23546</v>
      </c>
      <c r="L390" s="318">
        <v>-33.876652</v>
      </c>
      <c r="M390" s="318">
        <v>151.23060599999999</v>
      </c>
      <c r="O390">
        <f>INDEX('MEC - traffic congestion'!$M$145:$M$249,MATCH($D390,'MEC - traffic congestion'!$C$145:$C$249,0))</f>
        <v>1</v>
      </c>
      <c r="P390" t="str">
        <f t="shared" si="11"/>
        <v>2019PUBLIC HOLIDAYS</v>
      </c>
      <c r="Q390">
        <f t="shared" si="12"/>
        <v>1</v>
      </c>
      <c r="R390" s="195" t="str">
        <f t="shared" si="13"/>
        <v>2019LIGHT VEHICLES</v>
      </c>
    </row>
    <row r="391" spans="3:18" x14ac:dyDescent="0.25">
      <c r="C391" s="294" t="s">
        <v>782</v>
      </c>
      <c r="D391" s="317">
        <v>10011</v>
      </c>
      <c r="E391" s="122" t="s">
        <v>783</v>
      </c>
      <c r="F391" s="122" t="s">
        <v>784</v>
      </c>
      <c r="G391" s="122" t="s">
        <v>786</v>
      </c>
      <c r="H391" s="122" t="s">
        <v>777</v>
      </c>
      <c r="I391" s="312">
        <v>2019</v>
      </c>
      <c r="J391" s="122" t="s">
        <v>712</v>
      </c>
      <c r="K391" s="283">
        <v>29230</v>
      </c>
      <c r="L391" s="318">
        <v>-33.876652</v>
      </c>
      <c r="M391" s="318">
        <v>151.23060599999999</v>
      </c>
      <c r="O391">
        <f>INDEX('MEC - traffic congestion'!$M$145:$M$249,MATCH($D391,'MEC - traffic congestion'!$C$145:$C$249,0))</f>
        <v>1</v>
      </c>
      <c r="P391" t="str">
        <f t="shared" si="11"/>
        <v>2019PUBLIC HOLIDAYS</v>
      </c>
      <c r="Q391">
        <f t="shared" si="12"/>
        <v>1</v>
      </c>
      <c r="R391" s="195" t="str">
        <f t="shared" si="13"/>
        <v>2019LIGHT VEHICLES</v>
      </c>
    </row>
    <row r="392" spans="3:18" x14ac:dyDescent="0.25">
      <c r="C392" s="294" t="s">
        <v>782</v>
      </c>
      <c r="D392" s="317">
        <v>10011</v>
      </c>
      <c r="E392" s="122" t="s">
        <v>783</v>
      </c>
      <c r="F392" s="122" t="s">
        <v>784</v>
      </c>
      <c r="G392" s="122" t="s">
        <v>785</v>
      </c>
      <c r="H392" s="122" t="s">
        <v>777</v>
      </c>
      <c r="I392" s="312">
        <v>2019</v>
      </c>
      <c r="J392" s="122" t="s">
        <v>713</v>
      </c>
      <c r="K392" s="283">
        <v>29037</v>
      </c>
      <c r="L392" s="318">
        <v>-33.876652</v>
      </c>
      <c r="M392" s="318">
        <v>151.23060599999999</v>
      </c>
      <c r="O392">
        <f>INDEX('MEC - traffic congestion'!$M$145:$M$249,MATCH($D392,'MEC - traffic congestion'!$C$145:$C$249,0))</f>
        <v>1</v>
      </c>
      <c r="P392" t="str">
        <f t="shared" si="11"/>
        <v>2019WEEKENDS</v>
      </c>
      <c r="Q392">
        <f t="shared" si="12"/>
        <v>1</v>
      </c>
      <c r="R392" s="195" t="str">
        <f t="shared" si="13"/>
        <v>2019LIGHT VEHICLES</v>
      </c>
    </row>
    <row r="393" spans="3:18" x14ac:dyDescent="0.25">
      <c r="C393" s="294" t="s">
        <v>782</v>
      </c>
      <c r="D393" s="317">
        <v>10011</v>
      </c>
      <c r="E393" s="122" t="s">
        <v>783</v>
      </c>
      <c r="F393" s="122" t="s">
        <v>784</v>
      </c>
      <c r="G393" s="122" t="s">
        <v>786</v>
      </c>
      <c r="H393" s="122" t="s">
        <v>777</v>
      </c>
      <c r="I393" s="312">
        <v>2019</v>
      </c>
      <c r="J393" s="122" t="s">
        <v>713</v>
      </c>
      <c r="K393" s="283">
        <v>34750</v>
      </c>
      <c r="L393" s="318">
        <v>-33.876652</v>
      </c>
      <c r="M393" s="318">
        <v>151.23060599999999</v>
      </c>
      <c r="O393">
        <f>INDEX('MEC - traffic congestion'!$M$145:$M$249,MATCH($D393,'MEC - traffic congestion'!$C$145:$C$249,0))</f>
        <v>1</v>
      </c>
      <c r="P393" t="str">
        <f t="shared" si="11"/>
        <v>2019WEEKENDS</v>
      </c>
      <c r="Q393">
        <f t="shared" si="12"/>
        <v>1</v>
      </c>
      <c r="R393" s="195" t="str">
        <f t="shared" si="13"/>
        <v>2019LIGHT VEHICLES</v>
      </c>
    </row>
    <row r="394" spans="3:18" x14ac:dyDescent="0.25">
      <c r="C394" s="294" t="s">
        <v>782</v>
      </c>
      <c r="D394" s="317">
        <v>10011</v>
      </c>
      <c r="E394" s="122" t="s">
        <v>783</v>
      </c>
      <c r="F394" s="122" t="s">
        <v>784</v>
      </c>
      <c r="G394" s="122" t="s">
        <v>785</v>
      </c>
      <c r="H394" s="122" t="s">
        <v>777</v>
      </c>
      <c r="I394" s="312">
        <v>2020</v>
      </c>
      <c r="J394" s="122" t="s">
        <v>709</v>
      </c>
      <c r="K394" s="283">
        <v>7164</v>
      </c>
      <c r="L394" s="318">
        <v>-33.876652</v>
      </c>
      <c r="M394" s="318">
        <v>151.23060599999999</v>
      </c>
      <c r="O394">
        <f>INDEX('MEC - traffic congestion'!$M$145:$M$249,MATCH($D394,'MEC - traffic congestion'!$C$145:$C$249,0))</f>
        <v>1</v>
      </c>
      <c r="P394" t="str">
        <f t="shared" si="11"/>
        <v>2020AM PEAK</v>
      </c>
      <c r="Q394">
        <f t="shared" si="12"/>
        <v>1</v>
      </c>
      <c r="R394" s="195" t="str">
        <f t="shared" si="13"/>
        <v>2020LIGHT VEHICLES</v>
      </c>
    </row>
    <row r="395" spans="3:18" x14ac:dyDescent="0.25">
      <c r="C395" s="294" t="s">
        <v>782</v>
      </c>
      <c r="D395" s="317">
        <v>10011</v>
      </c>
      <c r="E395" s="122" t="s">
        <v>783</v>
      </c>
      <c r="F395" s="122" t="s">
        <v>784</v>
      </c>
      <c r="G395" s="122" t="s">
        <v>786</v>
      </c>
      <c r="H395" s="122" t="s">
        <v>777</v>
      </c>
      <c r="I395" s="312">
        <v>2020</v>
      </c>
      <c r="J395" s="122" t="s">
        <v>709</v>
      </c>
      <c r="K395" s="283">
        <v>9222</v>
      </c>
      <c r="L395" s="318">
        <v>-33.876652</v>
      </c>
      <c r="M395" s="318">
        <v>151.23060599999999</v>
      </c>
      <c r="O395">
        <f>INDEX('MEC - traffic congestion'!$M$145:$M$249,MATCH($D395,'MEC - traffic congestion'!$C$145:$C$249,0))</f>
        <v>1</v>
      </c>
      <c r="P395" t="str">
        <f t="shared" si="11"/>
        <v>2020AM PEAK</v>
      </c>
      <c r="Q395">
        <f t="shared" si="12"/>
        <v>1</v>
      </c>
      <c r="R395" s="195" t="str">
        <f t="shared" si="13"/>
        <v>2020LIGHT VEHICLES</v>
      </c>
    </row>
    <row r="396" spans="3:18" x14ac:dyDescent="0.25">
      <c r="C396" s="294" t="s">
        <v>782</v>
      </c>
      <c r="D396" s="317">
        <v>10011</v>
      </c>
      <c r="E396" s="122" t="s">
        <v>783</v>
      </c>
      <c r="F396" s="122" t="s">
        <v>784</v>
      </c>
      <c r="G396" s="122" t="s">
        <v>785</v>
      </c>
      <c r="H396" s="122" t="s">
        <v>777</v>
      </c>
      <c r="I396" s="312">
        <v>2020</v>
      </c>
      <c r="J396" s="122" t="s">
        <v>710</v>
      </c>
      <c r="K396" s="283">
        <v>13405</v>
      </c>
      <c r="L396" s="318">
        <v>-33.876652</v>
      </c>
      <c r="M396" s="318">
        <v>151.23060599999999</v>
      </c>
      <c r="O396">
        <f>INDEX('MEC - traffic congestion'!$M$145:$M$249,MATCH($D396,'MEC - traffic congestion'!$C$145:$C$249,0))</f>
        <v>1</v>
      </c>
      <c r="P396" t="str">
        <f t="shared" si="11"/>
        <v>2020OFF PEAK</v>
      </c>
      <c r="Q396">
        <f t="shared" si="12"/>
        <v>1</v>
      </c>
      <c r="R396" s="195" t="str">
        <f t="shared" si="13"/>
        <v>2020LIGHT VEHICLES</v>
      </c>
    </row>
    <row r="397" spans="3:18" x14ac:dyDescent="0.25">
      <c r="C397" s="294" t="s">
        <v>782</v>
      </c>
      <c r="D397" s="317">
        <v>10011</v>
      </c>
      <c r="E397" s="122" t="s">
        <v>783</v>
      </c>
      <c r="F397" s="122" t="s">
        <v>784</v>
      </c>
      <c r="G397" s="122" t="s">
        <v>786</v>
      </c>
      <c r="H397" s="122" t="s">
        <v>777</v>
      </c>
      <c r="I397" s="312">
        <v>2020</v>
      </c>
      <c r="J397" s="122" t="s">
        <v>710</v>
      </c>
      <c r="K397" s="283">
        <v>16373</v>
      </c>
      <c r="L397" s="318">
        <v>-33.876652</v>
      </c>
      <c r="M397" s="318">
        <v>151.23060599999999</v>
      </c>
      <c r="O397">
        <f>INDEX('MEC - traffic congestion'!$M$145:$M$249,MATCH($D397,'MEC - traffic congestion'!$C$145:$C$249,0))</f>
        <v>1</v>
      </c>
      <c r="P397" t="str">
        <f t="shared" si="11"/>
        <v>2020OFF PEAK</v>
      </c>
      <c r="Q397">
        <f t="shared" si="12"/>
        <v>1</v>
      </c>
      <c r="R397" s="195" t="str">
        <f t="shared" si="13"/>
        <v>2020LIGHT VEHICLES</v>
      </c>
    </row>
    <row r="398" spans="3:18" x14ac:dyDescent="0.25">
      <c r="C398" s="294" t="s">
        <v>782</v>
      </c>
      <c r="D398" s="317">
        <v>10011</v>
      </c>
      <c r="E398" s="122" t="s">
        <v>783</v>
      </c>
      <c r="F398" s="122" t="s">
        <v>784</v>
      </c>
      <c r="G398" s="122" t="s">
        <v>785</v>
      </c>
      <c r="H398" s="122" t="s">
        <v>777</v>
      </c>
      <c r="I398" s="312">
        <v>2020</v>
      </c>
      <c r="J398" s="122" t="s">
        <v>711</v>
      </c>
      <c r="K398" s="283">
        <v>8345</v>
      </c>
      <c r="L398" s="318">
        <v>-33.876652</v>
      </c>
      <c r="M398" s="318">
        <v>151.23060599999999</v>
      </c>
      <c r="O398">
        <f>INDEX('MEC - traffic congestion'!$M$145:$M$249,MATCH($D398,'MEC - traffic congestion'!$C$145:$C$249,0))</f>
        <v>1</v>
      </c>
      <c r="P398" t="str">
        <f t="shared" si="11"/>
        <v>2020PM PEAK</v>
      </c>
      <c r="Q398">
        <f t="shared" si="12"/>
        <v>1</v>
      </c>
      <c r="R398" s="195" t="str">
        <f t="shared" si="13"/>
        <v>2020LIGHT VEHICLES</v>
      </c>
    </row>
    <row r="399" spans="3:18" x14ac:dyDescent="0.25">
      <c r="C399" s="294" t="s">
        <v>782</v>
      </c>
      <c r="D399" s="317">
        <v>10011</v>
      </c>
      <c r="E399" s="122" t="s">
        <v>783</v>
      </c>
      <c r="F399" s="122" t="s">
        <v>784</v>
      </c>
      <c r="G399" s="122" t="s">
        <v>786</v>
      </c>
      <c r="H399" s="122" t="s">
        <v>777</v>
      </c>
      <c r="I399" s="312">
        <v>2020</v>
      </c>
      <c r="J399" s="122" t="s">
        <v>711</v>
      </c>
      <c r="K399" s="283">
        <v>9269</v>
      </c>
      <c r="L399" s="318">
        <v>-33.876652</v>
      </c>
      <c r="M399" s="318">
        <v>151.23060599999999</v>
      </c>
      <c r="O399">
        <f>INDEX('MEC - traffic congestion'!$M$145:$M$249,MATCH($D399,'MEC - traffic congestion'!$C$145:$C$249,0))</f>
        <v>1</v>
      </c>
      <c r="P399" t="str">
        <f t="shared" si="11"/>
        <v>2020PM PEAK</v>
      </c>
      <c r="Q399">
        <f t="shared" si="12"/>
        <v>1</v>
      </c>
      <c r="R399" s="195" t="str">
        <f t="shared" si="13"/>
        <v>2020LIGHT VEHICLES</v>
      </c>
    </row>
    <row r="400" spans="3:18" x14ac:dyDescent="0.25">
      <c r="C400" s="294" t="s">
        <v>782</v>
      </c>
      <c r="D400" s="317">
        <v>10011</v>
      </c>
      <c r="E400" s="122" t="s">
        <v>783</v>
      </c>
      <c r="F400" s="122" t="s">
        <v>784</v>
      </c>
      <c r="G400" s="122" t="s">
        <v>785</v>
      </c>
      <c r="H400" s="122" t="s">
        <v>777</v>
      </c>
      <c r="I400" s="312">
        <v>2020</v>
      </c>
      <c r="J400" s="122" t="s">
        <v>712</v>
      </c>
      <c r="K400" s="283">
        <v>17945</v>
      </c>
      <c r="L400" s="318">
        <v>-33.876652</v>
      </c>
      <c r="M400" s="318">
        <v>151.23060599999999</v>
      </c>
      <c r="O400">
        <f>INDEX('MEC - traffic congestion'!$M$145:$M$249,MATCH($D400,'MEC - traffic congestion'!$C$145:$C$249,0))</f>
        <v>1</v>
      </c>
      <c r="P400" t="str">
        <f t="shared" si="11"/>
        <v>2020PUBLIC HOLIDAYS</v>
      </c>
      <c r="Q400">
        <f t="shared" si="12"/>
        <v>1</v>
      </c>
      <c r="R400" s="195" t="str">
        <f t="shared" si="13"/>
        <v>2020LIGHT VEHICLES</v>
      </c>
    </row>
    <row r="401" spans="3:18" x14ac:dyDescent="0.25">
      <c r="C401" s="294" t="s">
        <v>782</v>
      </c>
      <c r="D401" s="317">
        <v>10011</v>
      </c>
      <c r="E401" s="122" t="s">
        <v>783</v>
      </c>
      <c r="F401" s="122" t="s">
        <v>784</v>
      </c>
      <c r="G401" s="122" t="s">
        <v>786</v>
      </c>
      <c r="H401" s="122" t="s">
        <v>777</v>
      </c>
      <c r="I401" s="312">
        <v>2020</v>
      </c>
      <c r="J401" s="122" t="s">
        <v>712</v>
      </c>
      <c r="K401" s="283">
        <v>22328</v>
      </c>
      <c r="L401" s="318">
        <v>-33.876652</v>
      </c>
      <c r="M401" s="318">
        <v>151.23060599999999</v>
      </c>
      <c r="O401">
        <f>INDEX('MEC - traffic congestion'!$M$145:$M$249,MATCH($D401,'MEC - traffic congestion'!$C$145:$C$249,0))</f>
        <v>1</v>
      </c>
      <c r="P401" t="str">
        <f t="shared" si="11"/>
        <v>2020PUBLIC HOLIDAYS</v>
      </c>
      <c r="Q401">
        <f t="shared" si="12"/>
        <v>1</v>
      </c>
      <c r="R401" s="195" t="str">
        <f t="shared" si="13"/>
        <v>2020LIGHT VEHICLES</v>
      </c>
    </row>
    <row r="402" spans="3:18" x14ac:dyDescent="0.25">
      <c r="C402" s="294" t="s">
        <v>782</v>
      </c>
      <c r="D402" s="317">
        <v>10011</v>
      </c>
      <c r="E402" s="122" t="s">
        <v>783</v>
      </c>
      <c r="F402" s="122" t="s">
        <v>784</v>
      </c>
      <c r="G402" s="122" t="s">
        <v>785</v>
      </c>
      <c r="H402" s="122" t="s">
        <v>777</v>
      </c>
      <c r="I402" s="312">
        <v>2020</v>
      </c>
      <c r="J402" s="122" t="s">
        <v>713</v>
      </c>
      <c r="K402" s="283">
        <v>24792</v>
      </c>
      <c r="L402" s="318">
        <v>-33.876652</v>
      </c>
      <c r="M402" s="318">
        <v>151.23060599999999</v>
      </c>
      <c r="O402">
        <f>INDEX('MEC - traffic congestion'!$M$145:$M$249,MATCH($D402,'MEC - traffic congestion'!$C$145:$C$249,0))</f>
        <v>1</v>
      </c>
      <c r="P402" t="str">
        <f t="shared" si="11"/>
        <v>2020WEEKENDS</v>
      </c>
      <c r="Q402">
        <f t="shared" si="12"/>
        <v>1</v>
      </c>
      <c r="R402" s="195" t="str">
        <f t="shared" si="13"/>
        <v>2020LIGHT VEHICLES</v>
      </c>
    </row>
    <row r="403" spans="3:18" x14ac:dyDescent="0.25">
      <c r="C403" s="294" t="s">
        <v>782</v>
      </c>
      <c r="D403" s="317">
        <v>10011</v>
      </c>
      <c r="E403" s="122" t="s">
        <v>783</v>
      </c>
      <c r="F403" s="122" t="s">
        <v>784</v>
      </c>
      <c r="G403" s="122" t="s">
        <v>786</v>
      </c>
      <c r="H403" s="122" t="s">
        <v>777</v>
      </c>
      <c r="I403" s="312">
        <v>2020</v>
      </c>
      <c r="J403" s="122" t="s">
        <v>713</v>
      </c>
      <c r="K403" s="283">
        <v>30240</v>
      </c>
      <c r="L403" s="318">
        <v>-33.876652</v>
      </c>
      <c r="M403" s="318">
        <v>151.23060599999999</v>
      </c>
      <c r="O403">
        <f>INDEX('MEC - traffic congestion'!$M$145:$M$249,MATCH($D403,'MEC - traffic congestion'!$C$145:$C$249,0))</f>
        <v>1</v>
      </c>
      <c r="P403" t="str">
        <f t="shared" si="11"/>
        <v>2020WEEKENDS</v>
      </c>
      <c r="Q403">
        <f t="shared" si="12"/>
        <v>1</v>
      </c>
      <c r="R403" s="195" t="str">
        <f t="shared" si="13"/>
        <v>2020LIGHT VEHICLES</v>
      </c>
    </row>
    <row r="404" spans="3:18" x14ac:dyDescent="0.25">
      <c r="C404" s="294" t="s">
        <v>782</v>
      </c>
      <c r="D404" s="317">
        <v>10011</v>
      </c>
      <c r="E404" s="122" t="s">
        <v>783</v>
      </c>
      <c r="F404" s="122" t="s">
        <v>784</v>
      </c>
      <c r="G404" s="122" t="s">
        <v>785</v>
      </c>
      <c r="H404" s="122" t="s">
        <v>777</v>
      </c>
      <c r="I404" s="312">
        <v>2021</v>
      </c>
      <c r="J404" s="122" t="s">
        <v>709</v>
      </c>
      <c r="K404" s="283">
        <v>6838</v>
      </c>
      <c r="L404" s="318">
        <v>-33.876652</v>
      </c>
      <c r="M404" s="318">
        <v>151.23060599999999</v>
      </c>
      <c r="O404">
        <f>INDEX('MEC - traffic congestion'!$M$145:$M$249,MATCH($D404,'MEC - traffic congestion'!$C$145:$C$249,0))</f>
        <v>1</v>
      </c>
      <c r="P404" t="str">
        <f t="shared" si="11"/>
        <v>2021AM PEAK</v>
      </c>
      <c r="Q404">
        <f t="shared" si="12"/>
        <v>1</v>
      </c>
      <c r="R404" s="195" t="str">
        <f t="shared" si="13"/>
        <v>2021LIGHT VEHICLES</v>
      </c>
    </row>
    <row r="405" spans="3:18" x14ac:dyDescent="0.25">
      <c r="C405" s="294" t="s">
        <v>782</v>
      </c>
      <c r="D405" s="317">
        <v>10011</v>
      </c>
      <c r="E405" s="122" t="s">
        <v>783</v>
      </c>
      <c r="F405" s="122" t="s">
        <v>784</v>
      </c>
      <c r="G405" s="122" t="s">
        <v>786</v>
      </c>
      <c r="H405" s="122" t="s">
        <v>777</v>
      </c>
      <c r="I405" s="312">
        <v>2021</v>
      </c>
      <c r="J405" s="122" t="s">
        <v>709</v>
      </c>
      <c r="K405" s="283">
        <v>8696</v>
      </c>
      <c r="L405" s="318">
        <v>-33.876652</v>
      </c>
      <c r="M405" s="318">
        <v>151.23060599999999</v>
      </c>
      <c r="O405">
        <f>INDEX('MEC - traffic congestion'!$M$145:$M$249,MATCH($D405,'MEC - traffic congestion'!$C$145:$C$249,0))</f>
        <v>1</v>
      </c>
      <c r="P405" t="str">
        <f t="shared" ref="P405:P468" si="14">IF($O405=1,$I405&amp;$J405,"")</f>
        <v>2021AM PEAK</v>
      </c>
      <c r="Q405">
        <f t="shared" ref="Q405:Q468" si="15">IF(AND($M405&gt;150.246,AND($L405&gt;-34.397,$L405&lt;-32.662)),1,0)</f>
        <v>1</v>
      </c>
      <c r="R405" s="195" t="str">
        <f t="shared" ref="R405:R468" si="16">IF($O405=1,$I405&amp;$H405,"")</f>
        <v>2021LIGHT VEHICLES</v>
      </c>
    </row>
    <row r="406" spans="3:18" x14ac:dyDescent="0.25">
      <c r="C406" s="294" t="s">
        <v>782</v>
      </c>
      <c r="D406" s="317">
        <v>10011</v>
      </c>
      <c r="E406" s="122" t="s">
        <v>783</v>
      </c>
      <c r="F406" s="122" t="s">
        <v>784</v>
      </c>
      <c r="G406" s="122" t="s">
        <v>785</v>
      </c>
      <c r="H406" s="122" t="s">
        <v>777</v>
      </c>
      <c r="I406" s="312">
        <v>2021</v>
      </c>
      <c r="J406" s="122" t="s">
        <v>710</v>
      </c>
      <c r="K406" s="283">
        <v>12420</v>
      </c>
      <c r="L406" s="318">
        <v>-33.876652</v>
      </c>
      <c r="M406" s="318">
        <v>151.23060599999999</v>
      </c>
      <c r="O406">
        <f>INDEX('MEC - traffic congestion'!$M$145:$M$249,MATCH($D406,'MEC - traffic congestion'!$C$145:$C$249,0))</f>
        <v>1</v>
      </c>
      <c r="P406" t="str">
        <f t="shared" si="14"/>
        <v>2021OFF PEAK</v>
      </c>
      <c r="Q406">
        <f t="shared" si="15"/>
        <v>1</v>
      </c>
      <c r="R406" s="195" t="str">
        <f t="shared" si="16"/>
        <v>2021LIGHT VEHICLES</v>
      </c>
    </row>
    <row r="407" spans="3:18" x14ac:dyDescent="0.25">
      <c r="C407" s="294" t="s">
        <v>782</v>
      </c>
      <c r="D407" s="317">
        <v>10011</v>
      </c>
      <c r="E407" s="122" t="s">
        <v>783</v>
      </c>
      <c r="F407" s="122" t="s">
        <v>784</v>
      </c>
      <c r="G407" s="122" t="s">
        <v>786</v>
      </c>
      <c r="H407" s="122" t="s">
        <v>777</v>
      </c>
      <c r="I407" s="312">
        <v>2021</v>
      </c>
      <c r="J407" s="122" t="s">
        <v>710</v>
      </c>
      <c r="K407" s="283">
        <v>15502</v>
      </c>
      <c r="L407" s="318">
        <v>-33.876652</v>
      </c>
      <c r="M407" s="318">
        <v>151.23060599999999</v>
      </c>
      <c r="O407">
        <f>INDEX('MEC - traffic congestion'!$M$145:$M$249,MATCH($D407,'MEC - traffic congestion'!$C$145:$C$249,0))</f>
        <v>1</v>
      </c>
      <c r="P407" t="str">
        <f t="shared" si="14"/>
        <v>2021OFF PEAK</v>
      </c>
      <c r="Q407">
        <f t="shared" si="15"/>
        <v>1</v>
      </c>
      <c r="R407" s="195" t="str">
        <f t="shared" si="16"/>
        <v>2021LIGHT VEHICLES</v>
      </c>
    </row>
    <row r="408" spans="3:18" x14ac:dyDescent="0.25">
      <c r="C408" s="294" t="s">
        <v>782</v>
      </c>
      <c r="D408" s="317">
        <v>10011</v>
      </c>
      <c r="E408" s="122" t="s">
        <v>783</v>
      </c>
      <c r="F408" s="122" t="s">
        <v>784</v>
      </c>
      <c r="G408" s="122" t="s">
        <v>785</v>
      </c>
      <c r="H408" s="122" t="s">
        <v>777</v>
      </c>
      <c r="I408" s="312">
        <v>2021</v>
      </c>
      <c r="J408" s="122" t="s">
        <v>711</v>
      </c>
      <c r="K408" s="283">
        <v>7446</v>
      </c>
      <c r="L408" s="318">
        <v>-33.876652</v>
      </c>
      <c r="M408" s="318">
        <v>151.23060599999999</v>
      </c>
      <c r="O408">
        <f>INDEX('MEC - traffic congestion'!$M$145:$M$249,MATCH($D408,'MEC - traffic congestion'!$C$145:$C$249,0))</f>
        <v>1</v>
      </c>
      <c r="P408" t="str">
        <f t="shared" si="14"/>
        <v>2021PM PEAK</v>
      </c>
      <c r="Q408">
        <f t="shared" si="15"/>
        <v>1</v>
      </c>
      <c r="R408" s="195" t="str">
        <f t="shared" si="16"/>
        <v>2021LIGHT VEHICLES</v>
      </c>
    </row>
    <row r="409" spans="3:18" x14ac:dyDescent="0.25">
      <c r="C409" s="294" t="s">
        <v>782</v>
      </c>
      <c r="D409" s="317">
        <v>10011</v>
      </c>
      <c r="E409" s="122" t="s">
        <v>783</v>
      </c>
      <c r="F409" s="122" t="s">
        <v>784</v>
      </c>
      <c r="G409" s="122" t="s">
        <v>786</v>
      </c>
      <c r="H409" s="122" t="s">
        <v>777</v>
      </c>
      <c r="I409" s="312">
        <v>2021</v>
      </c>
      <c r="J409" s="122" t="s">
        <v>711</v>
      </c>
      <c r="K409" s="283">
        <v>8689</v>
      </c>
      <c r="L409" s="318">
        <v>-33.876652</v>
      </c>
      <c r="M409" s="318">
        <v>151.23060599999999</v>
      </c>
      <c r="O409">
        <f>INDEX('MEC - traffic congestion'!$M$145:$M$249,MATCH($D409,'MEC - traffic congestion'!$C$145:$C$249,0))</f>
        <v>1</v>
      </c>
      <c r="P409" t="str">
        <f t="shared" si="14"/>
        <v>2021PM PEAK</v>
      </c>
      <c r="Q409">
        <f t="shared" si="15"/>
        <v>1</v>
      </c>
      <c r="R409" s="195" t="str">
        <f t="shared" si="16"/>
        <v>2021LIGHT VEHICLES</v>
      </c>
    </row>
    <row r="410" spans="3:18" x14ac:dyDescent="0.25">
      <c r="C410" s="294" t="s">
        <v>782</v>
      </c>
      <c r="D410" s="317">
        <v>10011</v>
      </c>
      <c r="E410" s="122" t="s">
        <v>783</v>
      </c>
      <c r="F410" s="122" t="s">
        <v>784</v>
      </c>
      <c r="G410" s="122" t="s">
        <v>785</v>
      </c>
      <c r="H410" s="122" t="s">
        <v>777</v>
      </c>
      <c r="I410" s="312">
        <v>2021</v>
      </c>
      <c r="J410" s="122" t="s">
        <v>713</v>
      </c>
      <c r="K410" s="283">
        <v>22336</v>
      </c>
      <c r="L410" s="318">
        <v>-33.876652</v>
      </c>
      <c r="M410" s="318">
        <v>151.23060599999999</v>
      </c>
      <c r="O410">
        <f>INDEX('MEC - traffic congestion'!$M$145:$M$249,MATCH($D410,'MEC - traffic congestion'!$C$145:$C$249,0))</f>
        <v>1</v>
      </c>
      <c r="P410" t="str">
        <f t="shared" si="14"/>
        <v>2021WEEKENDS</v>
      </c>
      <c r="Q410">
        <f t="shared" si="15"/>
        <v>1</v>
      </c>
      <c r="R410" s="195" t="str">
        <f t="shared" si="16"/>
        <v>2021LIGHT VEHICLES</v>
      </c>
    </row>
    <row r="411" spans="3:18" x14ac:dyDescent="0.25">
      <c r="C411" s="294" t="s">
        <v>782</v>
      </c>
      <c r="D411" s="317">
        <v>10011</v>
      </c>
      <c r="E411" s="122" t="s">
        <v>783</v>
      </c>
      <c r="F411" s="122" t="s">
        <v>784</v>
      </c>
      <c r="G411" s="122" t="s">
        <v>786</v>
      </c>
      <c r="H411" s="122" t="s">
        <v>777</v>
      </c>
      <c r="I411" s="312">
        <v>2021</v>
      </c>
      <c r="J411" s="122" t="s">
        <v>713</v>
      </c>
      <c r="K411" s="283">
        <v>28253</v>
      </c>
      <c r="L411" s="318">
        <v>-33.876652</v>
      </c>
      <c r="M411" s="318">
        <v>151.23060599999999</v>
      </c>
      <c r="O411">
        <f>INDEX('MEC - traffic congestion'!$M$145:$M$249,MATCH($D411,'MEC - traffic congestion'!$C$145:$C$249,0))</f>
        <v>1</v>
      </c>
      <c r="P411" t="str">
        <f t="shared" si="14"/>
        <v>2021WEEKENDS</v>
      </c>
      <c r="Q411">
        <f t="shared" si="15"/>
        <v>1</v>
      </c>
      <c r="R411" s="195" t="str">
        <f t="shared" si="16"/>
        <v>2021LIGHT VEHICLES</v>
      </c>
    </row>
    <row r="412" spans="3:18" x14ac:dyDescent="0.25">
      <c r="C412" s="294" t="s">
        <v>782</v>
      </c>
      <c r="D412" s="317">
        <v>10011</v>
      </c>
      <c r="E412" s="122" t="s">
        <v>783</v>
      </c>
      <c r="F412" s="122" t="s">
        <v>784</v>
      </c>
      <c r="G412" s="122" t="s">
        <v>785</v>
      </c>
      <c r="H412" s="122" t="s">
        <v>777</v>
      </c>
      <c r="I412" s="312">
        <v>2022</v>
      </c>
      <c r="J412" s="122" t="s">
        <v>709</v>
      </c>
      <c r="K412" s="283">
        <v>7002</v>
      </c>
      <c r="L412" s="318">
        <v>-33.876652</v>
      </c>
      <c r="M412" s="318">
        <v>151.23060599999999</v>
      </c>
      <c r="O412">
        <f>INDEX('MEC - traffic congestion'!$M$145:$M$249,MATCH($D412,'MEC - traffic congestion'!$C$145:$C$249,0))</f>
        <v>1</v>
      </c>
      <c r="P412" t="str">
        <f t="shared" si="14"/>
        <v>2022AM PEAK</v>
      </c>
      <c r="Q412">
        <f t="shared" si="15"/>
        <v>1</v>
      </c>
      <c r="R412" s="195" t="str">
        <f t="shared" si="16"/>
        <v>2022LIGHT VEHICLES</v>
      </c>
    </row>
    <row r="413" spans="3:18" x14ac:dyDescent="0.25">
      <c r="C413" s="294" t="s">
        <v>782</v>
      </c>
      <c r="D413" s="317">
        <v>10011</v>
      </c>
      <c r="E413" s="122" t="s">
        <v>783</v>
      </c>
      <c r="F413" s="122" t="s">
        <v>784</v>
      </c>
      <c r="G413" s="122" t="s">
        <v>786</v>
      </c>
      <c r="H413" s="122" t="s">
        <v>777</v>
      </c>
      <c r="I413" s="312">
        <v>2022</v>
      </c>
      <c r="J413" s="122" t="s">
        <v>709</v>
      </c>
      <c r="K413" s="283">
        <v>8893</v>
      </c>
      <c r="L413" s="318">
        <v>-33.876652</v>
      </c>
      <c r="M413" s="318">
        <v>151.23060599999999</v>
      </c>
      <c r="O413">
        <f>INDEX('MEC - traffic congestion'!$M$145:$M$249,MATCH($D413,'MEC - traffic congestion'!$C$145:$C$249,0))</f>
        <v>1</v>
      </c>
      <c r="P413" t="str">
        <f t="shared" si="14"/>
        <v>2022AM PEAK</v>
      </c>
      <c r="Q413">
        <f t="shared" si="15"/>
        <v>1</v>
      </c>
      <c r="R413" s="195" t="str">
        <f t="shared" si="16"/>
        <v>2022LIGHT VEHICLES</v>
      </c>
    </row>
    <row r="414" spans="3:18" x14ac:dyDescent="0.25">
      <c r="C414" s="294" t="s">
        <v>782</v>
      </c>
      <c r="D414" s="317">
        <v>10011</v>
      </c>
      <c r="E414" s="122" t="s">
        <v>783</v>
      </c>
      <c r="F414" s="122" t="s">
        <v>784</v>
      </c>
      <c r="G414" s="122" t="s">
        <v>785</v>
      </c>
      <c r="H414" s="122" t="s">
        <v>777</v>
      </c>
      <c r="I414" s="312">
        <v>2022</v>
      </c>
      <c r="J414" s="122" t="s">
        <v>710</v>
      </c>
      <c r="K414" s="283">
        <v>13656</v>
      </c>
      <c r="L414" s="318">
        <v>-33.876652</v>
      </c>
      <c r="M414" s="318">
        <v>151.23060599999999</v>
      </c>
      <c r="O414">
        <f>INDEX('MEC - traffic congestion'!$M$145:$M$249,MATCH($D414,'MEC - traffic congestion'!$C$145:$C$249,0))</f>
        <v>1</v>
      </c>
      <c r="P414" t="str">
        <f t="shared" si="14"/>
        <v>2022OFF PEAK</v>
      </c>
      <c r="Q414">
        <f t="shared" si="15"/>
        <v>1</v>
      </c>
      <c r="R414" s="195" t="str">
        <f t="shared" si="16"/>
        <v>2022LIGHT VEHICLES</v>
      </c>
    </row>
    <row r="415" spans="3:18" x14ac:dyDescent="0.25">
      <c r="C415" s="294" t="s">
        <v>782</v>
      </c>
      <c r="D415" s="317">
        <v>10011</v>
      </c>
      <c r="E415" s="122" t="s">
        <v>783</v>
      </c>
      <c r="F415" s="122" t="s">
        <v>784</v>
      </c>
      <c r="G415" s="122" t="s">
        <v>786</v>
      </c>
      <c r="H415" s="122" t="s">
        <v>777</v>
      </c>
      <c r="I415" s="312">
        <v>2022</v>
      </c>
      <c r="J415" s="122" t="s">
        <v>710</v>
      </c>
      <c r="K415" s="283">
        <v>16563</v>
      </c>
      <c r="L415" s="318">
        <v>-33.876652</v>
      </c>
      <c r="M415" s="318">
        <v>151.23060599999999</v>
      </c>
      <c r="O415">
        <f>INDEX('MEC - traffic congestion'!$M$145:$M$249,MATCH($D415,'MEC - traffic congestion'!$C$145:$C$249,0))</f>
        <v>1</v>
      </c>
      <c r="P415" t="str">
        <f t="shared" si="14"/>
        <v>2022OFF PEAK</v>
      </c>
      <c r="Q415">
        <f t="shared" si="15"/>
        <v>1</v>
      </c>
      <c r="R415" s="195" t="str">
        <f t="shared" si="16"/>
        <v>2022LIGHT VEHICLES</v>
      </c>
    </row>
    <row r="416" spans="3:18" x14ac:dyDescent="0.25">
      <c r="C416" s="294" t="s">
        <v>782</v>
      </c>
      <c r="D416" s="317">
        <v>10011</v>
      </c>
      <c r="E416" s="122" t="s">
        <v>783</v>
      </c>
      <c r="F416" s="122" t="s">
        <v>784</v>
      </c>
      <c r="G416" s="122" t="s">
        <v>785</v>
      </c>
      <c r="H416" s="122" t="s">
        <v>777</v>
      </c>
      <c r="I416" s="312">
        <v>2022</v>
      </c>
      <c r="J416" s="122" t="s">
        <v>711</v>
      </c>
      <c r="K416" s="283">
        <v>8221</v>
      </c>
      <c r="L416" s="318">
        <v>-33.876652</v>
      </c>
      <c r="M416" s="318">
        <v>151.23060599999999</v>
      </c>
      <c r="O416">
        <f>INDEX('MEC - traffic congestion'!$M$145:$M$249,MATCH($D416,'MEC - traffic congestion'!$C$145:$C$249,0))</f>
        <v>1</v>
      </c>
      <c r="P416" t="str">
        <f t="shared" si="14"/>
        <v>2022PM PEAK</v>
      </c>
      <c r="Q416">
        <f t="shared" si="15"/>
        <v>1</v>
      </c>
      <c r="R416" s="195" t="str">
        <f t="shared" si="16"/>
        <v>2022LIGHT VEHICLES</v>
      </c>
    </row>
    <row r="417" spans="3:18" x14ac:dyDescent="0.25">
      <c r="C417" s="294" t="s">
        <v>782</v>
      </c>
      <c r="D417" s="317">
        <v>10011</v>
      </c>
      <c r="E417" s="122" t="s">
        <v>783</v>
      </c>
      <c r="F417" s="122" t="s">
        <v>784</v>
      </c>
      <c r="G417" s="122" t="s">
        <v>786</v>
      </c>
      <c r="H417" s="122" t="s">
        <v>777</v>
      </c>
      <c r="I417" s="312">
        <v>2022</v>
      </c>
      <c r="J417" s="122" t="s">
        <v>711</v>
      </c>
      <c r="K417" s="283">
        <v>9282</v>
      </c>
      <c r="L417" s="318">
        <v>-33.876652</v>
      </c>
      <c r="M417" s="318">
        <v>151.23060599999999</v>
      </c>
      <c r="O417">
        <f>INDEX('MEC - traffic congestion'!$M$145:$M$249,MATCH($D417,'MEC - traffic congestion'!$C$145:$C$249,0))</f>
        <v>1</v>
      </c>
      <c r="P417" t="str">
        <f t="shared" si="14"/>
        <v>2022PM PEAK</v>
      </c>
      <c r="Q417">
        <f t="shared" si="15"/>
        <v>1</v>
      </c>
      <c r="R417" s="195" t="str">
        <f t="shared" si="16"/>
        <v>2022LIGHT VEHICLES</v>
      </c>
    </row>
    <row r="418" spans="3:18" x14ac:dyDescent="0.25">
      <c r="C418" s="294" t="s">
        <v>782</v>
      </c>
      <c r="D418" s="317">
        <v>10011</v>
      </c>
      <c r="E418" s="122" t="s">
        <v>783</v>
      </c>
      <c r="F418" s="122" t="s">
        <v>784</v>
      </c>
      <c r="G418" s="122" t="s">
        <v>785</v>
      </c>
      <c r="H418" s="122" t="s">
        <v>777</v>
      </c>
      <c r="I418" s="312">
        <v>2022</v>
      </c>
      <c r="J418" s="122" t="s">
        <v>713</v>
      </c>
      <c r="K418" s="283">
        <v>26039</v>
      </c>
      <c r="L418" s="318">
        <v>-33.876652</v>
      </c>
      <c r="M418" s="318">
        <v>151.23060599999999</v>
      </c>
      <c r="O418">
        <f>INDEX('MEC - traffic congestion'!$M$145:$M$249,MATCH($D418,'MEC - traffic congestion'!$C$145:$C$249,0))</f>
        <v>1</v>
      </c>
      <c r="P418" t="str">
        <f t="shared" si="14"/>
        <v>2022WEEKENDS</v>
      </c>
      <c r="Q418">
        <f t="shared" si="15"/>
        <v>1</v>
      </c>
      <c r="R418" s="195" t="str">
        <f t="shared" si="16"/>
        <v>2022LIGHT VEHICLES</v>
      </c>
    </row>
    <row r="419" spans="3:18" x14ac:dyDescent="0.25">
      <c r="C419" s="294" t="s">
        <v>782</v>
      </c>
      <c r="D419" s="317">
        <v>10011</v>
      </c>
      <c r="E419" s="122" t="s">
        <v>783</v>
      </c>
      <c r="F419" s="122" t="s">
        <v>784</v>
      </c>
      <c r="G419" s="122" t="s">
        <v>786</v>
      </c>
      <c r="H419" s="122" t="s">
        <v>777</v>
      </c>
      <c r="I419" s="312">
        <v>2022</v>
      </c>
      <c r="J419" s="122" t="s">
        <v>713</v>
      </c>
      <c r="K419" s="283">
        <v>31951</v>
      </c>
      <c r="L419" s="318">
        <v>-33.876652</v>
      </c>
      <c r="M419" s="318">
        <v>151.23060599999999</v>
      </c>
      <c r="O419">
        <f>INDEX('MEC - traffic congestion'!$M$145:$M$249,MATCH($D419,'MEC - traffic congestion'!$C$145:$C$249,0))</f>
        <v>1</v>
      </c>
      <c r="P419" t="str">
        <f t="shared" si="14"/>
        <v>2022WEEKENDS</v>
      </c>
      <c r="Q419">
        <f t="shared" si="15"/>
        <v>1</v>
      </c>
      <c r="R419" s="195" t="str">
        <f t="shared" si="16"/>
        <v>2022LIGHT VEHICLES</v>
      </c>
    </row>
    <row r="420" spans="3:18" x14ac:dyDescent="0.25">
      <c r="C420" s="294" t="s">
        <v>782</v>
      </c>
      <c r="D420" s="317">
        <v>10011</v>
      </c>
      <c r="E420" s="122" t="s">
        <v>783</v>
      </c>
      <c r="F420" s="122" t="s">
        <v>784</v>
      </c>
      <c r="G420" s="122" t="s">
        <v>785</v>
      </c>
      <c r="H420" s="122" t="s">
        <v>777</v>
      </c>
      <c r="I420" s="312">
        <v>2023</v>
      </c>
      <c r="J420" s="122" t="s">
        <v>709</v>
      </c>
      <c r="K420" s="283">
        <v>7312</v>
      </c>
      <c r="L420" s="318">
        <v>-33.876652</v>
      </c>
      <c r="M420" s="318">
        <v>151.23060599999999</v>
      </c>
      <c r="O420">
        <f>INDEX('MEC - traffic congestion'!$M$145:$M$249,MATCH($D420,'MEC - traffic congestion'!$C$145:$C$249,0))</f>
        <v>1</v>
      </c>
      <c r="P420" t="str">
        <f t="shared" si="14"/>
        <v>2023AM PEAK</v>
      </c>
      <c r="Q420">
        <f t="shared" si="15"/>
        <v>1</v>
      </c>
      <c r="R420" s="195" t="str">
        <f t="shared" si="16"/>
        <v>2023LIGHT VEHICLES</v>
      </c>
    </row>
    <row r="421" spans="3:18" x14ac:dyDescent="0.25">
      <c r="C421" s="294" t="s">
        <v>782</v>
      </c>
      <c r="D421" s="317">
        <v>10011</v>
      </c>
      <c r="E421" s="122" t="s">
        <v>783</v>
      </c>
      <c r="F421" s="122" t="s">
        <v>784</v>
      </c>
      <c r="G421" s="122" t="s">
        <v>786</v>
      </c>
      <c r="H421" s="122" t="s">
        <v>777</v>
      </c>
      <c r="I421" s="312">
        <v>2023</v>
      </c>
      <c r="J421" s="122" t="s">
        <v>709</v>
      </c>
      <c r="K421" s="283">
        <v>9419</v>
      </c>
      <c r="L421" s="318">
        <v>-33.876652</v>
      </c>
      <c r="M421" s="318">
        <v>151.23060599999999</v>
      </c>
      <c r="O421">
        <f>INDEX('MEC - traffic congestion'!$M$145:$M$249,MATCH($D421,'MEC - traffic congestion'!$C$145:$C$249,0))</f>
        <v>1</v>
      </c>
      <c r="P421" t="str">
        <f t="shared" si="14"/>
        <v>2023AM PEAK</v>
      </c>
      <c r="Q421">
        <f t="shared" si="15"/>
        <v>1</v>
      </c>
      <c r="R421" s="195" t="str">
        <f t="shared" si="16"/>
        <v>2023LIGHT VEHICLES</v>
      </c>
    </row>
    <row r="422" spans="3:18" x14ac:dyDescent="0.25">
      <c r="C422" s="294" t="s">
        <v>782</v>
      </c>
      <c r="D422" s="317">
        <v>10011</v>
      </c>
      <c r="E422" s="122" t="s">
        <v>783</v>
      </c>
      <c r="F422" s="122" t="s">
        <v>784</v>
      </c>
      <c r="G422" s="122" t="s">
        <v>785</v>
      </c>
      <c r="H422" s="122" t="s">
        <v>777</v>
      </c>
      <c r="I422" s="312">
        <v>2023</v>
      </c>
      <c r="J422" s="122" t="s">
        <v>710</v>
      </c>
      <c r="K422" s="283">
        <v>14277</v>
      </c>
      <c r="L422" s="318">
        <v>-33.876652</v>
      </c>
      <c r="M422" s="318">
        <v>151.23060599999999</v>
      </c>
      <c r="O422">
        <f>INDEX('MEC - traffic congestion'!$M$145:$M$249,MATCH($D422,'MEC - traffic congestion'!$C$145:$C$249,0))</f>
        <v>1</v>
      </c>
      <c r="P422" t="str">
        <f t="shared" si="14"/>
        <v>2023OFF PEAK</v>
      </c>
      <c r="Q422">
        <f t="shared" si="15"/>
        <v>1</v>
      </c>
      <c r="R422" s="195" t="str">
        <f t="shared" si="16"/>
        <v>2023LIGHT VEHICLES</v>
      </c>
    </row>
    <row r="423" spans="3:18" x14ac:dyDescent="0.25">
      <c r="C423" s="294" t="s">
        <v>782</v>
      </c>
      <c r="D423" s="317">
        <v>10011</v>
      </c>
      <c r="E423" s="122" t="s">
        <v>783</v>
      </c>
      <c r="F423" s="122" t="s">
        <v>784</v>
      </c>
      <c r="G423" s="122" t="s">
        <v>786</v>
      </c>
      <c r="H423" s="122" t="s">
        <v>777</v>
      </c>
      <c r="I423" s="312">
        <v>2023</v>
      </c>
      <c r="J423" s="122" t="s">
        <v>710</v>
      </c>
      <c r="K423" s="283">
        <v>16999</v>
      </c>
      <c r="L423" s="318">
        <v>-33.876652</v>
      </c>
      <c r="M423" s="318">
        <v>151.23060599999999</v>
      </c>
      <c r="O423">
        <f>INDEX('MEC - traffic congestion'!$M$145:$M$249,MATCH($D423,'MEC - traffic congestion'!$C$145:$C$249,0))</f>
        <v>1</v>
      </c>
      <c r="P423" t="str">
        <f t="shared" si="14"/>
        <v>2023OFF PEAK</v>
      </c>
      <c r="Q423">
        <f t="shared" si="15"/>
        <v>1</v>
      </c>
      <c r="R423" s="195" t="str">
        <f t="shared" si="16"/>
        <v>2023LIGHT VEHICLES</v>
      </c>
    </row>
    <row r="424" spans="3:18" x14ac:dyDescent="0.25">
      <c r="C424" s="294" t="s">
        <v>782</v>
      </c>
      <c r="D424" s="317">
        <v>10011</v>
      </c>
      <c r="E424" s="122" t="s">
        <v>783</v>
      </c>
      <c r="F424" s="122" t="s">
        <v>784</v>
      </c>
      <c r="G424" s="122" t="s">
        <v>785</v>
      </c>
      <c r="H424" s="122" t="s">
        <v>777</v>
      </c>
      <c r="I424" s="312">
        <v>2023</v>
      </c>
      <c r="J424" s="122" t="s">
        <v>711</v>
      </c>
      <c r="K424" s="283">
        <v>8581</v>
      </c>
      <c r="L424" s="318">
        <v>-33.876652</v>
      </c>
      <c r="M424" s="318">
        <v>151.23060599999999</v>
      </c>
      <c r="O424">
        <f>INDEX('MEC - traffic congestion'!$M$145:$M$249,MATCH($D424,'MEC - traffic congestion'!$C$145:$C$249,0))</f>
        <v>1</v>
      </c>
      <c r="P424" t="str">
        <f t="shared" si="14"/>
        <v>2023PM PEAK</v>
      </c>
      <c r="Q424">
        <f t="shared" si="15"/>
        <v>1</v>
      </c>
      <c r="R424" s="195" t="str">
        <f t="shared" si="16"/>
        <v>2023LIGHT VEHICLES</v>
      </c>
    </row>
    <row r="425" spans="3:18" x14ac:dyDescent="0.25">
      <c r="C425" s="294" t="s">
        <v>782</v>
      </c>
      <c r="D425" s="317">
        <v>10011</v>
      </c>
      <c r="E425" s="122" t="s">
        <v>783</v>
      </c>
      <c r="F425" s="122" t="s">
        <v>784</v>
      </c>
      <c r="G425" s="122" t="s">
        <v>786</v>
      </c>
      <c r="H425" s="122" t="s">
        <v>777</v>
      </c>
      <c r="I425" s="312">
        <v>2023</v>
      </c>
      <c r="J425" s="122" t="s">
        <v>711</v>
      </c>
      <c r="K425" s="283">
        <v>9687</v>
      </c>
      <c r="L425" s="318">
        <v>-33.876652</v>
      </c>
      <c r="M425" s="318">
        <v>151.23060599999999</v>
      </c>
      <c r="O425">
        <f>INDEX('MEC - traffic congestion'!$M$145:$M$249,MATCH($D425,'MEC - traffic congestion'!$C$145:$C$249,0))</f>
        <v>1</v>
      </c>
      <c r="P425" t="str">
        <f t="shared" si="14"/>
        <v>2023PM PEAK</v>
      </c>
      <c r="Q425">
        <f t="shared" si="15"/>
        <v>1</v>
      </c>
      <c r="R425" s="195" t="str">
        <f t="shared" si="16"/>
        <v>2023LIGHT VEHICLES</v>
      </c>
    </row>
    <row r="426" spans="3:18" x14ac:dyDescent="0.25">
      <c r="C426" s="294" t="s">
        <v>782</v>
      </c>
      <c r="D426" s="317">
        <v>10011</v>
      </c>
      <c r="E426" s="122" t="s">
        <v>783</v>
      </c>
      <c r="F426" s="122" t="s">
        <v>784</v>
      </c>
      <c r="G426" s="122" t="s">
        <v>785</v>
      </c>
      <c r="H426" s="122" t="s">
        <v>777</v>
      </c>
      <c r="I426" s="312">
        <v>2023</v>
      </c>
      <c r="J426" s="122" t="s">
        <v>713</v>
      </c>
      <c r="K426" s="283">
        <v>27647</v>
      </c>
      <c r="L426" s="318">
        <v>-33.876652</v>
      </c>
      <c r="M426" s="318">
        <v>151.23060599999999</v>
      </c>
      <c r="O426">
        <f>INDEX('MEC - traffic congestion'!$M$145:$M$249,MATCH($D426,'MEC - traffic congestion'!$C$145:$C$249,0))</f>
        <v>1</v>
      </c>
      <c r="P426" t="str">
        <f t="shared" si="14"/>
        <v>2023WEEKENDS</v>
      </c>
      <c r="Q426">
        <f t="shared" si="15"/>
        <v>1</v>
      </c>
      <c r="R426" s="195" t="str">
        <f t="shared" si="16"/>
        <v>2023LIGHT VEHICLES</v>
      </c>
    </row>
    <row r="427" spans="3:18" x14ac:dyDescent="0.25">
      <c r="C427" s="294" t="s">
        <v>782</v>
      </c>
      <c r="D427" s="317">
        <v>10011</v>
      </c>
      <c r="E427" s="122" t="s">
        <v>783</v>
      </c>
      <c r="F427" s="122" t="s">
        <v>784</v>
      </c>
      <c r="G427" s="122" t="s">
        <v>786</v>
      </c>
      <c r="H427" s="122" t="s">
        <v>777</v>
      </c>
      <c r="I427" s="312">
        <v>2023</v>
      </c>
      <c r="J427" s="122" t="s">
        <v>713</v>
      </c>
      <c r="K427" s="283">
        <v>33090</v>
      </c>
      <c r="L427" s="318">
        <v>-33.876652</v>
      </c>
      <c r="M427" s="318">
        <v>151.23060599999999</v>
      </c>
      <c r="O427">
        <f>INDEX('MEC - traffic congestion'!$M$145:$M$249,MATCH($D427,'MEC - traffic congestion'!$C$145:$C$249,0))</f>
        <v>1</v>
      </c>
      <c r="P427" t="str">
        <f t="shared" si="14"/>
        <v>2023WEEKENDS</v>
      </c>
      <c r="Q427">
        <f t="shared" si="15"/>
        <v>1</v>
      </c>
      <c r="R427" s="195" t="str">
        <f t="shared" si="16"/>
        <v>2023LIGHT VEHICLES</v>
      </c>
    </row>
    <row r="428" spans="3:18" x14ac:dyDescent="0.25">
      <c r="C428" s="294" t="s">
        <v>782</v>
      </c>
      <c r="D428" s="317">
        <v>10011</v>
      </c>
      <c r="E428" s="122" t="s">
        <v>783</v>
      </c>
      <c r="F428" s="122" t="s">
        <v>784</v>
      </c>
      <c r="G428" s="122" t="s">
        <v>785</v>
      </c>
      <c r="H428" s="122" t="s">
        <v>777</v>
      </c>
      <c r="I428" s="312">
        <v>2024</v>
      </c>
      <c r="J428" s="122" t="s">
        <v>709</v>
      </c>
      <c r="K428" s="283">
        <v>7367</v>
      </c>
      <c r="L428" s="318">
        <v>-33.876652</v>
      </c>
      <c r="M428" s="318">
        <v>151.23060599999999</v>
      </c>
      <c r="O428">
        <f>INDEX('MEC - traffic congestion'!$M$145:$M$249,MATCH($D428,'MEC - traffic congestion'!$C$145:$C$249,0))</f>
        <v>1</v>
      </c>
      <c r="P428" t="str">
        <f t="shared" si="14"/>
        <v>2024AM PEAK</v>
      </c>
      <c r="Q428">
        <f t="shared" si="15"/>
        <v>1</v>
      </c>
      <c r="R428" s="195" t="str">
        <f t="shared" si="16"/>
        <v>2024LIGHT VEHICLES</v>
      </c>
    </row>
    <row r="429" spans="3:18" x14ac:dyDescent="0.25">
      <c r="C429" s="294" t="s">
        <v>782</v>
      </c>
      <c r="D429" s="317">
        <v>10011</v>
      </c>
      <c r="E429" s="122" t="s">
        <v>783</v>
      </c>
      <c r="F429" s="122" t="s">
        <v>784</v>
      </c>
      <c r="G429" s="122" t="s">
        <v>786</v>
      </c>
      <c r="H429" s="122" t="s">
        <v>777</v>
      </c>
      <c r="I429" s="312">
        <v>2024</v>
      </c>
      <c r="J429" s="122" t="s">
        <v>709</v>
      </c>
      <c r="K429" s="283">
        <v>9316</v>
      </c>
      <c r="L429" s="318">
        <v>-33.876652</v>
      </c>
      <c r="M429" s="318">
        <v>151.23060599999999</v>
      </c>
      <c r="O429">
        <f>INDEX('MEC - traffic congestion'!$M$145:$M$249,MATCH($D429,'MEC - traffic congestion'!$C$145:$C$249,0))</f>
        <v>1</v>
      </c>
      <c r="P429" t="str">
        <f t="shared" si="14"/>
        <v>2024AM PEAK</v>
      </c>
      <c r="Q429">
        <f t="shared" si="15"/>
        <v>1</v>
      </c>
      <c r="R429" s="195" t="str">
        <f t="shared" si="16"/>
        <v>2024LIGHT VEHICLES</v>
      </c>
    </row>
    <row r="430" spans="3:18" x14ac:dyDescent="0.25">
      <c r="C430" s="294" t="s">
        <v>782</v>
      </c>
      <c r="D430" s="317">
        <v>10011</v>
      </c>
      <c r="E430" s="122" t="s">
        <v>783</v>
      </c>
      <c r="F430" s="122" t="s">
        <v>784</v>
      </c>
      <c r="G430" s="122" t="s">
        <v>785</v>
      </c>
      <c r="H430" s="122" t="s">
        <v>777</v>
      </c>
      <c r="I430" s="312">
        <v>2024</v>
      </c>
      <c r="J430" s="122" t="s">
        <v>710</v>
      </c>
      <c r="K430" s="283">
        <v>14803</v>
      </c>
      <c r="L430" s="318">
        <v>-33.876652</v>
      </c>
      <c r="M430" s="318">
        <v>151.23060599999999</v>
      </c>
      <c r="O430">
        <f>INDEX('MEC - traffic congestion'!$M$145:$M$249,MATCH($D430,'MEC - traffic congestion'!$C$145:$C$249,0))</f>
        <v>1</v>
      </c>
      <c r="P430" t="str">
        <f t="shared" si="14"/>
        <v>2024OFF PEAK</v>
      </c>
      <c r="Q430">
        <f t="shared" si="15"/>
        <v>1</v>
      </c>
      <c r="R430" s="195" t="str">
        <f t="shared" si="16"/>
        <v>2024LIGHT VEHICLES</v>
      </c>
    </row>
    <row r="431" spans="3:18" x14ac:dyDescent="0.25">
      <c r="C431" s="294" t="s">
        <v>782</v>
      </c>
      <c r="D431" s="317">
        <v>10011</v>
      </c>
      <c r="E431" s="122" t="s">
        <v>783</v>
      </c>
      <c r="F431" s="122" t="s">
        <v>784</v>
      </c>
      <c r="G431" s="122" t="s">
        <v>786</v>
      </c>
      <c r="H431" s="122" t="s">
        <v>777</v>
      </c>
      <c r="I431" s="312">
        <v>2024</v>
      </c>
      <c r="J431" s="122" t="s">
        <v>710</v>
      </c>
      <c r="K431" s="283">
        <v>17908</v>
      </c>
      <c r="L431" s="318">
        <v>-33.876652</v>
      </c>
      <c r="M431" s="318">
        <v>151.23060599999999</v>
      </c>
      <c r="O431">
        <f>INDEX('MEC - traffic congestion'!$M$145:$M$249,MATCH($D431,'MEC - traffic congestion'!$C$145:$C$249,0))</f>
        <v>1</v>
      </c>
      <c r="P431" t="str">
        <f t="shared" si="14"/>
        <v>2024OFF PEAK</v>
      </c>
      <c r="Q431">
        <f t="shared" si="15"/>
        <v>1</v>
      </c>
      <c r="R431" s="195" t="str">
        <f t="shared" si="16"/>
        <v>2024LIGHT VEHICLES</v>
      </c>
    </row>
    <row r="432" spans="3:18" x14ac:dyDescent="0.25">
      <c r="C432" s="294" t="s">
        <v>782</v>
      </c>
      <c r="D432" s="317">
        <v>10011</v>
      </c>
      <c r="E432" s="122" t="s">
        <v>783</v>
      </c>
      <c r="F432" s="122" t="s">
        <v>784</v>
      </c>
      <c r="G432" s="122" t="s">
        <v>785</v>
      </c>
      <c r="H432" s="122" t="s">
        <v>777</v>
      </c>
      <c r="I432" s="312">
        <v>2024</v>
      </c>
      <c r="J432" s="122" t="s">
        <v>711</v>
      </c>
      <c r="K432" s="283">
        <v>8579</v>
      </c>
      <c r="L432" s="318">
        <v>-33.876652</v>
      </c>
      <c r="M432" s="318">
        <v>151.23060599999999</v>
      </c>
      <c r="O432">
        <f>INDEX('MEC - traffic congestion'!$M$145:$M$249,MATCH($D432,'MEC - traffic congestion'!$C$145:$C$249,0))</f>
        <v>1</v>
      </c>
      <c r="P432" t="str">
        <f t="shared" si="14"/>
        <v>2024PM PEAK</v>
      </c>
      <c r="Q432">
        <f t="shared" si="15"/>
        <v>1</v>
      </c>
      <c r="R432" s="195" t="str">
        <f t="shared" si="16"/>
        <v>2024LIGHT VEHICLES</v>
      </c>
    </row>
    <row r="433" spans="3:18" x14ac:dyDescent="0.25">
      <c r="C433" s="294" t="s">
        <v>782</v>
      </c>
      <c r="D433" s="317">
        <v>10011</v>
      </c>
      <c r="E433" s="122" t="s">
        <v>783</v>
      </c>
      <c r="F433" s="122" t="s">
        <v>784</v>
      </c>
      <c r="G433" s="122" t="s">
        <v>786</v>
      </c>
      <c r="H433" s="122" t="s">
        <v>777</v>
      </c>
      <c r="I433" s="312">
        <v>2024</v>
      </c>
      <c r="J433" s="122" t="s">
        <v>711</v>
      </c>
      <c r="K433" s="283">
        <v>9852</v>
      </c>
      <c r="L433" s="318">
        <v>-33.876652</v>
      </c>
      <c r="M433" s="318">
        <v>151.23060599999999</v>
      </c>
      <c r="O433">
        <f>INDEX('MEC - traffic congestion'!$M$145:$M$249,MATCH($D433,'MEC - traffic congestion'!$C$145:$C$249,0))</f>
        <v>1</v>
      </c>
      <c r="P433" t="str">
        <f t="shared" si="14"/>
        <v>2024PM PEAK</v>
      </c>
      <c r="Q433">
        <f t="shared" si="15"/>
        <v>1</v>
      </c>
      <c r="R433" s="195" t="str">
        <f t="shared" si="16"/>
        <v>2024LIGHT VEHICLES</v>
      </c>
    </row>
    <row r="434" spans="3:18" x14ac:dyDescent="0.25">
      <c r="C434" s="294" t="s">
        <v>782</v>
      </c>
      <c r="D434" s="317">
        <v>10011</v>
      </c>
      <c r="E434" s="122" t="s">
        <v>783</v>
      </c>
      <c r="F434" s="122" t="s">
        <v>784</v>
      </c>
      <c r="G434" s="122" t="s">
        <v>785</v>
      </c>
      <c r="H434" s="122" t="s">
        <v>777</v>
      </c>
      <c r="I434" s="312">
        <v>2024</v>
      </c>
      <c r="J434" s="122" t="s">
        <v>713</v>
      </c>
      <c r="K434" s="283">
        <v>28972</v>
      </c>
      <c r="L434" s="318">
        <v>-33.876652</v>
      </c>
      <c r="M434" s="318">
        <v>151.23060599999999</v>
      </c>
      <c r="O434">
        <f>INDEX('MEC - traffic congestion'!$M$145:$M$249,MATCH($D434,'MEC - traffic congestion'!$C$145:$C$249,0))</f>
        <v>1</v>
      </c>
      <c r="P434" t="str">
        <f t="shared" si="14"/>
        <v>2024WEEKENDS</v>
      </c>
      <c r="Q434">
        <f t="shared" si="15"/>
        <v>1</v>
      </c>
      <c r="R434" s="195" t="str">
        <f t="shared" si="16"/>
        <v>2024LIGHT VEHICLES</v>
      </c>
    </row>
    <row r="435" spans="3:18" x14ac:dyDescent="0.25">
      <c r="C435" s="294" t="s">
        <v>782</v>
      </c>
      <c r="D435" s="317">
        <v>10011</v>
      </c>
      <c r="E435" s="122" t="s">
        <v>783</v>
      </c>
      <c r="F435" s="122" t="s">
        <v>784</v>
      </c>
      <c r="G435" s="122" t="s">
        <v>786</v>
      </c>
      <c r="H435" s="122" t="s">
        <v>777</v>
      </c>
      <c r="I435" s="312">
        <v>2024</v>
      </c>
      <c r="J435" s="122" t="s">
        <v>713</v>
      </c>
      <c r="K435" s="283">
        <v>35461</v>
      </c>
      <c r="L435" s="318">
        <v>-33.876652</v>
      </c>
      <c r="M435" s="318">
        <v>151.23060599999999</v>
      </c>
      <c r="O435">
        <f>INDEX('MEC - traffic congestion'!$M$145:$M$249,MATCH($D435,'MEC - traffic congestion'!$C$145:$C$249,0))</f>
        <v>1</v>
      </c>
      <c r="P435" t="str">
        <f t="shared" si="14"/>
        <v>2024WEEKENDS</v>
      </c>
      <c r="Q435">
        <f t="shared" si="15"/>
        <v>1</v>
      </c>
      <c r="R435" s="195" t="str">
        <f t="shared" si="16"/>
        <v>2024LIGHT VEHICLES</v>
      </c>
    </row>
    <row r="436" spans="3:18" x14ac:dyDescent="0.25">
      <c r="C436" s="294" t="s">
        <v>787</v>
      </c>
      <c r="D436" s="317">
        <v>20075</v>
      </c>
      <c r="E436" s="122" t="s">
        <v>788</v>
      </c>
      <c r="F436" s="122" t="s">
        <v>789</v>
      </c>
      <c r="G436" s="122" t="s">
        <v>785</v>
      </c>
      <c r="H436" s="122" t="s">
        <v>777</v>
      </c>
      <c r="I436" s="312">
        <v>2018</v>
      </c>
      <c r="J436" s="122" t="s">
        <v>709</v>
      </c>
      <c r="K436" s="283">
        <v>7030</v>
      </c>
      <c r="L436" s="318">
        <v>-33.871184999999997</v>
      </c>
      <c r="M436" s="318">
        <v>151.17266799999999</v>
      </c>
      <c r="O436">
        <f>INDEX('MEC - traffic congestion'!$M$145:$M$249,MATCH($D436,'MEC - traffic congestion'!$C$145:$C$249,0))</f>
        <v>0</v>
      </c>
      <c r="P436" t="str">
        <f t="shared" si="14"/>
        <v/>
      </c>
      <c r="Q436">
        <f t="shared" si="15"/>
        <v>1</v>
      </c>
      <c r="R436" s="195" t="str">
        <f t="shared" si="16"/>
        <v/>
      </c>
    </row>
    <row r="437" spans="3:18" x14ac:dyDescent="0.25">
      <c r="C437" s="294" t="s">
        <v>787</v>
      </c>
      <c r="D437" s="317">
        <v>20075</v>
      </c>
      <c r="E437" s="122" t="s">
        <v>788</v>
      </c>
      <c r="F437" s="122" t="s">
        <v>789</v>
      </c>
      <c r="G437" s="122" t="s">
        <v>786</v>
      </c>
      <c r="H437" s="122" t="s">
        <v>777</v>
      </c>
      <c r="I437" s="312">
        <v>2018</v>
      </c>
      <c r="J437" s="122" t="s">
        <v>709</v>
      </c>
      <c r="K437" s="283">
        <v>4245</v>
      </c>
      <c r="L437" s="318">
        <v>-33.871184999999997</v>
      </c>
      <c r="M437" s="318">
        <v>151.17266799999999</v>
      </c>
      <c r="O437">
        <f>INDEX('MEC - traffic congestion'!$M$145:$M$249,MATCH($D437,'MEC - traffic congestion'!$C$145:$C$249,0))</f>
        <v>0</v>
      </c>
      <c r="P437" t="str">
        <f t="shared" si="14"/>
        <v/>
      </c>
      <c r="Q437">
        <f t="shared" si="15"/>
        <v>1</v>
      </c>
      <c r="R437" s="195" t="str">
        <f t="shared" si="16"/>
        <v/>
      </c>
    </row>
    <row r="438" spans="3:18" x14ac:dyDescent="0.25">
      <c r="C438" s="294" t="s">
        <v>787</v>
      </c>
      <c r="D438" s="317">
        <v>20075</v>
      </c>
      <c r="E438" s="122" t="s">
        <v>788</v>
      </c>
      <c r="F438" s="122" t="s">
        <v>789</v>
      </c>
      <c r="G438" s="122" t="s">
        <v>785</v>
      </c>
      <c r="H438" s="122" t="s">
        <v>777</v>
      </c>
      <c r="I438" s="312">
        <v>2018</v>
      </c>
      <c r="J438" s="122" t="s">
        <v>710</v>
      </c>
      <c r="K438" s="283">
        <v>15440</v>
      </c>
      <c r="L438" s="318">
        <v>-33.871184999999997</v>
      </c>
      <c r="M438" s="318">
        <v>151.17266799999999</v>
      </c>
      <c r="O438">
        <f>INDEX('MEC - traffic congestion'!$M$145:$M$249,MATCH($D438,'MEC - traffic congestion'!$C$145:$C$249,0))</f>
        <v>0</v>
      </c>
      <c r="P438" t="str">
        <f t="shared" si="14"/>
        <v/>
      </c>
      <c r="Q438">
        <f t="shared" si="15"/>
        <v>1</v>
      </c>
      <c r="R438" s="195" t="str">
        <f t="shared" si="16"/>
        <v/>
      </c>
    </row>
    <row r="439" spans="3:18" x14ac:dyDescent="0.25">
      <c r="C439" s="294" t="s">
        <v>787</v>
      </c>
      <c r="D439" s="317">
        <v>20075</v>
      </c>
      <c r="E439" s="122" t="s">
        <v>788</v>
      </c>
      <c r="F439" s="122" t="s">
        <v>789</v>
      </c>
      <c r="G439" s="122" t="s">
        <v>786</v>
      </c>
      <c r="H439" s="122" t="s">
        <v>777</v>
      </c>
      <c r="I439" s="312">
        <v>2018</v>
      </c>
      <c r="J439" s="122" t="s">
        <v>710</v>
      </c>
      <c r="K439" s="283">
        <v>15270</v>
      </c>
      <c r="L439" s="318">
        <v>-33.871184999999997</v>
      </c>
      <c r="M439" s="318">
        <v>151.17266799999999</v>
      </c>
      <c r="O439">
        <f>INDEX('MEC - traffic congestion'!$M$145:$M$249,MATCH($D439,'MEC - traffic congestion'!$C$145:$C$249,0))</f>
        <v>0</v>
      </c>
      <c r="P439" t="str">
        <f t="shared" si="14"/>
        <v/>
      </c>
      <c r="Q439">
        <f t="shared" si="15"/>
        <v>1</v>
      </c>
      <c r="R439" s="195" t="str">
        <f t="shared" si="16"/>
        <v/>
      </c>
    </row>
    <row r="440" spans="3:18" x14ac:dyDescent="0.25">
      <c r="C440" s="294" t="s">
        <v>787</v>
      </c>
      <c r="D440" s="317">
        <v>20075</v>
      </c>
      <c r="E440" s="122" t="s">
        <v>788</v>
      </c>
      <c r="F440" s="122" t="s">
        <v>789</v>
      </c>
      <c r="G440" s="122" t="s">
        <v>785</v>
      </c>
      <c r="H440" s="122" t="s">
        <v>777</v>
      </c>
      <c r="I440" s="312">
        <v>2018</v>
      </c>
      <c r="J440" s="122" t="s">
        <v>711</v>
      </c>
      <c r="K440" s="283">
        <v>7122</v>
      </c>
      <c r="L440" s="318">
        <v>-33.871184999999997</v>
      </c>
      <c r="M440" s="318">
        <v>151.17266799999999</v>
      </c>
      <c r="O440">
        <f>INDEX('MEC - traffic congestion'!$M$145:$M$249,MATCH($D440,'MEC - traffic congestion'!$C$145:$C$249,0))</f>
        <v>0</v>
      </c>
      <c r="P440" t="str">
        <f t="shared" si="14"/>
        <v/>
      </c>
      <c r="Q440">
        <f t="shared" si="15"/>
        <v>1</v>
      </c>
      <c r="R440" s="195" t="str">
        <f t="shared" si="16"/>
        <v/>
      </c>
    </row>
    <row r="441" spans="3:18" x14ac:dyDescent="0.25">
      <c r="C441" s="294" t="s">
        <v>787</v>
      </c>
      <c r="D441" s="317">
        <v>20075</v>
      </c>
      <c r="E441" s="122" t="s">
        <v>788</v>
      </c>
      <c r="F441" s="122" t="s">
        <v>789</v>
      </c>
      <c r="G441" s="122" t="s">
        <v>786</v>
      </c>
      <c r="H441" s="122" t="s">
        <v>777</v>
      </c>
      <c r="I441" s="312">
        <v>2018</v>
      </c>
      <c r="J441" s="122" t="s">
        <v>711</v>
      </c>
      <c r="K441" s="283">
        <v>6778</v>
      </c>
      <c r="L441" s="318">
        <v>-33.871184999999997</v>
      </c>
      <c r="M441" s="318">
        <v>151.17266799999999</v>
      </c>
      <c r="O441">
        <f>INDEX('MEC - traffic congestion'!$M$145:$M$249,MATCH($D441,'MEC - traffic congestion'!$C$145:$C$249,0))</f>
        <v>0</v>
      </c>
      <c r="P441" t="str">
        <f t="shared" si="14"/>
        <v/>
      </c>
      <c r="Q441">
        <f t="shared" si="15"/>
        <v>1</v>
      </c>
      <c r="R441" s="195" t="str">
        <f t="shared" si="16"/>
        <v/>
      </c>
    </row>
    <row r="442" spans="3:18" x14ac:dyDescent="0.25">
      <c r="C442" s="294" t="s">
        <v>787</v>
      </c>
      <c r="D442" s="317">
        <v>20075</v>
      </c>
      <c r="E442" s="122" t="s">
        <v>788</v>
      </c>
      <c r="F442" s="122" t="s">
        <v>789</v>
      </c>
      <c r="G442" s="122" t="s">
        <v>785</v>
      </c>
      <c r="H442" s="122" t="s">
        <v>777</v>
      </c>
      <c r="I442" s="312">
        <v>2018</v>
      </c>
      <c r="J442" s="122" t="s">
        <v>712</v>
      </c>
      <c r="K442" s="283">
        <v>23961</v>
      </c>
      <c r="L442" s="318">
        <v>-33.871184999999997</v>
      </c>
      <c r="M442" s="318">
        <v>151.17266799999999</v>
      </c>
      <c r="O442">
        <f>INDEX('MEC - traffic congestion'!$M$145:$M$249,MATCH($D442,'MEC - traffic congestion'!$C$145:$C$249,0))</f>
        <v>0</v>
      </c>
      <c r="P442" t="str">
        <f t="shared" si="14"/>
        <v/>
      </c>
      <c r="Q442">
        <f t="shared" si="15"/>
        <v>1</v>
      </c>
      <c r="R442" s="195" t="str">
        <f t="shared" si="16"/>
        <v/>
      </c>
    </row>
    <row r="443" spans="3:18" x14ac:dyDescent="0.25">
      <c r="C443" s="294" t="s">
        <v>787</v>
      </c>
      <c r="D443" s="317">
        <v>20075</v>
      </c>
      <c r="E443" s="122" t="s">
        <v>788</v>
      </c>
      <c r="F443" s="122" t="s">
        <v>789</v>
      </c>
      <c r="G443" s="122" t="s">
        <v>786</v>
      </c>
      <c r="H443" s="122" t="s">
        <v>777</v>
      </c>
      <c r="I443" s="312">
        <v>2018</v>
      </c>
      <c r="J443" s="122" t="s">
        <v>712</v>
      </c>
      <c r="K443" s="283">
        <v>23284</v>
      </c>
      <c r="L443" s="318">
        <v>-33.871184999999997</v>
      </c>
      <c r="M443" s="318">
        <v>151.17266799999999</v>
      </c>
      <c r="O443">
        <f>INDEX('MEC - traffic congestion'!$M$145:$M$249,MATCH($D443,'MEC - traffic congestion'!$C$145:$C$249,0))</f>
        <v>0</v>
      </c>
      <c r="P443" t="str">
        <f t="shared" si="14"/>
        <v/>
      </c>
      <c r="Q443">
        <f t="shared" si="15"/>
        <v>1</v>
      </c>
      <c r="R443" s="195" t="str">
        <f t="shared" si="16"/>
        <v/>
      </c>
    </row>
    <row r="444" spans="3:18" x14ac:dyDescent="0.25">
      <c r="C444" s="294" t="s">
        <v>787</v>
      </c>
      <c r="D444" s="317">
        <v>20075</v>
      </c>
      <c r="E444" s="122" t="s">
        <v>788</v>
      </c>
      <c r="F444" s="122" t="s">
        <v>789</v>
      </c>
      <c r="G444" s="122" t="s">
        <v>785</v>
      </c>
      <c r="H444" s="122" t="s">
        <v>777</v>
      </c>
      <c r="I444" s="312">
        <v>2018</v>
      </c>
      <c r="J444" s="122" t="s">
        <v>713</v>
      </c>
      <c r="K444" s="283">
        <v>31342</v>
      </c>
      <c r="L444" s="318">
        <v>-33.871184999999997</v>
      </c>
      <c r="M444" s="318">
        <v>151.17266799999999</v>
      </c>
      <c r="O444">
        <f>INDEX('MEC - traffic congestion'!$M$145:$M$249,MATCH($D444,'MEC - traffic congestion'!$C$145:$C$249,0))</f>
        <v>0</v>
      </c>
      <c r="P444" t="str">
        <f t="shared" si="14"/>
        <v/>
      </c>
      <c r="Q444">
        <f t="shared" si="15"/>
        <v>1</v>
      </c>
      <c r="R444" s="195" t="str">
        <f t="shared" si="16"/>
        <v/>
      </c>
    </row>
    <row r="445" spans="3:18" x14ac:dyDescent="0.25">
      <c r="C445" s="294" t="s">
        <v>787</v>
      </c>
      <c r="D445" s="317">
        <v>20075</v>
      </c>
      <c r="E445" s="122" t="s">
        <v>788</v>
      </c>
      <c r="F445" s="122" t="s">
        <v>789</v>
      </c>
      <c r="G445" s="122" t="s">
        <v>786</v>
      </c>
      <c r="H445" s="122" t="s">
        <v>777</v>
      </c>
      <c r="I445" s="312">
        <v>2018</v>
      </c>
      <c r="J445" s="122" t="s">
        <v>713</v>
      </c>
      <c r="K445" s="283">
        <v>28888</v>
      </c>
      <c r="L445" s="318">
        <v>-33.871184999999997</v>
      </c>
      <c r="M445" s="318">
        <v>151.17266799999999</v>
      </c>
      <c r="O445">
        <f>INDEX('MEC - traffic congestion'!$M$145:$M$249,MATCH($D445,'MEC - traffic congestion'!$C$145:$C$249,0))</f>
        <v>0</v>
      </c>
      <c r="P445" t="str">
        <f t="shared" si="14"/>
        <v/>
      </c>
      <c r="Q445">
        <f t="shared" si="15"/>
        <v>1</v>
      </c>
      <c r="R445" s="195" t="str">
        <f t="shared" si="16"/>
        <v/>
      </c>
    </row>
    <row r="446" spans="3:18" x14ac:dyDescent="0.25">
      <c r="C446" s="294" t="s">
        <v>787</v>
      </c>
      <c r="D446" s="317">
        <v>20075</v>
      </c>
      <c r="E446" s="122" t="s">
        <v>788</v>
      </c>
      <c r="F446" s="122" t="s">
        <v>789</v>
      </c>
      <c r="G446" s="122" t="s">
        <v>785</v>
      </c>
      <c r="H446" s="122" t="s">
        <v>777</v>
      </c>
      <c r="I446" s="312">
        <v>2019</v>
      </c>
      <c r="J446" s="122" t="s">
        <v>709</v>
      </c>
      <c r="K446" s="283">
        <v>7633</v>
      </c>
      <c r="L446" s="318">
        <v>-33.871184999999997</v>
      </c>
      <c r="M446" s="318">
        <v>151.17266799999999</v>
      </c>
      <c r="O446">
        <f>INDEX('MEC - traffic congestion'!$M$145:$M$249,MATCH($D446,'MEC - traffic congestion'!$C$145:$C$249,0))</f>
        <v>0</v>
      </c>
      <c r="P446" t="str">
        <f t="shared" si="14"/>
        <v/>
      </c>
      <c r="Q446">
        <f t="shared" si="15"/>
        <v>1</v>
      </c>
      <c r="R446" s="195" t="str">
        <f t="shared" si="16"/>
        <v/>
      </c>
    </row>
    <row r="447" spans="3:18" x14ac:dyDescent="0.25">
      <c r="C447" s="294" t="s">
        <v>787</v>
      </c>
      <c r="D447" s="317">
        <v>20075</v>
      </c>
      <c r="E447" s="122" t="s">
        <v>788</v>
      </c>
      <c r="F447" s="122" t="s">
        <v>789</v>
      </c>
      <c r="G447" s="122" t="s">
        <v>786</v>
      </c>
      <c r="H447" s="122" t="s">
        <v>777</v>
      </c>
      <c r="I447" s="312">
        <v>2019</v>
      </c>
      <c r="J447" s="122" t="s">
        <v>709</v>
      </c>
      <c r="K447" s="283">
        <v>4808</v>
      </c>
      <c r="L447" s="318">
        <v>-33.871184999999997</v>
      </c>
      <c r="M447" s="318">
        <v>151.17266799999999</v>
      </c>
      <c r="O447">
        <f>INDEX('MEC - traffic congestion'!$M$145:$M$249,MATCH($D447,'MEC - traffic congestion'!$C$145:$C$249,0))</f>
        <v>0</v>
      </c>
      <c r="P447" t="str">
        <f t="shared" si="14"/>
        <v/>
      </c>
      <c r="Q447">
        <f t="shared" si="15"/>
        <v>1</v>
      </c>
      <c r="R447" s="195" t="str">
        <f t="shared" si="16"/>
        <v/>
      </c>
    </row>
    <row r="448" spans="3:18" x14ac:dyDescent="0.25">
      <c r="C448" s="294" t="s">
        <v>787</v>
      </c>
      <c r="D448" s="317">
        <v>20075</v>
      </c>
      <c r="E448" s="122" t="s">
        <v>788</v>
      </c>
      <c r="F448" s="122" t="s">
        <v>789</v>
      </c>
      <c r="G448" s="122" t="s">
        <v>785</v>
      </c>
      <c r="H448" s="122" t="s">
        <v>777</v>
      </c>
      <c r="I448" s="312">
        <v>2019</v>
      </c>
      <c r="J448" s="122" t="s">
        <v>710</v>
      </c>
      <c r="K448" s="283">
        <v>16542</v>
      </c>
      <c r="L448" s="318">
        <v>-33.871184999999997</v>
      </c>
      <c r="M448" s="318">
        <v>151.17266799999999</v>
      </c>
      <c r="O448">
        <f>INDEX('MEC - traffic congestion'!$M$145:$M$249,MATCH($D448,'MEC - traffic congestion'!$C$145:$C$249,0))</f>
        <v>0</v>
      </c>
      <c r="P448" t="str">
        <f t="shared" si="14"/>
        <v/>
      </c>
      <c r="Q448">
        <f t="shared" si="15"/>
        <v>1</v>
      </c>
      <c r="R448" s="195" t="str">
        <f t="shared" si="16"/>
        <v/>
      </c>
    </row>
    <row r="449" spans="3:18" x14ac:dyDescent="0.25">
      <c r="C449" s="294" t="s">
        <v>787</v>
      </c>
      <c r="D449" s="317">
        <v>20075</v>
      </c>
      <c r="E449" s="122" t="s">
        <v>788</v>
      </c>
      <c r="F449" s="122" t="s">
        <v>789</v>
      </c>
      <c r="G449" s="122" t="s">
        <v>786</v>
      </c>
      <c r="H449" s="122" t="s">
        <v>777</v>
      </c>
      <c r="I449" s="312">
        <v>2019</v>
      </c>
      <c r="J449" s="122" t="s">
        <v>710</v>
      </c>
      <c r="K449" s="283">
        <v>16002</v>
      </c>
      <c r="L449" s="318">
        <v>-33.871184999999997</v>
      </c>
      <c r="M449" s="318">
        <v>151.17266799999999</v>
      </c>
      <c r="O449">
        <f>INDEX('MEC - traffic congestion'!$M$145:$M$249,MATCH($D449,'MEC - traffic congestion'!$C$145:$C$249,0))</f>
        <v>0</v>
      </c>
      <c r="P449" t="str">
        <f t="shared" si="14"/>
        <v/>
      </c>
      <c r="Q449">
        <f t="shared" si="15"/>
        <v>1</v>
      </c>
      <c r="R449" s="195" t="str">
        <f t="shared" si="16"/>
        <v/>
      </c>
    </row>
    <row r="450" spans="3:18" x14ac:dyDescent="0.25">
      <c r="C450" s="294" t="s">
        <v>787</v>
      </c>
      <c r="D450" s="317">
        <v>20075</v>
      </c>
      <c r="E450" s="122" t="s">
        <v>788</v>
      </c>
      <c r="F450" s="122" t="s">
        <v>789</v>
      </c>
      <c r="G450" s="122" t="s">
        <v>785</v>
      </c>
      <c r="H450" s="122" t="s">
        <v>777</v>
      </c>
      <c r="I450" s="312">
        <v>2019</v>
      </c>
      <c r="J450" s="122" t="s">
        <v>711</v>
      </c>
      <c r="K450" s="283">
        <v>7985</v>
      </c>
      <c r="L450" s="318">
        <v>-33.871184999999997</v>
      </c>
      <c r="M450" s="318">
        <v>151.17266799999999</v>
      </c>
      <c r="O450">
        <f>INDEX('MEC - traffic congestion'!$M$145:$M$249,MATCH($D450,'MEC - traffic congestion'!$C$145:$C$249,0))</f>
        <v>0</v>
      </c>
      <c r="P450" t="str">
        <f t="shared" si="14"/>
        <v/>
      </c>
      <c r="Q450">
        <f t="shared" si="15"/>
        <v>1</v>
      </c>
      <c r="R450" s="195" t="str">
        <f t="shared" si="16"/>
        <v/>
      </c>
    </row>
    <row r="451" spans="3:18" x14ac:dyDescent="0.25">
      <c r="C451" s="294" t="s">
        <v>787</v>
      </c>
      <c r="D451" s="317">
        <v>20075</v>
      </c>
      <c r="E451" s="122" t="s">
        <v>788</v>
      </c>
      <c r="F451" s="122" t="s">
        <v>789</v>
      </c>
      <c r="G451" s="122" t="s">
        <v>786</v>
      </c>
      <c r="H451" s="122" t="s">
        <v>777</v>
      </c>
      <c r="I451" s="312">
        <v>2019</v>
      </c>
      <c r="J451" s="122" t="s">
        <v>711</v>
      </c>
      <c r="K451" s="283">
        <v>7129</v>
      </c>
      <c r="L451" s="318">
        <v>-33.871184999999997</v>
      </c>
      <c r="M451" s="318">
        <v>151.17266799999999</v>
      </c>
      <c r="O451">
        <f>INDEX('MEC - traffic congestion'!$M$145:$M$249,MATCH($D451,'MEC - traffic congestion'!$C$145:$C$249,0))</f>
        <v>0</v>
      </c>
      <c r="P451" t="str">
        <f t="shared" si="14"/>
        <v/>
      </c>
      <c r="Q451">
        <f t="shared" si="15"/>
        <v>1</v>
      </c>
      <c r="R451" s="195" t="str">
        <f t="shared" si="16"/>
        <v/>
      </c>
    </row>
    <row r="452" spans="3:18" x14ac:dyDescent="0.25">
      <c r="C452" s="294" t="s">
        <v>787</v>
      </c>
      <c r="D452" s="317">
        <v>20075</v>
      </c>
      <c r="E452" s="122" t="s">
        <v>788</v>
      </c>
      <c r="F452" s="122" t="s">
        <v>789</v>
      </c>
      <c r="G452" s="122" t="s">
        <v>785</v>
      </c>
      <c r="H452" s="122" t="s">
        <v>777</v>
      </c>
      <c r="I452" s="312">
        <v>2019</v>
      </c>
      <c r="J452" s="122" t="s">
        <v>712</v>
      </c>
      <c r="K452" s="283">
        <v>26361</v>
      </c>
      <c r="L452" s="318">
        <v>-33.871184999999997</v>
      </c>
      <c r="M452" s="318">
        <v>151.17266799999999</v>
      </c>
      <c r="O452">
        <f>INDEX('MEC - traffic congestion'!$M$145:$M$249,MATCH($D452,'MEC - traffic congestion'!$C$145:$C$249,0))</f>
        <v>0</v>
      </c>
      <c r="P452" t="str">
        <f t="shared" si="14"/>
        <v/>
      </c>
      <c r="Q452">
        <f t="shared" si="15"/>
        <v>1</v>
      </c>
      <c r="R452" s="195" t="str">
        <f t="shared" si="16"/>
        <v/>
      </c>
    </row>
    <row r="453" spans="3:18" x14ac:dyDescent="0.25">
      <c r="C453" s="294" t="s">
        <v>787</v>
      </c>
      <c r="D453" s="317">
        <v>20075</v>
      </c>
      <c r="E453" s="122" t="s">
        <v>788</v>
      </c>
      <c r="F453" s="122" t="s">
        <v>789</v>
      </c>
      <c r="G453" s="122" t="s">
        <v>786</v>
      </c>
      <c r="H453" s="122" t="s">
        <v>777</v>
      </c>
      <c r="I453" s="312">
        <v>2019</v>
      </c>
      <c r="J453" s="122" t="s">
        <v>712</v>
      </c>
      <c r="K453" s="283">
        <v>25146</v>
      </c>
      <c r="L453" s="318">
        <v>-33.871184999999997</v>
      </c>
      <c r="M453" s="318">
        <v>151.17266799999999</v>
      </c>
      <c r="O453">
        <f>INDEX('MEC - traffic congestion'!$M$145:$M$249,MATCH($D453,'MEC - traffic congestion'!$C$145:$C$249,0))</f>
        <v>0</v>
      </c>
      <c r="P453" t="str">
        <f t="shared" si="14"/>
        <v/>
      </c>
      <c r="Q453">
        <f t="shared" si="15"/>
        <v>1</v>
      </c>
      <c r="R453" s="195" t="str">
        <f t="shared" si="16"/>
        <v/>
      </c>
    </row>
    <row r="454" spans="3:18" x14ac:dyDescent="0.25">
      <c r="C454" s="294" t="s">
        <v>787</v>
      </c>
      <c r="D454" s="317">
        <v>20075</v>
      </c>
      <c r="E454" s="122" t="s">
        <v>788</v>
      </c>
      <c r="F454" s="122" t="s">
        <v>789</v>
      </c>
      <c r="G454" s="122" t="s">
        <v>785</v>
      </c>
      <c r="H454" s="122" t="s">
        <v>777</v>
      </c>
      <c r="I454" s="312">
        <v>2019</v>
      </c>
      <c r="J454" s="122" t="s">
        <v>713</v>
      </c>
      <c r="K454" s="283">
        <v>33773</v>
      </c>
      <c r="L454" s="318">
        <v>-33.871184999999997</v>
      </c>
      <c r="M454" s="318">
        <v>151.17266799999999</v>
      </c>
      <c r="O454">
        <f>INDEX('MEC - traffic congestion'!$M$145:$M$249,MATCH($D454,'MEC - traffic congestion'!$C$145:$C$249,0))</f>
        <v>0</v>
      </c>
      <c r="P454" t="str">
        <f t="shared" si="14"/>
        <v/>
      </c>
      <c r="Q454">
        <f t="shared" si="15"/>
        <v>1</v>
      </c>
      <c r="R454" s="195" t="str">
        <f t="shared" si="16"/>
        <v/>
      </c>
    </row>
    <row r="455" spans="3:18" x14ac:dyDescent="0.25">
      <c r="C455" s="294" t="s">
        <v>787</v>
      </c>
      <c r="D455" s="317">
        <v>20075</v>
      </c>
      <c r="E455" s="122" t="s">
        <v>788</v>
      </c>
      <c r="F455" s="122" t="s">
        <v>789</v>
      </c>
      <c r="G455" s="122" t="s">
        <v>786</v>
      </c>
      <c r="H455" s="122" t="s">
        <v>777</v>
      </c>
      <c r="I455" s="312">
        <v>2019</v>
      </c>
      <c r="J455" s="122" t="s">
        <v>713</v>
      </c>
      <c r="K455" s="283">
        <v>30268</v>
      </c>
      <c r="L455" s="318">
        <v>-33.871184999999997</v>
      </c>
      <c r="M455" s="318">
        <v>151.17266799999999</v>
      </c>
      <c r="O455">
        <f>INDEX('MEC - traffic congestion'!$M$145:$M$249,MATCH($D455,'MEC - traffic congestion'!$C$145:$C$249,0))</f>
        <v>0</v>
      </c>
      <c r="P455" t="str">
        <f t="shared" si="14"/>
        <v/>
      </c>
      <c r="Q455">
        <f t="shared" si="15"/>
        <v>1</v>
      </c>
      <c r="R455" s="195" t="str">
        <f t="shared" si="16"/>
        <v/>
      </c>
    </row>
    <row r="456" spans="3:18" x14ac:dyDescent="0.25">
      <c r="C456" s="294" t="s">
        <v>790</v>
      </c>
      <c r="D456" s="317">
        <v>22001</v>
      </c>
      <c r="E456" s="122" t="s">
        <v>791</v>
      </c>
      <c r="F456" s="122" t="s">
        <v>792</v>
      </c>
      <c r="G456" s="122" t="s">
        <v>785</v>
      </c>
      <c r="H456" s="122" t="s">
        <v>777</v>
      </c>
      <c r="I456" s="312">
        <v>2018</v>
      </c>
      <c r="J456" s="122" t="s">
        <v>709</v>
      </c>
      <c r="K456" s="283">
        <v>5148</v>
      </c>
      <c r="L456" s="318">
        <v>-33.825577000000003</v>
      </c>
      <c r="M456" s="318">
        <v>151.233261</v>
      </c>
      <c r="O456">
        <f>INDEX('MEC - traffic congestion'!$M$145:$M$249,MATCH($D456,'MEC - traffic congestion'!$C$145:$C$249,0))</f>
        <v>0</v>
      </c>
      <c r="P456" t="str">
        <f t="shared" si="14"/>
        <v/>
      </c>
      <c r="Q456">
        <f t="shared" si="15"/>
        <v>1</v>
      </c>
      <c r="R456" s="195" t="str">
        <f t="shared" si="16"/>
        <v/>
      </c>
    </row>
    <row r="457" spans="3:18" x14ac:dyDescent="0.25">
      <c r="C457" s="294" t="s">
        <v>790</v>
      </c>
      <c r="D457" s="317">
        <v>22001</v>
      </c>
      <c r="E457" s="122" t="s">
        <v>791</v>
      </c>
      <c r="F457" s="122" t="s">
        <v>792</v>
      </c>
      <c r="G457" s="122" t="s">
        <v>786</v>
      </c>
      <c r="H457" s="122" t="s">
        <v>777</v>
      </c>
      <c r="I457" s="312">
        <v>2018</v>
      </c>
      <c r="J457" s="122" t="s">
        <v>709</v>
      </c>
      <c r="K457" s="283">
        <v>5959</v>
      </c>
      <c r="L457" s="318">
        <v>-33.825577000000003</v>
      </c>
      <c r="M457" s="318">
        <v>151.233261</v>
      </c>
      <c r="O457">
        <f>INDEX('MEC - traffic congestion'!$M$145:$M$249,MATCH($D457,'MEC - traffic congestion'!$C$145:$C$249,0))</f>
        <v>0</v>
      </c>
      <c r="P457" t="str">
        <f t="shared" si="14"/>
        <v/>
      </c>
      <c r="Q457">
        <f t="shared" si="15"/>
        <v>1</v>
      </c>
      <c r="R457" s="195" t="str">
        <f t="shared" si="16"/>
        <v/>
      </c>
    </row>
    <row r="458" spans="3:18" x14ac:dyDescent="0.25">
      <c r="C458" s="294" t="s">
        <v>790</v>
      </c>
      <c r="D458" s="317">
        <v>22001</v>
      </c>
      <c r="E458" s="122" t="s">
        <v>791</v>
      </c>
      <c r="F458" s="122" t="s">
        <v>792</v>
      </c>
      <c r="G458" s="122" t="s">
        <v>785</v>
      </c>
      <c r="H458" s="122" t="s">
        <v>777</v>
      </c>
      <c r="I458" s="312">
        <v>2018</v>
      </c>
      <c r="J458" s="122" t="s">
        <v>710</v>
      </c>
      <c r="K458" s="283">
        <v>12880</v>
      </c>
      <c r="L458" s="318">
        <v>-33.825577000000003</v>
      </c>
      <c r="M458" s="318">
        <v>151.233261</v>
      </c>
      <c r="O458">
        <f>INDEX('MEC - traffic congestion'!$M$145:$M$249,MATCH($D458,'MEC - traffic congestion'!$C$145:$C$249,0))</f>
        <v>0</v>
      </c>
      <c r="P458" t="str">
        <f t="shared" si="14"/>
        <v/>
      </c>
      <c r="Q458">
        <f t="shared" si="15"/>
        <v>1</v>
      </c>
      <c r="R458" s="195" t="str">
        <f t="shared" si="16"/>
        <v/>
      </c>
    </row>
    <row r="459" spans="3:18" x14ac:dyDescent="0.25">
      <c r="C459" s="294" t="s">
        <v>790</v>
      </c>
      <c r="D459" s="317">
        <v>22001</v>
      </c>
      <c r="E459" s="122" t="s">
        <v>791</v>
      </c>
      <c r="F459" s="122" t="s">
        <v>792</v>
      </c>
      <c r="G459" s="122" t="s">
        <v>786</v>
      </c>
      <c r="H459" s="122" t="s">
        <v>777</v>
      </c>
      <c r="I459" s="312">
        <v>2018</v>
      </c>
      <c r="J459" s="122" t="s">
        <v>710</v>
      </c>
      <c r="K459" s="283">
        <v>11237</v>
      </c>
      <c r="L459" s="318">
        <v>-33.825577000000003</v>
      </c>
      <c r="M459" s="318">
        <v>151.233261</v>
      </c>
      <c r="O459">
        <f>INDEX('MEC - traffic congestion'!$M$145:$M$249,MATCH($D459,'MEC - traffic congestion'!$C$145:$C$249,0))</f>
        <v>0</v>
      </c>
      <c r="P459" t="str">
        <f t="shared" si="14"/>
        <v/>
      </c>
      <c r="Q459">
        <f t="shared" si="15"/>
        <v>1</v>
      </c>
      <c r="R459" s="195" t="str">
        <f t="shared" si="16"/>
        <v/>
      </c>
    </row>
    <row r="460" spans="3:18" x14ac:dyDescent="0.25">
      <c r="C460" s="294" t="s">
        <v>790</v>
      </c>
      <c r="D460" s="317">
        <v>22001</v>
      </c>
      <c r="E460" s="122" t="s">
        <v>791</v>
      </c>
      <c r="F460" s="122" t="s">
        <v>792</v>
      </c>
      <c r="G460" s="122" t="s">
        <v>785</v>
      </c>
      <c r="H460" s="122" t="s">
        <v>777</v>
      </c>
      <c r="I460" s="312">
        <v>2018</v>
      </c>
      <c r="J460" s="122" t="s">
        <v>711</v>
      </c>
      <c r="K460" s="283">
        <v>6305</v>
      </c>
      <c r="L460" s="318">
        <v>-33.825577000000003</v>
      </c>
      <c r="M460" s="318">
        <v>151.233261</v>
      </c>
      <c r="O460">
        <f>INDEX('MEC - traffic congestion'!$M$145:$M$249,MATCH($D460,'MEC - traffic congestion'!$C$145:$C$249,0))</f>
        <v>0</v>
      </c>
      <c r="P460" t="str">
        <f t="shared" si="14"/>
        <v/>
      </c>
      <c r="Q460">
        <f t="shared" si="15"/>
        <v>1</v>
      </c>
      <c r="R460" s="195" t="str">
        <f t="shared" si="16"/>
        <v/>
      </c>
    </row>
    <row r="461" spans="3:18" x14ac:dyDescent="0.25">
      <c r="C461" s="294" t="s">
        <v>790</v>
      </c>
      <c r="D461" s="317">
        <v>22001</v>
      </c>
      <c r="E461" s="122" t="s">
        <v>791</v>
      </c>
      <c r="F461" s="122" t="s">
        <v>792</v>
      </c>
      <c r="G461" s="122" t="s">
        <v>786</v>
      </c>
      <c r="H461" s="122" t="s">
        <v>777</v>
      </c>
      <c r="I461" s="312">
        <v>2018</v>
      </c>
      <c r="J461" s="122" t="s">
        <v>711</v>
      </c>
      <c r="K461" s="283">
        <v>4341</v>
      </c>
      <c r="L461" s="318">
        <v>-33.825577000000003</v>
      </c>
      <c r="M461" s="318">
        <v>151.233261</v>
      </c>
      <c r="O461">
        <f>INDEX('MEC - traffic congestion'!$M$145:$M$249,MATCH($D461,'MEC - traffic congestion'!$C$145:$C$249,0))</f>
        <v>0</v>
      </c>
      <c r="P461" t="str">
        <f t="shared" si="14"/>
        <v/>
      </c>
      <c r="Q461">
        <f t="shared" si="15"/>
        <v>1</v>
      </c>
      <c r="R461" s="195" t="str">
        <f t="shared" si="16"/>
        <v/>
      </c>
    </row>
    <row r="462" spans="3:18" x14ac:dyDescent="0.25">
      <c r="C462" s="294" t="s">
        <v>790</v>
      </c>
      <c r="D462" s="317">
        <v>22001</v>
      </c>
      <c r="E462" s="122" t="s">
        <v>791</v>
      </c>
      <c r="F462" s="122" t="s">
        <v>792</v>
      </c>
      <c r="G462" s="122" t="s">
        <v>785</v>
      </c>
      <c r="H462" s="122" t="s">
        <v>777</v>
      </c>
      <c r="I462" s="312">
        <v>2018</v>
      </c>
      <c r="J462" s="122" t="s">
        <v>712</v>
      </c>
      <c r="K462" s="283">
        <v>21406</v>
      </c>
      <c r="L462" s="318">
        <v>-33.825577000000003</v>
      </c>
      <c r="M462" s="318">
        <v>151.233261</v>
      </c>
      <c r="O462">
        <f>INDEX('MEC - traffic congestion'!$M$145:$M$249,MATCH($D462,'MEC - traffic congestion'!$C$145:$C$249,0))</f>
        <v>0</v>
      </c>
      <c r="P462" t="str">
        <f t="shared" si="14"/>
        <v/>
      </c>
      <c r="Q462">
        <f t="shared" si="15"/>
        <v>1</v>
      </c>
      <c r="R462" s="195" t="str">
        <f t="shared" si="16"/>
        <v/>
      </c>
    </row>
    <row r="463" spans="3:18" x14ac:dyDescent="0.25">
      <c r="C463" s="294" t="s">
        <v>790</v>
      </c>
      <c r="D463" s="317">
        <v>22001</v>
      </c>
      <c r="E463" s="122" t="s">
        <v>791</v>
      </c>
      <c r="F463" s="122" t="s">
        <v>792</v>
      </c>
      <c r="G463" s="122" t="s">
        <v>786</v>
      </c>
      <c r="H463" s="122" t="s">
        <v>777</v>
      </c>
      <c r="I463" s="312">
        <v>2018</v>
      </c>
      <c r="J463" s="122" t="s">
        <v>712</v>
      </c>
      <c r="K463" s="283">
        <v>20482</v>
      </c>
      <c r="L463" s="318">
        <v>-33.825577000000003</v>
      </c>
      <c r="M463" s="318">
        <v>151.233261</v>
      </c>
      <c r="O463">
        <f>INDEX('MEC - traffic congestion'!$M$145:$M$249,MATCH($D463,'MEC - traffic congestion'!$C$145:$C$249,0))</f>
        <v>0</v>
      </c>
      <c r="P463" t="str">
        <f t="shared" si="14"/>
        <v/>
      </c>
      <c r="Q463">
        <f t="shared" si="15"/>
        <v>1</v>
      </c>
      <c r="R463" s="195" t="str">
        <f t="shared" si="16"/>
        <v/>
      </c>
    </row>
    <row r="464" spans="3:18" x14ac:dyDescent="0.25">
      <c r="C464" s="294" t="s">
        <v>790</v>
      </c>
      <c r="D464" s="317">
        <v>22001</v>
      </c>
      <c r="E464" s="122" t="s">
        <v>791</v>
      </c>
      <c r="F464" s="122" t="s">
        <v>792</v>
      </c>
      <c r="G464" s="122" t="s">
        <v>785</v>
      </c>
      <c r="H464" s="122" t="s">
        <v>777</v>
      </c>
      <c r="I464" s="312">
        <v>2018</v>
      </c>
      <c r="J464" s="122" t="s">
        <v>713</v>
      </c>
      <c r="K464" s="283">
        <v>24078</v>
      </c>
      <c r="L464" s="318">
        <v>-33.825577000000003</v>
      </c>
      <c r="M464" s="318">
        <v>151.233261</v>
      </c>
      <c r="O464">
        <f>INDEX('MEC - traffic congestion'!$M$145:$M$249,MATCH($D464,'MEC - traffic congestion'!$C$145:$C$249,0))</f>
        <v>0</v>
      </c>
      <c r="P464" t="str">
        <f t="shared" si="14"/>
        <v/>
      </c>
      <c r="Q464">
        <f t="shared" si="15"/>
        <v>1</v>
      </c>
      <c r="R464" s="195" t="str">
        <f t="shared" si="16"/>
        <v/>
      </c>
    </row>
    <row r="465" spans="3:18" x14ac:dyDescent="0.25">
      <c r="C465" s="294" t="s">
        <v>790</v>
      </c>
      <c r="D465" s="317">
        <v>22001</v>
      </c>
      <c r="E465" s="122" t="s">
        <v>791</v>
      </c>
      <c r="F465" s="122" t="s">
        <v>792</v>
      </c>
      <c r="G465" s="122" t="s">
        <v>786</v>
      </c>
      <c r="H465" s="122" t="s">
        <v>777</v>
      </c>
      <c r="I465" s="312">
        <v>2018</v>
      </c>
      <c r="J465" s="122" t="s">
        <v>713</v>
      </c>
      <c r="K465" s="283">
        <v>21706</v>
      </c>
      <c r="L465" s="318">
        <v>-33.825577000000003</v>
      </c>
      <c r="M465" s="318">
        <v>151.233261</v>
      </c>
      <c r="O465">
        <f>INDEX('MEC - traffic congestion'!$M$145:$M$249,MATCH($D465,'MEC - traffic congestion'!$C$145:$C$249,0))</f>
        <v>0</v>
      </c>
      <c r="P465" t="str">
        <f t="shared" si="14"/>
        <v/>
      </c>
      <c r="Q465">
        <f t="shared" si="15"/>
        <v>1</v>
      </c>
      <c r="R465" s="195" t="str">
        <f t="shared" si="16"/>
        <v/>
      </c>
    </row>
    <row r="466" spans="3:18" x14ac:dyDescent="0.25">
      <c r="C466" s="294" t="s">
        <v>793</v>
      </c>
      <c r="D466" s="317">
        <v>23067</v>
      </c>
      <c r="E466" s="122" t="s">
        <v>794</v>
      </c>
      <c r="F466" s="122" t="s">
        <v>795</v>
      </c>
      <c r="G466" s="122" t="s">
        <v>785</v>
      </c>
      <c r="H466" s="122" t="s">
        <v>777</v>
      </c>
      <c r="I466" s="312">
        <v>2018</v>
      </c>
      <c r="J466" s="122" t="s">
        <v>709</v>
      </c>
      <c r="K466" s="283">
        <v>10359</v>
      </c>
      <c r="L466" s="318">
        <v>-33.934474999999999</v>
      </c>
      <c r="M466" s="318">
        <v>151.15831</v>
      </c>
      <c r="O466">
        <f>INDEX('MEC - traffic congestion'!$M$145:$M$249,MATCH($D466,'MEC - traffic congestion'!$C$145:$C$249,0))</f>
        <v>0</v>
      </c>
      <c r="P466" t="str">
        <f t="shared" si="14"/>
        <v/>
      </c>
      <c r="Q466">
        <f t="shared" si="15"/>
        <v>1</v>
      </c>
      <c r="R466" s="195" t="str">
        <f t="shared" si="16"/>
        <v/>
      </c>
    </row>
    <row r="467" spans="3:18" x14ac:dyDescent="0.25">
      <c r="C467" s="294" t="s">
        <v>793</v>
      </c>
      <c r="D467" s="317">
        <v>23067</v>
      </c>
      <c r="E467" s="122" t="s">
        <v>794</v>
      </c>
      <c r="F467" s="122" t="s">
        <v>795</v>
      </c>
      <c r="G467" s="122" t="s">
        <v>785</v>
      </c>
      <c r="H467" s="122" t="s">
        <v>777</v>
      </c>
      <c r="I467" s="312">
        <v>2018</v>
      </c>
      <c r="J467" s="122" t="s">
        <v>710</v>
      </c>
      <c r="K467" s="283">
        <v>16076</v>
      </c>
      <c r="L467" s="318">
        <v>-33.934474999999999</v>
      </c>
      <c r="M467" s="318">
        <v>151.15831</v>
      </c>
      <c r="O467">
        <f>INDEX('MEC - traffic congestion'!$M$145:$M$249,MATCH($D467,'MEC - traffic congestion'!$C$145:$C$249,0))</f>
        <v>0</v>
      </c>
      <c r="P467" t="str">
        <f t="shared" si="14"/>
        <v/>
      </c>
      <c r="Q467">
        <f t="shared" si="15"/>
        <v>1</v>
      </c>
      <c r="R467" s="195" t="str">
        <f t="shared" si="16"/>
        <v/>
      </c>
    </row>
    <row r="468" spans="3:18" x14ac:dyDescent="0.25">
      <c r="C468" s="294" t="s">
        <v>793</v>
      </c>
      <c r="D468" s="317">
        <v>23067</v>
      </c>
      <c r="E468" s="122" t="s">
        <v>794</v>
      </c>
      <c r="F468" s="122" t="s">
        <v>795</v>
      </c>
      <c r="G468" s="122" t="s">
        <v>785</v>
      </c>
      <c r="H468" s="122" t="s">
        <v>777</v>
      </c>
      <c r="I468" s="312">
        <v>2018</v>
      </c>
      <c r="J468" s="122" t="s">
        <v>711</v>
      </c>
      <c r="K468" s="283">
        <v>4435</v>
      </c>
      <c r="L468" s="318">
        <v>-33.934474999999999</v>
      </c>
      <c r="M468" s="318">
        <v>151.15831</v>
      </c>
      <c r="O468">
        <f>INDEX('MEC - traffic congestion'!$M$145:$M$249,MATCH($D468,'MEC - traffic congestion'!$C$145:$C$249,0))</f>
        <v>0</v>
      </c>
      <c r="P468" t="str">
        <f t="shared" si="14"/>
        <v/>
      </c>
      <c r="Q468">
        <f t="shared" si="15"/>
        <v>1</v>
      </c>
      <c r="R468" s="195" t="str">
        <f t="shared" si="16"/>
        <v/>
      </c>
    </row>
    <row r="469" spans="3:18" x14ac:dyDescent="0.25">
      <c r="C469" s="294" t="s">
        <v>793</v>
      </c>
      <c r="D469" s="317">
        <v>23067</v>
      </c>
      <c r="E469" s="122" t="s">
        <v>794</v>
      </c>
      <c r="F469" s="122" t="s">
        <v>795</v>
      </c>
      <c r="G469" s="122" t="s">
        <v>785</v>
      </c>
      <c r="H469" s="122" t="s">
        <v>777</v>
      </c>
      <c r="I469" s="312">
        <v>2018</v>
      </c>
      <c r="J469" s="122" t="s">
        <v>712</v>
      </c>
      <c r="K469" s="283">
        <v>26386</v>
      </c>
      <c r="L469" s="318">
        <v>-33.934474999999999</v>
      </c>
      <c r="M469" s="318">
        <v>151.15831</v>
      </c>
      <c r="O469">
        <f>INDEX('MEC - traffic congestion'!$M$145:$M$249,MATCH($D469,'MEC - traffic congestion'!$C$145:$C$249,0))</f>
        <v>0</v>
      </c>
      <c r="P469" t="str">
        <f t="shared" ref="P469:P532" si="17">IF($O469=1,$I469&amp;$J469,"")</f>
        <v/>
      </c>
      <c r="Q469">
        <f t="shared" ref="Q469:Q532" si="18">IF(AND($M469&gt;150.246,AND($L469&gt;-34.397,$L469&lt;-32.662)),1,0)</f>
        <v>1</v>
      </c>
      <c r="R469" s="195" t="str">
        <f t="shared" ref="R469:R532" si="19">IF($O469=1,$I469&amp;$H469,"")</f>
        <v/>
      </c>
    </row>
    <row r="470" spans="3:18" x14ac:dyDescent="0.25">
      <c r="C470" s="294" t="s">
        <v>793</v>
      </c>
      <c r="D470" s="317">
        <v>23067</v>
      </c>
      <c r="E470" s="122" t="s">
        <v>794</v>
      </c>
      <c r="F470" s="122" t="s">
        <v>795</v>
      </c>
      <c r="G470" s="122" t="s">
        <v>785</v>
      </c>
      <c r="H470" s="122" t="s">
        <v>777</v>
      </c>
      <c r="I470" s="312">
        <v>2018</v>
      </c>
      <c r="J470" s="122" t="s">
        <v>713</v>
      </c>
      <c r="K470" s="283">
        <v>27118</v>
      </c>
      <c r="L470" s="318">
        <v>-33.934474999999999</v>
      </c>
      <c r="M470" s="318">
        <v>151.15831</v>
      </c>
      <c r="O470">
        <f>INDEX('MEC - traffic congestion'!$M$145:$M$249,MATCH($D470,'MEC - traffic congestion'!$C$145:$C$249,0))</f>
        <v>0</v>
      </c>
      <c r="P470" t="str">
        <f t="shared" si="17"/>
        <v/>
      </c>
      <c r="Q470">
        <f t="shared" si="18"/>
        <v>1</v>
      </c>
      <c r="R470" s="195" t="str">
        <f t="shared" si="19"/>
        <v/>
      </c>
    </row>
    <row r="471" spans="3:18" x14ac:dyDescent="0.25">
      <c r="C471" s="294" t="s">
        <v>796</v>
      </c>
      <c r="D471" s="317">
        <v>24021</v>
      </c>
      <c r="E471" s="122" t="s">
        <v>797</v>
      </c>
      <c r="F471" s="122" t="s">
        <v>798</v>
      </c>
      <c r="G471" s="122" t="s">
        <v>785</v>
      </c>
      <c r="H471" s="122" t="s">
        <v>777</v>
      </c>
      <c r="I471" s="312">
        <v>2018</v>
      </c>
      <c r="J471" s="122" t="s">
        <v>709</v>
      </c>
      <c r="K471" s="283">
        <v>5559</v>
      </c>
      <c r="L471" s="318">
        <v>-33.899914000000003</v>
      </c>
      <c r="M471" s="318">
        <v>151.08805799999999</v>
      </c>
      <c r="O471">
        <f>INDEX('MEC - traffic congestion'!$M$145:$M$249,MATCH($D471,'MEC - traffic congestion'!$C$145:$C$249,0))</f>
        <v>0</v>
      </c>
      <c r="P471" t="str">
        <f t="shared" si="17"/>
        <v/>
      </c>
      <c r="Q471">
        <f t="shared" si="18"/>
        <v>1</v>
      </c>
      <c r="R471" s="195" t="str">
        <f t="shared" si="19"/>
        <v/>
      </c>
    </row>
    <row r="472" spans="3:18" x14ac:dyDescent="0.25">
      <c r="C472" s="294" t="s">
        <v>796</v>
      </c>
      <c r="D472" s="317">
        <v>24021</v>
      </c>
      <c r="E472" s="122" t="s">
        <v>797</v>
      </c>
      <c r="F472" s="122" t="s">
        <v>798</v>
      </c>
      <c r="G472" s="122" t="s">
        <v>786</v>
      </c>
      <c r="H472" s="122" t="s">
        <v>777</v>
      </c>
      <c r="I472" s="312">
        <v>2018</v>
      </c>
      <c r="J472" s="122" t="s">
        <v>709</v>
      </c>
      <c r="K472" s="283">
        <v>3148</v>
      </c>
      <c r="L472" s="318">
        <v>-33.899914000000003</v>
      </c>
      <c r="M472" s="318">
        <v>151.08805799999999</v>
      </c>
      <c r="O472">
        <f>INDEX('MEC - traffic congestion'!$M$145:$M$249,MATCH($D472,'MEC - traffic congestion'!$C$145:$C$249,0))</f>
        <v>0</v>
      </c>
      <c r="P472" t="str">
        <f t="shared" si="17"/>
        <v/>
      </c>
      <c r="Q472">
        <f t="shared" si="18"/>
        <v>1</v>
      </c>
      <c r="R472" s="195" t="str">
        <f t="shared" si="19"/>
        <v/>
      </c>
    </row>
    <row r="473" spans="3:18" x14ac:dyDescent="0.25">
      <c r="C473" s="294" t="s">
        <v>796</v>
      </c>
      <c r="D473" s="317">
        <v>24021</v>
      </c>
      <c r="E473" s="122" t="s">
        <v>797</v>
      </c>
      <c r="F473" s="122" t="s">
        <v>798</v>
      </c>
      <c r="G473" s="122" t="s">
        <v>785</v>
      </c>
      <c r="H473" s="122" t="s">
        <v>777</v>
      </c>
      <c r="I473" s="312">
        <v>2018</v>
      </c>
      <c r="J473" s="122" t="s">
        <v>710</v>
      </c>
      <c r="K473" s="283">
        <v>8041</v>
      </c>
      <c r="L473" s="318">
        <v>-33.899914000000003</v>
      </c>
      <c r="M473" s="318">
        <v>151.08805799999999</v>
      </c>
      <c r="O473">
        <f>INDEX('MEC - traffic congestion'!$M$145:$M$249,MATCH($D473,'MEC - traffic congestion'!$C$145:$C$249,0))</f>
        <v>0</v>
      </c>
      <c r="P473" t="str">
        <f t="shared" si="17"/>
        <v/>
      </c>
      <c r="Q473">
        <f t="shared" si="18"/>
        <v>1</v>
      </c>
      <c r="R473" s="195" t="str">
        <f t="shared" si="19"/>
        <v/>
      </c>
    </row>
    <row r="474" spans="3:18" x14ac:dyDescent="0.25">
      <c r="C474" s="294" t="s">
        <v>796</v>
      </c>
      <c r="D474" s="317">
        <v>24021</v>
      </c>
      <c r="E474" s="122" t="s">
        <v>797</v>
      </c>
      <c r="F474" s="122" t="s">
        <v>798</v>
      </c>
      <c r="G474" s="122" t="s">
        <v>786</v>
      </c>
      <c r="H474" s="122" t="s">
        <v>777</v>
      </c>
      <c r="I474" s="312">
        <v>2018</v>
      </c>
      <c r="J474" s="122" t="s">
        <v>710</v>
      </c>
      <c r="K474" s="283">
        <v>9199</v>
      </c>
      <c r="L474" s="318">
        <v>-33.899914000000003</v>
      </c>
      <c r="M474" s="318">
        <v>151.08805799999999</v>
      </c>
      <c r="O474">
        <f>INDEX('MEC - traffic congestion'!$M$145:$M$249,MATCH($D474,'MEC - traffic congestion'!$C$145:$C$249,0))</f>
        <v>0</v>
      </c>
      <c r="P474" t="str">
        <f t="shared" si="17"/>
        <v/>
      </c>
      <c r="Q474">
        <f t="shared" si="18"/>
        <v>1</v>
      </c>
      <c r="R474" s="195" t="str">
        <f t="shared" si="19"/>
        <v/>
      </c>
    </row>
    <row r="475" spans="3:18" x14ac:dyDescent="0.25">
      <c r="C475" s="294" t="s">
        <v>796</v>
      </c>
      <c r="D475" s="317">
        <v>24021</v>
      </c>
      <c r="E475" s="122" t="s">
        <v>797</v>
      </c>
      <c r="F475" s="122" t="s">
        <v>798</v>
      </c>
      <c r="G475" s="122" t="s">
        <v>785</v>
      </c>
      <c r="H475" s="122" t="s">
        <v>777</v>
      </c>
      <c r="I475" s="312">
        <v>2018</v>
      </c>
      <c r="J475" s="122" t="s">
        <v>711</v>
      </c>
      <c r="K475" s="283">
        <v>3485</v>
      </c>
      <c r="L475" s="318">
        <v>-33.899914000000003</v>
      </c>
      <c r="M475" s="318">
        <v>151.08805799999999</v>
      </c>
      <c r="O475">
        <f>INDEX('MEC - traffic congestion'!$M$145:$M$249,MATCH($D475,'MEC - traffic congestion'!$C$145:$C$249,0))</f>
        <v>0</v>
      </c>
      <c r="P475" t="str">
        <f t="shared" si="17"/>
        <v/>
      </c>
      <c r="Q475">
        <f t="shared" si="18"/>
        <v>1</v>
      </c>
      <c r="R475" s="195" t="str">
        <f t="shared" si="19"/>
        <v/>
      </c>
    </row>
    <row r="476" spans="3:18" x14ac:dyDescent="0.25">
      <c r="C476" s="294" t="s">
        <v>796</v>
      </c>
      <c r="D476" s="317">
        <v>24021</v>
      </c>
      <c r="E476" s="122" t="s">
        <v>797</v>
      </c>
      <c r="F476" s="122" t="s">
        <v>798</v>
      </c>
      <c r="G476" s="122" t="s">
        <v>786</v>
      </c>
      <c r="H476" s="122" t="s">
        <v>777</v>
      </c>
      <c r="I476" s="312">
        <v>2018</v>
      </c>
      <c r="J476" s="122" t="s">
        <v>711</v>
      </c>
      <c r="K476" s="283">
        <v>6029</v>
      </c>
      <c r="L476" s="318">
        <v>-33.899914000000003</v>
      </c>
      <c r="M476" s="318">
        <v>151.08805799999999</v>
      </c>
      <c r="O476">
        <f>INDEX('MEC - traffic congestion'!$M$145:$M$249,MATCH($D476,'MEC - traffic congestion'!$C$145:$C$249,0))</f>
        <v>0</v>
      </c>
      <c r="P476" t="str">
        <f t="shared" si="17"/>
        <v/>
      </c>
      <c r="Q476">
        <f t="shared" si="18"/>
        <v>1</v>
      </c>
      <c r="R476" s="195" t="str">
        <f t="shared" si="19"/>
        <v/>
      </c>
    </row>
    <row r="477" spans="3:18" x14ac:dyDescent="0.25">
      <c r="C477" s="294" t="s">
        <v>796</v>
      </c>
      <c r="D477" s="317">
        <v>24021</v>
      </c>
      <c r="E477" s="122" t="s">
        <v>797</v>
      </c>
      <c r="F477" s="122" t="s">
        <v>798</v>
      </c>
      <c r="G477" s="122" t="s">
        <v>785</v>
      </c>
      <c r="H477" s="122" t="s">
        <v>777</v>
      </c>
      <c r="I477" s="312">
        <v>2018</v>
      </c>
      <c r="J477" s="122" t="s">
        <v>712</v>
      </c>
      <c r="K477" s="283">
        <v>11363</v>
      </c>
      <c r="L477" s="318">
        <v>-33.899914000000003</v>
      </c>
      <c r="M477" s="318">
        <v>151.08805799999999</v>
      </c>
      <c r="O477">
        <f>INDEX('MEC - traffic congestion'!$M$145:$M$249,MATCH($D477,'MEC - traffic congestion'!$C$145:$C$249,0))</f>
        <v>0</v>
      </c>
      <c r="P477" t="str">
        <f t="shared" si="17"/>
        <v/>
      </c>
      <c r="Q477">
        <f t="shared" si="18"/>
        <v>1</v>
      </c>
      <c r="R477" s="195" t="str">
        <f t="shared" si="19"/>
        <v/>
      </c>
    </row>
    <row r="478" spans="3:18" x14ac:dyDescent="0.25">
      <c r="C478" s="294" t="s">
        <v>796</v>
      </c>
      <c r="D478" s="317">
        <v>24021</v>
      </c>
      <c r="E478" s="122" t="s">
        <v>797</v>
      </c>
      <c r="F478" s="122" t="s">
        <v>798</v>
      </c>
      <c r="G478" s="122" t="s">
        <v>786</v>
      </c>
      <c r="H478" s="122" t="s">
        <v>777</v>
      </c>
      <c r="I478" s="312">
        <v>2018</v>
      </c>
      <c r="J478" s="122" t="s">
        <v>712</v>
      </c>
      <c r="K478" s="283">
        <v>12363</v>
      </c>
      <c r="L478" s="318">
        <v>-33.899914000000003</v>
      </c>
      <c r="M478" s="318">
        <v>151.08805799999999</v>
      </c>
      <c r="O478">
        <f>INDEX('MEC - traffic congestion'!$M$145:$M$249,MATCH($D478,'MEC - traffic congestion'!$C$145:$C$249,0))</f>
        <v>0</v>
      </c>
      <c r="P478" t="str">
        <f t="shared" si="17"/>
        <v/>
      </c>
      <c r="Q478">
        <f t="shared" si="18"/>
        <v>1</v>
      </c>
      <c r="R478" s="195" t="str">
        <f t="shared" si="19"/>
        <v/>
      </c>
    </row>
    <row r="479" spans="3:18" x14ac:dyDescent="0.25">
      <c r="C479" s="294" t="s">
        <v>796</v>
      </c>
      <c r="D479" s="317">
        <v>24021</v>
      </c>
      <c r="E479" s="122" t="s">
        <v>797</v>
      </c>
      <c r="F479" s="122" t="s">
        <v>798</v>
      </c>
      <c r="G479" s="122" t="s">
        <v>785</v>
      </c>
      <c r="H479" s="122" t="s">
        <v>777</v>
      </c>
      <c r="I479" s="312">
        <v>2018</v>
      </c>
      <c r="J479" s="122" t="s">
        <v>713</v>
      </c>
      <c r="K479" s="283">
        <v>14567</v>
      </c>
      <c r="L479" s="318">
        <v>-33.899914000000003</v>
      </c>
      <c r="M479" s="318">
        <v>151.08805799999999</v>
      </c>
      <c r="O479">
        <f>INDEX('MEC - traffic congestion'!$M$145:$M$249,MATCH($D479,'MEC - traffic congestion'!$C$145:$C$249,0))</f>
        <v>0</v>
      </c>
      <c r="P479" t="str">
        <f t="shared" si="17"/>
        <v/>
      </c>
      <c r="Q479">
        <f t="shared" si="18"/>
        <v>1</v>
      </c>
      <c r="R479" s="195" t="str">
        <f t="shared" si="19"/>
        <v/>
      </c>
    </row>
    <row r="480" spans="3:18" x14ac:dyDescent="0.25">
      <c r="C480" s="294" t="s">
        <v>796</v>
      </c>
      <c r="D480" s="317">
        <v>24021</v>
      </c>
      <c r="E480" s="122" t="s">
        <v>797</v>
      </c>
      <c r="F480" s="122" t="s">
        <v>798</v>
      </c>
      <c r="G480" s="122" t="s">
        <v>786</v>
      </c>
      <c r="H480" s="122" t="s">
        <v>777</v>
      </c>
      <c r="I480" s="312">
        <v>2018</v>
      </c>
      <c r="J480" s="122" t="s">
        <v>713</v>
      </c>
      <c r="K480" s="283">
        <v>15761</v>
      </c>
      <c r="L480" s="318">
        <v>-33.899914000000003</v>
      </c>
      <c r="M480" s="318">
        <v>151.08805799999999</v>
      </c>
      <c r="O480">
        <f>INDEX('MEC - traffic congestion'!$M$145:$M$249,MATCH($D480,'MEC - traffic congestion'!$C$145:$C$249,0))</f>
        <v>0</v>
      </c>
      <c r="P480" t="str">
        <f t="shared" si="17"/>
        <v/>
      </c>
      <c r="Q480">
        <f t="shared" si="18"/>
        <v>1</v>
      </c>
      <c r="R480" s="195" t="str">
        <f t="shared" si="19"/>
        <v/>
      </c>
    </row>
    <row r="481" spans="3:18" x14ac:dyDescent="0.25">
      <c r="C481" s="294" t="s">
        <v>799</v>
      </c>
      <c r="D481" s="317">
        <v>28008</v>
      </c>
      <c r="E481" s="122" t="s">
        <v>800</v>
      </c>
      <c r="F481" s="122" t="s">
        <v>801</v>
      </c>
      <c r="G481" s="122" t="s">
        <v>776</v>
      </c>
      <c r="H481" s="122" t="s">
        <v>777</v>
      </c>
      <c r="I481" s="312">
        <v>2018</v>
      </c>
      <c r="J481" s="122" t="s">
        <v>709</v>
      </c>
      <c r="K481" s="283">
        <v>10771</v>
      </c>
      <c r="L481" s="318">
        <v>-33.86327</v>
      </c>
      <c r="M481" s="318">
        <v>151.06660500000001</v>
      </c>
      <c r="O481">
        <f>INDEX('MEC - traffic congestion'!$M$145:$M$249,MATCH($D481,'MEC - traffic congestion'!$C$145:$C$249,0))</f>
        <v>0</v>
      </c>
      <c r="P481" t="str">
        <f t="shared" si="17"/>
        <v/>
      </c>
      <c r="Q481">
        <f t="shared" si="18"/>
        <v>1</v>
      </c>
      <c r="R481" s="195" t="str">
        <f t="shared" si="19"/>
        <v/>
      </c>
    </row>
    <row r="482" spans="3:18" x14ac:dyDescent="0.25">
      <c r="C482" s="294" t="s">
        <v>799</v>
      </c>
      <c r="D482" s="317">
        <v>28008</v>
      </c>
      <c r="E482" s="122" t="s">
        <v>800</v>
      </c>
      <c r="F482" s="122" t="s">
        <v>801</v>
      </c>
      <c r="G482" s="122" t="s">
        <v>778</v>
      </c>
      <c r="H482" s="122" t="s">
        <v>777</v>
      </c>
      <c r="I482" s="312">
        <v>2018</v>
      </c>
      <c r="J482" s="122" t="s">
        <v>709</v>
      </c>
      <c r="K482" s="283">
        <v>11635</v>
      </c>
      <c r="L482" s="318">
        <v>-33.86327</v>
      </c>
      <c r="M482" s="318">
        <v>151.06660500000001</v>
      </c>
      <c r="O482">
        <f>INDEX('MEC - traffic congestion'!$M$145:$M$249,MATCH($D482,'MEC - traffic congestion'!$C$145:$C$249,0))</f>
        <v>0</v>
      </c>
      <c r="P482" t="str">
        <f t="shared" si="17"/>
        <v/>
      </c>
      <c r="Q482">
        <f t="shared" si="18"/>
        <v>1</v>
      </c>
      <c r="R482" s="195" t="str">
        <f t="shared" si="19"/>
        <v/>
      </c>
    </row>
    <row r="483" spans="3:18" x14ac:dyDescent="0.25">
      <c r="C483" s="294" t="s">
        <v>799</v>
      </c>
      <c r="D483" s="317">
        <v>28008</v>
      </c>
      <c r="E483" s="122" t="s">
        <v>800</v>
      </c>
      <c r="F483" s="122" t="s">
        <v>801</v>
      </c>
      <c r="G483" s="122" t="s">
        <v>776</v>
      </c>
      <c r="H483" s="122" t="s">
        <v>777</v>
      </c>
      <c r="I483" s="312">
        <v>2018</v>
      </c>
      <c r="J483" s="122" t="s">
        <v>710</v>
      </c>
      <c r="K483" s="283">
        <v>23688</v>
      </c>
      <c r="L483" s="318">
        <v>-33.86327</v>
      </c>
      <c r="M483" s="318">
        <v>151.06660500000001</v>
      </c>
      <c r="O483">
        <f>INDEX('MEC - traffic congestion'!$M$145:$M$249,MATCH($D483,'MEC - traffic congestion'!$C$145:$C$249,0))</f>
        <v>0</v>
      </c>
      <c r="P483" t="str">
        <f t="shared" si="17"/>
        <v/>
      </c>
      <c r="Q483">
        <f t="shared" si="18"/>
        <v>1</v>
      </c>
      <c r="R483" s="195" t="str">
        <f t="shared" si="19"/>
        <v/>
      </c>
    </row>
    <row r="484" spans="3:18" x14ac:dyDescent="0.25">
      <c r="C484" s="294" t="s">
        <v>799</v>
      </c>
      <c r="D484" s="317">
        <v>28008</v>
      </c>
      <c r="E484" s="122" t="s">
        <v>800</v>
      </c>
      <c r="F484" s="122" t="s">
        <v>801</v>
      </c>
      <c r="G484" s="122" t="s">
        <v>778</v>
      </c>
      <c r="H484" s="122" t="s">
        <v>777</v>
      </c>
      <c r="I484" s="312">
        <v>2018</v>
      </c>
      <c r="J484" s="122" t="s">
        <v>710</v>
      </c>
      <c r="K484" s="283">
        <v>26742</v>
      </c>
      <c r="L484" s="318">
        <v>-33.86327</v>
      </c>
      <c r="M484" s="318">
        <v>151.06660500000001</v>
      </c>
      <c r="O484">
        <f>INDEX('MEC - traffic congestion'!$M$145:$M$249,MATCH($D484,'MEC - traffic congestion'!$C$145:$C$249,0))</f>
        <v>0</v>
      </c>
      <c r="P484" t="str">
        <f t="shared" si="17"/>
        <v/>
      </c>
      <c r="Q484">
        <f t="shared" si="18"/>
        <v>1</v>
      </c>
      <c r="R484" s="195" t="str">
        <f t="shared" si="19"/>
        <v/>
      </c>
    </row>
    <row r="485" spans="3:18" x14ac:dyDescent="0.25">
      <c r="C485" s="294" t="s">
        <v>799</v>
      </c>
      <c r="D485" s="317">
        <v>28008</v>
      </c>
      <c r="E485" s="122" t="s">
        <v>800</v>
      </c>
      <c r="F485" s="122" t="s">
        <v>801</v>
      </c>
      <c r="G485" s="122" t="s">
        <v>776</v>
      </c>
      <c r="H485" s="122" t="s">
        <v>777</v>
      </c>
      <c r="I485" s="312">
        <v>2018</v>
      </c>
      <c r="J485" s="122" t="s">
        <v>711</v>
      </c>
      <c r="K485" s="283">
        <v>9800</v>
      </c>
      <c r="L485" s="318">
        <v>-33.86327</v>
      </c>
      <c r="M485" s="318">
        <v>151.06660500000001</v>
      </c>
      <c r="O485">
        <f>INDEX('MEC - traffic congestion'!$M$145:$M$249,MATCH($D485,'MEC - traffic congestion'!$C$145:$C$249,0))</f>
        <v>0</v>
      </c>
      <c r="P485" t="str">
        <f t="shared" si="17"/>
        <v/>
      </c>
      <c r="Q485">
        <f t="shared" si="18"/>
        <v>1</v>
      </c>
      <c r="R485" s="195" t="str">
        <f t="shared" si="19"/>
        <v/>
      </c>
    </row>
    <row r="486" spans="3:18" x14ac:dyDescent="0.25">
      <c r="C486" s="294" t="s">
        <v>799</v>
      </c>
      <c r="D486" s="317">
        <v>28008</v>
      </c>
      <c r="E486" s="122" t="s">
        <v>800</v>
      </c>
      <c r="F486" s="122" t="s">
        <v>801</v>
      </c>
      <c r="G486" s="122" t="s">
        <v>778</v>
      </c>
      <c r="H486" s="122" t="s">
        <v>777</v>
      </c>
      <c r="I486" s="312">
        <v>2018</v>
      </c>
      <c r="J486" s="122" t="s">
        <v>711</v>
      </c>
      <c r="K486" s="283">
        <v>11999</v>
      </c>
      <c r="L486" s="318">
        <v>-33.86327</v>
      </c>
      <c r="M486" s="318">
        <v>151.06660500000001</v>
      </c>
      <c r="O486">
        <f>INDEX('MEC - traffic congestion'!$M$145:$M$249,MATCH($D486,'MEC - traffic congestion'!$C$145:$C$249,0))</f>
        <v>0</v>
      </c>
      <c r="P486" t="str">
        <f t="shared" si="17"/>
        <v/>
      </c>
      <c r="Q486">
        <f t="shared" si="18"/>
        <v>1</v>
      </c>
      <c r="R486" s="195" t="str">
        <f t="shared" si="19"/>
        <v/>
      </c>
    </row>
    <row r="487" spans="3:18" x14ac:dyDescent="0.25">
      <c r="C487" s="294" t="s">
        <v>799</v>
      </c>
      <c r="D487" s="317">
        <v>28008</v>
      </c>
      <c r="E487" s="122" t="s">
        <v>800</v>
      </c>
      <c r="F487" s="122" t="s">
        <v>801</v>
      </c>
      <c r="G487" s="122" t="s">
        <v>776</v>
      </c>
      <c r="H487" s="122" t="s">
        <v>777</v>
      </c>
      <c r="I487" s="312">
        <v>2018</v>
      </c>
      <c r="J487" s="122" t="s">
        <v>712</v>
      </c>
      <c r="K487" s="283">
        <v>34776</v>
      </c>
      <c r="L487" s="318">
        <v>-33.86327</v>
      </c>
      <c r="M487" s="318">
        <v>151.06660500000001</v>
      </c>
      <c r="O487">
        <f>INDEX('MEC - traffic congestion'!$M$145:$M$249,MATCH($D487,'MEC - traffic congestion'!$C$145:$C$249,0))</f>
        <v>0</v>
      </c>
      <c r="P487" t="str">
        <f t="shared" si="17"/>
        <v/>
      </c>
      <c r="Q487">
        <f t="shared" si="18"/>
        <v>1</v>
      </c>
      <c r="R487" s="195" t="str">
        <f t="shared" si="19"/>
        <v/>
      </c>
    </row>
    <row r="488" spans="3:18" x14ac:dyDescent="0.25">
      <c r="C488" s="294" t="s">
        <v>799</v>
      </c>
      <c r="D488" s="317">
        <v>28008</v>
      </c>
      <c r="E488" s="122" t="s">
        <v>800</v>
      </c>
      <c r="F488" s="122" t="s">
        <v>801</v>
      </c>
      <c r="G488" s="122" t="s">
        <v>778</v>
      </c>
      <c r="H488" s="122" t="s">
        <v>777</v>
      </c>
      <c r="I488" s="312">
        <v>2018</v>
      </c>
      <c r="J488" s="122" t="s">
        <v>712</v>
      </c>
      <c r="K488" s="283">
        <v>40244</v>
      </c>
      <c r="L488" s="318">
        <v>-33.86327</v>
      </c>
      <c r="M488" s="318">
        <v>151.06660500000001</v>
      </c>
      <c r="O488">
        <f>INDEX('MEC - traffic congestion'!$M$145:$M$249,MATCH($D488,'MEC - traffic congestion'!$C$145:$C$249,0))</f>
        <v>0</v>
      </c>
      <c r="P488" t="str">
        <f t="shared" si="17"/>
        <v/>
      </c>
      <c r="Q488">
        <f t="shared" si="18"/>
        <v>1</v>
      </c>
      <c r="R488" s="195" t="str">
        <f t="shared" si="19"/>
        <v/>
      </c>
    </row>
    <row r="489" spans="3:18" x14ac:dyDescent="0.25">
      <c r="C489" s="294" t="s">
        <v>799</v>
      </c>
      <c r="D489" s="317">
        <v>28008</v>
      </c>
      <c r="E489" s="122" t="s">
        <v>800</v>
      </c>
      <c r="F489" s="122" t="s">
        <v>801</v>
      </c>
      <c r="G489" s="122" t="s">
        <v>776</v>
      </c>
      <c r="H489" s="122" t="s">
        <v>777</v>
      </c>
      <c r="I489" s="312">
        <v>2018</v>
      </c>
      <c r="J489" s="122" t="s">
        <v>713</v>
      </c>
      <c r="K489" s="283">
        <v>41492</v>
      </c>
      <c r="L489" s="318">
        <v>-33.86327</v>
      </c>
      <c r="M489" s="318">
        <v>151.06660500000001</v>
      </c>
      <c r="O489">
        <f>INDEX('MEC - traffic congestion'!$M$145:$M$249,MATCH($D489,'MEC - traffic congestion'!$C$145:$C$249,0))</f>
        <v>0</v>
      </c>
      <c r="P489" t="str">
        <f t="shared" si="17"/>
        <v/>
      </c>
      <c r="Q489">
        <f t="shared" si="18"/>
        <v>1</v>
      </c>
      <c r="R489" s="195" t="str">
        <f t="shared" si="19"/>
        <v/>
      </c>
    </row>
    <row r="490" spans="3:18" x14ac:dyDescent="0.25">
      <c r="C490" s="294" t="s">
        <v>799</v>
      </c>
      <c r="D490" s="317">
        <v>28008</v>
      </c>
      <c r="E490" s="122" t="s">
        <v>800</v>
      </c>
      <c r="F490" s="122" t="s">
        <v>801</v>
      </c>
      <c r="G490" s="122" t="s">
        <v>778</v>
      </c>
      <c r="H490" s="122" t="s">
        <v>777</v>
      </c>
      <c r="I490" s="312">
        <v>2018</v>
      </c>
      <c r="J490" s="122" t="s">
        <v>713</v>
      </c>
      <c r="K490" s="283">
        <v>47765</v>
      </c>
      <c r="L490" s="318">
        <v>-33.86327</v>
      </c>
      <c r="M490" s="318">
        <v>151.06660500000001</v>
      </c>
      <c r="O490">
        <f>INDEX('MEC - traffic congestion'!$M$145:$M$249,MATCH($D490,'MEC - traffic congestion'!$C$145:$C$249,0))</f>
        <v>0</v>
      </c>
      <c r="P490" t="str">
        <f t="shared" si="17"/>
        <v/>
      </c>
      <c r="Q490">
        <f t="shared" si="18"/>
        <v>1</v>
      </c>
      <c r="R490" s="195" t="str">
        <f t="shared" si="19"/>
        <v/>
      </c>
    </row>
    <row r="491" spans="3:18" x14ac:dyDescent="0.25">
      <c r="C491" s="294" t="s">
        <v>799</v>
      </c>
      <c r="D491" s="317">
        <v>28008</v>
      </c>
      <c r="E491" s="122" t="s">
        <v>800</v>
      </c>
      <c r="F491" s="122" t="s">
        <v>801</v>
      </c>
      <c r="G491" s="122" t="s">
        <v>776</v>
      </c>
      <c r="H491" s="122" t="s">
        <v>777</v>
      </c>
      <c r="I491" s="312">
        <v>2019</v>
      </c>
      <c r="J491" s="122" t="s">
        <v>709</v>
      </c>
      <c r="K491" s="283">
        <v>10827</v>
      </c>
      <c r="L491" s="318">
        <v>-33.86327</v>
      </c>
      <c r="M491" s="318">
        <v>151.06660500000001</v>
      </c>
      <c r="O491">
        <f>INDEX('MEC - traffic congestion'!$M$145:$M$249,MATCH($D491,'MEC - traffic congestion'!$C$145:$C$249,0))</f>
        <v>0</v>
      </c>
      <c r="P491" t="str">
        <f t="shared" si="17"/>
        <v/>
      </c>
      <c r="Q491">
        <f t="shared" si="18"/>
        <v>1</v>
      </c>
      <c r="R491" s="195" t="str">
        <f t="shared" si="19"/>
        <v/>
      </c>
    </row>
    <row r="492" spans="3:18" x14ac:dyDescent="0.25">
      <c r="C492" s="294" t="s">
        <v>799</v>
      </c>
      <c r="D492" s="317">
        <v>28008</v>
      </c>
      <c r="E492" s="122" t="s">
        <v>800</v>
      </c>
      <c r="F492" s="122" t="s">
        <v>801</v>
      </c>
      <c r="G492" s="122" t="s">
        <v>778</v>
      </c>
      <c r="H492" s="122" t="s">
        <v>777</v>
      </c>
      <c r="I492" s="312">
        <v>2019</v>
      </c>
      <c r="J492" s="122" t="s">
        <v>709</v>
      </c>
      <c r="K492" s="283">
        <v>11462</v>
      </c>
      <c r="L492" s="318">
        <v>-33.86327</v>
      </c>
      <c r="M492" s="318">
        <v>151.06660500000001</v>
      </c>
      <c r="O492">
        <f>INDEX('MEC - traffic congestion'!$M$145:$M$249,MATCH($D492,'MEC - traffic congestion'!$C$145:$C$249,0))</f>
        <v>0</v>
      </c>
      <c r="P492" t="str">
        <f t="shared" si="17"/>
        <v/>
      </c>
      <c r="Q492">
        <f t="shared" si="18"/>
        <v>1</v>
      </c>
      <c r="R492" s="195" t="str">
        <f t="shared" si="19"/>
        <v/>
      </c>
    </row>
    <row r="493" spans="3:18" x14ac:dyDescent="0.25">
      <c r="C493" s="294" t="s">
        <v>799</v>
      </c>
      <c r="D493" s="317">
        <v>28008</v>
      </c>
      <c r="E493" s="122" t="s">
        <v>800</v>
      </c>
      <c r="F493" s="122" t="s">
        <v>801</v>
      </c>
      <c r="G493" s="122" t="s">
        <v>776</v>
      </c>
      <c r="H493" s="122" t="s">
        <v>777</v>
      </c>
      <c r="I493" s="312">
        <v>2019</v>
      </c>
      <c r="J493" s="122" t="s">
        <v>710</v>
      </c>
      <c r="K493" s="283">
        <v>23782</v>
      </c>
      <c r="L493" s="318">
        <v>-33.86327</v>
      </c>
      <c r="M493" s="318">
        <v>151.06660500000001</v>
      </c>
      <c r="O493">
        <f>INDEX('MEC - traffic congestion'!$M$145:$M$249,MATCH($D493,'MEC - traffic congestion'!$C$145:$C$249,0))</f>
        <v>0</v>
      </c>
      <c r="P493" t="str">
        <f t="shared" si="17"/>
        <v/>
      </c>
      <c r="Q493">
        <f t="shared" si="18"/>
        <v>1</v>
      </c>
      <c r="R493" s="195" t="str">
        <f t="shared" si="19"/>
        <v/>
      </c>
    </row>
    <row r="494" spans="3:18" x14ac:dyDescent="0.25">
      <c r="C494" s="294" t="s">
        <v>799</v>
      </c>
      <c r="D494" s="317">
        <v>28008</v>
      </c>
      <c r="E494" s="122" t="s">
        <v>800</v>
      </c>
      <c r="F494" s="122" t="s">
        <v>801</v>
      </c>
      <c r="G494" s="122" t="s">
        <v>778</v>
      </c>
      <c r="H494" s="122" t="s">
        <v>777</v>
      </c>
      <c r="I494" s="312">
        <v>2019</v>
      </c>
      <c r="J494" s="122" t="s">
        <v>710</v>
      </c>
      <c r="K494" s="283">
        <v>26861</v>
      </c>
      <c r="L494" s="318">
        <v>-33.86327</v>
      </c>
      <c r="M494" s="318">
        <v>151.06660500000001</v>
      </c>
      <c r="O494">
        <f>INDEX('MEC - traffic congestion'!$M$145:$M$249,MATCH($D494,'MEC - traffic congestion'!$C$145:$C$249,0))</f>
        <v>0</v>
      </c>
      <c r="P494" t="str">
        <f t="shared" si="17"/>
        <v/>
      </c>
      <c r="Q494">
        <f t="shared" si="18"/>
        <v>1</v>
      </c>
      <c r="R494" s="195" t="str">
        <f t="shared" si="19"/>
        <v/>
      </c>
    </row>
    <row r="495" spans="3:18" x14ac:dyDescent="0.25">
      <c r="C495" s="294" t="s">
        <v>799</v>
      </c>
      <c r="D495" s="317">
        <v>28008</v>
      </c>
      <c r="E495" s="122" t="s">
        <v>800</v>
      </c>
      <c r="F495" s="122" t="s">
        <v>801</v>
      </c>
      <c r="G495" s="122" t="s">
        <v>776</v>
      </c>
      <c r="H495" s="122" t="s">
        <v>777</v>
      </c>
      <c r="I495" s="312">
        <v>2019</v>
      </c>
      <c r="J495" s="122" t="s">
        <v>711</v>
      </c>
      <c r="K495" s="283">
        <v>9865</v>
      </c>
      <c r="L495" s="318">
        <v>-33.86327</v>
      </c>
      <c r="M495" s="318">
        <v>151.06660500000001</v>
      </c>
      <c r="O495">
        <f>INDEX('MEC - traffic congestion'!$M$145:$M$249,MATCH($D495,'MEC - traffic congestion'!$C$145:$C$249,0))</f>
        <v>0</v>
      </c>
      <c r="P495" t="str">
        <f t="shared" si="17"/>
        <v/>
      </c>
      <c r="Q495">
        <f t="shared" si="18"/>
        <v>1</v>
      </c>
      <c r="R495" s="195" t="str">
        <f t="shared" si="19"/>
        <v/>
      </c>
    </row>
    <row r="496" spans="3:18" x14ac:dyDescent="0.25">
      <c r="C496" s="294" t="s">
        <v>799</v>
      </c>
      <c r="D496" s="317">
        <v>28008</v>
      </c>
      <c r="E496" s="122" t="s">
        <v>800</v>
      </c>
      <c r="F496" s="122" t="s">
        <v>801</v>
      </c>
      <c r="G496" s="122" t="s">
        <v>778</v>
      </c>
      <c r="H496" s="122" t="s">
        <v>777</v>
      </c>
      <c r="I496" s="312">
        <v>2019</v>
      </c>
      <c r="J496" s="122" t="s">
        <v>711</v>
      </c>
      <c r="K496" s="283">
        <v>11766</v>
      </c>
      <c r="L496" s="318">
        <v>-33.86327</v>
      </c>
      <c r="M496" s="318">
        <v>151.06660500000001</v>
      </c>
      <c r="O496">
        <f>INDEX('MEC - traffic congestion'!$M$145:$M$249,MATCH($D496,'MEC - traffic congestion'!$C$145:$C$249,0))</f>
        <v>0</v>
      </c>
      <c r="P496" t="str">
        <f t="shared" si="17"/>
        <v/>
      </c>
      <c r="Q496">
        <f t="shared" si="18"/>
        <v>1</v>
      </c>
      <c r="R496" s="195" t="str">
        <f t="shared" si="19"/>
        <v/>
      </c>
    </row>
    <row r="497" spans="3:18" x14ac:dyDescent="0.25">
      <c r="C497" s="294" t="s">
        <v>799</v>
      </c>
      <c r="D497" s="317">
        <v>28008</v>
      </c>
      <c r="E497" s="122" t="s">
        <v>800</v>
      </c>
      <c r="F497" s="122" t="s">
        <v>801</v>
      </c>
      <c r="G497" s="122" t="s">
        <v>776</v>
      </c>
      <c r="H497" s="122" t="s">
        <v>777</v>
      </c>
      <c r="I497" s="312">
        <v>2019</v>
      </c>
      <c r="J497" s="122" t="s">
        <v>712</v>
      </c>
      <c r="K497" s="283">
        <v>34906</v>
      </c>
      <c r="L497" s="318">
        <v>-33.86327</v>
      </c>
      <c r="M497" s="318">
        <v>151.06660500000001</v>
      </c>
      <c r="O497">
        <f>INDEX('MEC - traffic congestion'!$M$145:$M$249,MATCH($D497,'MEC - traffic congestion'!$C$145:$C$249,0))</f>
        <v>0</v>
      </c>
      <c r="P497" t="str">
        <f t="shared" si="17"/>
        <v/>
      </c>
      <c r="Q497">
        <f t="shared" si="18"/>
        <v>1</v>
      </c>
      <c r="R497" s="195" t="str">
        <f t="shared" si="19"/>
        <v/>
      </c>
    </row>
    <row r="498" spans="3:18" x14ac:dyDescent="0.25">
      <c r="C498" s="294" t="s">
        <v>799</v>
      </c>
      <c r="D498" s="317">
        <v>28008</v>
      </c>
      <c r="E498" s="122" t="s">
        <v>800</v>
      </c>
      <c r="F498" s="122" t="s">
        <v>801</v>
      </c>
      <c r="G498" s="122" t="s">
        <v>778</v>
      </c>
      <c r="H498" s="122" t="s">
        <v>777</v>
      </c>
      <c r="I498" s="312">
        <v>2019</v>
      </c>
      <c r="J498" s="122" t="s">
        <v>712</v>
      </c>
      <c r="K498" s="283">
        <v>40862</v>
      </c>
      <c r="L498" s="318">
        <v>-33.86327</v>
      </c>
      <c r="M498" s="318">
        <v>151.06660500000001</v>
      </c>
      <c r="O498">
        <f>INDEX('MEC - traffic congestion'!$M$145:$M$249,MATCH($D498,'MEC - traffic congestion'!$C$145:$C$249,0))</f>
        <v>0</v>
      </c>
      <c r="P498" t="str">
        <f t="shared" si="17"/>
        <v/>
      </c>
      <c r="Q498">
        <f t="shared" si="18"/>
        <v>1</v>
      </c>
      <c r="R498" s="195" t="str">
        <f t="shared" si="19"/>
        <v/>
      </c>
    </row>
    <row r="499" spans="3:18" x14ac:dyDescent="0.25">
      <c r="C499" s="294" t="s">
        <v>799</v>
      </c>
      <c r="D499" s="317">
        <v>28008</v>
      </c>
      <c r="E499" s="122" t="s">
        <v>800</v>
      </c>
      <c r="F499" s="122" t="s">
        <v>801</v>
      </c>
      <c r="G499" s="122" t="s">
        <v>776</v>
      </c>
      <c r="H499" s="122" t="s">
        <v>777</v>
      </c>
      <c r="I499" s="312">
        <v>2019</v>
      </c>
      <c r="J499" s="122" t="s">
        <v>713</v>
      </c>
      <c r="K499" s="283">
        <v>41057</v>
      </c>
      <c r="L499" s="318">
        <v>-33.86327</v>
      </c>
      <c r="M499" s="318">
        <v>151.06660500000001</v>
      </c>
      <c r="O499">
        <f>INDEX('MEC - traffic congestion'!$M$145:$M$249,MATCH($D499,'MEC - traffic congestion'!$C$145:$C$249,0))</f>
        <v>0</v>
      </c>
      <c r="P499" t="str">
        <f t="shared" si="17"/>
        <v/>
      </c>
      <c r="Q499">
        <f t="shared" si="18"/>
        <v>1</v>
      </c>
      <c r="R499" s="195" t="str">
        <f t="shared" si="19"/>
        <v/>
      </c>
    </row>
    <row r="500" spans="3:18" x14ac:dyDescent="0.25">
      <c r="C500" s="294" t="s">
        <v>799</v>
      </c>
      <c r="D500" s="317">
        <v>28008</v>
      </c>
      <c r="E500" s="122" t="s">
        <v>800</v>
      </c>
      <c r="F500" s="122" t="s">
        <v>801</v>
      </c>
      <c r="G500" s="122" t="s">
        <v>778</v>
      </c>
      <c r="H500" s="122" t="s">
        <v>777</v>
      </c>
      <c r="I500" s="312">
        <v>2019</v>
      </c>
      <c r="J500" s="122" t="s">
        <v>713</v>
      </c>
      <c r="K500" s="283">
        <v>47521</v>
      </c>
      <c r="L500" s="318">
        <v>-33.86327</v>
      </c>
      <c r="M500" s="318">
        <v>151.06660500000001</v>
      </c>
      <c r="O500">
        <f>INDEX('MEC - traffic congestion'!$M$145:$M$249,MATCH($D500,'MEC - traffic congestion'!$C$145:$C$249,0))</f>
        <v>0</v>
      </c>
      <c r="P500" t="str">
        <f t="shared" si="17"/>
        <v/>
      </c>
      <c r="Q500">
        <f t="shared" si="18"/>
        <v>1</v>
      </c>
      <c r="R500" s="195" t="str">
        <f t="shared" si="19"/>
        <v/>
      </c>
    </row>
    <row r="501" spans="3:18" x14ac:dyDescent="0.25">
      <c r="C501" s="294" t="s">
        <v>799</v>
      </c>
      <c r="D501" s="317">
        <v>28008</v>
      </c>
      <c r="E501" s="122" t="s">
        <v>800</v>
      </c>
      <c r="F501" s="122" t="s">
        <v>801</v>
      </c>
      <c r="G501" s="122" t="s">
        <v>776</v>
      </c>
      <c r="H501" s="122" t="s">
        <v>777</v>
      </c>
      <c r="I501" s="312">
        <v>2020</v>
      </c>
      <c r="J501" s="122" t="s">
        <v>709</v>
      </c>
      <c r="K501" s="283">
        <v>10284</v>
      </c>
      <c r="L501" s="318">
        <v>-33.86327</v>
      </c>
      <c r="M501" s="318">
        <v>151.06660500000001</v>
      </c>
      <c r="O501">
        <f>INDEX('MEC - traffic congestion'!$M$145:$M$249,MATCH($D501,'MEC - traffic congestion'!$C$145:$C$249,0))</f>
        <v>0</v>
      </c>
      <c r="P501" t="str">
        <f t="shared" si="17"/>
        <v/>
      </c>
      <c r="Q501">
        <f t="shared" si="18"/>
        <v>1</v>
      </c>
      <c r="R501" s="195" t="str">
        <f t="shared" si="19"/>
        <v/>
      </c>
    </row>
    <row r="502" spans="3:18" x14ac:dyDescent="0.25">
      <c r="C502" s="294" t="s">
        <v>799</v>
      </c>
      <c r="D502" s="317">
        <v>28008</v>
      </c>
      <c r="E502" s="122" t="s">
        <v>800</v>
      </c>
      <c r="F502" s="122" t="s">
        <v>801</v>
      </c>
      <c r="G502" s="122" t="s">
        <v>778</v>
      </c>
      <c r="H502" s="122" t="s">
        <v>777</v>
      </c>
      <c r="I502" s="312">
        <v>2020</v>
      </c>
      <c r="J502" s="122" t="s">
        <v>709</v>
      </c>
      <c r="K502" s="283">
        <v>10925</v>
      </c>
      <c r="L502" s="318">
        <v>-33.86327</v>
      </c>
      <c r="M502" s="318">
        <v>151.06660500000001</v>
      </c>
      <c r="O502">
        <f>INDEX('MEC - traffic congestion'!$M$145:$M$249,MATCH($D502,'MEC - traffic congestion'!$C$145:$C$249,0))</f>
        <v>0</v>
      </c>
      <c r="P502" t="str">
        <f t="shared" si="17"/>
        <v/>
      </c>
      <c r="Q502">
        <f t="shared" si="18"/>
        <v>1</v>
      </c>
      <c r="R502" s="195" t="str">
        <f t="shared" si="19"/>
        <v/>
      </c>
    </row>
    <row r="503" spans="3:18" x14ac:dyDescent="0.25">
      <c r="C503" s="294" t="s">
        <v>799</v>
      </c>
      <c r="D503" s="317">
        <v>28008</v>
      </c>
      <c r="E503" s="122" t="s">
        <v>800</v>
      </c>
      <c r="F503" s="122" t="s">
        <v>801</v>
      </c>
      <c r="G503" s="122" t="s">
        <v>776</v>
      </c>
      <c r="H503" s="122" t="s">
        <v>777</v>
      </c>
      <c r="I503" s="312">
        <v>2020</v>
      </c>
      <c r="J503" s="122" t="s">
        <v>710</v>
      </c>
      <c r="K503" s="283">
        <v>21962</v>
      </c>
      <c r="L503" s="318">
        <v>-33.86327</v>
      </c>
      <c r="M503" s="318">
        <v>151.06660500000001</v>
      </c>
      <c r="O503">
        <f>INDEX('MEC - traffic congestion'!$M$145:$M$249,MATCH($D503,'MEC - traffic congestion'!$C$145:$C$249,0))</f>
        <v>0</v>
      </c>
      <c r="P503" t="str">
        <f t="shared" si="17"/>
        <v/>
      </c>
      <c r="Q503">
        <f t="shared" si="18"/>
        <v>1</v>
      </c>
      <c r="R503" s="195" t="str">
        <f t="shared" si="19"/>
        <v/>
      </c>
    </row>
    <row r="504" spans="3:18" x14ac:dyDescent="0.25">
      <c r="C504" s="294" t="s">
        <v>799</v>
      </c>
      <c r="D504" s="317">
        <v>28008</v>
      </c>
      <c r="E504" s="122" t="s">
        <v>800</v>
      </c>
      <c r="F504" s="122" t="s">
        <v>801</v>
      </c>
      <c r="G504" s="122" t="s">
        <v>778</v>
      </c>
      <c r="H504" s="122" t="s">
        <v>777</v>
      </c>
      <c r="I504" s="312">
        <v>2020</v>
      </c>
      <c r="J504" s="122" t="s">
        <v>710</v>
      </c>
      <c r="K504" s="283">
        <v>24368</v>
      </c>
      <c r="L504" s="318">
        <v>-33.86327</v>
      </c>
      <c r="M504" s="318">
        <v>151.06660500000001</v>
      </c>
      <c r="O504">
        <f>INDEX('MEC - traffic congestion'!$M$145:$M$249,MATCH($D504,'MEC - traffic congestion'!$C$145:$C$249,0))</f>
        <v>0</v>
      </c>
      <c r="P504" t="str">
        <f t="shared" si="17"/>
        <v/>
      </c>
      <c r="Q504">
        <f t="shared" si="18"/>
        <v>1</v>
      </c>
      <c r="R504" s="195" t="str">
        <f t="shared" si="19"/>
        <v/>
      </c>
    </row>
    <row r="505" spans="3:18" x14ac:dyDescent="0.25">
      <c r="C505" s="294" t="s">
        <v>799</v>
      </c>
      <c r="D505" s="317">
        <v>28008</v>
      </c>
      <c r="E505" s="122" t="s">
        <v>800</v>
      </c>
      <c r="F505" s="122" t="s">
        <v>801</v>
      </c>
      <c r="G505" s="122" t="s">
        <v>776</v>
      </c>
      <c r="H505" s="122" t="s">
        <v>777</v>
      </c>
      <c r="I505" s="312">
        <v>2020</v>
      </c>
      <c r="J505" s="122" t="s">
        <v>711</v>
      </c>
      <c r="K505" s="283">
        <v>9489</v>
      </c>
      <c r="L505" s="318">
        <v>-33.86327</v>
      </c>
      <c r="M505" s="318">
        <v>151.06660500000001</v>
      </c>
      <c r="O505">
        <f>INDEX('MEC - traffic congestion'!$M$145:$M$249,MATCH($D505,'MEC - traffic congestion'!$C$145:$C$249,0))</f>
        <v>0</v>
      </c>
      <c r="P505" t="str">
        <f t="shared" si="17"/>
        <v/>
      </c>
      <c r="Q505">
        <f t="shared" si="18"/>
        <v>1</v>
      </c>
      <c r="R505" s="195" t="str">
        <f t="shared" si="19"/>
        <v/>
      </c>
    </row>
    <row r="506" spans="3:18" x14ac:dyDescent="0.25">
      <c r="C506" s="294" t="s">
        <v>799</v>
      </c>
      <c r="D506" s="317">
        <v>28008</v>
      </c>
      <c r="E506" s="122" t="s">
        <v>800</v>
      </c>
      <c r="F506" s="122" t="s">
        <v>801</v>
      </c>
      <c r="G506" s="122" t="s">
        <v>778</v>
      </c>
      <c r="H506" s="122" t="s">
        <v>777</v>
      </c>
      <c r="I506" s="312">
        <v>2020</v>
      </c>
      <c r="J506" s="122" t="s">
        <v>711</v>
      </c>
      <c r="K506" s="283">
        <v>11439</v>
      </c>
      <c r="L506" s="318">
        <v>-33.86327</v>
      </c>
      <c r="M506" s="318">
        <v>151.06660500000001</v>
      </c>
      <c r="O506">
        <f>INDEX('MEC - traffic congestion'!$M$145:$M$249,MATCH($D506,'MEC - traffic congestion'!$C$145:$C$249,0))</f>
        <v>0</v>
      </c>
      <c r="P506" t="str">
        <f t="shared" si="17"/>
        <v/>
      </c>
      <c r="Q506">
        <f t="shared" si="18"/>
        <v>1</v>
      </c>
      <c r="R506" s="195" t="str">
        <f t="shared" si="19"/>
        <v/>
      </c>
    </row>
    <row r="507" spans="3:18" x14ac:dyDescent="0.25">
      <c r="C507" s="294" t="s">
        <v>799</v>
      </c>
      <c r="D507" s="317">
        <v>28008</v>
      </c>
      <c r="E507" s="122" t="s">
        <v>800</v>
      </c>
      <c r="F507" s="122" t="s">
        <v>801</v>
      </c>
      <c r="G507" s="122" t="s">
        <v>776</v>
      </c>
      <c r="H507" s="122" t="s">
        <v>777</v>
      </c>
      <c r="I507" s="312">
        <v>2020</v>
      </c>
      <c r="J507" s="122" t="s">
        <v>712</v>
      </c>
      <c r="K507" s="283">
        <v>25641</v>
      </c>
      <c r="L507" s="318">
        <v>-33.86327</v>
      </c>
      <c r="M507" s="318">
        <v>151.06660500000001</v>
      </c>
      <c r="O507">
        <f>INDEX('MEC - traffic congestion'!$M$145:$M$249,MATCH($D507,'MEC - traffic congestion'!$C$145:$C$249,0))</f>
        <v>0</v>
      </c>
      <c r="P507" t="str">
        <f t="shared" si="17"/>
        <v/>
      </c>
      <c r="Q507">
        <f t="shared" si="18"/>
        <v>1</v>
      </c>
      <c r="R507" s="195" t="str">
        <f t="shared" si="19"/>
        <v/>
      </c>
    </row>
    <row r="508" spans="3:18" x14ac:dyDescent="0.25">
      <c r="C508" s="294" t="s">
        <v>799</v>
      </c>
      <c r="D508" s="317">
        <v>28008</v>
      </c>
      <c r="E508" s="122" t="s">
        <v>800</v>
      </c>
      <c r="F508" s="122" t="s">
        <v>801</v>
      </c>
      <c r="G508" s="122" t="s">
        <v>778</v>
      </c>
      <c r="H508" s="122" t="s">
        <v>777</v>
      </c>
      <c r="I508" s="312">
        <v>2020</v>
      </c>
      <c r="J508" s="122" t="s">
        <v>712</v>
      </c>
      <c r="K508" s="283">
        <v>30153</v>
      </c>
      <c r="L508" s="318">
        <v>-33.86327</v>
      </c>
      <c r="M508" s="318">
        <v>151.06660500000001</v>
      </c>
      <c r="O508">
        <f>INDEX('MEC - traffic congestion'!$M$145:$M$249,MATCH($D508,'MEC - traffic congestion'!$C$145:$C$249,0))</f>
        <v>0</v>
      </c>
      <c r="P508" t="str">
        <f t="shared" si="17"/>
        <v/>
      </c>
      <c r="Q508">
        <f t="shared" si="18"/>
        <v>1</v>
      </c>
      <c r="R508" s="195" t="str">
        <f t="shared" si="19"/>
        <v/>
      </c>
    </row>
    <row r="509" spans="3:18" x14ac:dyDescent="0.25">
      <c r="C509" s="294" t="s">
        <v>799</v>
      </c>
      <c r="D509" s="317">
        <v>28008</v>
      </c>
      <c r="E509" s="122" t="s">
        <v>800</v>
      </c>
      <c r="F509" s="122" t="s">
        <v>801</v>
      </c>
      <c r="G509" s="122" t="s">
        <v>776</v>
      </c>
      <c r="H509" s="122" t="s">
        <v>777</v>
      </c>
      <c r="I509" s="312">
        <v>2020</v>
      </c>
      <c r="J509" s="122" t="s">
        <v>713</v>
      </c>
      <c r="K509" s="283">
        <v>35703</v>
      </c>
      <c r="L509" s="318">
        <v>-33.86327</v>
      </c>
      <c r="M509" s="318">
        <v>151.06660500000001</v>
      </c>
      <c r="O509">
        <f>INDEX('MEC - traffic congestion'!$M$145:$M$249,MATCH($D509,'MEC - traffic congestion'!$C$145:$C$249,0))</f>
        <v>0</v>
      </c>
      <c r="P509" t="str">
        <f t="shared" si="17"/>
        <v/>
      </c>
      <c r="Q509">
        <f t="shared" si="18"/>
        <v>1</v>
      </c>
      <c r="R509" s="195" t="str">
        <f t="shared" si="19"/>
        <v/>
      </c>
    </row>
    <row r="510" spans="3:18" x14ac:dyDescent="0.25">
      <c r="C510" s="294" t="s">
        <v>799</v>
      </c>
      <c r="D510" s="317">
        <v>28008</v>
      </c>
      <c r="E510" s="122" t="s">
        <v>800</v>
      </c>
      <c r="F510" s="122" t="s">
        <v>801</v>
      </c>
      <c r="G510" s="122" t="s">
        <v>778</v>
      </c>
      <c r="H510" s="122" t="s">
        <v>777</v>
      </c>
      <c r="I510" s="312">
        <v>2020</v>
      </c>
      <c r="J510" s="122" t="s">
        <v>713</v>
      </c>
      <c r="K510" s="283">
        <v>41471</v>
      </c>
      <c r="L510" s="318">
        <v>-33.86327</v>
      </c>
      <c r="M510" s="318">
        <v>151.06660500000001</v>
      </c>
      <c r="O510">
        <f>INDEX('MEC - traffic congestion'!$M$145:$M$249,MATCH($D510,'MEC - traffic congestion'!$C$145:$C$249,0))</f>
        <v>0</v>
      </c>
      <c r="P510" t="str">
        <f t="shared" si="17"/>
        <v/>
      </c>
      <c r="Q510">
        <f t="shared" si="18"/>
        <v>1</v>
      </c>
      <c r="R510" s="195" t="str">
        <f t="shared" si="19"/>
        <v/>
      </c>
    </row>
    <row r="511" spans="3:18" x14ac:dyDescent="0.25">
      <c r="C511" s="294" t="s">
        <v>799</v>
      </c>
      <c r="D511" s="317">
        <v>28008</v>
      </c>
      <c r="E511" s="122" t="s">
        <v>800</v>
      </c>
      <c r="F511" s="122" t="s">
        <v>801</v>
      </c>
      <c r="G511" s="122" t="s">
        <v>776</v>
      </c>
      <c r="H511" s="122" t="s">
        <v>777</v>
      </c>
      <c r="I511" s="312">
        <v>2021</v>
      </c>
      <c r="J511" s="122" t="s">
        <v>709</v>
      </c>
      <c r="K511" s="283">
        <v>9705</v>
      </c>
      <c r="L511" s="318">
        <v>-33.86327</v>
      </c>
      <c r="M511" s="318">
        <v>151.06660500000001</v>
      </c>
      <c r="O511">
        <f>INDEX('MEC - traffic congestion'!$M$145:$M$249,MATCH($D511,'MEC - traffic congestion'!$C$145:$C$249,0))</f>
        <v>0</v>
      </c>
      <c r="P511" t="str">
        <f t="shared" si="17"/>
        <v/>
      </c>
      <c r="Q511">
        <f t="shared" si="18"/>
        <v>1</v>
      </c>
      <c r="R511" s="195" t="str">
        <f t="shared" si="19"/>
        <v/>
      </c>
    </row>
    <row r="512" spans="3:18" x14ac:dyDescent="0.25">
      <c r="C512" s="294" t="s">
        <v>799</v>
      </c>
      <c r="D512" s="317">
        <v>28008</v>
      </c>
      <c r="E512" s="122" t="s">
        <v>800</v>
      </c>
      <c r="F512" s="122" t="s">
        <v>801</v>
      </c>
      <c r="G512" s="122" t="s">
        <v>778</v>
      </c>
      <c r="H512" s="122" t="s">
        <v>777</v>
      </c>
      <c r="I512" s="312">
        <v>2021</v>
      </c>
      <c r="J512" s="122" t="s">
        <v>709</v>
      </c>
      <c r="K512" s="283">
        <v>10059</v>
      </c>
      <c r="L512" s="318">
        <v>-33.86327</v>
      </c>
      <c r="M512" s="318">
        <v>151.06660500000001</v>
      </c>
      <c r="O512">
        <f>INDEX('MEC - traffic congestion'!$M$145:$M$249,MATCH($D512,'MEC - traffic congestion'!$C$145:$C$249,0))</f>
        <v>0</v>
      </c>
      <c r="P512" t="str">
        <f t="shared" si="17"/>
        <v/>
      </c>
      <c r="Q512">
        <f t="shared" si="18"/>
        <v>1</v>
      </c>
      <c r="R512" s="195" t="str">
        <f t="shared" si="19"/>
        <v/>
      </c>
    </row>
    <row r="513" spans="3:18" x14ac:dyDescent="0.25">
      <c r="C513" s="294" t="s">
        <v>799</v>
      </c>
      <c r="D513" s="317">
        <v>28008</v>
      </c>
      <c r="E513" s="122" t="s">
        <v>800</v>
      </c>
      <c r="F513" s="122" t="s">
        <v>801</v>
      </c>
      <c r="G513" s="122" t="s">
        <v>776</v>
      </c>
      <c r="H513" s="122" t="s">
        <v>777</v>
      </c>
      <c r="I513" s="312">
        <v>2021</v>
      </c>
      <c r="J513" s="122" t="s">
        <v>710</v>
      </c>
      <c r="K513" s="283">
        <v>20781</v>
      </c>
      <c r="L513" s="318">
        <v>-33.86327</v>
      </c>
      <c r="M513" s="318">
        <v>151.06660500000001</v>
      </c>
      <c r="O513">
        <f>INDEX('MEC - traffic congestion'!$M$145:$M$249,MATCH($D513,'MEC - traffic congestion'!$C$145:$C$249,0))</f>
        <v>0</v>
      </c>
      <c r="P513" t="str">
        <f t="shared" si="17"/>
        <v/>
      </c>
      <c r="Q513">
        <f t="shared" si="18"/>
        <v>1</v>
      </c>
      <c r="R513" s="195" t="str">
        <f t="shared" si="19"/>
        <v/>
      </c>
    </row>
    <row r="514" spans="3:18" x14ac:dyDescent="0.25">
      <c r="C514" s="294" t="s">
        <v>799</v>
      </c>
      <c r="D514" s="317">
        <v>28008</v>
      </c>
      <c r="E514" s="122" t="s">
        <v>800</v>
      </c>
      <c r="F514" s="122" t="s">
        <v>801</v>
      </c>
      <c r="G514" s="122" t="s">
        <v>778</v>
      </c>
      <c r="H514" s="122" t="s">
        <v>777</v>
      </c>
      <c r="I514" s="312">
        <v>2021</v>
      </c>
      <c r="J514" s="122" t="s">
        <v>710</v>
      </c>
      <c r="K514" s="283">
        <v>22310</v>
      </c>
      <c r="L514" s="318">
        <v>-33.86327</v>
      </c>
      <c r="M514" s="318">
        <v>151.06660500000001</v>
      </c>
      <c r="O514">
        <f>INDEX('MEC - traffic congestion'!$M$145:$M$249,MATCH($D514,'MEC - traffic congestion'!$C$145:$C$249,0))</f>
        <v>0</v>
      </c>
      <c r="P514" t="str">
        <f t="shared" si="17"/>
        <v/>
      </c>
      <c r="Q514">
        <f t="shared" si="18"/>
        <v>1</v>
      </c>
      <c r="R514" s="195" t="str">
        <f t="shared" si="19"/>
        <v/>
      </c>
    </row>
    <row r="515" spans="3:18" x14ac:dyDescent="0.25">
      <c r="C515" s="294" t="s">
        <v>799</v>
      </c>
      <c r="D515" s="317">
        <v>28008</v>
      </c>
      <c r="E515" s="122" t="s">
        <v>800</v>
      </c>
      <c r="F515" s="122" t="s">
        <v>801</v>
      </c>
      <c r="G515" s="122" t="s">
        <v>776</v>
      </c>
      <c r="H515" s="122" t="s">
        <v>777</v>
      </c>
      <c r="I515" s="312">
        <v>2021</v>
      </c>
      <c r="J515" s="122" t="s">
        <v>711</v>
      </c>
      <c r="K515" s="283">
        <v>8977</v>
      </c>
      <c r="L515" s="318">
        <v>-33.86327</v>
      </c>
      <c r="M515" s="318">
        <v>151.06660500000001</v>
      </c>
      <c r="O515">
        <f>INDEX('MEC - traffic congestion'!$M$145:$M$249,MATCH($D515,'MEC - traffic congestion'!$C$145:$C$249,0))</f>
        <v>0</v>
      </c>
      <c r="P515" t="str">
        <f t="shared" si="17"/>
        <v/>
      </c>
      <c r="Q515">
        <f t="shared" si="18"/>
        <v>1</v>
      </c>
      <c r="R515" s="195" t="str">
        <f t="shared" si="19"/>
        <v/>
      </c>
    </row>
    <row r="516" spans="3:18" x14ac:dyDescent="0.25">
      <c r="C516" s="294" t="s">
        <v>799</v>
      </c>
      <c r="D516" s="317">
        <v>28008</v>
      </c>
      <c r="E516" s="122" t="s">
        <v>800</v>
      </c>
      <c r="F516" s="122" t="s">
        <v>801</v>
      </c>
      <c r="G516" s="122" t="s">
        <v>778</v>
      </c>
      <c r="H516" s="122" t="s">
        <v>777</v>
      </c>
      <c r="I516" s="312">
        <v>2021</v>
      </c>
      <c r="J516" s="122" t="s">
        <v>711</v>
      </c>
      <c r="K516" s="283">
        <v>10445</v>
      </c>
      <c r="L516" s="318">
        <v>-33.86327</v>
      </c>
      <c r="M516" s="318">
        <v>151.06660500000001</v>
      </c>
      <c r="O516">
        <f>INDEX('MEC - traffic congestion'!$M$145:$M$249,MATCH($D516,'MEC - traffic congestion'!$C$145:$C$249,0))</f>
        <v>0</v>
      </c>
      <c r="P516" t="str">
        <f t="shared" si="17"/>
        <v/>
      </c>
      <c r="Q516">
        <f t="shared" si="18"/>
        <v>1</v>
      </c>
      <c r="R516" s="195" t="str">
        <f t="shared" si="19"/>
        <v/>
      </c>
    </row>
    <row r="517" spans="3:18" x14ac:dyDescent="0.25">
      <c r="C517" s="294" t="s">
        <v>799</v>
      </c>
      <c r="D517" s="317">
        <v>28008</v>
      </c>
      <c r="E517" s="122" t="s">
        <v>800</v>
      </c>
      <c r="F517" s="122" t="s">
        <v>801</v>
      </c>
      <c r="G517" s="122" t="s">
        <v>776</v>
      </c>
      <c r="H517" s="122" t="s">
        <v>777</v>
      </c>
      <c r="I517" s="312">
        <v>2021</v>
      </c>
      <c r="J517" s="122" t="s">
        <v>713</v>
      </c>
      <c r="K517" s="283">
        <v>33100</v>
      </c>
      <c r="L517" s="318">
        <v>-33.86327</v>
      </c>
      <c r="M517" s="318">
        <v>151.06660500000001</v>
      </c>
      <c r="O517">
        <f>INDEX('MEC - traffic congestion'!$M$145:$M$249,MATCH($D517,'MEC - traffic congestion'!$C$145:$C$249,0))</f>
        <v>0</v>
      </c>
      <c r="P517" t="str">
        <f t="shared" si="17"/>
        <v/>
      </c>
      <c r="Q517">
        <f t="shared" si="18"/>
        <v>1</v>
      </c>
      <c r="R517" s="195" t="str">
        <f t="shared" si="19"/>
        <v/>
      </c>
    </row>
    <row r="518" spans="3:18" x14ac:dyDescent="0.25">
      <c r="C518" s="294" t="s">
        <v>799</v>
      </c>
      <c r="D518" s="317">
        <v>28008</v>
      </c>
      <c r="E518" s="122" t="s">
        <v>800</v>
      </c>
      <c r="F518" s="122" t="s">
        <v>801</v>
      </c>
      <c r="G518" s="122" t="s">
        <v>778</v>
      </c>
      <c r="H518" s="122" t="s">
        <v>777</v>
      </c>
      <c r="I518" s="312">
        <v>2021</v>
      </c>
      <c r="J518" s="122" t="s">
        <v>713</v>
      </c>
      <c r="K518" s="283">
        <v>36971</v>
      </c>
      <c r="L518" s="318">
        <v>-33.86327</v>
      </c>
      <c r="M518" s="318">
        <v>151.06660500000001</v>
      </c>
      <c r="O518">
        <f>INDEX('MEC - traffic congestion'!$M$145:$M$249,MATCH($D518,'MEC - traffic congestion'!$C$145:$C$249,0))</f>
        <v>0</v>
      </c>
      <c r="P518" t="str">
        <f t="shared" si="17"/>
        <v/>
      </c>
      <c r="Q518">
        <f t="shared" si="18"/>
        <v>1</v>
      </c>
      <c r="R518" s="195" t="str">
        <f t="shared" si="19"/>
        <v/>
      </c>
    </row>
    <row r="519" spans="3:18" x14ac:dyDescent="0.25">
      <c r="C519" s="294" t="s">
        <v>799</v>
      </c>
      <c r="D519" s="317">
        <v>28008</v>
      </c>
      <c r="E519" s="122" t="s">
        <v>800</v>
      </c>
      <c r="F519" s="122" t="s">
        <v>801</v>
      </c>
      <c r="G519" s="122" t="s">
        <v>776</v>
      </c>
      <c r="H519" s="122" t="s">
        <v>777</v>
      </c>
      <c r="I519" s="312">
        <v>2022</v>
      </c>
      <c r="J519" s="122" t="s">
        <v>709</v>
      </c>
      <c r="K519" s="283">
        <v>9855</v>
      </c>
      <c r="L519" s="318">
        <v>-33.86327</v>
      </c>
      <c r="M519" s="318">
        <v>151.06660500000001</v>
      </c>
      <c r="O519">
        <f>INDEX('MEC - traffic congestion'!$M$145:$M$249,MATCH($D519,'MEC - traffic congestion'!$C$145:$C$249,0))</f>
        <v>0</v>
      </c>
      <c r="P519" t="str">
        <f t="shared" si="17"/>
        <v/>
      </c>
      <c r="Q519">
        <f t="shared" si="18"/>
        <v>1</v>
      </c>
      <c r="R519" s="195" t="str">
        <f t="shared" si="19"/>
        <v/>
      </c>
    </row>
    <row r="520" spans="3:18" x14ac:dyDescent="0.25">
      <c r="C520" s="294" t="s">
        <v>799</v>
      </c>
      <c r="D520" s="317">
        <v>28008</v>
      </c>
      <c r="E520" s="122" t="s">
        <v>800</v>
      </c>
      <c r="F520" s="122" t="s">
        <v>801</v>
      </c>
      <c r="G520" s="122" t="s">
        <v>778</v>
      </c>
      <c r="H520" s="122" t="s">
        <v>777</v>
      </c>
      <c r="I520" s="312">
        <v>2022</v>
      </c>
      <c r="J520" s="122" t="s">
        <v>709</v>
      </c>
      <c r="K520" s="283">
        <v>10377</v>
      </c>
      <c r="L520" s="318">
        <v>-33.86327</v>
      </c>
      <c r="M520" s="318">
        <v>151.06660500000001</v>
      </c>
      <c r="O520">
        <f>INDEX('MEC - traffic congestion'!$M$145:$M$249,MATCH($D520,'MEC - traffic congestion'!$C$145:$C$249,0))</f>
        <v>0</v>
      </c>
      <c r="P520" t="str">
        <f t="shared" si="17"/>
        <v/>
      </c>
      <c r="Q520">
        <f t="shared" si="18"/>
        <v>1</v>
      </c>
      <c r="R520" s="195" t="str">
        <f t="shared" si="19"/>
        <v/>
      </c>
    </row>
    <row r="521" spans="3:18" x14ac:dyDescent="0.25">
      <c r="C521" s="294" t="s">
        <v>799</v>
      </c>
      <c r="D521" s="317">
        <v>28008</v>
      </c>
      <c r="E521" s="122" t="s">
        <v>800</v>
      </c>
      <c r="F521" s="122" t="s">
        <v>801</v>
      </c>
      <c r="G521" s="122" t="s">
        <v>776</v>
      </c>
      <c r="H521" s="122" t="s">
        <v>777</v>
      </c>
      <c r="I521" s="312">
        <v>2022</v>
      </c>
      <c r="J521" s="122" t="s">
        <v>710</v>
      </c>
      <c r="K521" s="283">
        <v>21468</v>
      </c>
      <c r="L521" s="318">
        <v>-33.86327</v>
      </c>
      <c r="M521" s="318">
        <v>151.06660500000001</v>
      </c>
      <c r="O521">
        <f>INDEX('MEC - traffic congestion'!$M$145:$M$249,MATCH($D521,'MEC - traffic congestion'!$C$145:$C$249,0))</f>
        <v>0</v>
      </c>
      <c r="P521" t="str">
        <f t="shared" si="17"/>
        <v/>
      </c>
      <c r="Q521">
        <f t="shared" si="18"/>
        <v>1</v>
      </c>
      <c r="R521" s="195" t="str">
        <f t="shared" si="19"/>
        <v/>
      </c>
    </row>
    <row r="522" spans="3:18" x14ac:dyDescent="0.25">
      <c r="C522" s="294" t="s">
        <v>799</v>
      </c>
      <c r="D522" s="317">
        <v>28008</v>
      </c>
      <c r="E522" s="122" t="s">
        <v>800</v>
      </c>
      <c r="F522" s="122" t="s">
        <v>801</v>
      </c>
      <c r="G522" s="122" t="s">
        <v>778</v>
      </c>
      <c r="H522" s="122" t="s">
        <v>777</v>
      </c>
      <c r="I522" s="312">
        <v>2022</v>
      </c>
      <c r="J522" s="122" t="s">
        <v>710</v>
      </c>
      <c r="K522" s="283">
        <v>23080</v>
      </c>
      <c r="L522" s="318">
        <v>-33.86327</v>
      </c>
      <c r="M522" s="318">
        <v>151.06660500000001</v>
      </c>
      <c r="O522">
        <f>INDEX('MEC - traffic congestion'!$M$145:$M$249,MATCH($D522,'MEC - traffic congestion'!$C$145:$C$249,0))</f>
        <v>0</v>
      </c>
      <c r="P522" t="str">
        <f t="shared" si="17"/>
        <v/>
      </c>
      <c r="Q522">
        <f t="shared" si="18"/>
        <v>1</v>
      </c>
      <c r="R522" s="195" t="str">
        <f t="shared" si="19"/>
        <v/>
      </c>
    </row>
    <row r="523" spans="3:18" x14ac:dyDescent="0.25">
      <c r="C523" s="294" t="s">
        <v>799</v>
      </c>
      <c r="D523" s="317">
        <v>28008</v>
      </c>
      <c r="E523" s="122" t="s">
        <v>800</v>
      </c>
      <c r="F523" s="122" t="s">
        <v>801</v>
      </c>
      <c r="G523" s="122" t="s">
        <v>776</v>
      </c>
      <c r="H523" s="122" t="s">
        <v>777</v>
      </c>
      <c r="I523" s="312">
        <v>2022</v>
      </c>
      <c r="J523" s="122" t="s">
        <v>711</v>
      </c>
      <c r="K523" s="283">
        <v>9425</v>
      </c>
      <c r="L523" s="318">
        <v>-33.86327</v>
      </c>
      <c r="M523" s="318">
        <v>151.06660500000001</v>
      </c>
      <c r="O523">
        <f>INDEX('MEC - traffic congestion'!$M$145:$M$249,MATCH($D523,'MEC - traffic congestion'!$C$145:$C$249,0))</f>
        <v>0</v>
      </c>
      <c r="P523" t="str">
        <f t="shared" si="17"/>
        <v/>
      </c>
      <c r="Q523">
        <f t="shared" si="18"/>
        <v>1</v>
      </c>
      <c r="R523" s="195" t="str">
        <f t="shared" si="19"/>
        <v/>
      </c>
    </row>
    <row r="524" spans="3:18" x14ac:dyDescent="0.25">
      <c r="C524" s="294" t="s">
        <v>799</v>
      </c>
      <c r="D524" s="317">
        <v>28008</v>
      </c>
      <c r="E524" s="122" t="s">
        <v>800</v>
      </c>
      <c r="F524" s="122" t="s">
        <v>801</v>
      </c>
      <c r="G524" s="122" t="s">
        <v>778</v>
      </c>
      <c r="H524" s="122" t="s">
        <v>777</v>
      </c>
      <c r="I524" s="312">
        <v>2022</v>
      </c>
      <c r="J524" s="122" t="s">
        <v>711</v>
      </c>
      <c r="K524" s="283">
        <v>10827</v>
      </c>
      <c r="L524" s="318">
        <v>-33.86327</v>
      </c>
      <c r="M524" s="318">
        <v>151.06660500000001</v>
      </c>
      <c r="O524">
        <f>INDEX('MEC - traffic congestion'!$M$145:$M$249,MATCH($D524,'MEC - traffic congestion'!$C$145:$C$249,0))</f>
        <v>0</v>
      </c>
      <c r="P524" t="str">
        <f t="shared" si="17"/>
        <v/>
      </c>
      <c r="Q524">
        <f t="shared" si="18"/>
        <v>1</v>
      </c>
      <c r="R524" s="195" t="str">
        <f t="shared" si="19"/>
        <v/>
      </c>
    </row>
    <row r="525" spans="3:18" x14ac:dyDescent="0.25">
      <c r="C525" s="294" t="s">
        <v>799</v>
      </c>
      <c r="D525" s="317">
        <v>28008</v>
      </c>
      <c r="E525" s="122" t="s">
        <v>800</v>
      </c>
      <c r="F525" s="122" t="s">
        <v>801</v>
      </c>
      <c r="G525" s="122" t="s">
        <v>776</v>
      </c>
      <c r="H525" s="122" t="s">
        <v>777</v>
      </c>
      <c r="I525" s="312">
        <v>2022</v>
      </c>
      <c r="J525" s="122" t="s">
        <v>713</v>
      </c>
      <c r="K525" s="283">
        <v>38095</v>
      </c>
      <c r="L525" s="318">
        <v>-33.86327</v>
      </c>
      <c r="M525" s="318">
        <v>151.06660500000001</v>
      </c>
      <c r="O525">
        <f>INDEX('MEC - traffic congestion'!$M$145:$M$249,MATCH($D525,'MEC - traffic congestion'!$C$145:$C$249,0))</f>
        <v>0</v>
      </c>
      <c r="P525" t="str">
        <f t="shared" si="17"/>
        <v/>
      </c>
      <c r="Q525">
        <f t="shared" si="18"/>
        <v>1</v>
      </c>
      <c r="R525" s="195" t="str">
        <f t="shared" si="19"/>
        <v/>
      </c>
    </row>
    <row r="526" spans="3:18" x14ac:dyDescent="0.25">
      <c r="C526" s="294" t="s">
        <v>799</v>
      </c>
      <c r="D526" s="317">
        <v>28008</v>
      </c>
      <c r="E526" s="122" t="s">
        <v>800</v>
      </c>
      <c r="F526" s="122" t="s">
        <v>801</v>
      </c>
      <c r="G526" s="122" t="s">
        <v>778</v>
      </c>
      <c r="H526" s="122" t="s">
        <v>777</v>
      </c>
      <c r="I526" s="312">
        <v>2022</v>
      </c>
      <c r="J526" s="122" t="s">
        <v>713</v>
      </c>
      <c r="K526" s="283">
        <v>42918</v>
      </c>
      <c r="L526" s="318">
        <v>-33.86327</v>
      </c>
      <c r="M526" s="318">
        <v>151.06660500000001</v>
      </c>
      <c r="O526">
        <f>INDEX('MEC - traffic congestion'!$M$145:$M$249,MATCH($D526,'MEC - traffic congestion'!$C$145:$C$249,0))</f>
        <v>0</v>
      </c>
      <c r="P526" t="str">
        <f t="shared" si="17"/>
        <v/>
      </c>
      <c r="Q526">
        <f t="shared" si="18"/>
        <v>1</v>
      </c>
      <c r="R526" s="195" t="str">
        <f t="shared" si="19"/>
        <v/>
      </c>
    </row>
    <row r="527" spans="3:18" x14ac:dyDescent="0.25">
      <c r="C527" s="294" t="s">
        <v>799</v>
      </c>
      <c r="D527" s="317">
        <v>28008</v>
      </c>
      <c r="E527" s="122" t="s">
        <v>800</v>
      </c>
      <c r="F527" s="122" t="s">
        <v>801</v>
      </c>
      <c r="G527" s="122" t="s">
        <v>776</v>
      </c>
      <c r="H527" s="122" t="s">
        <v>777</v>
      </c>
      <c r="I527" s="312">
        <v>2024</v>
      </c>
      <c r="J527" s="122" t="s">
        <v>709</v>
      </c>
      <c r="K527" s="283">
        <v>10318</v>
      </c>
      <c r="L527" s="318">
        <v>-33.86327</v>
      </c>
      <c r="M527" s="318">
        <v>151.06660500000001</v>
      </c>
      <c r="O527">
        <f>INDEX('MEC - traffic congestion'!$M$145:$M$249,MATCH($D527,'MEC - traffic congestion'!$C$145:$C$249,0))</f>
        <v>0</v>
      </c>
      <c r="P527" t="str">
        <f t="shared" si="17"/>
        <v/>
      </c>
      <c r="Q527">
        <f t="shared" si="18"/>
        <v>1</v>
      </c>
      <c r="R527" s="195" t="str">
        <f t="shared" si="19"/>
        <v/>
      </c>
    </row>
    <row r="528" spans="3:18" x14ac:dyDescent="0.25">
      <c r="C528" s="294" t="s">
        <v>799</v>
      </c>
      <c r="D528" s="317">
        <v>28008</v>
      </c>
      <c r="E528" s="122" t="s">
        <v>800</v>
      </c>
      <c r="F528" s="122" t="s">
        <v>801</v>
      </c>
      <c r="G528" s="122" t="s">
        <v>778</v>
      </c>
      <c r="H528" s="122" t="s">
        <v>777</v>
      </c>
      <c r="I528" s="312">
        <v>2024</v>
      </c>
      <c r="J528" s="122" t="s">
        <v>709</v>
      </c>
      <c r="K528" s="283">
        <v>8436</v>
      </c>
      <c r="L528" s="318">
        <v>-33.86327</v>
      </c>
      <c r="M528" s="318">
        <v>151.06660500000001</v>
      </c>
      <c r="O528">
        <f>INDEX('MEC - traffic congestion'!$M$145:$M$249,MATCH($D528,'MEC - traffic congestion'!$C$145:$C$249,0))</f>
        <v>0</v>
      </c>
      <c r="P528" t="str">
        <f t="shared" si="17"/>
        <v/>
      </c>
      <c r="Q528">
        <f t="shared" si="18"/>
        <v>1</v>
      </c>
      <c r="R528" s="195" t="str">
        <f t="shared" si="19"/>
        <v/>
      </c>
    </row>
    <row r="529" spans="3:18" x14ac:dyDescent="0.25">
      <c r="C529" s="294" t="s">
        <v>799</v>
      </c>
      <c r="D529" s="317">
        <v>28008</v>
      </c>
      <c r="E529" s="122" t="s">
        <v>800</v>
      </c>
      <c r="F529" s="122" t="s">
        <v>801</v>
      </c>
      <c r="G529" s="122" t="s">
        <v>776</v>
      </c>
      <c r="H529" s="122" t="s">
        <v>777</v>
      </c>
      <c r="I529" s="312">
        <v>2024</v>
      </c>
      <c r="J529" s="122" t="s">
        <v>710</v>
      </c>
      <c r="K529" s="283">
        <v>22154</v>
      </c>
      <c r="L529" s="318">
        <v>-33.86327</v>
      </c>
      <c r="M529" s="318">
        <v>151.06660500000001</v>
      </c>
      <c r="O529">
        <f>INDEX('MEC - traffic congestion'!$M$145:$M$249,MATCH($D529,'MEC - traffic congestion'!$C$145:$C$249,0))</f>
        <v>0</v>
      </c>
      <c r="P529" t="str">
        <f t="shared" si="17"/>
        <v/>
      </c>
      <c r="Q529">
        <f t="shared" si="18"/>
        <v>1</v>
      </c>
      <c r="R529" s="195" t="str">
        <f t="shared" si="19"/>
        <v/>
      </c>
    </row>
    <row r="530" spans="3:18" x14ac:dyDescent="0.25">
      <c r="C530" s="294" t="s">
        <v>799</v>
      </c>
      <c r="D530" s="317">
        <v>28008</v>
      </c>
      <c r="E530" s="122" t="s">
        <v>800</v>
      </c>
      <c r="F530" s="122" t="s">
        <v>801</v>
      </c>
      <c r="G530" s="122" t="s">
        <v>778</v>
      </c>
      <c r="H530" s="122" t="s">
        <v>777</v>
      </c>
      <c r="I530" s="312">
        <v>2024</v>
      </c>
      <c r="J530" s="122" t="s">
        <v>710</v>
      </c>
      <c r="K530" s="283">
        <v>19727</v>
      </c>
      <c r="L530" s="318">
        <v>-33.86327</v>
      </c>
      <c r="M530" s="318">
        <v>151.06660500000001</v>
      </c>
      <c r="O530">
        <f>INDEX('MEC - traffic congestion'!$M$145:$M$249,MATCH($D530,'MEC - traffic congestion'!$C$145:$C$249,0))</f>
        <v>0</v>
      </c>
      <c r="P530" t="str">
        <f t="shared" si="17"/>
        <v/>
      </c>
      <c r="Q530">
        <f t="shared" si="18"/>
        <v>1</v>
      </c>
      <c r="R530" s="195" t="str">
        <f t="shared" si="19"/>
        <v/>
      </c>
    </row>
    <row r="531" spans="3:18" x14ac:dyDescent="0.25">
      <c r="C531" s="294" t="s">
        <v>799</v>
      </c>
      <c r="D531" s="317">
        <v>28008</v>
      </c>
      <c r="E531" s="122" t="s">
        <v>800</v>
      </c>
      <c r="F531" s="122" t="s">
        <v>801</v>
      </c>
      <c r="G531" s="122" t="s">
        <v>776</v>
      </c>
      <c r="H531" s="122" t="s">
        <v>777</v>
      </c>
      <c r="I531" s="312">
        <v>2024</v>
      </c>
      <c r="J531" s="122" t="s">
        <v>711</v>
      </c>
      <c r="K531" s="283">
        <v>10030</v>
      </c>
      <c r="L531" s="318">
        <v>-33.86327</v>
      </c>
      <c r="M531" s="318">
        <v>151.06660500000001</v>
      </c>
      <c r="O531">
        <f>INDEX('MEC - traffic congestion'!$M$145:$M$249,MATCH($D531,'MEC - traffic congestion'!$C$145:$C$249,0))</f>
        <v>0</v>
      </c>
      <c r="P531" t="str">
        <f t="shared" si="17"/>
        <v/>
      </c>
      <c r="Q531">
        <f t="shared" si="18"/>
        <v>1</v>
      </c>
      <c r="R531" s="195" t="str">
        <f t="shared" si="19"/>
        <v/>
      </c>
    </row>
    <row r="532" spans="3:18" x14ac:dyDescent="0.25">
      <c r="C532" s="294" t="s">
        <v>799</v>
      </c>
      <c r="D532" s="317">
        <v>28008</v>
      </c>
      <c r="E532" s="122" t="s">
        <v>800</v>
      </c>
      <c r="F532" s="122" t="s">
        <v>801</v>
      </c>
      <c r="G532" s="122" t="s">
        <v>778</v>
      </c>
      <c r="H532" s="122" t="s">
        <v>777</v>
      </c>
      <c r="I532" s="312">
        <v>2024</v>
      </c>
      <c r="J532" s="122" t="s">
        <v>711</v>
      </c>
      <c r="K532" s="283">
        <v>9205</v>
      </c>
      <c r="L532" s="318">
        <v>-33.86327</v>
      </c>
      <c r="M532" s="318">
        <v>151.06660500000001</v>
      </c>
      <c r="O532">
        <f>INDEX('MEC - traffic congestion'!$M$145:$M$249,MATCH($D532,'MEC - traffic congestion'!$C$145:$C$249,0))</f>
        <v>0</v>
      </c>
      <c r="P532" t="str">
        <f t="shared" si="17"/>
        <v/>
      </c>
      <c r="Q532">
        <f t="shared" si="18"/>
        <v>1</v>
      </c>
      <c r="R532" s="195" t="str">
        <f t="shared" si="19"/>
        <v/>
      </c>
    </row>
    <row r="533" spans="3:18" x14ac:dyDescent="0.25">
      <c r="C533" s="294" t="s">
        <v>799</v>
      </c>
      <c r="D533" s="317">
        <v>28008</v>
      </c>
      <c r="E533" s="122" t="s">
        <v>800</v>
      </c>
      <c r="F533" s="122" t="s">
        <v>801</v>
      </c>
      <c r="G533" s="122" t="s">
        <v>776</v>
      </c>
      <c r="H533" s="122" t="s">
        <v>777</v>
      </c>
      <c r="I533" s="312">
        <v>2024</v>
      </c>
      <c r="J533" s="122" t="s">
        <v>713</v>
      </c>
      <c r="K533" s="283">
        <v>39147</v>
      </c>
      <c r="L533" s="318">
        <v>-33.86327</v>
      </c>
      <c r="M533" s="318">
        <v>151.06660500000001</v>
      </c>
      <c r="O533">
        <f>INDEX('MEC - traffic congestion'!$M$145:$M$249,MATCH($D533,'MEC - traffic congestion'!$C$145:$C$249,0))</f>
        <v>0</v>
      </c>
      <c r="P533" t="str">
        <f t="shared" ref="P533:P596" si="20">IF($O533=1,$I533&amp;$J533,"")</f>
        <v/>
      </c>
      <c r="Q533">
        <f t="shared" ref="Q533:Q596" si="21">IF(AND($M533&gt;150.246,AND($L533&gt;-34.397,$L533&lt;-32.662)),1,0)</f>
        <v>1</v>
      </c>
      <c r="R533" s="195" t="str">
        <f t="shared" ref="R533:R596" si="22">IF($O533=1,$I533&amp;$H533,"")</f>
        <v/>
      </c>
    </row>
    <row r="534" spans="3:18" x14ac:dyDescent="0.25">
      <c r="C534" s="294" t="s">
        <v>799</v>
      </c>
      <c r="D534" s="317">
        <v>28008</v>
      </c>
      <c r="E534" s="122" t="s">
        <v>800</v>
      </c>
      <c r="F534" s="122" t="s">
        <v>801</v>
      </c>
      <c r="G534" s="122" t="s">
        <v>778</v>
      </c>
      <c r="H534" s="122" t="s">
        <v>777</v>
      </c>
      <c r="I534" s="312">
        <v>2024</v>
      </c>
      <c r="J534" s="122" t="s">
        <v>713</v>
      </c>
      <c r="K534" s="283">
        <v>36150</v>
      </c>
      <c r="L534" s="318">
        <v>-33.86327</v>
      </c>
      <c r="M534" s="318">
        <v>151.06660500000001</v>
      </c>
      <c r="O534">
        <f>INDEX('MEC - traffic congestion'!$M$145:$M$249,MATCH($D534,'MEC - traffic congestion'!$C$145:$C$249,0))</f>
        <v>0</v>
      </c>
      <c r="P534" t="str">
        <f t="shared" si="20"/>
        <v/>
      </c>
      <c r="Q534">
        <f t="shared" si="21"/>
        <v>1</v>
      </c>
      <c r="R534" s="195" t="str">
        <f t="shared" si="22"/>
        <v/>
      </c>
    </row>
    <row r="535" spans="3:18" x14ac:dyDescent="0.25">
      <c r="C535" s="294" t="s">
        <v>802</v>
      </c>
      <c r="D535" s="317">
        <v>29005</v>
      </c>
      <c r="E535" s="122" t="s">
        <v>803</v>
      </c>
      <c r="F535" s="122" t="s">
        <v>804</v>
      </c>
      <c r="G535" s="122" t="s">
        <v>776</v>
      </c>
      <c r="H535" s="122" t="s">
        <v>777</v>
      </c>
      <c r="I535" s="312">
        <v>2018</v>
      </c>
      <c r="J535" s="122" t="s">
        <v>709</v>
      </c>
      <c r="K535" s="283">
        <v>10849</v>
      </c>
      <c r="L535" s="318">
        <v>-33.824696000000003</v>
      </c>
      <c r="M535" s="318">
        <v>151.09321600000001</v>
      </c>
      <c r="O535">
        <f>INDEX('MEC - traffic congestion'!$M$145:$M$249,MATCH($D535,'MEC - traffic congestion'!$C$145:$C$249,0))</f>
        <v>1</v>
      </c>
      <c r="P535" t="str">
        <f t="shared" si="20"/>
        <v>2018AM PEAK</v>
      </c>
      <c r="Q535">
        <f t="shared" si="21"/>
        <v>1</v>
      </c>
      <c r="R535" s="195" t="str">
        <f t="shared" si="22"/>
        <v>2018LIGHT VEHICLES</v>
      </c>
    </row>
    <row r="536" spans="3:18" x14ac:dyDescent="0.25">
      <c r="C536" s="294" t="s">
        <v>802</v>
      </c>
      <c r="D536" s="317">
        <v>29005</v>
      </c>
      <c r="E536" s="122" t="s">
        <v>803</v>
      </c>
      <c r="F536" s="122" t="s">
        <v>804</v>
      </c>
      <c r="G536" s="122" t="s">
        <v>778</v>
      </c>
      <c r="H536" s="122" t="s">
        <v>777</v>
      </c>
      <c r="I536" s="312">
        <v>2018</v>
      </c>
      <c r="J536" s="122" t="s">
        <v>709</v>
      </c>
      <c r="K536" s="283">
        <v>11753</v>
      </c>
      <c r="L536" s="318">
        <v>-33.824696000000003</v>
      </c>
      <c r="M536" s="318">
        <v>151.09321600000001</v>
      </c>
      <c r="O536">
        <f>INDEX('MEC - traffic congestion'!$M$145:$M$249,MATCH($D536,'MEC - traffic congestion'!$C$145:$C$249,0))</f>
        <v>1</v>
      </c>
      <c r="P536" t="str">
        <f t="shared" si="20"/>
        <v>2018AM PEAK</v>
      </c>
      <c r="Q536">
        <f t="shared" si="21"/>
        <v>1</v>
      </c>
      <c r="R536" s="195" t="str">
        <f t="shared" si="22"/>
        <v>2018LIGHT VEHICLES</v>
      </c>
    </row>
    <row r="537" spans="3:18" x14ac:dyDescent="0.25">
      <c r="C537" s="294" t="s">
        <v>802</v>
      </c>
      <c r="D537" s="317">
        <v>29005</v>
      </c>
      <c r="E537" s="122" t="s">
        <v>803</v>
      </c>
      <c r="F537" s="122" t="s">
        <v>804</v>
      </c>
      <c r="G537" s="122" t="s">
        <v>776</v>
      </c>
      <c r="H537" s="122" t="s">
        <v>777</v>
      </c>
      <c r="I537" s="312">
        <v>2018</v>
      </c>
      <c r="J537" s="122" t="s">
        <v>710</v>
      </c>
      <c r="K537" s="283">
        <v>21995</v>
      </c>
      <c r="L537" s="318">
        <v>-33.824696000000003</v>
      </c>
      <c r="M537" s="318">
        <v>151.09321600000001</v>
      </c>
      <c r="O537">
        <f>INDEX('MEC - traffic congestion'!$M$145:$M$249,MATCH($D537,'MEC - traffic congestion'!$C$145:$C$249,0))</f>
        <v>1</v>
      </c>
      <c r="P537" t="str">
        <f t="shared" si="20"/>
        <v>2018OFF PEAK</v>
      </c>
      <c r="Q537">
        <f t="shared" si="21"/>
        <v>1</v>
      </c>
      <c r="R537" s="195" t="str">
        <f t="shared" si="22"/>
        <v>2018LIGHT VEHICLES</v>
      </c>
    </row>
    <row r="538" spans="3:18" x14ac:dyDescent="0.25">
      <c r="C538" s="294" t="s">
        <v>802</v>
      </c>
      <c r="D538" s="317">
        <v>29005</v>
      </c>
      <c r="E538" s="122" t="s">
        <v>803</v>
      </c>
      <c r="F538" s="122" t="s">
        <v>804</v>
      </c>
      <c r="G538" s="122" t="s">
        <v>778</v>
      </c>
      <c r="H538" s="122" t="s">
        <v>777</v>
      </c>
      <c r="I538" s="312">
        <v>2018</v>
      </c>
      <c r="J538" s="122" t="s">
        <v>710</v>
      </c>
      <c r="K538" s="283">
        <v>23025</v>
      </c>
      <c r="L538" s="318">
        <v>-33.824696000000003</v>
      </c>
      <c r="M538" s="318">
        <v>151.09321600000001</v>
      </c>
      <c r="O538">
        <f>INDEX('MEC - traffic congestion'!$M$145:$M$249,MATCH($D538,'MEC - traffic congestion'!$C$145:$C$249,0))</f>
        <v>1</v>
      </c>
      <c r="P538" t="str">
        <f t="shared" si="20"/>
        <v>2018OFF PEAK</v>
      </c>
      <c r="Q538">
        <f t="shared" si="21"/>
        <v>1</v>
      </c>
      <c r="R538" s="195" t="str">
        <f t="shared" si="22"/>
        <v>2018LIGHT VEHICLES</v>
      </c>
    </row>
    <row r="539" spans="3:18" x14ac:dyDescent="0.25">
      <c r="C539" s="294" t="s">
        <v>802</v>
      </c>
      <c r="D539" s="317">
        <v>29005</v>
      </c>
      <c r="E539" s="122" t="s">
        <v>803</v>
      </c>
      <c r="F539" s="122" t="s">
        <v>804</v>
      </c>
      <c r="G539" s="122" t="s">
        <v>776</v>
      </c>
      <c r="H539" s="122" t="s">
        <v>777</v>
      </c>
      <c r="I539" s="312">
        <v>2018</v>
      </c>
      <c r="J539" s="122" t="s">
        <v>711</v>
      </c>
      <c r="K539" s="283">
        <v>12663</v>
      </c>
      <c r="L539" s="318">
        <v>-33.824696000000003</v>
      </c>
      <c r="M539" s="318">
        <v>151.09321600000001</v>
      </c>
      <c r="O539">
        <f>INDEX('MEC - traffic congestion'!$M$145:$M$249,MATCH($D539,'MEC - traffic congestion'!$C$145:$C$249,0))</f>
        <v>1</v>
      </c>
      <c r="P539" t="str">
        <f t="shared" si="20"/>
        <v>2018PM PEAK</v>
      </c>
      <c r="Q539">
        <f t="shared" si="21"/>
        <v>1</v>
      </c>
      <c r="R539" s="195" t="str">
        <f t="shared" si="22"/>
        <v>2018LIGHT VEHICLES</v>
      </c>
    </row>
    <row r="540" spans="3:18" x14ac:dyDescent="0.25">
      <c r="C540" s="294" t="s">
        <v>802</v>
      </c>
      <c r="D540" s="317">
        <v>29005</v>
      </c>
      <c r="E540" s="122" t="s">
        <v>803</v>
      </c>
      <c r="F540" s="122" t="s">
        <v>804</v>
      </c>
      <c r="G540" s="122" t="s">
        <v>778</v>
      </c>
      <c r="H540" s="122" t="s">
        <v>777</v>
      </c>
      <c r="I540" s="312">
        <v>2018</v>
      </c>
      <c r="J540" s="122" t="s">
        <v>711</v>
      </c>
      <c r="K540" s="283">
        <v>12495</v>
      </c>
      <c r="L540" s="318">
        <v>-33.824696000000003</v>
      </c>
      <c r="M540" s="318">
        <v>151.09321600000001</v>
      </c>
      <c r="O540">
        <f>INDEX('MEC - traffic congestion'!$M$145:$M$249,MATCH($D540,'MEC - traffic congestion'!$C$145:$C$249,0))</f>
        <v>1</v>
      </c>
      <c r="P540" t="str">
        <f t="shared" si="20"/>
        <v>2018PM PEAK</v>
      </c>
      <c r="Q540">
        <f t="shared" si="21"/>
        <v>1</v>
      </c>
      <c r="R540" s="195" t="str">
        <f t="shared" si="22"/>
        <v>2018LIGHT VEHICLES</v>
      </c>
    </row>
    <row r="541" spans="3:18" x14ac:dyDescent="0.25">
      <c r="C541" s="294" t="s">
        <v>802</v>
      </c>
      <c r="D541" s="317">
        <v>29005</v>
      </c>
      <c r="E541" s="122" t="s">
        <v>803</v>
      </c>
      <c r="F541" s="122" t="s">
        <v>804</v>
      </c>
      <c r="G541" s="122" t="s">
        <v>776</v>
      </c>
      <c r="H541" s="122" t="s">
        <v>777</v>
      </c>
      <c r="I541" s="312">
        <v>2018</v>
      </c>
      <c r="J541" s="122" t="s">
        <v>712</v>
      </c>
      <c r="K541" s="283">
        <v>34868</v>
      </c>
      <c r="L541" s="318">
        <v>-33.824696000000003</v>
      </c>
      <c r="M541" s="318">
        <v>151.09321600000001</v>
      </c>
      <c r="O541">
        <f>INDEX('MEC - traffic congestion'!$M$145:$M$249,MATCH($D541,'MEC - traffic congestion'!$C$145:$C$249,0))</f>
        <v>1</v>
      </c>
      <c r="P541" t="str">
        <f t="shared" si="20"/>
        <v>2018PUBLIC HOLIDAYS</v>
      </c>
      <c r="Q541">
        <f t="shared" si="21"/>
        <v>1</v>
      </c>
      <c r="R541" s="195" t="str">
        <f t="shared" si="22"/>
        <v>2018LIGHT VEHICLES</v>
      </c>
    </row>
    <row r="542" spans="3:18" x14ac:dyDescent="0.25">
      <c r="C542" s="294" t="s">
        <v>802</v>
      </c>
      <c r="D542" s="317">
        <v>29005</v>
      </c>
      <c r="E542" s="122" t="s">
        <v>803</v>
      </c>
      <c r="F542" s="122" t="s">
        <v>804</v>
      </c>
      <c r="G542" s="122" t="s">
        <v>778</v>
      </c>
      <c r="H542" s="122" t="s">
        <v>777</v>
      </c>
      <c r="I542" s="312">
        <v>2018</v>
      </c>
      <c r="J542" s="122" t="s">
        <v>712</v>
      </c>
      <c r="K542" s="283">
        <v>36841</v>
      </c>
      <c r="L542" s="318">
        <v>-33.824696000000003</v>
      </c>
      <c r="M542" s="318">
        <v>151.09321600000001</v>
      </c>
      <c r="O542">
        <f>INDEX('MEC - traffic congestion'!$M$145:$M$249,MATCH($D542,'MEC - traffic congestion'!$C$145:$C$249,0))</f>
        <v>1</v>
      </c>
      <c r="P542" t="str">
        <f t="shared" si="20"/>
        <v>2018PUBLIC HOLIDAYS</v>
      </c>
      <c r="Q542">
        <f t="shared" si="21"/>
        <v>1</v>
      </c>
      <c r="R542" s="195" t="str">
        <f t="shared" si="22"/>
        <v>2018LIGHT VEHICLES</v>
      </c>
    </row>
    <row r="543" spans="3:18" x14ac:dyDescent="0.25">
      <c r="C543" s="294" t="s">
        <v>802</v>
      </c>
      <c r="D543" s="317">
        <v>29005</v>
      </c>
      <c r="E543" s="122" t="s">
        <v>803</v>
      </c>
      <c r="F543" s="122" t="s">
        <v>804</v>
      </c>
      <c r="G543" s="122" t="s">
        <v>776</v>
      </c>
      <c r="H543" s="122" t="s">
        <v>777</v>
      </c>
      <c r="I543" s="312">
        <v>2018</v>
      </c>
      <c r="J543" s="122" t="s">
        <v>713</v>
      </c>
      <c r="K543" s="283">
        <v>44043</v>
      </c>
      <c r="L543" s="318">
        <v>-33.824696000000003</v>
      </c>
      <c r="M543" s="318">
        <v>151.09321600000001</v>
      </c>
      <c r="O543">
        <f>INDEX('MEC - traffic congestion'!$M$145:$M$249,MATCH($D543,'MEC - traffic congestion'!$C$145:$C$249,0))</f>
        <v>1</v>
      </c>
      <c r="P543" t="str">
        <f t="shared" si="20"/>
        <v>2018WEEKENDS</v>
      </c>
      <c r="Q543">
        <f t="shared" si="21"/>
        <v>1</v>
      </c>
      <c r="R543" s="195" t="str">
        <f t="shared" si="22"/>
        <v>2018LIGHT VEHICLES</v>
      </c>
    </row>
    <row r="544" spans="3:18" x14ac:dyDescent="0.25">
      <c r="C544" s="294" t="s">
        <v>802</v>
      </c>
      <c r="D544" s="317">
        <v>29005</v>
      </c>
      <c r="E544" s="122" t="s">
        <v>803</v>
      </c>
      <c r="F544" s="122" t="s">
        <v>804</v>
      </c>
      <c r="G544" s="122" t="s">
        <v>778</v>
      </c>
      <c r="H544" s="122" t="s">
        <v>777</v>
      </c>
      <c r="I544" s="312">
        <v>2018</v>
      </c>
      <c r="J544" s="122" t="s">
        <v>713</v>
      </c>
      <c r="K544" s="283">
        <v>45778</v>
      </c>
      <c r="L544" s="318">
        <v>-33.824696000000003</v>
      </c>
      <c r="M544" s="318">
        <v>151.09321600000001</v>
      </c>
      <c r="O544">
        <f>INDEX('MEC - traffic congestion'!$M$145:$M$249,MATCH($D544,'MEC - traffic congestion'!$C$145:$C$249,0))</f>
        <v>1</v>
      </c>
      <c r="P544" t="str">
        <f t="shared" si="20"/>
        <v>2018WEEKENDS</v>
      </c>
      <c r="Q544">
        <f t="shared" si="21"/>
        <v>1</v>
      </c>
      <c r="R544" s="195" t="str">
        <f t="shared" si="22"/>
        <v>2018LIGHT VEHICLES</v>
      </c>
    </row>
    <row r="545" spans="3:18" x14ac:dyDescent="0.25">
      <c r="C545" s="294" t="s">
        <v>802</v>
      </c>
      <c r="D545" s="317">
        <v>29005</v>
      </c>
      <c r="E545" s="122" t="s">
        <v>803</v>
      </c>
      <c r="F545" s="122" t="s">
        <v>804</v>
      </c>
      <c r="G545" s="122" t="s">
        <v>776</v>
      </c>
      <c r="H545" s="122" t="s">
        <v>777</v>
      </c>
      <c r="I545" s="312">
        <v>2019</v>
      </c>
      <c r="J545" s="122" t="s">
        <v>709</v>
      </c>
      <c r="K545" s="283">
        <v>10933</v>
      </c>
      <c r="L545" s="318">
        <v>-33.824696000000003</v>
      </c>
      <c r="M545" s="318">
        <v>151.09321600000001</v>
      </c>
      <c r="O545">
        <f>INDEX('MEC - traffic congestion'!$M$145:$M$249,MATCH($D545,'MEC - traffic congestion'!$C$145:$C$249,0))</f>
        <v>1</v>
      </c>
      <c r="P545" t="str">
        <f t="shared" si="20"/>
        <v>2019AM PEAK</v>
      </c>
      <c r="Q545">
        <f t="shared" si="21"/>
        <v>1</v>
      </c>
      <c r="R545" s="195" t="str">
        <f t="shared" si="22"/>
        <v>2019LIGHT VEHICLES</v>
      </c>
    </row>
    <row r="546" spans="3:18" x14ac:dyDescent="0.25">
      <c r="C546" s="294" t="s">
        <v>802</v>
      </c>
      <c r="D546" s="317">
        <v>29005</v>
      </c>
      <c r="E546" s="122" t="s">
        <v>803</v>
      </c>
      <c r="F546" s="122" t="s">
        <v>804</v>
      </c>
      <c r="G546" s="122" t="s">
        <v>778</v>
      </c>
      <c r="H546" s="122" t="s">
        <v>777</v>
      </c>
      <c r="I546" s="312">
        <v>2019</v>
      </c>
      <c r="J546" s="122" t="s">
        <v>709</v>
      </c>
      <c r="K546" s="283">
        <v>11594</v>
      </c>
      <c r="L546" s="318">
        <v>-33.824696000000003</v>
      </c>
      <c r="M546" s="318">
        <v>151.09321600000001</v>
      </c>
      <c r="O546">
        <f>INDEX('MEC - traffic congestion'!$M$145:$M$249,MATCH($D546,'MEC - traffic congestion'!$C$145:$C$249,0))</f>
        <v>1</v>
      </c>
      <c r="P546" t="str">
        <f t="shared" si="20"/>
        <v>2019AM PEAK</v>
      </c>
      <c r="Q546">
        <f t="shared" si="21"/>
        <v>1</v>
      </c>
      <c r="R546" s="195" t="str">
        <f t="shared" si="22"/>
        <v>2019LIGHT VEHICLES</v>
      </c>
    </row>
    <row r="547" spans="3:18" x14ac:dyDescent="0.25">
      <c r="C547" s="294" t="s">
        <v>802</v>
      </c>
      <c r="D547" s="317">
        <v>29005</v>
      </c>
      <c r="E547" s="122" t="s">
        <v>803</v>
      </c>
      <c r="F547" s="122" t="s">
        <v>804</v>
      </c>
      <c r="G547" s="122" t="s">
        <v>776</v>
      </c>
      <c r="H547" s="122" t="s">
        <v>777</v>
      </c>
      <c r="I547" s="312">
        <v>2019</v>
      </c>
      <c r="J547" s="122" t="s">
        <v>710</v>
      </c>
      <c r="K547" s="283">
        <v>21821</v>
      </c>
      <c r="L547" s="318">
        <v>-33.824696000000003</v>
      </c>
      <c r="M547" s="318">
        <v>151.09321600000001</v>
      </c>
      <c r="O547">
        <f>INDEX('MEC - traffic congestion'!$M$145:$M$249,MATCH($D547,'MEC - traffic congestion'!$C$145:$C$249,0))</f>
        <v>1</v>
      </c>
      <c r="P547" t="str">
        <f t="shared" si="20"/>
        <v>2019OFF PEAK</v>
      </c>
      <c r="Q547">
        <f t="shared" si="21"/>
        <v>1</v>
      </c>
      <c r="R547" s="195" t="str">
        <f t="shared" si="22"/>
        <v>2019LIGHT VEHICLES</v>
      </c>
    </row>
    <row r="548" spans="3:18" x14ac:dyDescent="0.25">
      <c r="C548" s="294" t="s">
        <v>802</v>
      </c>
      <c r="D548" s="317">
        <v>29005</v>
      </c>
      <c r="E548" s="122" t="s">
        <v>803</v>
      </c>
      <c r="F548" s="122" t="s">
        <v>804</v>
      </c>
      <c r="G548" s="122" t="s">
        <v>778</v>
      </c>
      <c r="H548" s="122" t="s">
        <v>777</v>
      </c>
      <c r="I548" s="312">
        <v>2019</v>
      </c>
      <c r="J548" s="122" t="s">
        <v>710</v>
      </c>
      <c r="K548" s="283">
        <v>22921</v>
      </c>
      <c r="L548" s="318">
        <v>-33.824696000000003</v>
      </c>
      <c r="M548" s="318">
        <v>151.09321600000001</v>
      </c>
      <c r="O548">
        <f>INDEX('MEC - traffic congestion'!$M$145:$M$249,MATCH($D548,'MEC - traffic congestion'!$C$145:$C$249,0))</f>
        <v>1</v>
      </c>
      <c r="P548" t="str">
        <f t="shared" si="20"/>
        <v>2019OFF PEAK</v>
      </c>
      <c r="Q548">
        <f t="shared" si="21"/>
        <v>1</v>
      </c>
      <c r="R548" s="195" t="str">
        <f t="shared" si="22"/>
        <v>2019LIGHT VEHICLES</v>
      </c>
    </row>
    <row r="549" spans="3:18" x14ac:dyDescent="0.25">
      <c r="C549" s="294" t="s">
        <v>802</v>
      </c>
      <c r="D549" s="317">
        <v>29005</v>
      </c>
      <c r="E549" s="122" t="s">
        <v>803</v>
      </c>
      <c r="F549" s="122" t="s">
        <v>804</v>
      </c>
      <c r="G549" s="122" t="s">
        <v>776</v>
      </c>
      <c r="H549" s="122" t="s">
        <v>777</v>
      </c>
      <c r="I549" s="312">
        <v>2019</v>
      </c>
      <c r="J549" s="122" t="s">
        <v>711</v>
      </c>
      <c r="K549" s="283">
        <v>12630</v>
      </c>
      <c r="L549" s="318">
        <v>-33.824696000000003</v>
      </c>
      <c r="M549" s="318">
        <v>151.09321600000001</v>
      </c>
      <c r="O549">
        <f>INDEX('MEC - traffic congestion'!$M$145:$M$249,MATCH($D549,'MEC - traffic congestion'!$C$145:$C$249,0))</f>
        <v>1</v>
      </c>
      <c r="P549" t="str">
        <f t="shared" si="20"/>
        <v>2019PM PEAK</v>
      </c>
      <c r="Q549">
        <f t="shared" si="21"/>
        <v>1</v>
      </c>
      <c r="R549" s="195" t="str">
        <f t="shared" si="22"/>
        <v>2019LIGHT VEHICLES</v>
      </c>
    </row>
    <row r="550" spans="3:18" x14ac:dyDescent="0.25">
      <c r="C550" s="294" t="s">
        <v>802</v>
      </c>
      <c r="D550" s="317">
        <v>29005</v>
      </c>
      <c r="E550" s="122" t="s">
        <v>803</v>
      </c>
      <c r="F550" s="122" t="s">
        <v>804</v>
      </c>
      <c r="G550" s="122" t="s">
        <v>778</v>
      </c>
      <c r="H550" s="122" t="s">
        <v>777</v>
      </c>
      <c r="I550" s="312">
        <v>2019</v>
      </c>
      <c r="J550" s="122" t="s">
        <v>711</v>
      </c>
      <c r="K550" s="283">
        <v>12516</v>
      </c>
      <c r="L550" s="318">
        <v>-33.824696000000003</v>
      </c>
      <c r="M550" s="318">
        <v>151.09321600000001</v>
      </c>
      <c r="O550">
        <f>INDEX('MEC - traffic congestion'!$M$145:$M$249,MATCH($D550,'MEC - traffic congestion'!$C$145:$C$249,0))</f>
        <v>1</v>
      </c>
      <c r="P550" t="str">
        <f t="shared" si="20"/>
        <v>2019PM PEAK</v>
      </c>
      <c r="Q550">
        <f t="shared" si="21"/>
        <v>1</v>
      </c>
      <c r="R550" s="195" t="str">
        <f t="shared" si="22"/>
        <v>2019LIGHT VEHICLES</v>
      </c>
    </row>
    <row r="551" spans="3:18" x14ac:dyDescent="0.25">
      <c r="C551" s="294" t="s">
        <v>802</v>
      </c>
      <c r="D551" s="317">
        <v>29005</v>
      </c>
      <c r="E551" s="122" t="s">
        <v>803</v>
      </c>
      <c r="F551" s="122" t="s">
        <v>804</v>
      </c>
      <c r="G551" s="122" t="s">
        <v>776</v>
      </c>
      <c r="H551" s="122" t="s">
        <v>777</v>
      </c>
      <c r="I551" s="312">
        <v>2019</v>
      </c>
      <c r="J551" s="122" t="s">
        <v>712</v>
      </c>
      <c r="K551" s="283">
        <v>35715</v>
      </c>
      <c r="L551" s="318">
        <v>-33.824696000000003</v>
      </c>
      <c r="M551" s="318">
        <v>151.09321600000001</v>
      </c>
      <c r="O551">
        <f>INDEX('MEC - traffic congestion'!$M$145:$M$249,MATCH($D551,'MEC - traffic congestion'!$C$145:$C$249,0))</f>
        <v>1</v>
      </c>
      <c r="P551" t="str">
        <f t="shared" si="20"/>
        <v>2019PUBLIC HOLIDAYS</v>
      </c>
      <c r="Q551">
        <f t="shared" si="21"/>
        <v>1</v>
      </c>
      <c r="R551" s="195" t="str">
        <f t="shared" si="22"/>
        <v>2019LIGHT VEHICLES</v>
      </c>
    </row>
    <row r="552" spans="3:18" x14ac:dyDescent="0.25">
      <c r="C552" s="294" t="s">
        <v>802</v>
      </c>
      <c r="D552" s="317">
        <v>29005</v>
      </c>
      <c r="E552" s="122" t="s">
        <v>803</v>
      </c>
      <c r="F552" s="122" t="s">
        <v>804</v>
      </c>
      <c r="G552" s="122" t="s">
        <v>778</v>
      </c>
      <c r="H552" s="122" t="s">
        <v>777</v>
      </c>
      <c r="I552" s="312">
        <v>2019</v>
      </c>
      <c r="J552" s="122" t="s">
        <v>712</v>
      </c>
      <c r="K552" s="283">
        <v>37321</v>
      </c>
      <c r="L552" s="318">
        <v>-33.824696000000003</v>
      </c>
      <c r="M552" s="318">
        <v>151.09321600000001</v>
      </c>
      <c r="O552">
        <f>INDEX('MEC - traffic congestion'!$M$145:$M$249,MATCH($D552,'MEC - traffic congestion'!$C$145:$C$249,0))</f>
        <v>1</v>
      </c>
      <c r="P552" t="str">
        <f t="shared" si="20"/>
        <v>2019PUBLIC HOLIDAYS</v>
      </c>
      <c r="Q552">
        <f t="shared" si="21"/>
        <v>1</v>
      </c>
      <c r="R552" s="195" t="str">
        <f t="shared" si="22"/>
        <v>2019LIGHT VEHICLES</v>
      </c>
    </row>
    <row r="553" spans="3:18" x14ac:dyDescent="0.25">
      <c r="C553" s="294" t="s">
        <v>802</v>
      </c>
      <c r="D553" s="317">
        <v>29005</v>
      </c>
      <c r="E553" s="122" t="s">
        <v>803</v>
      </c>
      <c r="F553" s="122" t="s">
        <v>804</v>
      </c>
      <c r="G553" s="122" t="s">
        <v>776</v>
      </c>
      <c r="H553" s="122" t="s">
        <v>777</v>
      </c>
      <c r="I553" s="312">
        <v>2019</v>
      </c>
      <c r="J553" s="122" t="s">
        <v>713</v>
      </c>
      <c r="K553" s="283">
        <v>43768</v>
      </c>
      <c r="L553" s="318">
        <v>-33.824696000000003</v>
      </c>
      <c r="M553" s="318">
        <v>151.09321600000001</v>
      </c>
      <c r="O553">
        <f>INDEX('MEC - traffic congestion'!$M$145:$M$249,MATCH($D553,'MEC - traffic congestion'!$C$145:$C$249,0))</f>
        <v>1</v>
      </c>
      <c r="P553" t="str">
        <f t="shared" si="20"/>
        <v>2019WEEKENDS</v>
      </c>
      <c r="Q553">
        <f t="shared" si="21"/>
        <v>1</v>
      </c>
      <c r="R553" s="195" t="str">
        <f t="shared" si="22"/>
        <v>2019LIGHT VEHICLES</v>
      </c>
    </row>
    <row r="554" spans="3:18" x14ac:dyDescent="0.25">
      <c r="C554" s="294" t="s">
        <v>802</v>
      </c>
      <c r="D554" s="317">
        <v>29005</v>
      </c>
      <c r="E554" s="122" t="s">
        <v>803</v>
      </c>
      <c r="F554" s="122" t="s">
        <v>804</v>
      </c>
      <c r="G554" s="122" t="s">
        <v>778</v>
      </c>
      <c r="H554" s="122" t="s">
        <v>777</v>
      </c>
      <c r="I554" s="312">
        <v>2019</v>
      </c>
      <c r="J554" s="122" t="s">
        <v>713</v>
      </c>
      <c r="K554" s="283">
        <v>45476</v>
      </c>
      <c r="L554" s="318">
        <v>-33.824696000000003</v>
      </c>
      <c r="M554" s="318">
        <v>151.09321600000001</v>
      </c>
      <c r="O554">
        <f>INDEX('MEC - traffic congestion'!$M$145:$M$249,MATCH($D554,'MEC - traffic congestion'!$C$145:$C$249,0))</f>
        <v>1</v>
      </c>
      <c r="P554" t="str">
        <f t="shared" si="20"/>
        <v>2019WEEKENDS</v>
      </c>
      <c r="Q554">
        <f t="shared" si="21"/>
        <v>1</v>
      </c>
      <c r="R554" s="195" t="str">
        <f t="shared" si="22"/>
        <v>2019LIGHT VEHICLES</v>
      </c>
    </row>
    <row r="555" spans="3:18" x14ac:dyDescent="0.25">
      <c r="C555" s="294" t="s">
        <v>802</v>
      </c>
      <c r="D555" s="317">
        <v>29005</v>
      </c>
      <c r="E555" s="122" t="s">
        <v>803</v>
      </c>
      <c r="F555" s="122" t="s">
        <v>804</v>
      </c>
      <c r="G555" s="122" t="s">
        <v>776</v>
      </c>
      <c r="H555" s="122" t="s">
        <v>777</v>
      </c>
      <c r="I555" s="312">
        <v>2020</v>
      </c>
      <c r="J555" s="122" t="s">
        <v>709</v>
      </c>
      <c r="K555" s="283">
        <v>9745</v>
      </c>
      <c r="L555" s="318">
        <v>-33.824696000000003</v>
      </c>
      <c r="M555" s="318">
        <v>151.09321600000001</v>
      </c>
      <c r="O555">
        <f>INDEX('MEC - traffic congestion'!$M$145:$M$249,MATCH($D555,'MEC - traffic congestion'!$C$145:$C$249,0))</f>
        <v>1</v>
      </c>
      <c r="P555" t="str">
        <f t="shared" si="20"/>
        <v>2020AM PEAK</v>
      </c>
      <c r="Q555">
        <f t="shared" si="21"/>
        <v>1</v>
      </c>
      <c r="R555" s="195" t="str">
        <f t="shared" si="22"/>
        <v>2020LIGHT VEHICLES</v>
      </c>
    </row>
    <row r="556" spans="3:18" x14ac:dyDescent="0.25">
      <c r="C556" s="294" t="s">
        <v>802</v>
      </c>
      <c r="D556" s="317">
        <v>29005</v>
      </c>
      <c r="E556" s="122" t="s">
        <v>803</v>
      </c>
      <c r="F556" s="122" t="s">
        <v>804</v>
      </c>
      <c r="G556" s="122" t="s">
        <v>778</v>
      </c>
      <c r="H556" s="122" t="s">
        <v>777</v>
      </c>
      <c r="I556" s="312">
        <v>2020</v>
      </c>
      <c r="J556" s="122" t="s">
        <v>709</v>
      </c>
      <c r="K556" s="283">
        <v>10209</v>
      </c>
      <c r="L556" s="318">
        <v>-33.824696000000003</v>
      </c>
      <c r="M556" s="318">
        <v>151.09321600000001</v>
      </c>
      <c r="O556">
        <f>INDEX('MEC - traffic congestion'!$M$145:$M$249,MATCH($D556,'MEC - traffic congestion'!$C$145:$C$249,0))</f>
        <v>1</v>
      </c>
      <c r="P556" t="str">
        <f t="shared" si="20"/>
        <v>2020AM PEAK</v>
      </c>
      <c r="Q556">
        <f t="shared" si="21"/>
        <v>1</v>
      </c>
      <c r="R556" s="195" t="str">
        <f t="shared" si="22"/>
        <v>2020LIGHT VEHICLES</v>
      </c>
    </row>
    <row r="557" spans="3:18" x14ac:dyDescent="0.25">
      <c r="C557" s="294" t="s">
        <v>802</v>
      </c>
      <c r="D557" s="317">
        <v>29005</v>
      </c>
      <c r="E557" s="122" t="s">
        <v>803</v>
      </c>
      <c r="F557" s="122" t="s">
        <v>804</v>
      </c>
      <c r="G557" s="122" t="s">
        <v>776</v>
      </c>
      <c r="H557" s="122" t="s">
        <v>777</v>
      </c>
      <c r="I557" s="312">
        <v>2020</v>
      </c>
      <c r="J557" s="122" t="s">
        <v>710</v>
      </c>
      <c r="K557" s="283">
        <v>19678</v>
      </c>
      <c r="L557" s="318">
        <v>-33.824696000000003</v>
      </c>
      <c r="M557" s="318">
        <v>151.09321600000001</v>
      </c>
      <c r="O557">
        <f>INDEX('MEC - traffic congestion'!$M$145:$M$249,MATCH($D557,'MEC - traffic congestion'!$C$145:$C$249,0))</f>
        <v>1</v>
      </c>
      <c r="P557" t="str">
        <f t="shared" si="20"/>
        <v>2020OFF PEAK</v>
      </c>
      <c r="Q557">
        <f t="shared" si="21"/>
        <v>1</v>
      </c>
      <c r="R557" s="195" t="str">
        <f t="shared" si="22"/>
        <v>2020LIGHT VEHICLES</v>
      </c>
    </row>
    <row r="558" spans="3:18" x14ac:dyDescent="0.25">
      <c r="C558" s="294" t="s">
        <v>802</v>
      </c>
      <c r="D558" s="317">
        <v>29005</v>
      </c>
      <c r="E558" s="122" t="s">
        <v>803</v>
      </c>
      <c r="F558" s="122" t="s">
        <v>804</v>
      </c>
      <c r="G558" s="122" t="s">
        <v>778</v>
      </c>
      <c r="H558" s="122" t="s">
        <v>777</v>
      </c>
      <c r="I558" s="312">
        <v>2020</v>
      </c>
      <c r="J558" s="122" t="s">
        <v>710</v>
      </c>
      <c r="K558" s="283">
        <v>20949</v>
      </c>
      <c r="L558" s="318">
        <v>-33.824696000000003</v>
      </c>
      <c r="M558" s="318">
        <v>151.09321600000001</v>
      </c>
      <c r="O558">
        <f>INDEX('MEC - traffic congestion'!$M$145:$M$249,MATCH($D558,'MEC - traffic congestion'!$C$145:$C$249,0))</f>
        <v>1</v>
      </c>
      <c r="P558" t="str">
        <f t="shared" si="20"/>
        <v>2020OFF PEAK</v>
      </c>
      <c r="Q558">
        <f t="shared" si="21"/>
        <v>1</v>
      </c>
      <c r="R558" s="195" t="str">
        <f t="shared" si="22"/>
        <v>2020LIGHT VEHICLES</v>
      </c>
    </row>
    <row r="559" spans="3:18" x14ac:dyDescent="0.25">
      <c r="C559" s="294" t="s">
        <v>802</v>
      </c>
      <c r="D559" s="317">
        <v>29005</v>
      </c>
      <c r="E559" s="122" t="s">
        <v>803</v>
      </c>
      <c r="F559" s="122" t="s">
        <v>804</v>
      </c>
      <c r="G559" s="122" t="s">
        <v>776</v>
      </c>
      <c r="H559" s="122" t="s">
        <v>777</v>
      </c>
      <c r="I559" s="312">
        <v>2020</v>
      </c>
      <c r="J559" s="122" t="s">
        <v>711</v>
      </c>
      <c r="K559" s="283">
        <v>11594</v>
      </c>
      <c r="L559" s="318">
        <v>-33.824696000000003</v>
      </c>
      <c r="M559" s="318">
        <v>151.09321600000001</v>
      </c>
      <c r="O559">
        <f>INDEX('MEC - traffic congestion'!$M$145:$M$249,MATCH($D559,'MEC - traffic congestion'!$C$145:$C$249,0))</f>
        <v>1</v>
      </c>
      <c r="P559" t="str">
        <f t="shared" si="20"/>
        <v>2020PM PEAK</v>
      </c>
      <c r="Q559">
        <f t="shared" si="21"/>
        <v>1</v>
      </c>
      <c r="R559" s="195" t="str">
        <f t="shared" si="22"/>
        <v>2020LIGHT VEHICLES</v>
      </c>
    </row>
    <row r="560" spans="3:18" x14ac:dyDescent="0.25">
      <c r="C560" s="294" t="s">
        <v>802</v>
      </c>
      <c r="D560" s="317">
        <v>29005</v>
      </c>
      <c r="E560" s="122" t="s">
        <v>803</v>
      </c>
      <c r="F560" s="122" t="s">
        <v>804</v>
      </c>
      <c r="G560" s="122" t="s">
        <v>778</v>
      </c>
      <c r="H560" s="122" t="s">
        <v>777</v>
      </c>
      <c r="I560" s="312">
        <v>2020</v>
      </c>
      <c r="J560" s="122" t="s">
        <v>711</v>
      </c>
      <c r="K560" s="283">
        <v>12423</v>
      </c>
      <c r="L560" s="318">
        <v>-33.824696000000003</v>
      </c>
      <c r="M560" s="318">
        <v>151.09321600000001</v>
      </c>
      <c r="O560">
        <f>INDEX('MEC - traffic congestion'!$M$145:$M$249,MATCH($D560,'MEC - traffic congestion'!$C$145:$C$249,0))</f>
        <v>1</v>
      </c>
      <c r="P560" t="str">
        <f t="shared" si="20"/>
        <v>2020PM PEAK</v>
      </c>
      <c r="Q560">
        <f t="shared" si="21"/>
        <v>1</v>
      </c>
      <c r="R560" s="195" t="str">
        <f t="shared" si="22"/>
        <v>2020LIGHT VEHICLES</v>
      </c>
    </row>
    <row r="561" spans="3:18" x14ac:dyDescent="0.25">
      <c r="C561" s="294" t="s">
        <v>802</v>
      </c>
      <c r="D561" s="317">
        <v>29005</v>
      </c>
      <c r="E561" s="122" t="s">
        <v>803</v>
      </c>
      <c r="F561" s="122" t="s">
        <v>804</v>
      </c>
      <c r="G561" s="122" t="s">
        <v>776</v>
      </c>
      <c r="H561" s="122" t="s">
        <v>777</v>
      </c>
      <c r="I561" s="312">
        <v>2020</v>
      </c>
      <c r="J561" s="122" t="s">
        <v>712</v>
      </c>
      <c r="K561" s="283">
        <v>24814</v>
      </c>
      <c r="L561" s="318">
        <v>-33.824696000000003</v>
      </c>
      <c r="M561" s="318">
        <v>151.09321600000001</v>
      </c>
      <c r="O561">
        <f>INDEX('MEC - traffic congestion'!$M$145:$M$249,MATCH($D561,'MEC - traffic congestion'!$C$145:$C$249,0))</f>
        <v>1</v>
      </c>
      <c r="P561" t="str">
        <f t="shared" si="20"/>
        <v>2020PUBLIC HOLIDAYS</v>
      </c>
      <c r="Q561">
        <f t="shared" si="21"/>
        <v>1</v>
      </c>
      <c r="R561" s="195" t="str">
        <f t="shared" si="22"/>
        <v>2020LIGHT VEHICLES</v>
      </c>
    </row>
    <row r="562" spans="3:18" x14ac:dyDescent="0.25">
      <c r="C562" s="294" t="s">
        <v>802</v>
      </c>
      <c r="D562" s="317">
        <v>29005</v>
      </c>
      <c r="E562" s="122" t="s">
        <v>803</v>
      </c>
      <c r="F562" s="122" t="s">
        <v>804</v>
      </c>
      <c r="G562" s="122" t="s">
        <v>778</v>
      </c>
      <c r="H562" s="122" t="s">
        <v>777</v>
      </c>
      <c r="I562" s="312">
        <v>2020</v>
      </c>
      <c r="J562" s="122" t="s">
        <v>712</v>
      </c>
      <c r="K562" s="283">
        <v>28891</v>
      </c>
      <c r="L562" s="318">
        <v>-33.824696000000003</v>
      </c>
      <c r="M562" s="318">
        <v>151.09321600000001</v>
      </c>
      <c r="O562">
        <f>INDEX('MEC - traffic congestion'!$M$145:$M$249,MATCH($D562,'MEC - traffic congestion'!$C$145:$C$249,0))</f>
        <v>1</v>
      </c>
      <c r="P562" t="str">
        <f t="shared" si="20"/>
        <v>2020PUBLIC HOLIDAYS</v>
      </c>
      <c r="Q562">
        <f t="shared" si="21"/>
        <v>1</v>
      </c>
      <c r="R562" s="195" t="str">
        <f t="shared" si="22"/>
        <v>2020LIGHT VEHICLES</v>
      </c>
    </row>
    <row r="563" spans="3:18" x14ac:dyDescent="0.25">
      <c r="C563" s="294" t="s">
        <v>802</v>
      </c>
      <c r="D563" s="317">
        <v>29005</v>
      </c>
      <c r="E563" s="122" t="s">
        <v>803</v>
      </c>
      <c r="F563" s="122" t="s">
        <v>804</v>
      </c>
      <c r="G563" s="122" t="s">
        <v>776</v>
      </c>
      <c r="H563" s="122" t="s">
        <v>777</v>
      </c>
      <c r="I563" s="312">
        <v>2020</v>
      </c>
      <c r="J563" s="122" t="s">
        <v>713</v>
      </c>
      <c r="K563" s="283">
        <v>37533</v>
      </c>
      <c r="L563" s="318">
        <v>-33.824696000000003</v>
      </c>
      <c r="M563" s="318">
        <v>151.09321600000001</v>
      </c>
      <c r="O563">
        <f>INDEX('MEC - traffic congestion'!$M$145:$M$249,MATCH($D563,'MEC - traffic congestion'!$C$145:$C$249,0))</f>
        <v>1</v>
      </c>
      <c r="P563" t="str">
        <f t="shared" si="20"/>
        <v>2020WEEKENDS</v>
      </c>
      <c r="Q563">
        <f t="shared" si="21"/>
        <v>1</v>
      </c>
      <c r="R563" s="195" t="str">
        <f t="shared" si="22"/>
        <v>2020LIGHT VEHICLES</v>
      </c>
    </row>
    <row r="564" spans="3:18" x14ac:dyDescent="0.25">
      <c r="C564" s="294" t="s">
        <v>802</v>
      </c>
      <c r="D564" s="317">
        <v>29005</v>
      </c>
      <c r="E564" s="122" t="s">
        <v>803</v>
      </c>
      <c r="F564" s="122" t="s">
        <v>804</v>
      </c>
      <c r="G564" s="122" t="s">
        <v>778</v>
      </c>
      <c r="H564" s="122" t="s">
        <v>777</v>
      </c>
      <c r="I564" s="312">
        <v>2020</v>
      </c>
      <c r="J564" s="122" t="s">
        <v>713</v>
      </c>
      <c r="K564" s="283">
        <v>39986</v>
      </c>
      <c r="L564" s="318">
        <v>-33.824696000000003</v>
      </c>
      <c r="M564" s="318">
        <v>151.09321600000001</v>
      </c>
      <c r="O564">
        <f>INDEX('MEC - traffic congestion'!$M$145:$M$249,MATCH($D564,'MEC - traffic congestion'!$C$145:$C$249,0))</f>
        <v>1</v>
      </c>
      <c r="P564" t="str">
        <f t="shared" si="20"/>
        <v>2020WEEKENDS</v>
      </c>
      <c r="Q564">
        <f t="shared" si="21"/>
        <v>1</v>
      </c>
      <c r="R564" s="195" t="str">
        <f t="shared" si="22"/>
        <v>2020LIGHT VEHICLES</v>
      </c>
    </row>
    <row r="565" spans="3:18" x14ac:dyDescent="0.25">
      <c r="C565" s="294" t="s">
        <v>802</v>
      </c>
      <c r="D565" s="317">
        <v>29005</v>
      </c>
      <c r="E565" s="122" t="s">
        <v>803</v>
      </c>
      <c r="F565" s="122" t="s">
        <v>804</v>
      </c>
      <c r="G565" s="122" t="s">
        <v>776</v>
      </c>
      <c r="H565" s="122" t="s">
        <v>777</v>
      </c>
      <c r="I565" s="312">
        <v>2021</v>
      </c>
      <c r="J565" s="122" t="s">
        <v>709</v>
      </c>
      <c r="K565" s="283">
        <v>9514</v>
      </c>
      <c r="L565" s="318">
        <v>-33.824696000000003</v>
      </c>
      <c r="M565" s="318">
        <v>151.09321600000001</v>
      </c>
      <c r="O565">
        <f>INDEX('MEC - traffic congestion'!$M$145:$M$249,MATCH($D565,'MEC - traffic congestion'!$C$145:$C$249,0))</f>
        <v>1</v>
      </c>
      <c r="P565" t="str">
        <f t="shared" si="20"/>
        <v>2021AM PEAK</v>
      </c>
      <c r="Q565">
        <f t="shared" si="21"/>
        <v>1</v>
      </c>
      <c r="R565" s="195" t="str">
        <f t="shared" si="22"/>
        <v>2021LIGHT VEHICLES</v>
      </c>
    </row>
    <row r="566" spans="3:18" x14ac:dyDescent="0.25">
      <c r="C566" s="294" t="s">
        <v>802</v>
      </c>
      <c r="D566" s="317">
        <v>29005</v>
      </c>
      <c r="E566" s="122" t="s">
        <v>803</v>
      </c>
      <c r="F566" s="122" t="s">
        <v>804</v>
      </c>
      <c r="G566" s="122" t="s">
        <v>778</v>
      </c>
      <c r="H566" s="122" t="s">
        <v>777</v>
      </c>
      <c r="I566" s="312">
        <v>2021</v>
      </c>
      <c r="J566" s="122" t="s">
        <v>709</v>
      </c>
      <c r="K566" s="283">
        <v>9809</v>
      </c>
      <c r="L566" s="318">
        <v>-33.824696000000003</v>
      </c>
      <c r="M566" s="318">
        <v>151.09321600000001</v>
      </c>
      <c r="O566">
        <f>INDEX('MEC - traffic congestion'!$M$145:$M$249,MATCH($D566,'MEC - traffic congestion'!$C$145:$C$249,0))</f>
        <v>1</v>
      </c>
      <c r="P566" t="str">
        <f t="shared" si="20"/>
        <v>2021AM PEAK</v>
      </c>
      <c r="Q566">
        <f t="shared" si="21"/>
        <v>1</v>
      </c>
      <c r="R566" s="195" t="str">
        <f t="shared" si="22"/>
        <v>2021LIGHT VEHICLES</v>
      </c>
    </row>
    <row r="567" spans="3:18" x14ac:dyDescent="0.25">
      <c r="C567" s="294" t="s">
        <v>802</v>
      </c>
      <c r="D567" s="317">
        <v>29005</v>
      </c>
      <c r="E567" s="122" t="s">
        <v>803</v>
      </c>
      <c r="F567" s="122" t="s">
        <v>804</v>
      </c>
      <c r="G567" s="122" t="s">
        <v>776</v>
      </c>
      <c r="H567" s="122" t="s">
        <v>777</v>
      </c>
      <c r="I567" s="312">
        <v>2021</v>
      </c>
      <c r="J567" s="122" t="s">
        <v>710</v>
      </c>
      <c r="K567" s="283">
        <v>18734</v>
      </c>
      <c r="L567" s="318">
        <v>-33.824696000000003</v>
      </c>
      <c r="M567" s="318">
        <v>151.09321600000001</v>
      </c>
      <c r="O567">
        <f>INDEX('MEC - traffic congestion'!$M$145:$M$249,MATCH($D567,'MEC - traffic congestion'!$C$145:$C$249,0))</f>
        <v>1</v>
      </c>
      <c r="P567" t="str">
        <f t="shared" si="20"/>
        <v>2021OFF PEAK</v>
      </c>
      <c r="Q567">
        <f t="shared" si="21"/>
        <v>1</v>
      </c>
      <c r="R567" s="195" t="str">
        <f t="shared" si="22"/>
        <v>2021LIGHT VEHICLES</v>
      </c>
    </row>
    <row r="568" spans="3:18" x14ac:dyDescent="0.25">
      <c r="C568" s="294" t="s">
        <v>802</v>
      </c>
      <c r="D568" s="317">
        <v>29005</v>
      </c>
      <c r="E568" s="122" t="s">
        <v>803</v>
      </c>
      <c r="F568" s="122" t="s">
        <v>804</v>
      </c>
      <c r="G568" s="122" t="s">
        <v>778</v>
      </c>
      <c r="H568" s="122" t="s">
        <v>777</v>
      </c>
      <c r="I568" s="312">
        <v>2021</v>
      </c>
      <c r="J568" s="122" t="s">
        <v>710</v>
      </c>
      <c r="K568" s="283">
        <v>19741</v>
      </c>
      <c r="L568" s="318">
        <v>-33.824696000000003</v>
      </c>
      <c r="M568" s="318">
        <v>151.09321600000001</v>
      </c>
      <c r="O568">
        <f>INDEX('MEC - traffic congestion'!$M$145:$M$249,MATCH($D568,'MEC - traffic congestion'!$C$145:$C$249,0))</f>
        <v>1</v>
      </c>
      <c r="P568" t="str">
        <f t="shared" si="20"/>
        <v>2021OFF PEAK</v>
      </c>
      <c r="Q568">
        <f t="shared" si="21"/>
        <v>1</v>
      </c>
      <c r="R568" s="195" t="str">
        <f t="shared" si="22"/>
        <v>2021LIGHT VEHICLES</v>
      </c>
    </row>
    <row r="569" spans="3:18" x14ac:dyDescent="0.25">
      <c r="C569" s="294" t="s">
        <v>802</v>
      </c>
      <c r="D569" s="317">
        <v>29005</v>
      </c>
      <c r="E569" s="122" t="s">
        <v>803</v>
      </c>
      <c r="F569" s="122" t="s">
        <v>804</v>
      </c>
      <c r="G569" s="122" t="s">
        <v>776</v>
      </c>
      <c r="H569" s="122" t="s">
        <v>777</v>
      </c>
      <c r="I569" s="312">
        <v>2021</v>
      </c>
      <c r="J569" s="122" t="s">
        <v>711</v>
      </c>
      <c r="K569" s="283">
        <v>10794</v>
      </c>
      <c r="L569" s="318">
        <v>-33.824696000000003</v>
      </c>
      <c r="M569" s="318">
        <v>151.09321600000001</v>
      </c>
      <c r="O569">
        <f>INDEX('MEC - traffic congestion'!$M$145:$M$249,MATCH($D569,'MEC - traffic congestion'!$C$145:$C$249,0))</f>
        <v>1</v>
      </c>
      <c r="P569" t="str">
        <f t="shared" si="20"/>
        <v>2021PM PEAK</v>
      </c>
      <c r="Q569">
        <f t="shared" si="21"/>
        <v>1</v>
      </c>
      <c r="R569" s="195" t="str">
        <f t="shared" si="22"/>
        <v>2021LIGHT VEHICLES</v>
      </c>
    </row>
    <row r="570" spans="3:18" x14ac:dyDescent="0.25">
      <c r="C570" s="294" t="s">
        <v>802</v>
      </c>
      <c r="D570" s="317">
        <v>29005</v>
      </c>
      <c r="E570" s="122" t="s">
        <v>803</v>
      </c>
      <c r="F570" s="122" t="s">
        <v>804</v>
      </c>
      <c r="G570" s="122" t="s">
        <v>778</v>
      </c>
      <c r="H570" s="122" t="s">
        <v>777</v>
      </c>
      <c r="I570" s="312">
        <v>2021</v>
      </c>
      <c r="J570" s="122" t="s">
        <v>711</v>
      </c>
      <c r="K570" s="283">
        <v>11233</v>
      </c>
      <c r="L570" s="318">
        <v>-33.824696000000003</v>
      </c>
      <c r="M570" s="318">
        <v>151.09321600000001</v>
      </c>
      <c r="O570">
        <f>INDEX('MEC - traffic congestion'!$M$145:$M$249,MATCH($D570,'MEC - traffic congestion'!$C$145:$C$249,0))</f>
        <v>1</v>
      </c>
      <c r="P570" t="str">
        <f t="shared" si="20"/>
        <v>2021PM PEAK</v>
      </c>
      <c r="Q570">
        <f t="shared" si="21"/>
        <v>1</v>
      </c>
      <c r="R570" s="195" t="str">
        <f t="shared" si="22"/>
        <v>2021LIGHT VEHICLES</v>
      </c>
    </row>
    <row r="571" spans="3:18" x14ac:dyDescent="0.25">
      <c r="C571" s="294" t="s">
        <v>802</v>
      </c>
      <c r="D571" s="317">
        <v>29005</v>
      </c>
      <c r="E571" s="122" t="s">
        <v>803</v>
      </c>
      <c r="F571" s="122" t="s">
        <v>804</v>
      </c>
      <c r="G571" s="122" t="s">
        <v>776</v>
      </c>
      <c r="H571" s="122" t="s">
        <v>777</v>
      </c>
      <c r="I571" s="312">
        <v>2021</v>
      </c>
      <c r="J571" s="122" t="s">
        <v>713</v>
      </c>
      <c r="K571" s="283">
        <v>35018</v>
      </c>
      <c r="L571" s="318">
        <v>-33.824696000000003</v>
      </c>
      <c r="M571" s="318">
        <v>151.09321600000001</v>
      </c>
      <c r="O571">
        <f>INDEX('MEC - traffic congestion'!$M$145:$M$249,MATCH($D571,'MEC - traffic congestion'!$C$145:$C$249,0))</f>
        <v>1</v>
      </c>
      <c r="P571" t="str">
        <f t="shared" si="20"/>
        <v>2021WEEKENDS</v>
      </c>
      <c r="Q571">
        <f t="shared" si="21"/>
        <v>1</v>
      </c>
      <c r="R571" s="195" t="str">
        <f t="shared" si="22"/>
        <v>2021LIGHT VEHICLES</v>
      </c>
    </row>
    <row r="572" spans="3:18" x14ac:dyDescent="0.25">
      <c r="C572" s="294" t="s">
        <v>802</v>
      </c>
      <c r="D572" s="317">
        <v>29005</v>
      </c>
      <c r="E572" s="122" t="s">
        <v>803</v>
      </c>
      <c r="F572" s="122" t="s">
        <v>804</v>
      </c>
      <c r="G572" s="122" t="s">
        <v>778</v>
      </c>
      <c r="H572" s="122" t="s">
        <v>777</v>
      </c>
      <c r="I572" s="312">
        <v>2021</v>
      </c>
      <c r="J572" s="122" t="s">
        <v>713</v>
      </c>
      <c r="K572" s="283">
        <v>36456</v>
      </c>
      <c r="L572" s="318">
        <v>-33.824696000000003</v>
      </c>
      <c r="M572" s="318">
        <v>151.09321600000001</v>
      </c>
      <c r="O572">
        <f>INDEX('MEC - traffic congestion'!$M$145:$M$249,MATCH($D572,'MEC - traffic congestion'!$C$145:$C$249,0))</f>
        <v>1</v>
      </c>
      <c r="P572" t="str">
        <f t="shared" si="20"/>
        <v>2021WEEKENDS</v>
      </c>
      <c r="Q572">
        <f t="shared" si="21"/>
        <v>1</v>
      </c>
      <c r="R572" s="195" t="str">
        <f t="shared" si="22"/>
        <v>2021LIGHT VEHICLES</v>
      </c>
    </row>
    <row r="573" spans="3:18" x14ac:dyDescent="0.25">
      <c r="C573" s="294" t="s">
        <v>802</v>
      </c>
      <c r="D573" s="317">
        <v>29005</v>
      </c>
      <c r="E573" s="122" t="s">
        <v>803</v>
      </c>
      <c r="F573" s="122" t="s">
        <v>804</v>
      </c>
      <c r="G573" s="122" t="s">
        <v>776</v>
      </c>
      <c r="H573" s="122" t="s">
        <v>777</v>
      </c>
      <c r="I573" s="312">
        <v>2022</v>
      </c>
      <c r="J573" s="122" t="s">
        <v>709</v>
      </c>
      <c r="K573" s="283">
        <v>9965</v>
      </c>
      <c r="L573" s="318">
        <v>-33.824696000000003</v>
      </c>
      <c r="M573" s="318">
        <v>151.09321600000001</v>
      </c>
      <c r="O573">
        <f>INDEX('MEC - traffic congestion'!$M$145:$M$249,MATCH($D573,'MEC - traffic congestion'!$C$145:$C$249,0))</f>
        <v>1</v>
      </c>
      <c r="P573" t="str">
        <f t="shared" si="20"/>
        <v>2022AM PEAK</v>
      </c>
      <c r="Q573">
        <f t="shared" si="21"/>
        <v>1</v>
      </c>
      <c r="R573" s="195" t="str">
        <f t="shared" si="22"/>
        <v>2022LIGHT VEHICLES</v>
      </c>
    </row>
    <row r="574" spans="3:18" x14ac:dyDescent="0.25">
      <c r="C574" s="294" t="s">
        <v>802</v>
      </c>
      <c r="D574" s="317">
        <v>29005</v>
      </c>
      <c r="E574" s="122" t="s">
        <v>803</v>
      </c>
      <c r="F574" s="122" t="s">
        <v>804</v>
      </c>
      <c r="G574" s="122" t="s">
        <v>778</v>
      </c>
      <c r="H574" s="122" t="s">
        <v>777</v>
      </c>
      <c r="I574" s="312">
        <v>2022</v>
      </c>
      <c r="J574" s="122" t="s">
        <v>709</v>
      </c>
      <c r="K574" s="283">
        <v>9836</v>
      </c>
      <c r="L574" s="318">
        <v>-33.824696000000003</v>
      </c>
      <c r="M574" s="318">
        <v>151.09321600000001</v>
      </c>
      <c r="O574">
        <f>INDEX('MEC - traffic congestion'!$M$145:$M$249,MATCH($D574,'MEC - traffic congestion'!$C$145:$C$249,0))</f>
        <v>1</v>
      </c>
      <c r="P574" t="str">
        <f t="shared" si="20"/>
        <v>2022AM PEAK</v>
      </c>
      <c r="Q574">
        <f t="shared" si="21"/>
        <v>1</v>
      </c>
      <c r="R574" s="195" t="str">
        <f t="shared" si="22"/>
        <v>2022LIGHT VEHICLES</v>
      </c>
    </row>
    <row r="575" spans="3:18" x14ac:dyDescent="0.25">
      <c r="C575" s="294" t="s">
        <v>802</v>
      </c>
      <c r="D575" s="317">
        <v>29005</v>
      </c>
      <c r="E575" s="122" t="s">
        <v>803</v>
      </c>
      <c r="F575" s="122" t="s">
        <v>804</v>
      </c>
      <c r="G575" s="122" t="s">
        <v>776</v>
      </c>
      <c r="H575" s="122" t="s">
        <v>777</v>
      </c>
      <c r="I575" s="312">
        <v>2022</v>
      </c>
      <c r="J575" s="122" t="s">
        <v>710</v>
      </c>
      <c r="K575" s="283">
        <v>20142</v>
      </c>
      <c r="L575" s="318">
        <v>-33.824696000000003</v>
      </c>
      <c r="M575" s="318">
        <v>151.09321600000001</v>
      </c>
      <c r="O575">
        <f>INDEX('MEC - traffic congestion'!$M$145:$M$249,MATCH($D575,'MEC - traffic congestion'!$C$145:$C$249,0))</f>
        <v>1</v>
      </c>
      <c r="P575" t="str">
        <f t="shared" si="20"/>
        <v>2022OFF PEAK</v>
      </c>
      <c r="Q575">
        <f t="shared" si="21"/>
        <v>1</v>
      </c>
      <c r="R575" s="195" t="str">
        <f t="shared" si="22"/>
        <v>2022LIGHT VEHICLES</v>
      </c>
    </row>
    <row r="576" spans="3:18" x14ac:dyDescent="0.25">
      <c r="C576" s="294" t="s">
        <v>802</v>
      </c>
      <c r="D576" s="317">
        <v>29005</v>
      </c>
      <c r="E576" s="122" t="s">
        <v>803</v>
      </c>
      <c r="F576" s="122" t="s">
        <v>804</v>
      </c>
      <c r="G576" s="122" t="s">
        <v>778</v>
      </c>
      <c r="H576" s="122" t="s">
        <v>777</v>
      </c>
      <c r="I576" s="312">
        <v>2022</v>
      </c>
      <c r="J576" s="122" t="s">
        <v>710</v>
      </c>
      <c r="K576" s="283">
        <v>21205</v>
      </c>
      <c r="L576" s="318">
        <v>-33.824696000000003</v>
      </c>
      <c r="M576" s="318">
        <v>151.09321600000001</v>
      </c>
      <c r="O576">
        <f>INDEX('MEC - traffic congestion'!$M$145:$M$249,MATCH($D576,'MEC - traffic congestion'!$C$145:$C$249,0))</f>
        <v>1</v>
      </c>
      <c r="P576" t="str">
        <f t="shared" si="20"/>
        <v>2022OFF PEAK</v>
      </c>
      <c r="Q576">
        <f t="shared" si="21"/>
        <v>1</v>
      </c>
      <c r="R576" s="195" t="str">
        <f t="shared" si="22"/>
        <v>2022LIGHT VEHICLES</v>
      </c>
    </row>
    <row r="577" spans="3:18" x14ac:dyDescent="0.25">
      <c r="C577" s="294" t="s">
        <v>802</v>
      </c>
      <c r="D577" s="317">
        <v>29005</v>
      </c>
      <c r="E577" s="122" t="s">
        <v>803</v>
      </c>
      <c r="F577" s="122" t="s">
        <v>804</v>
      </c>
      <c r="G577" s="122" t="s">
        <v>776</v>
      </c>
      <c r="H577" s="122" t="s">
        <v>777</v>
      </c>
      <c r="I577" s="312">
        <v>2022</v>
      </c>
      <c r="J577" s="122" t="s">
        <v>711</v>
      </c>
      <c r="K577" s="283">
        <v>11502</v>
      </c>
      <c r="L577" s="318">
        <v>-33.824696000000003</v>
      </c>
      <c r="M577" s="318">
        <v>151.09321600000001</v>
      </c>
      <c r="O577">
        <f>INDEX('MEC - traffic congestion'!$M$145:$M$249,MATCH($D577,'MEC - traffic congestion'!$C$145:$C$249,0))</f>
        <v>1</v>
      </c>
      <c r="P577" t="str">
        <f t="shared" si="20"/>
        <v>2022PM PEAK</v>
      </c>
      <c r="Q577">
        <f t="shared" si="21"/>
        <v>1</v>
      </c>
      <c r="R577" s="195" t="str">
        <f t="shared" si="22"/>
        <v>2022LIGHT VEHICLES</v>
      </c>
    </row>
    <row r="578" spans="3:18" x14ac:dyDescent="0.25">
      <c r="C578" s="294" t="s">
        <v>802</v>
      </c>
      <c r="D578" s="317">
        <v>29005</v>
      </c>
      <c r="E578" s="122" t="s">
        <v>803</v>
      </c>
      <c r="F578" s="122" t="s">
        <v>804</v>
      </c>
      <c r="G578" s="122" t="s">
        <v>778</v>
      </c>
      <c r="H578" s="122" t="s">
        <v>777</v>
      </c>
      <c r="I578" s="312">
        <v>2022</v>
      </c>
      <c r="J578" s="122" t="s">
        <v>711</v>
      </c>
      <c r="K578" s="283">
        <v>11911</v>
      </c>
      <c r="L578" s="318">
        <v>-33.824696000000003</v>
      </c>
      <c r="M578" s="318">
        <v>151.09321600000001</v>
      </c>
      <c r="O578">
        <f>INDEX('MEC - traffic congestion'!$M$145:$M$249,MATCH($D578,'MEC - traffic congestion'!$C$145:$C$249,0))</f>
        <v>1</v>
      </c>
      <c r="P578" t="str">
        <f t="shared" si="20"/>
        <v>2022PM PEAK</v>
      </c>
      <c r="Q578">
        <f t="shared" si="21"/>
        <v>1</v>
      </c>
      <c r="R578" s="195" t="str">
        <f t="shared" si="22"/>
        <v>2022LIGHT VEHICLES</v>
      </c>
    </row>
    <row r="579" spans="3:18" x14ac:dyDescent="0.25">
      <c r="C579" s="294" t="s">
        <v>802</v>
      </c>
      <c r="D579" s="317">
        <v>29005</v>
      </c>
      <c r="E579" s="122" t="s">
        <v>803</v>
      </c>
      <c r="F579" s="122" t="s">
        <v>804</v>
      </c>
      <c r="G579" s="122" t="s">
        <v>776</v>
      </c>
      <c r="H579" s="122" t="s">
        <v>777</v>
      </c>
      <c r="I579" s="312">
        <v>2022</v>
      </c>
      <c r="J579" s="122" t="s">
        <v>713</v>
      </c>
      <c r="K579" s="283">
        <v>41942</v>
      </c>
      <c r="L579" s="318">
        <v>-33.824696000000003</v>
      </c>
      <c r="M579" s="318">
        <v>151.09321600000001</v>
      </c>
      <c r="O579">
        <f>INDEX('MEC - traffic congestion'!$M$145:$M$249,MATCH($D579,'MEC - traffic congestion'!$C$145:$C$249,0))</f>
        <v>1</v>
      </c>
      <c r="P579" t="str">
        <f t="shared" si="20"/>
        <v>2022WEEKENDS</v>
      </c>
      <c r="Q579">
        <f t="shared" si="21"/>
        <v>1</v>
      </c>
      <c r="R579" s="195" t="str">
        <f t="shared" si="22"/>
        <v>2022LIGHT VEHICLES</v>
      </c>
    </row>
    <row r="580" spans="3:18" x14ac:dyDescent="0.25">
      <c r="C580" s="294" t="s">
        <v>802</v>
      </c>
      <c r="D580" s="317">
        <v>29005</v>
      </c>
      <c r="E580" s="122" t="s">
        <v>803</v>
      </c>
      <c r="F580" s="122" t="s">
        <v>804</v>
      </c>
      <c r="G580" s="122" t="s">
        <v>778</v>
      </c>
      <c r="H580" s="122" t="s">
        <v>777</v>
      </c>
      <c r="I580" s="312">
        <v>2022</v>
      </c>
      <c r="J580" s="122" t="s">
        <v>713</v>
      </c>
      <c r="K580" s="283">
        <v>43353</v>
      </c>
      <c r="L580" s="318">
        <v>-33.824696000000003</v>
      </c>
      <c r="M580" s="318">
        <v>151.09321600000001</v>
      </c>
      <c r="O580">
        <f>INDEX('MEC - traffic congestion'!$M$145:$M$249,MATCH($D580,'MEC - traffic congestion'!$C$145:$C$249,0))</f>
        <v>1</v>
      </c>
      <c r="P580" t="str">
        <f t="shared" si="20"/>
        <v>2022WEEKENDS</v>
      </c>
      <c r="Q580">
        <f t="shared" si="21"/>
        <v>1</v>
      </c>
      <c r="R580" s="195" t="str">
        <f t="shared" si="22"/>
        <v>2022LIGHT VEHICLES</v>
      </c>
    </row>
    <row r="581" spans="3:18" x14ac:dyDescent="0.25">
      <c r="C581" s="294" t="s">
        <v>802</v>
      </c>
      <c r="D581" s="317">
        <v>29005</v>
      </c>
      <c r="E581" s="122" t="s">
        <v>803</v>
      </c>
      <c r="F581" s="122" t="s">
        <v>804</v>
      </c>
      <c r="G581" s="122" t="s">
        <v>776</v>
      </c>
      <c r="H581" s="122" t="s">
        <v>777</v>
      </c>
      <c r="I581" s="312">
        <v>2023</v>
      </c>
      <c r="J581" s="122" t="s">
        <v>709</v>
      </c>
      <c r="K581" s="283">
        <v>10754</v>
      </c>
      <c r="L581" s="318">
        <v>-33.824696000000003</v>
      </c>
      <c r="M581" s="318">
        <v>151.09321600000001</v>
      </c>
      <c r="O581">
        <f>INDEX('MEC - traffic congestion'!$M$145:$M$249,MATCH($D581,'MEC - traffic congestion'!$C$145:$C$249,0))</f>
        <v>1</v>
      </c>
      <c r="P581" t="str">
        <f t="shared" si="20"/>
        <v>2023AM PEAK</v>
      </c>
      <c r="Q581">
        <f t="shared" si="21"/>
        <v>1</v>
      </c>
      <c r="R581" s="195" t="str">
        <f t="shared" si="22"/>
        <v>2023LIGHT VEHICLES</v>
      </c>
    </row>
    <row r="582" spans="3:18" x14ac:dyDescent="0.25">
      <c r="C582" s="294" t="s">
        <v>802</v>
      </c>
      <c r="D582" s="317">
        <v>29005</v>
      </c>
      <c r="E582" s="122" t="s">
        <v>803</v>
      </c>
      <c r="F582" s="122" t="s">
        <v>804</v>
      </c>
      <c r="G582" s="122" t="s">
        <v>778</v>
      </c>
      <c r="H582" s="122" t="s">
        <v>777</v>
      </c>
      <c r="I582" s="312">
        <v>2023</v>
      </c>
      <c r="J582" s="122" t="s">
        <v>709</v>
      </c>
      <c r="K582" s="283">
        <v>10994</v>
      </c>
      <c r="L582" s="318">
        <v>-33.824696000000003</v>
      </c>
      <c r="M582" s="318">
        <v>151.09321600000001</v>
      </c>
      <c r="O582">
        <f>INDEX('MEC - traffic congestion'!$M$145:$M$249,MATCH($D582,'MEC - traffic congestion'!$C$145:$C$249,0))</f>
        <v>1</v>
      </c>
      <c r="P582" t="str">
        <f t="shared" si="20"/>
        <v>2023AM PEAK</v>
      </c>
      <c r="Q582">
        <f t="shared" si="21"/>
        <v>1</v>
      </c>
      <c r="R582" s="195" t="str">
        <f t="shared" si="22"/>
        <v>2023LIGHT VEHICLES</v>
      </c>
    </row>
    <row r="583" spans="3:18" x14ac:dyDescent="0.25">
      <c r="C583" s="294" t="s">
        <v>802</v>
      </c>
      <c r="D583" s="317">
        <v>29005</v>
      </c>
      <c r="E583" s="122" t="s">
        <v>803</v>
      </c>
      <c r="F583" s="122" t="s">
        <v>804</v>
      </c>
      <c r="G583" s="122" t="s">
        <v>776</v>
      </c>
      <c r="H583" s="122" t="s">
        <v>777</v>
      </c>
      <c r="I583" s="312">
        <v>2023</v>
      </c>
      <c r="J583" s="122" t="s">
        <v>710</v>
      </c>
      <c r="K583" s="283">
        <v>20576</v>
      </c>
      <c r="L583" s="318">
        <v>-33.824696000000003</v>
      </c>
      <c r="M583" s="318">
        <v>151.09321600000001</v>
      </c>
      <c r="O583">
        <f>INDEX('MEC - traffic congestion'!$M$145:$M$249,MATCH($D583,'MEC - traffic congestion'!$C$145:$C$249,0))</f>
        <v>1</v>
      </c>
      <c r="P583" t="str">
        <f t="shared" si="20"/>
        <v>2023OFF PEAK</v>
      </c>
      <c r="Q583">
        <f t="shared" si="21"/>
        <v>1</v>
      </c>
      <c r="R583" s="195" t="str">
        <f t="shared" si="22"/>
        <v>2023LIGHT VEHICLES</v>
      </c>
    </row>
    <row r="584" spans="3:18" x14ac:dyDescent="0.25">
      <c r="C584" s="294" t="s">
        <v>802</v>
      </c>
      <c r="D584" s="317">
        <v>29005</v>
      </c>
      <c r="E584" s="122" t="s">
        <v>803</v>
      </c>
      <c r="F584" s="122" t="s">
        <v>804</v>
      </c>
      <c r="G584" s="122" t="s">
        <v>778</v>
      </c>
      <c r="H584" s="122" t="s">
        <v>777</v>
      </c>
      <c r="I584" s="312">
        <v>2023</v>
      </c>
      <c r="J584" s="122" t="s">
        <v>710</v>
      </c>
      <c r="K584" s="283">
        <v>21672</v>
      </c>
      <c r="L584" s="318">
        <v>-33.824696000000003</v>
      </c>
      <c r="M584" s="318">
        <v>151.09321600000001</v>
      </c>
      <c r="O584">
        <f>INDEX('MEC - traffic congestion'!$M$145:$M$249,MATCH($D584,'MEC - traffic congestion'!$C$145:$C$249,0))</f>
        <v>1</v>
      </c>
      <c r="P584" t="str">
        <f t="shared" si="20"/>
        <v>2023OFF PEAK</v>
      </c>
      <c r="Q584">
        <f t="shared" si="21"/>
        <v>1</v>
      </c>
      <c r="R584" s="195" t="str">
        <f t="shared" si="22"/>
        <v>2023LIGHT VEHICLES</v>
      </c>
    </row>
    <row r="585" spans="3:18" x14ac:dyDescent="0.25">
      <c r="C585" s="294" t="s">
        <v>802</v>
      </c>
      <c r="D585" s="317">
        <v>29005</v>
      </c>
      <c r="E585" s="122" t="s">
        <v>803</v>
      </c>
      <c r="F585" s="122" t="s">
        <v>804</v>
      </c>
      <c r="G585" s="122" t="s">
        <v>776</v>
      </c>
      <c r="H585" s="122" t="s">
        <v>777</v>
      </c>
      <c r="I585" s="312">
        <v>2023</v>
      </c>
      <c r="J585" s="122" t="s">
        <v>711</v>
      </c>
      <c r="K585" s="283">
        <v>11430</v>
      </c>
      <c r="L585" s="318">
        <v>-33.824696000000003</v>
      </c>
      <c r="M585" s="318">
        <v>151.09321600000001</v>
      </c>
      <c r="O585">
        <f>INDEX('MEC - traffic congestion'!$M$145:$M$249,MATCH($D585,'MEC - traffic congestion'!$C$145:$C$249,0))</f>
        <v>1</v>
      </c>
      <c r="P585" t="str">
        <f t="shared" si="20"/>
        <v>2023PM PEAK</v>
      </c>
      <c r="Q585">
        <f t="shared" si="21"/>
        <v>1</v>
      </c>
      <c r="R585" s="195" t="str">
        <f t="shared" si="22"/>
        <v>2023LIGHT VEHICLES</v>
      </c>
    </row>
    <row r="586" spans="3:18" x14ac:dyDescent="0.25">
      <c r="C586" s="294" t="s">
        <v>802</v>
      </c>
      <c r="D586" s="317">
        <v>29005</v>
      </c>
      <c r="E586" s="122" t="s">
        <v>803</v>
      </c>
      <c r="F586" s="122" t="s">
        <v>804</v>
      </c>
      <c r="G586" s="122" t="s">
        <v>778</v>
      </c>
      <c r="H586" s="122" t="s">
        <v>777</v>
      </c>
      <c r="I586" s="312">
        <v>2023</v>
      </c>
      <c r="J586" s="122" t="s">
        <v>711</v>
      </c>
      <c r="K586" s="283">
        <v>12400</v>
      </c>
      <c r="L586" s="318">
        <v>-33.824696000000003</v>
      </c>
      <c r="M586" s="318">
        <v>151.09321600000001</v>
      </c>
      <c r="O586">
        <f>INDEX('MEC - traffic congestion'!$M$145:$M$249,MATCH($D586,'MEC - traffic congestion'!$C$145:$C$249,0))</f>
        <v>1</v>
      </c>
      <c r="P586" t="str">
        <f t="shared" si="20"/>
        <v>2023PM PEAK</v>
      </c>
      <c r="Q586">
        <f t="shared" si="21"/>
        <v>1</v>
      </c>
      <c r="R586" s="195" t="str">
        <f t="shared" si="22"/>
        <v>2023LIGHT VEHICLES</v>
      </c>
    </row>
    <row r="587" spans="3:18" x14ac:dyDescent="0.25">
      <c r="C587" s="294" t="s">
        <v>802</v>
      </c>
      <c r="D587" s="317">
        <v>29005</v>
      </c>
      <c r="E587" s="122" t="s">
        <v>803</v>
      </c>
      <c r="F587" s="122" t="s">
        <v>804</v>
      </c>
      <c r="G587" s="122" t="s">
        <v>776</v>
      </c>
      <c r="H587" s="122" t="s">
        <v>777</v>
      </c>
      <c r="I587" s="312">
        <v>2023</v>
      </c>
      <c r="J587" s="122" t="s">
        <v>713</v>
      </c>
      <c r="K587" s="283">
        <v>41844</v>
      </c>
      <c r="L587" s="318">
        <v>-33.824696000000003</v>
      </c>
      <c r="M587" s="318">
        <v>151.09321600000001</v>
      </c>
      <c r="O587">
        <f>INDEX('MEC - traffic congestion'!$M$145:$M$249,MATCH($D587,'MEC - traffic congestion'!$C$145:$C$249,0))</f>
        <v>1</v>
      </c>
      <c r="P587" t="str">
        <f t="shared" si="20"/>
        <v>2023WEEKENDS</v>
      </c>
      <c r="Q587">
        <f t="shared" si="21"/>
        <v>1</v>
      </c>
      <c r="R587" s="195" t="str">
        <f t="shared" si="22"/>
        <v>2023LIGHT VEHICLES</v>
      </c>
    </row>
    <row r="588" spans="3:18" x14ac:dyDescent="0.25">
      <c r="C588" s="294" t="s">
        <v>802</v>
      </c>
      <c r="D588" s="317">
        <v>29005</v>
      </c>
      <c r="E588" s="122" t="s">
        <v>803</v>
      </c>
      <c r="F588" s="122" t="s">
        <v>804</v>
      </c>
      <c r="G588" s="122" t="s">
        <v>778</v>
      </c>
      <c r="H588" s="122" t="s">
        <v>777</v>
      </c>
      <c r="I588" s="312">
        <v>2023</v>
      </c>
      <c r="J588" s="122" t="s">
        <v>713</v>
      </c>
      <c r="K588" s="283">
        <v>44028</v>
      </c>
      <c r="L588" s="318">
        <v>-33.824696000000003</v>
      </c>
      <c r="M588" s="318">
        <v>151.09321600000001</v>
      </c>
      <c r="O588">
        <f>INDEX('MEC - traffic congestion'!$M$145:$M$249,MATCH($D588,'MEC - traffic congestion'!$C$145:$C$249,0))</f>
        <v>1</v>
      </c>
      <c r="P588" t="str">
        <f t="shared" si="20"/>
        <v>2023WEEKENDS</v>
      </c>
      <c r="Q588">
        <f t="shared" si="21"/>
        <v>1</v>
      </c>
      <c r="R588" s="195" t="str">
        <f t="shared" si="22"/>
        <v>2023LIGHT VEHICLES</v>
      </c>
    </row>
    <row r="589" spans="3:18" x14ac:dyDescent="0.25">
      <c r="C589" s="294" t="s">
        <v>802</v>
      </c>
      <c r="D589" s="317">
        <v>29005</v>
      </c>
      <c r="E589" s="122" t="s">
        <v>803</v>
      </c>
      <c r="F589" s="122" t="s">
        <v>804</v>
      </c>
      <c r="G589" s="122" t="s">
        <v>778</v>
      </c>
      <c r="H589" s="122" t="s">
        <v>777</v>
      </c>
      <c r="I589" s="312">
        <v>2024</v>
      </c>
      <c r="J589" s="122" t="s">
        <v>709</v>
      </c>
      <c r="K589" s="283">
        <v>10940</v>
      </c>
      <c r="L589" s="318">
        <v>-33.824696000000003</v>
      </c>
      <c r="M589" s="318">
        <v>151.09321600000001</v>
      </c>
      <c r="O589">
        <f>INDEX('MEC - traffic congestion'!$M$145:$M$249,MATCH($D589,'MEC - traffic congestion'!$C$145:$C$249,0))</f>
        <v>1</v>
      </c>
      <c r="P589" t="str">
        <f t="shared" si="20"/>
        <v>2024AM PEAK</v>
      </c>
      <c r="Q589">
        <f t="shared" si="21"/>
        <v>1</v>
      </c>
      <c r="R589" s="195" t="str">
        <f t="shared" si="22"/>
        <v>2024LIGHT VEHICLES</v>
      </c>
    </row>
    <row r="590" spans="3:18" x14ac:dyDescent="0.25">
      <c r="C590" s="294" t="s">
        <v>802</v>
      </c>
      <c r="D590" s="317">
        <v>29005</v>
      </c>
      <c r="E590" s="122" t="s">
        <v>803</v>
      </c>
      <c r="F590" s="122" t="s">
        <v>804</v>
      </c>
      <c r="G590" s="122" t="s">
        <v>778</v>
      </c>
      <c r="H590" s="122" t="s">
        <v>777</v>
      </c>
      <c r="I590" s="312">
        <v>2024</v>
      </c>
      <c r="J590" s="122" t="s">
        <v>710</v>
      </c>
      <c r="K590" s="283">
        <v>22069</v>
      </c>
      <c r="L590" s="318">
        <v>-33.824696000000003</v>
      </c>
      <c r="M590" s="318">
        <v>151.09321600000001</v>
      </c>
      <c r="O590">
        <f>INDEX('MEC - traffic congestion'!$M$145:$M$249,MATCH($D590,'MEC - traffic congestion'!$C$145:$C$249,0))</f>
        <v>1</v>
      </c>
      <c r="P590" t="str">
        <f t="shared" si="20"/>
        <v>2024OFF PEAK</v>
      </c>
      <c r="Q590">
        <f t="shared" si="21"/>
        <v>1</v>
      </c>
      <c r="R590" s="195" t="str">
        <f t="shared" si="22"/>
        <v>2024LIGHT VEHICLES</v>
      </c>
    </row>
    <row r="591" spans="3:18" x14ac:dyDescent="0.25">
      <c r="C591" s="294" t="s">
        <v>802</v>
      </c>
      <c r="D591" s="317">
        <v>29005</v>
      </c>
      <c r="E591" s="122" t="s">
        <v>803</v>
      </c>
      <c r="F591" s="122" t="s">
        <v>804</v>
      </c>
      <c r="G591" s="122" t="s">
        <v>778</v>
      </c>
      <c r="H591" s="122" t="s">
        <v>777</v>
      </c>
      <c r="I591" s="312">
        <v>2024</v>
      </c>
      <c r="J591" s="122" t="s">
        <v>711</v>
      </c>
      <c r="K591" s="283">
        <v>12474</v>
      </c>
      <c r="L591" s="318">
        <v>-33.824696000000003</v>
      </c>
      <c r="M591" s="318">
        <v>151.09321600000001</v>
      </c>
      <c r="O591">
        <f>INDEX('MEC - traffic congestion'!$M$145:$M$249,MATCH($D591,'MEC - traffic congestion'!$C$145:$C$249,0))</f>
        <v>1</v>
      </c>
      <c r="P591" t="str">
        <f t="shared" si="20"/>
        <v>2024PM PEAK</v>
      </c>
      <c r="Q591">
        <f t="shared" si="21"/>
        <v>1</v>
      </c>
      <c r="R591" s="195" t="str">
        <f t="shared" si="22"/>
        <v>2024LIGHT VEHICLES</v>
      </c>
    </row>
    <row r="592" spans="3:18" x14ac:dyDescent="0.25">
      <c r="C592" s="294" t="s">
        <v>802</v>
      </c>
      <c r="D592" s="317">
        <v>29005</v>
      </c>
      <c r="E592" s="122" t="s">
        <v>803</v>
      </c>
      <c r="F592" s="122" t="s">
        <v>804</v>
      </c>
      <c r="G592" s="122" t="s">
        <v>778</v>
      </c>
      <c r="H592" s="122" t="s">
        <v>777</v>
      </c>
      <c r="I592" s="312">
        <v>2024</v>
      </c>
      <c r="J592" s="122" t="s">
        <v>713</v>
      </c>
      <c r="K592" s="283">
        <v>45683</v>
      </c>
      <c r="L592" s="318">
        <v>-33.824696000000003</v>
      </c>
      <c r="M592" s="318">
        <v>151.09321600000001</v>
      </c>
      <c r="O592">
        <f>INDEX('MEC - traffic congestion'!$M$145:$M$249,MATCH($D592,'MEC - traffic congestion'!$C$145:$C$249,0))</f>
        <v>1</v>
      </c>
      <c r="P592" t="str">
        <f t="shared" si="20"/>
        <v>2024WEEKENDS</v>
      </c>
      <c r="Q592">
        <f t="shared" si="21"/>
        <v>1</v>
      </c>
      <c r="R592" s="195" t="str">
        <f t="shared" si="22"/>
        <v>2024LIGHT VEHICLES</v>
      </c>
    </row>
    <row r="593" spans="3:18" x14ac:dyDescent="0.25">
      <c r="C593" s="294" t="s">
        <v>805</v>
      </c>
      <c r="D593" s="317">
        <v>30011</v>
      </c>
      <c r="E593" s="122" t="s">
        <v>806</v>
      </c>
      <c r="F593" s="122" t="s">
        <v>807</v>
      </c>
      <c r="G593" s="122" t="s">
        <v>786</v>
      </c>
      <c r="H593" s="122" t="s">
        <v>777</v>
      </c>
      <c r="I593" s="312">
        <v>2018</v>
      </c>
      <c r="J593" s="122" t="s">
        <v>709</v>
      </c>
      <c r="K593" s="283">
        <v>6375</v>
      </c>
      <c r="L593" s="318">
        <v>-33.860798000000003</v>
      </c>
      <c r="M593" s="318">
        <v>151.16429099999999</v>
      </c>
      <c r="O593">
        <f>INDEX('MEC - traffic congestion'!$M$145:$M$249,MATCH($D593,'MEC - traffic congestion'!$C$145:$C$249,0))</f>
        <v>0</v>
      </c>
      <c r="P593" t="str">
        <f t="shared" si="20"/>
        <v/>
      </c>
      <c r="Q593">
        <f t="shared" si="21"/>
        <v>1</v>
      </c>
      <c r="R593" s="195" t="str">
        <f t="shared" si="22"/>
        <v/>
      </c>
    </row>
    <row r="594" spans="3:18" x14ac:dyDescent="0.25">
      <c r="C594" s="294" t="s">
        <v>805</v>
      </c>
      <c r="D594" s="317">
        <v>30011</v>
      </c>
      <c r="E594" s="122" t="s">
        <v>806</v>
      </c>
      <c r="F594" s="122" t="s">
        <v>807</v>
      </c>
      <c r="G594" s="122" t="s">
        <v>786</v>
      </c>
      <c r="H594" s="122" t="s">
        <v>777</v>
      </c>
      <c r="I594" s="312">
        <v>2018</v>
      </c>
      <c r="J594" s="122" t="s">
        <v>710</v>
      </c>
      <c r="K594" s="283">
        <v>18264</v>
      </c>
      <c r="L594" s="318">
        <v>-33.860798000000003</v>
      </c>
      <c r="M594" s="318">
        <v>151.16429099999999</v>
      </c>
      <c r="O594">
        <f>INDEX('MEC - traffic congestion'!$M$145:$M$249,MATCH($D594,'MEC - traffic congestion'!$C$145:$C$249,0))</f>
        <v>0</v>
      </c>
      <c r="P594" t="str">
        <f t="shared" si="20"/>
        <v/>
      </c>
      <c r="Q594">
        <f t="shared" si="21"/>
        <v>1</v>
      </c>
      <c r="R594" s="195" t="str">
        <f t="shared" si="22"/>
        <v/>
      </c>
    </row>
    <row r="595" spans="3:18" x14ac:dyDescent="0.25">
      <c r="C595" s="294" t="s">
        <v>805</v>
      </c>
      <c r="D595" s="317">
        <v>30011</v>
      </c>
      <c r="E595" s="122" t="s">
        <v>806</v>
      </c>
      <c r="F595" s="122" t="s">
        <v>807</v>
      </c>
      <c r="G595" s="122" t="s">
        <v>786</v>
      </c>
      <c r="H595" s="122" t="s">
        <v>777</v>
      </c>
      <c r="I595" s="312">
        <v>2018</v>
      </c>
      <c r="J595" s="122" t="s">
        <v>711</v>
      </c>
      <c r="K595" s="283">
        <v>11002</v>
      </c>
      <c r="L595" s="318">
        <v>-33.860798000000003</v>
      </c>
      <c r="M595" s="318">
        <v>151.16429099999999</v>
      </c>
      <c r="O595">
        <f>INDEX('MEC - traffic congestion'!$M$145:$M$249,MATCH($D595,'MEC - traffic congestion'!$C$145:$C$249,0))</f>
        <v>0</v>
      </c>
      <c r="P595" t="str">
        <f t="shared" si="20"/>
        <v/>
      </c>
      <c r="Q595">
        <f t="shared" si="21"/>
        <v>1</v>
      </c>
      <c r="R595" s="195" t="str">
        <f t="shared" si="22"/>
        <v/>
      </c>
    </row>
    <row r="596" spans="3:18" x14ac:dyDescent="0.25">
      <c r="C596" s="294" t="s">
        <v>805</v>
      </c>
      <c r="D596" s="317">
        <v>30011</v>
      </c>
      <c r="E596" s="122" t="s">
        <v>806</v>
      </c>
      <c r="F596" s="122" t="s">
        <v>807</v>
      </c>
      <c r="G596" s="122" t="s">
        <v>786</v>
      </c>
      <c r="H596" s="122" t="s">
        <v>777</v>
      </c>
      <c r="I596" s="312">
        <v>2018</v>
      </c>
      <c r="J596" s="122" t="s">
        <v>712</v>
      </c>
      <c r="K596" s="283">
        <v>24634</v>
      </c>
      <c r="L596" s="318">
        <v>-33.860798000000003</v>
      </c>
      <c r="M596" s="318">
        <v>151.16429099999999</v>
      </c>
      <c r="O596">
        <f>INDEX('MEC - traffic congestion'!$M$145:$M$249,MATCH($D596,'MEC - traffic congestion'!$C$145:$C$249,0))</f>
        <v>0</v>
      </c>
      <c r="P596" t="str">
        <f t="shared" si="20"/>
        <v/>
      </c>
      <c r="Q596">
        <f t="shared" si="21"/>
        <v>1</v>
      </c>
      <c r="R596" s="195" t="str">
        <f t="shared" si="22"/>
        <v/>
      </c>
    </row>
    <row r="597" spans="3:18" x14ac:dyDescent="0.25">
      <c r="C597" s="294" t="s">
        <v>805</v>
      </c>
      <c r="D597" s="317">
        <v>30011</v>
      </c>
      <c r="E597" s="122" t="s">
        <v>806</v>
      </c>
      <c r="F597" s="122" t="s">
        <v>807</v>
      </c>
      <c r="G597" s="122" t="s">
        <v>786</v>
      </c>
      <c r="H597" s="122" t="s">
        <v>777</v>
      </c>
      <c r="I597" s="312">
        <v>2018</v>
      </c>
      <c r="J597" s="122" t="s">
        <v>713</v>
      </c>
      <c r="K597" s="283">
        <v>33654</v>
      </c>
      <c r="L597" s="318">
        <v>-33.860798000000003</v>
      </c>
      <c r="M597" s="318">
        <v>151.16429099999999</v>
      </c>
      <c r="O597">
        <f>INDEX('MEC - traffic congestion'!$M$145:$M$249,MATCH($D597,'MEC - traffic congestion'!$C$145:$C$249,0))</f>
        <v>0</v>
      </c>
      <c r="P597" t="str">
        <f t="shared" ref="P597:P660" si="23">IF($O597=1,$I597&amp;$J597,"")</f>
        <v/>
      </c>
      <c r="Q597">
        <f t="shared" ref="Q597:Q660" si="24">IF(AND($M597&gt;150.246,AND($L597&gt;-34.397,$L597&lt;-32.662)),1,0)</f>
        <v>1</v>
      </c>
      <c r="R597" s="195" t="str">
        <f t="shared" ref="R597:R660" si="25">IF($O597=1,$I597&amp;$H597,"")</f>
        <v/>
      </c>
    </row>
    <row r="598" spans="3:18" x14ac:dyDescent="0.25">
      <c r="C598" s="294" t="s">
        <v>805</v>
      </c>
      <c r="D598" s="317">
        <v>30011</v>
      </c>
      <c r="E598" s="122" t="s">
        <v>806</v>
      </c>
      <c r="F598" s="122" t="s">
        <v>807</v>
      </c>
      <c r="G598" s="122" t="s">
        <v>786</v>
      </c>
      <c r="H598" s="122" t="s">
        <v>777</v>
      </c>
      <c r="I598" s="312">
        <v>2019</v>
      </c>
      <c r="J598" s="122" t="s">
        <v>709</v>
      </c>
      <c r="K598" s="283">
        <v>6043</v>
      </c>
      <c r="L598" s="318">
        <v>-33.860798000000003</v>
      </c>
      <c r="M598" s="318">
        <v>151.16429099999999</v>
      </c>
      <c r="O598">
        <f>INDEX('MEC - traffic congestion'!$M$145:$M$249,MATCH($D598,'MEC - traffic congestion'!$C$145:$C$249,0))</f>
        <v>0</v>
      </c>
      <c r="P598" t="str">
        <f t="shared" si="23"/>
        <v/>
      </c>
      <c r="Q598">
        <f t="shared" si="24"/>
        <v>1</v>
      </c>
      <c r="R598" s="195" t="str">
        <f t="shared" si="25"/>
        <v/>
      </c>
    </row>
    <row r="599" spans="3:18" x14ac:dyDescent="0.25">
      <c r="C599" s="294" t="s">
        <v>805</v>
      </c>
      <c r="D599" s="317">
        <v>30011</v>
      </c>
      <c r="E599" s="122" t="s">
        <v>806</v>
      </c>
      <c r="F599" s="122" t="s">
        <v>807</v>
      </c>
      <c r="G599" s="122" t="s">
        <v>786</v>
      </c>
      <c r="H599" s="122" t="s">
        <v>777</v>
      </c>
      <c r="I599" s="312">
        <v>2019</v>
      </c>
      <c r="J599" s="122" t="s">
        <v>710</v>
      </c>
      <c r="K599" s="283">
        <v>17508</v>
      </c>
      <c r="L599" s="318">
        <v>-33.860798000000003</v>
      </c>
      <c r="M599" s="318">
        <v>151.16429099999999</v>
      </c>
      <c r="O599">
        <f>INDEX('MEC - traffic congestion'!$M$145:$M$249,MATCH($D599,'MEC - traffic congestion'!$C$145:$C$249,0))</f>
        <v>0</v>
      </c>
      <c r="P599" t="str">
        <f t="shared" si="23"/>
        <v/>
      </c>
      <c r="Q599">
        <f t="shared" si="24"/>
        <v>1</v>
      </c>
      <c r="R599" s="195" t="str">
        <f t="shared" si="25"/>
        <v/>
      </c>
    </row>
    <row r="600" spans="3:18" x14ac:dyDescent="0.25">
      <c r="C600" s="294" t="s">
        <v>805</v>
      </c>
      <c r="D600" s="317">
        <v>30011</v>
      </c>
      <c r="E600" s="122" t="s">
        <v>806</v>
      </c>
      <c r="F600" s="122" t="s">
        <v>807</v>
      </c>
      <c r="G600" s="122" t="s">
        <v>786</v>
      </c>
      <c r="H600" s="122" t="s">
        <v>777</v>
      </c>
      <c r="I600" s="312">
        <v>2019</v>
      </c>
      <c r="J600" s="122" t="s">
        <v>711</v>
      </c>
      <c r="K600" s="283">
        <v>10850</v>
      </c>
      <c r="L600" s="318">
        <v>-33.860798000000003</v>
      </c>
      <c r="M600" s="318">
        <v>151.16429099999999</v>
      </c>
      <c r="O600">
        <f>INDEX('MEC - traffic congestion'!$M$145:$M$249,MATCH($D600,'MEC - traffic congestion'!$C$145:$C$249,0))</f>
        <v>0</v>
      </c>
      <c r="P600" t="str">
        <f t="shared" si="23"/>
        <v/>
      </c>
      <c r="Q600">
        <f t="shared" si="24"/>
        <v>1</v>
      </c>
      <c r="R600" s="195" t="str">
        <f t="shared" si="25"/>
        <v/>
      </c>
    </row>
    <row r="601" spans="3:18" x14ac:dyDescent="0.25">
      <c r="C601" s="294" t="s">
        <v>805</v>
      </c>
      <c r="D601" s="317">
        <v>30011</v>
      </c>
      <c r="E601" s="122" t="s">
        <v>806</v>
      </c>
      <c r="F601" s="122" t="s">
        <v>807</v>
      </c>
      <c r="G601" s="122" t="s">
        <v>786</v>
      </c>
      <c r="H601" s="122" t="s">
        <v>777</v>
      </c>
      <c r="I601" s="312">
        <v>2019</v>
      </c>
      <c r="J601" s="122" t="s">
        <v>712</v>
      </c>
      <c r="K601" s="283">
        <v>25713</v>
      </c>
      <c r="L601" s="318">
        <v>-33.860798000000003</v>
      </c>
      <c r="M601" s="318">
        <v>151.16429099999999</v>
      </c>
      <c r="O601">
        <f>INDEX('MEC - traffic congestion'!$M$145:$M$249,MATCH($D601,'MEC - traffic congestion'!$C$145:$C$249,0))</f>
        <v>0</v>
      </c>
      <c r="P601" t="str">
        <f t="shared" si="23"/>
        <v/>
      </c>
      <c r="Q601">
        <f t="shared" si="24"/>
        <v>1</v>
      </c>
      <c r="R601" s="195" t="str">
        <f t="shared" si="25"/>
        <v/>
      </c>
    </row>
    <row r="602" spans="3:18" x14ac:dyDescent="0.25">
      <c r="C602" s="294" t="s">
        <v>805</v>
      </c>
      <c r="D602" s="317">
        <v>30011</v>
      </c>
      <c r="E602" s="122" t="s">
        <v>806</v>
      </c>
      <c r="F602" s="122" t="s">
        <v>807</v>
      </c>
      <c r="G602" s="122" t="s">
        <v>786</v>
      </c>
      <c r="H602" s="122" t="s">
        <v>777</v>
      </c>
      <c r="I602" s="312">
        <v>2019</v>
      </c>
      <c r="J602" s="122" t="s">
        <v>713</v>
      </c>
      <c r="K602" s="283">
        <v>32559</v>
      </c>
      <c r="L602" s="318">
        <v>-33.860798000000003</v>
      </c>
      <c r="M602" s="318">
        <v>151.16429099999999</v>
      </c>
      <c r="O602">
        <f>INDEX('MEC - traffic congestion'!$M$145:$M$249,MATCH($D602,'MEC - traffic congestion'!$C$145:$C$249,0))</f>
        <v>0</v>
      </c>
      <c r="P602" t="str">
        <f t="shared" si="23"/>
        <v/>
      </c>
      <c r="Q602">
        <f t="shared" si="24"/>
        <v>1</v>
      </c>
      <c r="R602" s="195" t="str">
        <f t="shared" si="25"/>
        <v/>
      </c>
    </row>
    <row r="603" spans="3:18" x14ac:dyDescent="0.25">
      <c r="C603" s="294" t="s">
        <v>808</v>
      </c>
      <c r="D603" s="317">
        <v>32029</v>
      </c>
      <c r="E603" s="122" t="s">
        <v>809</v>
      </c>
      <c r="F603" s="122" t="s">
        <v>810</v>
      </c>
      <c r="G603" s="122" t="s">
        <v>776</v>
      </c>
      <c r="H603" s="122" t="s">
        <v>777</v>
      </c>
      <c r="I603" s="312">
        <v>2019</v>
      </c>
      <c r="J603" s="122" t="s">
        <v>709</v>
      </c>
      <c r="K603" s="283">
        <v>6654</v>
      </c>
      <c r="L603" s="318">
        <v>-33.821174999999997</v>
      </c>
      <c r="M603" s="318">
        <v>151.149902</v>
      </c>
      <c r="O603">
        <f>INDEX('MEC - traffic congestion'!$M$145:$M$249,MATCH($D603,'MEC - traffic congestion'!$C$145:$C$249,0))</f>
        <v>1</v>
      </c>
      <c r="P603" t="str">
        <f t="shared" si="23"/>
        <v>2019AM PEAK</v>
      </c>
      <c r="Q603">
        <f t="shared" si="24"/>
        <v>1</v>
      </c>
      <c r="R603" s="195" t="str">
        <f t="shared" si="25"/>
        <v>2019LIGHT VEHICLES</v>
      </c>
    </row>
    <row r="604" spans="3:18" x14ac:dyDescent="0.25">
      <c r="C604" s="294" t="s">
        <v>808</v>
      </c>
      <c r="D604" s="317">
        <v>32029</v>
      </c>
      <c r="E604" s="122" t="s">
        <v>809</v>
      </c>
      <c r="F604" s="122" t="s">
        <v>810</v>
      </c>
      <c r="G604" s="122" t="s">
        <v>778</v>
      </c>
      <c r="H604" s="122" t="s">
        <v>777</v>
      </c>
      <c r="I604" s="312">
        <v>2019</v>
      </c>
      <c r="J604" s="122" t="s">
        <v>709</v>
      </c>
      <c r="K604" s="283">
        <v>4135</v>
      </c>
      <c r="L604" s="318">
        <v>-33.821174999999997</v>
      </c>
      <c r="M604" s="318">
        <v>151.149902</v>
      </c>
      <c r="O604">
        <f>INDEX('MEC - traffic congestion'!$M$145:$M$249,MATCH($D604,'MEC - traffic congestion'!$C$145:$C$249,0))</f>
        <v>1</v>
      </c>
      <c r="P604" t="str">
        <f t="shared" si="23"/>
        <v>2019AM PEAK</v>
      </c>
      <c r="Q604">
        <f t="shared" si="24"/>
        <v>1</v>
      </c>
      <c r="R604" s="195" t="str">
        <f t="shared" si="25"/>
        <v>2019LIGHT VEHICLES</v>
      </c>
    </row>
    <row r="605" spans="3:18" x14ac:dyDescent="0.25">
      <c r="C605" s="294" t="s">
        <v>808</v>
      </c>
      <c r="D605" s="317">
        <v>32029</v>
      </c>
      <c r="E605" s="122" t="s">
        <v>809</v>
      </c>
      <c r="F605" s="122" t="s">
        <v>810</v>
      </c>
      <c r="G605" s="122" t="s">
        <v>776</v>
      </c>
      <c r="H605" s="122" t="s">
        <v>777</v>
      </c>
      <c r="I605" s="312">
        <v>2019</v>
      </c>
      <c r="J605" s="122" t="s">
        <v>710</v>
      </c>
      <c r="K605" s="283">
        <v>8243</v>
      </c>
      <c r="L605" s="318">
        <v>-33.821174999999997</v>
      </c>
      <c r="M605" s="318">
        <v>151.149902</v>
      </c>
      <c r="O605">
        <f>INDEX('MEC - traffic congestion'!$M$145:$M$249,MATCH($D605,'MEC - traffic congestion'!$C$145:$C$249,0))</f>
        <v>1</v>
      </c>
      <c r="P605" t="str">
        <f t="shared" si="23"/>
        <v>2019OFF PEAK</v>
      </c>
      <c r="Q605">
        <f t="shared" si="24"/>
        <v>1</v>
      </c>
      <c r="R605" s="195" t="str">
        <f t="shared" si="25"/>
        <v>2019LIGHT VEHICLES</v>
      </c>
    </row>
    <row r="606" spans="3:18" x14ac:dyDescent="0.25">
      <c r="C606" s="294" t="s">
        <v>808</v>
      </c>
      <c r="D606" s="317">
        <v>32029</v>
      </c>
      <c r="E606" s="122" t="s">
        <v>809</v>
      </c>
      <c r="F606" s="122" t="s">
        <v>810</v>
      </c>
      <c r="G606" s="122" t="s">
        <v>778</v>
      </c>
      <c r="H606" s="122" t="s">
        <v>777</v>
      </c>
      <c r="I606" s="312">
        <v>2019</v>
      </c>
      <c r="J606" s="122" t="s">
        <v>710</v>
      </c>
      <c r="K606" s="283">
        <v>10247</v>
      </c>
      <c r="L606" s="318">
        <v>-33.821174999999997</v>
      </c>
      <c r="M606" s="318">
        <v>151.149902</v>
      </c>
      <c r="O606">
        <f>INDEX('MEC - traffic congestion'!$M$145:$M$249,MATCH($D606,'MEC - traffic congestion'!$C$145:$C$249,0))</f>
        <v>1</v>
      </c>
      <c r="P606" t="str">
        <f t="shared" si="23"/>
        <v>2019OFF PEAK</v>
      </c>
      <c r="Q606">
        <f t="shared" si="24"/>
        <v>1</v>
      </c>
      <c r="R606" s="195" t="str">
        <f t="shared" si="25"/>
        <v>2019LIGHT VEHICLES</v>
      </c>
    </row>
    <row r="607" spans="3:18" x14ac:dyDescent="0.25">
      <c r="C607" s="294" t="s">
        <v>808</v>
      </c>
      <c r="D607" s="317">
        <v>32029</v>
      </c>
      <c r="E607" s="122" t="s">
        <v>809</v>
      </c>
      <c r="F607" s="122" t="s">
        <v>810</v>
      </c>
      <c r="G607" s="122" t="s">
        <v>776</v>
      </c>
      <c r="H607" s="122" t="s">
        <v>777</v>
      </c>
      <c r="I607" s="312">
        <v>2019</v>
      </c>
      <c r="J607" s="122" t="s">
        <v>711</v>
      </c>
      <c r="K607" s="283">
        <v>4412</v>
      </c>
      <c r="L607" s="318">
        <v>-33.821174999999997</v>
      </c>
      <c r="M607" s="318">
        <v>151.149902</v>
      </c>
      <c r="O607">
        <f>INDEX('MEC - traffic congestion'!$M$145:$M$249,MATCH($D607,'MEC - traffic congestion'!$C$145:$C$249,0))</f>
        <v>1</v>
      </c>
      <c r="P607" t="str">
        <f t="shared" si="23"/>
        <v>2019PM PEAK</v>
      </c>
      <c r="Q607">
        <f t="shared" si="24"/>
        <v>1</v>
      </c>
      <c r="R607" s="195" t="str">
        <f t="shared" si="25"/>
        <v>2019LIGHT VEHICLES</v>
      </c>
    </row>
    <row r="608" spans="3:18" x14ac:dyDescent="0.25">
      <c r="C608" s="294" t="s">
        <v>808</v>
      </c>
      <c r="D608" s="317">
        <v>32029</v>
      </c>
      <c r="E608" s="122" t="s">
        <v>809</v>
      </c>
      <c r="F608" s="122" t="s">
        <v>810</v>
      </c>
      <c r="G608" s="122" t="s">
        <v>778</v>
      </c>
      <c r="H608" s="122" t="s">
        <v>777</v>
      </c>
      <c r="I608" s="312">
        <v>2019</v>
      </c>
      <c r="J608" s="122" t="s">
        <v>711</v>
      </c>
      <c r="K608" s="283">
        <v>7093</v>
      </c>
      <c r="L608" s="318">
        <v>-33.821174999999997</v>
      </c>
      <c r="M608" s="318">
        <v>151.149902</v>
      </c>
      <c r="O608">
        <f>INDEX('MEC - traffic congestion'!$M$145:$M$249,MATCH($D608,'MEC - traffic congestion'!$C$145:$C$249,0))</f>
        <v>1</v>
      </c>
      <c r="P608" t="str">
        <f t="shared" si="23"/>
        <v>2019PM PEAK</v>
      </c>
      <c r="Q608">
        <f t="shared" si="24"/>
        <v>1</v>
      </c>
      <c r="R608" s="195" t="str">
        <f t="shared" si="25"/>
        <v>2019LIGHT VEHICLES</v>
      </c>
    </row>
    <row r="609" spans="3:18" x14ac:dyDescent="0.25">
      <c r="C609" s="294" t="s">
        <v>808</v>
      </c>
      <c r="D609" s="317">
        <v>32029</v>
      </c>
      <c r="E609" s="122" t="s">
        <v>809</v>
      </c>
      <c r="F609" s="122" t="s">
        <v>810</v>
      </c>
      <c r="G609" s="122" t="s">
        <v>776</v>
      </c>
      <c r="H609" s="122" t="s">
        <v>777</v>
      </c>
      <c r="I609" s="312">
        <v>2019</v>
      </c>
      <c r="J609" s="122" t="s">
        <v>712</v>
      </c>
      <c r="K609" s="283">
        <v>11943</v>
      </c>
      <c r="L609" s="318">
        <v>-33.821174999999997</v>
      </c>
      <c r="M609" s="318">
        <v>151.149902</v>
      </c>
      <c r="O609">
        <f>INDEX('MEC - traffic congestion'!$M$145:$M$249,MATCH($D609,'MEC - traffic congestion'!$C$145:$C$249,0))</f>
        <v>1</v>
      </c>
      <c r="P609" t="str">
        <f t="shared" si="23"/>
        <v>2019PUBLIC HOLIDAYS</v>
      </c>
      <c r="Q609">
        <f t="shared" si="24"/>
        <v>1</v>
      </c>
      <c r="R609" s="195" t="str">
        <f t="shared" si="25"/>
        <v>2019LIGHT VEHICLES</v>
      </c>
    </row>
    <row r="610" spans="3:18" x14ac:dyDescent="0.25">
      <c r="C610" s="294" t="s">
        <v>808</v>
      </c>
      <c r="D610" s="317">
        <v>32029</v>
      </c>
      <c r="E610" s="122" t="s">
        <v>809</v>
      </c>
      <c r="F610" s="122" t="s">
        <v>810</v>
      </c>
      <c r="G610" s="122" t="s">
        <v>778</v>
      </c>
      <c r="H610" s="122" t="s">
        <v>777</v>
      </c>
      <c r="I610" s="312">
        <v>2019</v>
      </c>
      <c r="J610" s="122" t="s">
        <v>712</v>
      </c>
      <c r="K610" s="283">
        <v>14331</v>
      </c>
      <c r="L610" s="318">
        <v>-33.821174999999997</v>
      </c>
      <c r="M610" s="318">
        <v>151.149902</v>
      </c>
      <c r="O610">
        <f>INDEX('MEC - traffic congestion'!$M$145:$M$249,MATCH($D610,'MEC - traffic congestion'!$C$145:$C$249,0))</f>
        <v>1</v>
      </c>
      <c r="P610" t="str">
        <f t="shared" si="23"/>
        <v>2019PUBLIC HOLIDAYS</v>
      </c>
      <c r="Q610">
        <f t="shared" si="24"/>
        <v>1</v>
      </c>
      <c r="R610" s="195" t="str">
        <f t="shared" si="25"/>
        <v>2019LIGHT VEHICLES</v>
      </c>
    </row>
    <row r="611" spans="3:18" x14ac:dyDescent="0.25">
      <c r="C611" s="294" t="s">
        <v>808</v>
      </c>
      <c r="D611" s="317">
        <v>32029</v>
      </c>
      <c r="E611" s="122" t="s">
        <v>809</v>
      </c>
      <c r="F611" s="122" t="s">
        <v>810</v>
      </c>
      <c r="G611" s="122" t="s">
        <v>776</v>
      </c>
      <c r="H611" s="122" t="s">
        <v>777</v>
      </c>
      <c r="I611" s="312">
        <v>2019</v>
      </c>
      <c r="J611" s="122" t="s">
        <v>713</v>
      </c>
      <c r="K611" s="283">
        <v>15491</v>
      </c>
      <c r="L611" s="318">
        <v>-33.821174999999997</v>
      </c>
      <c r="M611" s="318">
        <v>151.149902</v>
      </c>
      <c r="O611">
        <f>INDEX('MEC - traffic congestion'!$M$145:$M$249,MATCH($D611,'MEC - traffic congestion'!$C$145:$C$249,0))</f>
        <v>1</v>
      </c>
      <c r="P611" t="str">
        <f t="shared" si="23"/>
        <v>2019WEEKENDS</v>
      </c>
      <c r="Q611">
        <f t="shared" si="24"/>
        <v>1</v>
      </c>
      <c r="R611" s="195" t="str">
        <f t="shared" si="25"/>
        <v>2019LIGHT VEHICLES</v>
      </c>
    </row>
    <row r="612" spans="3:18" x14ac:dyDescent="0.25">
      <c r="C612" s="294" t="s">
        <v>808</v>
      </c>
      <c r="D612" s="317">
        <v>32029</v>
      </c>
      <c r="E612" s="122" t="s">
        <v>809</v>
      </c>
      <c r="F612" s="122" t="s">
        <v>810</v>
      </c>
      <c r="G612" s="122" t="s">
        <v>778</v>
      </c>
      <c r="H612" s="122" t="s">
        <v>777</v>
      </c>
      <c r="I612" s="312">
        <v>2019</v>
      </c>
      <c r="J612" s="122" t="s">
        <v>713</v>
      </c>
      <c r="K612" s="283">
        <v>18429</v>
      </c>
      <c r="L612" s="318">
        <v>-33.821174999999997</v>
      </c>
      <c r="M612" s="318">
        <v>151.149902</v>
      </c>
      <c r="O612">
        <f>INDEX('MEC - traffic congestion'!$M$145:$M$249,MATCH($D612,'MEC - traffic congestion'!$C$145:$C$249,0))</f>
        <v>1</v>
      </c>
      <c r="P612" t="str">
        <f t="shared" si="23"/>
        <v>2019WEEKENDS</v>
      </c>
      <c r="Q612">
        <f t="shared" si="24"/>
        <v>1</v>
      </c>
      <c r="R612" s="195" t="str">
        <f t="shared" si="25"/>
        <v>2019LIGHT VEHICLES</v>
      </c>
    </row>
    <row r="613" spans="3:18" x14ac:dyDescent="0.25">
      <c r="C613" s="294" t="s">
        <v>808</v>
      </c>
      <c r="D613" s="317">
        <v>32029</v>
      </c>
      <c r="E613" s="122" t="s">
        <v>809</v>
      </c>
      <c r="F613" s="122" t="s">
        <v>810</v>
      </c>
      <c r="G613" s="122" t="s">
        <v>776</v>
      </c>
      <c r="H613" s="122" t="s">
        <v>777</v>
      </c>
      <c r="I613" s="312">
        <v>2020</v>
      </c>
      <c r="J613" s="122" t="s">
        <v>709</v>
      </c>
      <c r="K613" s="283">
        <v>5667</v>
      </c>
      <c r="L613" s="318">
        <v>-33.821174999999997</v>
      </c>
      <c r="M613" s="318">
        <v>151.149902</v>
      </c>
      <c r="O613">
        <f>INDEX('MEC - traffic congestion'!$M$145:$M$249,MATCH($D613,'MEC - traffic congestion'!$C$145:$C$249,0))</f>
        <v>1</v>
      </c>
      <c r="P613" t="str">
        <f t="shared" si="23"/>
        <v>2020AM PEAK</v>
      </c>
      <c r="Q613">
        <f t="shared" si="24"/>
        <v>1</v>
      </c>
      <c r="R613" s="195" t="str">
        <f t="shared" si="25"/>
        <v>2020LIGHT VEHICLES</v>
      </c>
    </row>
    <row r="614" spans="3:18" x14ac:dyDescent="0.25">
      <c r="C614" s="294" t="s">
        <v>808</v>
      </c>
      <c r="D614" s="317">
        <v>32029</v>
      </c>
      <c r="E614" s="122" t="s">
        <v>809</v>
      </c>
      <c r="F614" s="122" t="s">
        <v>810</v>
      </c>
      <c r="G614" s="122" t="s">
        <v>778</v>
      </c>
      <c r="H614" s="122" t="s">
        <v>777</v>
      </c>
      <c r="I614" s="312">
        <v>2020</v>
      </c>
      <c r="J614" s="122" t="s">
        <v>709</v>
      </c>
      <c r="K614" s="283">
        <v>3852</v>
      </c>
      <c r="L614" s="318">
        <v>-33.821174999999997</v>
      </c>
      <c r="M614" s="318">
        <v>151.149902</v>
      </c>
      <c r="O614">
        <f>INDEX('MEC - traffic congestion'!$M$145:$M$249,MATCH($D614,'MEC - traffic congestion'!$C$145:$C$249,0))</f>
        <v>1</v>
      </c>
      <c r="P614" t="str">
        <f t="shared" si="23"/>
        <v>2020AM PEAK</v>
      </c>
      <c r="Q614">
        <f t="shared" si="24"/>
        <v>1</v>
      </c>
      <c r="R614" s="195" t="str">
        <f t="shared" si="25"/>
        <v>2020LIGHT VEHICLES</v>
      </c>
    </row>
    <row r="615" spans="3:18" x14ac:dyDescent="0.25">
      <c r="C615" s="294" t="s">
        <v>808</v>
      </c>
      <c r="D615" s="317">
        <v>32029</v>
      </c>
      <c r="E615" s="122" t="s">
        <v>809</v>
      </c>
      <c r="F615" s="122" t="s">
        <v>810</v>
      </c>
      <c r="G615" s="122" t="s">
        <v>776</v>
      </c>
      <c r="H615" s="122" t="s">
        <v>777</v>
      </c>
      <c r="I615" s="312">
        <v>2020</v>
      </c>
      <c r="J615" s="122" t="s">
        <v>710</v>
      </c>
      <c r="K615" s="283">
        <v>7183</v>
      </c>
      <c r="L615" s="318">
        <v>-33.821174999999997</v>
      </c>
      <c r="M615" s="318">
        <v>151.149902</v>
      </c>
      <c r="O615">
        <f>INDEX('MEC - traffic congestion'!$M$145:$M$249,MATCH($D615,'MEC - traffic congestion'!$C$145:$C$249,0))</f>
        <v>1</v>
      </c>
      <c r="P615" t="str">
        <f t="shared" si="23"/>
        <v>2020OFF PEAK</v>
      </c>
      <c r="Q615">
        <f t="shared" si="24"/>
        <v>1</v>
      </c>
      <c r="R615" s="195" t="str">
        <f t="shared" si="25"/>
        <v>2020LIGHT VEHICLES</v>
      </c>
    </row>
    <row r="616" spans="3:18" x14ac:dyDescent="0.25">
      <c r="C616" s="294" t="s">
        <v>808</v>
      </c>
      <c r="D616" s="317">
        <v>32029</v>
      </c>
      <c r="E616" s="122" t="s">
        <v>809</v>
      </c>
      <c r="F616" s="122" t="s">
        <v>810</v>
      </c>
      <c r="G616" s="122" t="s">
        <v>778</v>
      </c>
      <c r="H616" s="122" t="s">
        <v>777</v>
      </c>
      <c r="I616" s="312">
        <v>2020</v>
      </c>
      <c r="J616" s="122" t="s">
        <v>710</v>
      </c>
      <c r="K616" s="283">
        <v>8905</v>
      </c>
      <c r="L616" s="318">
        <v>-33.821174999999997</v>
      </c>
      <c r="M616" s="318">
        <v>151.149902</v>
      </c>
      <c r="O616">
        <f>INDEX('MEC - traffic congestion'!$M$145:$M$249,MATCH($D616,'MEC - traffic congestion'!$C$145:$C$249,0))</f>
        <v>1</v>
      </c>
      <c r="P616" t="str">
        <f t="shared" si="23"/>
        <v>2020OFF PEAK</v>
      </c>
      <c r="Q616">
        <f t="shared" si="24"/>
        <v>1</v>
      </c>
      <c r="R616" s="195" t="str">
        <f t="shared" si="25"/>
        <v>2020LIGHT VEHICLES</v>
      </c>
    </row>
    <row r="617" spans="3:18" x14ac:dyDescent="0.25">
      <c r="C617" s="294" t="s">
        <v>808</v>
      </c>
      <c r="D617" s="317">
        <v>32029</v>
      </c>
      <c r="E617" s="122" t="s">
        <v>809</v>
      </c>
      <c r="F617" s="122" t="s">
        <v>810</v>
      </c>
      <c r="G617" s="122" t="s">
        <v>776</v>
      </c>
      <c r="H617" s="122" t="s">
        <v>777</v>
      </c>
      <c r="I617" s="312">
        <v>2020</v>
      </c>
      <c r="J617" s="122" t="s">
        <v>711</v>
      </c>
      <c r="K617" s="283">
        <v>3923</v>
      </c>
      <c r="L617" s="318">
        <v>-33.821174999999997</v>
      </c>
      <c r="M617" s="318">
        <v>151.149902</v>
      </c>
      <c r="O617">
        <f>INDEX('MEC - traffic congestion'!$M$145:$M$249,MATCH($D617,'MEC - traffic congestion'!$C$145:$C$249,0))</f>
        <v>1</v>
      </c>
      <c r="P617" t="str">
        <f t="shared" si="23"/>
        <v>2020PM PEAK</v>
      </c>
      <c r="Q617">
        <f t="shared" si="24"/>
        <v>1</v>
      </c>
      <c r="R617" s="195" t="str">
        <f t="shared" si="25"/>
        <v>2020LIGHT VEHICLES</v>
      </c>
    </row>
    <row r="618" spans="3:18" x14ac:dyDescent="0.25">
      <c r="C618" s="294" t="s">
        <v>808</v>
      </c>
      <c r="D618" s="317">
        <v>32029</v>
      </c>
      <c r="E618" s="122" t="s">
        <v>809</v>
      </c>
      <c r="F618" s="122" t="s">
        <v>810</v>
      </c>
      <c r="G618" s="122" t="s">
        <v>778</v>
      </c>
      <c r="H618" s="122" t="s">
        <v>777</v>
      </c>
      <c r="I618" s="312">
        <v>2020</v>
      </c>
      <c r="J618" s="122" t="s">
        <v>711</v>
      </c>
      <c r="K618" s="283">
        <v>6274</v>
      </c>
      <c r="L618" s="318">
        <v>-33.821174999999997</v>
      </c>
      <c r="M618" s="318">
        <v>151.149902</v>
      </c>
      <c r="O618">
        <f>INDEX('MEC - traffic congestion'!$M$145:$M$249,MATCH($D618,'MEC - traffic congestion'!$C$145:$C$249,0))</f>
        <v>1</v>
      </c>
      <c r="P618" t="str">
        <f t="shared" si="23"/>
        <v>2020PM PEAK</v>
      </c>
      <c r="Q618">
        <f t="shared" si="24"/>
        <v>1</v>
      </c>
      <c r="R618" s="195" t="str">
        <f t="shared" si="25"/>
        <v>2020LIGHT VEHICLES</v>
      </c>
    </row>
    <row r="619" spans="3:18" x14ac:dyDescent="0.25">
      <c r="C619" s="294" t="s">
        <v>808</v>
      </c>
      <c r="D619" s="317">
        <v>32029</v>
      </c>
      <c r="E619" s="122" t="s">
        <v>809</v>
      </c>
      <c r="F619" s="122" t="s">
        <v>810</v>
      </c>
      <c r="G619" s="122" t="s">
        <v>776</v>
      </c>
      <c r="H619" s="122" t="s">
        <v>777</v>
      </c>
      <c r="I619" s="312">
        <v>2020</v>
      </c>
      <c r="J619" s="122" t="s">
        <v>712</v>
      </c>
      <c r="K619" s="283">
        <v>9330</v>
      </c>
      <c r="L619" s="318">
        <v>-33.821174999999997</v>
      </c>
      <c r="M619" s="318">
        <v>151.149902</v>
      </c>
      <c r="O619">
        <f>INDEX('MEC - traffic congestion'!$M$145:$M$249,MATCH($D619,'MEC - traffic congestion'!$C$145:$C$249,0))</f>
        <v>1</v>
      </c>
      <c r="P619" t="str">
        <f t="shared" si="23"/>
        <v>2020PUBLIC HOLIDAYS</v>
      </c>
      <c r="Q619">
        <f t="shared" si="24"/>
        <v>1</v>
      </c>
      <c r="R619" s="195" t="str">
        <f t="shared" si="25"/>
        <v>2020LIGHT VEHICLES</v>
      </c>
    </row>
    <row r="620" spans="3:18" x14ac:dyDescent="0.25">
      <c r="C620" s="294" t="s">
        <v>808</v>
      </c>
      <c r="D620" s="317">
        <v>32029</v>
      </c>
      <c r="E620" s="122" t="s">
        <v>809</v>
      </c>
      <c r="F620" s="122" t="s">
        <v>810</v>
      </c>
      <c r="G620" s="122" t="s">
        <v>778</v>
      </c>
      <c r="H620" s="122" t="s">
        <v>777</v>
      </c>
      <c r="I620" s="312">
        <v>2020</v>
      </c>
      <c r="J620" s="122" t="s">
        <v>712</v>
      </c>
      <c r="K620" s="283">
        <v>11479</v>
      </c>
      <c r="L620" s="318">
        <v>-33.821174999999997</v>
      </c>
      <c r="M620" s="318">
        <v>151.149902</v>
      </c>
      <c r="O620">
        <f>INDEX('MEC - traffic congestion'!$M$145:$M$249,MATCH($D620,'MEC - traffic congestion'!$C$145:$C$249,0))</f>
        <v>1</v>
      </c>
      <c r="P620" t="str">
        <f t="shared" si="23"/>
        <v>2020PUBLIC HOLIDAYS</v>
      </c>
      <c r="Q620">
        <f t="shared" si="24"/>
        <v>1</v>
      </c>
      <c r="R620" s="195" t="str">
        <f t="shared" si="25"/>
        <v>2020LIGHT VEHICLES</v>
      </c>
    </row>
    <row r="621" spans="3:18" x14ac:dyDescent="0.25">
      <c r="C621" s="294" t="s">
        <v>808</v>
      </c>
      <c r="D621" s="317">
        <v>32029</v>
      </c>
      <c r="E621" s="122" t="s">
        <v>809</v>
      </c>
      <c r="F621" s="122" t="s">
        <v>810</v>
      </c>
      <c r="G621" s="122" t="s">
        <v>776</v>
      </c>
      <c r="H621" s="122" t="s">
        <v>777</v>
      </c>
      <c r="I621" s="312">
        <v>2020</v>
      </c>
      <c r="J621" s="122" t="s">
        <v>713</v>
      </c>
      <c r="K621" s="283">
        <v>13185</v>
      </c>
      <c r="L621" s="318">
        <v>-33.821174999999997</v>
      </c>
      <c r="M621" s="318">
        <v>151.149902</v>
      </c>
      <c r="O621">
        <f>INDEX('MEC - traffic congestion'!$M$145:$M$249,MATCH($D621,'MEC - traffic congestion'!$C$145:$C$249,0))</f>
        <v>1</v>
      </c>
      <c r="P621" t="str">
        <f t="shared" si="23"/>
        <v>2020WEEKENDS</v>
      </c>
      <c r="Q621">
        <f t="shared" si="24"/>
        <v>1</v>
      </c>
      <c r="R621" s="195" t="str">
        <f t="shared" si="25"/>
        <v>2020LIGHT VEHICLES</v>
      </c>
    </row>
    <row r="622" spans="3:18" x14ac:dyDescent="0.25">
      <c r="C622" s="294" t="s">
        <v>808</v>
      </c>
      <c r="D622" s="317">
        <v>32029</v>
      </c>
      <c r="E622" s="122" t="s">
        <v>809</v>
      </c>
      <c r="F622" s="122" t="s">
        <v>810</v>
      </c>
      <c r="G622" s="122" t="s">
        <v>778</v>
      </c>
      <c r="H622" s="122" t="s">
        <v>777</v>
      </c>
      <c r="I622" s="312">
        <v>2020</v>
      </c>
      <c r="J622" s="122" t="s">
        <v>713</v>
      </c>
      <c r="K622" s="283">
        <v>15848</v>
      </c>
      <c r="L622" s="318">
        <v>-33.821174999999997</v>
      </c>
      <c r="M622" s="318">
        <v>151.149902</v>
      </c>
      <c r="O622">
        <f>INDEX('MEC - traffic congestion'!$M$145:$M$249,MATCH($D622,'MEC - traffic congestion'!$C$145:$C$249,0))</f>
        <v>1</v>
      </c>
      <c r="P622" t="str">
        <f t="shared" si="23"/>
        <v>2020WEEKENDS</v>
      </c>
      <c r="Q622">
        <f t="shared" si="24"/>
        <v>1</v>
      </c>
      <c r="R622" s="195" t="str">
        <f t="shared" si="25"/>
        <v>2020LIGHT VEHICLES</v>
      </c>
    </row>
    <row r="623" spans="3:18" x14ac:dyDescent="0.25">
      <c r="C623" s="294" t="s">
        <v>808</v>
      </c>
      <c r="D623" s="317">
        <v>32029</v>
      </c>
      <c r="E623" s="122" t="s">
        <v>809</v>
      </c>
      <c r="F623" s="122" t="s">
        <v>810</v>
      </c>
      <c r="G623" s="122" t="s">
        <v>776</v>
      </c>
      <c r="H623" s="122" t="s">
        <v>777</v>
      </c>
      <c r="I623" s="312">
        <v>2021</v>
      </c>
      <c r="J623" s="122" t="s">
        <v>709</v>
      </c>
      <c r="K623" s="283">
        <v>5844</v>
      </c>
      <c r="L623" s="318">
        <v>-33.821174999999997</v>
      </c>
      <c r="M623" s="318">
        <v>151.149902</v>
      </c>
      <c r="O623">
        <f>INDEX('MEC - traffic congestion'!$M$145:$M$249,MATCH($D623,'MEC - traffic congestion'!$C$145:$C$249,0))</f>
        <v>1</v>
      </c>
      <c r="P623" t="str">
        <f t="shared" si="23"/>
        <v>2021AM PEAK</v>
      </c>
      <c r="Q623">
        <f t="shared" si="24"/>
        <v>1</v>
      </c>
      <c r="R623" s="195" t="str">
        <f t="shared" si="25"/>
        <v>2021LIGHT VEHICLES</v>
      </c>
    </row>
    <row r="624" spans="3:18" x14ac:dyDescent="0.25">
      <c r="C624" s="294" t="s">
        <v>808</v>
      </c>
      <c r="D624" s="317">
        <v>32029</v>
      </c>
      <c r="E624" s="122" t="s">
        <v>809</v>
      </c>
      <c r="F624" s="122" t="s">
        <v>810</v>
      </c>
      <c r="G624" s="122" t="s">
        <v>778</v>
      </c>
      <c r="H624" s="122" t="s">
        <v>777</v>
      </c>
      <c r="I624" s="312">
        <v>2021</v>
      </c>
      <c r="J624" s="122" t="s">
        <v>709</v>
      </c>
      <c r="K624" s="283">
        <v>3837</v>
      </c>
      <c r="L624" s="318">
        <v>-33.821174999999997</v>
      </c>
      <c r="M624" s="318">
        <v>151.149902</v>
      </c>
      <c r="O624">
        <f>INDEX('MEC - traffic congestion'!$M$145:$M$249,MATCH($D624,'MEC - traffic congestion'!$C$145:$C$249,0))</f>
        <v>1</v>
      </c>
      <c r="P624" t="str">
        <f t="shared" si="23"/>
        <v>2021AM PEAK</v>
      </c>
      <c r="Q624">
        <f t="shared" si="24"/>
        <v>1</v>
      </c>
      <c r="R624" s="195" t="str">
        <f t="shared" si="25"/>
        <v>2021LIGHT VEHICLES</v>
      </c>
    </row>
    <row r="625" spans="3:18" x14ac:dyDescent="0.25">
      <c r="C625" s="294" t="s">
        <v>808</v>
      </c>
      <c r="D625" s="317">
        <v>32029</v>
      </c>
      <c r="E625" s="122" t="s">
        <v>809</v>
      </c>
      <c r="F625" s="122" t="s">
        <v>810</v>
      </c>
      <c r="G625" s="122" t="s">
        <v>776</v>
      </c>
      <c r="H625" s="122" t="s">
        <v>777</v>
      </c>
      <c r="I625" s="312">
        <v>2021</v>
      </c>
      <c r="J625" s="122" t="s">
        <v>710</v>
      </c>
      <c r="K625" s="283">
        <v>8183</v>
      </c>
      <c r="L625" s="318">
        <v>-33.821174999999997</v>
      </c>
      <c r="M625" s="318">
        <v>151.149902</v>
      </c>
      <c r="O625">
        <f>INDEX('MEC - traffic congestion'!$M$145:$M$249,MATCH($D625,'MEC - traffic congestion'!$C$145:$C$249,0))</f>
        <v>1</v>
      </c>
      <c r="P625" t="str">
        <f t="shared" si="23"/>
        <v>2021OFF PEAK</v>
      </c>
      <c r="Q625">
        <f t="shared" si="24"/>
        <v>1</v>
      </c>
      <c r="R625" s="195" t="str">
        <f t="shared" si="25"/>
        <v>2021LIGHT VEHICLES</v>
      </c>
    </row>
    <row r="626" spans="3:18" x14ac:dyDescent="0.25">
      <c r="C626" s="294" t="s">
        <v>808</v>
      </c>
      <c r="D626" s="317">
        <v>32029</v>
      </c>
      <c r="E626" s="122" t="s">
        <v>809</v>
      </c>
      <c r="F626" s="122" t="s">
        <v>810</v>
      </c>
      <c r="G626" s="122" t="s">
        <v>778</v>
      </c>
      <c r="H626" s="122" t="s">
        <v>777</v>
      </c>
      <c r="I626" s="312">
        <v>2021</v>
      </c>
      <c r="J626" s="122" t="s">
        <v>710</v>
      </c>
      <c r="K626" s="283">
        <v>9934</v>
      </c>
      <c r="L626" s="318">
        <v>-33.821174999999997</v>
      </c>
      <c r="M626" s="318">
        <v>151.149902</v>
      </c>
      <c r="O626">
        <f>INDEX('MEC - traffic congestion'!$M$145:$M$249,MATCH($D626,'MEC - traffic congestion'!$C$145:$C$249,0))</f>
        <v>1</v>
      </c>
      <c r="P626" t="str">
        <f t="shared" si="23"/>
        <v>2021OFF PEAK</v>
      </c>
      <c r="Q626">
        <f t="shared" si="24"/>
        <v>1</v>
      </c>
      <c r="R626" s="195" t="str">
        <f t="shared" si="25"/>
        <v>2021LIGHT VEHICLES</v>
      </c>
    </row>
    <row r="627" spans="3:18" x14ac:dyDescent="0.25">
      <c r="C627" s="294" t="s">
        <v>808</v>
      </c>
      <c r="D627" s="317">
        <v>32029</v>
      </c>
      <c r="E627" s="122" t="s">
        <v>809</v>
      </c>
      <c r="F627" s="122" t="s">
        <v>810</v>
      </c>
      <c r="G627" s="122" t="s">
        <v>776</v>
      </c>
      <c r="H627" s="122" t="s">
        <v>777</v>
      </c>
      <c r="I627" s="312">
        <v>2021</v>
      </c>
      <c r="J627" s="122" t="s">
        <v>711</v>
      </c>
      <c r="K627" s="283">
        <v>4103</v>
      </c>
      <c r="L627" s="318">
        <v>-33.821174999999997</v>
      </c>
      <c r="M627" s="318">
        <v>151.149902</v>
      </c>
      <c r="O627">
        <f>INDEX('MEC - traffic congestion'!$M$145:$M$249,MATCH($D627,'MEC - traffic congestion'!$C$145:$C$249,0))</f>
        <v>1</v>
      </c>
      <c r="P627" t="str">
        <f t="shared" si="23"/>
        <v>2021PM PEAK</v>
      </c>
      <c r="Q627">
        <f t="shared" si="24"/>
        <v>1</v>
      </c>
      <c r="R627" s="195" t="str">
        <f t="shared" si="25"/>
        <v>2021LIGHT VEHICLES</v>
      </c>
    </row>
    <row r="628" spans="3:18" x14ac:dyDescent="0.25">
      <c r="C628" s="294" t="s">
        <v>808</v>
      </c>
      <c r="D628" s="317">
        <v>32029</v>
      </c>
      <c r="E628" s="122" t="s">
        <v>809</v>
      </c>
      <c r="F628" s="122" t="s">
        <v>810</v>
      </c>
      <c r="G628" s="122" t="s">
        <v>778</v>
      </c>
      <c r="H628" s="122" t="s">
        <v>777</v>
      </c>
      <c r="I628" s="312">
        <v>2021</v>
      </c>
      <c r="J628" s="122" t="s">
        <v>711</v>
      </c>
      <c r="K628" s="283">
        <v>6477</v>
      </c>
      <c r="L628" s="318">
        <v>-33.821174999999997</v>
      </c>
      <c r="M628" s="318">
        <v>151.149902</v>
      </c>
      <c r="O628">
        <f>INDEX('MEC - traffic congestion'!$M$145:$M$249,MATCH($D628,'MEC - traffic congestion'!$C$145:$C$249,0))</f>
        <v>1</v>
      </c>
      <c r="P628" t="str">
        <f t="shared" si="23"/>
        <v>2021PM PEAK</v>
      </c>
      <c r="Q628">
        <f t="shared" si="24"/>
        <v>1</v>
      </c>
      <c r="R628" s="195" t="str">
        <f t="shared" si="25"/>
        <v>2021LIGHT VEHICLES</v>
      </c>
    </row>
    <row r="629" spans="3:18" x14ac:dyDescent="0.25">
      <c r="C629" s="294" t="s">
        <v>808</v>
      </c>
      <c r="D629" s="317">
        <v>32029</v>
      </c>
      <c r="E629" s="122" t="s">
        <v>809</v>
      </c>
      <c r="F629" s="122" t="s">
        <v>810</v>
      </c>
      <c r="G629" s="122" t="s">
        <v>776</v>
      </c>
      <c r="H629" s="122" t="s">
        <v>777</v>
      </c>
      <c r="I629" s="312">
        <v>2021</v>
      </c>
      <c r="J629" s="122" t="s">
        <v>713</v>
      </c>
      <c r="K629" s="283">
        <v>15533</v>
      </c>
      <c r="L629" s="318">
        <v>-33.821174999999997</v>
      </c>
      <c r="M629" s="318">
        <v>151.149902</v>
      </c>
      <c r="O629">
        <f>INDEX('MEC - traffic congestion'!$M$145:$M$249,MATCH($D629,'MEC - traffic congestion'!$C$145:$C$249,0))</f>
        <v>1</v>
      </c>
      <c r="P629" t="str">
        <f t="shared" si="23"/>
        <v>2021WEEKENDS</v>
      </c>
      <c r="Q629">
        <f t="shared" si="24"/>
        <v>1</v>
      </c>
      <c r="R629" s="195" t="str">
        <f t="shared" si="25"/>
        <v>2021LIGHT VEHICLES</v>
      </c>
    </row>
    <row r="630" spans="3:18" x14ac:dyDescent="0.25">
      <c r="C630" s="294" t="s">
        <v>808</v>
      </c>
      <c r="D630" s="317">
        <v>32029</v>
      </c>
      <c r="E630" s="122" t="s">
        <v>809</v>
      </c>
      <c r="F630" s="122" t="s">
        <v>810</v>
      </c>
      <c r="G630" s="122" t="s">
        <v>778</v>
      </c>
      <c r="H630" s="122" t="s">
        <v>777</v>
      </c>
      <c r="I630" s="312">
        <v>2021</v>
      </c>
      <c r="J630" s="122" t="s">
        <v>713</v>
      </c>
      <c r="K630" s="283">
        <v>18449</v>
      </c>
      <c r="L630" s="318">
        <v>-33.821174999999997</v>
      </c>
      <c r="M630" s="318">
        <v>151.149902</v>
      </c>
      <c r="O630">
        <f>INDEX('MEC - traffic congestion'!$M$145:$M$249,MATCH($D630,'MEC - traffic congestion'!$C$145:$C$249,0))</f>
        <v>1</v>
      </c>
      <c r="P630" t="str">
        <f t="shared" si="23"/>
        <v>2021WEEKENDS</v>
      </c>
      <c r="Q630">
        <f t="shared" si="24"/>
        <v>1</v>
      </c>
      <c r="R630" s="195" t="str">
        <f t="shared" si="25"/>
        <v>2021LIGHT VEHICLES</v>
      </c>
    </row>
    <row r="631" spans="3:18" x14ac:dyDescent="0.25">
      <c r="C631" s="294" t="s">
        <v>808</v>
      </c>
      <c r="D631" s="317">
        <v>32029</v>
      </c>
      <c r="E631" s="122" t="s">
        <v>809</v>
      </c>
      <c r="F631" s="122" t="s">
        <v>810</v>
      </c>
      <c r="G631" s="122" t="s">
        <v>776</v>
      </c>
      <c r="H631" s="122" t="s">
        <v>777</v>
      </c>
      <c r="I631" s="312">
        <v>2022</v>
      </c>
      <c r="J631" s="122" t="s">
        <v>709</v>
      </c>
      <c r="K631" s="283">
        <v>6273</v>
      </c>
      <c r="L631" s="318">
        <v>-33.821174999999997</v>
      </c>
      <c r="M631" s="318">
        <v>151.149902</v>
      </c>
      <c r="O631">
        <f>INDEX('MEC - traffic congestion'!$M$145:$M$249,MATCH($D631,'MEC - traffic congestion'!$C$145:$C$249,0))</f>
        <v>1</v>
      </c>
      <c r="P631" t="str">
        <f t="shared" si="23"/>
        <v>2022AM PEAK</v>
      </c>
      <c r="Q631">
        <f t="shared" si="24"/>
        <v>1</v>
      </c>
      <c r="R631" s="195" t="str">
        <f t="shared" si="25"/>
        <v>2022LIGHT VEHICLES</v>
      </c>
    </row>
    <row r="632" spans="3:18" x14ac:dyDescent="0.25">
      <c r="C632" s="294" t="s">
        <v>808</v>
      </c>
      <c r="D632" s="317">
        <v>32029</v>
      </c>
      <c r="E632" s="122" t="s">
        <v>809</v>
      </c>
      <c r="F632" s="122" t="s">
        <v>810</v>
      </c>
      <c r="G632" s="122" t="s">
        <v>778</v>
      </c>
      <c r="H632" s="122" t="s">
        <v>777</v>
      </c>
      <c r="I632" s="312">
        <v>2022</v>
      </c>
      <c r="J632" s="122" t="s">
        <v>709</v>
      </c>
      <c r="K632" s="283">
        <v>3846</v>
      </c>
      <c r="L632" s="318">
        <v>-33.821174999999997</v>
      </c>
      <c r="M632" s="318">
        <v>151.149902</v>
      </c>
      <c r="O632">
        <f>INDEX('MEC - traffic congestion'!$M$145:$M$249,MATCH($D632,'MEC - traffic congestion'!$C$145:$C$249,0))</f>
        <v>1</v>
      </c>
      <c r="P632" t="str">
        <f t="shared" si="23"/>
        <v>2022AM PEAK</v>
      </c>
      <c r="Q632">
        <f t="shared" si="24"/>
        <v>1</v>
      </c>
      <c r="R632" s="195" t="str">
        <f t="shared" si="25"/>
        <v>2022LIGHT VEHICLES</v>
      </c>
    </row>
    <row r="633" spans="3:18" x14ac:dyDescent="0.25">
      <c r="C633" s="294" t="s">
        <v>808</v>
      </c>
      <c r="D633" s="317">
        <v>32029</v>
      </c>
      <c r="E633" s="122" t="s">
        <v>809</v>
      </c>
      <c r="F633" s="122" t="s">
        <v>810</v>
      </c>
      <c r="G633" s="122" t="s">
        <v>776</v>
      </c>
      <c r="H633" s="122" t="s">
        <v>777</v>
      </c>
      <c r="I633" s="312">
        <v>2022</v>
      </c>
      <c r="J633" s="122" t="s">
        <v>710</v>
      </c>
      <c r="K633" s="283">
        <v>8061</v>
      </c>
      <c r="L633" s="318">
        <v>-33.821174999999997</v>
      </c>
      <c r="M633" s="318">
        <v>151.149902</v>
      </c>
      <c r="O633">
        <f>INDEX('MEC - traffic congestion'!$M$145:$M$249,MATCH($D633,'MEC - traffic congestion'!$C$145:$C$249,0))</f>
        <v>1</v>
      </c>
      <c r="P633" t="str">
        <f t="shared" si="23"/>
        <v>2022OFF PEAK</v>
      </c>
      <c r="Q633">
        <f t="shared" si="24"/>
        <v>1</v>
      </c>
      <c r="R633" s="195" t="str">
        <f t="shared" si="25"/>
        <v>2022LIGHT VEHICLES</v>
      </c>
    </row>
    <row r="634" spans="3:18" x14ac:dyDescent="0.25">
      <c r="C634" s="294" t="s">
        <v>808</v>
      </c>
      <c r="D634" s="317">
        <v>32029</v>
      </c>
      <c r="E634" s="122" t="s">
        <v>809</v>
      </c>
      <c r="F634" s="122" t="s">
        <v>810</v>
      </c>
      <c r="G634" s="122" t="s">
        <v>778</v>
      </c>
      <c r="H634" s="122" t="s">
        <v>777</v>
      </c>
      <c r="I634" s="312">
        <v>2022</v>
      </c>
      <c r="J634" s="122" t="s">
        <v>710</v>
      </c>
      <c r="K634" s="283">
        <v>9743</v>
      </c>
      <c r="L634" s="318">
        <v>-33.821174999999997</v>
      </c>
      <c r="M634" s="318">
        <v>151.149902</v>
      </c>
      <c r="O634">
        <f>INDEX('MEC - traffic congestion'!$M$145:$M$249,MATCH($D634,'MEC - traffic congestion'!$C$145:$C$249,0))</f>
        <v>1</v>
      </c>
      <c r="P634" t="str">
        <f t="shared" si="23"/>
        <v>2022OFF PEAK</v>
      </c>
      <c r="Q634">
        <f t="shared" si="24"/>
        <v>1</v>
      </c>
      <c r="R634" s="195" t="str">
        <f t="shared" si="25"/>
        <v>2022LIGHT VEHICLES</v>
      </c>
    </row>
    <row r="635" spans="3:18" x14ac:dyDescent="0.25">
      <c r="C635" s="294" t="s">
        <v>808</v>
      </c>
      <c r="D635" s="317">
        <v>32029</v>
      </c>
      <c r="E635" s="122" t="s">
        <v>809</v>
      </c>
      <c r="F635" s="122" t="s">
        <v>810</v>
      </c>
      <c r="G635" s="122" t="s">
        <v>776</v>
      </c>
      <c r="H635" s="122" t="s">
        <v>777</v>
      </c>
      <c r="I635" s="312">
        <v>2022</v>
      </c>
      <c r="J635" s="122" t="s">
        <v>711</v>
      </c>
      <c r="K635" s="283">
        <v>4245</v>
      </c>
      <c r="L635" s="318">
        <v>-33.821174999999997</v>
      </c>
      <c r="M635" s="318">
        <v>151.149902</v>
      </c>
      <c r="O635">
        <f>INDEX('MEC - traffic congestion'!$M$145:$M$249,MATCH($D635,'MEC - traffic congestion'!$C$145:$C$249,0))</f>
        <v>1</v>
      </c>
      <c r="P635" t="str">
        <f t="shared" si="23"/>
        <v>2022PM PEAK</v>
      </c>
      <c r="Q635">
        <f t="shared" si="24"/>
        <v>1</v>
      </c>
      <c r="R635" s="195" t="str">
        <f t="shared" si="25"/>
        <v>2022LIGHT VEHICLES</v>
      </c>
    </row>
    <row r="636" spans="3:18" x14ac:dyDescent="0.25">
      <c r="C636" s="294" t="s">
        <v>808</v>
      </c>
      <c r="D636" s="317">
        <v>32029</v>
      </c>
      <c r="E636" s="122" t="s">
        <v>809</v>
      </c>
      <c r="F636" s="122" t="s">
        <v>810</v>
      </c>
      <c r="G636" s="122" t="s">
        <v>778</v>
      </c>
      <c r="H636" s="122" t="s">
        <v>777</v>
      </c>
      <c r="I636" s="312">
        <v>2022</v>
      </c>
      <c r="J636" s="122" t="s">
        <v>711</v>
      </c>
      <c r="K636" s="283">
        <v>6939</v>
      </c>
      <c r="L636" s="318">
        <v>-33.821174999999997</v>
      </c>
      <c r="M636" s="318">
        <v>151.149902</v>
      </c>
      <c r="O636">
        <f>INDEX('MEC - traffic congestion'!$M$145:$M$249,MATCH($D636,'MEC - traffic congestion'!$C$145:$C$249,0))</f>
        <v>1</v>
      </c>
      <c r="P636" t="str">
        <f t="shared" si="23"/>
        <v>2022PM PEAK</v>
      </c>
      <c r="Q636">
        <f t="shared" si="24"/>
        <v>1</v>
      </c>
      <c r="R636" s="195" t="str">
        <f t="shared" si="25"/>
        <v>2022LIGHT VEHICLES</v>
      </c>
    </row>
    <row r="637" spans="3:18" x14ac:dyDescent="0.25">
      <c r="C637" s="294" t="s">
        <v>808</v>
      </c>
      <c r="D637" s="317">
        <v>32029</v>
      </c>
      <c r="E637" s="122" t="s">
        <v>809</v>
      </c>
      <c r="F637" s="122" t="s">
        <v>810</v>
      </c>
      <c r="G637" s="122" t="s">
        <v>776</v>
      </c>
      <c r="H637" s="122" t="s">
        <v>777</v>
      </c>
      <c r="I637" s="312">
        <v>2022</v>
      </c>
      <c r="J637" s="122" t="s">
        <v>713</v>
      </c>
      <c r="K637" s="283">
        <v>15907</v>
      </c>
      <c r="L637" s="318">
        <v>-33.821174999999997</v>
      </c>
      <c r="M637" s="318">
        <v>151.149902</v>
      </c>
      <c r="O637">
        <f>INDEX('MEC - traffic congestion'!$M$145:$M$249,MATCH($D637,'MEC - traffic congestion'!$C$145:$C$249,0))</f>
        <v>1</v>
      </c>
      <c r="P637" t="str">
        <f t="shared" si="23"/>
        <v>2022WEEKENDS</v>
      </c>
      <c r="Q637">
        <f t="shared" si="24"/>
        <v>1</v>
      </c>
      <c r="R637" s="195" t="str">
        <f t="shared" si="25"/>
        <v>2022LIGHT VEHICLES</v>
      </c>
    </row>
    <row r="638" spans="3:18" x14ac:dyDescent="0.25">
      <c r="C638" s="294" t="s">
        <v>808</v>
      </c>
      <c r="D638" s="317">
        <v>32029</v>
      </c>
      <c r="E638" s="122" t="s">
        <v>809</v>
      </c>
      <c r="F638" s="122" t="s">
        <v>810</v>
      </c>
      <c r="G638" s="122" t="s">
        <v>778</v>
      </c>
      <c r="H638" s="122" t="s">
        <v>777</v>
      </c>
      <c r="I638" s="312">
        <v>2022</v>
      </c>
      <c r="J638" s="122" t="s">
        <v>713</v>
      </c>
      <c r="K638" s="283">
        <v>18564</v>
      </c>
      <c r="L638" s="318">
        <v>-33.821174999999997</v>
      </c>
      <c r="M638" s="318">
        <v>151.149902</v>
      </c>
      <c r="O638">
        <f>INDEX('MEC - traffic congestion'!$M$145:$M$249,MATCH($D638,'MEC - traffic congestion'!$C$145:$C$249,0))</f>
        <v>1</v>
      </c>
      <c r="P638" t="str">
        <f t="shared" si="23"/>
        <v>2022WEEKENDS</v>
      </c>
      <c r="Q638">
        <f t="shared" si="24"/>
        <v>1</v>
      </c>
      <c r="R638" s="195" t="str">
        <f t="shared" si="25"/>
        <v>2022LIGHT VEHICLES</v>
      </c>
    </row>
    <row r="639" spans="3:18" x14ac:dyDescent="0.25">
      <c r="C639" s="294" t="s">
        <v>808</v>
      </c>
      <c r="D639" s="317">
        <v>32029</v>
      </c>
      <c r="E639" s="122" t="s">
        <v>809</v>
      </c>
      <c r="F639" s="122" t="s">
        <v>810</v>
      </c>
      <c r="G639" s="122" t="s">
        <v>776</v>
      </c>
      <c r="H639" s="122" t="s">
        <v>777</v>
      </c>
      <c r="I639" s="312">
        <v>2023</v>
      </c>
      <c r="J639" s="122" t="s">
        <v>709</v>
      </c>
      <c r="K639" s="283">
        <v>6359</v>
      </c>
      <c r="L639" s="318">
        <v>-33.821174999999997</v>
      </c>
      <c r="M639" s="318">
        <v>151.149902</v>
      </c>
      <c r="O639">
        <f>INDEX('MEC - traffic congestion'!$M$145:$M$249,MATCH($D639,'MEC - traffic congestion'!$C$145:$C$249,0))</f>
        <v>1</v>
      </c>
      <c r="P639" t="str">
        <f t="shared" si="23"/>
        <v>2023AM PEAK</v>
      </c>
      <c r="Q639">
        <f t="shared" si="24"/>
        <v>1</v>
      </c>
      <c r="R639" s="195" t="str">
        <f t="shared" si="25"/>
        <v>2023LIGHT VEHICLES</v>
      </c>
    </row>
    <row r="640" spans="3:18" x14ac:dyDescent="0.25">
      <c r="C640" s="294" t="s">
        <v>808</v>
      </c>
      <c r="D640" s="317">
        <v>32029</v>
      </c>
      <c r="E640" s="122" t="s">
        <v>809</v>
      </c>
      <c r="F640" s="122" t="s">
        <v>810</v>
      </c>
      <c r="G640" s="122" t="s">
        <v>778</v>
      </c>
      <c r="H640" s="122" t="s">
        <v>777</v>
      </c>
      <c r="I640" s="312">
        <v>2023</v>
      </c>
      <c r="J640" s="122" t="s">
        <v>709</v>
      </c>
      <c r="K640" s="283">
        <v>2789</v>
      </c>
      <c r="L640" s="318">
        <v>-33.821174999999997</v>
      </c>
      <c r="M640" s="318">
        <v>151.149902</v>
      </c>
      <c r="O640">
        <f>INDEX('MEC - traffic congestion'!$M$145:$M$249,MATCH($D640,'MEC - traffic congestion'!$C$145:$C$249,0))</f>
        <v>1</v>
      </c>
      <c r="P640" t="str">
        <f t="shared" si="23"/>
        <v>2023AM PEAK</v>
      </c>
      <c r="Q640">
        <f t="shared" si="24"/>
        <v>1</v>
      </c>
      <c r="R640" s="195" t="str">
        <f t="shared" si="25"/>
        <v>2023LIGHT VEHICLES</v>
      </c>
    </row>
    <row r="641" spans="3:18" x14ac:dyDescent="0.25">
      <c r="C641" s="294" t="s">
        <v>808</v>
      </c>
      <c r="D641" s="317">
        <v>32029</v>
      </c>
      <c r="E641" s="122" t="s">
        <v>809</v>
      </c>
      <c r="F641" s="122" t="s">
        <v>810</v>
      </c>
      <c r="G641" s="122" t="s">
        <v>776</v>
      </c>
      <c r="H641" s="122" t="s">
        <v>777</v>
      </c>
      <c r="I641" s="312">
        <v>2023</v>
      </c>
      <c r="J641" s="122" t="s">
        <v>710</v>
      </c>
      <c r="K641" s="283">
        <v>8169</v>
      </c>
      <c r="L641" s="318">
        <v>-33.821174999999997</v>
      </c>
      <c r="M641" s="318">
        <v>151.149902</v>
      </c>
      <c r="O641">
        <f>INDEX('MEC - traffic congestion'!$M$145:$M$249,MATCH($D641,'MEC - traffic congestion'!$C$145:$C$249,0))</f>
        <v>1</v>
      </c>
      <c r="P641" t="str">
        <f t="shared" si="23"/>
        <v>2023OFF PEAK</v>
      </c>
      <c r="Q641">
        <f t="shared" si="24"/>
        <v>1</v>
      </c>
      <c r="R641" s="195" t="str">
        <f t="shared" si="25"/>
        <v>2023LIGHT VEHICLES</v>
      </c>
    </row>
    <row r="642" spans="3:18" x14ac:dyDescent="0.25">
      <c r="C642" s="294" t="s">
        <v>808</v>
      </c>
      <c r="D642" s="317">
        <v>32029</v>
      </c>
      <c r="E642" s="122" t="s">
        <v>809</v>
      </c>
      <c r="F642" s="122" t="s">
        <v>810</v>
      </c>
      <c r="G642" s="122" t="s">
        <v>778</v>
      </c>
      <c r="H642" s="122" t="s">
        <v>777</v>
      </c>
      <c r="I642" s="312">
        <v>2023</v>
      </c>
      <c r="J642" s="122" t="s">
        <v>710</v>
      </c>
      <c r="K642" s="283">
        <v>7433</v>
      </c>
      <c r="L642" s="318">
        <v>-33.821174999999997</v>
      </c>
      <c r="M642" s="318">
        <v>151.149902</v>
      </c>
      <c r="O642">
        <f>INDEX('MEC - traffic congestion'!$M$145:$M$249,MATCH($D642,'MEC - traffic congestion'!$C$145:$C$249,0))</f>
        <v>1</v>
      </c>
      <c r="P642" t="str">
        <f t="shared" si="23"/>
        <v>2023OFF PEAK</v>
      </c>
      <c r="Q642">
        <f t="shared" si="24"/>
        <v>1</v>
      </c>
      <c r="R642" s="195" t="str">
        <f t="shared" si="25"/>
        <v>2023LIGHT VEHICLES</v>
      </c>
    </row>
    <row r="643" spans="3:18" x14ac:dyDescent="0.25">
      <c r="C643" s="294" t="s">
        <v>808</v>
      </c>
      <c r="D643" s="317">
        <v>32029</v>
      </c>
      <c r="E643" s="122" t="s">
        <v>809</v>
      </c>
      <c r="F643" s="122" t="s">
        <v>810</v>
      </c>
      <c r="G643" s="122" t="s">
        <v>776</v>
      </c>
      <c r="H643" s="122" t="s">
        <v>777</v>
      </c>
      <c r="I643" s="312">
        <v>2023</v>
      </c>
      <c r="J643" s="122" t="s">
        <v>711</v>
      </c>
      <c r="K643" s="283">
        <v>4258</v>
      </c>
      <c r="L643" s="318">
        <v>-33.821174999999997</v>
      </c>
      <c r="M643" s="318">
        <v>151.149902</v>
      </c>
      <c r="O643">
        <f>INDEX('MEC - traffic congestion'!$M$145:$M$249,MATCH($D643,'MEC - traffic congestion'!$C$145:$C$249,0))</f>
        <v>1</v>
      </c>
      <c r="P643" t="str">
        <f t="shared" si="23"/>
        <v>2023PM PEAK</v>
      </c>
      <c r="Q643">
        <f t="shared" si="24"/>
        <v>1</v>
      </c>
      <c r="R643" s="195" t="str">
        <f t="shared" si="25"/>
        <v>2023LIGHT VEHICLES</v>
      </c>
    </row>
    <row r="644" spans="3:18" x14ac:dyDescent="0.25">
      <c r="C644" s="294" t="s">
        <v>808</v>
      </c>
      <c r="D644" s="317">
        <v>32029</v>
      </c>
      <c r="E644" s="122" t="s">
        <v>809</v>
      </c>
      <c r="F644" s="122" t="s">
        <v>810</v>
      </c>
      <c r="G644" s="122" t="s">
        <v>778</v>
      </c>
      <c r="H644" s="122" t="s">
        <v>777</v>
      </c>
      <c r="I644" s="312">
        <v>2023</v>
      </c>
      <c r="J644" s="122" t="s">
        <v>711</v>
      </c>
      <c r="K644" s="283">
        <v>5352</v>
      </c>
      <c r="L644" s="318">
        <v>-33.821174999999997</v>
      </c>
      <c r="M644" s="318">
        <v>151.149902</v>
      </c>
      <c r="O644">
        <f>INDEX('MEC - traffic congestion'!$M$145:$M$249,MATCH($D644,'MEC - traffic congestion'!$C$145:$C$249,0))</f>
        <v>1</v>
      </c>
      <c r="P644" t="str">
        <f t="shared" si="23"/>
        <v>2023PM PEAK</v>
      </c>
      <c r="Q644">
        <f t="shared" si="24"/>
        <v>1</v>
      </c>
      <c r="R644" s="195" t="str">
        <f t="shared" si="25"/>
        <v>2023LIGHT VEHICLES</v>
      </c>
    </row>
    <row r="645" spans="3:18" x14ac:dyDescent="0.25">
      <c r="C645" s="294" t="s">
        <v>808</v>
      </c>
      <c r="D645" s="317">
        <v>32029</v>
      </c>
      <c r="E645" s="122" t="s">
        <v>809</v>
      </c>
      <c r="F645" s="122" t="s">
        <v>810</v>
      </c>
      <c r="G645" s="122" t="s">
        <v>776</v>
      </c>
      <c r="H645" s="122" t="s">
        <v>777</v>
      </c>
      <c r="I645" s="312">
        <v>2023</v>
      </c>
      <c r="J645" s="122" t="s">
        <v>713</v>
      </c>
      <c r="K645" s="283">
        <v>16091</v>
      </c>
      <c r="L645" s="318">
        <v>-33.821174999999997</v>
      </c>
      <c r="M645" s="318">
        <v>151.149902</v>
      </c>
      <c r="O645">
        <f>INDEX('MEC - traffic congestion'!$M$145:$M$249,MATCH($D645,'MEC - traffic congestion'!$C$145:$C$249,0))</f>
        <v>1</v>
      </c>
      <c r="P645" t="str">
        <f t="shared" si="23"/>
        <v>2023WEEKENDS</v>
      </c>
      <c r="Q645">
        <f t="shared" si="24"/>
        <v>1</v>
      </c>
      <c r="R645" s="195" t="str">
        <f t="shared" si="25"/>
        <v>2023LIGHT VEHICLES</v>
      </c>
    </row>
    <row r="646" spans="3:18" x14ac:dyDescent="0.25">
      <c r="C646" s="294" t="s">
        <v>808</v>
      </c>
      <c r="D646" s="317">
        <v>32029</v>
      </c>
      <c r="E646" s="122" t="s">
        <v>809</v>
      </c>
      <c r="F646" s="122" t="s">
        <v>810</v>
      </c>
      <c r="G646" s="122" t="s">
        <v>778</v>
      </c>
      <c r="H646" s="122" t="s">
        <v>777</v>
      </c>
      <c r="I646" s="312">
        <v>2023</v>
      </c>
      <c r="J646" s="122" t="s">
        <v>713</v>
      </c>
      <c r="K646" s="283">
        <v>14015</v>
      </c>
      <c r="L646" s="318">
        <v>-33.821174999999997</v>
      </c>
      <c r="M646" s="318">
        <v>151.149902</v>
      </c>
      <c r="O646">
        <f>INDEX('MEC - traffic congestion'!$M$145:$M$249,MATCH($D646,'MEC - traffic congestion'!$C$145:$C$249,0))</f>
        <v>1</v>
      </c>
      <c r="P646" t="str">
        <f t="shared" si="23"/>
        <v>2023WEEKENDS</v>
      </c>
      <c r="Q646">
        <f t="shared" si="24"/>
        <v>1</v>
      </c>
      <c r="R646" s="195" t="str">
        <f t="shared" si="25"/>
        <v>2023LIGHT VEHICLES</v>
      </c>
    </row>
    <row r="647" spans="3:18" x14ac:dyDescent="0.25">
      <c r="C647" s="294" t="s">
        <v>808</v>
      </c>
      <c r="D647" s="317">
        <v>32029</v>
      </c>
      <c r="E647" s="122" t="s">
        <v>809</v>
      </c>
      <c r="F647" s="122" t="s">
        <v>810</v>
      </c>
      <c r="G647" s="122" t="s">
        <v>776</v>
      </c>
      <c r="H647" s="122" t="s">
        <v>777</v>
      </c>
      <c r="I647" s="312">
        <v>2024</v>
      </c>
      <c r="J647" s="122" t="s">
        <v>709</v>
      </c>
      <c r="K647" s="283">
        <v>6513</v>
      </c>
      <c r="L647" s="318">
        <v>-33.821174999999997</v>
      </c>
      <c r="M647" s="318">
        <v>151.149902</v>
      </c>
      <c r="O647">
        <f>INDEX('MEC - traffic congestion'!$M$145:$M$249,MATCH($D647,'MEC - traffic congestion'!$C$145:$C$249,0))</f>
        <v>1</v>
      </c>
      <c r="P647" t="str">
        <f t="shared" si="23"/>
        <v>2024AM PEAK</v>
      </c>
      <c r="Q647">
        <f t="shared" si="24"/>
        <v>1</v>
      </c>
      <c r="R647" s="195" t="str">
        <f t="shared" si="25"/>
        <v>2024LIGHT VEHICLES</v>
      </c>
    </row>
    <row r="648" spans="3:18" x14ac:dyDescent="0.25">
      <c r="C648" s="294" t="s">
        <v>808</v>
      </c>
      <c r="D648" s="317">
        <v>32029</v>
      </c>
      <c r="E648" s="122" t="s">
        <v>809</v>
      </c>
      <c r="F648" s="122" t="s">
        <v>810</v>
      </c>
      <c r="G648" s="122" t="s">
        <v>778</v>
      </c>
      <c r="H648" s="122" t="s">
        <v>777</v>
      </c>
      <c r="I648" s="312">
        <v>2024</v>
      </c>
      <c r="J648" s="122" t="s">
        <v>709</v>
      </c>
      <c r="K648" s="283">
        <v>1933</v>
      </c>
      <c r="L648" s="318">
        <v>-33.821174999999997</v>
      </c>
      <c r="M648" s="318">
        <v>151.149902</v>
      </c>
      <c r="O648">
        <f>INDEX('MEC - traffic congestion'!$M$145:$M$249,MATCH($D648,'MEC - traffic congestion'!$C$145:$C$249,0))</f>
        <v>1</v>
      </c>
      <c r="P648" t="str">
        <f t="shared" si="23"/>
        <v>2024AM PEAK</v>
      </c>
      <c r="Q648">
        <f t="shared" si="24"/>
        <v>1</v>
      </c>
      <c r="R648" s="195" t="str">
        <f t="shared" si="25"/>
        <v>2024LIGHT VEHICLES</v>
      </c>
    </row>
    <row r="649" spans="3:18" x14ac:dyDescent="0.25">
      <c r="C649" s="294" t="s">
        <v>808</v>
      </c>
      <c r="D649" s="317">
        <v>32029</v>
      </c>
      <c r="E649" s="122" t="s">
        <v>809</v>
      </c>
      <c r="F649" s="122" t="s">
        <v>810</v>
      </c>
      <c r="G649" s="122" t="s">
        <v>776</v>
      </c>
      <c r="H649" s="122" t="s">
        <v>777</v>
      </c>
      <c r="I649" s="312">
        <v>2024</v>
      </c>
      <c r="J649" s="122" t="s">
        <v>710</v>
      </c>
      <c r="K649" s="283">
        <v>9062</v>
      </c>
      <c r="L649" s="318">
        <v>-33.821174999999997</v>
      </c>
      <c r="M649" s="318">
        <v>151.149902</v>
      </c>
      <c r="O649">
        <f>INDEX('MEC - traffic congestion'!$M$145:$M$249,MATCH($D649,'MEC - traffic congestion'!$C$145:$C$249,0))</f>
        <v>1</v>
      </c>
      <c r="P649" t="str">
        <f t="shared" si="23"/>
        <v>2024OFF PEAK</v>
      </c>
      <c r="Q649">
        <f t="shared" si="24"/>
        <v>1</v>
      </c>
      <c r="R649" s="195" t="str">
        <f t="shared" si="25"/>
        <v>2024LIGHT VEHICLES</v>
      </c>
    </row>
    <row r="650" spans="3:18" x14ac:dyDescent="0.25">
      <c r="C650" s="294" t="s">
        <v>808</v>
      </c>
      <c r="D650" s="317">
        <v>32029</v>
      </c>
      <c r="E650" s="122" t="s">
        <v>809</v>
      </c>
      <c r="F650" s="122" t="s">
        <v>810</v>
      </c>
      <c r="G650" s="122" t="s">
        <v>778</v>
      </c>
      <c r="H650" s="122" t="s">
        <v>777</v>
      </c>
      <c r="I650" s="312">
        <v>2024</v>
      </c>
      <c r="J650" s="122" t="s">
        <v>710</v>
      </c>
      <c r="K650" s="283">
        <v>4868</v>
      </c>
      <c r="L650" s="318">
        <v>-33.821174999999997</v>
      </c>
      <c r="M650" s="318">
        <v>151.149902</v>
      </c>
      <c r="O650">
        <f>INDEX('MEC - traffic congestion'!$M$145:$M$249,MATCH($D650,'MEC - traffic congestion'!$C$145:$C$249,0))</f>
        <v>1</v>
      </c>
      <c r="P650" t="str">
        <f t="shared" si="23"/>
        <v>2024OFF PEAK</v>
      </c>
      <c r="Q650">
        <f t="shared" si="24"/>
        <v>1</v>
      </c>
      <c r="R650" s="195" t="str">
        <f t="shared" si="25"/>
        <v>2024LIGHT VEHICLES</v>
      </c>
    </row>
    <row r="651" spans="3:18" x14ac:dyDescent="0.25">
      <c r="C651" s="294" t="s">
        <v>808</v>
      </c>
      <c r="D651" s="317">
        <v>32029</v>
      </c>
      <c r="E651" s="122" t="s">
        <v>809</v>
      </c>
      <c r="F651" s="122" t="s">
        <v>810</v>
      </c>
      <c r="G651" s="122" t="s">
        <v>776</v>
      </c>
      <c r="H651" s="122" t="s">
        <v>777</v>
      </c>
      <c r="I651" s="312">
        <v>2024</v>
      </c>
      <c r="J651" s="122" t="s">
        <v>711</v>
      </c>
      <c r="K651" s="283">
        <v>4480</v>
      </c>
      <c r="L651" s="318">
        <v>-33.821174999999997</v>
      </c>
      <c r="M651" s="318">
        <v>151.149902</v>
      </c>
      <c r="O651">
        <f>INDEX('MEC - traffic congestion'!$M$145:$M$249,MATCH($D651,'MEC - traffic congestion'!$C$145:$C$249,0))</f>
        <v>1</v>
      </c>
      <c r="P651" t="str">
        <f t="shared" si="23"/>
        <v>2024PM PEAK</v>
      </c>
      <c r="Q651">
        <f t="shared" si="24"/>
        <v>1</v>
      </c>
      <c r="R651" s="195" t="str">
        <f t="shared" si="25"/>
        <v>2024LIGHT VEHICLES</v>
      </c>
    </row>
    <row r="652" spans="3:18" x14ac:dyDescent="0.25">
      <c r="C652" s="294" t="s">
        <v>808</v>
      </c>
      <c r="D652" s="317">
        <v>32029</v>
      </c>
      <c r="E652" s="122" t="s">
        <v>809</v>
      </c>
      <c r="F652" s="122" t="s">
        <v>810</v>
      </c>
      <c r="G652" s="122" t="s">
        <v>778</v>
      </c>
      <c r="H652" s="122" t="s">
        <v>777</v>
      </c>
      <c r="I652" s="312">
        <v>2024</v>
      </c>
      <c r="J652" s="122" t="s">
        <v>711</v>
      </c>
      <c r="K652" s="283">
        <v>3021</v>
      </c>
      <c r="L652" s="318">
        <v>-33.821174999999997</v>
      </c>
      <c r="M652" s="318">
        <v>151.149902</v>
      </c>
      <c r="O652">
        <f>INDEX('MEC - traffic congestion'!$M$145:$M$249,MATCH($D652,'MEC - traffic congestion'!$C$145:$C$249,0))</f>
        <v>1</v>
      </c>
      <c r="P652" t="str">
        <f t="shared" si="23"/>
        <v>2024PM PEAK</v>
      </c>
      <c r="Q652">
        <f t="shared" si="24"/>
        <v>1</v>
      </c>
      <c r="R652" s="195" t="str">
        <f t="shared" si="25"/>
        <v>2024LIGHT VEHICLES</v>
      </c>
    </row>
    <row r="653" spans="3:18" x14ac:dyDescent="0.25">
      <c r="C653" s="294" t="s">
        <v>808</v>
      </c>
      <c r="D653" s="317">
        <v>32029</v>
      </c>
      <c r="E653" s="122" t="s">
        <v>809</v>
      </c>
      <c r="F653" s="122" t="s">
        <v>810</v>
      </c>
      <c r="G653" s="122" t="s">
        <v>776</v>
      </c>
      <c r="H653" s="122" t="s">
        <v>777</v>
      </c>
      <c r="I653" s="312">
        <v>2024</v>
      </c>
      <c r="J653" s="122" t="s">
        <v>713</v>
      </c>
      <c r="K653" s="283">
        <v>17085</v>
      </c>
      <c r="L653" s="318">
        <v>-33.821174999999997</v>
      </c>
      <c r="M653" s="318">
        <v>151.149902</v>
      </c>
      <c r="O653">
        <f>INDEX('MEC - traffic congestion'!$M$145:$M$249,MATCH($D653,'MEC - traffic congestion'!$C$145:$C$249,0))</f>
        <v>1</v>
      </c>
      <c r="P653" t="str">
        <f t="shared" si="23"/>
        <v>2024WEEKENDS</v>
      </c>
      <c r="Q653">
        <f t="shared" si="24"/>
        <v>1</v>
      </c>
      <c r="R653" s="195" t="str">
        <f t="shared" si="25"/>
        <v>2024LIGHT VEHICLES</v>
      </c>
    </row>
    <row r="654" spans="3:18" x14ac:dyDescent="0.25">
      <c r="C654" s="294" t="s">
        <v>808</v>
      </c>
      <c r="D654" s="317">
        <v>32029</v>
      </c>
      <c r="E654" s="122" t="s">
        <v>809</v>
      </c>
      <c r="F654" s="122" t="s">
        <v>810</v>
      </c>
      <c r="G654" s="122" t="s">
        <v>778</v>
      </c>
      <c r="H654" s="122" t="s">
        <v>777</v>
      </c>
      <c r="I654" s="312">
        <v>2024</v>
      </c>
      <c r="J654" s="122" t="s">
        <v>713</v>
      </c>
      <c r="K654" s="283">
        <v>9079</v>
      </c>
      <c r="L654" s="318">
        <v>-33.821174999999997</v>
      </c>
      <c r="M654" s="318">
        <v>151.149902</v>
      </c>
      <c r="O654">
        <f>INDEX('MEC - traffic congestion'!$M$145:$M$249,MATCH($D654,'MEC - traffic congestion'!$C$145:$C$249,0))</f>
        <v>1</v>
      </c>
      <c r="P654" t="str">
        <f t="shared" si="23"/>
        <v>2024WEEKENDS</v>
      </c>
      <c r="Q654">
        <f t="shared" si="24"/>
        <v>1</v>
      </c>
      <c r="R654" s="195" t="str">
        <f t="shared" si="25"/>
        <v>2024LIGHT VEHICLES</v>
      </c>
    </row>
    <row r="655" spans="3:18" x14ac:dyDescent="0.25">
      <c r="C655" s="294" t="s">
        <v>811</v>
      </c>
      <c r="D655" s="317">
        <v>33014</v>
      </c>
      <c r="E655" s="122" t="s">
        <v>812</v>
      </c>
      <c r="F655" s="122" t="s">
        <v>813</v>
      </c>
      <c r="G655" s="122" t="s">
        <v>776</v>
      </c>
      <c r="H655" s="122" t="s">
        <v>777</v>
      </c>
      <c r="I655" s="312">
        <v>2018</v>
      </c>
      <c r="J655" s="122" t="s">
        <v>709</v>
      </c>
      <c r="K655" s="283">
        <v>6050</v>
      </c>
      <c r="L655" s="318">
        <v>-33.806140999999997</v>
      </c>
      <c r="M655" s="318">
        <v>151.17952</v>
      </c>
      <c r="O655">
        <f>INDEX('MEC - traffic congestion'!$M$145:$M$249,MATCH($D655,'MEC - traffic congestion'!$C$145:$C$249,0))</f>
        <v>0</v>
      </c>
      <c r="P655" t="str">
        <f t="shared" si="23"/>
        <v/>
      </c>
      <c r="Q655">
        <f t="shared" si="24"/>
        <v>1</v>
      </c>
      <c r="R655" s="195" t="str">
        <f t="shared" si="25"/>
        <v/>
      </c>
    </row>
    <row r="656" spans="3:18" x14ac:dyDescent="0.25">
      <c r="C656" s="294" t="s">
        <v>811</v>
      </c>
      <c r="D656" s="317">
        <v>33014</v>
      </c>
      <c r="E656" s="122" t="s">
        <v>812</v>
      </c>
      <c r="F656" s="122" t="s">
        <v>813</v>
      </c>
      <c r="G656" s="122" t="s">
        <v>778</v>
      </c>
      <c r="H656" s="122" t="s">
        <v>777</v>
      </c>
      <c r="I656" s="312">
        <v>2018</v>
      </c>
      <c r="J656" s="122" t="s">
        <v>709</v>
      </c>
      <c r="K656" s="283">
        <v>7474</v>
      </c>
      <c r="L656" s="318">
        <v>-33.806140999999997</v>
      </c>
      <c r="M656" s="318">
        <v>151.17952</v>
      </c>
      <c r="O656">
        <f>INDEX('MEC - traffic congestion'!$M$145:$M$249,MATCH($D656,'MEC - traffic congestion'!$C$145:$C$249,0))</f>
        <v>0</v>
      </c>
      <c r="P656" t="str">
        <f t="shared" si="23"/>
        <v/>
      </c>
      <c r="Q656">
        <f t="shared" si="24"/>
        <v>1</v>
      </c>
      <c r="R656" s="195" t="str">
        <f t="shared" si="25"/>
        <v/>
      </c>
    </row>
    <row r="657" spans="3:18" x14ac:dyDescent="0.25">
      <c r="C657" s="294" t="s">
        <v>811</v>
      </c>
      <c r="D657" s="317">
        <v>33014</v>
      </c>
      <c r="E657" s="122" t="s">
        <v>812</v>
      </c>
      <c r="F657" s="122" t="s">
        <v>813</v>
      </c>
      <c r="G657" s="122" t="s">
        <v>776</v>
      </c>
      <c r="H657" s="122" t="s">
        <v>777</v>
      </c>
      <c r="I657" s="312">
        <v>2018</v>
      </c>
      <c r="J657" s="122" t="s">
        <v>710</v>
      </c>
      <c r="K657" s="283">
        <v>14883</v>
      </c>
      <c r="L657" s="318">
        <v>-33.806140999999997</v>
      </c>
      <c r="M657" s="318">
        <v>151.17952</v>
      </c>
      <c r="O657">
        <f>INDEX('MEC - traffic congestion'!$M$145:$M$249,MATCH($D657,'MEC - traffic congestion'!$C$145:$C$249,0))</f>
        <v>0</v>
      </c>
      <c r="P657" t="str">
        <f t="shared" si="23"/>
        <v/>
      </c>
      <c r="Q657">
        <f t="shared" si="24"/>
        <v>1</v>
      </c>
      <c r="R657" s="195" t="str">
        <f t="shared" si="25"/>
        <v/>
      </c>
    </row>
    <row r="658" spans="3:18" x14ac:dyDescent="0.25">
      <c r="C658" s="294" t="s">
        <v>811</v>
      </c>
      <c r="D658" s="317">
        <v>33014</v>
      </c>
      <c r="E658" s="122" t="s">
        <v>812</v>
      </c>
      <c r="F658" s="122" t="s">
        <v>813</v>
      </c>
      <c r="G658" s="122" t="s">
        <v>778</v>
      </c>
      <c r="H658" s="122" t="s">
        <v>777</v>
      </c>
      <c r="I658" s="312">
        <v>2018</v>
      </c>
      <c r="J658" s="122" t="s">
        <v>710</v>
      </c>
      <c r="K658" s="283">
        <v>13972</v>
      </c>
      <c r="L658" s="318">
        <v>-33.806140999999997</v>
      </c>
      <c r="M658" s="318">
        <v>151.17952</v>
      </c>
      <c r="O658">
        <f>INDEX('MEC - traffic congestion'!$M$145:$M$249,MATCH($D658,'MEC - traffic congestion'!$C$145:$C$249,0))</f>
        <v>0</v>
      </c>
      <c r="P658" t="str">
        <f t="shared" si="23"/>
        <v/>
      </c>
      <c r="Q658">
        <f t="shared" si="24"/>
        <v>1</v>
      </c>
      <c r="R658" s="195" t="str">
        <f t="shared" si="25"/>
        <v/>
      </c>
    </row>
    <row r="659" spans="3:18" x14ac:dyDescent="0.25">
      <c r="C659" s="294" t="s">
        <v>811</v>
      </c>
      <c r="D659" s="317">
        <v>33014</v>
      </c>
      <c r="E659" s="122" t="s">
        <v>812</v>
      </c>
      <c r="F659" s="122" t="s">
        <v>813</v>
      </c>
      <c r="G659" s="122" t="s">
        <v>776</v>
      </c>
      <c r="H659" s="122" t="s">
        <v>777</v>
      </c>
      <c r="I659" s="312">
        <v>2018</v>
      </c>
      <c r="J659" s="122" t="s">
        <v>711</v>
      </c>
      <c r="K659" s="283">
        <v>8482</v>
      </c>
      <c r="L659" s="318">
        <v>-33.806140999999997</v>
      </c>
      <c r="M659" s="318">
        <v>151.17952</v>
      </c>
      <c r="O659">
        <f>INDEX('MEC - traffic congestion'!$M$145:$M$249,MATCH($D659,'MEC - traffic congestion'!$C$145:$C$249,0))</f>
        <v>0</v>
      </c>
      <c r="P659" t="str">
        <f t="shared" si="23"/>
        <v/>
      </c>
      <c r="Q659">
        <f t="shared" si="24"/>
        <v>1</v>
      </c>
      <c r="R659" s="195" t="str">
        <f t="shared" si="25"/>
        <v/>
      </c>
    </row>
    <row r="660" spans="3:18" x14ac:dyDescent="0.25">
      <c r="C660" s="294" t="s">
        <v>811</v>
      </c>
      <c r="D660" s="317">
        <v>33014</v>
      </c>
      <c r="E660" s="122" t="s">
        <v>812</v>
      </c>
      <c r="F660" s="122" t="s">
        <v>813</v>
      </c>
      <c r="G660" s="122" t="s">
        <v>778</v>
      </c>
      <c r="H660" s="122" t="s">
        <v>777</v>
      </c>
      <c r="I660" s="312">
        <v>2018</v>
      </c>
      <c r="J660" s="122" t="s">
        <v>711</v>
      </c>
      <c r="K660" s="283">
        <v>6725</v>
      </c>
      <c r="L660" s="318">
        <v>-33.806140999999997</v>
      </c>
      <c r="M660" s="318">
        <v>151.17952</v>
      </c>
      <c r="O660">
        <f>INDEX('MEC - traffic congestion'!$M$145:$M$249,MATCH($D660,'MEC - traffic congestion'!$C$145:$C$249,0))</f>
        <v>0</v>
      </c>
      <c r="P660" t="str">
        <f t="shared" si="23"/>
        <v/>
      </c>
      <c r="Q660">
        <f t="shared" si="24"/>
        <v>1</v>
      </c>
      <c r="R660" s="195" t="str">
        <f t="shared" si="25"/>
        <v/>
      </c>
    </row>
    <row r="661" spans="3:18" x14ac:dyDescent="0.25">
      <c r="C661" s="294" t="s">
        <v>811</v>
      </c>
      <c r="D661" s="317">
        <v>33014</v>
      </c>
      <c r="E661" s="122" t="s">
        <v>812</v>
      </c>
      <c r="F661" s="122" t="s">
        <v>813</v>
      </c>
      <c r="G661" s="122" t="s">
        <v>776</v>
      </c>
      <c r="H661" s="122" t="s">
        <v>777</v>
      </c>
      <c r="I661" s="312">
        <v>2018</v>
      </c>
      <c r="J661" s="122" t="s">
        <v>712</v>
      </c>
      <c r="K661" s="283">
        <v>20363</v>
      </c>
      <c r="L661" s="318">
        <v>-33.806140999999997</v>
      </c>
      <c r="M661" s="318">
        <v>151.17952</v>
      </c>
      <c r="O661">
        <f>INDEX('MEC - traffic congestion'!$M$145:$M$249,MATCH($D661,'MEC - traffic congestion'!$C$145:$C$249,0))</f>
        <v>0</v>
      </c>
      <c r="P661" t="str">
        <f t="shared" ref="P661:P724" si="26">IF($O661=1,$I661&amp;$J661,"")</f>
        <v/>
      </c>
      <c r="Q661">
        <f t="shared" ref="Q661:Q724" si="27">IF(AND($M661&gt;150.246,AND($L661&gt;-34.397,$L661&lt;-32.662)),1,0)</f>
        <v>1</v>
      </c>
      <c r="R661" s="195" t="str">
        <f t="shared" ref="R661:R724" si="28">IF($O661=1,$I661&amp;$H661,"")</f>
        <v/>
      </c>
    </row>
    <row r="662" spans="3:18" x14ac:dyDescent="0.25">
      <c r="C662" s="294" t="s">
        <v>811</v>
      </c>
      <c r="D662" s="317">
        <v>33014</v>
      </c>
      <c r="E662" s="122" t="s">
        <v>812</v>
      </c>
      <c r="F662" s="122" t="s">
        <v>813</v>
      </c>
      <c r="G662" s="122" t="s">
        <v>778</v>
      </c>
      <c r="H662" s="122" t="s">
        <v>777</v>
      </c>
      <c r="I662" s="312">
        <v>2018</v>
      </c>
      <c r="J662" s="122" t="s">
        <v>712</v>
      </c>
      <c r="K662" s="283">
        <v>19741</v>
      </c>
      <c r="L662" s="318">
        <v>-33.806140999999997</v>
      </c>
      <c r="M662" s="318">
        <v>151.17952</v>
      </c>
      <c r="O662">
        <f>INDEX('MEC - traffic congestion'!$M$145:$M$249,MATCH($D662,'MEC - traffic congestion'!$C$145:$C$249,0))</f>
        <v>0</v>
      </c>
      <c r="P662" t="str">
        <f t="shared" si="26"/>
        <v/>
      </c>
      <c r="Q662">
        <f t="shared" si="27"/>
        <v>1</v>
      </c>
      <c r="R662" s="195" t="str">
        <f t="shared" si="28"/>
        <v/>
      </c>
    </row>
    <row r="663" spans="3:18" x14ac:dyDescent="0.25">
      <c r="C663" s="294" t="s">
        <v>811</v>
      </c>
      <c r="D663" s="317">
        <v>33014</v>
      </c>
      <c r="E663" s="122" t="s">
        <v>812</v>
      </c>
      <c r="F663" s="122" t="s">
        <v>813</v>
      </c>
      <c r="G663" s="122" t="s">
        <v>776</v>
      </c>
      <c r="H663" s="122" t="s">
        <v>777</v>
      </c>
      <c r="I663" s="312">
        <v>2018</v>
      </c>
      <c r="J663" s="122" t="s">
        <v>713</v>
      </c>
      <c r="K663" s="283">
        <v>26886</v>
      </c>
      <c r="L663" s="318">
        <v>-33.806140999999997</v>
      </c>
      <c r="M663" s="318">
        <v>151.17952</v>
      </c>
      <c r="O663">
        <f>INDEX('MEC - traffic congestion'!$M$145:$M$249,MATCH($D663,'MEC - traffic congestion'!$C$145:$C$249,0))</f>
        <v>0</v>
      </c>
      <c r="P663" t="str">
        <f t="shared" si="26"/>
        <v/>
      </c>
      <c r="Q663">
        <f t="shared" si="27"/>
        <v>1</v>
      </c>
      <c r="R663" s="195" t="str">
        <f t="shared" si="28"/>
        <v/>
      </c>
    </row>
    <row r="664" spans="3:18" x14ac:dyDescent="0.25">
      <c r="C664" s="294" t="s">
        <v>811</v>
      </c>
      <c r="D664" s="317">
        <v>33014</v>
      </c>
      <c r="E664" s="122" t="s">
        <v>812</v>
      </c>
      <c r="F664" s="122" t="s">
        <v>813</v>
      </c>
      <c r="G664" s="122" t="s">
        <v>778</v>
      </c>
      <c r="H664" s="122" t="s">
        <v>777</v>
      </c>
      <c r="I664" s="312">
        <v>2018</v>
      </c>
      <c r="J664" s="122" t="s">
        <v>713</v>
      </c>
      <c r="K664" s="283">
        <v>26121</v>
      </c>
      <c r="L664" s="318">
        <v>-33.806140999999997</v>
      </c>
      <c r="M664" s="318">
        <v>151.17952</v>
      </c>
      <c r="O664">
        <f>INDEX('MEC - traffic congestion'!$M$145:$M$249,MATCH($D664,'MEC - traffic congestion'!$C$145:$C$249,0))</f>
        <v>0</v>
      </c>
      <c r="P664" t="str">
        <f t="shared" si="26"/>
        <v/>
      </c>
      <c r="Q664">
        <f t="shared" si="27"/>
        <v>1</v>
      </c>
      <c r="R664" s="195" t="str">
        <f t="shared" si="28"/>
        <v/>
      </c>
    </row>
    <row r="665" spans="3:18" x14ac:dyDescent="0.25">
      <c r="C665" s="294" t="s">
        <v>814</v>
      </c>
      <c r="D665" s="317">
        <v>33023</v>
      </c>
      <c r="E665" s="122" t="s">
        <v>815</v>
      </c>
      <c r="F665" s="122" t="s">
        <v>816</v>
      </c>
      <c r="G665" s="122" t="s">
        <v>776</v>
      </c>
      <c r="H665" s="122" t="s">
        <v>777</v>
      </c>
      <c r="I665" s="312">
        <v>2018</v>
      </c>
      <c r="J665" s="122" t="s">
        <v>709</v>
      </c>
      <c r="K665" s="283">
        <v>2178</v>
      </c>
      <c r="L665" s="318">
        <v>-33.799751000000001</v>
      </c>
      <c r="M665" s="318">
        <v>151.210465</v>
      </c>
      <c r="O665">
        <f>INDEX('MEC - traffic congestion'!$M$145:$M$249,MATCH($D665,'MEC - traffic congestion'!$C$145:$C$249,0))</f>
        <v>1</v>
      </c>
      <c r="P665" t="str">
        <f t="shared" si="26"/>
        <v>2018AM PEAK</v>
      </c>
      <c r="Q665">
        <f t="shared" si="27"/>
        <v>1</v>
      </c>
      <c r="R665" s="195" t="str">
        <f t="shared" si="28"/>
        <v>2018LIGHT VEHICLES</v>
      </c>
    </row>
    <row r="666" spans="3:18" x14ac:dyDescent="0.25">
      <c r="C666" s="294" t="s">
        <v>814</v>
      </c>
      <c r="D666" s="317">
        <v>33023</v>
      </c>
      <c r="E666" s="122" t="s">
        <v>815</v>
      </c>
      <c r="F666" s="122" t="s">
        <v>816</v>
      </c>
      <c r="G666" s="122" t="s">
        <v>778</v>
      </c>
      <c r="H666" s="122" t="s">
        <v>777</v>
      </c>
      <c r="I666" s="312">
        <v>2018</v>
      </c>
      <c r="J666" s="122" t="s">
        <v>709</v>
      </c>
      <c r="K666" s="283">
        <v>4906</v>
      </c>
      <c r="L666" s="318">
        <v>-33.799751000000001</v>
      </c>
      <c r="M666" s="318">
        <v>151.210465</v>
      </c>
      <c r="O666">
        <f>INDEX('MEC - traffic congestion'!$M$145:$M$249,MATCH($D666,'MEC - traffic congestion'!$C$145:$C$249,0))</f>
        <v>1</v>
      </c>
      <c r="P666" t="str">
        <f t="shared" si="26"/>
        <v>2018AM PEAK</v>
      </c>
      <c r="Q666">
        <f t="shared" si="27"/>
        <v>1</v>
      </c>
      <c r="R666" s="195" t="str">
        <f t="shared" si="28"/>
        <v>2018LIGHT VEHICLES</v>
      </c>
    </row>
    <row r="667" spans="3:18" x14ac:dyDescent="0.25">
      <c r="C667" s="294" t="s">
        <v>814</v>
      </c>
      <c r="D667" s="317">
        <v>33023</v>
      </c>
      <c r="E667" s="122" t="s">
        <v>815</v>
      </c>
      <c r="F667" s="122" t="s">
        <v>816</v>
      </c>
      <c r="G667" s="122" t="s">
        <v>776</v>
      </c>
      <c r="H667" s="122" t="s">
        <v>777</v>
      </c>
      <c r="I667" s="312">
        <v>2018</v>
      </c>
      <c r="J667" s="122" t="s">
        <v>710</v>
      </c>
      <c r="K667" s="283">
        <v>6713</v>
      </c>
      <c r="L667" s="318">
        <v>-33.799751000000001</v>
      </c>
      <c r="M667" s="318">
        <v>151.210465</v>
      </c>
      <c r="O667">
        <f>INDEX('MEC - traffic congestion'!$M$145:$M$249,MATCH($D667,'MEC - traffic congestion'!$C$145:$C$249,0))</f>
        <v>1</v>
      </c>
      <c r="P667" t="str">
        <f t="shared" si="26"/>
        <v>2018OFF PEAK</v>
      </c>
      <c r="Q667">
        <f t="shared" si="27"/>
        <v>1</v>
      </c>
      <c r="R667" s="195" t="str">
        <f t="shared" si="28"/>
        <v>2018LIGHT VEHICLES</v>
      </c>
    </row>
    <row r="668" spans="3:18" x14ac:dyDescent="0.25">
      <c r="C668" s="294" t="s">
        <v>814</v>
      </c>
      <c r="D668" s="317">
        <v>33023</v>
      </c>
      <c r="E668" s="122" t="s">
        <v>815</v>
      </c>
      <c r="F668" s="122" t="s">
        <v>816</v>
      </c>
      <c r="G668" s="122" t="s">
        <v>778</v>
      </c>
      <c r="H668" s="122" t="s">
        <v>777</v>
      </c>
      <c r="I668" s="312">
        <v>2018</v>
      </c>
      <c r="J668" s="122" t="s">
        <v>710</v>
      </c>
      <c r="K668" s="283">
        <v>5821</v>
      </c>
      <c r="L668" s="318">
        <v>-33.799751000000001</v>
      </c>
      <c r="M668" s="318">
        <v>151.210465</v>
      </c>
      <c r="O668">
        <f>INDEX('MEC - traffic congestion'!$M$145:$M$249,MATCH($D668,'MEC - traffic congestion'!$C$145:$C$249,0))</f>
        <v>1</v>
      </c>
      <c r="P668" t="str">
        <f t="shared" si="26"/>
        <v>2018OFF PEAK</v>
      </c>
      <c r="Q668">
        <f t="shared" si="27"/>
        <v>1</v>
      </c>
      <c r="R668" s="195" t="str">
        <f t="shared" si="28"/>
        <v>2018LIGHT VEHICLES</v>
      </c>
    </row>
    <row r="669" spans="3:18" x14ac:dyDescent="0.25">
      <c r="C669" s="294" t="s">
        <v>814</v>
      </c>
      <c r="D669" s="317">
        <v>33023</v>
      </c>
      <c r="E669" s="122" t="s">
        <v>815</v>
      </c>
      <c r="F669" s="122" t="s">
        <v>816</v>
      </c>
      <c r="G669" s="122" t="s">
        <v>776</v>
      </c>
      <c r="H669" s="122" t="s">
        <v>777</v>
      </c>
      <c r="I669" s="312">
        <v>2018</v>
      </c>
      <c r="J669" s="122" t="s">
        <v>711</v>
      </c>
      <c r="K669" s="283">
        <v>4752</v>
      </c>
      <c r="L669" s="318">
        <v>-33.799751000000001</v>
      </c>
      <c r="M669" s="318">
        <v>151.210465</v>
      </c>
      <c r="O669">
        <f>INDEX('MEC - traffic congestion'!$M$145:$M$249,MATCH($D669,'MEC - traffic congestion'!$C$145:$C$249,0))</f>
        <v>1</v>
      </c>
      <c r="P669" t="str">
        <f t="shared" si="26"/>
        <v>2018PM PEAK</v>
      </c>
      <c r="Q669">
        <f t="shared" si="27"/>
        <v>1</v>
      </c>
      <c r="R669" s="195" t="str">
        <f t="shared" si="28"/>
        <v>2018LIGHT VEHICLES</v>
      </c>
    </row>
    <row r="670" spans="3:18" x14ac:dyDescent="0.25">
      <c r="C670" s="294" t="s">
        <v>814</v>
      </c>
      <c r="D670" s="317">
        <v>33023</v>
      </c>
      <c r="E670" s="122" t="s">
        <v>815</v>
      </c>
      <c r="F670" s="122" t="s">
        <v>816</v>
      </c>
      <c r="G670" s="122" t="s">
        <v>778</v>
      </c>
      <c r="H670" s="122" t="s">
        <v>777</v>
      </c>
      <c r="I670" s="312">
        <v>2018</v>
      </c>
      <c r="J670" s="122" t="s">
        <v>711</v>
      </c>
      <c r="K670" s="283">
        <v>3196</v>
      </c>
      <c r="L670" s="318">
        <v>-33.799751000000001</v>
      </c>
      <c r="M670" s="318">
        <v>151.210465</v>
      </c>
      <c r="O670">
        <f>INDEX('MEC - traffic congestion'!$M$145:$M$249,MATCH($D670,'MEC - traffic congestion'!$C$145:$C$249,0))</f>
        <v>1</v>
      </c>
      <c r="P670" t="str">
        <f t="shared" si="26"/>
        <v>2018PM PEAK</v>
      </c>
      <c r="Q670">
        <f t="shared" si="27"/>
        <v>1</v>
      </c>
      <c r="R670" s="195" t="str">
        <f t="shared" si="28"/>
        <v>2018LIGHT VEHICLES</v>
      </c>
    </row>
    <row r="671" spans="3:18" x14ac:dyDescent="0.25">
      <c r="C671" s="294" t="s">
        <v>814</v>
      </c>
      <c r="D671" s="317">
        <v>33023</v>
      </c>
      <c r="E671" s="122" t="s">
        <v>815</v>
      </c>
      <c r="F671" s="122" t="s">
        <v>816</v>
      </c>
      <c r="G671" s="122" t="s">
        <v>776</v>
      </c>
      <c r="H671" s="122" t="s">
        <v>777</v>
      </c>
      <c r="I671" s="312">
        <v>2018</v>
      </c>
      <c r="J671" s="122" t="s">
        <v>712</v>
      </c>
      <c r="K671" s="283">
        <v>8993</v>
      </c>
      <c r="L671" s="318">
        <v>-33.799751000000001</v>
      </c>
      <c r="M671" s="318">
        <v>151.210465</v>
      </c>
      <c r="O671">
        <f>INDEX('MEC - traffic congestion'!$M$145:$M$249,MATCH($D671,'MEC - traffic congestion'!$C$145:$C$249,0))</f>
        <v>1</v>
      </c>
      <c r="P671" t="str">
        <f t="shared" si="26"/>
        <v>2018PUBLIC HOLIDAYS</v>
      </c>
      <c r="Q671">
        <f t="shared" si="27"/>
        <v>1</v>
      </c>
      <c r="R671" s="195" t="str">
        <f t="shared" si="28"/>
        <v>2018LIGHT VEHICLES</v>
      </c>
    </row>
    <row r="672" spans="3:18" x14ac:dyDescent="0.25">
      <c r="C672" s="294" t="s">
        <v>814</v>
      </c>
      <c r="D672" s="317">
        <v>33023</v>
      </c>
      <c r="E672" s="122" t="s">
        <v>815</v>
      </c>
      <c r="F672" s="122" t="s">
        <v>816</v>
      </c>
      <c r="G672" s="122" t="s">
        <v>778</v>
      </c>
      <c r="H672" s="122" t="s">
        <v>777</v>
      </c>
      <c r="I672" s="312">
        <v>2018</v>
      </c>
      <c r="J672" s="122" t="s">
        <v>712</v>
      </c>
      <c r="K672" s="283">
        <v>8688</v>
      </c>
      <c r="L672" s="318">
        <v>-33.799751000000001</v>
      </c>
      <c r="M672" s="318">
        <v>151.210465</v>
      </c>
      <c r="O672">
        <f>INDEX('MEC - traffic congestion'!$M$145:$M$249,MATCH($D672,'MEC - traffic congestion'!$C$145:$C$249,0))</f>
        <v>1</v>
      </c>
      <c r="P672" t="str">
        <f t="shared" si="26"/>
        <v>2018PUBLIC HOLIDAYS</v>
      </c>
      <c r="Q672">
        <f t="shared" si="27"/>
        <v>1</v>
      </c>
      <c r="R672" s="195" t="str">
        <f t="shared" si="28"/>
        <v>2018LIGHT VEHICLES</v>
      </c>
    </row>
    <row r="673" spans="3:18" x14ac:dyDescent="0.25">
      <c r="C673" s="294" t="s">
        <v>814</v>
      </c>
      <c r="D673" s="317">
        <v>33023</v>
      </c>
      <c r="E673" s="122" t="s">
        <v>815</v>
      </c>
      <c r="F673" s="122" t="s">
        <v>816</v>
      </c>
      <c r="G673" s="122" t="s">
        <v>776</v>
      </c>
      <c r="H673" s="122" t="s">
        <v>777</v>
      </c>
      <c r="I673" s="312">
        <v>2018</v>
      </c>
      <c r="J673" s="122" t="s">
        <v>713</v>
      </c>
      <c r="K673" s="283">
        <v>11220</v>
      </c>
      <c r="L673" s="318">
        <v>-33.799751000000001</v>
      </c>
      <c r="M673" s="318">
        <v>151.210465</v>
      </c>
      <c r="O673">
        <f>INDEX('MEC - traffic congestion'!$M$145:$M$249,MATCH($D673,'MEC - traffic congestion'!$C$145:$C$249,0))</f>
        <v>1</v>
      </c>
      <c r="P673" t="str">
        <f t="shared" si="26"/>
        <v>2018WEEKENDS</v>
      </c>
      <c r="Q673">
        <f t="shared" si="27"/>
        <v>1</v>
      </c>
      <c r="R673" s="195" t="str">
        <f t="shared" si="28"/>
        <v>2018LIGHT VEHICLES</v>
      </c>
    </row>
    <row r="674" spans="3:18" x14ac:dyDescent="0.25">
      <c r="C674" s="294" t="s">
        <v>814</v>
      </c>
      <c r="D674" s="317">
        <v>33023</v>
      </c>
      <c r="E674" s="122" t="s">
        <v>815</v>
      </c>
      <c r="F674" s="122" t="s">
        <v>816</v>
      </c>
      <c r="G674" s="122" t="s">
        <v>778</v>
      </c>
      <c r="H674" s="122" t="s">
        <v>777</v>
      </c>
      <c r="I674" s="312">
        <v>2018</v>
      </c>
      <c r="J674" s="122" t="s">
        <v>713</v>
      </c>
      <c r="K674" s="283">
        <v>11143</v>
      </c>
      <c r="L674" s="318">
        <v>-33.799751000000001</v>
      </c>
      <c r="M674" s="318">
        <v>151.210465</v>
      </c>
      <c r="O674">
        <f>INDEX('MEC - traffic congestion'!$M$145:$M$249,MATCH($D674,'MEC - traffic congestion'!$C$145:$C$249,0))</f>
        <v>1</v>
      </c>
      <c r="P674" t="str">
        <f t="shared" si="26"/>
        <v>2018WEEKENDS</v>
      </c>
      <c r="Q674">
        <f t="shared" si="27"/>
        <v>1</v>
      </c>
      <c r="R674" s="195" t="str">
        <f t="shared" si="28"/>
        <v>2018LIGHT VEHICLES</v>
      </c>
    </row>
    <row r="675" spans="3:18" x14ac:dyDescent="0.25">
      <c r="C675" s="294" t="s">
        <v>814</v>
      </c>
      <c r="D675" s="317">
        <v>33023</v>
      </c>
      <c r="E675" s="122" t="s">
        <v>815</v>
      </c>
      <c r="F675" s="122" t="s">
        <v>816</v>
      </c>
      <c r="G675" s="122" t="s">
        <v>776</v>
      </c>
      <c r="H675" s="122" t="s">
        <v>777</v>
      </c>
      <c r="I675" s="312">
        <v>2019</v>
      </c>
      <c r="J675" s="122" t="s">
        <v>709</v>
      </c>
      <c r="K675" s="283">
        <v>2186</v>
      </c>
      <c r="L675" s="318">
        <v>-33.799751000000001</v>
      </c>
      <c r="M675" s="318">
        <v>151.210465</v>
      </c>
      <c r="O675">
        <f>INDEX('MEC - traffic congestion'!$M$145:$M$249,MATCH($D675,'MEC - traffic congestion'!$C$145:$C$249,0))</f>
        <v>1</v>
      </c>
      <c r="P675" t="str">
        <f t="shared" si="26"/>
        <v>2019AM PEAK</v>
      </c>
      <c r="Q675">
        <f t="shared" si="27"/>
        <v>1</v>
      </c>
      <c r="R675" s="195" t="str">
        <f t="shared" si="28"/>
        <v>2019LIGHT VEHICLES</v>
      </c>
    </row>
    <row r="676" spans="3:18" x14ac:dyDescent="0.25">
      <c r="C676" s="294" t="s">
        <v>814</v>
      </c>
      <c r="D676" s="317">
        <v>33023</v>
      </c>
      <c r="E676" s="122" t="s">
        <v>815</v>
      </c>
      <c r="F676" s="122" t="s">
        <v>816</v>
      </c>
      <c r="G676" s="122" t="s">
        <v>778</v>
      </c>
      <c r="H676" s="122" t="s">
        <v>777</v>
      </c>
      <c r="I676" s="312">
        <v>2019</v>
      </c>
      <c r="J676" s="122" t="s">
        <v>709</v>
      </c>
      <c r="K676" s="283">
        <v>4759</v>
      </c>
      <c r="L676" s="318">
        <v>-33.799751000000001</v>
      </c>
      <c r="M676" s="318">
        <v>151.210465</v>
      </c>
      <c r="O676">
        <f>INDEX('MEC - traffic congestion'!$M$145:$M$249,MATCH($D676,'MEC - traffic congestion'!$C$145:$C$249,0))</f>
        <v>1</v>
      </c>
      <c r="P676" t="str">
        <f t="shared" si="26"/>
        <v>2019AM PEAK</v>
      </c>
      <c r="Q676">
        <f t="shared" si="27"/>
        <v>1</v>
      </c>
      <c r="R676" s="195" t="str">
        <f t="shared" si="28"/>
        <v>2019LIGHT VEHICLES</v>
      </c>
    </row>
    <row r="677" spans="3:18" x14ac:dyDescent="0.25">
      <c r="C677" s="294" t="s">
        <v>814</v>
      </c>
      <c r="D677" s="317">
        <v>33023</v>
      </c>
      <c r="E677" s="122" t="s">
        <v>815</v>
      </c>
      <c r="F677" s="122" t="s">
        <v>816</v>
      </c>
      <c r="G677" s="122" t="s">
        <v>776</v>
      </c>
      <c r="H677" s="122" t="s">
        <v>777</v>
      </c>
      <c r="I677" s="312">
        <v>2019</v>
      </c>
      <c r="J677" s="122" t="s">
        <v>710</v>
      </c>
      <c r="K677" s="283">
        <v>6781</v>
      </c>
      <c r="L677" s="318">
        <v>-33.799751000000001</v>
      </c>
      <c r="M677" s="318">
        <v>151.210465</v>
      </c>
      <c r="O677">
        <f>INDEX('MEC - traffic congestion'!$M$145:$M$249,MATCH($D677,'MEC - traffic congestion'!$C$145:$C$249,0))</f>
        <v>1</v>
      </c>
      <c r="P677" t="str">
        <f t="shared" si="26"/>
        <v>2019OFF PEAK</v>
      </c>
      <c r="Q677">
        <f t="shared" si="27"/>
        <v>1</v>
      </c>
      <c r="R677" s="195" t="str">
        <f t="shared" si="28"/>
        <v>2019LIGHT VEHICLES</v>
      </c>
    </row>
    <row r="678" spans="3:18" x14ac:dyDescent="0.25">
      <c r="C678" s="294" t="s">
        <v>814</v>
      </c>
      <c r="D678" s="317">
        <v>33023</v>
      </c>
      <c r="E678" s="122" t="s">
        <v>815</v>
      </c>
      <c r="F678" s="122" t="s">
        <v>816</v>
      </c>
      <c r="G678" s="122" t="s">
        <v>778</v>
      </c>
      <c r="H678" s="122" t="s">
        <v>777</v>
      </c>
      <c r="I678" s="312">
        <v>2019</v>
      </c>
      <c r="J678" s="122" t="s">
        <v>710</v>
      </c>
      <c r="K678" s="283">
        <v>5834</v>
      </c>
      <c r="L678" s="318">
        <v>-33.799751000000001</v>
      </c>
      <c r="M678" s="318">
        <v>151.210465</v>
      </c>
      <c r="O678">
        <f>INDEX('MEC - traffic congestion'!$M$145:$M$249,MATCH($D678,'MEC - traffic congestion'!$C$145:$C$249,0))</f>
        <v>1</v>
      </c>
      <c r="P678" t="str">
        <f t="shared" si="26"/>
        <v>2019OFF PEAK</v>
      </c>
      <c r="Q678">
        <f t="shared" si="27"/>
        <v>1</v>
      </c>
      <c r="R678" s="195" t="str">
        <f t="shared" si="28"/>
        <v>2019LIGHT VEHICLES</v>
      </c>
    </row>
    <row r="679" spans="3:18" x14ac:dyDescent="0.25">
      <c r="C679" s="294" t="s">
        <v>814</v>
      </c>
      <c r="D679" s="317">
        <v>33023</v>
      </c>
      <c r="E679" s="122" t="s">
        <v>815</v>
      </c>
      <c r="F679" s="122" t="s">
        <v>816</v>
      </c>
      <c r="G679" s="122" t="s">
        <v>776</v>
      </c>
      <c r="H679" s="122" t="s">
        <v>777</v>
      </c>
      <c r="I679" s="312">
        <v>2019</v>
      </c>
      <c r="J679" s="122" t="s">
        <v>711</v>
      </c>
      <c r="K679" s="283">
        <v>4852</v>
      </c>
      <c r="L679" s="318">
        <v>-33.799751000000001</v>
      </c>
      <c r="M679" s="318">
        <v>151.210465</v>
      </c>
      <c r="O679">
        <f>INDEX('MEC - traffic congestion'!$M$145:$M$249,MATCH($D679,'MEC - traffic congestion'!$C$145:$C$249,0))</f>
        <v>1</v>
      </c>
      <c r="P679" t="str">
        <f t="shared" si="26"/>
        <v>2019PM PEAK</v>
      </c>
      <c r="Q679">
        <f t="shared" si="27"/>
        <v>1</v>
      </c>
      <c r="R679" s="195" t="str">
        <f t="shared" si="28"/>
        <v>2019LIGHT VEHICLES</v>
      </c>
    </row>
    <row r="680" spans="3:18" x14ac:dyDescent="0.25">
      <c r="C680" s="294" t="s">
        <v>814</v>
      </c>
      <c r="D680" s="317">
        <v>33023</v>
      </c>
      <c r="E680" s="122" t="s">
        <v>815</v>
      </c>
      <c r="F680" s="122" t="s">
        <v>816</v>
      </c>
      <c r="G680" s="122" t="s">
        <v>778</v>
      </c>
      <c r="H680" s="122" t="s">
        <v>777</v>
      </c>
      <c r="I680" s="312">
        <v>2019</v>
      </c>
      <c r="J680" s="122" t="s">
        <v>711</v>
      </c>
      <c r="K680" s="283">
        <v>3234</v>
      </c>
      <c r="L680" s="318">
        <v>-33.799751000000001</v>
      </c>
      <c r="M680" s="318">
        <v>151.210465</v>
      </c>
      <c r="O680">
        <f>INDEX('MEC - traffic congestion'!$M$145:$M$249,MATCH($D680,'MEC - traffic congestion'!$C$145:$C$249,0))</f>
        <v>1</v>
      </c>
      <c r="P680" t="str">
        <f t="shared" si="26"/>
        <v>2019PM PEAK</v>
      </c>
      <c r="Q680">
        <f t="shared" si="27"/>
        <v>1</v>
      </c>
      <c r="R680" s="195" t="str">
        <f t="shared" si="28"/>
        <v>2019LIGHT VEHICLES</v>
      </c>
    </row>
    <row r="681" spans="3:18" x14ac:dyDescent="0.25">
      <c r="C681" s="294" t="s">
        <v>814</v>
      </c>
      <c r="D681" s="317">
        <v>33023</v>
      </c>
      <c r="E681" s="122" t="s">
        <v>815</v>
      </c>
      <c r="F681" s="122" t="s">
        <v>816</v>
      </c>
      <c r="G681" s="122" t="s">
        <v>776</v>
      </c>
      <c r="H681" s="122" t="s">
        <v>777</v>
      </c>
      <c r="I681" s="312">
        <v>2019</v>
      </c>
      <c r="J681" s="122" t="s">
        <v>712</v>
      </c>
      <c r="K681" s="283">
        <v>9077</v>
      </c>
      <c r="L681" s="318">
        <v>-33.799751000000001</v>
      </c>
      <c r="M681" s="318">
        <v>151.210465</v>
      </c>
      <c r="O681">
        <f>INDEX('MEC - traffic congestion'!$M$145:$M$249,MATCH($D681,'MEC - traffic congestion'!$C$145:$C$249,0))</f>
        <v>1</v>
      </c>
      <c r="P681" t="str">
        <f t="shared" si="26"/>
        <v>2019PUBLIC HOLIDAYS</v>
      </c>
      <c r="Q681">
        <f t="shared" si="27"/>
        <v>1</v>
      </c>
      <c r="R681" s="195" t="str">
        <f t="shared" si="28"/>
        <v>2019LIGHT VEHICLES</v>
      </c>
    </row>
    <row r="682" spans="3:18" x14ac:dyDescent="0.25">
      <c r="C682" s="294" t="s">
        <v>814</v>
      </c>
      <c r="D682" s="317">
        <v>33023</v>
      </c>
      <c r="E682" s="122" t="s">
        <v>815</v>
      </c>
      <c r="F682" s="122" t="s">
        <v>816</v>
      </c>
      <c r="G682" s="122" t="s">
        <v>778</v>
      </c>
      <c r="H682" s="122" t="s">
        <v>777</v>
      </c>
      <c r="I682" s="312">
        <v>2019</v>
      </c>
      <c r="J682" s="122" t="s">
        <v>712</v>
      </c>
      <c r="K682" s="283">
        <v>8988</v>
      </c>
      <c r="L682" s="318">
        <v>-33.799751000000001</v>
      </c>
      <c r="M682" s="318">
        <v>151.210465</v>
      </c>
      <c r="O682">
        <f>INDEX('MEC - traffic congestion'!$M$145:$M$249,MATCH($D682,'MEC - traffic congestion'!$C$145:$C$249,0))</f>
        <v>1</v>
      </c>
      <c r="P682" t="str">
        <f t="shared" si="26"/>
        <v>2019PUBLIC HOLIDAYS</v>
      </c>
      <c r="Q682">
        <f t="shared" si="27"/>
        <v>1</v>
      </c>
      <c r="R682" s="195" t="str">
        <f t="shared" si="28"/>
        <v>2019LIGHT VEHICLES</v>
      </c>
    </row>
    <row r="683" spans="3:18" x14ac:dyDescent="0.25">
      <c r="C683" s="294" t="s">
        <v>814</v>
      </c>
      <c r="D683" s="317">
        <v>33023</v>
      </c>
      <c r="E683" s="122" t="s">
        <v>815</v>
      </c>
      <c r="F683" s="122" t="s">
        <v>816</v>
      </c>
      <c r="G683" s="122" t="s">
        <v>776</v>
      </c>
      <c r="H683" s="122" t="s">
        <v>777</v>
      </c>
      <c r="I683" s="312">
        <v>2019</v>
      </c>
      <c r="J683" s="122" t="s">
        <v>713</v>
      </c>
      <c r="K683" s="283">
        <v>11191</v>
      </c>
      <c r="L683" s="318">
        <v>-33.799751000000001</v>
      </c>
      <c r="M683" s="318">
        <v>151.210465</v>
      </c>
      <c r="O683">
        <f>INDEX('MEC - traffic congestion'!$M$145:$M$249,MATCH($D683,'MEC - traffic congestion'!$C$145:$C$249,0))</f>
        <v>1</v>
      </c>
      <c r="P683" t="str">
        <f t="shared" si="26"/>
        <v>2019WEEKENDS</v>
      </c>
      <c r="Q683">
        <f t="shared" si="27"/>
        <v>1</v>
      </c>
      <c r="R683" s="195" t="str">
        <f t="shared" si="28"/>
        <v>2019LIGHT VEHICLES</v>
      </c>
    </row>
    <row r="684" spans="3:18" x14ac:dyDescent="0.25">
      <c r="C684" s="294" t="s">
        <v>814</v>
      </c>
      <c r="D684" s="317">
        <v>33023</v>
      </c>
      <c r="E684" s="122" t="s">
        <v>815</v>
      </c>
      <c r="F684" s="122" t="s">
        <v>816</v>
      </c>
      <c r="G684" s="122" t="s">
        <v>778</v>
      </c>
      <c r="H684" s="122" t="s">
        <v>777</v>
      </c>
      <c r="I684" s="312">
        <v>2019</v>
      </c>
      <c r="J684" s="122" t="s">
        <v>713</v>
      </c>
      <c r="K684" s="283">
        <v>10889</v>
      </c>
      <c r="L684" s="318">
        <v>-33.799751000000001</v>
      </c>
      <c r="M684" s="318">
        <v>151.210465</v>
      </c>
      <c r="O684">
        <f>INDEX('MEC - traffic congestion'!$M$145:$M$249,MATCH($D684,'MEC - traffic congestion'!$C$145:$C$249,0))</f>
        <v>1</v>
      </c>
      <c r="P684" t="str">
        <f t="shared" si="26"/>
        <v>2019WEEKENDS</v>
      </c>
      <c r="Q684">
        <f t="shared" si="27"/>
        <v>1</v>
      </c>
      <c r="R684" s="195" t="str">
        <f t="shared" si="28"/>
        <v>2019LIGHT VEHICLES</v>
      </c>
    </row>
    <row r="685" spans="3:18" x14ac:dyDescent="0.25">
      <c r="C685" s="294" t="s">
        <v>814</v>
      </c>
      <c r="D685" s="317">
        <v>33023</v>
      </c>
      <c r="E685" s="122" t="s">
        <v>815</v>
      </c>
      <c r="F685" s="122" t="s">
        <v>816</v>
      </c>
      <c r="G685" s="122" t="s">
        <v>776</v>
      </c>
      <c r="H685" s="122" t="s">
        <v>777</v>
      </c>
      <c r="I685" s="312">
        <v>2020</v>
      </c>
      <c r="J685" s="122" t="s">
        <v>709</v>
      </c>
      <c r="K685" s="283">
        <v>1979</v>
      </c>
      <c r="L685" s="318">
        <v>-33.799751000000001</v>
      </c>
      <c r="M685" s="318">
        <v>151.210465</v>
      </c>
      <c r="O685">
        <f>INDEX('MEC - traffic congestion'!$M$145:$M$249,MATCH($D685,'MEC - traffic congestion'!$C$145:$C$249,0))</f>
        <v>1</v>
      </c>
      <c r="P685" t="str">
        <f t="shared" si="26"/>
        <v>2020AM PEAK</v>
      </c>
      <c r="Q685">
        <f t="shared" si="27"/>
        <v>1</v>
      </c>
      <c r="R685" s="195" t="str">
        <f t="shared" si="28"/>
        <v>2020LIGHT VEHICLES</v>
      </c>
    </row>
    <row r="686" spans="3:18" x14ac:dyDescent="0.25">
      <c r="C686" s="294" t="s">
        <v>814</v>
      </c>
      <c r="D686" s="317">
        <v>33023</v>
      </c>
      <c r="E686" s="122" t="s">
        <v>815</v>
      </c>
      <c r="F686" s="122" t="s">
        <v>816</v>
      </c>
      <c r="G686" s="122" t="s">
        <v>778</v>
      </c>
      <c r="H686" s="122" t="s">
        <v>777</v>
      </c>
      <c r="I686" s="312">
        <v>2020</v>
      </c>
      <c r="J686" s="122" t="s">
        <v>709</v>
      </c>
      <c r="K686" s="283">
        <v>3527</v>
      </c>
      <c r="L686" s="318">
        <v>-33.799751000000001</v>
      </c>
      <c r="M686" s="318">
        <v>151.210465</v>
      </c>
      <c r="O686">
        <f>INDEX('MEC - traffic congestion'!$M$145:$M$249,MATCH($D686,'MEC - traffic congestion'!$C$145:$C$249,0))</f>
        <v>1</v>
      </c>
      <c r="P686" t="str">
        <f t="shared" si="26"/>
        <v>2020AM PEAK</v>
      </c>
      <c r="Q686">
        <f t="shared" si="27"/>
        <v>1</v>
      </c>
      <c r="R686" s="195" t="str">
        <f t="shared" si="28"/>
        <v>2020LIGHT VEHICLES</v>
      </c>
    </row>
    <row r="687" spans="3:18" x14ac:dyDescent="0.25">
      <c r="C687" s="294" t="s">
        <v>814</v>
      </c>
      <c r="D687" s="317">
        <v>33023</v>
      </c>
      <c r="E687" s="122" t="s">
        <v>815</v>
      </c>
      <c r="F687" s="122" t="s">
        <v>816</v>
      </c>
      <c r="G687" s="122" t="s">
        <v>776</v>
      </c>
      <c r="H687" s="122" t="s">
        <v>777</v>
      </c>
      <c r="I687" s="312">
        <v>2020</v>
      </c>
      <c r="J687" s="122" t="s">
        <v>710</v>
      </c>
      <c r="K687" s="283">
        <v>4986</v>
      </c>
      <c r="L687" s="318">
        <v>-33.799751000000001</v>
      </c>
      <c r="M687" s="318">
        <v>151.210465</v>
      </c>
      <c r="O687">
        <f>INDEX('MEC - traffic congestion'!$M$145:$M$249,MATCH($D687,'MEC - traffic congestion'!$C$145:$C$249,0))</f>
        <v>1</v>
      </c>
      <c r="P687" t="str">
        <f t="shared" si="26"/>
        <v>2020OFF PEAK</v>
      </c>
      <c r="Q687">
        <f t="shared" si="27"/>
        <v>1</v>
      </c>
      <c r="R687" s="195" t="str">
        <f t="shared" si="28"/>
        <v>2020LIGHT VEHICLES</v>
      </c>
    </row>
    <row r="688" spans="3:18" x14ac:dyDescent="0.25">
      <c r="C688" s="294" t="s">
        <v>814</v>
      </c>
      <c r="D688" s="317">
        <v>33023</v>
      </c>
      <c r="E688" s="122" t="s">
        <v>815</v>
      </c>
      <c r="F688" s="122" t="s">
        <v>816</v>
      </c>
      <c r="G688" s="122" t="s">
        <v>778</v>
      </c>
      <c r="H688" s="122" t="s">
        <v>777</v>
      </c>
      <c r="I688" s="312">
        <v>2020</v>
      </c>
      <c r="J688" s="122" t="s">
        <v>710</v>
      </c>
      <c r="K688" s="283">
        <v>4583</v>
      </c>
      <c r="L688" s="318">
        <v>-33.799751000000001</v>
      </c>
      <c r="M688" s="318">
        <v>151.210465</v>
      </c>
      <c r="O688">
        <f>INDEX('MEC - traffic congestion'!$M$145:$M$249,MATCH($D688,'MEC - traffic congestion'!$C$145:$C$249,0))</f>
        <v>1</v>
      </c>
      <c r="P688" t="str">
        <f t="shared" si="26"/>
        <v>2020OFF PEAK</v>
      </c>
      <c r="Q688">
        <f t="shared" si="27"/>
        <v>1</v>
      </c>
      <c r="R688" s="195" t="str">
        <f t="shared" si="28"/>
        <v>2020LIGHT VEHICLES</v>
      </c>
    </row>
    <row r="689" spans="3:18" x14ac:dyDescent="0.25">
      <c r="C689" s="294" t="s">
        <v>814</v>
      </c>
      <c r="D689" s="317">
        <v>33023</v>
      </c>
      <c r="E689" s="122" t="s">
        <v>815</v>
      </c>
      <c r="F689" s="122" t="s">
        <v>816</v>
      </c>
      <c r="G689" s="122" t="s">
        <v>776</v>
      </c>
      <c r="H689" s="122" t="s">
        <v>777</v>
      </c>
      <c r="I689" s="312">
        <v>2020</v>
      </c>
      <c r="J689" s="122" t="s">
        <v>711</v>
      </c>
      <c r="K689" s="283">
        <v>3978</v>
      </c>
      <c r="L689" s="318">
        <v>-33.799751000000001</v>
      </c>
      <c r="M689" s="318">
        <v>151.210465</v>
      </c>
      <c r="O689">
        <f>INDEX('MEC - traffic congestion'!$M$145:$M$249,MATCH($D689,'MEC - traffic congestion'!$C$145:$C$249,0))</f>
        <v>1</v>
      </c>
      <c r="P689" t="str">
        <f t="shared" si="26"/>
        <v>2020PM PEAK</v>
      </c>
      <c r="Q689">
        <f t="shared" si="27"/>
        <v>1</v>
      </c>
      <c r="R689" s="195" t="str">
        <f t="shared" si="28"/>
        <v>2020LIGHT VEHICLES</v>
      </c>
    </row>
    <row r="690" spans="3:18" x14ac:dyDescent="0.25">
      <c r="C690" s="294" t="s">
        <v>814</v>
      </c>
      <c r="D690" s="317">
        <v>33023</v>
      </c>
      <c r="E690" s="122" t="s">
        <v>815</v>
      </c>
      <c r="F690" s="122" t="s">
        <v>816</v>
      </c>
      <c r="G690" s="122" t="s">
        <v>778</v>
      </c>
      <c r="H690" s="122" t="s">
        <v>777</v>
      </c>
      <c r="I690" s="312">
        <v>2020</v>
      </c>
      <c r="J690" s="122" t="s">
        <v>711</v>
      </c>
      <c r="K690" s="283">
        <v>2680</v>
      </c>
      <c r="L690" s="318">
        <v>-33.799751000000001</v>
      </c>
      <c r="M690" s="318">
        <v>151.210465</v>
      </c>
      <c r="O690">
        <f>INDEX('MEC - traffic congestion'!$M$145:$M$249,MATCH($D690,'MEC - traffic congestion'!$C$145:$C$249,0))</f>
        <v>1</v>
      </c>
      <c r="P690" t="str">
        <f t="shared" si="26"/>
        <v>2020PM PEAK</v>
      </c>
      <c r="Q690">
        <f t="shared" si="27"/>
        <v>1</v>
      </c>
      <c r="R690" s="195" t="str">
        <f t="shared" si="28"/>
        <v>2020LIGHT VEHICLES</v>
      </c>
    </row>
    <row r="691" spans="3:18" x14ac:dyDescent="0.25">
      <c r="C691" s="294" t="s">
        <v>814</v>
      </c>
      <c r="D691" s="317">
        <v>33023</v>
      </c>
      <c r="E691" s="122" t="s">
        <v>815</v>
      </c>
      <c r="F691" s="122" t="s">
        <v>816</v>
      </c>
      <c r="G691" s="122" t="s">
        <v>776</v>
      </c>
      <c r="H691" s="122" t="s">
        <v>777</v>
      </c>
      <c r="I691" s="312">
        <v>2020</v>
      </c>
      <c r="J691" s="122" t="s">
        <v>712</v>
      </c>
      <c r="K691" s="283">
        <v>8024</v>
      </c>
      <c r="L691" s="318">
        <v>-33.799751000000001</v>
      </c>
      <c r="M691" s="318">
        <v>151.210465</v>
      </c>
      <c r="O691">
        <f>INDEX('MEC - traffic congestion'!$M$145:$M$249,MATCH($D691,'MEC - traffic congestion'!$C$145:$C$249,0))</f>
        <v>1</v>
      </c>
      <c r="P691" t="str">
        <f t="shared" si="26"/>
        <v>2020PUBLIC HOLIDAYS</v>
      </c>
      <c r="Q691">
        <f t="shared" si="27"/>
        <v>1</v>
      </c>
      <c r="R691" s="195" t="str">
        <f t="shared" si="28"/>
        <v>2020LIGHT VEHICLES</v>
      </c>
    </row>
    <row r="692" spans="3:18" x14ac:dyDescent="0.25">
      <c r="C692" s="294" t="s">
        <v>814</v>
      </c>
      <c r="D692" s="317">
        <v>33023</v>
      </c>
      <c r="E692" s="122" t="s">
        <v>815</v>
      </c>
      <c r="F692" s="122" t="s">
        <v>816</v>
      </c>
      <c r="G692" s="122" t="s">
        <v>778</v>
      </c>
      <c r="H692" s="122" t="s">
        <v>777</v>
      </c>
      <c r="I692" s="312">
        <v>2020</v>
      </c>
      <c r="J692" s="122" t="s">
        <v>712</v>
      </c>
      <c r="K692" s="283">
        <v>7461</v>
      </c>
      <c r="L692" s="318">
        <v>-33.799751000000001</v>
      </c>
      <c r="M692" s="318">
        <v>151.210465</v>
      </c>
      <c r="O692">
        <f>INDEX('MEC - traffic congestion'!$M$145:$M$249,MATCH($D692,'MEC - traffic congestion'!$C$145:$C$249,0))</f>
        <v>1</v>
      </c>
      <c r="P692" t="str">
        <f t="shared" si="26"/>
        <v>2020PUBLIC HOLIDAYS</v>
      </c>
      <c r="Q692">
        <f t="shared" si="27"/>
        <v>1</v>
      </c>
      <c r="R692" s="195" t="str">
        <f t="shared" si="28"/>
        <v>2020LIGHT VEHICLES</v>
      </c>
    </row>
    <row r="693" spans="3:18" x14ac:dyDescent="0.25">
      <c r="C693" s="294" t="s">
        <v>814</v>
      </c>
      <c r="D693" s="317">
        <v>33023</v>
      </c>
      <c r="E693" s="122" t="s">
        <v>815</v>
      </c>
      <c r="F693" s="122" t="s">
        <v>816</v>
      </c>
      <c r="G693" s="122" t="s">
        <v>776</v>
      </c>
      <c r="H693" s="122" t="s">
        <v>777</v>
      </c>
      <c r="I693" s="312">
        <v>2020</v>
      </c>
      <c r="J693" s="122" t="s">
        <v>713</v>
      </c>
      <c r="K693" s="283">
        <v>9173</v>
      </c>
      <c r="L693" s="318">
        <v>-33.799751000000001</v>
      </c>
      <c r="M693" s="318">
        <v>151.210465</v>
      </c>
      <c r="O693">
        <f>INDEX('MEC - traffic congestion'!$M$145:$M$249,MATCH($D693,'MEC - traffic congestion'!$C$145:$C$249,0))</f>
        <v>1</v>
      </c>
      <c r="P693" t="str">
        <f t="shared" si="26"/>
        <v>2020WEEKENDS</v>
      </c>
      <c r="Q693">
        <f t="shared" si="27"/>
        <v>1</v>
      </c>
      <c r="R693" s="195" t="str">
        <f t="shared" si="28"/>
        <v>2020LIGHT VEHICLES</v>
      </c>
    </row>
    <row r="694" spans="3:18" x14ac:dyDescent="0.25">
      <c r="C694" s="294" t="s">
        <v>814</v>
      </c>
      <c r="D694" s="317">
        <v>33023</v>
      </c>
      <c r="E694" s="122" t="s">
        <v>815</v>
      </c>
      <c r="F694" s="122" t="s">
        <v>816</v>
      </c>
      <c r="G694" s="122" t="s">
        <v>778</v>
      </c>
      <c r="H694" s="122" t="s">
        <v>777</v>
      </c>
      <c r="I694" s="312">
        <v>2020</v>
      </c>
      <c r="J694" s="122" t="s">
        <v>713</v>
      </c>
      <c r="K694" s="283">
        <v>8800</v>
      </c>
      <c r="L694" s="318">
        <v>-33.799751000000001</v>
      </c>
      <c r="M694" s="318">
        <v>151.210465</v>
      </c>
      <c r="O694">
        <f>INDEX('MEC - traffic congestion'!$M$145:$M$249,MATCH($D694,'MEC - traffic congestion'!$C$145:$C$249,0))</f>
        <v>1</v>
      </c>
      <c r="P694" t="str">
        <f t="shared" si="26"/>
        <v>2020WEEKENDS</v>
      </c>
      <c r="Q694">
        <f t="shared" si="27"/>
        <v>1</v>
      </c>
      <c r="R694" s="195" t="str">
        <f t="shared" si="28"/>
        <v>2020LIGHT VEHICLES</v>
      </c>
    </row>
    <row r="695" spans="3:18" x14ac:dyDescent="0.25">
      <c r="C695" s="294" t="s">
        <v>814</v>
      </c>
      <c r="D695" s="317">
        <v>33023</v>
      </c>
      <c r="E695" s="122" t="s">
        <v>815</v>
      </c>
      <c r="F695" s="122" t="s">
        <v>816</v>
      </c>
      <c r="G695" s="122" t="s">
        <v>776</v>
      </c>
      <c r="H695" s="122" t="s">
        <v>777</v>
      </c>
      <c r="I695" s="312">
        <v>2021</v>
      </c>
      <c r="J695" s="122" t="s">
        <v>709</v>
      </c>
      <c r="K695" s="283">
        <v>2752</v>
      </c>
      <c r="L695" s="318">
        <v>-33.799751000000001</v>
      </c>
      <c r="M695" s="318">
        <v>151.210465</v>
      </c>
      <c r="O695">
        <f>INDEX('MEC - traffic congestion'!$M$145:$M$249,MATCH($D695,'MEC - traffic congestion'!$C$145:$C$249,0))</f>
        <v>1</v>
      </c>
      <c r="P695" t="str">
        <f t="shared" si="26"/>
        <v>2021AM PEAK</v>
      </c>
      <c r="Q695">
        <f t="shared" si="27"/>
        <v>1</v>
      </c>
      <c r="R695" s="195" t="str">
        <f t="shared" si="28"/>
        <v>2021LIGHT VEHICLES</v>
      </c>
    </row>
    <row r="696" spans="3:18" x14ac:dyDescent="0.25">
      <c r="C696" s="294" t="s">
        <v>814</v>
      </c>
      <c r="D696" s="317">
        <v>33023</v>
      </c>
      <c r="E696" s="122" t="s">
        <v>815</v>
      </c>
      <c r="F696" s="122" t="s">
        <v>816</v>
      </c>
      <c r="G696" s="122" t="s">
        <v>778</v>
      </c>
      <c r="H696" s="122" t="s">
        <v>777</v>
      </c>
      <c r="I696" s="312">
        <v>2021</v>
      </c>
      <c r="J696" s="122" t="s">
        <v>709</v>
      </c>
      <c r="K696" s="283">
        <v>4217</v>
      </c>
      <c r="L696" s="318">
        <v>-33.799751000000001</v>
      </c>
      <c r="M696" s="318">
        <v>151.210465</v>
      </c>
      <c r="O696">
        <f>INDEX('MEC - traffic congestion'!$M$145:$M$249,MATCH($D696,'MEC - traffic congestion'!$C$145:$C$249,0))</f>
        <v>1</v>
      </c>
      <c r="P696" t="str">
        <f t="shared" si="26"/>
        <v>2021AM PEAK</v>
      </c>
      <c r="Q696">
        <f t="shared" si="27"/>
        <v>1</v>
      </c>
      <c r="R696" s="195" t="str">
        <f t="shared" si="28"/>
        <v>2021LIGHT VEHICLES</v>
      </c>
    </row>
    <row r="697" spans="3:18" x14ac:dyDescent="0.25">
      <c r="C697" s="294" t="s">
        <v>814</v>
      </c>
      <c r="D697" s="317">
        <v>33023</v>
      </c>
      <c r="E697" s="122" t="s">
        <v>815</v>
      </c>
      <c r="F697" s="122" t="s">
        <v>816</v>
      </c>
      <c r="G697" s="122" t="s">
        <v>776</v>
      </c>
      <c r="H697" s="122" t="s">
        <v>777</v>
      </c>
      <c r="I697" s="312">
        <v>2021</v>
      </c>
      <c r="J697" s="122" t="s">
        <v>710</v>
      </c>
      <c r="K697" s="283">
        <v>6009</v>
      </c>
      <c r="L697" s="318">
        <v>-33.799751000000001</v>
      </c>
      <c r="M697" s="318">
        <v>151.210465</v>
      </c>
      <c r="O697">
        <f>INDEX('MEC - traffic congestion'!$M$145:$M$249,MATCH($D697,'MEC - traffic congestion'!$C$145:$C$249,0))</f>
        <v>1</v>
      </c>
      <c r="P697" t="str">
        <f t="shared" si="26"/>
        <v>2021OFF PEAK</v>
      </c>
      <c r="Q697">
        <f t="shared" si="27"/>
        <v>1</v>
      </c>
      <c r="R697" s="195" t="str">
        <f t="shared" si="28"/>
        <v>2021LIGHT VEHICLES</v>
      </c>
    </row>
    <row r="698" spans="3:18" x14ac:dyDescent="0.25">
      <c r="C698" s="294" t="s">
        <v>814</v>
      </c>
      <c r="D698" s="317">
        <v>33023</v>
      </c>
      <c r="E698" s="122" t="s">
        <v>815</v>
      </c>
      <c r="F698" s="122" t="s">
        <v>816</v>
      </c>
      <c r="G698" s="122" t="s">
        <v>778</v>
      </c>
      <c r="H698" s="122" t="s">
        <v>777</v>
      </c>
      <c r="I698" s="312">
        <v>2021</v>
      </c>
      <c r="J698" s="122" t="s">
        <v>710</v>
      </c>
      <c r="K698" s="283">
        <v>5407</v>
      </c>
      <c r="L698" s="318">
        <v>-33.799751000000001</v>
      </c>
      <c r="M698" s="318">
        <v>151.210465</v>
      </c>
      <c r="O698">
        <f>INDEX('MEC - traffic congestion'!$M$145:$M$249,MATCH($D698,'MEC - traffic congestion'!$C$145:$C$249,0))</f>
        <v>1</v>
      </c>
      <c r="P698" t="str">
        <f t="shared" si="26"/>
        <v>2021OFF PEAK</v>
      </c>
      <c r="Q698">
        <f t="shared" si="27"/>
        <v>1</v>
      </c>
      <c r="R698" s="195" t="str">
        <f t="shared" si="28"/>
        <v>2021LIGHT VEHICLES</v>
      </c>
    </row>
    <row r="699" spans="3:18" x14ac:dyDescent="0.25">
      <c r="C699" s="294" t="s">
        <v>814</v>
      </c>
      <c r="D699" s="317">
        <v>33023</v>
      </c>
      <c r="E699" s="122" t="s">
        <v>815</v>
      </c>
      <c r="F699" s="122" t="s">
        <v>816</v>
      </c>
      <c r="G699" s="122" t="s">
        <v>776</v>
      </c>
      <c r="H699" s="122" t="s">
        <v>777</v>
      </c>
      <c r="I699" s="312">
        <v>2021</v>
      </c>
      <c r="J699" s="122" t="s">
        <v>711</v>
      </c>
      <c r="K699" s="283">
        <v>4172</v>
      </c>
      <c r="L699" s="318">
        <v>-33.799751000000001</v>
      </c>
      <c r="M699" s="318">
        <v>151.210465</v>
      </c>
      <c r="O699">
        <f>INDEX('MEC - traffic congestion'!$M$145:$M$249,MATCH($D699,'MEC - traffic congestion'!$C$145:$C$249,0))</f>
        <v>1</v>
      </c>
      <c r="P699" t="str">
        <f t="shared" si="26"/>
        <v>2021PM PEAK</v>
      </c>
      <c r="Q699">
        <f t="shared" si="27"/>
        <v>1</v>
      </c>
      <c r="R699" s="195" t="str">
        <f t="shared" si="28"/>
        <v>2021LIGHT VEHICLES</v>
      </c>
    </row>
    <row r="700" spans="3:18" x14ac:dyDescent="0.25">
      <c r="C700" s="294" t="s">
        <v>814</v>
      </c>
      <c r="D700" s="317">
        <v>33023</v>
      </c>
      <c r="E700" s="122" t="s">
        <v>815</v>
      </c>
      <c r="F700" s="122" t="s">
        <v>816</v>
      </c>
      <c r="G700" s="122" t="s">
        <v>778</v>
      </c>
      <c r="H700" s="122" t="s">
        <v>777</v>
      </c>
      <c r="I700" s="312">
        <v>2021</v>
      </c>
      <c r="J700" s="122" t="s">
        <v>711</v>
      </c>
      <c r="K700" s="283">
        <v>3035</v>
      </c>
      <c r="L700" s="318">
        <v>-33.799751000000001</v>
      </c>
      <c r="M700" s="318">
        <v>151.210465</v>
      </c>
      <c r="O700">
        <f>INDEX('MEC - traffic congestion'!$M$145:$M$249,MATCH($D700,'MEC - traffic congestion'!$C$145:$C$249,0))</f>
        <v>1</v>
      </c>
      <c r="P700" t="str">
        <f t="shared" si="26"/>
        <v>2021PM PEAK</v>
      </c>
      <c r="Q700">
        <f t="shared" si="27"/>
        <v>1</v>
      </c>
      <c r="R700" s="195" t="str">
        <f t="shared" si="28"/>
        <v>2021LIGHT VEHICLES</v>
      </c>
    </row>
    <row r="701" spans="3:18" x14ac:dyDescent="0.25">
      <c r="C701" s="294" t="s">
        <v>814</v>
      </c>
      <c r="D701" s="317">
        <v>33023</v>
      </c>
      <c r="E701" s="122" t="s">
        <v>815</v>
      </c>
      <c r="F701" s="122" t="s">
        <v>816</v>
      </c>
      <c r="G701" s="122" t="s">
        <v>776</v>
      </c>
      <c r="H701" s="122" t="s">
        <v>777</v>
      </c>
      <c r="I701" s="312">
        <v>2021</v>
      </c>
      <c r="J701" s="122" t="s">
        <v>713</v>
      </c>
      <c r="K701" s="283">
        <v>10595</v>
      </c>
      <c r="L701" s="318">
        <v>-33.799751000000001</v>
      </c>
      <c r="M701" s="318">
        <v>151.210465</v>
      </c>
      <c r="O701">
        <f>INDEX('MEC - traffic congestion'!$M$145:$M$249,MATCH($D701,'MEC - traffic congestion'!$C$145:$C$249,0))</f>
        <v>1</v>
      </c>
      <c r="P701" t="str">
        <f t="shared" si="26"/>
        <v>2021WEEKENDS</v>
      </c>
      <c r="Q701">
        <f t="shared" si="27"/>
        <v>1</v>
      </c>
      <c r="R701" s="195" t="str">
        <f t="shared" si="28"/>
        <v>2021LIGHT VEHICLES</v>
      </c>
    </row>
    <row r="702" spans="3:18" x14ac:dyDescent="0.25">
      <c r="C702" s="294" t="s">
        <v>814</v>
      </c>
      <c r="D702" s="317">
        <v>33023</v>
      </c>
      <c r="E702" s="122" t="s">
        <v>815</v>
      </c>
      <c r="F702" s="122" t="s">
        <v>816</v>
      </c>
      <c r="G702" s="122" t="s">
        <v>778</v>
      </c>
      <c r="H702" s="122" t="s">
        <v>777</v>
      </c>
      <c r="I702" s="312">
        <v>2021</v>
      </c>
      <c r="J702" s="122" t="s">
        <v>713</v>
      </c>
      <c r="K702" s="283">
        <v>10020</v>
      </c>
      <c r="L702" s="318">
        <v>-33.799751000000001</v>
      </c>
      <c r="M702" s="318">
        <v>151.210465</v>
      </c>
      <c r="O702">
        <f>INDEX('MEC - traffic congestion'!$M$145:$M$249,MATCH($D702,'MEC - traffic congestion'!$C$145:$C$249,0))</f>
        <v>1</v>
      </c>
      <c r="P702" t="str">
        <f t="shared" si="26"/>
        <v>2021WEEKENDS</v>
      </c>
      <c r="Q702">
        <f t="shared" si="27"/>
        <v>1</v>
      </c>
      <c r="R702" s="195" t="str">
        <f t="shared" si="28"/>
        <v>2021LIGHT VEHICLES</v>
      </c>
    </row>
    <row r="703" spans="3:18" x14ac:dyDescent="0.25">
      <c r="C703" s="294" t="s">
        <v>814</v>
      </c>
      <c r="D703" s="317">
        <v>33023</v>
      </c>
      <c r="E703" s="122" t="s">
        <v>815</v>
      </c>
      <c r="F703" s="122" t="s">
        <v>816</v>
      </c>
      <c r="G703" s="122" t="s">
        <v>776</v>
      </c>
      <c r="H703" s="122" t="s">
        <v>777</v>
      </c>
      <c r="I703" s="312">
        <v>2022</v>
      </c>
      <c r="J703" s="122" t="s">
        <v>709</v>
      </c>
      <c r="K703" s="283">
        <v>2909</v>
      </c>
      <c r="L703" s="318">
        <v>-33.799751000000001</v>
      </c>
      <c r="M703" s="318">
        <v>151.210465</v>
      </c>
      <c r="O703">
        <f>INDEX('MEC - traffic congestion'!$M$145:$M$249,MATCH($D703,'MEC - traffic congestion'!$C$145:$C$249,0))</f>
        <v>1</v>
      </c>
      <c r="P703" t="str">
        <f t="shared" si="26"/>
        <v>2022AM PEAK</v>
      </c>
      <c r="Q703">
        <f t="shared" si="27"/>
        <v>1</v>
      </c>
      <c r="R703" s="195" t="str">
        <f t="shared" si="28"/>
        <v>2022LIGHT VEHICLES</v>
      </c>
    </row>
    <row r="704" spans="3:18" x14ac:dyDescent="0.25">
      <c r="C704" s="294" t="s">
        <v>814</v>
      </c>
      <c r="D704" s="317">
        <v>33023</v>
      </c>
      <c r="E704" s="122" t="s">
        <v>815</v>
      </c>
      <c r="F704" s="122" t="s">
        <v>816</v>
      </c>
      <c r="G704" s="122" t="s">
        <v>778</v>
      </c>
      <c r="H704" s="122" t="s">
        <v>777</v>
      </c>
      <c r="I704" s="312">
        <v>2022</v>
      </c>
      <c r="J704" s="122" t="s">
        <v>709</v>
      </c>
      <c r="K704" s="283">
        <v>4617</v>
      </c>
      <c r="L704" s="318">
        <v>-33.799751000000001</v>
      </c>
      <c r="M704" s="318">
        <v>151.210465</v>
      </c>
      <c r="O704">
        <f>INDEX('MEC - traffic congestion'!$M$145:$M$249,MATCH($D704,'MEC - traffic congestion'!$C$145:$C$249,0))</f>
        <v>1</v>
      </c>
      <c r="P704" t="str">
        <f t="shared" si="26"/>
        <v>2022AM PEAK</v>
      </c>
      <c r="Q704">
        <f t="shared" si="27"/>
        <v>1</v>
      </c>
      <c r="R704" s="195" t="str">
        <f t="shared" si="28"/>
        <v>2022LIGHT VEHICLES</v>
      </c>
    </row>
    <row r="705" spans="3:18" x14ac:dyDescent="0.25">
      <c r="C705" s="294" t="s">
        <v>814</v>
      </c>
      <c r="D705" s="317">
        <v>33023</v>
      </c>
      <c r="E705" s="122" t="s">
        <v>815</v>
      </c>
      <c r="F705" s="122" t="s">
        <v>816</v>
      </c>
      <c r="G705" s="122" t="s">
        <v>776</v>
      </c>
      <c r="H705" s="122" t="s">
        <v>777</v>
      </c>
      <c r="I705" s="312">
        <v>2022</v>
      </c>
      <c r="J705" s="122" t="s">
        <v>710</v>
      </c>
      <c r="K705" s="283">
        <v>6395</v>
      </c>
      <c r="L705" s="318">
        <v>-33.799751000000001</v>
      </c>
      <c r="M705" s="318">
        <v>151.210465</v>
      </c>
      <c r="O705">
        <f>INDEX('MEC - traffic congestion'!$M$145:$M$249,MATCH($D705,'MEC - traffic congestion'!$C$145:$C$249,0))</f>
        <v>1</v>
      </c>
      <c r="P705" t="str">
        <f t="shared" si="26"/>
        <v>2022OFF PEAK</v>
      </c>
      <c r="Q705">
        <f t="shared" si="27"/>
        <v>1</v>
      </c>
      <c r="R705" s="195" t="str">
        <f t="shared" si="28"/>
        <v>2022LIGHT VEHICLES</v>
      </c>
    </row>
    <row r="706" spans="3:18" x14ac:dyDescent="0.25">
      <c r="C706" s="294" t="s">
        <v>814</v>
      </c>
      <c r="D706" s="317">
        <v>33023</v>
      </c>
      <c r="E706" s="122" t="s">
        <v>815</v>
      </c>
      <c r="F706" s="122" t="s">
        <v>816</v>
      </c>
      <c r="G706" s="122" t="s">
        <v>778</v>
      </c>
      <c r="H706" s="122" t="s">
        <v>777</v>
      </c>
      <c r="I706" s="312">
        <v>2022</v>
      </c>
      <c r="J706" s="122" t="s">
        <v>710</v>
      </c>
      <c r="K706" s="283">
        <v>5573</v>
      </c>
      <c r="L706" s="318">
        <v>-33.799751000000001</v>
      </c>
      <c r="M706" s="318">
        <v>151.210465</v>
      </c>
      <c r="O706">
        <f>INDEX('MEC - traffic congestion'!$M$145:$M$249,MATCH($D706,'MEC - traffic congestion'!$C$145:$C$249,0))</f>
        <v>1</v>
      </c>
      <c r="P706" t="str">
        <f t="shared" si="26"/>
        <v>2022OFF PEAK</v>
      </c>
      <c r="Q706">
        <f t="shared" si="27"/>
        <v>1</v>
      </c>
      <c r="R706" s="195" t="str">
        <f t="shared" si="28"/>
        <v>2022LIGHT VEHICLES</v>
      </c>
    </row>
    <row r="707" spans="3:18" x14ac:dyDescent="0.25">
      <c r="C707" s="294" t="s">
        <v>814</v>
      </c>
      <c r="D707" s="317">
        <v>33023</v>
      </c>
      <c r="E707" s="122" t="s">
        <v>815</v>
      </c>
      <c r="F707" s="122" t="s">
        <v>816</v>
      </c>
      <c r="G707" s="122" t="s">
        <v>776</v>
      </c>
      <c r="H707" s="122" t="s">
        <v>777</v>
      </c>
      <c r="I707" s="312">
        <v>2022</v>
      </c>
      <c r="J707" s="122" t="s">
        <v>711</v>
      </c>
      <c r="K707" s="283">
        <v>4625</v>
      </c>
      <c r="L707" s="318">
        <v>-33.799751000000001</v>
      </c>
      <c r="M707" s="318">
        <v>151.210465</v>
      </c>
      <c r="O707">
        <f>INDEX('MEC - traffic congestion'!$M$145:$M$249,MATCH($D707,'MEC - traffic congestion'!$C$145:$C$249,0))</f>
        <v>1</v>
      </c>
      <c r="P707" t="str">
        <f t="shared" si="26"/>
        <v>2022PM PEAK</v>
      </c>
      <c r="Q707">
        <f t="shared" si="27"/>
        <v>1</v>
      </c>
      <c r="R707" s="195" t="str">
        <f t="shared" si="28"/>
        <v>2022LIGHT VEHICLES</v>
      </c>
    </row>
    <row r="708" spans="3:18" x14ac:dyDescent="0.25">
      <c r="C708" s="294" t="s">
        <v>814</v>
      </c>
      <c r="D708" s="317">
        <v>33023</v>
      </c>
      <c r="E708" s="122" t="s">
        <v>815</v>
      </c>
      <c r="F708" s="122" t="s">
        <v>816</v>
      </c>
      <c r="G708" s="122" t="s">
        <v>778</v>
      </c>
      <c r="H708" s="122" t="s">
        <v>777</v>
      </c>
      <c r="I708" s="312">
        <v>2022</v>
      </c>
      <c r="J708" s="122" t="s">
        <v>711</v>
      </c>
      <c r="K708" s="283">
        <v>3279</v>
      </c>
      <c r="L708" s="318">
        <v>-33.799751000000001</v>
      </c>
      <c r="M708" s="318">
        <v>151.210465</v>
      </c>
      <c r="O708">
        <f>INDEX('MEC - traffic congestion'!$M$145:$M$249,MATCH($D708,'MEC - traffic congestion'!$C$145:$C$249,0))</f>
        <v>1</v>
      </c>
      <c r="P708" t="str">
        <f t="shared" si="26"/>
        <v>2022PM PEAK</v>
      </c>
      <c r="Q708">
        <f t="shared" si="27"/>
        <v>1</v>
      </c>
      <c r="R708" s="195" t="str">
        <f t="shared" si="28"/>
        <v>2022LIGHT VEHICLES</v>
      </c>
    </row>
    <row r="709" spans="3:18" x14ac:dyDescent="0.25">
      <c r="C709" s="294" t="s">
        <v>814</v>
      </c>
      <c r="D709" s="317">
        <v>33023</v>
      </c>
      <c r="E709" s="122" t="s">
        <v>815</v>
      </c>
      <c r="F709" s="122" t="s">
        <v>816</v>
      </c>
      <c r="G709" s="122" t="s">
        <v>776</v>
      </c>
      <c r="H709" s="122" t="s">
        <v>777</v>
      </c>
      <c r="I709" s="312">
        <v>2022</v>
      </c>
      <c r="J709" s="122" t="s">
        <v>713</v>
      </c>
      <c r="K709" s="283">
        <v>11710</v>
      </c>
      <c r="L709" s="318">
        <v>-33.799751000000001</v>
      </c>
      <c r="M709" s="318">
        <v>151.210465</v>
      </c>
      <c r="O709">
        <f>INDEX('MEC - traffic congestion'!$M$145:$M$249,MATCH($D709,'MEC - traffic congestion'!$C$145:$C$249,0))</f>
        <v>1</v>
      </c>
      <c r="P709" t="str">
        <f t="shared" si="26"/>
        <v>2022WEEKENDS</v>
      </c>
      <c r="Q709">
        <f t="shared" si="27"/>
        <v>1</v>
      </c>
      <c r="R709" s="195" t="str">
        <f t="shared" si="28"/>
        <v>2022LIGHT VEHICLES</v>
      </c>
    </row>
    <row r="710" spans="3:18" x14ac:dyDescent="0.25">
      <c r="C710" s="294" t="s">
        <v>814</v>
      </c>
      <c r="D710" s="317">
        <v>33023</v>
      </c>
      <c r="E710" s="122" t="s">
        <v>815</v>
      </c>
      <c r="F710" s="122" t="s">
        <v>816</v>
      </c>
      <c r="G710" s="122" t="s">
        <v>778</v>
      </c>
      <c r="H710" s="122" t="s">
        <v>777</v>
      </c>
      <c r="I710" s="312">
        <v>2022</v>
      </c>
      <c r="J710" s="122" t="s">
        <v>713</v>
      </c>
      <c r="K710" s="283">
        <v>11109</v>
      </c>
      <c r="L710" s="318">
        <v>-33.799751000000001</v>
      </c>
      <c r="M710" s="318">
        <v>151.210465</v>
      </c>
      <c r="O710">
        <f>INDEX('MEC - traffic congestion'!$M$145:$M$249,MATCH($D710,'MEC - traffic congestion'!$C$145:$C$249,0))</f>
        <v>1</v>
      </c>
      <c r="P710" t="str">
        <f t="shared" si="26"/>
        <v>2022WEEKENDS</v>
      </c>
      <c r="Q710">
        <f t="shared" si="27"/>
        <v>1</v>
      </c>
      <c r="R710" s="195" t="str">
        <f t="shared" si="28"/>
        <v>2022LIGHT VEHICLES</v>
      </c>
    </row>
    <row r="711" spans="3:18" x14ac:dyDescent="0.25">
      <c r="C711" s="294" t="s">
        <v>814</v>
      </c>
      <c r="D711" s="317">
        <v>33023</v>
      </c>
      <c r="E711" s="122" t="s">
        <v>815</v>
      </c>
      <c r="F711" s="122" t="s">
        <v>816</v>
      </c>
      <c r="G711" s="122" t="s">
        <v>776</v>
      </c>
      <c r="H711" s="122" t="s">
        <v>777</v>
      </c>
      <c r="I711" s="312">
        <v>2023</v>
      </c>
      <c r="J711" s="122" t="s">
        <v>709</v>
      </c>
      <c r="K711" s="283">
        <v>2512</v>
      </c>
      <c r="L711" s="318">
        <v>-33.799751000000001</v>
      </c>
      <c r="M711" s="318">
        <v>151.210465</v>
      </c>
      <c r="O711">
        <f>INDEX('MEC - traffic congestion'!$M$145:$M$249,MATCH($D711,'MEC - traffic congestion'!$C$145:$C$249,0))</f>
        <v>1</v>
      </c>
      <c r="P711" t="str">
        <f t="shared" si="26"/>
        <v>2023AM PEAK</v>
      </c>
      <c r="Q711">
        <f t="shared" si="27"/>
        <v>1</v>
      </c>
      <c r="R711" s="195" t="str">
        <f t="shared" si="28"/>
        <v>2023LIGHT VEHICLES</v>
      </c>
    </row>
    <row r="712" spans="3:18" x14ac:dyDescent="0.25">
      <c r="C712" s="294" t="s">
        <v>814</v>
      </c>
      <c r="D712" s="317">
        <v>33023</v>
      </c>
      <c r="E712" s="122" t="s">
        <v>815</v>
      </c>
      <c r="F712" s="122" t="s">
        <v>816</v>
      </c>
      <c r="G712" s="122" t="s">
        <v>778</v>
      </c>
      <c r="H712" s="122" t="s">
        <v>777</v>
      </c>
      <c r="I712" s="312">
        <v>2023</v>
      </c>
      <c r="J712" s="122" t="s">
        <v>709</v>
      </c>
      <c r="K712" s="283">
        <v>3774</v>
      </c>
      <c r="L712" s="318">
        <v>-33.799751000000001</v>
      </c>
      <c r="M712" s="318">
        <v>151.210465</v>
      </c>
      <c r="O712">
        <f>INDEX('MEC - traffic congestion'!$M$145:$M$249,MATCH($D712,'MEC - traffic congestion'!$C$145:$C$249,0))</f>
        <v>1</v>
      </c>
      <c r="P712" t="str">
        <f t="shared" si="26"/>
        <v>2023AM PEAK</v>
      </c>
      <c r="Q712">
        <f t="shared" si="27"/>
        <v>1</v>
      </c>
      <c r="R712" s="195" t="str">
        <f t="shared" si="28"/>
        <v>2023LIGHT VEHICLES</v>
      </c>
    </row>
    <row r="713" spans="3:18" x14ac:dyDescent="0.25">
      <c r="C713" s="294" t="s">
        <v>814</v>
      </c>
      <c r="D713" s="317">
        <v>33023</v>
      </c>
      <c r="E713" s="122" t="s">
        <v>815</v>
      </c>
      <c r="F713" s="122" t="s">
        <v>816</v>
      </c>
      <c r="G713" s="122" t="s">
        <v>776</v>
      </c>
      <c r="H713" s="122" t="s">
        <v>777</v>
      </c>
      <c r="I713" s="312">
        <v>2023</v>
      </c>
      <c r="J713" s="122" t="s">
        <v>710</v>
      </c>
      <c r="K713" s="283">
        <v>6085</v>
      </c>
      <c r="L713" s="318">
        <v>-33.799751000000001</v>
      </c>
      <c r="M713" s="318">
        <v>151.210465</v>
      </c>
      <c r="O713">
        <f>INDEX('MEC - traffic congestion'!$M$145:$M$249,MATCH($D713,'MEC - traffic congestion'!$C$145:$C$249,0))</f>
        <v>1</v>
      </c>
      <c r="P713" t="str">
        <f t="shared" si="26"/>
        <v>2023OFF PEAK</v>
      </c>
      <c r="Q713">
        <f t="shared" si="27"/>
        <v>1</v>
      </c>
      <c r="R713" s="195" t="str">
        <f t="shared" si="28"/>
        <v>2023LIGHT VEHICLES</v>
      </c>
    </row>
    <row r="714" spans="3:18" x14ac:dyDescent="0.25">
      <c r="C714" s="294" t="s">
        <v>814</v>
      </c>
      <c r="D714" s="317">
        <v>33023</v>
      </c>
      <c r="E714" s="122" t="s">
        <v>815</v>
      </c>
      <c r="F714" s="122" t="s">
        <v>816</v>
      </c>
      <c r="G714" s="122" t="s">
        <v>778</v>
      </c>
      <c r="H714" s="122" t="s">
        <v>777</v>
      </c>
      <c r="I714" s="312">
        <v>2023</v>
      </c>
      <c r="J714" s="122" t="s">
        <v>710</v>
      </c>
      <c r="K714" s="283">
        <v>5261</v>
      </c>
      <c r="L714" s="318">
        <v>-33.799751000000001</v>
      </c>
      <c r="M714" s="318">
        <v>151.210465</v>
      </c>
      <c r="O714">
        <f>INDEX('MEC - traffic congestion'!$M$145:$M$249,MATCH($D714,'MEC - traffic congestion'!$C$145:$C$249,0))</f>
        <v>1</v>
      </c>
      <c r="P714" t="str">
        <f t="shared" si="26"/>
        <v>2023OFF PEAK</v>
      </c>
      <c r="Q714">
        <f t="shared" si="27"/>
        <v>1</v>
      </c>
      <c r="R714" s="195" t="str">
        <f t="shared" si="28"/>
        <v>2023LIGHT VEHICLES</v>
      </c>
    </row>
    <row r="715" spans="3:18" x14ac:dyDescent="0.25">
      <c r="C715" s="294" t="s">
        <v>814</v>
      </c>
      <c r="D715" s="317">
        <v>33023</v>
      </c>
      <c r="E715" s="122" t="s">
        <v>815</v>
      </c>
      <c r="F715" s="122" t="s">
        <v>816</v>
      </c>
      <c r="G715" s="122" t="s">
        <v>776</v>
      </c>
      <c r="H715" s="122" t="s">
        <v>777</v>
      </c>
      <c r="I715" s="312">
        <v>2023</v>
      </c>
      <c r="J715" s="122" t="s">
        <v>711</v>
      </c>
      <c r="K715" s="283">
        <v>3406</v>
      </c>
      <c r="L715" s="318">
        <v>-33.799751000000001</v>
      </c>
      <c r="M715" s="318">
        <v>151.210465</v>
      </c>
      <c r="O715">
        <f>INDEX('MEC - traffic congestion'!$M$145:$M$249,MATCH($D715,'MEC - traffic congestion'!$C$145:$C$249,0))</f>
        <v>1</v>
      </c>
      <c r="P715" t="str">
        <f t="shared" si="26"/>
        <v>2023PM PEAK</v>
      </c>
      <c r="Q715">
        <f t="shared" si="27"/>
        <v>1</v>
      </c>
      <c r="R715" s="195" t="str">
        <f t="shared" si="28"/>
        <v>2023LIGHT VEHICLES</v>
      </c>
    </row>
    <row r="716" spans="3:18" x14ac:dyDescent="0.25">
      <c r="C716" s="294" t="s">
        <v>814</v>
      </c>
      <c r="D716" s="317">
        <v>33023</v>
      </c>
      <c r="E716" s="122" t="s">
        <v>815</v>
      </c>
      <c r="F716" s="122" t="s">
        <v>816</v>
      </c>
      <c r="G716" s="122" t="s">
        <v>778</v>
      </c>
      <c r="H716" s="122" t="s">
        <v>777</v>
      </c>
      <c r="I716" s="312">
        <v>2023</v>
      </c>
      <c r="J716" s="122" t="s">
        <v>711</v>
      </c>
      <c r="K716" s="283">
        <v>2536</v>
      </c>
      <c r="L716" s="318">
        <v>-33.799751000000001</v>
      </c>
      <c r="M716" s="318">
        <v>151.210465</v>
      </c>
      <c r="O716">
        <f>INDEX('MEC - traffic congestion'!$M$145:$M$249,MATCH($D716,'MEC - traffic congestion'!$C$145:$C$249,0))</f>
        <v>1</v>
      </c>
      <c r="P716" t="str">
        <f t="shared" si="26"/>
        <v>2023PM PEAK</v>
      </c>
      <c r="Q716">
        <f t="shared" si="27"/>
        <v>1</v>
      </c>
      <c r="R716" s="195" t="str">
        <f t="shared" si="28"/>
        <v>2023LIGHT VEHICLES</v>
      </c>
    </row>
    <row r="717" spans="3:18" x14ac:dyDescent="0.25">
      <c r="C717" s="294" t="s">
        <v>814</v>
      </c>
      <c r="D717" s="317">
        <v>33023</v>
      </c>
      <c r="E717" s="122" t="s">
        <v>815</v>
      </c>
      <c r="F717" s="122" t="s">
        <v>816</v>
      </c>
      <c r="G717" s="122" t="s">
        <v>776</v>
      </c>
      <c r="H717" s="122" t="s">
        <v>777</v>
      </c>
      <c r="I717" s="312">
        <v>2023</v>
      </c>
      <c r="J717" s="122" t="s">
        <v>713</v>
      </c>
      <c r="K717" s="283">
        <v>10553</v>
      </c>
      <c r="L717" s="318">
        <v>-33.799751000000001</v>
      </c>
      <c r="M717" s="318">
        <v>151.210465</v>
      </c>
      <c r="O717">
        <f>INDEX('MEC - traffic congestion'!$M$145:$M$249,MATCH($D717,'MEC - traffic congestion'!$C$145:$C$249,0))</f>
        <v>1</v>
      </c>
      <c r="P717" t="str">
        <f t="shared" si="26"/>
        <v>2023WEEKENDS</v>
      </c>
      <c r="Q717">
        <f t="shared" si="27"/>
        <v>1</v>
      </c>
      <c r="R717" s="195" t="str">
        <f t="shared" si="28"/>
        <v>2023LIGHT VEHICLES</v>
      </c>
    </row>
    <row r="718" spans="3:18" x14ac:dyDescent="0.25">
      <c r="C718" s="294" t="s">
        <v>814</v>
      </c>
      <c r="D718" s="317">
        <v>33023</v>
      </c>
      <c r="E718" s="122" t="s">
        <v>815</v>
      </c>
      <c r="F718" s="122" t="s">
        <v>816</v>
      </c>
      <c r="G718" s="122" t="s">
        <v>778</v>
      </c>
      <c r="H718" s="122" t="s">
        <v>777</v>
      </c>
      <c r="I718" s="312">
        <v>2023</v>
      </c>
      <c r="J718" s="122" t="s">
        <v>713</v>
      </c>
      <c r="K718" s="283">
        <v>9549</v>
      </c>
      <c r="L718" s="318">
        <v>-33.799751000000001</v>
      </c>
      <c r="M718" s="318">
        <v>151.210465</v>
      </c>
      <c r="O718">
        <f>INDEX('MEC - traffic congestion'!$M$145:$M$249,MATCH($D718,'MEC - traffic congestion'!$C$145:$C$249,0))</f>
        <v>1</v>
      </c>
      <c r="P718" t="str">
        <f t="shared" si="26"/>
        <v>2023WEEKENDS</v>
      </c>
      <c r="Q718">
        <f t="shared" si="27"/>
        <v>1</v>
      </c>
      <c r="R718" s="195" t="str">
        <f t="shared" si="28"/>
        <v>2023LIGHT VEHICLES</v>
      </c>
    </row>
    <row r="719" spans="3:18" x14ac:dyDescent="0.25">
      <c r="C719" s="294" t="s">
        <v>817</v>
      </c>
      <c r="D719" s="317">
        <v>34016</v>
      </c>
      <c r="E719" s="122" t="s">
        <v>818</v>
      </c>
      <c r="F719" s="122" t="s">
        <v>819</v>
      </c>
      <c r="G719" s="122" t="s">
        <v>778</v>
      </c>
      <c r="H719" s="122" t="s">
        <v>777</v>
      </c>
      <c r="I719" s="312">
        <v>2018</v>
      </c>
      <c r="J719" s="122" t="s">
        <v>709</v>
      </c>
      <c r="K719" s="283">
        <v>4332</v>
      </c>
      <c r="L719" s="318">
        <v>-33.778187000000003</v>
      </c>
      <c r="M719" s="318">
        <v>151.26713599999999</v>
      </c>
      <c r="O719">
        <f>INDEX('MEC - traffic congestion'!$M$145:$M$249,MATCH($D719,'MEC - traffic congestion'!$C$145:$C$249,0))</f>
        <v>0</v>
      </c>
      <c r="P719" t="str">
        <f t="shared" si="26"/>
        <v/>
      </c>
      <c r="Q719">
        <f t="shared" si="27"/>
        <v>1</v>
      </c>
      <c r="R719" s="195" t="str">
        <f t="shared" si="28"/>
        <v/>
      </c>
    </row>
    <row r="720" spans="3:18" x14ac:dyDescent="0.25">
      <c r="C720" s="294" t="s">
        <v>817</v>
      </c>
      <c r="D720" s="317">
        <v>34016</v>
      </c>
      <c r="E720" s="122" t="s">
        <v>818</v>
      </c>
      <c r="F720" s="122" t="s">
        <v>819</v>
      </c>
      <c r="G720" s="122" t="s">
        <v>778</v>
      </c>
      <c r="H720" s="122" t="s">
        <v>777</v>
      </c>
      <c r="I720" s="312">
        <v>2018</v>
      </c>
      <c r="J720" s="122" t="s">
        <v>710</v>
      </c>
      <c r="K720" s="283">
        <v>7756</v>
      </c>
      <c r="L720" s="318">
        <v>-33.778187000000003</v>
      </c>
      <c r="M720" s="318">
        <v>151.26713599999999</v>
      </c>
      <c r="O720">
        <f>INDEX('MEC - traffic congestion'!$M$145:$M$249,MATCH($D720,'MEC - traffic congestion'!$C$145:$C$249,0))</f>
        <v>0</v>
      </c>
      <c r="P720" t="str">
        <f t="shared" si="26"/>
        <v/>
      </c>
      <c r="Q720">
        <f t="shared" si="27"/>
        <v>1</v>
      </c>
      <c r="R720" s="195" t="str">
        <f t="shared" si="28"/>
        <v/>
      </c>
    </row>
    <row r="721" spans="3:18" x14ac:dyDescent="0.25">
      <c r="C721" s="294" t="s">
        <v>817</v>
      </c>
      <c r="D721" s="317">
        <v>34016</v>
      </c>
      <c r="E721" s="122" t="s">
        <v>818</v>
      </c>
      <c r="F721" s="122" t="s">
        <v>819</v>
      </c>
      <c r="G721" s="122" t="s">
        <v>778</v>
      </c>
      <c r="H721" s="122" t="s">
        <v>777</v>
      </c>
      <c r="I721" s="312">
        <v>2018</v>
      </c>
      <c r="J721" s="122" t="s">
        <v>711</v>
      </c>
      <c r="K721" s="283">
        <v>4301</v>
      </c>
      <c r="L721" s="318">
        <v>-33.778187000000003</v>
      </c>
      <c r="M721" s="318">
        <v>151.26713599999999</v>
      </c>
      <c r="O721">
        <f>INDEX('MEC - traffic congestion'!$M$145:$M$249,MATCH($D721,'MEC - traffic congestion'!$C$145:$C$249,0))</f>
        <v>0</v>
      </c>
      <c r="P721" t="str">
        <f t="shared" si="26"/>
        <v/>
      </c>
      <c r="Q721">
        <f t="shared" si="27"/>
        <v>1</v>
      </c>
      <c r="R721" s="195" t="str">
        <f t="shared" si="28"/>
        <v/>
      </c>
    </row>
    <row r="722" spans="3:18" x14ac:dyDescent="0.25">
      <c r="C722" s="294" t="s">
        <v>817</v>
      </c>
      <c r="D722" s="317">
        <v>34016</v>
      </c>
      <c r="E722" s="122" t="s">
        <v>818</v>
      </c>
      <c r="F722" s="122" t="s">
        <v>819</v>
      </c>
      <c r="G722" s="122" t="s">
        <v>778</v>
      </c>
      <c r="H722" s="122" t="s">
        <v>777</v>
      </c>
      <c r="I722" s="312">
        <v>2018</v>
      </c>
      <c r="J722" s="122" t="s">
        <v>712</v>
      </c>
      <c r="K722" s="283">
        <v>12366</v>
      </c>
      <c r="L722" s="318">
        <v>-33.778187000000003</v>
      </c>
      <c r="M722" s="318">
        <v>151.26713599999999</v>
      </c>
      <c r="O722">
        <f>INDEX('MEC - traffic congestion'!$M$145:$M$249,MATCH($D722,'MEC - traffic congestion'!$C$145:$C$249,0))</f>
        <v>0</v>
      </c>
      <c r="P722" t="str">
        <f t="shared" si="26"/>
        <v/>
      </c>
      <c r="Q722">
        <f t="shared" si="27"/>
        <v>1</v>
      </c>
      <c r="R722" s="195" t="str">
        <f t="shared" si="28"/>
        <v/>
      </c>
    </row>
    <row r="723" spans="3:18" x14ac:dyDescent="0.25">
      <c r="C723" s="294" t="s">
        <v>817</v>
      </c>
      <c r="D723" s="317">
        <v>34016</v>
      </c>
      <c r="E723" s="122" t="s">
        <v>818</v>
      </c>
      <c r="F723" s="122" t="s">
        <v>819</v>
      </c>
      <c r="G723" s="122" t="s">
        <v>778</v>
      </c>
      <c r="H723" s="122" t="s">
        <v>777</v>
      </c>
      <c r="I723" s="312">
        <v>2018</v>
      </c>
      <c r="J723" s="122" t="s">
        <v>713</v>
      </c>
      <c r="K723" s="283">
        <v>13964</v>
      </c>
      <c r="L723" s="318">
        <v>-33.778187000000003</v>
      </c>
      <c r="M723" s="318">
        <v>151.26713599999999</v>
      </c>
      <c r="O723">
        <f>INDEX('MEC - traffic congestion'!$M$145:$M$249,MATCH($D723,'MEC - traffic congestion'!$C$145:$C$249,0))</f>
        <v>0</v>
      </c>
      <c r="P723" t="str">
        <f t="shared" si="26"/>
        <v/>
      </c>
      <c r="Q723">
        <f t="shared" si="27"/>
        <v>1</v>
      </c>
      <c r="R723" s="195" t="str">
        <f t="shared" si="28"/>
        <v/>
      </c>
    </row>
    <row r="724" spans="3:18" x14ac:dyDescent="0.25">
      <c r="C724" s="294" t="s">
        <v>820</v>
      </c>
      <c r="D724" s="317">
        <v>42001</v>
      </c>
      <c r="E724" s="122" t="s">
        <v>821</v>
      </c>
      <c r="F724" s="122" t="s">
        <v>822</v>
      </c>
      <c r="G724" s="122" t="s">
        <v>776</v>
      </c>
      <c r="H724" s="122" t="s">
        <v>777</v>
      </c>
      <c r="I724" s="312">
        <v>2018</v>
      </c>
      <c r="J724" s="122" t="s">
        <v>709</v>
      </c>
      <c r="K724" s="283">
        <v>10640</v>
      </c>
      <c r="L724" s="318">
        <v>-33.977142000000001</v>
      </c>
      <c r="M724" s="318">
        <v>151.03053299999999</v>
      </c>
      <c r="O724">
        <f>INDEX('MEC - traffic congestion'!$M$145:$M$249,MATCH($D724,'MEC - traffic congestion'!$C$145:$C$249,0))</f>
        <v>1</v>
      </c>
      <c r="P724" t="str">
        <f t="shared" si="26"/>
        <v>2018AM PEAK</v>
      </c>
      <c r="Q724">
        <f t="shared" si="27"/>
        <v>1</v>
      </c>
      <c r="R724" s="195" t="str">
        <f t="shared" si="28"/>
        <v>2018LIGHT VEHICLES</v>
      </c>
    </row>
    <row r="725" spans="3:18" x14ac:dyDescent="0.25">
      <c r="C725" s="294" t="s">
        <v>820</v>
      </c>
      <c r="D725" s="317">
        <v>42001</v>
      </c>
      <c r="E725" s="122" t="s">
        <v>821</v>
      </c>
      <c r="F725" s="122" t="s">
        <v>822</v>
      </c>
      <c r="G725" s="122" t="s">
        <v>778</v>
      </c>
      <c r="H725" s="122" t="s">
        <v>777</v>
      </c>
      <c r="I725" s="312">
        <v>2018</v>
      </c>
      <c r="J725" s="122" t="s">
        <v>709</v>
      </c>
      <c r="K725" s="283">
        <v>6370</v>
      </c>
      <c r="L725" s="318">
        <v>-33.977142000000001</v>
      </c>
      <c r="M725" s="318">
        <v>151.03053299999999</v>
      </c>
      <c r="O725">
        <f>INDEX('MEC - traffic congestion'!$M$145:$M$249,MATCH($D725,'MEC - traffic congestion'!$C$145:$C$249,0))</f>
        <v>1</v>
      </c>
      <c r="P725" t="str">
        <f t="shared" ref="P725:P788" si="29">IF($O725=1,$I725&amp;$J725,"")</f>
        <v>2018AM PEAK</v>
      </c>
      <c r="Q725">
        <f t="shared" ref="Q725:Q788" si="30">IF(AND($M725&gt;150.246,AND($L725&gt;-34.397,$L725&lt;-32.662)),1,0)</f>
        <v>1</v>
      </c>
      <c r="R725" s="195" t="str">
        <f t="shared" ref="R725:R788" si="31">IF($O725=1,$I725&amp;$H725,"")</f>
        <v>2018LIGHT VEHICLES</v>
      </c>
    </row>
    <row r="726" spans="3:18" x14ac:dyDescent="0.25">
      <c r="C726" s="294" t="s">
        <v>820</v>
      </c>
      <c r="D726" s="317">
        <v>42001</v>
      </c>
      <c r="E726" s="122" t="s">
        <v>821</v>
      </c>
      <c r="F726" s="122" t="s">
        <v>822</v>
      </c>
      <c r="G726" s="122" t="s">
        <v>776</v>
      </c>
      <c r="H726" s="122" t="s">
        <v>777</v>
      </c>
      <c r="I726" s="312">
        <v>2018</v>
      </c>
      <c r="J726" s="122" t="s">
        <v>710</v>
      </c>
      <c r="K726" s="283">
        <v>13689</v>
      </c>
      <c r="L726" s="318">
        <v>-33.977142000000001</v>
      </c>
      <c r="M726" s="318">
        <v>151.03053299999999</v>
      </c>
      <c r="O726">
        <f>INDEX('MEC - traffic congestion'!$M$145:$M$249,MATCH($D726,'MEC - traffic congestion'!$C$145:$C$249,0))</f>
        <v>1</v>
      </c>
      <c r="P726" t="str">
        <f t="shared" si="29"/>
        <v>2018OFF PEAK</v>
      </c>
      <c r="Q726">
        <f t="shared" si="30"/>
        <v>1</v>
      </c>
      <c r="R726" s="195" t="str">
        <f t="shared" si="31"/>
        <v>2018LIGHT VEHICLES</v>
      </c>
    </row>
    <row r="727" spans="3:18" x14ac:dyDescent="0.25">
      <c r="C727" s="294" t="s">
        <v>820</v>
      </c>
      <c r="D727" s="317">
        <v>42001</v>
      </c>
      <c r="E727" s="122" t="s">
        <v>821</v>
      </c>
      <c r="F727" s="122" t="s">
        <v>822</v>
      </c>
      <c r="G727" s="122" t="s">
        <v>778</v>
      </c>
      <c r="H727" s="122" t="s">
        <v>777</v>
      </c>
      <c r="I727" s="312">
        <v>2018</v>
      </c>
      <c r="J727" s="122" t="s">
        <v>710</v>
      </c>
      <c r="K727" s="283">
        <v>13950</v>
      </c>
      <c r="L727" s="318">
        <v>-33.977142000000001</v>
      </c>
      <c r="M727" s="318">
        <v>151.03053299999999</v>
      </c>
      <c r="O727">
        <f>INDEX('MEC - traffic congestion'!$M$145:$M$249,MATCH($D727,'MEC - traffic congestion'!$C$145:$C$249,0))</f>
        <v>1</v>
      </c>
      <c r="P727" t="str">
        <f t="shared" si="29"/>
        <v>2018OFF PEAK</v>
      </c>
      <c r="Q727">
        <f t="shared" si="30"/>
        <v>1</v>
      </c>
      <c r="R727" s="195" t="str">
        <f t="shared" si="31"/>
        <v>2018LIGHT VEHICLES</v>
      </c>
    </row>
    <row r="728" spans="3:18" x14ac:dyDescent="0.25">
      <c r="C728" s="294" t="s">
        <v>820</v>
      </c>
      <c r="D728" s="317">
        <v>42001</v>
      </c>
      <c r="E728" s="122" t="s">
        <v>821</v>
      </c>
      <c r="F728" s="122" t="s">
        <v>822</v>
      </c>
      <c r="G728" s="122" t="s">
        <v>776</v>
      </c>
      <c r="H728" s="122" t="s">
        <v>777</v>
      </c>
      <c r="I728" s="312">
        <v>2018</v>
      </c>
      <c r="J728" s="122" t="s">
        <v>711</v>
      </c>
      <c r="K728" s="283">
        <v>6314</v>
      </c>
      <c r="L728" s="318">
        <v>-33.977142000000001</v>
      </c>
      <c r="M728" s="318">
        <v>151.03053299999999</v>
      </c>
      <c r="O728">
        <f>INDEX('MEC - traffic congestion'!$M$145:$M$249,MATCH($D728,'MEC - traffic congestion'!$C$145:$C$249,0))</f>
        <v>1</v>
      </c>
      <c r="P728" t="str">
        <f t="shared" si="29"/>
        <v>2018PM PEAK</v>
      </c>
      <c r="Q728">
        <f t="shared" si="30"/>
        <v>1</v>
      </c>
      <c r="R728" s="195" t="str">
        <f t="shared" si="31"/>
        <v>2018LIGHT VEHICLES</v>
      </c>
    </row>
    <row r="729" spans="3:18" x14ac:dyDescent="0.25">
      <c r="C729" s="294" t="s">
        <v>820</v>
      </c>
      <c r="D729" s="317">
        <v>42001</v>
      </c>
      <c r="E729" s="122" t="s">
        <v>821</v>
      </c>
      <c r="F729" s="122" t="s">
        <v>822</v>
      </c>
      <c r="G729" s="122" t="s">
        <v>778</v>
      </c>
      <c r="H729" s="122" t="s">
        <v>777</v>
      </c>
      <c r="I729" s="312">
        <v>2018</v>
      </c>
      <c r="J729" s="122" t="s">
        <v>711</v>
      </c>
      <c r="K729" s="283">
        <v>11474</v>
      </c>
      <c r="L729" s="318">
        <v>-33.977142000000001</v>
      </c>
      <c r="M729" s="318">
        <v>151.03053299999999</v>
      </c>
      <c r="O729">
        <f>INDEX('MEC - traffic congestion'!$M$145:$M$249,MATCH($D729,'MEC - traffic congestion'!$C$145:$C$249,0))</f>
        <v>1</v>
      </c>
      <c r="P729" t="str">
        <f t="shared" si="29"/>
        <v>2018PM PEAK</v>
      </c>
      <c r="Q729">
        <f t="shared" si="30"/>
        <v>1</v>
      </c>
      <c r="R729" s="195" t="str">
        <f t="shared" si="31"/>
        <v>2018LIGHT VEHICLES</v>
      </c>
    </row>
    <row r="730" spans="3:18" x14ac:dyDescent="0.25">
      <c r="C730" s="294" t="s">
        <v>820</v>
      </c>
      <c r="D730" s="317">
        <v>42001</v>
      </c>
      <c r="E730" s="122" t="s">
        <v>821</v>
      </c>
      <c r="F730" s="122" t="s">
        <v>822</v>
      </c>
      <c r="G730" s="122" t="s">
        <v>776</v>
      </c>
      <c r="H730" s="122" t="s">
        <v>777</v>
      </c>
      <c r="I730" s="312">
        <v>2018</v>
      </c>
      <c r="J730" s="122" t="s">
        <v>712</v>
      </c>
      <c r="K730" s="283">
        <v>23994</v>
      </c>
      <c r="L730" s="318">
        <v>-33.977142000000001</v>
      </c>
      <c r="M730" s="318">
        <v>151.03053299999999</v>
      </c>
      <c r="O730">
        <f>INDEX('MEC - traffic congestion'!$M$145:$M$249,MATCH($D730,'MEC - traffic congestion'!$C$145:$C$249,0))</f>
        <v>1</v>
      </c>
      <c r="P730" t="str">
        <f t="shared" si="29"/>
        <v>2018PUBLIC HOLIDAYS</v>
      </c>
      <c r="Q730">
        <f t="shared" si="30"/>
        <v>1</v>
      </c>
      <c r="R730" s="195" t="str">
        <f t="shared" si="31"/>
        <v>2018LIGHT VEHICLES</v>
      </c>
    </row>
    <row r="731" spans="3:18" x14ac:dyDescent="0.25">
      <c r="C731" s="294" t="s">
        <v>820</v>
      </c>
      <c r="D731" s="317">
        <v>42001</v>
      </c>
      <c r="E731" s="122" t="s">
        <v>821</v>
      </c>
      <c r="F731" s="122" t="s">
        <v>822</v>
      </c>
      <c r="G731" s="122" t="s">
        <v>778</v>
      </c>
      <c r="H731" s="122" t="s">
        <v>777</v>
      </c>
      <c r="I731" s="312">
        <v>2018</v>
      </c>
      <c r="J731" s="122" t="s">
        <v>712</v>
      </c>
      <c r="K731" s="283">
        <v>23960</v>
      </c>
      <c r="L731" s="318">
        <v>-33.977142000000001</v>
      </c>
      <c r="M731" s="318">
        <v>151.03053299999999</v>
      </c>
      <c r="O731">
        <f>INDEX('MEC - traffic congestion'!$M$145:$M$249,MATCH($D731,'MEC - traffic congestion'!$C$145:$C$249,0))</f>
        <v>1</v>
      </c>
      <c r="P731" t="str">
        <f t="shared" si="29"/>
        <v>2018PUBLIC HOLIDAYS</v>
      </c>
      <c r="Q731">
        <f t="shared" si="30"/>
        <v>1</v>
      </c>
      <c r="R731" s="195" t="str">
        <f t="shared" si="31"/>
        <v>2018LIGHT VEHICLES</v>
      </c>
    </row>
    <row r="732" spans="3:18" x14ac:dyDescent="0.25">
      <c r="C732" s="294" t="s">
        <v>820</v>
      </c>
      <c r="D732" s="317">
        <v>42001</v>
      </c>
      <c r="E732" s="122" t="s">
        <v>821</v>
      </c>
      <c r="F732" s="122" t="s">
        <v>822</v>
      </c>
      <c r="G732" s="122" t="s">
        <v>776</v>
      </c>
      <c r="H732" s="122" t="s">
        <v>777</v>
      </c>
      <c r="I732" s="312">
        <v>2018</v>
      </c>
      <c r="J732" s="122" t="s">
        <v>713</v>
      </c>
      <c r="K732" s="283">
        <v>24693</v>
      </c>
      <c r="L732" s="318">
        <v>-33.977142000000001</v>
      </c>
      <c r="M732" s="318">
        <v>151.03053299999999</v>
      </c>
      <c r="O732">
        <f>INDEX('MEC - traffic congestion'!$M$145:$M$249,MATCH($D732,'MEC - traffic congestion'!$C$145:$C$249,0))</f>
        <v>1</v>
      </c>
      <c r="P732" t="str">
        <f t="shared" si="29"/>
        <v>2018WEEKENDS</v>
      </c>
      <c r="Q732">
        <f t="shared" si="30"/>
        <v>1</v>
      </c>
      <c r="R732" s="195" t="str">
        <f t="shared" si="31"/>
        <v>2018LIGHT VEHICLES</v>
      </c>
    </row>
    <row r="733" spans="3:18" x14ac:dyDescent="0.25">
      <c r="C733" s="294" t="s">
        <v>820</v>
      </c>
      <c r="D733" s="317">
        <v>42001</v>
      </c>
      <c r="E733" s="122" t="s">
        <v>821</v>
      </c>
      <c r="F733" s="122" t="s">
        <v>822</v>
      </c>
      <c r="G733" s="122" t="s">
        <v>778</v>
      </c>
      <c r="H733" s="122" t="s">
        <v>777</v>
      </c>
      <c r="I733" s="312">
        <v>2018</v>
      </c>
      <c r="J733" s="122" t="s">
        <v>713</v>
      </c>
      <c r="K733" s="283">
        <v>25078</v>
      </c>
      <c r="L733" s="318">
        <v>-33.977142000000001</v>
      </c>
      <c r="M733" s="318">
        <v>151.03053299999999</v>
      </c>
      <c r="O733">
        <f>INDEX('MEC - traffic congestion'!$M$145:$M$249,MATCH($D733,'MEC - traffic congestion'!$C$145:$C$249,0))</f>
        <v>1</v>
      </c>
      <c r="P733" t="str">
        <f t="shared" si="29"/>
        <v>2018WEEKENDS</v>
      </c>
      <c r="Q733">
        <f t="shared" si="30"/>
        <v>1</v>
      </c>
      <c r="R733" s="195" t="str">
        <f t="shared" si="31"/>
        <v>2018LIGHT VEHICLES</v>
      </c>
    </row>
    <row r="734" spans="3:18" x14ac:dyDescent="0.25">
      <c r="C734" s="294" t="s">
        <v>820</v>
      </c>
      <c r="D734" s="317">
        <v>42001</v>
      </c>
      <c r="E734" s="122" t="s">
        <v>821</v>
      </c>
      <c r="F734" s="122" t="s">
        <v>822</v>
      </c>
      <c r="G734" s="122" t="s">
        <v>776</v>
      </c>
      <c r="H734" s="122" t="s">
        <v>777</v>
      </c>
      <c r="I734" s="312">
        <v>2019</v>
      </c>
      <c r="J734" s="122" t="s">
        <v>709</v>
      </c>
      <c r="K734" s="283">
        <v>9875</v>
      </c>
      <c r="L734" s="318">
        <v>-33.977142000000001</v>
      </c>
      <c r="M734" s="318">
        <v>151.03053299999999</v>
      </c>
      <c r="O734">
        <f>INDEX('MEC - traffic congestion'!$M$145:$M$249,MATCH($D734,'MEC - traffic congestion'!$C$145:$C$249,0))</f>
        <v>1</v>
      </c>
      <c r="P734" t="str">
        <f t="shared" si="29"/>
        <v>2019AM PEAK</v>
      </c>
      <c r="Q734">
        <f t="shared" si="30"/>
        <v>1</v>
      </c>
      <c r="R734" s="195" t="str">
        <f t="shared" si="31"/>
        <v>2019LIGHT VEHICLES</v>
      </c>
    </row>
    <row r="735" spans="3:18" x14ac:dyDescent="0.25">
      <c r="C735" s="294" t="s">
        <v>820</v>
      </c>
      <c r="D735" s="317">
        <v>42001</v>
      </c>
      <c r="E735" s="122" t="s">
        <v>821</v>
      </c>
      <c r="F735" s="122" t="s">
        <v>822</v>
      </c>
      <c r="G735" s="122" t="s">
        <v>778</v>
      </c>
      <c r="H735" s="122" t="s">
        <v>777</v>
      </c>
      <c r="I735" s="312">
        <v>2019</v>
      </c>
      <c r="J735" s="122" t="s">
        <v>709</v>
      </c>
      <c r="K735" s="283">
        <v>5991</v>
      </c>
      <c r="L735" s="318">
        <v>-33.977142000000001</v>
      </c>
      <c r="M735" s="318">
        <v>151.03053299999999</v>
      </c>
      <c r="O735">
        <f>INDEX('MEC - traffic congestion'!$M$145:$M$249,MATCH($D735,'MEC - traffic congestion'!$C$145:$C$249,0))</f>
        <v>1</v>
      </c>
      <c r="P735" t="str">
        <f t="shared" si="29"/>
        <v>2019AM PEAK</v>
      </c>
      <c r="Q735">
        <f t="shared" si="30"/>
        <v>1</v>
      </c>
      <c r="R735" s="195" t="str">
        <f t="shared" si="31"/>
        <v>2019LIGHT VEHICLES</v>
      </c>
    </row>
    <row r="736" spans="3:18" x14ac:dyDescent="0.25">
      <c r="C736" s="294" t="s">
        <v>820</v>
      </c>
      <c r="D736" s="317">
        <v>42001</v>
      </c>
      <c r="E736" s="122" t="s">
        <v>821</v>
      </c>
      <c r="F736" s="122" t="s">
        <v>822</v>
      </c>
      <c r="G736" s="122" t="s">
        <v>776</v>
      </c>
      <c r="H736" s="122" t="s">
        <v>777</v>
      </c>
      <c r="I736" s="312">
        <v>2019</v>
      </c>
      <c r="J736" s="122" t="s">
        <v>710</v>
      </c>
      <c r="K736" s="283">
        <v>12053</v>
      </c>
      <c r="L736" s="318">
        <v>-33.977142000000001</v>
      </c>
      <c r="M736" s="318">
        <v>151.03053299999999</v>
      </c>
      <c r="O736">
        <f>INDEX('MEC - traffic congestion'!$M$145:$M$249,MATCH($D736,'MEC - traffic congestion'!$C$145:$C$249,0))</f>
        <v>1</v>
      </c>
      <c r="P736" t="str">
        <f t="shared" si="29"/>
        <v>2019OFF PEAK</v>
      </c>
      <c r="Q736">
        <f t="shared" si="30"/>
        <v>1</v>
      </c>
      <c r="R736" s="195" t="str">
        <f t="shared" si="31"/>
        <v>2019LIGHT VEHICLES</v>
      </c>
    </row>
    <row r="737" spans="3:18" x14ac:dyDescent="0.25">
      <c r="C737" s="294" t="s">
        <v>820</v>
      </c>
      <c r="D737" s="317">
        <v>42001</v>
      </c>
      <c r="E737" s="122" t="s">
        <v>821</v>
      </c>
      <c r="F737" s="122" t="s">
        <v>822</v>
      </c>
      <c r="G737" s="122" t="s">
        <v>778</v>
      </c>
      <c r="H737" s="122" t="s">
        <v>777</v>
      </c>
      <c r="I737" s="312">
        <v>2019</v>
      </c>
      <c r="J737" s="122" t="s">
        <v>710</v>
      </c>
      <c r="K737" s="283">
        <v>11994</v>
      </c>
      <c r="L737" s="318">
        <v>-33.977142000000001</v>
      </c>
      <c r="M737" s="318">
        <v>151.03053299999999</v>
      </c>
      <c r="O737">
        <f>INDEX('MEC - traffic congestion'!$M$145:$M$249,MATCH($D737,'MEC - traffic congestion'!$C$145:$C$249,0))</f>
        <v>1</v>
      </c>
      <c r="P737" t="str">
        <f t="shared" si="29"/>
        <v>2019OFF PEAK</v>
      </c>
      <c r="Q737">
        <f t="shared" si="30"/>
        <v>1</v>
      </c>
      <c r="R737" s="195" t="str">
        <f t="shared" si="31"/>
        <v>2019LIGHT VEHICLES</v>
      </c>
    </row>
    <row r="738" spans="3:18" x14ac:dyDescent="0.25">
      <c r="C738" s="294" t="s">
        <v>820</v>
      </c>
      <c r="D738" s="317">
        <v>42001</v>
      </c>
      <c r="E738" s="122" t="s">
        <v>821</v>
      </c>
      <c r="F738" s="122" t="s">
        <v>822</v>
      </c>
      <c r="G738" s="122" t="s">
        <v>776</v>
      </c>
      <c r="H738" s="122" t="s">
        <v>777</v>
      </c>
      <c r="I738" s="312">
        <v>2019</v>
      </c>
      <c r="J738" s="122" t="s">
        <v>711</v>
      </c>
      <c r="K738" s="283">
        <v>4801</v>
      </c>
      <c r="L738" s="318">
        <v>-33.977142000000001</v>
      </c>
      <c r="M738" s="318">
        <v>151.03053299999999</v>
      </c>
      <c r="O738">
        <f>INDEX('MEC - traffic congestion'!$M$145:$M$249,MATCH($D738,'MEC - traffic congestion'!$C$145:$C$249,0))</f>
        <v>1</v>
      </c>
      <c r="P738" t="str">
        <f t="shared" si="29"/>
        <v>2019PM PEAK</v>
      </c>
      <c r="Q738">
        <f t="shared" si="30"/>
        <v>1</v>
      </c>
      <c r="R738" s="195" t="str">
        <f t="shared" si="31"/>
        <v>2019LIGHT VEHICLES</v>
      </c>
    </row>
    <row r="739" spans="3:18" x14ac:dyDescent="0.25">
      <c r="C739" s="294" t="s">
        <v>820</v>
      </c>
      <c r="D739" s="317">
        <v>42001</v>
      </c>
      <c r="E739" s="122" t="s">
        <v>821</v>
      </c>
      <c r="F739" s="122" t="s">
        <v>822</v>
      </c>
      <c r="G739" s="122" t="s">
        <v>778</v>
      </c>
      <c r="H739" s="122" t="s">
        <v>777</v>
      </c>
      <c r="I739" s="312">
        <v>2019</v>
      </c>
      <c r="J739" s="122" t="s">
        <v>711</v>
      </c>
      <c r="K739" s="283">
        <v>8461</v>
      </c>
      <c r="L739" s="318">
        <v>-33.977142000000001</v>
      </c>
      <c r="M739" s="318">
        <v>151.03053299999999</v>
      </c>
      <c r="O739">
        <f>INDEX('MEC - traffic congestion'!$M$145:$M$249,MATCH($D739,'MEC - traffic congestion'!$C$145:$C$249,0))</f>
        <v>1</v>
      </c>
      <c r="P739" t="str">
        <f t="shared" si="29"/>
        <v>2019PM PEAK</v>
      </c>
      <c r="Q739">
        <f t="shared" si="30"/>
        <v>1</v>
      </c>
      <c r="R739" s="195" t="str">
        <f t="shared" si="31"/>
        <v>2019LIGHT VEHICLES</v>
      </c>
    </row>
    <row r="740" spans="3:18" x14ac:dyDescent="0.25">
      <c r="C740" s="294" t="s">
        <v>820</v>
      </c>
      <c r="D740" s="317">
        <v>42001</v>
      </c>
      <c r="E740" s="122" t="s">
        <v>821</v>
      </c>
      <c r="F740" s="122" t="s">
        <v>822</v>
      </c>
      <c r="G740" s="122" t="s">
        <v>776</v>
      </c>
      <c r="H740" s="122" t="s">
        <v>777</v>
      </c>
      <c r="I740" s="312">
        <v>2019</v>
      </c>
      <c r="J740" s="122" t="s">
        <v>712</v>
      </c>
      <c r="K740" s="283">
        <v>23044</v>
      </c>
      <c r="L740" s="318">
        <v>-33.977142000000001</v>
      </c>
      <c r="M740" s="318">
        <v>151.03053299999999</v>
      </c>
      <c r="O740">
        <f>INDEX('MEC - traffic congestion'!$M$145:$M$249,MATCH($D740,'MEC - traffic congestion'!$C$145:$C$249,0))</f>
        <v>1</v>
      </c>
      <c r="P740" t="str">
        <f t="shared" si="29"/>
        <v>2019PUBLIC HOLIDAYS</v>
      </c>
      <c r="Q740">
        <f t="shared" si="30"/>
        <v>1</v>
      </c>
      <c r="R740" s="195" t="str">
        <f t="shared" si="31"/>
        <v>2019LIGHT VEHICLES</v>
      </c>
    </row>
    <row r="741" spans="3:18" x14ac:dyDescent="0.25">
      <c r="C741" s="294" t="s">
        <v>820</v>
      </c>
      <c r="D741" s="317">
        <v>42001</v>
      </c>
      <c r="E741" s="122" t="s">
        <v>821</v>
      </c>
      <c r="F741" s="122" t="s">
        <v>822</v>
      </c>
      <c r="G741" s="122" t="s">
        <v>778</v>
      </c>
      <c r="H741" s="122" t="s">
        <v>777</v>
      </c>
      <c r="I741" s="312">
        <v>2019</v>
      </c>
      <c r="J741" s="122" t="s">
        <v>712</v>
      </c>
      <c r="K741" s="283">
        <v>23333</v>
      </c>
      <c r="L741" s="318">
        <v>-33.977142000000001</v>
      </c>
      <c r="M741" s="318">
        <v>151.03053299999999</v>
      </c>
      <c r="O741">
        <f>INDEX('MEC - traffic congestion'!$M$145:$M$249,MATCH($D741,'MEC - traffic congestion'!$C$145:$C$249,0))</f>
        <v>1</v>
      </c>
      <c r="P741" t="str">
        <f t="shared" si="29"/>
        <v>2019PUBLIC HOLIDAYS</v>
      </c>
      <c r="Q741">
        <f t="shared" si="30"/>
        <v>1</v>
      </c>
      <c r="R741" s="195" t="str">
        <f t="shared" si="31"/>
        <v>2019LIGHT VEHICLES</v>
      </c>
    </row>
    <row r="742" spans="3:18" x14ac:dyDescent="0.25">
      <c r="C742" s="294" t="s">
        <v>820</v>
      </c>
      <c r="D742" s="317">
        <v>42001</v>
      </c>
      <c r="E742" s="122" t="s">
        <v>821</v>
      </c>
      <c r="F742" s="122" t="s">
        <v>822</v>
      </c>
      <c r="G742" s="122" t="s">
        <v>776</v>
      </c>
      <c r="H742" s="122" t="s">
        <v>777</v>
      </c>
      <c r="I742" s="312">
        <v>2019</v>
      </c>
      <c r="J742" s="122" t="s">
        <v>713</v>
      </c>
      <c r="K742" s="283">
        <v>21002</v>
      </c>
      <c r="L742" s="318">
        <v>-33.977142000000001</v>
      </c>
      <c r="M742" s="318">
        <v>151.03053299999999</v>
      </c>
      <c r="O742">
        <f>INDEX('MEC - traffic congestion'!$M$145:$M$249,MATCH($D742,'MEC - traffic congestion'!$C$145:$C$249,0))</f>
        <v>1</v>
      </c>
      <c r="P742" t="str">
        <f t="shared" si="29"/>
        <v>2019WEEKENDS</v>
      </c>
      <c r="Q742">
        <f t="shared" si="30"/>
        <v>1</v>
      </c>
      <c r="R742" s="195" t="str">
        <f t="shared" si="31"/>
        <v>2019LIGHT VEHICLES</v>
      </c>
    </row>
    <row r="743" spans="3:18" x14ac:dyDescent="0.25">
      <c r="C743" s="294" t="s">
        <v>820</v>
      </c>
      <c r="D743" s="317">
        <v>42001</v>
      </c>
      <c r="E743" s="122" t="s">
        <v>821</v>
      </c>
      <c r="F743" s="122" t="s">
        <v>822</v>
      </c>
      <c r="G743" s="122" t="s">
        <v>778</v>
      </c>
      <c r="H743" s="122" t="s">
        <v>777</v>
      </c>
      <c r="I743" s="312">
        <v>2019</v>
      </c>
      <c r="J743" s="122" t="s">
        <v>713</v>
      </c>
      <c r="K743" s="283">
        <v>21415</v>
      </c>
      <c r="L743" s="318">
        <v>-33.977142000000001</v>
      </c>
      <c r="M743" s="318">
        <v>151.03053299999999</v>
      </c>
      <c r="O743">
        <f>INDEX('MEC - traffic congestion'!$M$145:$M$249,MATCH($D743,'MEC - traffic congestion'!$C$145:$C$249,0))</f>
        <v>1</v>
      </c>
      <c r="P743" t="str">
        <f t="shared" si="29"/>
        <v>2019WEEKENDS</v>
      </c>
      <c r="Q743">
        <f t="shared" si="30"/>
        <v>1</v>
      </c>
      <c r="R743" s="195" t="str">
        <f t="shared" si="31"/>
        <v>2019LIGHT VEHICLES</v>
      </c>
    </row>
    <row r="744" spans="3:18" x14ac:dyDescent="0.25">
      <c r="C744" s="294" t="s">
        <v>820</v>
      </c>
      <c r="D744" s="317">
        <v>42001</v>
      </c>
      <c r="E744" s="122" t="s">
        <v>821</v>
      </c>
      <c r="F744" s="122" t="s">
        <v>822</v>
      </c>
      <c r="G744" s="122" t="s">
        <v>776</v>
      </c>
      <c r="H744" s="122" t="s">
        <v>777</v>
      </c>
      <c r="I744" s="312">
        <v>2020</v>
      </c>
      <c r="J744" s="122" t="s">
        <v>709</v>
      </c>
      <c r="K744" s="283">
        <v>9108</v>
      </c>
      <c r="L744" s="318">
        <v>-33.977142000000001</v>
      </c>
      <c r="M744" s="318">
        <v>151.03053299999999</v>
      </c>
      <c r="O744">
        <f>INDEX('MEC - traffic congestion'!$M$145:$M$249,MATCH($D744,'MEC - traffic congestion'!$C$145:$C$249,0))</f>
        <v>1</v>
      </c>
      <c r="P744" t="str">
        <f t="shared" si="29"/>
        <v>2020AM PEAK</v>
      </c>
      <c r="Q744">
        <f t="shared" si="30"/>
        <v>1</v>
      </c>
      <c r="R744" s="195" t="str">
        <f t="shared" si="31"/>
        <v>2020LIGHT VEHICLES</v>
      </c>
    </row>
    <row r="745" spans="3:18" x14ac:dyDescent="0.25">
      <c r="C745" s="294" t="s">
        <v>820</v>
      </c>
      <c r="D745" s="317">
        <v>42001</v>
      </c>
      <c r="E745" s="122" t="s">
        <v>821</v>
      </c>
      <c r="F745" s="122" t="s">
        <v>822</v>
      </c>
      <c r="G745" s="122" t="s">
        <v>778</v>
      </c>
      <c r="H745" s="122" t="s">
        <v>777</v>
      </c>
      <c r="I745" s="312">
        <v>2020</v>
      </c>
      <c r="J745" s="122" t="s">
        <v>709</v>
      </c>
      <c r="K745" s="283">
        <v>6092</v>
      </c>
      <c r="L745" s="318">
        <v>-33.977142000000001</v>
      </c>
      <c r="M745" s="318">
        <v>151.03053299999999</v>
      </c>
      <c r="O745">
        <f>INDEX('MEC - traffic congestion'!$M$145:$M$249,MATCH($D745,'MEC - traffic congestion'!$C$145:$C$249,0))</f>
        <v>1</v>
      </c>
      <c r="P745" t="str">
        <f t="shared" si="29"/>
        <v>2020AM PEAK</v>
      </c>
      <c r="Q745">
        <f t="shared" si="30"/>
        <v>1</v>
      </c>
      <c r="R745" s="195" t="str">
        <f t="shared" si="31"/>
        <v>2020LIGHT VEHICLES</v>
      </c>
    </row>
    <row r="746" spans="3:18" x14ac:dyDescent="0.25">
      <c r="C746" s="294" t="s">
        <v>820</v>
      </c>
      <c r="D746" s="317">
        <v>42001</v>
      </c>
      <c r="E746" s="122" t="s">
        <v>821</v>
      </c>
      <c r="F746" s="122" t="s">
        <v>822</v>
      </c>
      <c r="G746" s="122" t="s">
        <v>776</v>
      </c>
      <c r="H746" s="122" t="s">
        <v>777</v>
      </c>
      <c r="I746" s="312">
        <v>2020</v>
      </c>
      <c r="J746" s="122" t="s">
        <v>710</v>
      </c>
      <c r="K746" s="283">
        <v>11606</v>
      </c>
      <c r="L746" s="318">
        <v>-33.977142000000001</v>
      </c>
      <c r="M746" s="318">
        <v>151.03053299999999</v>
      </c>
      <c r="O746">
        <f>INDEX('MEC - traffic congestion'!$M$145:$M$249,MATCH($D746,'MEC - traffic congestion'!$C$145:$C$249,0))</f>
        <v>1</v>
      </c>
      <c r="P746" t="str">
        <f t="shared" si="29"/>
        <v>2020OFF PEAK</v>
      </c>
      <c r="Q746">
        <f t="shared" si="30"/>
        <v>1</v>
      </c>
      <c r="R746" s="195" t="str">
        <f t="shared" si="31"/>
        <v>2020LIGHT VEHICLES</v>
      </c>
    </row>
    <row r="747" spans="3:18" x14ac:dyDescent="0.25">
      <c r="C747" s="294" t="s">
        <v>820</v>
      </c>
      <c r="D747" s="317">
        <v>42001</v>
      </c>
      <c r="E747" s="122" t="s">
        <v>821</v>
      </c>
      <c r="F747" s="122" t="s">
        <v>822</v>
      </c>
      <c r="G747" s="122" t="s">
        <v>778</v>
      </c>
      <c r="H747" s="122" t="s">
        <v>777</v>
      </c>
      <c r="I747" s="312">
        <v>2020</v>
      </c>
      <c r="J747" s="122" t="s">
        <v>710</v>
      </c>
      <c r="K747" s="283">
        <v>11590</v>
      </c>
      <c r="L747" s="318">
        <v>-33.977142000000001</v>
      </c>
      <c r="M747" s="318">
        <v>151.03053299999999</v>
      </c>
      <c r="O747">
        <f>INDEX('MEC - traffic congestion'!$M$145:$M$249,MATCH($D747,'MEC - traffic congestion'!$C$145:$C$249,0))</f>
        <v>1</v>
      </c>
      <c r="P747" t="str">
        <f t="shared" si="29"/>
        <v>2020OFF PEAK</v>
      </c>
      <c r="Q747">
        <f t="shared" si="30"/>
        <v>1</v>
      </c>
      <c r="R747" s="195" t="str">
        <f t="shared" si="31"/>
        <v>2020LIGHT VEHICLES</v>
      </c>
    </row>
    <row r="748" spans="3:18" x14ac:dyDescent="0.25">
      <c r="C748" s="294" t="s">
        <v>820</v>
      </c>
      <c r="D748" s="317">
        <v>42001</v>
      </c>
      <c r="E748" s="122" t="s">
        <v>821</v>
      </c>
      <c r="F748" s="122" t="s">
        <v>822</v>
      </c>
      <c r="G748" s="122" t="s">
        <v>776</v>
      </c>
      <c r="H748" s="122" t="s">
        <v>777</v>
      </c>
      <c r="I748" s="312">
        <v>2020</v>
      </c>
      <c r="J748" s="122" t="s">
        <v>711</v>
      </c>
      <c r="K748" s="283">
        <v>4575</v>
      </c>
      <c r="L748" s="318">
        <v>-33.977142000000001</v>
      </c>
      <c r="M748" s="318">
        <v>151.03053299999999</v>
      </c>
      <c r="O748">
        <f>INDEX('MEC - traffic congestion'!$M$145:$M$249,MATCH($D748,'MEC - traffic congestion'!$C$145:$C$249,0))</f>
        <v>1</v>
      </c>
      <c r="P748" t="str">
        <f t="shared" si="29"/>
        <v>2020PM PEAK</v>
      </c>
      <c r="Q748">
        <f t="shared" si="30"/>
        <v>1</v>
      </c>
      <c r="R748" s="195" t="str">
        <f t="shared" si="31"/>
        <v>2020LIGHT VEHICLES</v>
      </c>
    </row>
    <row r="749" spans="3:18" x14ac:dyDescent="0.25">
      <c r="C749" s="294" t="s">
        <v>820</v>
      </c>
      <c r="D749" s="317">
        <v>42001</v>
      </c>
      <c r="E749" s="122" t="s">
        <v>821</v>
      </c>
      <c r="F749" s="122" t="s">
        <v>822</v>
      </c>
      <c r="G749" s="122" t="s">
        <v>778</v>
      </c>
      <c r="H749" s="122" t="s">
        <v>777</v>
      </c>
      <c r="I749" s="312">
        <v>2020</v>
      </c>
      <c r="J749" s="122" t="s">
        <v>711</v>
      </c>
      <c r="K749" s="283">
        <v>7707</v>
      </c>
      <c r="L749" s="318">
        <v>-33.977142000000001</v>
      </c>
      <c r="M749" s="318">
        <v>151.03053299999999</v>
      </c>
      <c r="O749">
        <f>INDEX('MEC - traffic congestion'!$M$145:$M$249,MATCH($D749,'MEC - traffic congestion'!$C$145:$C$249,0))</f>
        <v>1</v>
      </c>
      <c r="P749" t="str">
        <f t="shared" si="29"/>
        <v>2020PM PEAK</v>
      </c>
      <c r="Q749">
        <f t="shared" si="30"/>
        <v>1</v>
      </c>
      <c r="R749" s="195" t="str">
        <f t="shared" si="31"/>
        <v>2020LIGHT VEHICLES</v>
      </c>
    </row>
    <row r="750" spans="3:18" x14ac:dyDescent="0.25">
      <c r="C750" s="294" t="s">
        <v>820</v>
      </c>
      <c r="D750" s="317">
        <v>42001</v>
      </c>
      <c r="E750" s="122" t="s">
        <v>821</v>
      </c>
      <c r="F750" s="122" t="s">
        <v>822</v>
      </c>
      <c r="G750" s="122" t="s">
        <v>776</v>
      </c>
      <c r="H750" s="122" t="s">
        <v>777</v>
      </c>
      <c r="I750" s="312">
        <v>2020</v>
      </c>
      <c r="J750" s="122" t="s">
        <v>712</v>
      </c>
      <c r="K750" s="283">
        <v>16968</v>
      </c>
      <c r="L750" s="318">
        <v>-33.977142000000001</v>
      </c>
      <c r="M750" s="318">
        <v>151.03053299999999</v>
      </c>
      <c r="O750">
        <f>INDEX('MEC - traffic congestion'!$M$145:$M$249,MATCH($D750,'MEC - traffic congestion'!$C$145:$C$249,0))</f>
        <v>1</v>
      </c>
      <c r="P750" t="str">
        <f t="shared" si="29"/>
        <v>2020PUBLIC HOLIDAYS</v>
      </c>
      <c r="Q750">
        <f t="shared" si="30"/>
        <v>1</v>
      </c>
      <c r="R750" s="195" t="str">
        <f t="shared" si="31"/>
        <v>2020LIGHT VEHICLES</v>
      </c>
    </row>
    <row r="751" spans="3:18" x14ac:dyDescent="0.25">
      <c r="C751" s="294" t="s">
        <v>820</v>
      </c>
      <c r="D751" s="317">
        <v>42001</v>
      </c>
      <c r="E751" s="122" t="s">
        <v>821</v>
      </c>
      <c r="F751" s="122" t="s">
        <v>822</v>
      </c>
      <c r="G751" s="122" t="s">
        <v>778</v>
      </c>
      <c r="H751" s="122" t="s">
        <v>777</v>
      </c>
      <c r="I751" s="312">
        <v>2020</v>
      </c>
      <c r="J751" s="122" t="s">
        <v>712</v>
      </c>
      <c r="K751" s="283">
        <v>17280</v>
      </c>
      <c r="L751" s="318">
        <v>-33.977142000000001</v>
      </c>
      <c r="M751" s="318">
        <v>151.03053299999999</v>
      </c>
      <c r="O751">
        <f>INDEX('MEC - traffic congestion'!$M$145:$M$249,MATCH($D751,'MEC - traffic congestion'!$C$145:$C$249,0))</f>
        <v>1</v>
      </c>
      <c r="P751" t="str">
        <f t="shared" si="29"/>
        <v>2020PUBLIC HOLIDAYS</v>
      </c>
      <c r="Q751">
        <f t="shared" si="30"/>
        <v>1</v>
      </c>
      <c r="R751" s="195" t="str">
        <f t="shared" si="31"/>
        <v>2020LIGHT VEHICLES</v>
      </c>
    </row>
    <row r="752" spans="3:18" x14ac:dyDescent="0.25">
      <c r="C752" s="294" t="s">
        <v>820</v>
      </c>
      <c r="D752" s="317">
        <v>42001</v>
      </c>
      <c r="E752" s="122" t="s">
        <v>821</v>
      </c>
      <c r="F752" s="122" t="s">
        <v>822</v>
      </c>
      <c r="G752" s="122" t="s">
        <v>776</v>
      </c>
      <c r="H752" s="122" t="s">
        <v>777</v>
      </c>
      <c r="I752" s="312">
        <v>2020</v>
      </c>
      <c r="J752" s="122" t="s">
        <v>713</v>
      </c>
      <c r="K752" s="283">
        <v>19712</v>
      </c>
      <c r="L752" s="318">
        <v>-33.977142000000001</v>
      </c>
      <c r="M752" s="318">
        <v>151.03053299999999</v>
      </c>
      <c r="O752">
        <f>INDEX('MEC - traffic congestion'!$M$145:$M$249,MATCH($D752,'MEC - traffic congestion'!$C$145:$C$249,0))</f>
        <v>1</v>
      </c>
      <c r="P752" t="str">
        <f t="shared" si="29"/>
        <v>2020WEEKENDS</v>
      </c>
      <c r="Q752">
        <f t="shared" si="30"/>
        <v>1</v>
      </c>
      <c r="R752" s="195" t="str">
        <f t="shared" si="31"/>
        <v>2020LIGHT VEHICLES</v>
      </c>
    </row>
    <row r="753" spans="3:18" x14ac:dyDescent="0.25">
      <c r="C753" s="294" t="s">
        <v>820</v>
      </c>
      <c r="D753" s="317">
        <v>42001</v>
      </c>
      <c r="E753" s="122" t="s">
        <v>821</v>
      </c>
      <c r="F753" s="122" t="s">
        <v>822</v>
      </c>
      <c r="G753" s="122" t="s">
        <v>778</v>
      </c>
      <c r="H753" s="122" t="s">
        <v>777</v>
      </c>
      <c r="I753" s="312">
        <v>2020</v>
      </c>
      <c r="J753" s="122" t="s">
        <v>713</v>
      </c>
      <c r="K753" s="283">
        <v>20261</v>
      </c>
      <c r="L753" s="318">
        <v>-33.977142000000001</v>
      </c>
      <c r="M753" s="318">
        <v>151.03053299999999</v>
      </c>
      <c r="O753">
        <f>INDEX('MEC - traffic congestion'!$M$145:$M$249,MATCH($D753,'MEC - traffic congestion'!$C$145:$C$249,0))</f>
        <v>1</v>
      </c>
      <c r="P753" t="str">
        <f t="shared" si="29"/>
        <v>2020WEEKENDS</v>
      </c>
      <c r="Q753">
        <f t="shared" si="30"/>
        <v>1</v>
      </c>
      <c r="R753" s="195" t="str">
        <f t="shared" si="31"/>
        <v>2020LIGHT VEHICLES</v>
      </c>
    </row>
    <row r="754" spans="3:18" x14ac:dyDescent="0.25">
      <c r="C754" s="294" t="s">
        <v>820</v>
      </c>
      <c r="D754" s="317">
        <v>42001</v>
      </c>
      <c r="E754" s="122" t="s">
        <v>821</v>
      </c>
      <c r="F754" s="122" t="s">
        <v>822</v>
      </c>
      <c r="G754" s="122" t="s">
        <v>776</v>
      </c>
      <c r="H754" s="122" t="s">
        <v>777</v>
      </c>
      <c r="I754" s="312">
        <v>2021</v>
      </c>
      <c r="J754" s="122" t="s">
        <v>709</v>
      </c>
      <c r="K754" s="283">
        <v>8588</v>
      </c>
      <c r="L754" s="318">
        <v>-33.977142000000001</v>
      </c>
      <c r="M754" s="318">
        <v>151.03053299999999</v>
      </c>
      <c r="O754">
        <f>INDEX('MEC - traffic congestion'!$M$145:$M$249,MATCH($D754,'MEC - traffic congestion'!$C$145:$C$249,0))</f>
        <v>1</v>
      </c>
      <c r="P754" t="str">
        <f t="shared" si="29"/>
        <v>2021AM PEAK</v>
      </c>
      <c r="Q754">
        <f t="shared" si="30"/>
        <v>1</v>
      </c>
      <c r="R754" s="195" t="str">
        <f t="shared" si="31"/>
        <v>2021LIGHT VEHICLES</v>
      </c>
    </row>
    <row r="755" spans="3:18" x14ac:dyDescent="0.25">
      <c r="C755" s="294" t="s">
        <v>820</v>
      </c>
      <c r="D755" s="317">
        <v>42001</v>
      </c>
      <c r="E755" s="122" t="s">
        <v>821</v>
      </c>
      <c r="F755" s="122" t="s">
        <v>822</v>
      </c>
      <c r="G755" s="122" t="s">
        <v>778</v>
      </c>
      <c r="H755" s="122" t="s">
        <v>777</v>
      </c>
      <c r="I755" s="312">
        <v>2021</v>
      </c>
      <c r="J755" s="122" t="s">
        <v>709</v>
      </c>
      <c r="K755" s="283">
        <v>6095</v>
      </c>
      <c r="L755" s="318">
        <v>-33.977142000000001</v>
      </c>
      <c r="M755" s="318">
        <v>151.03053299999999</v>
      </c>
      <c r="O755">
        <f>INDEX('MEC - traffic congestion'!$M$145:$M$249,MATCH($D755,'MEC - traffic congestion'!$C$145:$C$249,0))</f>
        <v>1</v>
      </c>
      <c r="P755" t="str">
        <f t="shared" si="29"/>
        <v>2021AM PEAK</v>
      </c>
      <c r="Q755">
        <f t="shared" si="30"/>
        <v>1</v>
      </c>
      <c r="R755" s="195" t="str">
        <f t="shared" si="31"/>
        <v>2021LIGHT VEHICLES</v>
      </c>
    </row>
    <row r="756" spans="3:18" x14ac:dyDescent="0.25">
      <c r="C756" s="294" t="s">
        <v>820</v>
      </c>
      <c r="D756" s="317">
        <v>42001</v>
      </c>
      <c r="E756" s="122" t="s">
        <v>821</v>
      </c>
      <c r="F756" s="122" t="s">
        <v>822</v>
      </c>
      <c r="G756" s="122" t="s">
        <v>776</v>
      </c>
      <c r="H756" s="122" t="s">
        <v>777</v>
      </c>
      <c r="I756" s="312">
        <v>2021</v>
      </c>
      <c r="J756" s="122" t="s">
        <v>710</v>
      </c>
      <c r="K756" s="283">
        <v>12306</v>
      </c>
      <c r="L756" s="318">
        <v>-33.977142000000001</v>
      </c>
      <c r="M756" s="318">
        <v>151.03053299999999</v>
      </c>
      <c r="O756">
        <f>INDEX('MEC - traffic congestion'!$M$145:$M$249,MATCH($D756,'MEC - traffic congestion'!$C$145:$C$249,0))</f>
        <v>1</v>
      </c>
      <c r="P756" t="str">
        <f t="shared" si="29"/>
        <v>2021OFF PEAK</v>
      </c>
      <c r="Q756">
        <f t="shared" si="30"/>
        <v>1</v>
      </c>
      <c r="R756" s="195" t="str">
        <f t="shared" si="31"/>
        <v>2021LIGHT VEHICLES</v>
      </c>
    </row>
    <row r="757" spans="3:18" x14ac:dyDescent="0.25">
      <c r="C757" s="294" t="s">
        <v>820</v>
      </c>
      <c r="D757" s="317">
        <v>42001</v>
      </c>
      <c r="E757" s="122" t="s">
        <v>821</v>
      </c>
      <c r="F757" s="122" t="s">
        <v>822</v>
      </c>
      <c r="G757" s="122" t="s">
        <v>778</v>
      </c>
      <c r="H757" s="122" t="s">
        <v>777</v>
      </c>
      <c r="I757" s="312">
        <v>2021</v>
      </c>
      <c r="J757" s="122" t="s">
        <v>710</v>
      </c>
      <c r="K757" s="283">
        <v>12448</v>
      </c>
      <c r="L757" s="318">
        <v>-33.977142000000001</v>
      </c>
      <c r="M757" s="318">
        <v>151.03053299999999</v>
      </c>
      <c r="O757">
        <f>INDEX('MEC - traffic congestion'!$M$145:$M$249,MATCH($D757,'MEC - traffic congestion'!$C$145:$C$249,0))</f>
        <v>1</v>
      </c>
      <c r="P757" t="str">
        <f t="shared" si="29"/>
        <v>2021OFF PEAK</v>
      </c>
      <c r="Q757">
        <f t="shared" si="30"/>
        <v>1</v>
      </c>
      <c r="R757" s="195" t="str">
        <f t="shared" si="31"/>
        <v>2021LIGHT VEHICLES</v>
      </c>
    </row>
    <row r="758" spans="3:18" x14ac:dyDescent="0.25">
      <c r="C758" s="294" t="s">
        <v>820</v>
      </c>
      <c r="D758" s="317">
        <v>42001</v>
      </c>
      <c r="E758" s="122" t="s">
        <v>821</v>
      </c>
      <c r="F758" s="122" t="s">
        <v>822</v>
      </c>
      <c r="G758" s="122" t="s">
        <v>776</v>
      </c>
      <c r="H758" s="122" t="s">
        <v>777</v>
      </c>
      <c r="I758" s="312">
        <v>2021</v>
      </c>
      <c r="J758" s="122" t="s">
        <v>711</v>
      </c>
      <c r="K758" s="283">
        <v>5682</v>
      </c>
      <c r="L758" s="318">
        <v>-33.977142000000001</v>
      </c>
      <c r="M758" s="318">
        <v>151.03053299999999</v>
      </c>
      <c r="O758">
        <f>INDEX('MEC - traffic congestion'!$M$145:$M$249,MATCH($D758,'MEC - traffic congestion'!$C$145:$C$249,0))</f>
        <v>1</v>
      </c>
      <c r="P758" t="str">
        <f t="shared" si="29"/>
        <v>2021PM PEAK</v>
      </c>
      <c r="Q758">
        <f t="shared" si="30"/>
        <v>1</v>
      </c>
      <c r="R758" s="195" t="str">
        <f t="shared" si="31"/>
        <v>2021LIGHT VEHICLES</v>
      </c>
    </row>
    <row r="759" spans="3:18" x14ac:dyDescent="0.25">
      <c r="C759" s="294" t="s">
        <v>820</v>
      </c>
      <c r="D759" s="317">
        <v>42001</v>
      </c>
      <c r="E759" s="122" t="s">
        <v>821</v>
      </c>
      <c r="F759" s="122" t="s">
        <v>822</v>
      </c>
      <c r="G759" s="122" t="s">
        <v>778</v>
      </c>
      <c r="H759" s="122" t="s">
        <v>777</v>
      </c>
      <c r="I759" s="312">
        <v>2021</v>
      </c>
      <c r="J759" s="122" t="s">
        <v>711</v>
      </c>
      <c r="K759" s="283">
        <v>9118</v>
      </c>
      <c r="L759" s="318">
        <v>-33.977142000000001</v>
      </c>
      <c r="M759" s="318">
        <v>151.03053299999999</v>
      </c>
      <c r="O759">
        <f>INDEX('MEC - traffic congestion'!$M$145:$M$249,MATCH($D759,'MEC - traffic congestion'!$C$145:$C$249,0))</f>
        <v>1</v>
      </c>
      <c r="P759" t="str">
        <f t="shared" si="29"/>
        <v>2021PM PEAK</v>
      </c>
      <c r="Q759">
        <f t="shared" si="30"/>
        <v>1</v>
      </c>
      <c r="R759" s="195" t="str">
        <f t="shared" si="31"/>
        <v>2021LIGHT VEHICLES</v>
      </c>
    </row>
    <row r="760" spans="3:18" x14ac:dyDescent="0.25">
      <c r="C760" s="294" t="s">
        <v>820</v>
      </c>
      <c r="D760" s="317">
        <v>42001</v>
      </c>
      <c r="E760" s="122" t="s">
        <v>821</v>
      </c>
      <c r="F760" s="122" t="s">
        <v>822</v>
      </c>
      <c r="G760" s="122" t="s">
        <v>776</v>
      </c>
      <c r="H760" s="122" t="s">
        <v>777</v>
      </c>
      <c r="I760" s="312">
        <v>2021</v>
      </c>
      <c r="J760" s="122" t="s">
        <v>713</v>
      </c>
      <c r="K760" s="283">
        <v>21346</v>
      </c>
      <c r="L760" s="318">
        <v>-33.977142000000001</v>
      </c>
      <c r="M760" s="318">
        <v>151.03053299999999</v>
      </c>
      <c r="O760">
        <f>INDEX('MEC - traffic congestion'!$M$145:$M$249,MATCH($D760,'MEC - traffic congestion'!$C$145:$C$249,0))</f>
        <v>1</v>
      </c>
      <c r="P760" t="str">
        <f t="shared" si="29"/>
        <v>2021WEEKENDS</v>
      </c>
      <c r="Q760">
        <f t="shared" si="30"/>
        <v>1</v>
      </c>
      <c r="R760" s="195" t="str">
        <f t="shared" si="31"/>
        <v>2021LIGHT VEHICLES</v>
      </c>
    </row>
    <row r="761" spans="3:18" x14ac:dyDescent="0.25">
      <c r="C761" s="294" t="s">
        <v>820</v>
      </c>
      <c r="D761" s="317">
        <v>42001</v>
      </c>
      <c r="E761" s="122" t="s">
        <v>821</v>
      </c>
      <c r="F761" s="122" t="s">
        <v>822</v>
      </c>
      <c r="G761" s="122" t="s">
        <v>778</v>
      </c>
      <c r="H761" s="122" t="s">
        <v>777</v>
      </c>
      <c r="I761" s="312">
        <v>2021</v>
      </c>
      <c r="J761" s="122" t="s">
        <v>713</v>
      </c>
      <c r="K761" s="283">
        <v>21524</v>
      </c>
      <c r="L761" s="318">
        <v>-33.977142000000001</v>
      </c>
      <c r="M761" s="318">
        <v>151.03053299999999</v>
      </c>
      <c r="O761">
        <f>INDEX('MEC - traffic congestion'!$M$145:$M$249,MATCH($D761,'MEC - traffic congestion'!$C$145:$C$249,0))</f>
        <v>1</v>
      </c>
      <c r="P761" t="str">
        <f t="shared" si="29"/>
        <v>2021WEEKENDS</v>
      </c>
      <c r="Q761">
        <f t="shared" si="30"/>
        <v>1</v>
      </c>
      <c r="R761" s="195" t="str">
        <f t="shared" si="31"/>
        <v>2021LIGHT VEHICLES</v>
      </c>
    </row>
    <row r="762" spans="3:18" x14ac:dyDescent="0.25">
      <c r="C762" s="294" t="s">
        <v>820</v>
      </c>
      <c r="D762" s="317">
        <v>42001</v>
      </c>
      <c r="E762" s="122" t="s">
        <v>821</v>
      </c>
      <c r="F762" s="122" t="s">
        <v>822</v>
      </c>
      <c r="G762" s="122" t="s">
        <v>776</v>
      </c>
      <c r="H762" s="122" t="s">
        <v>777</v>
      </c>
      <c r="I762" s="312">
        <v>2022</v>
      </c>
      <c r="J762" s="122" t="s">
        <v>709</v>
      </c>
      <c r="K762" s="283">
        <v>9550</v>
      </c>
      <c r="L762" s="318">
        <v>-33.977142000000001</v>
      </c>
      <c r="M762" s="318">
        <v>151.03053299999999</v>
      </c>
      <c r="O762">
        <f>INDEX('MEC - traffic congestion'!$M$145:$M$249,MATCH($D762,'MEC - traffic congestion'!$C$145:$C$249,0))</f>
        <v>1</v>
      </c>
      <c r="P762" t="str">
        <f t="shared" si="29"/>
        <v>2022AM PEAK</v>
      </c>
      <c r="Q762">
        <f t="shared" si="30"/>
        <v>1</v>
      </c>
      <c r="R762" s="195" t="str">
        <f t="shared" si="31"/>
        <v>2022LIGHT VEHICLES</v>
      </c>
    </row>
    <row r="763" spans="3:18" x14ac:dyDescent="0.25">
      <c r="C763" s="294" t="s">
        <v>820</v>
      </c>
      <c r="D763" s="317">
        <v>42001</v>
      </c>
      <c r="E763" s="122" t="s">
        <v>821</v>
      </c>
      <c r="F763" s="122" t="s">
        <v>822</v>
      </c>
      <c r="G763" s="122" t="s">
        <v>778</v>
      </c>
      <c r="H763" s="122" t="s">
        <v>777</v>
      </c>
      <c r="I763" s="312">
        <v>2022</v>
      </c>
      <c r="J763" s="122" t="s">
        <v>709</v>
      </c>
      <c r="K763" s="283">
        <v>6514</v>
      </c>
      <c r="L763" s="318">
        <v>-33.977142000000001</v>
      </c>
      <c r="M763" s="318">
        <v>151.03053299999999</v>
      </c>
      <c r="O763">
        <f>INDEX('MEC - traffic congestion'!$M$145:$M$249,MATCH($D763,'MEC - traffic congestion'!$C$145:$C$249,0))</f>
        <v>1</v>
      </c>
      <c r="P763" t="str">
        <f t="shared" si="29"/>
        <v>2022AM PEAK</v>
      </c>
      <c r="Q763">
        <f t="shared" si="30"/>
        <v>1</v>
      </c>
      <c r="R763" s="195" t="str">
        <f t="shared" si="31"/>
        <v>2022LIGHT VEHICLES</v>
      </c>
    </row>
    <row r="764" spans="3:18" x14ac:dyDescent="0.25">
      <c r="C764" s="294" t="s">
        <v>820</v>
      </c>
      <c r="D764" s="317">
        <v>42001</v>
      </c>
      <c r="E764" s="122" t="s">
        <v>821</v>
      </c>
      <c r="F764" s="122" t="s">
        <v>822</v>
      </c>
      <c r="G764" s="122" t="s">
        <v>776</v>
      </c>
      <c r="H764" s="122" t="s">
        <v>777</v>
      </c>
      <c r="I764" s="312">
        <v>2022</v>
      </c>
      <c r="J764" s="122" t="s">
        <v>710</v>
      </c>
      <c r="K764" s="283">
        <v>11534</v>
      </c>
      <c r="L764" s="318">
        <v>-33.977142000000001</v>
      </c>
      <c r="M764" s="318">
        <v>151.03053299999999</v>
      </c>
      <c r="O764">
        <f>INDEX('MEC - traffic congestion'!$M$145:$M$249,MATCH($D764,'MEC - traffic congestion'!$C$145:$C$249,0))</f>
        <v>1</v>
      </c>
      <c r="P764" t="str">
        <f t="shared" si="29"/>
        <v>2022OFF PEAK</v>
      </c>
      <c r="Q764">
        <f t="shared" si="30"/>
        <v>1</v>
      </c>
      <c r="R764" s="195" t="str">
        <f t="shared" si="31"/>
        <v>2022LIGHT VEHICLES</v>
      </c>
    </row>
    <row r="765" spans="3:18" x14ac:dyDescent="0.25">
      <c r="C765" s="294" t="s">
        <v>820</v>
      </c>
      <c r="D765" s="317">
        <v>42001</v>
      </c>
      <c r="E765" s="122" t="s">
        <v>821</v>
      </c>
      <c r="F765" s="122" t="s">
        <v>822</v>
      </c>
      <c r="G765" s="122" t="s">
        <v>778</v>
      </c>
      <c r="H765" s="122" t="s">
        <v>777</v>
      </c>
      <c r="I765" s="312">
        <v>2022</v>
      </c>
      <c r="J765" s="122" t="s">
        <v>710</v>
      </c>
      <c r="K765" s="283">
        <v>11374</v>
      </c>
      <c r="L765" s="318">
        <v>-33.977142000000001</v>
      </c>
      <c r="M765" s="318">
        <v>151.03053299999999</v>
      </c>
      <c r="O765">
        <f>INDEX('MEC - traffic congestion'!$M$145:$M$249,MATCH($D765,'MEC - traffic congestion'!$C$145:$C$249,0))</f>
        <v>1</v>
      </c>
      <c r="P765" t="str">
        <f t="shared" si="29"/>
        <v>2022OFF PEAK</v>
      </c>
      <c r="Q765">
        <f t="shared" si="30"/>
        <v>1</v>
      </c>
      <c r="R765" s="195" t="str">
        <f t="shared" si="31"/>
        <v>2022LIGHT VEHICLES</v>
      </c>
    </row>
    <row r="766" spans="3:18" x14ac:dyDescent="0.25">
      <c r="C766" s="294" t="s">
        <v>820</v>
      </c>
      <c r="D766" s="317">
        <v>42001</v>
      </c>
      <c r="E766" s="122" t="s">
        <v>821</v>
      </c>
      <c r="F766" s="122" t="s">
        <v>822</v>
      </c>
      <c r="G766" s="122" t="s">
        <v>776</v>
      </c>
      <c r="H766" s="122" t="s">
        <v>777</v>
      </c>
      <c r="I766" s="312">
        <v>2022</v>
      </c>
      <c r="J766" s="122" t="s">
        <v>711</v>
      </c>
      <c r="K766" s="283">
        <v>5185</v>
      </c>
      <c r="L766" s="318">
        <v>-33.977142000000001</v>
      </c>
      <c r="M766" s="318">
        <v>151.03053299999999</v>
      </c>
      <c r="O766">
        <f>INDEX('MEC - traffic congestion'!$M$145:$M$249,MATCH($D766,'MEC - traffic congestion'!$C$145:$C$249,0))</f>
        <v>1</v>
      </c>
      <c r="P766" t="str">
        <f t="shared" si="29"/>
        <v>2022PM PEAK</v>
      </c>
      <c r="Q766">
        <f t="shared" si="30"/>
        <v>1</v>
      </c>
      <c r="R766" s="195" t="str">
        <f t="shared" si="31"/>
        <v>2022LIGHT VEHICLES</v>
      </c>
    </row>
    <row r="767" spans="3:18" x14ac:dyDescent="0.25">
      <c r="C767" s="294" t="s">
        <v>820</v>
      </c>
      <c r="D767" s="317">
        <v>42001</v>
      </c>
      <c r="E767" s="122" t="s">
        <v>821</v>
      </c>
      <c r="F767" s="122" t="s">
        <v>822</v>
      </c>
      <c r="G767" s="122" t="s">
        <v>778</v>
      </c>
      <c r="H767" s="122" t="s">
        <v>777</v>
      </c>
      <c r="I767" s="312">
        <v>2022</v>
      </c>
      <c r="J767" s="122" t="s">
        <v>711</v>
      </c>
      <c r="K767" s="283">
        <v>8067</v>
      </c>
      <c r="L767" s="318">
        <v>-33.977142000000001</v>
      </c>
      <c r="M767" s="318">
        <v>151.03053299999999</v>
      </c>
      <c r="O767">
        <f>INDEX('MEC - traffic congestion'!$M$145:$M$249,MATCH($D767,'MEC - traffic congestion'!$C$145:$C$249,0))</f>
        <v>1</v>
      </c>
      <c r="P767" t="str">
        <f t="shared" si="29"/>
        <v>2022PM PEAK</v>
      </c>
      <c r="Q767">
        <f t="shared" si="30"/>
        <v>1</v>
      </c>
      <c r="R767" s="195" t="str">
        <f t="shared" si="31"/>
        <v>2022LIGHT VEHICLES</v>
      </c>
    </row>
    <row r="768" spans="3:18" x14ac:dyDescent="0.25">
      <c r="C768" s="294" t="s">
        <v>820</v>
      </c>
      <c r="D768" s="317">
        <v>42001</v>
      </c>
      <c r="E768" s="122" t="s">
        <v>821</v>
      </c>
      <c r="F768" s="122" t="s">
        <v>822</v>
      </c>
      <c r="G768" s="122" t="s">
        <v>776</v>
      </c>
      <c r="H768" s="122" t="s">
        <v>777</v>
      </c>
      <c r="I768" s="312">
        <v>2022</v>
      </c>
      <c r="J768" s="122" t="s">
        <v>713</v>
      </c>
      <c r="K768" s="283">
        <v>20733</v>
      </c>
      <c r="L768" s="318">
        <v>-33.977142000000001</v>
      </c>
      <c r="M768" s="318">
        <v>151.03053299999999</v>
      </c>
      <c r="O768">
        <f>INDEX('MEC - traffic congestion'!$M$145:$M$249,MATCH($D768,'MEC - traffic congestion'!$C$145:$C$249,0))</f>
        <v>1</v>
      </c>
      <c r="P768" t="str">
        <f t="shared" si="29"/>
        <v>2022WEEKENDS</v>
      </c>
      <c r="Q768">
        <f t="shared" si="30"/>
        <v>1</v>
      </c>
      <c r="R768" s="195" t="str">
        <f t="shared" si="31"/>
        <v>2022LIGHT VEHICLES</v>
      </c>
    </row>
    <row r="769" spans="3:18" x14ac:dyDescent="0.25">
      <c r="C769" s="294" t="s">
        <v>820</v>
      </c>
      <c r="D769" s="317">
        <v>42001</v>
      </c>
      <c r="E769" s="122" t="s">
        <v>821</v>
      </c>
      <c r="F769" s="122" t="s">
        <v>822</v>
      </c>
      <c r="G769" s="122" t="s">
        <v>778</v>
      </c>
      <c r="H769" s="122" t="s">
        <v>777</v>
      </c>
      <c r="I769" s="312">
        <v>2022</v>
      </c>
      <c r="J769" s="122" t="s">
        <v>713</v>
      </c>
      <c r="K769" s="283">
        <v>21212</v>
      </c>
      <c r="L769" s="318">
        <v>-33.977142000000001</v>
      </c>
      <c r="M769" s="318">
        <v>151.03053299999999</v>
      </c>
      <c r="O769">
        <f>INDEX('MEC - traffic congestion'!$M$145:$M$249,MATCH($D769,'MEC - traffic congestion'!$C$145:$C$249,0))</f>
        <v>1</v>
      </c>
      <c r="P769" t="str">
        <f t="shared" si="29"/>
        <v>2022WEEKENDS</v>
      </c>
      <c r="Q769">
        <f t="shared" si="30"/>
        <v>1</v>
      </c>
      <c r="R769" s="195" t="str">
        <f t="shared" si="31"/>
        <v>2022LIGHT VEHICLES</v>
      </c>
    </row>
    <row r="770" spans="3:18" x14ac:dyDescent="0.25">
      <c r="C770" s="294" t="s">
        <v>820</v>
      </c>
      <c r="D770" s="317">
        <v>42001</v>
      </c>
      <c r="E770" s="122" t="s">
        <v>821</v>
      </c>
      <c r="F770" s="122" t="s">
        <v>822</v>
      </c>
      <c r="G770" s="122" t="s">
        <v>776</v>
      </c>
      <c r="H770" s="122" t="s">
        <v>777</v>
      </c>
      <c r="I770" s="312">
        <v>2023</v>
      </c>
      <c r="J770" s="122" t="s">
        <v>709</v>
      </c>
      <c r="K770" s="283">
        <v>4619</v>
      </c>
      <c r="L770" s="318">
        <v>-33.977142000000001</v>
      </c>
      <c r="M770" s="318">
        <v>151.03053299999999</v>
      </c>
      <c r="O770">
        <f>INDEX('MEC - traffic congestion'!$M$145:$M$249,MATCH($D770,'MEC - traffic congestion'!$C$145:$C$249,0))</f>
        <v>1</v>
      </c>
      <c r="P770" t="str">
        <f t="shared" si="29"/>
        <v>2023AM PEAK</v>
      </c>
      <c r="Q770">
        <f t="shared" si="30"/>
        <v>1</v>
      </c>
      <c r="R770" s="195" t="str">
        <f t="shared" si="31"/>
        <v>2023LIGHT VEHICLES</v>
      </c>
    </row>
    <row r="771" spans="3:18" x14ac:dyDescent="0.25">
      <c r="C771" s="294" t="s">
        <v>820</v>
      </c>
      <c r="D771" s="317">
        <v>42001</v>
      </c>
      <c r="E771" s="122" t="s">
        <v>821</v>
      </c>
      <c r="F771" s="122" t="s">
        <v>822</v>
      </c>
      <c r="G771" s="122" t="s">
        <v>778</v>
      </c>
      <c r="H771" s="122" t="s">
        <v>777</v>
      </c>
      <c r="I771" s="312">
        <v>2023</v>
      </c>
      <c r="J771" s="122" t="s">
        <v>709</v>
      </c>
      <c r="K771" s="283">
        <v>2807</v>
      </c>
      <c r="L771" s="318">
        <v>-33.977142000000001</v>
      </c>
      <c r="M771" s="318">
        <v>151.03053299999999</v>
      </c>
      <c r="O771">
        <f>INDEX('MEC - traffic congestion'!$M$145:$M$249,MATCH($D771,'MEC - traffic congestion'!$C$145:$C$249,0))</f>
        <v>1</v>
      </c>
      <c r="P771" t="str">
        <f t="shared" si="29"/>
        <v>2023AM PEAK</v>
      </c>
      <c r="Q771">
        <f t="shared" si="30"/>
        <v>1</v>
      </c>
      <c r="R771" s="195" t="str">
        <f t="shared" si="31"/>
        <v>2023LIGHT VEHICLES</v>
      </c>
    </row>
    <row r="772" spans="3:18" x14ac:dyDescent="0.25">
      <c r="C772" s="294" t="s">
        <v>820</v>
      </c>
      <c r="D772" s="317">
        <v>42001</v>
      </c>
      <c r="E772" s="122" t="s">
        <v>821</v>
      </c>
      <c r="F772" s="122" t="s">
        <v>822</v>
      </c>
      <c r="G772" s="122" t="s">
        <v>776</v>
      </c>
      <c r="H772" s="122" t="s">
        <v>777</v>
      </c>
      <c r="I772" s="312">
        <v>2023</v>
      </c>
      <c r="J772" s="122" t="s">
        <v>710</v>
      </c>
      <c r="K772" s="283">
        <v>5835</v>
      </c>
      <c r="L772" s="318">
        <v>-33.977142000000001</v>
      </c>
      <c r="M772" s="318">
        <v>151.03053299999999</v>
      </c>
      <c r="O772">
        <f>INDEX('MEC - traffic congestion'!$M$145:$M$249,MATCH($D772,'MEC - traffic congestion'!$C$145:$C$249,0))</f>
        <v>1</v>
      </c>
      <c r="P772" t="str">
        <f t="shared" si="29"/>
        <v>2023OFF PEAK</v>
      </c>
      <c r="Q772">
        <f t="shared" si="30"/>
        <v>1</v>
      </c>
      <c r="R772" s="195" t="str">
        <f t="shared" si="31"/>
        <v>2023LIGHT VEHICLES</v>
      </c>
    </row>
    <row r="773" spans="3:18" x14ac:dyDescent="0.25">
      <c r="C773" s="294" t="s">
        <v>820</v>
      </c>
      <c r="D773" s="317">
        <v>42001</v>
      </c>
      <c r="E773" s="122" t="s">
        <v>821</v>
      </c>
      <c r="F773" s="122" t="s">
        <v>822</v>
      </c>
      <c r="G773" s="122" t="s">
        <v>778</v>
      </c>
      <c r="H773" s="122" t="s">
        <v>777</v>
      </c>
      <c r="I773" s="312">
        <v>2023</v>
      </c>
      <c r="J773" s="122" t="s">
        <v>710</v>
      </c>
      <c r="K773" s="283">
        <v>4798</v>
      </c>
      <c r="L773" s="318">
        <v>-33.977142000000001</v>
      </c>
      <c r="M773" s="318">
        <v>151.03053299999999</v>
      </c>
      <c r="O773">
        <f>INDEX('MEC - traffic congestion'!$M$145:$M$249,MATCH($D773,'MEC - traffic congestion'!$C$145:$C$249,0))</f>
        <v>1</v>
      </c>
      <c r="P773" t="str">
        <f t="shared" si="29"/>
        <v>2023OFF PEAK</v>
      </c>
      <c r="Q773">
        <f t="shared" si="30"/>
        <v>1</v>
      </c>
      <c r="R773" s="195" t="str">
        <f t="shared" si="31"/>
        <v>2023LIGHT VEHICLES</v>
      </c>
    </row>
    <row r="774" spans="3:18" x14ac:dyDescent="0.25">
      <c r="C774" s="294" t="s">
        <v>820</v>
      </c>
      <c r="D774" s="317">
        <v>42001</v>
      </c>
      <c r="E774" s="122" t="s">
        <v>821</v>
      </c>
      <c r="F774" s="122" t="s">
        <v>822</v>
      </c>
      <c r="G774" s="122" t="s">
        <v>776</v>
      </c>
      <c r="H774" s="122" t="s">
        <v>777</v>
      </c>
      <c r="I774" s="312">
        <v>2023</v>
      </c>
      <c r="J774" s="122" t="s">
        <v>711</v>
      </c>
      <c r="K774" s="283">
        <v>2869</v>
      </c>
      <c r="L774" s="318">
        <v>-33.977142000000001</v>
      </c>
      <c r="M774" s="318">
        <v>151.03053299999999</v>
      </c>
      <c r="O774">
        <f>INDEX('MEC - traffic congestion'!$M$145:$M$249,MATCH($D774,'MEC - traffic congestion'!$C$145:$C$249,0))</f>
        <v>1</v>
      </c>
      <c r="P774" t="str">
        <f t="shared" si="29"/>
        <v>2023PM PEAK</v>
      </c>
      <c r="Q774">
        <f t="shared" si="30"/>
        <v>1</v>
      </c>
      <c r="R774" s="195" t="str">
        <f t="shared" si="31"/>
        <v>2023LIGHT VEHICLES</v>
      </c>
    </row>
    <row r="775" spans="3:18" x14ac:dyDescent="0.25">
      <c r="C775" s="294" t="s">
        <v>820</v>
      </c>
      <c r="D775" s="317">
        <v>42001</v>
      </c>
      <c r="E775" s="122" t="s">
        <v>821</v>
      </c>
      <c r="F775" s="122" t="s">
        <v>822</v>
      </c>
      <c r="G775" s="122" t="s">
        <v>778</v>
      </c>
      <c r="H775" s="122" t="s">
        <v>777</v>
      </c>
      <c r="I775" s="312">
        <v>2023</v>
      </c>
      <c r="J775" s="122" t="s">
        <v>711</v>
      </c>
      <c r="K775" s="283">
        <v>4511</v>
      </c>
      <c r="L775" s="318">
        <v>-33.977142000000001</v>
      </c>
      <c r="M775" s="318">
        <v>151.03053299999999</v>
      </c>
      <c r="O775">
        <f>INDEX('MEC - traffic congestion'!$M$145:$M$249,MATCH($D775,'MEC - traffic congestion'!$C$145:$C$249,0))</f>
        <v>1</v>
      </c>
      <c r="P775" t="str">
        <f t="shared" si="29"/>
        <v>2023PM PEAK</v>
      </c>
      <c r="Q775">
        <f t="shared" si="30"/>
        <v>1</v>
      </c>
      <c r="R775" s="195" t="str">
        <f t="shared" si="31"/>
        <v>2023LIGHT VEHICLES</v>
      </c>
    </row>
    <row r="776" spans="3:18" x14ac:dyDescent="0.25">
      <c r="C776" s="294" t="s">
        <v>820</v>
      </c>
      <c r="D776" s="317">
        <v>42001</v>
      </c>
      <c r="E776" s="122" t="s">
        <v>821</v>
      </c>
      <c r="F776" s="122" t="s">
        <v>822</v>
      </c>
      <c r="G776" s="122" t="s">
        <v>776</v>
      </c>
      <c r="H776" s="122" t="s">
        <v>777</v>
      </c>
      <c r="I776" s="312">
        <v>2023</v>
      </c>
      <c r="J776" s="122" t="s">
        <v>713</v>
      </c>
      <c r="K776" s="283">
        <v>8685</v>
      </c>
      <c r="L776" s="318">
        <v>-33.977142000000001</v>
      </c>
      <c r="M776" s="318">
        <v>151.03053299999999</v>
      </c>
      <c r="O776">
        <f>INDEX('MEC - traffic congestion'!$M$145:$M$249,MATCH($D776,'MEC - traffic congestion'!$C$145:$C$249,0))</f>
        <v>1</v>
      </c>
      <c r="P776" t="str">
        <f t="shared" si="29"/>
        <v>2023WEEKENDS</v>
      </c>
      <c r="Q776">
        <f t="shared" si="30"/>
        <v>1</v>
      </c>
      <c r="R776" s="195" t="str">
        <f t="shared" si="31"/>
        <v>2023LIGHT VEHICLES</v>
      </c>
    </row>
    <row r="777" spans="3:18" x14ac:dyDescent="0.25">
      <c r="C777" s="294" t="s">
        <v>820</v>
      </c>
      <c r="D777" s="317">
        <v>42001</v>
      </c>
      <c r="E777" s="122" t="s">
        <v>821</v>
      </c>
      <c r="F777" s="122" t="s">
        <v>822</v>
      </c>
      <c r="G777" s="122" t="s">
        <v>778</v>
      </c>
      <c r="H777" s="122" t="s">
        <v>777</v>
      </c>
      <c r="I777" s="312">
        <v>2023</v>
      </c>
      <c r="J777" s="122" t="s">
        <v>713</v>
      </c>
      <c r="K777" s="283">
        <v>8666</v>
      </c>
      <c r="L777" s="318">
        <v>-33.977142000000001</v>
      </c>
      <c r="M777" s="318">
        <v>151.03053299999999</v>
      </c>
      <c r="O777">
        <f>INDEX('MEC - traffic congestion'!$M$145:$M$249,MATCH($D777,'MEC - traffic congestion'!$C$145:$C$249,0))</f>
        <v>1</v>
      </c>
      <c r="P777" t="str">
        <f t="shared" si="29"/>
        <v>2023WEEKENDS</v>
      </c>
      <c r="Q777">
        <f t="shared" si="30"/>
        <v>1</v>
      </c>
      <c r="R777" s="195" t="str">
        <f t="shared" si="31"/>
        <v>2023LIGHT VEHICLES</v>
      </c>
    </row>
    <row r="778" spans="3:18" x14ac:dyDescent="0.25">
      <c r="C778" s="294" t="s">
        <v>823</v>
      </c>
      <c r="D778" s="317">
        <v>50231</v>
      </c>
      <c r="E778" s="122" t="s">
        <v>824</v>
      </c>
      <c r="F778" s="122" t="s">
        <v>825</v>
      </c>
      <c r="G778" s="122" t="s">
        <v>776</v>
      </c>
      <c r="H778" s="122" t="s">
        <v>777</v>
      </c>
      <c r="I778" s="312">
        <v>2018</v>
      </c>
      <c r="J778" s="122" t="s">
        <v>709</v>
      </c>
      <c r="K778" s="283">
        <v>3427</v>
      </c>
      <c r="L778" s="318">
        <v>-33.789279999999998</v>
      </c>
      <c r="M778" s="318">
        <v>151.062759</v>
      </c>
      <c r="O778">
        <f>INDEX('MEC - traffic congestion'!$M$145:$M$249,MATCH($D778,'MEC - traffic congestion'!$C$145:$C$249,0))</f>
        <v>0</v>
      </c>
      <c r="P778" t="str">
        <f t="shared" si="29"/>
        <v/>
      </c>
      <c r="Q778">
        <f t="shared" si="30"/>
        <v>1</v>
      </c>
      <c r="R778" s="195" t="str">
        <f t="shared" si="31"/>
        <v/>
      </c>
    </row>
    <row r="779" spans="3:18" x14ac:dyDescent="0.25">
      <c r="C779" s="294" t="s">
        <v>823</v>
      </c>
      <c r="D779" s="317">
        <v>50231</v>
      </c>
      <c r="E779" s="122" t="s">
        <v>824</v>
      </c>
      <c r="F779" s="122" t="s">
        <v>825</v>
      </c>
      <c r="G779" s="122" t="s">
        <v>778</v>
      </c>
      <c r="H779" s="122" t="s">
        <v>777</v>
      </c>
      <c r="I779" s="312">
        <v>2018</v>
      </c>
      <c r="J779" s="122" t="s">
        <v>709</v>
      </c>
      <c r="K779" s="283">
        <v>2963</v>
      </c>
      <c r="L779" s="318">
        <v>-33.789279999999998</v>
      </c>
      <c r="M779" s="318">
        <v>151.062759</v>
      </c>
      <c r="O779">
        <f>INDEX('MEC - traffic congestion'!$M$145:$M$249,MATCH($D779,'MEC - traffic congestion'!$C$145:$C$249,0))</f>
        <v>0</v>
      </c>
      <c r="P779" t="str">
        <f t="shared" si="29"/>
        <v/>
      </c>
      <c r="Q779">
        <f t="shared" si="30"/>
        <v>1</v>
      </c>
      <c r="R779" s="195" t="str">
        <f t="shared" si="31"/>
        <v/>
      </c>
    </row>
    <row r="780" spans="3:18" x14ac:dyDescent="0.25">
      <c r="C780" s="294" t="s">
        <v>823</v>
      </c>
      <c r="D780" s="317">
        <v>50231</v>
      </c>
      <c r="E780" s="122" t="s">
        <v>824</v>
      </c>
      <c r="F780" s="122" t="s">
        <v>825</v>
      </c>
      <c r="G780" s="122" t="s">
        <v>776</v>
      </c>
      <c r="H780" s="122" t="s">
        <v>777</v>
      </c>
      <c r="I780" s="312">
        <v>2018</v>
      </c>
      <c r="J780" s="122" t="s">
        <v>710</v>
      </c>
      <c r="K780" s="283">
        <v>5548</v>
      </c>
      <c r="L780" s="318">
        <v>-33.789279999999998</v>
      </c>
      <c r="M780" s="318">
        <v>151.062759</v>
      </c>
      <c r="O780">
        <f>INDEX('MEC - traffic congestion'!$M$145:$M$249,MATCH($D780,'MEC - traffic congestion'!$C$145:$C$249,0))</f>
        <v>0</v>
      </c>
      <c r="P780" t="str">
        <f t="shared" si="29"/>
        <v/>
      </c>
      <c r="Q780">
        <f t="shared" si="30"/>
        <v>1</v>
      </c>
      <c r="R780" s="195" t="str">
        <f t="shared" si="31"/>
        <v/>
      </c>
    </row>
    <row r="781" spans="3:18" x14ac:dyDescent="0.25">
      <c r="C781" s="294" t="s">
        <v>823</v>
      </c>
      <c r="D781" s="317">
        <v>50231</v>
      </c>
      <c r="E781" s="122" t="s">
        <v>824</v>
      </c>
      <c r="F781" s="122" t="s">
        <v>825</v>
      </c>
      <c r="G781" s="122" t="s">
        <v>778</v>
      </c>
      <c r="H781" s="122" t="s">
        <v>777</v>
      </c>
      <c r="I781" s="312">
        <v>2018</v>
      </c>
      <c r="J781" s="122" t="s">
        <v>710</v>
      </c>
      <c r="K781" s="283">
        <v>6330</v>
      </c>
      <c r="L781" s="318">
        <v>-33.789279999999998</v>
      </c>
      <c r="M781" s="318">
        <v>151.062759</v>
      </c>
      <c r="O781">
        <f>INDEX('MEC - traffic congestion'!$M$145:$M$249,MATCH($D781,'MEC - traffic congestion'!$C$145:$C$249,0))</f>
        <v>0</v>
      </c>
      <c r="P781" t="str">
        <f t="shared" si="29"/>
        <v/>
      </c>
      <c r="Q781">
        <f t="shared" si="30"/>
        <v>1</v>
      </c>
      <c r="R781" s="195" t="str">
        <f t="shared" si="31"/>
        <v/>
      </c>
    </row>
    <row r="782" spans="3:18" x14ac:dyDescent="0.25">
      <c r="C782" s="294" t="s">
        <v>823</v>
      </c>
      <c r="D782" s="317">
        <v>50231</v>
      </c>
      <c r="E782" s="122" t="s">
        <v>824</v>
      </c>
      <c r="F782" s="122" t="s">
        <v>825</v>
      </c>
      <c r="G782" s="122" t="s">
        <v>776</v>
      </c>
      <c r="H782" s="122" t="s">
        <v>777</v>
      </c>
      <c r="I782" s="312">
        <v>2018</v>
      </c>
      <c r="J782" s="122" t="s">
        <v>711</v>
      </c>
      <c r="K782" s="283">
        <v>2763</v>
      </c>
      <c r="L782" s="318">
        <v>-33.789279999999998</v>
      </c>
      <c r="M782" s="318">
        <v>151.062759</v>
      </c>
      <c r="O782">
        <f>INDEX('MEC - traffic congestion'!$M$145:$M$249,MATCH($D782,'MEC - traffic congestion'!$C$145:$C$249,0))</f>
        <v>0</v>
      </c>
      <c r="P782" t="str">
        <f t="shared" si="29"/>
        <v/>
      </c>
      <c r="Q782">
        <f t="shared" si="30"/>
        <v>1</v>
      </c>
      <c r="R782" s="195" t="str">
        <f t="shared" si="31"/>
        <v/>
      </c>
    </row>
    <row r="783" spans="3:18" x14ac:dyDescent="0.25">
      <c r="C783" s="294" t="s">
        <v>823</v>
      </c>
      <c r="D783" s="317">
        <v>50231</v>
      </c>
      <c r="E783" s="122" t="s">
        <v>824</v>
      </c>
      <c r="F783" s="122" t="s">
        <v>825</v>
      </c>
      <c r="G783" s="122" t="s">
        <v>778</v>
      </c>
      <c r="H783" s="122" t="s">
        <v>777</v>
      </c>
      <c r="I783" s="312">
        <v>2018</v>
      </c>
      <c r="J783" s="122" t="s">
        <v>711</v>
      </c>
      <c r="K783" s="283">
        <v>4050</v>
      </c>
      <c r="L783" s="318">
        <v>-33.789279999999998</v>
      </c>
      <c r="M783" s="318">
        <v>151.062759</v>
      </c>
      <c r="O783">
        <f>INDEX('MEC - traffic congestion'!$M$145:$M$249,MATCH($D783,'MEC - traffic congestion'!$C$145:$C$249,0))</f>
        <v>0</v>
      </c>
      <c r="P783" t="str">
        <f t="shared" si="29"/>
        <v/>
      </c>
      <c r="Q783">
        <f t="shared" si="30"/>
        <v>1</v>
      </c>
      <c r="R783" s="195" t="str">
        <f t="shared" si="31"/>
        <v/>
      </c>
    </row>
    <row r="784" spans="3:18" x14ac:dyDescent="0.25">
      <c r="C784" s="294" t="s">
        <v>823</v>
      </c>
      <c r="D784" s="317">
        <v>50231</v>
      </c>
      <c r="E784" s="122" t="s">
        <v>824</v>
      </c>
      <c r="F784" s="122" t="s">
        <v>825</v>
      </c>
      <c r="G784" s="122" t="s">
        <v>776</v>
      </c>
      <c r="H784" s="122" t="s">
        <v>777</v>
      </c>
      <c r="I784" s="312">
        <v>2018</v>
      </c>
      <c r="J784" s="122" t="s">
        <v>712</v>
      </c>
      <c r="K784" s="283">
        <v>9853</v>
      </c>
      <c r="L784" s="318">
        <v>-33.789279999999998</v>
      </c>
      <c r="M784" s="318">
        <v>151.062759</v>
      </c>
      <c r="O784">
        <f>INDEX('MEC - traffic congestion'!$M$145:$M$249,MATCH($D784,'MEC - traffic congestion'!$C$145:$C$249,0))</f>
        <v>0</v>
      </c>
      <c r="P784" t="str">
        <f t="shared" si="29"/>
        <v/>
      </c>
      <c r="Q784">
        <f t="shared" si="30"/>
        <v>1</v>
      </c>
      <c r="R784" s="195" t="str">
        <f t="shared" si="31"/>
        <v/>
      </c>
    </row>
    <row r="785" spans="3:18" x14ac:dyDescent="0.25">
      <c r="C785" s="294" t="s">
        <v>823</v>
      </c>
      <c r="D785" s="317">
        <v>50231</v>
      </c>
      <c r="E785" s="122" t="s">
        <v>824</v>
      </c>
      <c r="F785" s="122" t="s">
        <v>825</v>
      </c>
      <c r="G785" s="122" t="s">
        <v>778</v>
      </c>
      <c r="H785" s="122" t="s">
        <v>777</v>
      </c>
      <c r="I785" s="312">
        <v>2018</v>
      </c>
      <c r="J785" s="122" t="s">
        <v>712</v>
      </c>
      <c r="K785" s="283">
        <v>10142</v>
      </c>
      <c r="L785" s="318">
        <v>-33.789279999999998</v>
      </c>
      <c r="M785" s="318">
        <v>151.062759</v>
      </c>
      <c r="O785">
        <f>INDEX('MEC - traffic congestion'!$M$145:$M$249,MATCH($D785,'MEC - traffic congestion'!$C$145:$C$249,0))</f>
        <v>0</v>
      </c>
      <c r="P785" t="str">
        <f t="shared" si="29"/>
        <v/>
      </c>
      <c r="Q785">
        <f t="shared" si="30"/>
        <v>1</v>
      </c>
      <c r="R785" s="195" t="str">
        <f t="shared" si="31"/>
        <v/>
      </c>
    </row>
    <row r="786" spans="3:18" x14ac:dyDescent="0.25">
      <c r="C786" s="294" t="s">
        <v>823</v>
      </c>
      <c r="D786" s="317">
        <v>50231</v>
      </c>
      <c r="E786" s="122" t="s">
        <v>824</v>
      </c>
      <c r="F786" s="122" t="s">
        <v>825</v>
      </c>
      <c r="G786" s="122" t="s">
        <v>776</v>
      </c>
      <c r="H786" s="122" t="s">
        <v>777</v>
      </c>
      <c r="I786" s="312">
        <v>2018</v>
      </c>
      <c r="J786" s="122" t="s">
        <v>713</v>
      </c>
      <c r="K786" s="283">
        <v>12032</v>
      </c>
      <c r="L786" s="318">
        <v>-33.789279999999998</v>
      </c>
      <c r="M786" s="318">
        <v>151.062759</v>
      </c>
      <c r="O786">
        <f>INDEX('MEC - traffic congestion'!$M$145:$M$249,MATCH($D786,'MEC - traffic congestion'!$C$145:$C$249,0))</f>
        <v>0</v>
      </c>
      <c r="P786" t="str">
        <f t="shared" si="29"/>
        <v/>
      </c>
      <c r="Q786">
        <f t="shared" si="30"/>
        <v>1</v>
      </c>
      <c r="R786" s="195" t="str">
        <f t="shared" si="31"/>
        <v/>
      </c>
    </row>
    <row r="787" spans="3:18" x14ac:dyDescent="0.25">
      <c r="C787" s="294" t="s">
        <v>823</v>
      </c>
      <c r="D787" s="317">
        <v>50231</v>
      </c>
      <c r="E787" s="122" t="s">
        <v>824</v>
      </c>
      <c r="F787" s="122" t="s">
        <v>825</v>
      </c>
      <c r="G787" s="122" t="s">
        <v>778</v>
      </c>
      <c r="H787" s="122" t="s">
        <v>777</v>
      </c>
      <c r="I787" s="312">
        <v>2018</v>
      </c>
      <c r="J787" s="122" t="s">
        <v>713</v>
      </c>
      <c r="K787" s="283">
        <v>12763</v>
      </c>
      <c r="L787" s="318">
        <v>-33.789279999999998</v>
      </c>
      <c r="M787" s="318">
        <v>151.062759</v>
      </c>
      <c r="O787">
        <f>INDEX('MEC - traffic congestion'!$M$145:$M$249,MATCH($D787,'MEC - traffic congestion'!$C$145:$C$249,0))</f>
        <v>0</v>
      </c>
      <c r="P787" t="str">
        <f t="shared" si="29"/>
        <v/>
      </c>
      <c r="Q787">
        <f t="shared" si="30"/>
        <v>1</v>
      </c>
      <c r="R787" s="195" t="str">
        <f t="shared" si="31"/>
        <v/>
      </c>
    </row>
    <row r="788" spans="3:18" x14ac:dyDescent="0.25">
      <c r="C788" s="294" t="s">
        <v>823</v>
      </c>
      <c r="D788" s="317">
        <v>50231</v>
      </c>
      <c r="E788" s="122" t="s">
        <v>824</v>
      </c>
      <c r="F788" s="122" t="s">
        <v>825</v>
      </c>
      <c r="G788" s="122" t="s">
        <v>776</v>
      </c>
      <c r="H788" s="122" t="s">
        <v>777</v>
      </c>
      <c r="I788" s="312">
        <v>2019</v>
      </c>
      <c r="J788" s="122" t="s">
        <v>709</v>
      </c>
      <c r="K788" s="283">
        <v>3261</v>
      </c>
      <c r="L788" s="318">
        <v>-33.789279999999998</v>
      </c>
      <c r="M788" s="318">
        <v>151.062759</v>
      </c>
      <c r="O788">
        <f>INDEX('MEC - traffic congestion'!$M$145:$M$249,MATCH($D788,'MEC - traffic congestion'!$C$145:$C$249,0))</f>
        <v>0</v>
      </c>
      <c r="P788" t="str">
        <f t="shared" si="29"/>
        <v/>
      </c>
      <c r="Q788">
        <f t="shared" si="30"/>
        <v>1</v>
      </c>
      <c r="R788" s="195" t="str">
        <f t="shared" si="31"/>
        <v/>
      </c>
    </row>
    <row r="789" spans="3:18" x14ac:dyDescent="0.25">
      <c r="C789" s="294" t="s">
        <v>823</v>
      </c>
      <c r="D789" s="317">
        <v>50231</v>
      </c>
      <c r="E789" s="122" t="s">
        <v>824</v>
      </c>
      <c r="F789" s="122" t="s">
        <v>825</v>
      </c>
      <c r="G789" s="122" t="s">
        <v>778</v>
      </c>
      <c r="H789" s="122" t="s">
        <v>777</v>
      </c>
      <c r="I789" s="312">
        <v>2019</v>
      </c>
      <c r="J789" s="122" t="s">
        <v>709</v>
      </c>
      <c r="K789" s="283">
        <v>2874</v>
      </c>
      <c r="L789" s="318">
        <v>-33.789279999999998</v>
      </c>
      <c r="M789" s="318">
        <v>151.062759</v>
      </c>
      <c r="O789">
        <f>INDEX('MEC - traffic congestion'!$M$145:$M$249,MATCH($D789,'MEC - traffic congestion'!$C$145:$C$249,0))</f>
        <v>0</v>
      </c>
      <c r="P789" t="str">
        <f t="shared" ref="P789:P852" si="32">IF($O789=1,$I789&amp;$J789,"")</f>
        <v/>
      </c>
      <c r="Q789">
        <f t="shared" ref="Q789:Q852" si="33">IF(AND($M789&gt;150.246,AND($L789&gt;-34.397,$L789&lt;-32.662)),1,0)</f>
        <v>1</v>
      </c>
      <c r="R789" s="195" t="str">
        <f t="shared" ref="R789:R852" si="34">IF($O789=1,$I789&amp;$H789,"")</f>
        <v/>
      </c>
    </row>
    <row r="790" spans="3:18" x14ac:dyDescent="0.25">
      <c r="C790" s="294" t="s">
        <v>823</v>
      </c>
      <c r="D790" s="317">
        <v>50231</v>
      </c>
      <c r="E790" s="122" t="s">
        <v>824</v>
      </c>
      <c r="F790" s="122" t="s">
        <v>825</v>
      </c>
      <c r="G790" s="122" t="s">
        <v>776</v>
      </c>
      <c r="H790" s="122" t="s">
        <v>777</v>
      </c>
      <c r="I790" s="312">
        <v>2019</v>
      </c>
      <c r="J790" s="122" t="s">
        <v>710</v>
      </c>
      <c r="K790" s="283">
        <v>5455</v>
      </c>
      <c r="L790" s="318">
        <v>-33.789279999999998</v>
      </c>
      <c r="M790" s="318">
        <v>151.062759</v>
      </c>
      <c r="O790">
        <f>INDEX('MEC - traffic congestion'!$M$145:$M$249,MATCH($D790,'MEC - traffic congestion'!$C$145:$C$249,0))</f>
        <v>0</v>
      </c>
      <c r="P790" t="str">
        <f t="shared" si="32"/>
        <v/>
      </c>
      <c r="Q790">
        <f t="shared" si="33"/>
        <v>1</v>
      </c>
      <c r="R790" s="195" t="str">
        <f t="shared" si="34"/>
        <v/>
      </c>
    </row>
    <row r="791" spans="3:18" x14ac:dyDescent="0.25">
      <c r="C791" s="294" t="s">
        <v>823</v>
      </c>
      <c r="D791" s="317">
        <v>50231</v>
      </c>
      <c r="E791" s="122" t="s">
        <v>824</v>
      </c>
      <c r="F791" s="122" t="s">
        <v>825</v>
      </c>
      <c r="G791" s="122" t="s">
        <v>778</v>
      </c>
      <c r="H791" s="122" t="s">
        <v>777</v>
      </c>
      <c r="I791" s="312">
        <v>2019</v>
      </c>
      <c r="J791" s="122" t="s">
        <v>710</v>
      </c>
      <c r="K791" s="283">
        <v>6294</v>
      </c>
      <c r="L791" s="318">
        <v>-33.789279999999998</v>
      </c>
      <c r="M791" s="318">
        <v>151.062759</v>
      </c>
      <c r="O791">
        <f>INDEX('MEC - traffic congestion'!$M$145:$M$249,MATCH($D791,'MEC - traffic congestion'!$C$145:$C$249,0))</f>
        <v>0</v>
      </c>
      <c r="P791" t="str">
        <f t="shared" si="32"/>
        <v/>
      </c>
      <c r="Q791">
        <f t="shared" si="33"/>
        <v>1</v>
      </c>
      <c r="R791" s="195" t="str">
        <f t="shared" si="34"/>
        <v/>
      </c>
    </row>
    <row r="792" spans="3:18" x14ac:dyDescent="0.25">
      <c r="C792" s="294" t="s">
        <v>823</v>
      </c>
      <c r="D792" s="317">
        <v>50231</v>
      </c>
      <c r="E792" s="122" t="s">
        <v>824</v>
      </c>
      <c r="F792" s="122" t="s">
        <v>825</v>
      </c>
      <c r="G792" s="122" t="s">
        <v>776</v>
      </c>
      <c r="H792" s="122" t="s">
        <v>777</v>
      </c>
      <c r="I792" s="312">
        <v>2019</v>
      </c>
      <c r="J792" s="122" t="s">
        <v>711</v>
      </c>
      <c r="K792" s="283">
        <v>2628</v>
      </c>
      <c r="L792" s="318">
        <v>-33.789279999999998</v>
      </c>
      <c r="M792" s="318">
        <v>151.062759</v>
      </c>
      <c r="O792">
        <f>INDEX('MEC - traffic congestion'!$M$145:$M$249,MATCH($D792,'MEC - traffic congestion'!$C$145:$C$249,0))</f>
        <v>0</v>
      </c>
      <c r="P792" t="str">
        <f t="shared" si="32"/>
        <v/>
      </c>
      <c r="Q792">
        <f t="shared" si="33"/>
        <v>1</v>
      </c>
      <c r="R792" s="195" t="str">
        <f t="shared" si="34"/>
        <v/>
      </c>
    </row>
    <row r="793" spans="3:18" x14ac:dyDescent="0.25">
      <c r="C793" s="294" t="s">
        <v>823</v>
      </c>
      <c r="D793" s="317">
        <v>50231</v>
      </c>
      <c r="E793" s="122" t="s">
        <v>824</v>
      </c>
      <c r="F793" s="122" t="s">
        <v>825</v>
      </c>
      <c r="G793" s="122" t="s">
        <v>778</v>
      </c>
      <c r="H793" s="122" t="s">
        <v>777</v>
      </c>
      <c r="I793" s="312">
        <v>2019</v>
      </c>
      <c r="J793" s="122" t="s">
        <v>711</v>
      </c>
      <c r="K793" s="283">
        <v>3892</v>
      </c>
      <c r="L793" s="318">
        <v>-33.789279999999998</v>
      </c>
      <c r="M793" s="318">
        <v>151.062759</v>
      </c>
      <c r="O793">
        <f>INDEX('MEC - traffic congestion'!$M$145:$M$249,MATCH($D793,'MEC - traffic congestion'!$C$145:$C$249,0))</f>
        <v>0</v>
      </c>
      <c r="P793" t="str">
        <f t="shared" si="32"/>
        <v/>
      </c>
      <c r="Q793">
        <f t="shared" si="33"/>
        <v>1</v>
      </c>
      <c r="R793" s="195" t="str">
        <f t="shared" si="34"/>
        <v/>
      </c>
    </row>
    <row r="794" spans="3:18" x14ac:dyDescent="0.25">
      <c r="C794" s="294" t="s">
        <v>823</v>
      </c>
      <c r="D794" s="317">
        <v>50231</v>
      </c>
      <c r="E794" s="122" t="s">
        <v>824</v>
      </c>
      <c r="F794" s="122" t="s">
        <v>825</v>
      </c>
      <c r="G794" s="122" t="s">
        <v>776</v>
      </c>
      <c r="H794" s="122" t="s">
        <v>777</v>
      </c>
      <c r="I794" s="312">
        <v>2019</v>
      </c>
      <c r="J794" s="122" t="s">
        <v>712</v>
      </c>
      <c r="K794" s="283">
        <v>9452</v>
      </c>
      <c r="L794" s="318">
        <v>-33.789279999999998</v>
      </c>
      <c r="M794" s="318">
        <v>151.062759</v>
      </c>
      <c r="O794">
        <f>INDEX('MEC - traffic congestion'!$M$145:$M$249,MATCH($D794,'MEC - traffic congestion'!$C$145:$C$249,0))</f>
        <v>0</v>
      </c>
      <c r="P794" t="str">
        <f t="shared" si="32"/>
        <v/>
      </c>
      <c r="Q794">
        <f t="shared" si="33"/>
        <v>1</v>
      </c>
      <c r="R794" s="195" t="str">
        <f t="shared" si="34"/>
        <v/>
      </c>
    </row>
    <row r="795" spans="3:18" x14ac:dyDescent="0.25">
      <c r="C795" s="294" t="s">
        <v>823</v>
      </c>
      <c r="D795" s="317">
        <v>50231</v>
      </c>
      <c r="E795" s="122" t="s">
        <v>824</v>
      </c>
      <c r="F795" s="122" t="s">
        <v>825</v>
      </c>
      <c r="G795" s="122" t="s">
        <v>778</v>
      </c>
      <c r="H795" s="122" t="s">
        <v>777</v>
      </c>
      <c r="I795" s="312">
        <v>2019</v>
      </c>
      <c r="J795" s="122" t="s">
        <v>712</v>
      </c>
      <c r="K795" s="283">
        <v>10054</v>
      </c>
      <c r="L795" s="318">
        <v>-33.789279999999998</v>
      </c>
      <c r="M795" s="318">
        <v>151.062759</v>
      </c>
      <c r="O795">
        <f>INDEX('MEC - traffic congestion'!$M$145:$M$249,MATCH($D795,'MEC - traffic congestion'!$C$145:$C$249,0))</f>
        <v>0</v>
      </c>
      <c r="P795" t="str">
        <f t="shared" si="32"/>
        <v/>
      </c>
      <c r="Q795">
        <f t="shared" si="33"/>
        <v>1</v>
      </c>
      <c r="R795" s="195" t="str">
        <f t="shared" si="34"/>
        <v/>
      </c>
    </row>
    <row r="796" spans="3:18" x14ac:dyDescent="0.25">
      <c r="C796" s="294" t="s">
        <v>823</v>
      </c>
      <c r="D796" s="317">
        <v>50231</v>
      </c>
      <c r="E796" s="122" t="s">
        <v>824</v>
      </c>
      <c r="F796" s="122" t="s">
        <v>825</v>
      </c>
      <c r="G796" s="122" t="s">
        <v>776</v>
      </c>
      <c r="H796" s="122" t="s">
        <v>777</v>
      </c>
      <c r="I796" s="312">
        <v>2019</v>
      </c>
      <c r="J796" s="122" t="s">
        <v>713</v>
      </c>
      <c r="K796" s="283">
        <v>11669</v>
      </c>
      <c r="L796" s="318">
        <v>-33.789279999999998</v>
      </c>
      <c r="M796" s="318">
        <v>151.062759</v>
      </c>
      <c r="O796">
        <f>INDEX('MEC - traffic congestion'!$M$145:$M$249,MATCH($D796,'MEC - traffic congestion'!$C$145:$C$249,0))</f>
        <v>0</v>
      </c>
      <c r="P796" t="str">
        <f t="shared" si="32"/>
        <v/>
      </c>
      <c r="Q796">
        <f t="shared" si="33"/>
        <v>1</v>
      </c>
      <c r="R796" s="195" t="str">
        <f t="shared" si="34"/>
        <v/>
      </c>
    </row>
    <row r="797" spans="3:18" x14ac:dyDescent="0.25">
      <c r="C797" s="294" t="s">
        <v>823</v>
      </c>
      <c r="D797" s="317">
        <v>50231</v>
      </c>
      <c r="E797" s="122" t="s">
        <v>824</v>
      </c>
      <c r="F797" s="122" t="s">
        <v>825</v>
      </c>
      <c r="G797" s="122" t="s">
        <v>778</v>
      </c>
      <c r="H797" s="122" t="s">
        <v>777</v>
      </c>
      <c r="I797" s="312">
        <v>2019</v>
      </c>
      <c r="J797" s="122" t="s">
        <v>713</v>
      </c>
      <c r="K797" s="283">
        <v>12497</v>
      </c>
      <c r="L797" s="318">
        <v>-33.789279999999998</v>
      </c>
      <c r="M797" s="318">
        <v>151.062759</v>
      </c>
      <c r="O797">
        <f>INDEX('MEC - traffic congestion'!$M$145:$M$249,MATCH($D797,'MEC - traffic congestion'!$C$145:$C$249,0))</f>
        <v>0</v>
      </c>
      <c r="P797" t="str">
        <f t="shared" si="32"/>
        <v/>
      </c>
      <c r="Q797">
        <f t="shared" si="33"/>
        <v>1</v>
      </c>
      <c r="R797" s="195" t="str">
        <f t="shared" si="34"/>
        <v/>
      </c>
    </row>
    <row r="798" spans="3:18" x14ac:dyDescent="0.25">
      <c r="C798" s="294" t="s">
        <v>826</v>
      </c>
      <c r="D798" s="317">
        <v>50240</v>
      </c>
      <c r="E798" s="122" t="s">
        <v>827</v>
      </c>
      <c r="F798" s="122" t="s">
        <v>828</v>
      </c>
      <c r="G798" s="122" t="s">
        <v>785</v>
      </c>
      <c r="H798" s="122" t="s">
        <v>777</v>
      </c>
      <c r="I798" s="312">
        <v>2018</v>
      </c>
      <c r="J798" s="122" t="s">
        <v>709</v>
      </c>
      <c r="K798" s="283">
        <v>11059</v>
      </c>
      <c r="L798" s="318">
        <v>-33.796436</v>
      </c>
      <c r="M798" s="318">
        <v>150.987595</v>
      </c>
      <c r="O798">
        <f>INDEX('MEC - traffic congestion'!$M$145:$M$249,MATCH($D798,'MEC - traffic congestion'!$C$145:$C$249,0))</f>
        <v>1</v>
      </c>
      <c r="P798" t="str">
        <f t="shared" si="32"/>
        <v>2018AM PEAK</v>
      </c>
      <c r="Q798">
        <f t="shared" si="33"/>
        <v>1</v>
      </c>
      <c r="R798" s="195" t="str">
        <f t="shared" si="34"/>
        <v>2018LIGHT VEHICLES</v>
      </c>
    </row>
    <row r="799" spans="3:18" x14ac:dyDescent="0.25">
      <c r="C799" s="294" t="s">
        <v>826</v>
      </c>
      <c r="D799" s="317">
        <v>50240</v>
      </c>
      <c r="E799" s="122" t="s">
        <v>827</v>
      </c>
      <c r="F799" s="122" t="s">
        <v>828</v>
      </c>
      <c r="G799" s="122" t="s">
        <v>786</v>
      </c>
      <c r="H799" s="122" t="s">
        <v>777</v>
      </c>
      <c r="I799" s="312">
        <v>2018</v>
      </c>
      <c r="J799" s="122" t="s">
        <v>709</v>
      </c>
      <c r="K799" s="283">
        <v>8386</v>
      </c>
      <c r="L799" s="318">
        <v>-33.796436</v>
      </c>
      <c r="M799" s="318">
        <v>150.987595</v>
      </c>
      <c r="O799">
        <f>INDEX('MEC - traffic congestion'!$M$145:$M$249,MATCH($D799,'MEC - traffic congestion'!$C$145:$C$249,0))</f>
        <v>1</v>
      </c>
      <c r="P799" t="str">
        <f t="shared" si="32"/>
        <v>2018AM PEAK</v>
      </c>
      <c r="Q799">
        <f t="shared" si="33"/>
        <v>1</v>
      </c>
      <c r="R799" s="195" t="str">
        <f t="shared" si="34"/>
        <v>2018LIGHT VEHICLES</v>
      </c>
    </row>
    <row r="800" spans="3:18" x14ac:dyDescent="0.25">
      <c r="C800" s="294" t="s">
        <v>826</v>
      </c>
      <c r="D800" s="317">
        <v>50240</v>
      </c>
      <c r="E800" s="122" t="s">
        <v>827</v>
      </c>
      <c r="F800" s="122" t="s">
        <v>828</v>
      </c>
      <c r="G800" s="122" t="s">
        <v>785</v>
      </c>
      <c r="H800" s="122" t="s">
        <v>777</v>
      </c>
      <c r="I800" s="312">
        <v>2018</v>
      </c>
      <c r="J800" s="122" t="s">
        <v>710</v>
      </c>
      <c r="K800" s="283">
        <v>18532</v>
      </c>
      <c r="L800" s="318">
        <v>-33.796436</v>
      </c>
      <c r="M800" s="318">
        <v>150.987595</v>
      </c>
      <c r="O800">
        <f>INDEX('MEC - traffic congestion'!$M$145:$M$249,MATCH($D800,'MEC - traffic congestion'!$C$145:$C$249,0))</f>
        <v>1</v>
      </c>
      <c r="P800" t="str">
        <f t="shared" si="32"/>
        <v>2018OFF PEAK</v>
      </c>
      <c r="Q800">
        <f t="shared" si="33"/>
        <v>1</v>
      </c>
      <c r="R800" s="195" t="str">
        <f t="shared" si="34"/>
        <v>2018LIGHT VEHICLES</v>
      </c>
    </row>
    <row r="801" spans="3:18" x14ac:dyDescent="0.25">
      <c r="C801" s="294" t="s">
        <v>826</v>
      </c>
      <c r="D801" s="317">
        <v>50240</v>
      </c>
      <c r="E801" s="122" t="s">
        <v>827</v>
      </c>
      <c r="F801" s="122" t="s">
        <v>828</v>
      </c>
      <c r="G801" s="122" t="s">
        <v>786</v>
      </c>
      <c r="H801" s="122" t="s">
        <v>777</v>
      </c>
      <c r="I801" s="312">
        <v>2018</v>
      </c>
      <c r="J801" s="122" t="s">
        <v>710</v>
      </c>
      <c r="K801" s="283">
        <v>19623</v>
      </c>
      <c r="L801" s="318">
        <v>-33.796436</v>
      </c>
      <c r="M801" s="318">
        <v>150.987595</v>
      </c>
      <c r="O801">
        <f>INDEX('MEC - traffic congestion'!$M$145:$M$249,MATCH($D801,'MEC - traffic congestion'!$C$145:$C$249,0))</f>
        <v>1</v>
      </c>
      <c r="P801" t="str">
        <f t="shared" si="32"/>
        <v>2018OFF PEAK</v>
      </c>
      <c r="Q801">
        <f t="shared" si="33"/>
        <v>1</v>
      </c>
      <c r="R801" s="195" t="str">
        <f t="shared" si="34"/>
        <v>2018LIGHT VEHICLES</v>
      </c>
    </row>
    <row r="802" spans="3:18" x14ac:dyDescent="0.25">
      <c r="C802" s="294" t="s">
        <v>826</v>
      </c>
      <c r="D802" s="317">
        <v>50240</v>
      </c>
      <c r="E802" s="122" t="s">
        <v>827</v>
      </c>
      <c r="F802" s="122" t="s">
        <v>828</v>
      </c>
      <c r="G802" s="122" t="s">
        <v>785</v>
      </c>
      <c r="H802" s="122" t="s">
        <v>777</v>
      </c>
      <c r="I802" s="312">
        <v>2018</v>
      </c>
      <c r="J802" s="122" t="s">
        <v>711</v>
      </c>
      <c r="K802" s="283">
        <v>8812</v>
      </c>
      <c r="L802" s="318">
        <v>-33.796436</v>
      </c>
      <c r="M802" s="318">
        <v>150.987595</v>
      </c>
      <c r="O802">
        <f>INDEX('MEC - traffic congestion'!$M$145:$M$249,MATCH($D802,'MEC - traffic congestion'!$C$145:$C$249,0))</f>
        <v>1</v>
      </c>
      <c r="P802" t="str">
        <f t="shared" si="32"/>
        <v>2018PM PEAK</v>
      </c>
      <c r="Q802">
        <f t="shared" si="33"/>
        <v>1</v>
      </c>
      <c r="R802" s="195" t="str">
        <f t="shared" si="34"/>
        <v>2018LIGHT VEHICLES</v>
      </c>
    </row>
    <row r="803" spans="3:18" x14ac:dyDescent="0.25">
      <c r="C803" s="294" t="s">
        <v>826</v>
      </c>
      <c r="D803" s="317">
        <v>50240</v>
      </c>
      <c r="E803" s="122" t="s">
        <v>827</v>
      </c>
      <c r="F803" s="122" t="s">
        <v>828</v>
      </c>
      <c r="G803" s="122" t="s">
        <v>786</v>
      </c>
      <c r="H803" s="122" t="s">
        <v>777</v>
      </c>
      <c r="I803" s="312">
        <v>2018</v>
      </c>
      <c r="J803" s="122" t="s">
        <v>711</v>
      </c>
      <c r="K803" s="283">
        <v>10920</v>
      </c>
      <c r="L803" s="318">
        <v>-33.796436</v>
      </c>
      <c r="M803" s="318">
        <v>150.987595</v>
      </c>
      <c r="O803">
        <f>INDEX('MEC - traffic congestion'!$M$145:$M$249,MATCH($D803,'MEC - traffic congestion'!$C$145:$C$249,0))</f>
        <v>1</v>
      </c>
      <c r="P803" t="str">
        <f t="shared" si="32"/>
        <v>2018PM PEAK</v>
      </c>
      <c r="Q803">
        <f t="shared" si="33"/>
        <v>1</v>
      </c>
      <c r="R803" s="195" t="str">
        <f t="shared" si="34"/>
        <v>2018LIGHT VEHICLES</v>
      </c>
    </row>
    <row r="804" spans="3:18" x14ac:dyDescent="0.25">
      <c r="C804" s="294" t="s">
        <v>826</v>
      </c>
      <c r="D804" s="317">
        <v>50240</v>
      </c>
      <c r="E804" s="122" t="s">
        <v>827</v>
      </c>
      <c r="F804" s="122" t="s">
        <v>828</v>
      </c>
      <c r="G804" s="122" t="s">
        <v>785</v>
      </c>
      <c r="H804" s="122" t="s">
        <v>777</v>
      </c>
      <c r="I804" s="312">
        <v>2018</v>
      </c>
      <c r="J804" s="122" t="s">
        <v>712</v>
      </c>
      <c r="K804" s="283">
        <v>27544</v>
      </c>
      <c r="L804" s="318">
        <v>-33.796436</v>
      </c>
      <c r="M804" s="318">
        <v>150.987595</v>
      </c>
      <c r="O804">
        <f>INDEX('MEC - traffic congestion'!$M$145:$M$249,MATCH($D804,'MEC - traffic congestion'!$C$145:$C$249,0))</f>
        <v>1</v>
      </c>
      <c r="P804" t="str">
        <f t="shared" si="32"/>
        <v>2018PUBLIC HOLIDAYS</v>
      </c>
      <c r="Q804">
        <f t="shared" si="33"/>
        <v>1</v>
      </c>
      <c r="R804" s="195" t="str">
        <f t="shared" si="34"/>
        <v>2018LIGHT VEHICLES</v>
      </c>
    </row>
    <row r="805" spans="3:18" x14ac:dyDescent="0.25">
      <c r="C805" s="294" t="s">
        <v>826</v>
      </c>
      <c r="D805" s="317">
        <v>50240</v>
      </c>
      <c r="E805" s="122" t="s">
        <v>827</v>
      </c>
      <c r="F805" s="122" t="s">
        <v>828</v>
      </c>
      <c r="G805" s="122" t="s">
        <v>786</v>
      </c>
      <c r="H805" s="122" t="s">
        <v>777</v>
      </c>
      <c r="I805" s="312">
        <v>2018</v>
      </c>
      <c r="J805" s="122" t="s">
        <v>712</v>
      </c>
      <c r="K805" s="283">
        <v>27489</v>
      </c>
      <c r="L805" s="318">
        <v>-33.796436</v>
      </c>
      <c r="M805" s="318">
        <v>150.987595</v>
      </c>
      <c r="O805">
        <f>INDEX('MEC - traffic congestion'!$M$145:$M$249,MATCH($D805,'MEC - traffic congestion'!$C$145:$C$249,0))</f>
        <v>1</v>
      </c>
      <c r="P805" t="str">
        <f t="shared" si="32"/>
        <v>2018PUBLIC HOLIDAYS</v>
      </c>
      <c r="Q805">
        <f t="shared" si="33"/>
        <v>1</v>
      </c>
      <c r="R805" s="195" t="str">
        <f t="shared" si="34"/>
        <v>2018LIGHT VEHICLES</v>
      </c>
    </row>
    <row r="806" spans="3:18" x14ac:dyDescent="0.25">
      <c r="C806" s="294" t="s">
        <v>826</v>
      </c>
      <c r="D806" s="317">
        <v>50240</v>
      </c>
      <c r="E806" s="122" t="s">
        <v>827</v>
      </c>
      <c r="F806" s="122" t="s">
        <v>828</v>
      </c>
      <c r="G806" s="122" t="s">
        <v>785</v>
      </c>
      <c r="H806" s="122" t="s">
        <v>777</v>
      </c>
      <c r="I806" s="312">
        <v>2018</v>
      </c>
      <c r="J806" s="122" t="s">
        <v>713</v>
      </c>
      <c r="K806" s="283">
        <v>34503</v>
      </c>
      <c r="L806" s="318">
        <v>-33.796436</v>
      </c>
      <c r="M806" s="318">
        <v>150.987595</v>
      </c>
      <c r="O806">
        <f>INDEX('MEC - traffic congestion'!$M$145:$M$249,MATCH($D806,'MEC - traffic congestion'!$C$145:$C$249,0))</f>
        <v>1</v>
      </c>
      <c r="P806" t="str">
        <f t="shared" si="32"/>
        <v>2018WEEKENDS</v>
      </c>
      <c r="Q806">
        <f t="shared" si="33"/>
        <v>1</v>
      </c>
      <c r="R806" s="195" t="str">
        <f t="shared" si="34"/>
        <v>2018LIGHT VEHICLES</v>
      </c>
    </row>
    <row r="807" spans="3:18" x14ac:dyDescent="0.25">
      <c r="C807" s="294" t="s">
        <v>826</v>
      </c>
      <c r="D807" s="317">
        <v>50240</v>
      </c>
      <c r="E807" s="122" t="s">
        <v>827</v>
      </c>
      <c r="F807" s="122" t="s">
        <v>828</v>
      </c>
      <c r="G807" s="122" t="s">
        <v>786</v>
      </c>
      <c r="H807" s="122" t="s">
        <v>777</v>
      </c>
      <c r="I807" s="312">
        <v>2018</v>
      </c>
      <c r="J807" s="122" t="s">
        <v>713</v>
      </c>
      <c r="K807" s="283">
        <v>34920</v>
      </c>
      <c r="L807" s="318">
        <v>-33.796436</v>
      </c>
      <c r="M807" s="318">
        <v>150.987595</v>
      </c>
      <c r="O807">
        <f>INDEX('MEC - traffic congestion'!$M$145:$M$249,MATCH($D807,'MEC - traffic congestion'!$C$145:$C$249,0))</f>
        <v>1</v>
      </c>
      <c r="P807" t="str">
        <f t="shared" si="32"/>
        <v>2018WEEKENDS</v>
      </c>
      <c r="Q807">
        <f t="shared" si="33"/>
        <v>1</v>
      </c>
      <c r="R807" s="195" t="str">
        <f t="shared" si="34"/>
        <v>2018LIGHT VEHICLES</v>
      </c>
    </row>
    <row r="808" spans="3:18" x14ac:dyDescent="0.25">
      <c r="C808" s="294" t="s">
        <v>826</v>
      </c>
      <c r="D808" s="317">
        <v>50240</v>
      </c>
      <c r="E808" s="122" t="s">
        <v>827</v>
      </c>
      <c r="F808" s="122" t="s">
        <v>828</v>
      </c>
      <c r="G808" s="122" t="s">
        <v>786</v>
      </c>
      <c r="H808" s="122" t="s">
        <v>777</v>
      </c>
      <c r="I808" s="312">
        <v>2019</v>
      </c>
      <c r="J808" s="122" t="s">
        <v>709</v>
      </c>
      <c r="K808" s="283">
        <v>8467</v>
      </c>
      <c r="L808" s="318">
        <v>-33.796436</v>
      </c>
      <c r="M808" s="318">
        <v>150.987595</v>
      </c>
      <c r="O808">
        <f>INDEX('MEC - traffic congestion'!$M$145:$M$249,MATCH($D808,'MEC - traffic congestion'!$C$145:$C$249,0))</f>
        <v>1</v>
      </c>
      <c r="P808" t="str">
        <f t="shared" si="32"/>
        <v>2019AM PEAK</v>
      </c>
      <c r="Q808">
        <f t="shared" si="33"/>
        <v>1</v>
      </c>
      <c r="R808" s="195" t="str">
        <f t="shared" si="34"/>
        <v>2019LIGHT VEHICLES</v>
      </c>
    </row>
    <row r="809" spans="3:18" x14ac:dyDescent="0.25">
      <c r="C809" s="294" t="s">
        <v>826</v>
      </c>
      <c r="D809" s="317">
        <v>50240</v>
      </c>
      <c r="E809" s="122" t="s">
        <v>827</v>
      </c>
      <c r="F809" s="122" t="s">
        <v>828</v>
      </c>
      <c r="G809" s="122" t="s">
        <v>786</v>
      </c>
      <c r="H809" s="122" t="s">
        <v>777</v>
      </c>
      <c r="I809" s="312">
        <v>2019</v>
      </c>
      <c r="J809" s="122" t="s">
        <v>710</v>
      </c>
      <c r="K809" s="283">
        <v>19781</v>
      </c>
      <c r="L809" s="318">
        <v>-33.796436</v>
      </c>
      <c r="M809" s="318">
        <v>150.987595</v>
      </c>
      <c r="O809">
        <f>INDEX('MEC - traffic congestion'!$M$145:$M$249,MATCH($D809,'MEC - traffic congestion'!$C$145:$C$249,0))</f>
        <v>1</v>
      </c>
      <c r="P809" t="str">
        <f t="shared" si="32"/>
        <v>2019OFF PEAK</v>
      </c>
      <c r="Q809">
        <f t="shared" si="33"/>
        <v>1</v>
      </c>
      <c r="R809" s="195" t="str">
        <f t="shared" si="34"/>
        <v>2019LIGHT VEHICLES</v>
      </c>
    </row>
    <row r="810" spans="3:18" x14ac:dyDescent="0.25">
      <c r="C810" s="294" t="s">
        <v>826</v>
      </c>
      <c r="D810" s="317">
        <v>50240</v>
      </c>
      <c r="E810" s="122" t="s">
        <v>827</v>
      </c>
      <c r="F810" s="122" t="s">
        <v>828</v>
      </c>
      <c r="G810" s="122" t="s">
        <v>786</v>
      </c>
      <c r="H810" s="122" t="s">
        <v>777</v>
      </c>
      <c r="I810" s="312">
        <v>2019</v>
      </c>
      <c r="J810" s="122" t="s">
        <v>711</v>
      </c>
      <c r="K810" s="283">
        <v>10950</v>
      </c>
      <c r="L810" s="318">
        <v>-33.796436</v>
      </c>
      <c r="M810" s="318">
        <v>150.987595</v>
      </c>
      <c r="O810">
        <f>INDEX('MEC - traffic congestion'!$M$145:$M$249,MATCH($D810,'MEC - traffic congestion'!$C$145:$C$249,0))</f>
        <v>1</v>
      </c>
      <c r="P810" t="str">
        <f t="shared" si="32"/>
        <v>2019PM PEAK</v>
      </c>
      <c r="Q810">
        <f t="shared" si="33"/>
        <v>1</v>
      </c>
      <c r="R810" s="195" t="str">
        <f t="shared" si="34"/>
        <v>2019LIGHT VEHICLES</v>
      </c>
    </row>
    <row r="811" spans="3:18" x14ac:dyDescent="0.25">
      <c r="C811" s="294" t="s">
        <v>826</v>
      </c>
      <c r="D811" s="317">
        <v>50240</v>
      </c>
      <c r="E811" s="122" t="s">
        <v>827</v>
      </c>
      <c r="F811" s="122" t="s">
        <v>828</v>
      </c>
      <c r="G811" s="122" t="s">
        <v>786</v>
      </c>
      <c r="H811" s="122" t="s">
        <v>777</v>
      </c>
      <c r="I811" s="312">
        <v>2019</v>
      </c>
      <c r="J811" s="122" t="s">
        <v>712</v>
      </c>
      <c r="K811" s="283">
        <v>27988</v>
      </c>
      <c r="L811" s="318">
        <v>-33.796436</v>
      </c>
      <c r="M811" s="318">
        <v>150.987595</v>
      </c>
      <c r="O811">
        <f>INDEX('MEC - traffic congestion'!$M$145:$M$249,MATCH($D811,'MEC - traffic congestion'!$C$145:$C$249,0))</f>
        <v>1</v>
      </c>
      <c r="P811" t="str">
        <f t="shared" si="32"/>
        <v>2019PUBLIC HOLIDAYS</v>
      </c>
      <c r="Q811">
        <f t="shared" si="33"/>
        <v>1</v>
      </c>
      <c r="R811" s="195" t="str">
        <f t="shared" si="34"/>
        <v>2019LIGHT VEHICLES</v>
      </c>
    </row>
    <row r="812" spans="3:18" x14ac:dyDescent="0.25">
      <c r="C812" s="294" t="s">
        <v>826</v>
      </c>
      <c r="D812" s="317">
        <v>50240</v>
      </c>
      <c r="E812" s="122" t="s">
        <v>827</v>
      </c>
      <c r="F812" s="122" t="s">
        <v>828</v>
      </c>
      <c r="G812" s="122" t="s">
        <v>786</v>
      </c>
      <c r="H812" s="122" t="s">
        <v>777</v>
      </c>
      <c r="I812" s="312">
        <v>2019</v>
      </c>
      <c r="J812" s="122" t="s">
        <v>713</v>
      </c>
      <c r="K812" s="283">
        <v>34875</v>
      </c>
      <c r="L812" s="318">
        <v>-33.796436</v>
      </c>
      <c r="M812" s="318">
        <v>150.987595</v>
      </c>
      <c r="O812">
        <f>INDEX('MEC - traffic congestion'!$M$145:$M$249,MATCH($D812,'MEC - traffic congestion'!$C$145:$C$249,0))</f>
        <v>1</v>
      </c>
      <c r="P812" t="str">
        <f t="shared" si="32"/>
        <v>2019WEEKENDS</v>
      </c>
      <c r="Q812">
        <f t="shared" si="33"/>
        <v>1</v>
      </c>
      <c r="R812" s="195" t="str">
        <f t="shared" si="34"/>
        <v>2019LIGHT VEHICLES</v>
      </c>
    </row>
    <row r="813" spans="3:18" x14ac:dyDescent="0.25">
      <c r="C813" s="294" t="s">
        <v>826</v>
      </c>
      <c r="D813" s="317">
        <v>50240</v>
      </c>
      <c r="E813" s="122" t="s">
        <v>827</v>
      </c>
      <c r="F813" s="122" t="s">
        <v>828</v>
      </c>
      <c r="G813" s="122" t="s">
        <v>786</v>
      </c>
      <c r="H813" s="122" t="s">
        <v>777</v>
      </c>
      <c r="I813" s="312">
        <v>2020</v>
      </c>
      <c r="J813" s="122" t="s">
        <v>709</v>
      </c>
      <c r="K813" s="283">
        <v>8263</v>
      </c>
      <c r="L813" s="318">
        <v>-33.796436</v>
      </c>
      <c r="M813" s="318">
        <v>150.987595</v>
      </c>
      <c r="O813">
        <f>INDEX('MEC - traffic congestion'!$M$145:$M$249,MATCH($D813,'MEC - traffic congestion'!$C$145:$C$249,0))</f>
        <v>1</v>
      </c>
      <c r="P813" t="str">
        <f t="shared" si="32"/>
        <v>2020AM PEAK</v>
      </c>
      <c r="Q813">
        <f t="shared" si="33"/>
        <v>1</v>
      </c>
      <c r="R813" s="195" t="str">
        <f t="shared" si="34"/>
        <v>2020LIGHT VEHICLES</v>
      </c>
    </row>
    <row r="814" spans="3:18" x14ac:dyDescent="0.25">
      <c r="C814" s="294" t="s">
        <v>826</v>
      </c>
      <c r="D814" s="317">
        <v>50240</v>
      </c>
      <c r="E814" s="122" t="s">
        <v>827</v>
      </c>
      <c r="F814" s="122" t="s">
        <v>828</v>
      </c>
      <c r="G814" s="122" t="s">
        <v>786</v>
      </c>
      <c r="H814" s="122" t="s">
        <v>777</v>
      </c>
      <c r="I814" s="312">
        <v>2020</v>
      </c>
      <c r="J814" s="122" t="s">
        <v>710</v>
      </c>
      <c r="K814" s="283">
        <v>18630</v>
      </c>
      <c r="L814" s="318">
        <v>-33.796436</v>
      </c>
      <c r="M814" s="318">
        <v>150.987595</v>
      </c>
      <c r="O814">
        <f>INDEX('MEC - traffic congestion'!$M$145:$M$249,MATCH($D814,'MEC - traffic congestion'!$C$145:$C$249,0))</f>
        <v>1</v>
      </c>
      <c r="P814" t="str">
        <f t="shared" si="32"/>
        <v>2020OFF PEAK</v>
      </c>
      <c r="Q814">
        <f t="shared" si="33"/>
        <v>1</v>
      </c>
      <c r="R814" s="195" t="str">
        <f t="shared" si="34"/>
        <v>2020LIGHT VEHICLES</v>
      </c>
    </row>
    <row r="815" spans="3:18" x14ac:dyDescent="0.25">
      <c r="C815" s="294" t="s">
        <v>826</v>
      </c>
      <c r="D815" s="317">
        <v>50240</v>
      </c>
      <c r="E815" s="122" t="s">
        <v>827</v>
      </c>
      <c r="F815" s="122" t="s">
        <v>828</v>
      </c>
      <c r="G815" s="122" t="s">
        <v>786</v>
      </c>
      <c r="H815" s="122" t="s">
        <v>777</v>
      </c>
      <c r="I815" s="312">
        <v>2020</v>
      </c>
      <c r="J815" s="122" t="s">
        <v>711</v>
      </c>
      <c r="K815" s="283">
        <v>10827</v>
      </c>
      <c r="L815" s="318">
        <v>-33.796436</v>
      </c>
      <c r="M815" s="318">
        <v>150.987595</v>
      </c>
      <c r="O815">
        <f>INDEX('MEC - traffic congestion'!$M$145:$M$249,MATCH($D815,'MEC - traffic congestion'!$C$145:$C$249,0))</f>
        <v>1</v>
      </c>
      <c r="P815" t="str">
        <f t="shared" si="32"/>
        <v>2020PM PEAK</v>
      </c>
      <c r="Q815">
        <f t="shared" si="33"/>
        <v>1</v>
      </c>
      <c r="R815" s="195" t="str">
        <f t="shared" si="34"/>
        <v>2020LIGHT VEHICLES</v>
      </c>
    </row>
    <row r="816" spans="3:18" x14ac:dyDescent="0.25">
      <c r="C816" s="294" t="s">
        <v>826</v>
      </c>
      <c r="D816" s="317">
        <v>50240</v>
      </c>
      <c r="E816" s="122" t="s">
        <v>827</v>
      </c>
      <c r="F816" s="122" t="s">
        <v>828</v>
      </c>
      <c r="G816" s="122" t="s">
        <v>786</v>
      </c>
      <c r="H816" s="122" t="s">
        <v>777</v>
      </c>
      <c r="I816" s="312">
        <v>2020</v>
      </c>
      <c r="J816" s="122" t="s">
        <v>712</v>
      </c>
      <c r="K816" s="283">
        <v>23231</v>
      </c>
      <c r="L816" s="318">
        <v>-33.796436</v>
      </c>
      <c r="M816" s="318">
        <v>150.987595</v>
      </c>
      <c r="O816">
        <f>INDEX('MEC - traffic congestion'!$M$145:$M$249,MATCH($D816,'MEC - traffic congestion'!$C$145:$C$249,0))</f>
        <v>1</v>
      </c>
      <c r="P816" t="str">
        <f t="shared" si="32"/>
        <v>2020PUBLIC HOLIDAYS</v>
      </c>
      <c r="Q816">
        <f t="shared" si="33"/>
        <v>1</v>
      </c>
      <c r="R816" s="195" t="str">
        <f t="shared" si="34"/>
        <v>2020LIGHT VEHICLES</v>
      </c>
    </row>
    <row r="817" spans="3:18" x14ac:dyDescent="0.25">
      <c r="C817" s="294" t="s">
        <v>826</v>
      </c>
      <c r="D817" s="317">
        <v>50240</v>
      </c>
      <c r="E817" s="122" t="s">
        <v>827</v>
      </c>
      <c r="F817" s="122" t="s">
        <v>828</v>
      </c>
      <c r="G817" s="122" t="s">
        <v>786</v>
      </c>
      <c r="H817" s="122" t="s">
        <v>777</v>
      </c>
      <c r="I817" s="312">
        <v>2020</v>
      </c>
      <c r="J817" s="122" t="s">
        <v>713</v>
      </c>
      <c r="K817" s="283">
        <v>31910</v>
      </c>
      <c r="L817" s="318">
        <v>-33.796436</v>
      </c>
      <c r="M817" s="318">
        <v>150.987595</v>
      </c>
      <c r="O817">
        <f>INDEX('MEC - traffic congestion'!$M$145:$M$249,MATCH($D817,'MEC - traffic congestion'!$C$145:$C$249,0))</f>
        <v>1</v>
      </c>
      <c r="P817" t="str">
        <f t="shared" si="32"/>
        <v>2020WEEKENDS</v>
      </c>
      <c r="Q817">
        <f t="shared" si="33"/>
        <v>1</v>
      </c>
      <c r="R817" s="195" t="str">
        <f t="shared" si="34"/>
        <v>2020LIGHT VEHICLES</v>
      </c>
    </row>
    <row r="818" spans="3:18" x14ac:dyDescent="0.25">
      <c r="C818" s="294" t="s">
        <v>826</v>
      </c>
      <c r="D818" s="317">
        <v>50240</v>
      </c>
      <c r="E818" s="122" t="s">
        <v>827</v>
      </c>
      <c r="F818" s="122" t="s">
        <v>828</v>
      </c>
      <c r="G818" s="122" t="s">
        <v>786</v>
      </c>
      <c r="H818" s="122" t="s">
        <v>777</v>
      </c>
      <c r="I818" s="312">
        <v>2021</v>
      </c>
      <c r="J818" s="122" t="s">
        <v>709</v>
      </c>
      <c r="K818" s="283">
        <v>7944</v>
      </c>
      <c r="L818" s="318">
        <v>-33.796436</v>
      </c>
      <c r="M818" s="318">
        <v>150.987595</v>
      </c>
      <c r="O818">
        <f>INDEX('MEC - traffic congestion'!$M$145:$M$249,MATCH($D818,'MEC - traffic congestion'!$C$145:$C$249,0))</f>
        <v>1</v>
      </c>
      <c r="P818" t="str">
        <f t="shared" si="32"/>
        <v>2021AM PEAK</v>
      </c>
      <c r="Q818">
        <f t="shared" si="33"/>
        <v>1</v>
      </c>
      <c r="R818" s="195" t="str">
        <f t="shared" si="34"/>
        <v>2021LIGHT VEHICLES</v>
      </c>
    </row>
    <row r="819" spans="3:18" x14ac:dyDescent="0.25">
      <c r="C819" s="294" t="s">
        <v>826</v>
      </c>
      <c r="D819" s="317">
        <v>50240</v>
      </c>
      <c r="E819" s="122" t="s">
        <v>827</v>
      </c>
      <c r="F819" s="122" t="s">
        <v>828</v>
      </c>
      <c r="G819" s="122" t="s">
        <v>786</v>
      </c>
      <c r="H819" s="122" t="s">
        <v>777</v>
      </c>
      <c r="I819" s="312">
        <v>2021</v>
      </c>
      <c r="J819" s="122" t="s">
        <v>710</v>
      </c>
      <c r="K819" s="283">
        <v>17408</v>
      </c>
      <c r="L819" s="318">
        <v>-33.796436</v>
      </c>
      <c r="M819" s="318">
        <v>150.987595</v>
      </c>
      <c r="O819">
        <f>INDEX('MEC - traffic congestion'!$M$145:$M$249,MATCH($D819,'MEC - traffic congestion'!$C$145:$C$249,0))</f>
        <v>1</v>
      </c>
      <c r="P819" t="str">
        <f t="shared" si="32"/>
        <v>2021OFF PEAK</v>
      </c>
      <c r="Q819">
        <f t="shared" si="33"/>
        <v>1</v>
      </c>
      <c r="R819" s="195" t="str">
        <f t="shared" si="34"/>
        <v>2021LIGHT VEHICLES</v>
      </c>
    </row>
    <row r="820" spans="3:18" x14ac:dyDescent="0.25">
      <c r="C820" s="294" t="s">
        <v>826</v>
      </c>
      <c r="D820" s="317">
        <v>50240</v>
      </c>
      <c r="E820" s="122" t="s">
        <v>827</v>
      </c>
      <c r="F820" s="122" t="s">
        <v>828</v>
      </c>
      <c r="G820" s="122" t="s">
        <v>786</v>
      </c>
      <c r="H820" s="122" t="s">
        <v>777</v>
      </c>
      <c r="I820" s="312">
        <v>2021</v>
      </c>
      <c r="J820" s="122" t="s">
        <v>711</v>
      </c>
      <c r="K820" s="283">
        <v>9722</v>
      </c>
      <c r="L820" s="318">
        <v>-33.796436</v>
      </c>
      <c r="M820" s="318">
        <v>150.987595</v>
      </c>
      <c r="O820">
        <f>INDEX('MEC - traffic congestion'!$M$145:$M$249,MATCH($D820,'MEC - traffic congestion'!$C$145:$C$249,0))</f>
        <v>1</v>
      </c>
      <c r="P820" t="str">
        <f t="shared" si="32"/>
        <v>2021PM PEAK</v>
      </c>
      <c r="Q820">
        <f t="shared" si="33"/>
        <v>1</v>
      </c>
      <c r="R820" s="195" t="str">
        <f t="shared" si="34"/>
        <v>2021LIGHT VEHICLES</v>
      </c>
    </row>
    <row r="821" spans="3:18" x14ac:dyDescent="0.25">
      <c r="C821" s="294" t="s">
        <v>826</v>
      </c>
      <c r="D821" s="317">
        <v>50240</v>
      </c>
      <c r="E821" s="122" t="s">
        <v>827</v>
      </c>
      <c r="F821" s="122" t="s">
        <v>828</v>
      </c>
      <c r="G821" s="122" t="s">
        <v>786</v>
      </c>
      <c r="H821" s="122" t="s">
        <v>777</v>
      </c>
      <c r="I821" s="312">
        <v>2021</v>
      </c>
      <c r="J821" s="122" t="s">
        <v>713</v>
      </c>
      <c r="K821" s="283">
        <v>29257</v>
      </c>
      <c r="L821" s="318">
        <v>-33.796436</v>
      </c>
      <c r="M821" s="318">
        <v>150.987595</v>
      </c>
      <c r="O821">
        <f>INDEX('MEC - traffic congestion'!$M$145:$M$249,MATCH($D821,'MEC - traffic congestion'!$C$145:$C$249,0))</f>
        <v>1</v>
      </c>
      <c r="P821" t="str">
        <f t="shared" si="32"/>
        <v>2021WEEKENDS</v>
      </c>
      <c r="Q821">
        <f t="shared" si="33"/>
        <v>1</v>
      </c>
      <c r="R821" s="195" t="str">
        <f t="shared" si="34"/>
        <v>2021LIGHT VEHICLES</v>
      </c>
    </row>
    <row r="822" spans="3:18" x14ac:dyDescent="0.25">
      <c r="C822" s="294" t="s">
        <v>826</v>
      </c>
      <c r="D822" s="317">
        <v>50240</v>
      </c>
      <c r="E822" s="122" t="s">
        <v>827</v>
      </c>
      <c r="F822" s="122" t="s">
        <v>828</v>
      </c>
      <c r="G822" s="122" t="s">
        <v>786</v>
      </c>
      <c r="H822" s="122" t="s">
        <v>777</v>
      </c>
      <c r="I822" s="312">
        <v>2022</v>
      </c>
      <c r="J822" s="122" t="s">
        <v>709</v>
      </c>
      <c r="K822" s="283">
        <v>7962</v>
      </c>
      <c r="L822" s="318">
        <v>-33.796436</v>
      </c>
      <c r="M822" s="318">
        <v>150.987595</v>
      </c>
      <c r="O822">
        <f>INDEX('MEC - traffic congestion'!$M$145:$M$249,MATCH($D822,'MEC - traffic congestion'!$C$145:$C$249,0))</f>
        <v>1</v>
      </c>
      <c r="P822" t="str">
        <f t="shared" si="32"/>
        <v>2022AM PEAK</v>
      </c>
      <c r="Q822">
        <f t="shared" si="33"/>
        <v>1</v>
      </c>
      <c r="R822" s="195" t="str">
        <f t="shared" si="34"/>
        <v>2022LIGHT VEHICLES</v>
      </c>
    </row>
    <row r="823" spans="3:18" x14ac:dyDescent="0.25">
      <c r="C823" s="294" t="s">
        <v>826</v>
      </c>
      <c r="D823" s="317">
        <v>50240</v>
      </c>
      <c r="E823" s="122" t="s">
        <v>827</v>
      </c>
      <c r="F823" s="122" t="s">
        <v>828</v>
      </c>
      <c r="G823" s="122" t="s">
        <v>786</v>
      </c>
      <c r="H823" s="122" t="s">
        <v>777</v>
      </c>
      <c r="I823" s="312">
        <v>2022</v>
      </c>
      <c r="J823" s="122" t="s">
        <v>710</v>
      </c>
      <c r="K823" s="283">
        <v>18812</v>
      </c>
      <c r="L823" s="318">
        <v>-33.796436</v>
      </c>
      <c r="M823" s="318">
        <v>150.987595</v>
      </c>
      <c r="O823">
        <f>INDEX('MEC - traffic congestion'!$M$145:$M$249,MATCH($D823,'MEC - traffic congestion'!$C$145:$C$249,0))</f>
        <v>1</v>
      </c>
      <c r="P823" t="str">
        <f t="shared" si="32"/>
        <v>2022OFF PEAK</v>
      </c>
      <c r="Q823">
        <f t="shared" si="33"/>
        <v>1</v>
      </c>
      <c r="R823" s="195" t="str">
        <f t="shared" si="34"/>
        <v>2022LIGHT VEHICLES</v>
      </c>
    </row>
    <row r="824" spans="3:18" x14ac:dyDescent="0.25">
      <c r="C824" s="294" t="s">
        <v>826</v>
      </c>
      <c r="D824" s="317">
        <v>50240</v>
      </c>
      <c r="E824" s="122" t="s">
        <v>827</v>
      </c>
      <c r="F824" s="122" t="s">
        <v>828</v>
      </c>
      <c r="G824" s="122" t="s">
        <v>786</v>
      </c>
      <c r="H824" s="122" t="s">
        <v>777</v>
      </c>
      <c r="I824" s="312">
        <v>2022</v>
      </c>
      <c r="J824" s="122" t="s">
        <v>711</v>
      </c>
      <c r="K824" s="283">
        <v>9985</v>
      </c>
      <c r="L824" s="318">
        <v>-33.796436</v>
      </c>
      <c r="M824" s="318">
        <v>150.987595</v>
      </c>
      <c r="O824">
        <f>INDEX('MEC - traffic congestion'!$M$145:$M$249,MATCH($D824,'MEC - traffic congestion'!$C$145:$C$249,0))</f>
        <v>1</v>
      </c>
      <c r="P824" t="str">
        <f t="shared" si="32"/>
        <v>2022PM PEAK</v>
      </c>
      <c r="Q824">
        <f t="shared" si="33"/>
        <v>1</v>
      </c>
      <c r="R824" s="195" t="str">
        <f t="shared" si="34"/>
        <v>2022LIGHT VEHICLES</v>
      </c>
    </row>
    <row r="825" spans="3:18" x14ac:dyDescent="0.25">
      <c r="C825" s="294" t="s">
        <v>826</v>
      </c>
      <c r="D825" s="317">
        <v>50240</v>
      </c>
      <c r="E825" s="122" t="s">
        <v>827</v>
      </c>
      <c r="F825" s="122" t="s">
        <v>828</v>
      </c>
      <c r="G825" s="122" t="s">
        <v>786</v>
      </c>
      <c r="H825" s="122" t="s">
        <v>777</v>
      </c>
      <c r="I825" s="312">
        <v>2022</v>
      </c>
      <c r="J825" s="122" t="s">
        <v>713</v>
      </c>
      <c r="K825" s="283">
        <v>34292</v>
      </c>
      <c r="L825" s="318">
        <v>-33.796436</v>
      </c>
      <c r="M825" s="318">
        <v>150.987595</v>
      </c>
      <c r="O825">
        <f>INDEX('MEC - traffic congestion'!$M$145:$M$249,MATCH($D825,'MEC - traffic congestion'!$C$145:$C$249,0))</f>
        <v>1</v>
      </c>
      <c r="P825" t="str">
        <f t="shared" si="32"/>
        <v>2022WEEKENDS</v>
      </c>
      <c r="Q825">
        <f t="shared" si="33"/>
        <v>1</v>
      </c>
      <c r="R825" s="195" t="str">
        <f t="shared" si="34"/>
        <v>2022LIGHT VEHICLES</v>
      </c>
    </row>
    <row r="826" spans="3:18" x14ac:dyDescent="0.25">
      <c r="C826" s="294" t="s">
        <v>826</v>
      </c>
      <c r="D826" s="317">
        <v>50240</v>
      </c>
      <c r="E826" s="122" t="s">
        <v>827</v>
      </c>
      <c r="F826" s="122" t="s">
        <v>828</v>
      </c>
      <c r="G826" s="122" t="s">
        <v>786</v>
      </c>
      <c r="H826" s="122" t="s">
        <v>777</v>
      </c>
      <c r="I826" s="312">
        <v>2023</v>
      </c>
      <c r="J826" s="122" t="s">
        <v>709</v>
      </c>
      <c r="K826" s="283">
        <v>8579</v>
      </c>
      <c r="L826" s="318">
        <v>-33.796436</v>
      </c>
      <c r="M826" s="318">
        <v>150.987595</v>
      </c>
      <c r="O826">
        <f>INDEX('MEC - traffic congestion'!$M$145:$M$249,MATCH($D826,'MEC - traffic congestion'!$C$145:$C$249,0))</f>
        <v>1</v>
      </c>
      <c r="P826" t="str">
        <f t="shared" si="32"/>
        <v>2023AM PEAK</v>
      </c>
      <c r="Q826">
        <f t="shared" si="33"/>
        <v>1</v>
      </c>
      <c r="R826" s="195" t="str">
        <f t="shared" si="34"/>
        <v>2023LIGHT VEHICLES</v>
      </c>
    </row>
    <row r="827" spans="3:18" x14ac:dyDescent="0.25">
      <c r="C827" s="294" t="s">
        <v>826</v>
      </c>
      <c r="D827" s="317">
        <v>50240</v>
      </c>
      <c r="E827" s="122" t="s">
        <v>827</v>
      </c>
      <c r="F827" s="122" t="s">
        <v>828</v>
      </c>
      <c r="G827" s="122" t="s">
        <v>786</v>
      </c>
      <c r="H827" s="122" t="s">
        <v>777</v>
      </c>
      <c r="I827" s="312">
        <v>2023</v>
      </c>
      <c r="J827" s="122" t="s">
        <v>710</v>
      </c>
      <c r="K827" s="283">
        <v>20144</v>
      </c>
      <c r="L827" s="318">
        <v>-33.796436</v>
      </c>
      <c r="M827" s="318">
        <v>150.987595</v>
      </c>
      <c r="O827">
        <f>INDEX('MEC - traffic congestion'!$M$145:$M$249,MATCH($D827,'MEC - traffic congestion'!$C$145:$C$249,0))</f>
        <v>1</v>
      </c>
      <c r="P827" t="str">
        <f t="shared" si="32"/>
        <v>2023OFF PEAK</v>
      </c>
      <c r="Q827">
        <f t="shared" si="33"/>
        <v>1</v>
      </c>
      <c r="R827" s="195" t="str">
        <f t="shared" si="34"/>
        <v>2023LIGHT VEHICLES</v>
      </c>
    </row>
    <row r="828" spans="3:18" x14ac:dyDescent="0.25">
      <c r="C828" s="294" t="s">
        <v>826</v>
      </c>
      <c r="D828" s="317">
        <v>50240</v>
      </c>
      <c r="E828" s="122" t="s">
        <v>827</v>
      </c>
      <c r="F828" s="122" t="s">
        <v>828</v>
      </c>
      <c r="G828" s="122" t="s">
        <v>786</v>
      </c>
      <c r="H828" s="122" t="s">
        <v>777</v>
      </c>
      <c r="I828" s="312">
        <v>2023</v>
      </c>
      <c r="J828" s="122" t="s">
        <v>711</v>
      </c>
      <c r="K828" s="283">
        <v>10437</v>
      </c>
      <c r="L828" s="318">
        <v>-33.796436</v>
      </c>
      <c r="M828" s="318">
        <v>150.987595</v>
      </c>
      <c r="O828">
        <f>INDEX('MEC - traffic congestion'!$M$145:$M$249,MATCH($D828,'MEC - traffic congestion'!$C$145:$C$249,0))</f>
        <v>1</v>
      </c>
      <c r="P828" t="str">
        <f t="shared" si="32"/>
        <v>2023PM PEAK</v>
      </c>
      <c r="Q828">
        <f t="shared" si="33"/>
        <v>1</v>
      </c>
      <c r="R828" s="195" t="str">
        <f t="shared" si="34"/>
        <v>2023LIGHT VEHICLES</v>
      </c>
    </row>
    <row r="829" spans="3:18" x14ac:dyDescent="0.25">
      <c r="C829" s="294" t="s">
        <v>826</v>
      </c>
      <c r="D829" s="317">
        <v>50240</v>
      </c>
      <c r="E829" s="122" t="s">
        <v>827</v>
      </c>
      <c r="F829" s="122" t="s">
        <v>828</v>
      </c>
      <c r="G829" s="122" t="s">
        <v>786</v>
      </c>
      <c r="H829" s="122" t="s">
        <v>777</v>
      </c>
      <c r="I829" s="312">
        <v>2023</v>
      </c>
      <c r="J829" s="122" t="s">
        <v>713</v>
      </c>
      <c r="K829" s="283">
        <v>36750</v>
      </c>
      <c r="L829" s="318">
        <v>-33.796436</v>
      </c>
      <c r="M829" s="318">
        <v>150.987595</v>
      </c>
      <c r="O829">
        <f>INDEX('MEC - traffic congestion'!$M$145:$M$249,MATCH($D829,'MEC - traffic congestion'!$C$145:$C$249,0))</f>
        <v>1</v>
      </c>
      <c r="P829" t="str">
        <f t="shared" si="32"/>
        <v>2023WEEKENDS</v>
      </c>
      <c r="Q829">
        <f t="shared" si="33"/>
        <v>1</v>
      </c>
      <c r="R829" s="195" t="str">
        <f t="shared" si="34"/>
        <v>2023LIGHT VEHICLES</v>
      </c>
    </row>
    <row r="830" spans="3:18" x14ac:dyDescent="0.25">
      <c r="C830" s="294" t="s">
        <v>826</v>
      </c>
      <c r="D830" s="317">
        <v>50240</v>
      </c>
      <c r="E830" s="122" t="s">
        <v>827</v>
      </c>
      <c r="F830" s="122" t="s">
        <v>828</v>
      </c>
      <c r="G830" s="122" t="s">
        <v>786</v>
      </c>
      <c r="H830" s="122" t="s">
        <v>777</v>
      </c>
      <c r="I830" s="312">
        <v>2024</v>
      </c>
      <c r="J830" s="122" t="s">
        <v>709</v>
      </c>
      <c r="K830" s="283">
        <v>8368</v>
      </c>
      <c r="L830" s="318">
        <v>-33.796436</v>
      </c>
      <c r="M830" s="318">
        <v>150.987595</v>
      </c>
      <c r="O830">
        <f>INDEX('MEC - traffic congestion'!$M$145:$M$249,MATCH($D830,'MEC - traffic congestion'!$C$145:$C$249,0))</f>
        <v>1</v>
      </c>
      <c r="P830" t="str">
        <f t="shared" si="32"/>
        <v>2024AM PEAK</v>
      </c>
      <c r="Q830">
        <f t="shared" si="33"/>
        <v>1</v>
      </c>
      <c r="R830" s="195" t="str">
        <f t="shared" si="34"/>
        <v>2024LIGHT VEHICLES</v>
      </c>
    </row>
    <row r="831" spans="3:18" x14ac:dyDescent="0.25">
      <c r="C831" s="294" t="s">
        <v>826</v>
      </c>
      <c r="D831" s="317">
        <v>50240</v>
      </c>
      <c r="E831" s="122" t="s">
        <v>827</v>
      </c>
      <c r="F831" s="122" t="s">
        <v>828</v>
      </c>
      <c r="G831" s="122" t="s">
        <v>786</v>
      </c>
      <c r="H831" s="122" t="s">
        <v>777</v>
      </c>
      <c r="I831" s="312">
        <v>2024</v>
      </c>
      <c r="J831" s="122" t="s">
        <v>710</v>
      </c>
      <c r="K831" s="283">
        <v>20700</v>
      </c>
      <c r="L831" s="318">
        <v>-33.796436</v>
      </c>
      <c r="M831" s="318">
        <v>150.987595</v>
      </c>
      <c r="O831">
        <f>INDEX('MEC - traffic congestion'!$M$145:$M$249,MATCH($D831,'MEC - traffic congestion'!$C$145:$C$249,0))</f>
        <v>1</v>
      </c>
      <c r="P831" t="str">
        <f t="shared" si="32"/>
        <v>2024OFF PEAK</v>
      </c>
      <c r="Q831">
        <f t="shared" si="33"/>
        <v>1</v>
      </c>
      <c r="R831" s="195" t="str">
        <f t="shared" si="34"/>
        <v>2024LIGHT VEHICLES</v>
      </c>
    </row>
    <row r="832" spans="3:18" x14ac:dyDescent="0.25">
      <c r="C832" s="294" t="s">
        <v>826</v>
      </c>
      <c r="D832" s="317">
        <v>50240</v>
      </c>
      <c r="E832" s="122" t="s">
        <v>827</v>
      </c>
      <c r="F832" s="122" t="s">
        <v>828</v>
      </c>
      <c r="G832" s="122" t="s">
        <v>786</v>
      </c>
      <c r="H832" s="122" t="s">
        <v>777</v>
      </c>
      <c r="I832" s="312">
        <v>2024</v>
      </c>
      <c r="J832" s="122" t="s">
        <v>711</v>
      </c>
      <c r="K832" s="283">
        <v>10478</v>
      </c>
      <c r="L832" s="318">
        <v>-33.796436</v>
      </c>
      <c r="M832" s="318">
        <v>150.987595</v>
      </c>
      <c r="O832">
        <f>INDEX('MEC - traffic congestion'!$M$145:$M$249,MATCH($D832,'MEC - traffic congestion'!$C$145:$C$249,0))</f>
        <v>1</v>
      </c>
      <c r="P832" t="str">
        <f t="shared" si="32"/>
        <v>2024PM PEAK</v>
      </c>
      <c r="Q832">
        <f t="shared" si="33"/>
        <v>1</v>
      </c>
      <c r="R832" s="195" t="str">
        <f t="shared" si="34"/>
        <v>2024LIGHT VEHICLES</v>
      </c>
    </row>
    <row r="833" spans="3:18" x14ac:dyDescent="0.25">
      <c r="C833" s="294" t="s">
        <v>826</v>
      </c>
      <c r="D833" s="317">
        <v>50240</v>
      </c>
      <c r="E833" s="122" t="s">
        <v>827</v>
      </c>
      <c r="F833" s="122" t="s">
        <v>828</v>
      </c>
      <c r="G833" s="122" t="s">
        <v>786</v>
      </c>
      <c r="H833" s="122" t="s">
        <v>777</v>
      </c>
      <c r="I833" s="312">
        <v>2024</v>
      </c>
      <c r="J833" s="122" t="s">
        <v>713</v>
      </c>
      <c r="K833" s="283">
        <v>38459</v>
      </c>
      <c r="L833" s="318">
        <v>-33.796436</v>
      </c>
      <c r="M833" s="318">
        <v>150.987595</v>
      </c>
      <c r="O833">
        <f>INDEX('MEC - traffic congestion'!$M$145:$M$249,MATCH($D833,'MEC - traffic congestion'!$C$145:$C$249,0))</f>
        <v>1</v>
      </c>
      <c r="P833" t="str">
        <f t="shared" si="32"/>
        <v>2024WEEKENDS</v>
      </c>
      <c r="Q833">
        <f t="shared" si="33"/>
        <v>1</v>
      </c>
      <c r="R833" s="195" t="str">
        <f t="shared" si="34"/>
        <v>2024LIGHT VEHICLES</v>
      </c>
    </row>
    <row r="834" spans="3:18" x14ac:dyDescent="0.25">
      <c r="C834" s="294" t="s">
        <v>829</v>
      </c>
      <c r="D834" s="317">
        <v>50260</v>
      </c>
      <c r="E834" s="122" t="s">
        <v>830</v>
      </c>
      <c r="F834" s="122" t="s">
        <v>831</v>
      </c>
      <c r="G834" s="122" t="s">
        <v>776</v>
      </c>
      <c r="H834" s="122" t="s">
        <v>777</v>
      </c>
      <c r="I834" s="312">
        <v>2018</v>
      </c>
      <c r="J834" s="122" t="s">
        <v>709</v>
      </c>
      <c r="K834" s="283">
        <v>7382</v>
      </c>
      <c r="L834" s="318">
        <v>-33.819763000000002</v>
      </c>
      <c r="M834" s="318">
        <v>151.05188000000001</v>
      </c>
      <c r="O834">
        <f>INDEX('MEC - traffic congestion'!$M$145:$M$249,MATCH($D834,'MEC - traffic congestion'!$C$145:$C$249,0))</f>
        <v>1</v>
      </c>
      <c r="P834" t="str">
        <f t="shared" si="32"/>
        <v>2018AM PEAK</v>
      </c>
      <c r="Q834">
        <f t="shared" si="33"/>
        <v>1</v>
      </c>
      <c r="R834" s="195" t="str">
        <f t="shared" si="34"/>
        <v>2018LIGHT VEHICLES</v>
      </c>
    </row>
    <row r="835" spans="3:18" x14ac:dyDescent="0.25">
      <c r="C835" s="294" t="s">
        <v>829</v>
      </c>
      <c r="D835" s="317">
        <v>50260</v>
      </c>
      <c r="E835" s="122" t="s">
        <v>830</v>
      </c>
      <c r="F835" s="122" t="s">
        <v>831</v>
      </c>
      <c r="G835" s="122" t="s">
        <v>778</v>
      </c>
      <c r="H835" s="122" t="s">
        <v>777</v>
      </c>
      <c r="I835" s="312">
        <v>2018</v>
      </c>
      <c r="J835" s="122" t="s">
        <v>709</v>
      </c>
      <c r="K835" s="283">
        <v>9835</v>
      </c>
      <c r="L835" s="318">
        <v>-33.819763000000002</v>
      </c>
      <c r="M835" s="318">
        <v>151.05188000000001</v>
      </c>
      <c r="O835">
        <f>INDEX('MEC - traffic congestion'!$M$145:$M$249,MATCH($D835,'MEC - traffic congestion'!$C$145:$C$249,0))</f>
        <v>1</v>
      </c>
      <c r="P835" t="str">
        <f t="shared" si="32"/>
        <v>2018AM PEAK</v>
      </c>
      <c r="Q835">
        <f t="shared" si="33"/>
        <v>1</v>
      </c>
      <c r="R835" s="195" t="str">
        <f t="shared" si="34"/>
        <v>2018LIGHT VEHICLES</v>
      </c>
    </row>
    <row r="836" spans="3:18" x14ac:dyDescent="0.25">
      <c r="C836" s="294" t="s">
        <v>829</v>
      </c>
      <c r="D836" s="317">
        <v>50260</v>
      </c>
      <c r="E836" s="122" t="s">
        <v>830</v>
      </c>
      <c r="F836" s="122" t="s">
        <v>831</v>
      </c>
      <c r="G836" s="122" t="s">
        <v>776</v>
      </c>
      <c r="H836" s="122" t="s">
        <v>777</v>
      </c>
      <c r="I836" s="312">
        <v>2018</v>
      </c>
      <c r="J836" s="122" t="s">
        <v>710</v>
      </c>
      <c r="K836" s="283">
        <v>13910</v>
      </c>
      <c r="L836" s="318">
        <v>-33.819763000000002</v>
      </c>
      <c r="M836" s="318">
        <v>151.05188000000001</v>
      </c>
      <c r="O836">
        <f>INDEX('MEC - traffic congestion'!$M$145:$M$249,MATCH($D836,'MEC - traffic congestion'!$C$145:$C$249,0))</f>
        <v>1</v>
      </c>
      <c r="P836" t="str">
        <f t="shared" si="32"/>
        <v>2018OFF PEAK</v>
      </c>
      <c r="Q836">
        <f t="shared" si="33"/>
        <v>1</v>
      </c>
      <c r="R836" s="195" t="str">
        <f t="shared" si="34"/>
        <v>2018LIGHT VEHICLES</v>
      </c>
    </row>
    <row r="837" spans="3:18" x14ac:dyDescent="0.25">
      <c r="C837" s="294" t="s">
        <v>829</v>
      </c>
      <c r="D837" s="317">
        <v>50260</v>
      </c>
      <c r="E837" s="122" t="s">
        <v>830</v>
      </c>
      <c r="F837" s="122" t="s">
        <v>831</v>
      </c>
      <c r="G837" s="122" t="s">
        <v>778</v>
      </c>
      <c r="H837" s="122" t="s">
        <v>777</v>
      </c>
      <c r="I837" s="312">
        <v>2018</v>
      </c>
      <c r="J837" s="122" t="s">
        <v>710</v>
      </c>
      <c r="K837" s="283">
        <v>13254</v>
      </c>
      <c r="L837" s="318">
        <v>-33.819763000000002</v>
      </c>
      <c r="M837" s="318">
        <v>151.05188000000001</v>
      </c>
      <c r="O837">
        <f>INDEX('MEC - traffic congestion'!$M$145:$M$249,MATCH($D837,'MEC - traffic congestion'!$C$145:$C$249,0))</f>
        <v>1</v>
      </c>
      <c r="P837" t="str">
        <f t="shared" si="32"/>
        <v>2018OFF PEAK</v>
      </c>
      <c r="Q837">
        <f t="shared" si="33"/>
        <v>1</v>
      </c>
      <c r="R837" s="195" t="str">
        <f t="shared" si="34"/>
        <v>2018LIGHT VEHICLES</v>
      </c>
    </row>
    <row r="838" spans="3:18" x14ac:dyDescent="0.25">
      <c r="C838" s="294" t="s">
        <v>829</v>
      </c>
      <c r="D838" s="317">
        <v>50260</v>
      </c>
      <c r="E838" s="122" t="s">
        <v>830</v>
      </c>
      <c r="F838" s="122" t="s">
        <v>831</v>
      </c>
      <c r="G838" s="122" t="s">
        <v>776</v>
      </c>
      <c r="H838" s="122" t="s">
        <v>777</v>
      </c>
      <c r="I838" s="312">
        <v>2018</v>
      </c>
      <c r="J838" s="122" t="s">
        <v>711</v>
      </c>
      <c r="K838" s="283">
        <v>10756</v>
      </c>
      <c r="L838" s="318">
        <v>-33.819763000000002</v>
      </c>
      <c r="M838" s="318">
        <v>151.05188000000001</v>
      </c>
      <c r="O838">
        <f>INDEX('MEC - traffic congestion'!$M$145:$M$249,MATCH($D838,'MEC - traffic congestion'!$C$145:$C$249,0))</f>
        <v>1</v>
      </c>
      <c r="P838" t="str">
        <f t="shared" si="32"/>
        <v>2018PM PEAK</v>
      </c>
      <c r="Q838">
        <f t="shared" si="33"/>
        <v>1</v>
      </c>
      <c r="R838" s="195" t="str">
        <f t="shared" si="34"/>
        <v>2018LIGHT VEHICLES</v>
      </c>
    </row>
    <row r="839" spans="3:18" x14ac:dyDescent="0.25">
      <c r="C839" s="294" t="s">
        <v>829</v>
      </c>
      <c r="D839" s="317">
        <v>50260</v>
      </c>
      <c r="E839" s="122" t="s">
        <v>830</v>
      </c>
      <c r="F839" s="122" t="s">
        <v>831</v>
      </c>
      <c r="G839" s="122" t="s">
        <v>778</v>
      </c>
      <c r="H839" s="122" t="s">
        <v>777</v>
      </c>
      <c r="I839" s="312">
        <v>2018</v>
      </c>
      <c r="J839" s="122" t="s">
        <v>711</v>
      </c>
      <c r="K839" s="283">
        <v>8340</v>
      </c>
      <c r="L839" s="318">
        <v>-33.819763000000002</v>
      </c>
      <c r="M839" s="318">
        <v>151.05188000000001</v>
      </c>
      <c r="O839">
        <f>INDEX('MEC - traffic congestion'!$M$145:$M$249,MATCH($D839,'MEC - traffic congestion'!$C$145:$C$249,0))</f>
        <v>1</v>
      </c>
      <c r="P839" t="str">
        <f t="shared" si="32"/>
        <v>2018PM PEAK</v>
      </c>
      <c r="Q839">
        <f t="shared" si="33"/>
        <v>1</v>
      </c>
      <c r="R839" s="195" t="str">
        <f t="shared" si="34"/>
        <v>2018LIGHT VEHICLES</v>
      </c>
    </row>
    <row r="840" spans="3:18" x14ac:dyDescent="0.25">
      <c r="C840" s="294" t="s">
        <v>829</v>
      </c>
      <c r="D840" s="317">
        <v>50260</v>
      </c>
      <c r="E840" s="122" t="s">
        <v>830</v>
      </c>
      <c r="F840" s="122" t="s">
        <v>831</v>
      </c>
      <c r="G840" s="122" t="s">
        <v>776</v>
      </c>
      <c r="H840" s="122" t="s">
        <v>777</v>
      </c>
      <c r="I840" s="312">
        <v>2018</v>
      </c>
      <c r="J840" s="122" t="s">
        <v>712</v>
      </c>
      <c r="K840" s="283">
        <v>20127</v>
      </c>
      <c r="L840" s="318">
        <v>-33.819763000000002</v>
      </c>
      <c r="M840" s="318">
        <v>151.05188000000001</v>
      </c>
      <c r="O840">
        <f>INDEX('MEC - traffic congestion'!$M$145:$M$249,MATCH($D840,'MEC - traffic congestion'!$C$145:$C$249,0))</f>
        <v>1</v>
      </c>
      <c r="P840" t="str">
        <f t="shared" si="32"/>
        <v>2018PUBLIC HOLIDAYS</v>
      </c>
      <c r="Q840">
        <f t="shared" si="33"/>
        <v>1</v>
      </c>
      <c r="R840" s="195" t="str">
        <f t="shared" si="34"/>
        <v>2018LIGHT VEHICLES</v>
      </c>
    </row>
    <row r="841" spans="3:18" x14ac:dyDescent="0.25">
      <c r="C841" s="294" t="s">
        <v>829</v>
      </c>
      <c r="D841" s="317">
        <v>50260</v>
      </c>
      <c r="E841" s="122" t="s">
        <v>830</v>
      </c>
      <c r="F841" s="122" t="s">
        <v>831</v>
      </c>
      <c r="G841" s="122" t="s">
        <v>778</v>
      </c>
      <c r="H841" s="122" t="s">
        <v>777</v>
      </c>
      <c r="I841" s="312">
        <v>2018</v>
      </c>
      <c r="J841" s="122" t="s">
        <v>712</v>
      </c>
      <c r="K841" s="283">
        <v>20114</v>
      </c>
      <c r="L841" s="318">
        <v>-33.819763000000002</v>
      </c>
      <c r="M841" s="318">
        <v>151.05188000000001</v>
      </c>
      <c r="O841">
        <f>INDEX('MEC - traffic congestion'!$M$145:$M$249,MATCH($D841,'MEC - traffic congestion'!$C$145:$C$249,0))</f>
        <v>1</v>
      </c>
      <c r="P841" t="str">
        <f t="shared" si="32"/>
        <v>2018PUBLIC HOLIDAYS</v>
      </c>
      <c r="Q841">
        <f t="shared" si="33"/>
        <v>1</v>
      </c>
      <c r="R841" s="195" t="str">
        <f t="shared" si="34"/>
        <v>2018LIGHT VEHICLES</v>
      </c>
    </row>
    <row r="842" spans="3:18" x14ac:dyDescent="0.25">
      <c r="C842" s="294" t="s">
        <v>829</v>
      </c>
      <c r="D842" s="317">
        <v>50260</v>
      </c>
      <c r="E842" s="122" t="s">
        <v>830</v>
      </c>
      <c r="F842" s="122" t="s">
        <v>831</v>
      </c>
      <c r="G842" s="122" t="s">
        <v>776</v>
      </c>
      <c r="H842" s="122" t="s">
        <v>777</v>
      </c>
      <c r="I842" s="312">
        <v>2018</v>
      </c>
      <c r="J842" s="122" t="s">
        <v>713</v>
      </c>
      <c r="K842" s="283">
        <v>25849</v>
      </c>
      <c r="L842" s="318">
        <v>-33.819763000000002</v>
      </c>
      <c r="M842" s="318">
        <v>151.05188000000001</v>
      </c>
      <c r="O842">
        <f>INDEX('MEC - traffic congestion'!$M$145:$M$249,MATCH($D842,'MEC - traffic congestion'!$C$145:$C$249,0))</f>
        <v>1</v>
      </c>
      <c r="P842" t="str">
        <f t="shared" si="32"/>
        <v>2018WEEKENDS</v>
      </c>
      <c r="Q842">
        <f t="shared" si="33"/>
        <v>1</v>
      </c>
      <c r="R842" s="195" t="str">
        <f t="shared" si="34"/>
        <v>2018LIGHT VEHICLES</v>
      </c>
    </row>
    <row r="843" spans="3:18" x14ac:dyDescent="0.25">
      <c r="C843" s="294" t="s">
        <v>829</v>
      </c>
      <c r="D843" s="317">
        <v>50260</v>
      </c>
      <c r="E843" s="122" t="s">
        <v>830</v>
      </c>
      <c r="F843" s="122" t="s">
        <v>831</v>
      </c>
      <c r="G843" s="122" t="s">
        <v>778</v>
      </c>
      <c r="H843" s="122" t="s">
        <v>777</v>
      </c>
      <c r="I843" s="312">
        <v>2018</v>
      </c>
      <c r="J843" s="122" t="s">
        <v>713</v>
      </c>
      <c r="K843" s="283">
        <v>25924</v>
      </c>
      <c r="L843" s="318">
        <v>-33.819763000000002</v>
      </c>
      <c r="M843" s="318">
        <v>151.05188000000001</v>
      </c>
      <c r="O843">
        <f>INDEX('MEC - traffic congestion'!$M$145:$M$249,MATCH($D843,'MEC - traffic congestion'!$C$145:$C$249,0))</f>
        <v>1</v>
      </c>
      <c r="P843" t="str">
        <f t="shared" si="32"/>
        <v>2018WEEKENDS</v>
      </c>
      <c r="Q843">
        <f t="shared" si="33"/>
        <v>1</v>
      </c>
      <c r="R843" s="195" t="str">
        <f t="shared" si="34"/>
        <v>2018LIGHT VEHICLES</v>
      </c>
    </row>
    <row r="844" spans="3:18" x14ac:dyDescent="0.25">
      <c r="C844" s="294" t="s">
        <v>829</v>
      </c>
      <c r="D844" s="317">
        <v>50260</v>
      </c>
      <c r="E844" s="122" t="s">
        <v>830</v>
      </c>
      <c r="F844" s="122" t="s">
        <v>831</v>
      </c>
      <c r="G844" s="122" t="s">
        <v>776</v>
      </c>
      <c r="H844" s="122" t="s">
        <v>777</v>
      </c>
      <c r="I844" s="312">
        <v>2019</v>
      </c>
      <c r="J844" s="122" t="s">
        <v>709</v>
      </c>
      <c r="K844" s="283">
        <v>6492</v>
      </c>
      <c r="L844" s="318">
        <v>-33.819763000000002</v>
      </c>
      <c r="M844" s="318">
        <v>151.05188000000001</v>
      </c>
      <c r="O844">
        <f>INDEX('MEC - traffic congestion'!$M$145:$M$249,MATCH($D844,'MEC - traffic congestion'!$C$145:$C$249,0))</f>
        <v>1</v>
      </c>
      <c r="P844" t="str">
        <f t="shared" si="32"/>
        <v>2019AM PEAK</v>
      </c>
      <c r="Q844">
        <f t="shared" si="33"/>
        <v>1</v>
      </c>
      <c r="R844" s="195" t="str">
        <f t="shared" si="34"/>
        <v>2019LIGHT VEHICLES</v>
      </c>
    </row>
    <row r="845" spans="3:18" x14ac:dyDescent="0.25">
      <c r="C845" s="294" t="s">
        <v>829</v>
      </c>
      <c r="D845" s="317">
        <v>50260</v>
      </c>
      <c r="E845" s="122" t="s">
        <v>830</v>
      </c>
      <c r="F845" s="122" t="s">
        <v>831</v>
      </c>
      <c r="G845" s="122" t="s">
        <v>778</v>
      </c>
      <c r="H845" s="122" t="s">
        <v>777</v>
      </c>
      <c r="I845" s="312">
        <v>2019</v>
      </c>
      <c r="J845" s="122" t="s">
        <v>709</v>
      </c>
      <c r="K845" s="283">
        <v>8594</v>
      </c>
      <c r="L845" s="318">
        <v>-33.819763000000002</v>
      </c>
      <c r="M845" s="318">
        <v>151.05188000000001</v>
      </c>
      <c r="O845">
        <f>INDEX('MEC - traffic congestion'!$M$145:$M$249,MATCH($D845,'MEC - traffic congestion'!$C$145:$C$249,0))</f>
        <v>1</v>
      </c>
      <c r="P845" t="str">
        <f t="shared" si="32"/>
        <v>2019AM PEAK</v>
      </c>
      <c r="Q845">
        <f t="shared" si="33"/>
        <v>1</v>
      </c>
      <c r="R845" s="195" t="str">
        <f t="shared" si="34"/>
        <v>2019LIGHT VEHICLES</v>
      </c>
    </row>
    <row r="846" spans="3:18" x14ac:dyDescent="0.25">
      <c r="C846" s="294" t="s">
        <v>829</v>
      </c>
      <c r="D846" s="317">
        <v>50260</v>
      </c>
      <c r="E846" s="122" t="s">
        <v>830</v>
      </c>
      <c r="F846" s="122" t="s">
        <v>831</v>
      </c>
      <c r="G846" s="122" t="s">
        <v>776</v>
      </c>
      <c r="H846" s="122" t="s">
        <v>777</v>
      </c>
      <c r="I846" s="312">
        <v>2019</v>
      </c>
      <c r="J846" s="122" t="s">
        <v>710</v>
      </c>
      <c r="K846" s="283">
        <v>10453</v>
      </c>
      <c r="L846" s="318">
        <v>-33.819763000000002</v>
      </c>
      <c r="M846" s="318">
        <v>151.05188000000001</v>
      </c>
      <c r="O846">
        <f>INDEX('MEC - traffic congestion'!$M$145:$M$249,MATCH($D846,'MEC - traffic congestion'!$C$145:$C$249,0))</f>
        <v>1</v>
      </c>
      <c r="P846" t="str">
        <f t="shared" si="32"/>
        <v>2019OFF PEAK</v>
      </c>
      <c r="Q846">
        <f t="shared" si="33"/>
        <v>1</v>
      </c>
      <c r="R846" s="195" t="str">
        <f t="shared" si="34"/>
        <v>2019LIGHT VEHICLES</v>
      </c>
    </row>
    <row r="847" spans="3:18" x14ac:dyDescent="0.25">
      <c r="C847" s="294" t="s">
        <v>829</v>
      </c>
      <c r="D847" s="317">
        <v>50260</v>
      </c>
      <c r="E847" s="122" t="s">
        <v>830</v>
      </c>
      <c r="F847" s="122" t="s">
        <v>831</v>
      </c>
      <c r="G847" s="122" t="s">
        <v>778</v>
      </c>
      <c r="H847" s="122" t="s">
        <v>777</v>
      </c>
      <c r="I847" s="312">
        <v>2019</v>
      </c>
      <c r="J847" s="122" t="s">
        <v>710</v>
      </c>
      <c r="K847" s="283">
        <v>10484</v>
      </c>
      <c r="L847" s="318">
        <v>-33.819763000000002</v>
      </c>
      <c r="M847" s="318">
        <v>151.05188000000001</v>
      </c>
      <c r="O847">
        <f>INDEX('MEC - traffic congestion'!$M$145:$M$249,MATCH($D847,'MEC - traffic congestion'!$C$145:$C$249,0))</f>
        <v>1</v>
      </c>
      <c r="P847" t="str">
        <f t="shared" si="32"/>
        <v>2019OFF PEAK</v>
      </c>
      <c r="Q847">
        <f t="shared" si="33"/>
        <v>1</v>
      </c>
      <c r="R847" s="195" t="str">
        <f t="shared" si="34"/>
        <v>2019LIGHT VEHICLES</v>
      </c>
    </row>
    <row r="848" spans="3:18" x14ac:dyDescent="0.25">
      <c r="C848" s="294" t="s">
        <v>829</v>
      </c>
      <c r="D848" s="317">
        <v>50260</v>
      </c>
      <c r="E848" s="122" t="s">
        <v>830</v>
      </c>
      <c r="F848" s="122" t="s">
        <v>831</v>
      </c>
      <c r="G848" s="122" t="s">
        <v>776</v>
      </c>
      <c r="H848" s="122" t="s">
        <v>777</v>
      </c>
      <c r="I848" s="312">
        <v>2019</v>
      </c>
      <c r="J848" s="122" t="s">
        <v>711</v>
      </c>
      <c r="K848" s="283">
        <v>6656</v>
      </c>
      <c r="L848" s="318">
        <v>-33.819763000000002</v>
      </c>
      <c r="M848" s="318">
        <v>151.05188000000001</v>
      </c>
      <c r="O848">
        <f>INDEX('MEC - traffic congestion'!$M$145:$M$249,MATCH($D848,'MEC - traffic congestion'!$C$145:$C$249,0))</f>
        <v>1</v>
      </c>
      <c r="P848" t="str">
        <f t="shared" si="32"/>
        <v>2019PM PEAK</v>
      </c>
      <c r="Q848">
        <f t="shared" si="33"/>
        <v>1</v>
      </c>
      <c r="R848" s="195" t="str">
        <f t="shared" si="34"/>
        <v>2019LIGHT VEHICLES</v>
      </c>
    </row>
    <row r="849" spans="3:18" x14ac:dyDescent="0.25">
      <c r="C849" s="294" t="s">
        <v>829</v>
      </c>
      <c r="D849" s="317">
        <v>50260</v>
      </c>
      <c r="E849" s="122" t="s">
        <v>830</v>
      </c>
      <c r="F849" s="122" t="s">
        <v>831</v>
      </c>
      <c r="G849" s="122" t="s">
        <v>778</v>
      </c>
      <c r="H849" s="122" t="s">
        <v>777</v>
      </c>
      <c r="I849" s="312">
        <v>2019</v>
      </c>
      <c r="J849" s="122" t="s">
        <v>711</v>
      </c>
      <c r="K849" s="283">
        <v>5588</v>
      </c>
      <c r="L849" s="318">
        <v>-33.819763000000002</v>
      </c>
      <c r="M849" s="318">
        <v>151.05188000000001</v>
      </c>
      <c r="O849">
        <f>INDEX('MEC - traffic congestion'!$M$145:$M$249,MATCH($D849,'MEC - traffic congestion'!$C$145:$C$249,0))</f>
        <v>1</v>
      </c>
      <c r="P849" t="str">
        <f t="shared" si="32"/>
        <v>2019PM PEAK</v>
      </c>
      <c r="Q849">
        <f t="shared" si="33"/>
        <v>1</v>
      </c>
      <c r="R849" s="195" t="str">
        <f t="shared" si="34"/>
        <v>2019LIGHT VEHICLES</v>
      </c>
    </row>
    <row r="850" spans="3:18" x14ac:dyDescent="0.25">
      <c r="C850" s="294" t="s">
        <v>829</v>
      </c>
      <c r="D850" s="317">
        <v>50260</v>
      </c>
      <c r="E850" s="122" t="s">
        <v>830</v>
      </c>
      <c r="F850" s="122" t="s">
        <v>831</v>
      </c>
      <c r="G850" s="122" t="s">
        <v>776</v>
      </c>
      <c r="H850" s="122" t="s">
        <v>777</v>
      </c>
      <c r="I850" s="312">
        <v>2019</v>
      </c>
      <c r="J850" s="122" t="s">
        <v>712</v>
      </c>
      <c r="K850" s="283">
        <v>24209</v>
      </c>
      <c r="L850" s="318">
        <v>-33.819763000000002</v>
      </c>
      <c r="M850" s="318">
        <v>151.05188000000001</v>
      </c>
      <c r="O850">
        <f>INDEX('MEC - traffic congestion'!$M$145:$M$249,MATCH($D850,'MEC - traffic congestion'!$C$145:$C$249,0))</f>
        <v>1</v>
      </c>
      <c r="P850" t="str">
        <f t="shared" si="32"/>
        <v>2019PUBLIC HOLIDAYS</v>
      </c>
      <c r="Q850">
        <f t="shared" si="33"/>
        <v>1</v>
      </c>
      <c r="R850" s="195" t="str">
        <f t="shared" si="34"/>
        <v>2019LIGHT VEHICLES</v>
      </c>
    </row>
    <row r="851" spans="3:18" x14ac:dyDescent="0.25">
      <c r="C851" s="294" t="s">
        <v>829</v>
      </c>
      <c r="D851" s="317">
        <v>50260</v>
      </c>
      <c r="E851" s="122" t="s">
        <v>830</v>
      </c>
      <c r="F851" s="122" t="s">
        <v>831</v>
      </c>
      <c r="G851" s="122" t="s">
        <v>778</v>
      </c>
      <c r="H851" s="122" t="s">
        <v>777</v>
      </c>
      <c r="I851" s="312">
        <v>2019</v>
      </c>
      <c r="J851" s="122" t="s">
        <v>712</v>
      </c>
      <c r="K851" s="283">
        <v>24000</v>
      </c>
      <c r="L851" s="318">
        <v>-33.819763000000002</v>
      </c>
      <c r="M851" s="318">
        <v>151.05188000000001</v>
      </c>
      <c r="O851">
        <f>INDEX('MEC - traffic congestion'!$M$145:$M$249,MATCH($D851,'MEC - traffic congestion'!$C$145:$C$249,0))</f>
        <v>1</v>
      </c>
      <c r="P851" t="str">
        <f t="shared" si="32"/>
        <v>2019PUBLIC HOLIDAYS</v>
      </c>
      <c r="Q851">
        <f t="shared" si="33"/>
        <v>1</v>
      </c>
      <c r="R851" s="195" t="str">
        <f t="shared" si="34"/>
        <v>2019LIGHT VEHICLES</v>
      </c>
    </row>
    <row r="852" spans="3:18" x14ac:dyDescent="0.25">
      <c r="C852" s="294" t="s">
        <v>829</v>
      </c>
      <c r="D852" s="317">
        <v>50260</v>
      </c>
      <c r="E852" s="122" t="s">
        <v>830</v>
      </c>
      <c r="F852" s="122" t="s">
        <v>831</v>
      </c>
      <c r="G852" s="122" t="s">
        <v>776</v>
      </c>
      <c r="H852" s="122" t="s">
        <v>777</v>
      </c>
      <c r="I852" s="312">
        <v>2019</v>
      </c>
      <c r="J852" s="122" t="s">
        <v>713</v>
      </c>
      <c r="K852" s="283">
        <v>16185</v>
      </c>
      <c r="L852" s="318">
        <v>-33.819763000000002</v>
      </c>
      <c r="M852" s="318">
        <v>151.05188000000001</v>
      </c>
      <c r="O852">
        <f>INDEX('MEC - traffic congestion'!$M$145:$M$249,MATCH($D852,'MEC - traffic congestion'!$C$145:$C$249,0))</f>
        <v>1</v>
      </c>
      <c r="P852" t="str">
        <f t="shared" si="32"/>
        <v>2019WEEKENDS</v>
      </c>
      <c r="Q852">
        <f t="shared" si="33"/>
        <v>1</v>
      </c>
      <c r="R852" s="195" t="str">
        <f t="shared" si="34"/>
        <v>2019LIGHT VEHICLES</v>
      </c>
    </row>
    <row r="853" spans="3:18" x14ac:dyDescent="0.25">
      <c r="C853" s="294" t="s">
        <v>829</v>
      </c>
      <c r="D853" s="317">
        <v>50260</v>
      </c>
      <c r="E853" s="122" t="s">
        <v>830</v>
      </c>
      <c r="F853" s="122" t="s">
        <v>831</v>
      </c>
      <c r="G853" s="122" t="s">
        <v>778</v>
      </c>
      <c r="H853" s="122" t="s">
        <v>777</v>
      </c>
      <c r="I853" s="312">
        <v>2019</v>
      </c>
      <c r="J853" s="122" t="s">
        <v>713</v>
      </c>
      <c r="K853" s="283">
        <v>16518</v>
      </c>
      <c r="L853" s="318">
        <v>-33.819763000000002</v>
      </c>
      <c r="M853" s="318">
        <v>151.05188000000001</v>
      </c>
      <c r="O853">
        <f>INDEX('MEC - traffic congestion'!$M$145:$M$249,MATCH($D853,'MEC - traffic congestion'!$C$145:$C$249,0))</f>
        <v>1</v>
      </c>
      <c r="P853" t="str">
        <f t="shared" ref="P853:P916" si="35">IF($O853=1,$I853&amp;$J853,"")</f>
        <v>2019WEEKENDS</v>
      </c>
      <c r="Q853">
        <f t="shared" ref="Q853:Q916" si="36">IF(AND($M853&gt;150.246,AND($L853&gt;-34.397,$L853&lt;-32.662)),1,0)</f>
        <v>1</v>
      </c>
      <c r="R853" s="195" t="str">
        <f t="shared" ref="R853:R916" si="37">IF($O853=1,$I853&amp;$H853,"")</f>
        <v>2019LIGHT VEHICLES</v>
      </c>
    </row>
    <row r="854" spans="3:18" x14ac:dyDescent="0.25">
      <c r="C854" s="294" t="s">
        <v>829</v>
      </c>
      <c r="D854" s="317">
        <v>50260</v>
      </c>
      <c r="E854" s="122" t="s">
        <v>830</v>
      </c>
      <c r="F854" s="122" t="s">
        <v>831</v>
      </c>
      <c r="G854" s="122" t="s">
        <v>776</v>
      </c>
      <c r="H854" s="122" t="s">
        <v>777</v>
      </c>
      <c r="I854" s="312">
        <v>2020</v>
      </c>
      <c r="J854" s="122" t="s">
        <v>709</v>
      </c>
      <c r="K854" s="283">
        <v>1311</v>
      </c>
      <c r="L854" s="318">
        <v>-33.819763000000002</v>
      </c>
      <c r="M854" s="318">
        <v>151.05188000000001</v>
      </c>
      <c r="O854">
        <f>INDEX('MEC - traffic congestion'!$M$145:$M$249,MATCH($D854,'MEC - traffic congestion'!$C$145:$C$249,0))</f>
        <v>1</v>
      </c>
      <c r="P854" t="str">
        <f t="shared" si="35"/>
        <v>2020AM PEAK</v>
      </c>
      <c r="Q854">
        <f t="shared" si="36"/>
        <v>1</v>
      </c>
      <c r="R854" s="195" t="str">
        <f t="shared" si="37"/>
        <v>2020LIGHT VEHICLES</v>
      </c>
    </row>
    <row r="855" spans="3:18" x14ac:dyDescent="0.25">
      <c r="C855" s="294" t="s">
        <v>829</v>
      </c>
      <c r="D855" s="317">
        <v>50260</v>
      </c>
      <c r="E855" s="122" t="s">
        <v>830</v>
      </c>
      <c r="F855" s="122" t="s">
        <v>831</v>
      </c>
      <c r="G855" s="122" t="s">
        <v>778</v>
      </c>
      <c r="H855" s="122" t="s">
        <v>777</v>
      </c>
      <c r="I855" s="312">
        <v>2020</v>
      </c>
      <c r="J855" s="122" t="s">
        <v>709</v>
      </c>
      <c r="K855" s="283">
        <v>1361</v>
      </c>
      <c r="L855" s="318">
        <v>-33.819763000000002</v>
      </c>
      <c r="M855" s="318">
        <v>151.05188000000001</v>
      </c>
      <c r="O855">
        <f>INDEX('MEC - traffic congestion'!$M$145:$M$249,MATCH($D855,'MEC - traffic congestion'!$C$145:$C$249,0))</f>
        <v>1</v>
      </c>
      <c r="P855" t="str">
        <f t="shared" si="35"/>
        <v>2020AM PEAK</v>
      </c>
      <c r="Q855">
        <f t="shared" si="36"/>
        <v>1</v>
      </c>
      <c r="R855" s="195" t="str">
        <f t="shared" si="37"/>
        <v>2020LIGHT VEHICLES</v>
      </c>
    </row>
    <row r="856" spans="3:18" x14ac:dyDescent="0.25">
      <c r="C856" s="294" t="s">
        <v>829</v>
      </c>
      <c r="D856" s="317">
        <v>50260</v>
      </c>
      <c r="E856" s="122" t="s">
        <v>830</v>
      </c>
      <c r="F856" s="122" t="s">
        <v>831</v>
      </c>
      <c r="G856" s="122" t="s">
        <v>776</v>
      </c>
      <c r="H856" s="122" t="s">
        <v>777</v>
      </c>
      <c r="I856" s="312">
        <v>2020</v>
      </c>
      <c r="J856" s="122" t="s">
        <v>710</v>
      </c>
      <c r="K856" s="283">
        <v>4552</v>
      </c>
      <c r="L856" s="318">
        <v>-33.819763000000002</v>
      </c>
      <c r="M856" s="318">
        <v>151.05188000000001</v>
      </c>
      <c r="O856">
        <f>INDEX('MEC - traffic congestion'!$M$145:$M$249,MATCH($D856,'MEC - traffic congestion'!$C$145:$C$249,0))</f>
        <v>1</v>
      </c>
      <c r="P856" t="str">
        <f t="shared" si="35"/>
        <v>2020OFF PEAK</v>
      </c>
      <c r="Q856">
        <f t="shared" si="36"/>
        <v>1</v>
      </c>
      <c r="R856" s="195" t="str">
        <f t="shared" si="37"/>
        <v>2020LIGHT VEHICLES</v>
      </c>
    </row>
    <row r="857" spans="3:18" x14ac:dyDescent="0.25">
      <c r="C857" s="294" t="s">
        <v>829</v>
      </c>
      <c r="D857" s="317">
        <v>50260</v>
      </c>
      <c r="E857" s="122" t="s">
        <v>830</v>
      </c>
      <c r="F857" s="122" t="s">
        <v>831</v>
      </c>
      <c r="G857" s="122" t="s">
        <v>778</v>
      </c>
      <c r="H857" s="122" t="s">
        <v>777</v>
      </c>
      <c r="I857" s="312">
        <v>2020</v>
      </c>
      <c r="J857" s="122" t="s">
        <v>710</v>
      </c>
      <c r="K857" s="283">
        <v>4175</v>
      </c>
      <c r="L857" s="318">
        <v>-33.819763000000002</v>
      </c>
      <c r="M857" s="318">
        <v>151.05188000000001</v>
      </c>
      <c r="O857">
        <f>INDEX('MEC - traffic congestion'!$M$145:$M$249,MATCH($D857,'MEC - traffic congestion'!$C$145:$C$249,0))</f>
        <v>1</v>
      </c>
      <c r="P857" t="str">
        <f t="shared" si="35"/>
        <v>2020OFF PEAK</v>
      </c>
      <c r="Q857">
        <f t="shared" si="36"/>
        <v>1</v>
      </c>
      <c r="R857" s="195" t="str">
        <f t="shared" si="37"/>
        <v>2020LIGHT VEHICLES</v>
      </c>
    </row>
    <row r="858" spans="3:18" x14ac:dyDescent="0.25">
      <c r="C858" s="294" t="s">
        <v>829</v>
      </c>
      <c r="D858" s="317">
        <v>50260</v>
      </c>
      <c r="E858" s="122" t="s">
        <v>830</v>
      </c>
      <c r="F858" s="122" t="s">
        <v>831</v>
      </c>
      <c r="G858" s="122" t="s">
        <v>776</v>
      </c>
      <c r="H858" s="122" t="s">
        <v>777</v>
      </c>
      <c r="I858" s="312">
        <v>2020</v>
      </c>
      <c r="J858" s="122" t="s">
        <v>711</v>
      </c>
      <c r="K858" s="283">
        <v>3615</v>
      </c>
      <c r="L858" s="318">
        <v>-33.819763000000002</v>
      </c>
      <c r="M858" s="318">
        <v>151.05188000000001</v>
      </c>
      <c r="O858">
        <f>INDEX('MEC - traffic congestion'!$M$145:$M$249,MATCH($D858,'MEC - traffic congestion'!$C$145:$C$249,0))</f>
        <v>1</v>
      </c>
      <c r="P858" t="str">
        <f t="shared" si="35"/>
        <v>2020PM PEAK</v>
      </c>
      <c r="Q858">
        <f t="shared" si="36"/>
        <v>1</v>
      </c>
      <c r="R858" s="195" t="str">
        <f t="shared" si="37"/>
        <v>2020LIGHT VEHICLES</v>
      </c>
    </row>
    <row r="859" spans="3:18" x14ac:dyDescent="0.25">
      <c r="C859" s="294" t="s">
        <v>829</v>
      </c>
      <c r="D859" s="317">
        <v>50260</v>
      </c>
      <c r="E859" s="122" t="s">
        <v>830</v>
      </c>
      <c r="F859" s="122" t="s">
        <v>831</v>
      </c>
      <c r="G859" s="122" t="s">
        <v>778</v>
      </c>
      <c r="H859" s="122" t="s">
        <v>777</v>
      </c>
      <c r="I859" s="312">
        <v>2020</v>
      </c>
      <c r="J859" s="122" t="s">
        <v>711</v>
      </c>
      <c r="K859" s="283">
        <v>2591</v>
      </c>
      <c r="L859" s="318">
        <v>-33.819763000000002</v>
      </c>
      <c r="M859" s="318">
        <v>151.05188000000001</v>
      </c>
      <c r="O859">
        <f>INDEX('MEC - traffic congestion'!$M$145:$M$249,MATCH($D859,'MEC - traffic congestion'!$C$145:$C$249,0))</f>
        <v>1</v>
      </c>
      <c r="P859" t="str">
        <f t="shared" si="35"/>
        <v>2020PM PEAK</v>
      </c>
      <c r="Q859">
        <f t="shared" si="36"/>
        <v>1</v>
      </c>
      <c r="R859" s="195" t="str">
        <f t="shared" si="37"/>
        <v>2020LIGHT VEHICLES</v>
      </c>
    </row>
    <row r="860" spans="3:18" x14ac:dyDescent="0.25">
      <c r="C860" s="294" t="s">
        <v>829</v>
      </c>
      <c r="D860" s="317">
        <v>50260</v>
      </c>
      <c r="E860" s="122" t="s">
        <v>830</v>
      </c>
      <c r="F860" s="122" t="s">
        <v>831</v>
      </c>
      <c r="G860" s="122" t="s">
        <v>776</v>
      </c>
      <c r="H860" s="122" t="s">
        <v>777</v>
      </c>
      <c r="I860" s="312">
        <v>2020</v>
      </c>
      <c r="J860" s="122" t="s">
        <v>713</v>
      </c>
      <c r="K860" s="283">
        <v>7993</v>
      </c>
      <c r="L860" s="318">
        <v>-33.819763000000002</v>
      </c>
      <c r="M860" s="318">
        <v>151.05188000000001</v>
      </c>
      <c r="O860">
        <f>INDEX('MEC - traffic congestion'!$M$145:$M$249,MATCH($D860,'MEC - traffic congestion'!$C$145:$C$249,0))</f>
        <v>1</v>
      </c>
      <c r="P860" t="str">
        <f t="shared" si="35"/>
        <v>2020WEEKENDS</v>
      </c>
      <c r="Q860">
        <f t="shared" si="36"/>
        <v>1</v>
      </c>
      <c r="R860" s="195" t="str">
        <f t="shared" si="37"/>
        <v>2020LIGHT VEHICLES</v>
      </c>
    </row>
    <row r="861" spans="3:18" x14ac:dyDescent="0.25">
      <c r="C861" s="294" t="s">
        <v>829</v>
      </c>
      <c r="D861" s="317">
        <v>50260</v>
      </c>
      <c r="E861" s="122" t="s">
        <v>830</v>
      </c>
      <c r="F861" s="122" t="s">
        <v>831</v>
      </c>
      <c r="G861" s="122" t="s">
        <v>778</v>
      </c>
      <c r="H861" s="122" t="s">
        <v>777</v>
      </c>
      <c r="I861" s="312">
        <v>2020</v>
      </c>
      <c r="J861" s="122" t="s">
        <v>713</v>
      </c>
      <c r="K861" s="283">
        <v>6857</v>
      </c>
      <c r="L861" s="318">
        <v>-33.819763000000002</v>
      </c>
      <c r="M861" s="318">
        <v>151.05188000000001</v>
      </c>
      <c r="O861">
        <f>INDEX('MEC - traffic congestion'!$M$145:$M$249,MATCH($D861,'MEC - traffic congestion'!$C$145:$C$249,0))</f>
        <v>1</v>
      </c>
      <c r="P861" t="str">
        <f t="shared" si="35"/>
        <v>2020WEEKENDS</v>
      </c>
      <c r="Q861">
        <f t="shared" si="36"/>
        <v>1</v>
      </c>
      <c r="R861" s="195" t="str">
        <f t="shared" si="37"/>
        <v>2020LIGHT VEHICLES</v>
      </c>
    </row>
    <row r="862" spans="3:18" x14ac:dyDescent="0.25">
      <c r="C862" s="294" t="s">
        <v>829</v>
      </c>
      <c r="D862" s="317">
        <v>50260</v>
      </c>
      <c r="E862" s="122" t="s">
        <v>830</v>
      </c>
      <c r="F862" s="122" t="s">
        <v>831</v>
      </c>
      <c r="G862" s="122" t="s">
        <v>776</v>
      </c>
      <c r="H862" s="122" t="s">
        <v>777</v>
      </c>
      <c r="I862" s="312">
        <v>2021</v>
      </c>
      <c r="J862" s="122" t="s">
        <v>709</v>
      </c>
      <c r="K862" s="283">
        <v>6217</v>
      </c>
      <c r="L862" s="318">
        <v>-33.819763000000002</v>
      </c>
      <c r="M862" s="318">
        <v>151.05188000000001</v>
      </c>
      <c r="O862">
        <f>INDEX('MEC - traffic congestion'!$M$145:$M$249,MATCH($D862,'MEC - traffic congestion'!$C$145:$C$249,0))</f>
        <v>1</v>
      </c>
      <c r="P862" t="str">
        <f t="shared" si="35"/>
        <v>2021AM PEAK</v>
      </c>
      <c r="Q862">
        <f t="shared" si="36"/>
        <v>1</v>
      </c>
      <c r="R862" s="195" t="str">
        <f t="shared" si="37"/>
        <v>2021LIGHT VEHICLES</v>
      </c>
    </row>
    <row r="863" spans="3:18" x14ac:dyDescent="0.25">
      <c r="C863" s="294" t="s">
        <v>829</v>
      </c>
      <c r="D863" s="317">
        <v>50260</v>
      </c>
      <c r="E863" s="122" t="s">
        <v>830</v>
      </c>
      <c r="F863" s="122" t="s">
        <v>831</v>
      </c>
      <c r="G863" s="122" t="s">
        <v>778</v>
      </c>
      <c r="H863" s="122" t="s">
        <v>777</v>
      </c>
      <c r="I863" s="312">
        <v>2021</v>
      </c>
      <c r="J863" s="122" t="s">
        <v>709</v>
      </c>
      <c r="K863" s="283">
        <v>7951</v>
      </c>
      <c r="L863" s="318">
        <v>-33.819763000000002</v>
      </c>
      <c r="M863" s="318">
        <v>151.05188000000001</v>
      </c>
      <c r="O863">
        <f>INDEX('MEC - traffic congestion'!$M$145:$M$249,MATCH($D863,'MEC - traffic congestion'!$C$145:$C$249,0))</f>
        <v>1</v>
      </c>
      <c r="P863" t="str">
        <f t="shared" si="35"/>
        <v>2021AM PEAK</v>
      </c>
      <c r="Q863">
        <f t="shared" si="36"/>
        <v>1</v>
      </c>
      <c r="R863" s="195" t="str">
        <f t="shared" si="37"/>
        <v>2021LIGHT VEHICLES</v>
      </c>
    </row>
    <row r="864" spans="3:18" x14ac:dyDescent="0.25">
      <c r="C864" s="294" t="s">
        <v>829</v>
      </c>
      <c r="D864" s="317">
        <v>50260</v>
      </c>
      <c r="E864" s="122" t="s">
        <v>830</v>
      </c>
      <c r="F864" s="122" t="s">
        <v>831</v>
      </c>
      <c r="G864" s="122" t="s">
        <v>776</v>
      </c>
      <c r="H864" s="122" t="s">
        <v>777</v>
      </c>
      <c r="I864" s="312">
        <v>2021</v>
      </c>
      <c r="J864" s="122" t="s">
        <v>710</v>
      </c>
      <c r="K864" s="283">
        <v>12113</v>
      </c>
      <c r="L864" s="318">
        <v>-33.819763000000002</v>
      </c>
      <c r="M864" s="318">
        <v>151.05188000000001</v>
      </c>
      <c r="O864">
        <f>INDEX('MEC - traffic congestion'!$M$145:$M$249,MATCH($D864,'MEC - traffic congestion'!$C$145:$C$249,0))</f>
        <v>1</v>
      </c>
      <c r="P864" t="str">
        <f t="shared" si="35"/>
        <v>2021OFF PEAK</v>
      </c>
      <c r="Q864">
        <f t="shared" si="36"/>
        <v>1</v>
      </c>
      <c r="R864" s="195" t="str">
        <f t="shared" si="37"/>
        <v>2021LIGHT VEHICLES</v>
      </c>
    </row>
    <row r="865" spans="3:18" x14ac:dyDescent="0.25">
      <c r="C865" s="294" t="s">
        <v>829</v>
      </c>
      <c r="D865" s="317">
        <v>50260</v>
      </c>
      <c r="E865" s="122" t="s">
        <v>830</v>
      </c>
      <c r="F865" s="122" t="s">
        <v>831</v>
      </c>
      <c r="G865" s="122" t="s">
        <v>778</v>
      </c>
      <c r="H865" s="122" t="s">
        <v>777</v>
      </c>
      <c r="I865" s="312">
        <v>2021</v>
      </c>
      <c r="J865" s="122" t="s">
        <v>710</v>
      </c>
      <c r="K865" s="283">
        <v>11408</v>
      </c>
      <c r="L865" s="318">
        <v>-33.819763000000002</v>
      </c>
      <c r="M865" s="318">
        <v>151.05188000000001</v>
      </c>
      <c r="O865">
        <f>INDEX('MEC - traffic congestion'!$M$145:$M$249,MATCH($D865,'MEC - traffic congestion'!$C$145:$C$249,0))</f>
        <v>1</v>
      </c>
      <c r="P865" t="str">
        <f t="shared" si="35"/>
        <v>2021OFF PEAK</v>
      </c>
      <c r="Q865">
        <f t="shared" si="36"/>
        <v>1</v>
      </c>
      <c r="R865" s="195" t="str">
        <f t="shared" si="37"/>
        <v>2021LIGHT VEHICLES</v>
      </c>
    </row>
    <row r="866" spans="3:18" x14ac:dyDescent="0.25">
      <c r="C866" s="294" t="s">
        <v>829</v>
      </c>
      <c r="D866" s="317">
        <v>50260</v>
      </c>
      <c r="E866" s="122" t="s">
        <v>830</v>
      </c>
      <c r="F866" s="122" t="s">
        <v>831</v>
      </c>
      <c r="G866" s="122" t="s">
        <v>776</v>
      </c>
      <c r="H866" s="122" t="s">
        <v>777</v>
      </c>
      <c r="I866" s="312">
        <v>2021</v>
      </c>
      <c r="J866" s="122" t="s">
        <v>711</v>
      </c>
      <c r="K866" s="283">
        <v>8785</v>
      </c>
      <c r="L866" s="318">
        <v>-33.819763000000002</v>
      </c>
      <c r="M866" s="318">
        <v>151.05188000000001</v>
      </c>
      <c r="O866">
        <f>INDEX('MEC - traffic congestion'!$M$145:$M$249,MATCH($D866,'MEC - traffic congestion'!$C$145:$C$249,0))</f>
        <v>1</v>
      </c>
      <c r="P866" t="str">
        <f t="shared" si="35"/>
        <v>2021PM PEAK</v>
      </c>
      <c r="Q866">
        <f t="shared" si="36"/>
        <v>1</v>
      </c>
      <c r="R866" s="195" t="str">
        <f t="shared" si="37"/>
        <v>2021LIGHT VEHICLES</v>
      </c>
    </row>
    <row r="867" spans="3:18" x14ac:dyDescent="0.25">
      <c r="C867" s="294" t="s">
        <v>829</v>
      </c>
      <c r="D867" s="317">
        <v>50260</v>
      </c>
      <c r="E867" s="122" t="s">
        <v>830</v>
      </c>
      <c r="F867" s="122" t="s">
        <v>831</v>
      </c>
      <c r="G867" s="122" t="s">
        <v>778</v>
      </c>
      <c r="H867" s="122" t="s">
        <v>777</v>
      </c>
      <c r="I867" s="312">
        <v>2021</v>
      </c>
      <c r="J867" s="122" t="s">
        <v>711</v>
      </c>
      <c r="K867" s="283">
        <v>7024</v>
      </c>
      <c r="L867" s="318">
        <v>-33.819763000000002</v>
      </c>
      <c r="M867" s="318">
        <v>151.05188000000001</v>
      </c>
      <c r="O867">
        <f>INDEX('MEC - traffic congestion'!$M$145:$M$249,MATCH($D867,'MEC - traffic congestion'!$C$145:$C$249,0))</f>
        <v>1</v>
      </c>
      <c r="P867" t="str">
        <f t="shared" si="35"/>
        <v>2021PM PEAK</v>
      </c>
      <c r="Q867">
        <f t="shared" si="36"/>
        <v>1</v>
      </c>
      <c r="R867" s="195" t="str">
        <f t="shared" si="37"/>
        <v>2021LIGHT VEHICLES</v>
      </c>
    </row>
    <row r="868" spans="3:18" x14ac:dyDescent="0.25">
      <c r="C868" s="294" t="s">
        <v>829</v>
      </c>
      <c r="D868" s="317">
        <v>50260</v>
      </c>
      <c r="E868" s="122" t="s">
        <v>830</v>
      </c>
      <c r="F868" s="122" t="s">
        <v>831</v>
      </c>
      <c r="G868" s="122" t="s">
        <v>776</v>
      </c>
      <c r="H868" s="122" t="s">
        <v>777</v>
      </c>
      <c r="I868" s="312">
        <v>2021</v>
      </c>
      <c r="J868" s="122" t="s">
        <v>713</v>
      </c>
      <c r="K868" s="283">
        <v>21503</v>
      </c>
      <c r="L868" s="318">
        <v>-33.819763000000002</v>
      </c>
      <c r="M868" s="318">
        <v>151.05188000000001</v>
      </c>
      <c r="O868">
        <f>INDEX('MEC - traffic congestion'!$M$145:$M$249,MATCH($D868,'MEC - traffic congestion'!$C$145:$C$249,0))</f>
        <v>1</v>
      </c>
      <c r="P868" t="str">
        <f t="shared" si="35"/>
        <v>2021WEEKENDS</v>
      </c>
      <c r="Q868">
        <f t="shared" si="36"/>
        <v>1</v>
      </c>
      <c r="R868" s="195" t="str">
        <f t="shared" si="37"/>
        <v>2021LIGHT VEHICLES</v>
      </c>
    </row>
    <row r="869" spans="3:18" x14ac:dyDescent="0.25">
      <c r="C869" s="294" t="s">
        <v>829</v>
      </c>
      <c r="D869" s="317">
        <v>50260</v>
      </c>
      <c r="E869" s="122" t="s">
        <v>830</v>
      </c>
      <c r="F869" s="122" t="s">
        <v>831</v>
      </c>
      <c r="G869" s="122" t="s">
        <v>778</v>
      </c>
      <c r="H869" s="122" t="s">
        <v>777</v>
      </c>
      <c r="I869" s="312">
        <v>2021</v>
      </c>
      <c r="J869" s="122" t="s">
        <v>713</v>
      </c>
      <c r="K869" s="283">
        <v>20967</v>
      </c>
      <c r="L869" s="318">
        <v>-33.819763000000002</v>
      </c>
      <c r="M869" s="318">
        <v>151.05188000000001</v>
      </c>
      <c r="O869">
        <f>INDEX('MEC - traffic congestion'!$M$145:$M$249,MATCH($D869,'MEC - traffic congestion'!$C$145:$C$249,0))</f>
        <v>1</v>
      </c>
      <c r="P869" t="str">
        <f t="shared" si="35"/>
        <v>2021WEEKENDS</v>
      </c>
      <c r="Q869">
        <f t="shared" si="36"/>
        <v>1</v>
      </c>
      <c r="R869" s="195" t="str">
        <f t="shared" si="37"/>
        <v>2021LIGHT VEHICLES</v>
      </c>
    </row>
    <row r="870" spans="3:18" x14ac:dyDescent="0.25">
      <c r="C870" s="294" t="s">
        <v>829</v>
      </c>
      <c r="D870" s="317">
        <v>50260</v>
      </c>
      <c r="E870" s="122" t="s">
        <v>830</v>
      </c>
      <c r="F870" s="122" t="s">
        <v>831</v>
      </c>
      <c r="G870" s="122" t="s">
        <v>776</v>
      </c>
      <c r="H870" s="122" t="s">
        <v>777</v>
      </c>
      <c r="I870" s="312">
        <v>2022</v>
      </c>
      <c r="J870" s="122" t="s">
        <v>709</v>
      </c>
      <c r="K870" s="283">
        <v>6506</v>
      </c>
      <c r="L870" s="318">
        <v>-33.819763000000002</v>
      </c>
      <c r="M870" s="318">
        <v>151.05188000000001</v>
      </c>
      <c r="O870">
        <f>INDEX('MEC - traffic congestion'!$M$145:$M$249,MATCH($D870,'MEC - traffic congestion'!$C$145:$C$249,0))</f>
        <v>1</v>
      </c>
      <c r="P870" t="str">
        <f t="shared" si="35"/>
        <v>2022AM PEAK</v>
      </c>
      <c r="Q870">
        <f t="shared" si="36"/>
        <v>1</v>
      </c>
      <c r="R870" s="195" t="str">
        <f t="shared" si="37"/>
        <v>2022LIGHT VEHICLES</v>
      </c>
    </row>
    <row r="871" spans="3:18" x14ac:dyDescent="0.25">
      <c r="C871" s="294" t="s">
        <v>829</v>
      </c>
      <c r="D871" s="317">
        <v>50260</v>
      </c>
      <c r="E871" s="122" t="s">
        <v>830</v>
      </c>
      <c r="F871" s="122" t="s">
        <v>831</v>
      </c>
      <c r="G871" s="122" t="s">
        <v>778</v>
      </c>
      <c r="H871" s="122" t="s">
        <v>777</v>
      </c>
      <c r="I871" s="312">
        <v>2022</v>
      </c>
      <c r="J871" s="122" t="s">
        <v>709</v>
      </c>
      <c r="K871" s="283">
        <v>8312</v>
      </c>
      <c r="L871" s="318">
        <v>-33.819763000000002</v>
      </c>
      <c r="M871" s="318">
        <v>151.05188000000001</v>
      </c>
      <c r="O871">
        <f>INDEX('MEC - traffic congestion'!$M$145:$M$249,MATCH($D871,'MEC - traffic congestion'!$C$145:$C$249,0))</f>
        <v>1</v>
      </c>
      <c r="P871" t="str">
        <f t="shared" si="35"/>
        <v>2022AM PEAK</v>
      </c>
      <c r="Q871">
        <f t="shared" si="36"/>
        <v>1</v>
      </c>
      <c r="R871" s="195" t="str">
        <f t="shared" si="37"/>
        <v>2022LIGHT VEHICLES</v>
      </c>
    </row>
    <row r="872" spans="3:18" x14ac:dyDescent="0.25">
      <c r="C872" s="294" t="s">
        <v>829</v>
      </c>
      <c r="D872" s="317">
        <v>50260</v>
      </c>
      <c r="E872" s="122" t="s">
        <v>830</v>
      </c>
      <c r="F872" s="122" t="s">
        <v>831</v>
      </c>
      <c r="G872" s="122" t="s">
        <v>776</v>
      </c>
      <c r="H872" s="122" t="s">
        <v>777</v>
      </c>
      <c r="I872" s="312">
        <v>2022</v>
      </c>
      <c r="J872" s="122" t="s">
        <v>710</v>
      </c>
      <c r="K872" s="283">
        <v>13142</v>
      </c>
      <c r="L872" s="318">
        <v>-33.819763000000002</v>
      </c>
      <c r="M872" s="318">
        <v>151.05188000000001</v>
      </c>
      <c r="O872">
        <f>INDEX('MEC - traffic congestion'!$M$145:$M$249,MATCH($D872,'MEC - traffic congestion'!$C$145:$C$249,0))</f>
        <v>1</v>
      </c>
      <c r="P872" t="str">
        <f t="shared" si="35"/>
        <v>2022OFF PEAK</v>
      </c>
      <c r="Q872">
        <f t="shared" si="36"/>
        <v>1</v>
      </c>
      <c r="R872" s="195" t="str">
        <f t="shared" si="37"/>
        <v>2022LIGHT VEHICLES</v>
      </c>
    </row>
    <row r="873" spans="3:18" x14ac:dyDescent="0.25">
      <c r="C873" s="294" t="s">
        <v>829</v>
      </c>
      <c r="D873" s="317">
        <v>50260</v>
      </c>
      <c r="E873" s="122" t="s">
        <v>830</v>
      </c>
      <c r="F873" s="122" t="s">
        <v>831</v>
      </c>
      <c r="G873" s="122" t="s">
        <v>778</v>
      </c>
      <c r="H873" s="122" t="s">
        <v>777</v>
      </c>
      <c r="I873" s="312">
        <v>2022</v>
      </c>
      <c r="J873" s="122" t="s">
        <v>710</v>
      </c>
      <c r="K873" s="283">
        <v>12449</v>
      </c>
      <c r="L873" s="318">
        <v>-33.819763000000002</v>
      </c>
      <c r="M873" s="318">
        <v>151.05188000000001</v>
      </c>
      <c r="O873">
        <f>INDEX('MEC - traffic congestion'!$M$145:$M$249,MATCH($D873,'MEC - traffic congestion'!$C$145:$C$249,0))</f>
        <v>1</v>
      </c>
      <c r="P873" t="str">
        <f t="shared" si="35"/>
        <v>2022OFF PEAK</v>
      </c>
      <c r="Q873">
        <f t="shared" si="36"/>
        <v>1</v>
      </c>
      <c r="R873" s="195" t="str">
        <f t="shared" si="37"/>
        <v>2022LIGHT VEHICLES</v>
      </c>
    </row>
    <row r="874" spans="3:18" x14ac:dyDescent="0.25">
      <c r="C874" s="294" t="s">
        <v>829</v>
      </c>
      <c r="D874" s="317">
        <v>50260</v>
      </c>
      <c r="E874" s="122" t="s">
        <v>830</v>
      </c>
      <c r="F874" s="122" t="s">
        <v>831</v>
      </c>
      <c r="G874" s="122" t="s">
        <v>776</v>
      </c>
      <c r="H874" s="122" t="s">
        <v>777</v>
      </c>
      <c r="I874" s="312">
        <v>2022</v>
      </c>
      <c r="J874" s="122" t="s">
        <v>711</v>
      </c>
      <c r="K874" s="283">
        <v>9373</v>
      </c>
      <c r="L874" s="318">
        <v>-33.819763000000002</v>
      </c>
      <c r="M874" s="318">
        <v>151.05188000000001</v>
      </c>
      <c r="O874">
        <f>INDEX('MEC - traffic congestion'!$M$145:$M$249,MATCH($D874,'MEC - traffic congestion'!$C$145:$C$249,0))</f>
        <v>1</v>
      </c>
      <c r="P874" t="str">
        <f t="shared" si="35"/>
        <v>2022PM PEAK</v>
      </c>
      <c r="Q874">
        <f t="shared" si="36"/>
        <v>1</v>
      </c>
      <c r="R874" s="195" t="str">
        <f t="shared" si="37"/>
        <v>2022LIGHT VEHICLES</v>
      </c>
    </row>
    <row r="875" spans="3:18" x14ac:dyDescent="0.25">
      <c r="C875" s="294" t="s">
        <v>829</v>
      </c>
      <c r="D875" s="317">
        <v>50260</v>
      </c>
      <c r="E875" s="122" t="s">
        <v>830</v>
      </c>
      <c r="F875" s="122" t="s">
        <v>831</v>
      </c>
      <c r="G875" s="122" t="s">
        <v>778</v>
      </c>
      <c r="H875" s="122" t="s">
        <v>777</v>
      </c>
      <c r="I875" s="312">
        <v>2022</v>
      </c>
      <c r="J875" s="122" t="s">
        <v>711</v>
      </c>
      <c r="K875" s="283">
        <v>7881</v>
      </c>
      <c r="L875" s="318">
        <v>-33.819763000000002</v>
      </c>
      <c r="M875" s="318">
        <v>151.05188000000001</v>
      </c>
      <c r="O875">
        <f>INDEX('MEC - traffic congestion'!$M$145:$M$249,MATCH($D875,'MEC - traffic congestion'!$C$145:$C$249,0))</f>
        <v>1</v>
      </c>
      <c r="P875" t="str">
        <f t="shared" si="35"/>
        <v>2022PM PEAK</v>
      </c>
      <c r="Q875">
        <f t="shared" si="36"/>
        <v>1</v>
      </c>
      <c r="R875" s="195" t="str">
        <f t="shared" si="37"/>
        <v>2022LIGHT VEHICLES</v>
      </c>
    </row>
    <row r="876" spans="3:18" x14ac:dyDescent="0.25">
      <c r="C876" s="294" t="s">
        <v>829</v>
      </c>
      <c r="D876" s="317">
        <v>50260</v>
      </c>
      <c r="E876" s="122" t="s">
        <v>830</v>
      </c>
      <c r="F876" s="122" t="s">
        <v>831</v>
      </c>
      <c r="G876" s="122" t="s">
        <v>776</v>
      </c>
      <c r="H876" s="122" t="s">
        <v>777</v>
      </c>
      <c r="I876" s="312">
        <v>2022</v>
      </c>
      <c r="J876" s="122" t="s">
        <v>713</v>
      </c>
      <c r="K876" s="283">
        <v>25475</v>
      </c>
      <c r="L876" s="318">
        <v>-33.819763000000002</v>
      </c>
      <c r="M876" s="318">
        <v>151.05188000000001</v>
      </c>
      <c r="O876">
        <f>INDEX('MEC - traffic congestion'!$M$145:$M$249,MATCH($D876,'MEC - traffic congestion'!$C$145:$C$249,0))</f>
        <v>1</v>
      </c>
      <c r="P876" t="str">
        <f t="shared" si="35"/>
        <v>2022WEEKENDS</v>
      </c>
      <c r="Q876">
        <f t="shared" si="36"/>
        <v>1</v>
      </c>
      <c r="R876" s="195" t="str">
        <f t="shared" si="37"/>
        <v>2022LIGHT VEHICLES</v>
      </c>
    </row>
    <row r="877" spans="3:18" x14ac:dyDescent="0.25">
      <c r="C877" s="294" t="s">
        <v>829</v>
      </c>
      <c r="D877" s="317">
        <v>50260</v>
      </c>
      <c r="E877" s="122" t="s">
        <v>830</v>
      </c>
      <c r="F877" s="122" t="s">
        <v>831</v>
      </c>
      <c r="G877" s="122" t="s">
        <v>778</v>
      </c>
      <c r="H877" s="122" t="s">
        <v>777</v>
      </c>
      <c r="I877" s="312">
        <v>2022</v>
      </c>
      <c r="J877" s="122" t="s">
        <v>713</v>
      </c>
      <c r="K877" s="283">
        <v>25399</v>
      </c>
      <c r="L877" s="318">
        <v>-33.819763000000002</v>
      </c>
      <c r="M877" s="318">
        <v>151.05188000000001</v>
      </c>
      <c r="O877">
        <f>INDEX('MEC - traffic congestion'!$M$145:$M$249,MATCH($D877,'MEC - traffic congestion'!$C$145:$C$249,0))</f>
        <v>1</v>
      </c>
      <c r="P877" t="str">
        <f t="shared" si="35"/>
        <v>2022WEEKENDS</v>
      </c>
      <c r="Q877">
        <f t="shared" si="36"/>
        <v>1</v>
      </c>
      <c r="R877" s="195" t="str">
        <f t="shared" si="37"/>
        <v>2022LIGHT VEHICLES</v>
      </c>
    </row>
    <row r="878" spans="3:18" x14ac:dyDescent="0.25">
      <c r="C878" s="294" t="s">
        <v>829</v>
      </c>
      <c r="D878" s="317">
        <v>50260</v>
      </c>
      <c r="E878" s="122" t="s">
        <v>830</v>
      </c>
      <c r="F878" s="122" t="s">
        <v>831</v>
      </c>
      <c r="G878" s="122" t="s">
        <v>776</v>
      </c>
      <c r="H878" s="122" t="s">
        <v>777</v>
      </c>
      <c r="I878" s="312">
        <v>2023</v>
      </c>
      <c r="J878" s="122" t="s">
        <v>709</v>
      </c>
      <c r="K878" s="283">
        <v>6724</v>
      </c>
      <c r="L878" s="318">
        <v>-33.819763000000002</v>
      </c>
      <c r="M878" s="318">
        <v>151.05188000000001</v>
      </c>
      <c r="O878">
        <f>INDEX('MEC - traffic congestion'!$M$145:$M$249,MATCH($D878,'MEC - traffic congestion'!$C$145:$C$249,0))</f>
        <v>1</v>
      </c>
      <c r="P878" t="str">
        <f t="shared" si="35"/>
        <v>2023AM PEAK</v>
      </c>
      <c r="Q878">
        <f t="shared" si="36"/>
        <v>1</v>
      </c>
      <c r="R878" s="195" t="str">
        <f t="shared" si="37"/>
        <v>2023LIGHT VEHICLES</v>
      </c>
    </row>
    <row r="879" spans="3:18" x14ac:dyDescent="0.25">
      <c r="C879" s="294" t="s">
        <v>829</v>
      </c>
      <c r="D879" s="317">
        <v>50260</v>
      </c>
      <c r="E879" s="122" t="s">
        <v>830</v>
      </c>
      <c r="F879" s="122" t="s">
        <v>831</v>
      </c>
      <c r="G879" s="122" t="s">
        <v>778</v>
      </c>
      <c r="H879" s="122" t="s">
        <v>777</v>
      </c>
      <c r="I879" s="312">
        <v>2023</v>
      </c>
      <c r="J879" s="122" t="s">
        <v>709</v>
      </c>
      <c r="K879" s="283">
        <v>9080</v>
      </c>
      <c r="L879" s="318">
        <v>-33.819763000000002</v>
      </c>
      <c r="M879" s="318">
        <v>151.05188000000001</v>
      </c>
      <c r="O879">
        <f>INDEX('MEC - traffic congestion'!$M$145:$M$249,MATCH($D879,'MEC - traffic congestion'!$C$145:$C$249,0))</f>
        <v>1</v>
      </c>
      <c r="P879" t="str">
        <f t="shared" si="35"/>
        <v>2023AM PEAK</v>
      </c>
      <c r="Q879">
        <f t="shared" si="36"/>
        <v>1</v>
      </c>
      <c r="R879" s="195" t="str">
        <f t="shared" si="37"/>
        <v>2023LIGHT VEHICLES</v>
      </c>
    </row>
    <row r="880" spans="3:18" x14ac:dyDescent="0.25">
      <c r="C880" s="294" t="s">
        <v>829</v>
      </c>
      <c r="D880" s="317">
        <v>50260</v>
      </c>
      <c r="E880" s="122" t="s">
        <v>830</v>
      </c>
      <c r="F880" s="122" t="s">
        <v>831</v>
      </c>
      <c r="G880" s="122" t="s">
        <v>776</v>
      </c>
      <c r="H880" s="122" t="s">
        <v>777</v>
      </c>
      <c r="I880" s="312">
        <v>2023</v>
      </c>
      <c r="J880" s="122" t="s">
        <v>710</v>
      </c>
      <c r="K880" s="283">
        <v>13927</v>
      </c>
      <c r="L880" s="318">
        <v>-33.819763000000002</v>
      </c>
      <c r="M880" s="318">
        <v>151.05188000000001</v>
      </c>
      <c r="O880">
        <f>INDEX('MEC - traffic congestion'!$M$145:$M$249,MATCH($D880,'MEC - traffic congestion'!$C$145:$C$249,0))</f>
        <v>1</v>
      </c>
      <c r="P880" t="str">
        <f t="shared" si="35"/>
        <v>2023OFF PEAK</v>
      </c>
      <c r="Q880">
        <f t="shared" si="36"/>
        <v>1</v>
      </c>
      <c r="R880" s="195" t="str">
        <f t="shared" si="37"/>
        <v>2023LIGHT VEHICLES</v>
      </c>
    </row>
    <row r="881" spans="3:18" x14ac:dyDescent="0.25">
      <c r="C881" s="294" t="s">
        <v>829</v>
      </c>
      <c r="D881" s="317">
        <v>50260</v>
      </c>
      <c r="E881" s="122" t="s">
        <v>830</v>
      </c>
      <c r="F881" s="122" t="s">
        <v>831</v>
      </c>
      <c r="G881" s="122" t="s">
        <v>778</v>
      </c>
      <c r="H881" s="122" t="s">
        <v>777</v>
      </c>
      <c r="I881" s="312">
        <v>2023</v>
      </c>
      <c r="J881" s="122" t="s">
        <v>710</v>
      </c>
      <c r="K881" s="283">
        <v>12966</v>
      </c>
      <c r="L881" s="318">
        <v>-33.819763000000002</v>
      </c>
      <c r="M881" s="318">
        <v>151.05188000000001</v>
      </c>
      <c r="O881">
        <f>INDEX('MEC - traffic congestion'!$M$145:$M$249,MATCH($D881,'MEC - traffic congestion'!$C$145:$C$249,0))</f>
        <v>1</v>
      </c>
      <c r="P881" t="str">
        <f t="shared" si="35"/>
        <v>2023OFF PEAK</v>
      </c>
      <c r="Q881">
        <f t="shared" si="36"/>
        <v>1</v>
      </c>
      <c r="R881" s="195" t="str">
        <f t="shared" si="37"/>
        <v>2023LIGHT VEHICLES</v>
      </c>
    </row>
    <row r="882" spans="3:18" x14ac:dyDescent="0.25">
      <c r="C882" s="294" t="s">
        <v>829</v>
      </c>
      <c r="D882" s="317">
        <v>50260</v>
      </c>
      <c r="E882" s="122" t="s">
        <v>830</v>
      </c>
      <c r="F882" s="122" t="s">
        <v>831</v>
      </c>
      <c r="G882" s="122" t="s">
        <v>776</v>
      </c>
      <c r="H882" s="122" t="s">
        <v>777</v>
      </c>
      <c r="I882" s="312">
        <v>2023</v>
      </c>
      <c r="J882" s="122" t="s">
        <v>711</v>
      </c>
      <c r="K882" s="283">
        <v>10081</v>
      </c>
      <c r="L882" s="318">
        <v>-33.819763000000002</v>
      </c>
      <c r="M882" s="318">
        <v>151.05188000000001</v>
      </c>
      <c r="O882">
        <f>INDEX('MEC - traffic congestion'!$M$145:$M$249,MATCH($D882,'MEC - traffic congestion'!$C$145:$C$249,0))</f>
        <v>1</v>
      </c>
      <c r="P882" t="str">
        <f t="shared" si="35"/>
        <v>2023PM PEAK</v>
      </c>
      <c r="Q882">
        <f t="shared" si="36"/>
        <v>1</v>
      </c>
      <c r="R882" s="195" t="str">
        <f t="shared" si="37"/>
        <v>2023LIGHT VEHICLES</v>
      </c>
    </row>
    <row r="883" spans="3:18" x14ac:dyDescent="0.25">
      <c r="C883" s="294" t="s">
        <v>829</v>
      </c>
      <c r="D883" s="317">
        <v>50260</v>
      </c>
      <c r="E883" s="122" t="s">
        <v>830</v>
      </c>
      <c r="F883" s="122" t="s">
        <v>831</v>
      </c>
      <c r="G883" s="122" t="s">
        <v>778</v>
      </c>
      <c r="H883" s="122" t="s">
        <v>777</v>
      </c>
      <c r="I883" s="312">
        <v>2023</v>
      </c>
      <c r="J883" s="122" t="s">
        <v>711</v>
      </c>
      <c r="K883" s="283">
        <v>8337</v>
      </c>
      <c r="L883" s="318">
        <v>-33.819763000000002</v>
      </c>
      <c r="M883" s="318">
        <v>151.05188000000001</v>
      </c>
      <c r="O883">
        <f>INDEX('MEC - traffic congestion'!$M$145:$M$249,MATCH($D883,'MEC - traffic congestion'!$C$145:$C$249,0))</f>
        <v>1</v>
      </c>
      <c r="P883" t="str">
        <f t="shared" si="35"/>
        <v>2023PM PEAK</v>
      </c>
      <c r="Q883">
        <f t="shared" si="36"/>
        <v>1</v>
      </c>
      <c r="R883" s="195" t="str">
        <f t="shared" si="37"/>
        <v>2023LIGHT VEHICLES</v>
      </c>
    </row>
    <row r="884" spans="3:18" x14ac:dyDescent="0.25">
      <c r="C884" s="294" t="s">
        <v>829</v>
      </c>
      <c r="D884" s="317">
        <v>50260</v>
      </c>
      <c r="E884" s="122" t="s">
        <v>830</v>
      </c>
      <c r="F884" s="122" t="s">
        <v>831</v>
      </c>
      <c r="G884" s="122" t="s">
        <v>776</v>
      </c>
      <c r="H884" s="122" t="s">
        <v>777</v>
      </c>
      <c r="I884" s="312">
        <v>2023</v>
      </c>
      <c r="J884" s="122" t="s">
        <v>713</v>
      </c>
      <c r="K884" s="283">
        <v>26764</v>
      </c>
      <c r="L884" s="318">
        <v>-33.819763000000002</v>
      </c>
      <c r="M884" s="318">
        <v>151.05188000000001</v>
      </c>
      <c r="O884">
        <f>INDEX('MEC - traffic congestion'!$M$145:$M$249,MATCH($D884,'MEC - traffic congestion'!$C$145:$C$249,0))</f>
        <v>1</v>
      </c>
      <c r="P884" t="str">
        <f t="shared" si="35"/>
        <v>2023WEEKENDS</v>
      </c>
      <c r="Q884">
        <f t="shared" si="36"/>
        <v>1</v>
      </c>
      <c r="R884" s="195" t="str">
        <f t="shared" si="37"/>
        <v>2023LIGHT VEHICLES</v>
      </c>
    </row>
    <row r="885" spans="3:18" x14ac:dyDescent="0.25">
      <c r="C885" s="294" t="s">
        <v>829</v>
      </c>
      <c r="D885" s="317">
        <v>50260</v>
      </c>
      <c r="E885" s="122" t="s">
        <v>830</v>
      </c>
      <c r="F885" s="122" t="s">
        <v>831</v>
      </c>
      <c r="G885" s="122" t="s">
        <v>778</v>
      </c>
      <c r="H885" s="122" t="s">
        <v>777</v>
      </c>
      <c r="I885" s="312">
        <v>2023</v>
      </c>
      <c r="J885" s="122" t="s">
        <v>713</v>
      </c>
      <c r="K885" s="283">
        <v>27344</v>
      </c>
      <c r="L885" s="318">
        <v>-33.819763000000002</v>
      </c>
      <c r="M885" s="318">
        <v>151.05188000000001</v>
      </c>
      <c r="O885">
        <f>INDEX('MEC - traffic congestion'!$M$145:$M$249,MATCH($D885,'MEC - traffic congestion'!$C$145:$C$249,0))</f>
        <v>1</v>
      </c>
      <c r="P885" t="str">
        <f t="shared" si="35"/>
        <v>2023WEEKENDS</v>
      </c>
      <c r="Q885">
        <f t="shared" si="36"/>
        <v>1</v>
      </c>
      <c r="R885" s="195" t="str">
        <f t="shared" si="37"/>
        <v>2023LIGHT VEHICLES</v>
      </c>
    </row>
    <row r="886" spans="3:18" x14ac:dyDescent="0.25">
      <c r="C886" s="294" t="s">
        <v>829</v>
      </c>
      <c r="D886" s="317">
        <v>50260</v>
      </c>
      <c r="E886" s="122" t="s">
        <v>830</v>
      </c>
      <c r="F886" s="122" t="s">
        <v>831</v>
      </c>
      <c r="G886" s="122" t="s">
        <v>776</v>
      </c>
      <c r="H886" s="122" t="s">
        <v>777</v>
      </c>
      <c r="I886" s="312">
        <v>2024</v>
      </c>
      <c r="J886" s="122" t="s">
        <v>709</v>
      </c>
      <c r="K886" s="283">
        <v>6484</v>
      </c>
      <c r="L886" s="318">
        <v>-33.819763000000002</v>
      </c>
      <c r="M886" s="318">
        <v>151.05188000000001</v>
      </c>
      <c r="O886">
        <f>INDEX('MEC - traffic congestion'!$M$145:$M$249,MATCH($D886,'MEC - traffic congestion'!$C$145:$C$249,0))</f>
        <v>1</v>
      </c>
      <c r="P886" t="str">
        <f t="shared" si="35"/>
        <v>2024AM PEAK</v>
      </c>
      <c r="Q886">
        <f t="shared" si="36"/>
        <v>1</v>
      </c>
      <c r="R886" s="195" t="str">
        <f t="shared" si="37"/>
        <v>2024LIGHT VEHICLES</v>
      </c>
    </row>
    <row r="887" spans="3:18" x14ac:dyDescent="0.25">
      <c r="C887" s="294" t="s">
        <v>829</v>
      </c>
      <c r="D887" s="317">
        <v>50260</v>
      </c>
      <c r="E887" s="122" t="s">
        <v>830</v>
      </c>
      <c r="F887" s="122" t="s">
        <v>831</v>
      </c>
      <c r="G887" s="122" t="s">
        <v>778</v>
      </c>
      <c r="H887" s="122" t="s">
        <v>777</v>
      </c>
      <c r="I887" s="312">
        <v>2024</v>
      </c>
      <c r="J887" s="122" t="s">
        <v>709</v>
      </c>
      <c r="K887" s="283">
        <v>8947</v>
      </c>
      <c r="L887" s="318">
        <v>-33.819763000000002</v>
      </c>
      <c r="M887" s="318">
        <v>151.05188000000001</v>
      </c>
      <c r="O887">
        <f>INDEX('MEC - traffic congestion'!$M$145:$M$249,MATCH($D887,'MEC - traffic congestion'!$C$145:$C$249,0))</f>
        <v>1</v>
      </c>
      <c r="P887" t="str">
        <f t="shared" si="35"/>
        <v>2024AM PEAK</v>
      </c>
      <c r="Q887">
        <f t="shared" si="36"/>
        <v>1</v>
      </c>
      <c r="R887" s="195" t="str">
        <f t="shared" si="37"/>
        <v>2024LIGHT VEHICLES</v>
      </c>
    </row>
    <row r="888" spans="3:18" x14ac:dyDescent="0.25">
      <c r="C888" s="294" t="s">
        <v>829</v>
      </c>
      <c r="D888" s="317">
        <v>50260</v>
      </c>
      <c r="E888" s="122" t="s">
        <v>830</v>
      </c>
      <c r="F888" s="122" t="s">
        <v>831</v>
      </c>
      <c r="G888" s="122" t="s">
        <v>776</v>
      </c>
      <c r="H888" s="122" t="s">
        <v>777</v>
      </c>
      <c r="I888" s="312">
        <v>2024</v>
      </c>
      <c r="J888" s="122" t="s">
        <v>710</v>
      </c>
      <c r="K888" s="283">
        <v>14255</v>
      </c>
      <c r="L888" s="318">
        <v>-33.819763000000002</v>
      </c>
      <c r="M888" s="318">
        <v>151.05188000000001</v>
      </c>
      <c r="O888">
        <f>INDEX('MEC - traffic congestion'!$M$145:$M$249,MATCH($D888,'MEC - traffic congestion'!$C$145:$C$249,0))</f>
        <v>1</v>
      </c>
      <c r="P888" t="str">
        <f t="shared" si="35"/>
        <v>2024OFF PEAK</v>
      </c>
      <c r="Q888">
        <f t="shared" si="36"/>
        <v>1</v>
      </c>
      <c r="R888" s="195" t="str">
        <f t="shared" si="37"/>
        <v>2024LIGHT VEHICLES</v>
      </c>
    </row>
    <row r="889" spans="3:18" x14ac:dyDescent="0.25">
      <c r="C889" s="294" t="s">
        <v>829</v>
      </c>
      <c r="D889" s="317">
        <v>50260</v>
      </c>
      <c r="E889" s="122" t="s">
        <v>830</v>
      </c>
      <c r="F889" s="122" t="s">
        <v>831</v>
      </c>
      <c r="G889" s="122" t="s">
        <v>778</v>
      </c>
      <c r="H889" s="122" t="s">
        <v>777</v>
      </c>
      <c r="I889" s="312">
        <v>2024</v>
      </c>
      <c r="J889" s="122" t="s">
        <v>710</v>
      </c>
      <c r="K889" s="283">
        <v>13315</v>
      </c>
      <c r="L889" s="318">
        <v>-33.819763000000002</v>
      </c>
      <c r="M889" s="318">
        <v>151.05188000000001</v>
      </c>
      <c r="O889">
        <f>INDEX('MEC - traffic congestion'!$M$145:$M$249,MATCH($D889,'MEC - traffic congestion'!$C$145:$C$249,0))</f>
        <v>1</v>
      </c>
      <c r="P889" t="str">
        <f t="shared" si="35"/>
        <v>2024OFF PEAK</v>
      </c>
      <c r="Q889">
        <f t="shared" si="36"/>
        <v>1</v>
      </c>
      <c r="R889" s="195" t="str">
        <f t="shared" si="37"/>
        <v>2024LIGHT VEHICLES</v>
      </c>
    </row>
    <row r="890" spans="3:18" x14ac:dyDescent="0.25">
      <c r="C890" s="294" t="s">
        <v>829</v>
      </c>
      <c r="D890" s="317">
        <v>50260</v>
      </c>
      <c r="E890" s="122" t="s">
        <v>830</v>
      </c>
      <c r="F890" s="122" t="s">
        <v>831</v>
      </c>
      <c r="G890" s="122" t="s">
        <v>776</v>
      </c>
      <c r="H890" s="122" t="s">
        <v>777</v>
      </c>
      <c r="I890" s="312">
        <v>2024</v>
      </c>
      <c r="J890" s="122" t="s">
        <v>711</v>
      </c>
      <c r="K890" s="283">
        <v>10139</v>
      </c>
      <c r="L890" s="318">
        <v>-33.819763000000002</v>
      </c>
      <c r="M890" s="318">
        <v>151.05188000000001</v>
      </c>
      <c r="O890">
        <f>INDEX('MEC - traffic congestion'!$M$145:$M$249,MATCH($D890,'MEC - traffic congestion'!$C$145:$C$249,0))</f>
        <v>1</v>
      </c>
      <c r="P890" t="str">
        <f t="shared" si="35"/>
        <v>2024PM PEAK</v>
      </c>
      <c r="Q890">
        <f t="shared" si="36"/>
        <v>1</v>
      </c>
      <c r="R890" s="195" t="str">
        <f t="shared" si="37"/>
        <v>2024LIGHT VEHICLES</v>
      </c>
    </row>
    <row r="891" spans="3:18" x14ac:dyDescent="0.25">
      <c r="C891" s="294" t="s">
        <v>829</v>
      </c>
      <c r="D891" s="317">
        <v>50260</v>
      </c>
      <c r="E891" s="122" t="s">
        <v>830</v>
      </c>
      <c r="F891" s="122" t="s">
        <v>831</v>
      </c>
      <c r="G891" s="122" t="s">
        <v>778</v>
      </c>
      <c r="H891" s="122" t="s">
        <v>777</v>
      </c>
      <c r="I891" s="312">
        <v>2024</v>
      </c>
      <c r="J891" s="122" t="s">
        <v>711</v>
      </c>
      <c r="K891" s="283">
        <v>8328</v>
      </c>
      <c r="L891" s="318">
        <v>-33.819763000000002</v>
      </c>
      <c r="M891" s="318">
        <v>151.05188000000001</v>
      </c>
      <c r="O891">
        <f>INDEX('MEC - traffic congestion'!$M$145:$M$249,MATCH($D891,'MEC - traffic congestion'!$C$145:$C$249,0))</f>
        <v>1</v>
      </c>
      <c r="P891" t="str">
        <f t="shared" si="35"/>
        <v>2024PM PEAK</v>
      </c>
      <c r="Q891">
        <f t="shared" si="36"/>
        <v>1</v>
      </c>
      <c r="R891" s="195" t="str">
        <f t="shared" si="37"/>
        <v>2024LIGHT VEHICLES</v>
      </c>
    </row>
    <row r="892" spans="3:18" x14ac:dyDescent="0.25">
      <c r="C892" s="294" t="s">
        <v>829</v>
      </c>
      <c r="D892" s="317">
        <v>50260</v>
      </c>
      <c r="E892" s="122" t="s">
        <v>830</v>
      </c>
      <c r="F892" s="122" t="s">
        <v>831</v>
      </c>
      <c r="G892" s="122" t="s">
        <v>776</v>
      </c>
      <c r="H892" s="122" t="s">
        <v>777</v>
      </c>
      <c r="I892" s="312">
        <v>2024</v>
      </c>
      <c r="J892" s="122" t="s">
        <v>713</v>
      </c>
      <c r="K892" s="283">
        <v>27110</v>
      </c>
      <c r="L892" s="318">
        <v>-33.819763000000002</v>
      </c>
      <c r="M892" s="318">
        <v>151.05188000000001</v>
      </c>
      <c r="O892">
        <f>INDEX('MEC - traffic congestion'!$M$145:$M$249,MATCH($D892,'MEC - traffic congestion'!$C$145:$C$249,0))</f>
        <v>1</v>
      </c>
      <c r="P892" t="str">
        <f t="shared" si="35"/>
        <v>2024WEEKENDS</v>
      </c>
      <c r="Q892">
        <f t="shared" si="36"/>
        <v>1</v>
      </c>
      <c r="R892" s="195" t="str">
        <f t="shared" si="37"/>
        <v>2024LIGHT VEHICLES</v>
      </c>
    </row>
    <row r="893" spans="3:18" x14ac:dyDescent="0.25">
      <c r="C893" s="294" t="s">
        <v>829</v>
      </c>
      <c r="D893" s="317">
        <v>50260</v>
      </c>
      <c r="E893" s="122" t="s">
        <v>830</v>
      </c>
      <c r="F893" s="122" t="s">
        <v>831</v>
      </c>
      <c r="G893" s="122" t="s">
        <v>778</v>
      </c>
      <c r="H893" s="122" t="s">
        <v>777</v>
      </c>
      <c r="I893" s="312">
        <v>2024</v>
      </c>
      <c r="J893" s="122" t="s">
        <v>713</v>
      </c>
      <c r="K893" s="283">
        <v>27849</v>
      </c>
      <c r="L893" s="318">
        <v>-33.819763000000002</v>
      </c>
      <c r="M893" s="318">
        <v>151.05188000000001</v>
      </c>
      <c r="O893">
        <f>INDEX('MEC - traffic congestion'!$M$145:$M$249,MATCH($D893,'MEC - traffic congestion'!$C$145:$C$249,0))</f>
        <v>1</v>
      </c>
      <c r="P893" t="str">
        <f t="shared" si="35"/>
        <v>2024WEEKENDS</v>
      </c>
      <c r="Q893">
        <f t="shared" si="36"/>
        <v>1</v>
      </c>
      <c r="R893" s="195" t="str">
        <f t="shared" si="37"/>
        <v>2024LIGHT VEHICLES</v>
      </c>
    </row>
    <row r="894" spans="3:18" x14ac:dyDescent="0.25">
      <c r="C894" s="294" t="s">
        <v>832</v>
      </c>
      <c r="D894" s="317">
        <v>51233</v>
      </c>
      <c r="E894" s="122" t="s">
        <v>833</v>
      </c>
      <c r="F894" s="122" t="s">
        <v>834</v>
      </c>
      <c r="G894" s="122" t="s">
        <v>785</v>
      </c>
      <c r="H894" s="122" t="s">
        <v>777</v>
      </c>
      <c r="I894" s="312">
        <v>2018</v>
      </c>
      <c r="J894" s="122" t="s">
        <v>709</v>
      </c>
      <c r="K894" s="283">
        <v>2432</v>
      </c>
      <c r="L894" s="318">
        <v>-33.774441000000003</v>
      </c>
      <c r="M894" s="318">
        <v>151.10363799999999</v>
      </c>
      <c r="O894">
        <f>INDEX('MEC - traffic congestion'!$M$145:$M$249,MATCH($D894,'MEC - traffic congestion'!$C$145:$C$249,0))</f>
        <v>0</v>
      </c>
      <c r="P894" t="str">
        <f t="shared" si="35"/>
        <v/>
      </c>
      <c r="Q894">
        <f t="shared" si="36"/>
        <v>1</v>
      </c>
      <c r="R894" s="195" t="str">
        <f t="shared" si="37"/>
        <v/>
      </c>
    </row>
    <row r="895" spans="3:18" x14ac:dyDescent="0.25">
      <c r="C895" s="294" t="s">
        <v>832</v>
      </c>
      <c r="D895" s="317">
        <v>51233</v>
      </c>
      <c r="E895" s="122" t="s">
        <v>833</v>
      </c>
      <c r="F895" s="122" t="s">
        <v>834</v>
      </c>
      <c r="G895" s="122" t="s">
        <v>785</v>
      </c>
      <c r="H895" s="122" t="s">
        <v>777</v>
      </c>
      <c r="I895" s="312">
        <v>2018</v>
      </c>
      <c r="J895" s="122" t="s">
        <v>710</v>
      </c>
      <c r="K895" s="283">
        <v>9333</v>
      </c>
      <c r="L895" s="318">
        <v>-33.774441000000003</v>
      </c>
      <c r="M895" s="318">
        <v>151.10363799999999</v>
      </c>
      <c r="O895">
        <f>INDEX('MEC - traffic congestion'!$M$145:$M$249,MATCH($D895,'MEC - traffic congestion'!$C$145:$C$249,0))</f>
        <v>0</v>
      </c>
      <c r="P895" t="str">
        <f t="shared" si="35"/>
        <v/>
      </c>
      <c r="Q895">
        <f t="shared" si="36"/>
        <v>1</v>
      </c>
      <c r="R895" s="195" t="str">
        <f t="shared" si="37"/>
        <v/>
      </c>
    </row>
    <row r="896" spans="3:18" x14ac:dyDescent="0.25">
      <c r="C896" s="294" t="s">
        <v>832</v>
      </c>
      <c r="D896" s="317">
        <v>51233</v>
      </c>
      <c r="E896" s="122" t="s">
        <v>833</v>
      </c>
      <c r="F896" s="122" t="s">
        <v>834</v>
      </c>
      <c r="G896" s="122" t="s">
        <v>785</v>
      </c>
      <c r="H896" s="122" t="s">
        <v>777</v>
      </c>
      <c r="I896" s="312">
        <v>2018</v>
      </c>
      <c r="J896" s="122" t="s">
        <v>711</v>
      </c>
      <c r="K896" s="283">
        <v>5133</v>
      </c>
      <c r="L896" s="318">
        <v>-33.774441000000003</v>
      </c>
      <c r="M896" s="318">
        <v>151.10363799999999</v>
      </c>
      <c r="O896">
        <f>INDEX('MEC - traffic congestion'!$M$145:$M$249,MATCH($D896,'MEC - traffic congestion'!$C$145:$C$249,0))</f>
        <v>0</v>
      </c>
      <c r="P896" t="str">
        <f t="shared" si="35"/>
        <v/>
      </c>
      <c r="Q896">
        <f t="shared" si="36"/>
        <v>1</v>
      </c>
      <c r="R896" s="195" t="str">
        <f t="shared" si="37"/>
        <v/>
      </c>
    </row>
    <row r="897" spans="3:18" x14ac:dyDescent="0.25">
      <c r="C897" s="294" t="s">
        <v>832</v>
      </c>
      <c r="D897" s="317">
        <v>51233</v>
      </c>
      <c r="E897" s="122" t="s">
        <v>833</v>
      </c>
      <c r="F897" s="122" t="s">
        <v>834</v>
      </c>
      <c r="G897" s="122" t="s">
        <v>785</v>
      </c>
      <c r="H897" s="122" t="s">
        <v>777</v>
      </c>
      <c r="I897" s="312">
        <v>2018</v>
      </c>
      <c r="J897" s="122" t="s">
        <v>712</v>
      </c>
      <c r="K897" s="283">
        <v>13062</v>
      </c>
      <c r="L897" s="318">
        <v>-33.774441000000003</v>
      </c>
      <c r="M897" s="318">
        <v>151.10363799999999</v>
      </c>
      <c r="O897">
        <f>INDEX('MEC - traffic congestion'!$M$145:$M$249,MATCH($D897,'MEC - traffic congestion'!$C$145:$C$249,0))</f>
        <v>0</v>
      </c>
      <c r="P897" t="str">
        <f t="shared" si="35"/>
        <v/>
      </c>
      <c r="Q897">
        <f t="shared" si="36"/>
        <v>1</v>
      </c>
      <c r="R897" s="195" t="str">
        <f t="shared" si="37"/>
        <v/>
      </c>
    </row>
    <row r="898" spans="3:18" x14ac:dyDescent="0.25">
      <c r="C898" s="294" t="s">
        <v>832</v>
      </c>
      <c r="D898" s="317">
        <v>51233</v>
      </c>
      <c r="E898" s="122" t="s">
        <v>833</v>
      </c>
      <c r="F898" s="122" t="s">
        <v>834</v>
      </c>
      <c r="G898" s="122" t="s">
        <v>785</v>
      </c>
      <c r="H898" s="122" t="s">
        <v>777</v>
      </c>
      <c r="I898" s="312">
        <v>2018</v>
      </c>
      <c r="J898" s="122" t="s">
        <v>713</v>
      </c>
      <c r="K898" s="283">
        <v>16539</v>
      </c>
      <c r="L898" s="318">
        <v>-33.774441000000003</v>
      </c>
      <c r="M898" s="318">
        <v>151.10363799999999</v>
      </c>
      <c r="O898">
        <f>INDEX('MEC - traffic congestion'!$M$145:$M$249,MATCH($D898,'MEC - traffic congestion'!$C$145:$C$249,0))</f>
        <v>0</v>
      </c>
      <c r="P898" t="str">
        <f t="shared" si="35"/>
        <v/>
      </c>
      <c r="Q898">
        <f t="shared" si="36"/>
        <v>1</v>
      </c>
      <c r="R898" s="195" t="str">
        <f t="shared" si="37"/>
        <v/>
      </c>
    </row>
    <row r="899" spans="3:18" x14ac:dyDescent="0.25">
      <c r="C899" s="294" t="s">
        <v>835</v>
      </c>
      <c r="D899" s="317">
        <v>51234</v>
      </c>
      <c r="E899" s="122" t="s">
        <v>836</v>
      </c>
      <c r="F899" s="122" t="s">
        <v>837</v>
      </c>
      <c r="G899" s="122" t="s">
        <v>776</v>
      </c>
      <c r="H899" s="122" t="s">
        <v>777</v>
      </c>
      <c r="I899" s="312">
        <v>2018</v>
      </c>
      <c r="J899" s="122" t="s">
        <v>709</v>
      </c>
      <c r="K899" s="283">
        <v>7117</v>
      </c>
      <c r="L899" s="318">
        <v>-33.800190000000001</v>
      </c>
      <c r="M899" s="318">
        <v>151.11436499999999</v>
      </c>
      <c r="O899">
        <f>INDEX('MEC - traffic congestion'!$M$145:$M$249,MATCH($D899,'MEC - traffic congestion'!$C$145:$C$249,0))</f>
        <v>0</v>
      </c>
      <c r="P899" t="str">
        <f t="shared" si="35"/>
        <v/>
      </c>
      <c r="Q899">
        <f t="shared" si="36"/>
        <v>1</v>
      </c>
      <c r="R899" s="195" t="str">
        <f t="shared" si="37"/>
        <v/>
      </c>
    </row>
    <row r="900" spans="3:18" x14ac:dyDescent="0.25">
      <c r="C900" s="294" t="s">
        <v>835</v>
      </c>
      <c r="D900" s="317">
        <v>51234</v>
      </c>
      <c r="E900" s="122" t="s">
        <v>836</v>
      </c>
      <c r="F900" s="122" t="s">
        <v>837</v>
      </c>
      <c r="G900" s="122" t="s">
        <v>778</v>
      </c>
      <c r="H900" s="122" t="s">
        <v>777</v>
      </c>
      <c r="I900" s="312">
        <v>2018</v>
      </c>
      <c r="J900" s="122" t="s">
        <v>709</v>
      </c>
      <c r="K900" s="283">
        <v>4592</v>
      </c>
      <c r="L900" s="318">
        <v>-33.800190000000001</v>
      </c>
      <c r="M900" s="318">
        <v>151.11436499999999</v>
      </c>
      <c r="O900">
        <f>INDEX('MEC - traffic congestion'!$M$145:$M$249,MATCH($D900,'MEC - traffic congestion'!$C$145:$C$249,0))</f>
        <v>0</v>
      </c>
      <c r="P900" t="str">
        <f t="shared" si="35"/>
        <v/>
      </c>
      <c r="Q900">
        <f t="shared" si="36"/>
        <v>1</v>
      </c>
      <c r="R900" s="195" t="str">
        <f t="shared" si="37"/>
        <v/>
      </c>
    </row>
    <row r="901" spans="3:18" x14ac:dyDescent="0.25">
      <c r="C901" s="294" t="s">
        <v>835</v>
      </c>
      <c r="D901" s="317">
        <v>51234</v>
      </c>
      <c r="E901" s="122" t="s">
        <v>836</v>
      </c>
      <c r="F901" s="122" t="s">
        <v>837</v>
      </c>
      <c r="G901" s="122" t="s">
        <v>776</v>
      </c>
      <c r="H901" s="122" t="s">
        <v>777</v>
      </c>
      <c r="I901" s="312">
        <v>2018</v>
      </c>
      <c r="J901" s="122" t="s">
        <v>710</v>
      </c>
      <c r="K901" s="283">
        <v>13867</v>
      </c>
      <c r="L901" s="318">
        <v>-33.800190000000001</v>
      </c>
      <c r="M901" s="318">
        <v>151.11436499999999</v>
      </c>
      <c r="O901">
        <f>INDEX('MEC - traffic congestion'!$M$145:$M$249,MATCH($D901,'MEC - traffic congestion'!$C$145:$C$249,0))</f>
        <v>0</v>
      </c>
      <c r="P901" t="str">
        <f t="shared" si="35"/>
        <v/>
      </c>
      <c r="Q901">
        <f t="shared" si="36"/>
        <v>1</v>
      </c>
      <c r="R901" s="195" t="str">
        <f t="shared" si="37"/>
        <v/>
      </c>
    </row>
    <row r="902" spans="3:18" x14ac:dyDescent="0.25">
      <c r="C902" s="294" t="s">
        <v>835</v>
      </c>
      <c r="D902" s="317">
        <v>51234</v>
      </c>
      <c r="E902" s="122" t="s">
        <v>836</v>
      </c>
      <c r="F902" s="122" t="s">
        <v>837</v>
      </c>
      <c r="G902" s="122" t="s">
        <v>778</v>
      </c>
      <c r="H902" s="122" t="s">
        <v>777</v>
      </c>
      <c r="I902" s="312">
        <v>2018</v>
      </c>
      <c r="J902" s="122" t="s">
        <v>710</v>
      </c>
      <c r="K902" s="283">
        <v>10615</v>
      </c>
      <c r="L902" s="318">
        <v>-33.800190000000001</v>
      </c>
      <c r="M902" s="318">
        <v>151.11436499999999</v>
      </c>
      <c r="O902">
        <f>INDEX('MEC - traffic congestion'!$M$145:$M$249,MATCH($D902,'MEC - traffic congestion'!$C$145:$C$249,0))</f>
        <v>0</v>
      </c>
      <c r="P902" t="str">
        <f t="shared" si="35"/>
        <v/>
      </c>
      <c r="Q902">
        <f t="shared" si="36"/>
        <v>1</v>
      </c>
      <c r="R902" s="195" t="str">
        <f t="shared" si="37"/>
        <v/>
      </c>
    </row>
    <row r="903" spans="3:18" x14ac:dyDescent="0.25">
      <c r="C903" s="294" t="s">
        <v>835</v>
      </c>
      <c r="D903" s="317">
        <v>51234</v>
      </c>
      <c r="E903" s="122" t="s">
        <v>836</v>
      </c>
      <c r="F903" s="122" t="s">
        <v>837</v>
      </c>
      <c r="G903" s="122" t="s">
        <v>776</v>
      </c>
      <c r="H903" s="122" t="s">
        <v>777</v>
      </c>
      <c r="I903" s="312">
        <v>2018</v>
      </c>
      <c r="J903" s="122" t="s">
        <v>711</v>
      </c>
      <c r="K903" s="283">
        <v>5518</v>
      </c>
      <c r="L903" s="318">
        <v>-33.800190000000001</v>
      </c>
      <c r="M903" s="318">
        <v>151.11436499999999</v>
      </c>
      <c r="O903">
        <f>INDEX('MEC - traffic congestion'!$M$145:$M$249,MATCH($D903,'MEC - traffic congestion'!$C$145:$C$249,0))</f>
        <v>0</v>
      </c>
      <c r="P903" t="str">
        <f t="shared" si="35"/>
        <v/>
      </c>
      <c r="Q903">
        <f t="shared" si="36"/>
        <v>1</v>
      </c>
      <c r="R903" s="195" t="str">
        <f t="shared" si="37"/>
        <v/>
      </c>
    </row>
    <row r="904" spans="3:18" x14ac:dyDescent="0.25">
      <c r="C904" s="294" t="s">
        <v>835</v>
      </c>
      <c r="D904" s="317">
        <v>51234</v>
      </c>
      <c r="E904" s="122" t="s">
        <v>836</v>
      </c>
      <c r="F904" s="122" t="s">
        <v>837</v>
      </c>
      <c r="G904" s="122" t="s">
        <v>778</v>
      </c>
      <c r="H904" s="122" t="s">
        <v>777</v>
      </c>
      <c r="I904" s="312">
        <v>2018</v>
      </c>
      <c r="J904" s="122" t="s">
        <v>711</v>
      </c>
      <c r="K904" s="283">
        <v>6196</v>
      </c>
      <c r="L904" s="318">
        <v>-33.800190000000001</v>
      </c>
      <c r="M904" s="318">
        <v>151.11436499999999</v>
      </c>
      <c r="O904">
        <f>INDEX('MEC - traffic congestion'!$M$145:$M$249,MATCH($D904,'MEC - traffic congestion'!$C$145:$C$249,0))</f>
        <v>0</v>
      </c>
      <c r="P904" t="str">
        <f t="shared" si="35"/>
        <v/>
      </c>
      <c r="Q904">
        <f t="shared" si="36"/>
        <v>1</v>
      </c>
      <c r="R904" s="195" t="str">
        <f t="shared" si="37"/>
        <v/>
      </c>
    </row>
    <row r="905" spans="3:18" x14ac:dyDescent="0.25">
      <c r="C905" s="294" t="s">
        <v>835</v>
      </c>
      <c r="D905" s="317">
        <v>51234</v>
      </c>
      <c r="E905" s="122" t="s">
        <v>836</v>
      </c>
      <c r="F905" s="122" t="s">
        <v>837</v>
      </c>
      <c r="G905" s="122" t="s">
        <v>776</v>
      </c>
      <c r="H905" s="122" t="s">
        <v>777</v>
      </c>
      <c r="I905" s="312">
        <v>2018</v>
      </c>
      <c r="J905" s="122" t="s">
        <v>712</v>
      </c>
      <c r="K905" s="283">
        <v>21733</v>
      </c>
      <c r="L905" s="318">
        <v>-33.800190000000001</v>
      </c>
      <c r="M905" s="318">
        <v>151.11436499999999</v>
      </c>
      <c r="O905">
        <f>INDEX('MEC - traffic congestion'!$M$145:$M$249,MATCH($D905,'MEC - traffic congestion'!$C$145:$C$249,0))</f>
        <v>0</v>
      </c>
      <c r="P905" t="str">
        <f t="shared" si="35"/>
        <v/>
      </c>
      <c r="Q905">
        <f t="shared" si="36"/>
        <v>1</v>
      </c>
      <c r="R905" s="195" t="str">
        <f t="shared" si="37"/>
        <v/>
      </c>
    </row>
    <row r="906" spans="3:18" x14ac:dyDescent="0.25">
      <c r="C906" s="294" t="s">
        <v>835</v>
      </c>
      <c r="D906" s="317">
        <v>51234</v>
      </c>
      <c r="E906" s="122" t="s">
        <v>836</v>
      </c>
      <c r="F906" s="122" t="s">
        <v>837</v>
      </c>
      <c r="G906" s="122" t="s">
        <v>778</v>
      </c>
      <c r="H906" s="122" t="s">
        <v>777</v>
      </c>
      <c r="I906" s="312">
        <v>2018</v>
      </c>
      <c r="J906" s="122" t="s">
        <v>712</v>
      </c>
      <c r="K906" s="283">
        <v>21167</v>
      </c>
      <c r="L906" s="318">
        <v>-33.800190000000001</v>
      </c>
      <c r="M906" s="318">
        <v>151.11436499999999</v>
      </c>
      <c r="O906">
        <f>INDEX('MEC - traffic congestion'!$M$145:$M$249,MATCH($D906,'MEC - traffic congestion'!$C$145:$C$249,0))</f>
        <v>0</v>
      </c>
      <c r="P906" t="str">
        <f t="shared" si="35"/>
        <v/>
      </c>
      <c r="Q906">
        <f t="shared" si="36"/>
        <v>1</v>
      </c>
      <c r="R906" s="195" t="str">
        <f t="shared" si="37"/>
        <v/>
      </c>
    </row>
    <row r="907" spans="3:18" x14ac:dyDescent="0.25">
      <c r="C907" s="294" t="s">
        <v>835</v>
      </c>
      <c r="D907" s="317">
        <v>51234</v>
      </c>
      <c r="E907" s="122" t="s">
        <v>836</v>
      </c>
      <c r="F907" s="122" t="s">
        <v>837</v>
      </c>
      <c r="G907" s="122" t="s">
        <v>776</v>
      </c>
      <c r="H907" s="122" t="s">
        <v>777</v>
      </c>
      <c r="I907" s="312">
        <v>2018</v>
      </c>
      <c r="J907" s="122" t="s">
        <v>713</v>
      </c>
      <c r="K907" s="283">
        <v>26164</v>
      </c>
      <c r="L907" s="318">
        <v>-33.800190000000001</v>
      </c>
      <c r="M907" s="318">
        <v>151.11436499999999</v>
      </c>
      <c r="O907">
        <f>INDEX('MEC - traffic congestion'!$M$145:$M$249,MATCH($D907,'MEC - traffic congestion'!$C$145:$C$249,0))</f>
        <v>0</v>
      </c>
      <c r="P907" t="str">
        <f t="shared" si="35"/>
        <v/>
      </c>
      <c r="Q907">
        <f t="shared" si="36"/>
        <v>1</v>
      </c>
      <c r="R907" s="195" t="str">
        <f t="shared" si="37"/>
        <v/>
      </c>
    </row>
    <row r="908" spans="3:18" x14ac:dyDescent="0.25">
      <c r="C908" s="294" t="s">
        <v>835</v>
      </c>
      <c r="D908" s="317">
        <v>51234</v>
      </c>
      <c r="E908" s="122" t="s">
        <v>836</v>
      </c>
      <c r="F908" s="122" t="s">
        <v>837</v>
      </c>
      <c r="G908" s="122" t="s">
        <v>778</v>
      </c>
      <c r="H908" s="122" t="s">
        <v>777</v>
      </c>
      <c r="I908" s="312">
        <v>2018</v>
      </c>
      <c r="J908" s="122" t="s">
        <v>713</v>
      </c>
      <c r="K908" s="283">
        <v>21270</v>
      </c>
      <c r="L908" s="318">
        <v>-33.800190000000001</v>
      </c>
      <c r="M908" s="318">
        <v>151.11436499999999</v>
      </c>
      <c r="O908">
        <f>INDEX('MEC - traffic congestion'!$M$145:$M$249,MATCH($D908,'MEC - traffic congestion'!$C$145:$C$249,0))</f>
        <v>0</v>
      </c>
      <c r="P908" t="str">
        <f t="shared" si="35"/>
        <v/>
      </c>
      <c r="Q908">
        <f t="shared" si="36"/>
        <v>1</v>
      </c>
      <c r="R908" s="195" t="str">
        <f t="shared" si="37"/>
        <v/>
      </c>
    </row>
    <row r="909" spans="3:18" x14ac:dyDescent="0.25">
      <c r="C909" s="294" t="s">
        <v>835</v>
      </c>
      <c r="D909" s="317">
        <v>51234</v>
      </c>
      <c r="E909" s="122" t="s">
        <v>836</v>
      </c>
      <c r="F909" s="122" t="s">
        <v>837</v>
      </c>
      <c r="G909" s="122" t="s">
        <v>776</v>
      </c>
      <c r="H909" s="122" t="s">
        <v>777</v>
      </c>
      <c r="I909" s="312">
        <v>2019</v>
      </c>
      <c r="J909" s="122" t="s">
        <v>709</v>
      </c>
      <c r="K909" s="283">
        <v>6886</v>
      </c>
      <c r="L909" s="318">
        <v>-33.800190000000001</v>
      </c>
      <c r="M909" s="318">
        <v>151.11436499999999</v>
      </c>
      <c r="O909">
        <f>INDEX('MEC - traffic congestion'!$M$145:$M$249,MATCH($D909,'MEC - traffic congestion'!$C$145:$C$249,0))</f>
        <v>0</v>
      </c>
      <c r="P909" t="str">
        <f t="shared" si="35"/>
        <v/>
      </c>
      <c r="Q909">
        <f t="shared" si="36"/>
        <v>1</v>
      </c>
      <c r="R909" s="195" t="str">
        <f t="shared" si="37"/>
        <v/>
      </c>
    </row>
    <row r="910" spans="3:18" x14ac:dyDescent="0.25">
      <c r="C910" s="294" t="s">
        <v>835</v>
      </c>
      <c r="D910" s="317">
        <v>51234</v>
      </c>
      <c r="E910" s="122" t="s">
        <v>836</v>
      </c>
      <c r="F910" s="122" t="s">
        <v>837</v>
      </c>
      <c r="G910" s="122" t="s">
        <v>776</v>
      </c>
      <c r="H910" s="122" t="s">
        <v>777</v>
      </c>
      <c r="I910" s="312">
        <v>2019</v>
      </c>
      <c r="J910" s="122" t="s">
        <v>710</v>
      </c>
      <c r="K910" s="283">
        <v>13788</v>
      </c>
      <c r="L910" s="318">
        <v>-33.800190000000001</v>
      </c>
      <c r="M910" s="318">
        <v>151.11436499999999</v>
      </c>
      <c r="O910">
        <f>INDEX('MEC - traffic congestion'!$M$145:$M$249,MATCH($D910,'MEC - traffic congestion'!$C$145:$C$249,0))</f>
        <v>0</v>
      </c>
      <c r="P910" t="str">
        <f t="shared" si="35"/>
        <v/>
      </c>
      <c r="Q910">
        <f t="shared" si="36"/>
        <v>1</v>
      </c>
      <c r="R910" s="195" t="str">
        <f t="shared" si="37"/>
        <v/>
      </c>
    </row>
    <row r="911" spans="3:18" x14ac:dyDescent="0.25">
      <c r="C911" s="294" t="s">
        <v>835</v>
      </c>
      <c r="D911" s="317">
        <v>51234</v>
      </c>
      <c r="E911" s="122" t="s">
        <v>836</v>
      </c>
      <c r="F911" s="122" t="s">
        <v>837</v>
      </c>
      <c r="G911" s="122" t="s">
        <v>776</v>
      </c>
      <c r="H911" s="122" t="s">
        <v>777</v>
      </c>
      <c r="I911" s="312">
        <v>2019</v>
      </c>
      <c r="J911" s="122" t="s">
        <v>711</v>
      </c>
      <c r="K911" s="283">
        <v>5350</v>
      </c>
      <c r="L911" s="318">
        <v>-33.800190000000001</v>
      </c>
      <c r="M911" s="318">
        <v>151.11436499999999</v>
      </c>
      <c r="O911">
        <f>INDEX('MEC - traffic congestion'!$M$145:$M$249,MATCH($D911,'MEC - traffic congestion'!$C$145:$C$249,0))</f>
        <v>0</v>
      </c>
      <c r="P911" t="str">
        <f t="shared" si="35"/>
        <v/>
      </c>
      <c r="Q911">
        <f t="shared" si="36"/>
        <v>1</v>
      </c>
      <c r="R911" s="195" t="str">
        <f t="shared" si="37"/>
        <v/>
      </c>
    </row>
    <row r="912" spans="3:18" x14ac:dyDescent="0.25">
      <c r="C912" s="294" t="s">
        <v>835</v>
      </c>
      <c r="D912" s="317">
        <v>51234</v>
      </c>
      <c r="E912" s="122" t="s">
        <v>836</v>
      </c>
      <c r="F912" s="122" t="s">
        <v>837</v>
      </c>
      <c r="G912" s="122" t="s">
        <v>776</v>
      </c>
      <c r="H912" s="122" t="s">
        <v>777</v>
      </c>
      <c r="I912" s="312">
        <v>2019</v>
      </c>
      <c r="J912" s="122" t="s">
        <v>712</v>
      </c>
      <c r="K912" s="283">
        <v>21375</v>
      </c>
      <c r="L912" s="318">
        <v>-33.800190000000001</v>
      </c>
      <c r="M912" s="318">
        <v>151.11436499999999</v>
      </c>
      <c r="O912">
        <f>INDEX('MEC - traffic congestion'!$M$145:$M$249,MATCH($D912,'MEC - traffic congestion'!$C$145:$C$249,0))</f>
        <v>0</v>
      </c>
      <c r="P912" t="str">
        <f t="shared" si="35"/>
        <v/>
      </c>
      <c r="Q912">
        <f t="shared" si="36"/>
        <v>1</v>
      </c>
      <c r="R912" s="195" t="str">
        <f t="shared" si="37"/>
        <v/>
      </c>
    </row>
    <row r="913" spans="3:18" x14ac:dyDescent="0.25">
      <c r="C913" s="294" t="s">
        <v>835</v>
      </c>
      <c r="D913" s="317">
        <v>51234</v>
      </c>
      <c r="E913" s="122" t="s">
        <v>836</v>
      </c>
      <c r="F913" s="122" t="s">
        <v>837</v>
      </c>
      <c r="G913" s="122" t="s">
        <v>776</v>
      </c>
      <c r="H913" s="122" t="s">
        <v>777</v>
      </c>
      <c r="I913" s="312">
        <v>2019</v>
      </c>
      <c r="J913" s="122" t="s">
        <v>713</v>
      </c>
      <c r="K913" s="283">
        <v>25651</v>
      </c>
      <c r="L913" s="318">
        <v>-33.800190000000001</v>
      </c>
      <c r="M913" s="318">
        <v>151.11436499999999</v>
      </c>
      <c r="O913">
        <f>INDEX('MEC - traffic congestion'!$M$145:$M$249,MATCH($D913,'MEC - traffic congestion'!$C$145:$C$249,0))</f>
        <v>0</v>
      </c>
      <c r="P913" t="str">
        <f t="shared" si="35"/>
        <v/>
      </c>
      <c r="Q913">
        <f t="shared" si="36"/>
        <v>1</v>
      </c>
      <c r="R913" s="195" t="str">
        <f t="shared" si="37"/>
        <v/>
      </c>
    </row>
    <row r="914" spans="3:18" x14ac:dyDescent="0.25">
      <c r="C914" s="294" t="s">
        <v>835</v>
      </c>
      <c r="D914" s="317">
        <v>51234</v>
      </c>
      <c r="E914" s="122" t="s">
        <v>836</v>
      </c>
      <c r="F914" s="122" t="s">
        <v>837</v>
      </c>
      <c r="G914" s="122" t="s">
        <v>776</v>
      </c>
      <c r="H914" s="122" t="s">
        <v>777</v>
      </c>
      <c r="I914" s="312">
        <v>2020</v>
      </c>
      <c r="J914" s="122" t="s">
        <v>709</v>
      </c>
      <c r="K914" s="283">
        <v>7020</v>
      </c>
      <c r="L914" s="318">
        <v>-33.800190000000001</v>
      </c>
      <c r="M914" s="318">
        <v>151.11436499999999</v>
      </c>
      <c r="O914">
        <f>INDEX('MEC - traffic congestion'!$M$145:$M$249,MATCH($D914,'MEC - traffic congestion'!$C$145:$C$249,0))</f>
        <v>0</v>
      </c>
      <c r="P914" t="str">
        <f t="shared" si="35"/>
        <v/>
      </c>
      <c r="Q914">
        <f t="shared" si="36"/>
        <v>1</v>
      </c>
      <c r="R914" s="195" t="str">
        <f t="shared" si="37"/>
        <v/>
      </c>
    </row>
    <row r="915" spans="3:18" x14ac:dyDescent="0.25">
      <c r="C915" s="294" t="s">
        <v>835</v>
      </c>
      <c r="D915" s="317">
        <v>51234</v>
      </c>
      <c r="E915" s="122" t="s">
        <v>836</v>
      </c>
      <c r="F915" s="122" t="s">
        <v>837</v>
      </c>
      <c r="G915" s="122" t="s">
        <v>776</v>
      </c>
      <c r="H915" s="122" t="s">
        <v>777</v>
      </c>
      <c r="I915" s="312">
        <v>2020</v>
      </c>
      <c r="J915" s="122" t="s">
        <v>710</v>
      </c>
      <c r="K915" s="283">
        <v>12581</v>
      </c>
      <c r="L915" s="318">
        <v>-33.800190000000001</v>
      </c>
      <c r="M915" s="318">
        <v>151.11436499999999</v>
      </c>
      <c r="O915">
        <f>INDEX('MEC - traffic congestion'!$M$145:$M$249,MATCH($D915,'MEC - traffic congestion'!$C$145:$C$249,0))</f>
        <v>0</v>
      </c>
      <c r="P915" t="str">
        <f t="shared" si="35"/>
        <v/>
      </c>
      <c r="Q915">
        <f t="shared" si="36"/>
        <v>1</v>
      </c>
      <c r="R915" s="195" t="str">
        <f t="shared" si="37"/>
        <v/>
      </c>
    </row>
    <row r="916" spans="3:18" x14ac:dyDescent="0.25">
      <c r="C916" s="294" t="s">
        <v>835</v>
      </c>
      <c r="D916" s="317">
        <v>51234</v>
      </c>
      <c r="E916" s="122" t="s">
        <v>836</v>
      </c>
      <c r="F916" s="122" t="s">
        <v>837</v>
      </c>
      <c r="G916" s="122" t="s">
        <v>776</v>
      </c>
      <c r="H916" s="122" t="s">
        <v>777</v>
      </c>
      <c r="I916" s="312">
        <v>2020</v>
      </c>
      <c r="J916" s="122" t="s">
        <v>711</v>
      </c>
      <c r="K916" s="283">
        <v>5834</v>
      </c>
      <c r="L916" s="318">
        <v>-33.800190000000001</v>
      </c>
      <c r="M916" s="318">
        <v>151.11436499999999</v>
      </c>
      <c r="O916">
        <f>INDEX('MEC - traffic congestion'!$M$145:$M$249,MATCH($D916,'MEC - traffic congestion'!$C$145:$C$249,0))</f>
        <v>0</v>
      </c>
      <c r="P916" t="str">
        <f t="shared" si="35"/>
        <v/>
      </c>
      <c r="Q916">
        <f t="shared" si="36"/>
        <v>1</v>
      </c>
      <c r="R916" s="195" t="str">
        <f t="shared" si="37"/>
        <v/>
      </c>
    </row>
    <row r="917" spans="3:18" x14ac:dyDescent="0.25">
      <c r="C917" s="294" t="s">
        <v>835</v>
      </c>
      <c r="D917" s="317">
        <v>51234</v>
      </c>
      <c r="E917" s="122" t="s">
        <v>836</v>
      </c>
      <c r="F917" s="122" t="s">
        <v>837</v>
      </c>
      <c r="G917" s="122" t="s">
        <v>776</v>
      </c>
      <c r="H917" s="122" t="s">
        <v>777</v>
      </c>
      <c r="I917" s="312">
        <v>2020</v>
      </c>
      <c r="J917" s="122" t="s">
        <v>712</v>
      </c>
      <c r="K917" s="283">
        <v>18283</v>
      </c>
      <c r="L917" s="318">
        <v>-33.800190000000001</v>
      </c>
      <c r="M917" s="318">
        <v>151.11436499999999</v>
      </c>
      <c r="O917">
        <f>INDEX('MEC - traffic congestion'!$M$145:$M$249,MATCH($D917,'MEC - traffic congestion'!$C$145:$C$249,0))</f>
        <v>0</v>
      </c>
      <c r="P917" t="str">
        <f t="shared" ref="P917:P980" si="38">IF($O917=1,$I917&amp;$J917,"")</f>
        <v/>
      </c>
      <c r="Q917">
        <f t="shared" ref="Q917:Q980" si="39">IF(AND($M917&gt;150.246,AND($L917&gt;-34.397,$L917&lt;-32.662)),1,0)</f>
        <v>1</v>
      </c>
      <c r="R917" s="195" t="str">
        <f t="shared" ref="R917:R980" si="40">IF($O917=1,$I917&amp;$H917,"")</f>
        <v/>
      </c>
    </row>
    <row r="918" spans="3:18" x14ac:dyDescent="0.25">
      <c r="C918" s="294" t="s">
        <v>835</v>
      </c>
      <c r="D918" s="317">
        <v>51234</v>
      </c>
      <c r="E918" s="122" t="s">
        <v>836</v>
      </c>
      <c r="F918" s="122" t="s">
        <v>837</v>
      </c>
      <c r="G918" s="122" t="s">
        <v>776</v>
      </c>
      <c r="H918" s="122" t="s">
        <v>777</v>
      </c>
      <c r="I918" s="312">
        <v>2020</v>
      </c>
      <c r="J918" s="122" t="s">
        <v>713</v>
      </c>
      <c r="K918" s="283">
        <v>22880</v>
      </c>
      <c r="L918" s="318">
        <v>-33.800190000000001</v>
      </c>
      <c r="M918" s="318">
        <v>151.11436499999999</v>
      </c>
      <c r="O918">
        <f>INDEX('MEC - traffic congestion'!$M$145:$M$249,MATCH($D918,'MEC - traffic congestion'!$C$145:$C$249,0))</f>
        <v>0</v>
      </c>
      <c r="P918" t="str">
        <f t="shared" si="38"/>
        <v/>
      </c>
      <c r="Q918">
        <f t="shared" si="39"/>
        <v>1</v>
      </c>
      <c r="R918" s="195" t="str">
        <f t="shared" si="40"/>
        <v/>
      </c>
    </row>
    <row r="919" spans="3:18" x14ac:dyDescent="0.25">
      <c r="C919" s="294" t="s">
        <v>835</v>
      </c>
      <c r="D919" s="317">
        <v>51234</v>
      </c>
      <c r="E919" s="122" t="s">
        <v>836</v>
      </c>
      <c r="F919" s="122" t="s">
        <v>837</v>
      </c>
      <c r="G919" s="122" t="s">
        <v>776</v>
      </c>
      <c r="H919" s="122" t="s">
        <v>777</v>
      </c>
      <c r="I919" s="312">
        <v>2021</v>
      </c>
      <c r="J919" s="122" t="s">
        <v>709</v>
      </c>
      <c r="K919" s="283">
        <v>6441</v>
      </c>
      <c r="L919" s="318">
        <v>-33.800190000000001</v>
      </c>
      <c r="M919" s="318">
        <v>151.11436499999999</v>
      </c>
      <c r="O919">
        <f>INDEX('MEC - traffic congestion'!$M$145:$M$249,MATCH($D919,'MEC - traffic congestion'!$C$145:$C$249,0))</f>
        <v>0</v>
      </c>
      <c r="P919" t="str">
        <f t="shared" si="38"/>
        <v/>
      </c>
      <c r="Q919">
        <f t="shared" si="39"/>
        <v>1</v>
      </c>
      <c r="R919" s="195" t="str">
        <f t="shared" si="40"/>
        <v/>
      </c>
    </row>
    <row r="920" spans="3:18" x14ac:dyDescent="0.25">
      <c r="C920" s="294" t="s">
        <v>835</v>
      </c>
      <c r="D920" s="317">
        <v>51234</v>
      </c>
      <c r="E920" s="122" t="s">
        <v>836</v>
      </c>
      <c r="F920" s="122" t="s">
        <v>837</v>
      </c>
      <c r="G920" s="122" t="s">
        <v>776</v>
      </c>
      <c r="H920" s="122" t="s">
        <v>777</v>
      </c>
      <c r="I920" s="312">
        <v>2021</v>
      </c>
      <c r="J920" s="122" t="s">
        <v>710</v>
      </c>
      <c r="K920" s="283">
        <v>12119</v>
      </c>
      <c r="L920" s="318">
        <v>-33.800190000000001</v>
      </c>
      <c r="M920" s="318">
        <v>151.11436499999999</v>
      </c>
      <c r="O920">
        <f>INDEX('MEC - traffic congestion'!$M$145:$M$249,MATCH($D920,'MEC - traffic congestion'!$C$145:$C$249,0))</f>
        <v>0</v>
      </c>
      <c r="P920" t="str">
        <f t="shared" si="38"/>
        <v/>
      </c>
      <c r="Q920">
        <f t="shared" si="39"/>
        <v>1</v>
      </c>
      <c r="R920" s="195" t="str">
        <f t="shared" si="40"/>
        <v/>
      </c>
    </row>
    <row r="921" spans="3:18" x14ac:dyDescent="0.25">
      <c r="C921" s="294" t="s">
        <v>835</v>
      </c>
      <c r="D921" s="317">
        <v>51234</v>
      </c>
      <c r="E921" s="122" t="s">
        <v>836</v>
      </c>
      <c r="F921" s="122" t="s">
        <v>837</v>
      </c>
      <c r="G921" s="122" t="s">
        <v>776</v>
      </c>
      <c r="H921" s="122" t="s">
        <v>777</v>
      </c>
      <c r="I921" s="312">
        <v>2021</v>
      </c>
      <c r="J921" s="122" t="s">
        <v>711</v>
      </c>
      <c r="K921" s="283">
        <v>5455</v>
      </c>
      <c r="L921" s="318">
        <v>-33.800190000000001</v>
      </c>
      <c r="M921" s="318">
        <v>151.11436499999999</v>
      </c>
      <c r="O921">
        <f>INDEX('MEC - traffic congestion'!$M$145:$M$249,MATCH($D921,'MEC - traffic congestion'!$C$145:$C$249,0))</f>
        <v>0</v>
      </c>
      <c r="P921" t="str">
        <f t="shared" si="38"/>
        <v/>
      </c>
      <c r="Q921">
        <f t="shared" si="39"/>
        <v>1</v>
      </c>
      <c r="R921" s="195" t="str">
        <f t="shared" si="40"/>
        <v/>
      </c>
    </row>
    <row r="922" spans="3:18" x14ac:dyDescent="0.25">
      <c r="C922" s="294" t="s">
        <v>835</v>
      </c>
      <c r="D922" s="317">
        <v>51234</v>
      </c>
      <c r="E922" s="122" t="s">
        <v>836</v>
      </c>
      <c r="F922" s="122" t="s">
        <v>837</v>
      </c>
      <c r="G922" s="122" t="s">
        <v>776</v>
      </c>
      <c r="H922" s="122" t="s">
        <v>777</v>
      </c>
      <c r="I922" s="312">
        <v>2021</v>
      </c>
      <c r="J922" s="122" t="s">
        <v>713</v>
      </c>
      <c r="K922" s="283">
        <v>21650</v>
      </c>
      <c r="L922" s="318">
        <v>-33.800190000000001</v>
      </c>
      <c r="M922" s="318">
        <v>151.11436499999999</v>
      </c>
      <c r="O922">
        <f>INDEX('MEC - traffic congestion'!$M$145:$M$249,MATCH($D922,'MEC - traffic congestion'!$C$145:$C$249,0))</f>
        <v>0</v>
      </c>
      <c r="P922" t="str">
        <f t="shared" si="38"/>
        <v/>
      </c>
      <c r="Q922">
        <f t="shared" si="39"/>
        <v>1</v>
      </c>
      <c r="R922" s="195" t="str">
        <f t="shared" si="40"/>
        <v/>
      </c>
    </row>
    <row r="923" spans="3:18" x14ac:dyDescent="0.25">
      <c r="C923" s="294" t="s">
        <v>835</v>
      </c>
      <c r="D923" s="317">
        <v>51234</v>
      </c>
      <c r="E923" s="122" t="s">
        <v>836</v>
      </c>
      <c r="F923" s="122" t="s">
        <v>837</v>
      </c>
      <c r="G923" s="122" t="s">
        <v>776</v>
      </c>
      <c r="H923" s="122" t="s">
        <v>777</v>
      </c>
      <c r="I923" s="312">
        <v>2022</v>
      </c>
      <c r="J923" s="122" t="s">
        <v>709</v>
      </c>
      <c r="K923" s="283">
        <v>6771</v>
      </c>
      <c r="L923" s="318">
        <v>-33.800190000000001</v>
      </c>
      <c r="M923" s="318">
        <v>151.11436499999999</v>
      </c>
      <c r="O923">
        <f>INDEX('MEC - traffic congestion'!$M$145:$M$249,MATCH($D923,'MEC - traffic congestion'!$C$145:$C$249,0))</f>
        <v>0</v>
      </c>
      <c r="P923" t="str">
        <f t="shared" si="38"/>
        <v/>
      </c>
      <c r="Q923">
        <f t="shared" si="39"/>
        <v>1</v>
      </c>
      <c r="R923" s="195" t="str">
        <f t="shared" si="40"/>
        <v/>
      </c>
    </row>
    <row r="924" spans="3:18" x14ac:dyDescent="0.25">
      <c r="C924" s="294" t="s">
        <v>835</v>
      </c>
      <c r="D924" s="317">
        <v>51234</v>
      </c>
      <c r="E924" s="122" t="s">
        <v>836</v>
      </c>
      <c r="F924" s="122" t="s">
        <v>837</v>
      </c>
      <c r="G924" s="122" t="s">
        <v>776</v>
      </c>
      <c r="H924" s="122" t="s">
        <v>777</v>
      </c>
      <c r="I924" s="312">
        <v>2022</v>
      </c>
      <c r="J924" s="122" t="s">
        <v>710</v>
      </c>
      <c r="K924" s="283">
        <v>12717</v>
      </c>
      <c r="L924" s="318">
        <v>-33.800190000000001</v>
      </c>
      <c r="M924" s="318">
        <v>151.11436499999999</v>
      </c>
      <c r="O924">
        <f>INDEX('MEC - traffic congestion'!$M$145:$M$249,MATCH($D924,'MEC - traffic congestion'!$C$145:$C$249,0))</f>
        <v>0</v>
      </c>
      <c r="P924" t="str">
        <f t="shared" si="38"/>
        <v/>
      </c>
      <c r="Q924">
        <f t="shared" si="39"/>
        <v>1</v>
      </c>
      <c r="R924" s="195" t="str">
        <f t="shared" si="40"/>
        <v/>
      </c>
    </row>
    <row r="925" spans="3:18" x14ac:dyDescent="0.25">
      <c r="C925" s="294" t="s">
        <v>835</v>
      </c>
      <c r="D925" s="317">
        <v>51234</v>
      </c>
      <c r="E925" s="122" t="s">
        <v>836</v>
      </c>
      <c r="F925" s="122" t="s">
        <v>837</v>
      </c>
      <c r="G925" s="122" t="s">
        <v>776</v>
      </c>
      <c r="H925" s="122" t="s">
        <v>777</v>
      </c>
      <c r="I925" s="312">
        <v>2022</v>
      </c>
      <c r="J925" s="122" t="s">
        <v>711</v>
      </c>
      <c r="K925" s="283">
        <v>5936</v>
      </c>
      <c r="L925" s="318">
        <v>-33.800190000000001</v>
      </c>
      <c r="M925" s="318">
        <v>151.11436499999999</v>
      </c>
      <c r="O925">
        <f>INDEX('MEC - traffic congestion'!$M$145:$M$249,MATCH($D925,'MEC - traffic congestion'!$C$145:$C$249,0))</f>
        <v>0</v>
      </c>
      <c r="P925" t="str">
        <f t="shared" si="38"/>
        <v/>
      </c>
      <c r="Q925">
        <f t="shared" si="39"/>
        <v>1</v>
      </c>
      <c r="R925" s="195" t="str">
        <f t="shared" si="40"/>
        <v/>
      </c>
    </row>
    <row r="926" spans="3:18" x14ac:dyDescent="0.25">
      <c r="C926" s="294" t="s">
        <v>835</v>
      </c>
      <c r="D926" s="317">
        <v>51234</v>
      </c>
      <c r="E926" s="122" t="s">
        <v>836</v>
      </c>
      <c r="F926" s="122" t="s">
        <v>837</v>
      </c>
      <c r="G926" s="122" t="s">
        <v>776</v>
      </c>
      <c r="H926" s="122" t="s">
        <v>777</v>
      </c>
      <c r="I926" s="312">
        <v>2022</v>
      </c>
      <c r="J926" s="122" t="s">
        <v>713</v>
      </c>
      <c r="K926" s="283">
        <v>25193</v>
      </c>
      <c r="L926" s="318">
        <v>-33.800190000000001</v>
      </c>
      <c r="M926" s="318">
        <v>151.11436499999999</v>
      </c>
      <c r="O926">
        <f>INDEX('MEC - traffic congestion'!$M$145:$M$249,MATCH($D926,'MEC - traffic congestion'!$C$145:$C$249,0))</f>
        <v>0</v>
      </c>
      <c r="P926" t="str">
        <f t="shared" si="38"/>
        <v/>
      </c>
      <c r="Q926">
        <f t="shared" si="39"/>
        <v>1</v>
      </c>
      <c r="R926" s="195" t="str">
        <f t="shared" si="40"/>
        <v/>
      </c>
    </row>
    <row r="927" spans="3:18" x14ac:dyDescent="0.25">
      <c r="C927" s="294" t="s">
        <v>838</v>
      </c>
      <c r="D927" s="317">
        <v>51235</v>
      </c>
      <c r="E927" s="122" t="s">
        <v>806</v>
      </c>
      <c r="F927" s="122" t="s">
        <v>837</v>
      </c>
      <c r="G927" s="122" t="s">
        <v>785</v>
      </c>
      <c r="H927" s="122" t="s">
        <v>777</v>
      </c>
      <c r="I927" s="312">
        <v>2018</v>
      </c>
      <c r="J927" s="122" t="s">
        <v>709</v>
      </c>
      <c r="K927" s="283">
        <v>9119</v>
      </c>
      <c r="L927" s="318">
        <v>-33.815510000000003</v>
      </c>
      <c r="M927" s="318">
        <v>151.10110499999999</v>
      </c>
      <c r="O927">
        <f>INDEX('MEC - traffic congestion'!$M$145:$M$249,MATCH($D927,'MEC - traffic congestion'!$C$145:$C$249,0))</f>
        <v>1</v>
      </c>
      <c r="P927" t="str">
        <f t="shared" si="38"/>
        <v>2018AM PEAK</v>
      </c>
      <c r="Q927">
        <f t="shared" si="39"/>
        <v>1</v>
      </c>
      <c r="R927" s="195" t="str">
        <f t="shared" si="40"/>
        <v>2018LIGHT VEHICLES</v>
      </c>
    </row>
    <row r="928" spans="3:18" x14ac:dyDescent="0.25">
      <c r="C928" s="294" t="s">
        <v>838</v>
      </c>
      <c r="D928" s="317">
        <v>51235</v>
      </c>
      <c r="E928" s="122" t="s">
        <v>806</v>
      </c>
      <c r="F928" s="122" t="s">
        <v>837</v>
      </c>
      <c r="G928" s="122" t="s">
        <v>786</v>
      </c>
      <c r="H928" s="122" t="s">
        <v>777</v>
      </c>
      <c r="I928" s="312">
        <v>2018</v>
      </c>
      <c r="J928" s="122" t="s">
        <v>709</v>
      </c>
      <c r="K928" s="283">
        <v>5524</v>
      </c>
      <c r="L928" s="318">
        <v>-33.815510000000003</v>
      </c>
      <c r="M928" s="318">
        <v>151.10110499999999</v>
      </c>
      <c r="O928">
        <f>INDEX('MEC - traffic congestion'!$M$145:$M$249,MATCH($D928,'MEC - traffic congestion'!$C$145:$C$249,0))</f>
        <v>1</v>
      </c>
      <c r="P928" t="str">
        <f t="shared" si="38"/>
        <v>2018AM PEAK</v>
      </c>
      <c r="Q928">
        <f t="shared" si="39"/>
        <v>1</v>
      </c>
      <c r="R928" s="195" t="str">
        <f t="shared" si="40"/>
        <v>2018LIGHT VEHICLES</v>
      </c>
    </row>
    <row r="929" spans="3:18" x14ac:dyDescent="0.25">
      <c r="C929" s="294" t="s">
        <v>838</v>
      </c>
      <c r="D929" s="317">
        <v>51235</v>
      </c>
      <c r="E929" s="122" t="s">
        <v>806</v>
      </c>
      <c r="F929" s="122" t="s">
        <v>837</v>
      </c>
      <c r="G929" s="122" t="s">
        <v>785</v>
      </c>
      <c r="H929" s="122" t="s">
        <v>777</v>
      </c>
      <c r="I929" s="312">
        <v>2018</v>
      </c>
      <c r="J929" s="122" t="s">
        <v>710</v>
      </c>
      <c r="K929" s="283">
        <v>14940</v>
      </c>
      <c r="L929" s="318">
        <v>-33.815510000000003</v>
      </c>
      <c r="M929" s="318">
        <v>151.10110499999999</v>
      </c>
      <c r="O929">
        <f>INDEX('MEC - traffic congestion'!$M$145:$M$249,MATCH($D929,'MEC - traffic congestion'!$C$145:$C$249,0))</f>
        <v>1</v>
      </c>
      <c r="P929" t="str">
        <f t="shared" si="38"/>
        <v>2018OFF PEAK</v>
      </c>
      <c r="Q929">
        <f t="shared" si="39"/>
        <v>1</v>
      </c>
      <c r="R929" s="195" t="str">
        <f t="shared" si="40"/>
        <v>2018LIGHT VEHICLES</v>
      </c>
    </row>
    <row r="930" spans="3:18" x14ac:dyDescent="0.25">
      <c r="C930" s="294" t="s">
        <v>838</v>
      </c>
      <c r="D930" s="317">
        <v>51235</v>
      </c>
      <c r="E930" s="122" t="s">
        <v>806</v>
      </c>
      <c r="F930" s="122" t="s">
        <v>837</v>
      </c>
      <c r="G930" s="122" t="s">
        <v>786</v>
      </c>
      <c r="H930" s="122" t="s">
        <v>777</v>
      </c>
      <c r="I930" s="312">
        <v>2018</v>
      </c>
      <c r="J930" s="122" t="s">
        <v>710</v>
      </c>
      <c r="K930" s="283">
        <v>14407</v>
      </c>
      <c r="L930" s="318">
        <v>-33.815510000000003</v>
      </c>
      <c r="M930" s="318">
        <v>151.10110499999999</v>
      </c>
      <c r="O930">
        <f>INDEX('MEC - traffic congestion'!$M$145:$M$249,MATCH($D930,'MEC - traffic congestion'!$C$145:$C$249,0))</f>
        <v>1</v>
      </c>
      <c r="P930" t="str">
        <f t="shared" si="38"/>
        <v>2018OFF PEAK</v>
      </c>
      <c r="Q930">
        <f t="shared" si="39"/>
        <v>1</v>
      </c>
      <c r="R930" s="195" t="str">
        <f t="shared" si="40"/>
        <v>2018LIGHT VEHICLES</v>
      </c>
    </row>
    <row r="931" spans="3:18" x14ac:dyDescent="0.25">
      <c r="C931" s="294" t="s">
        <v>838</v>
      </c>
      <c r="D931" s="317">
        <v>51235</v>
      </c>
      <c r="E931" s="122" t="s">
        <v>806</v>
      </c>
      <c r="F931" s="122" t="s">
        <v>837</v>
      </c>
      <c r="G931" s="122" t="s">
        <v>785</v>
      </c>
      <c r="H931" s="122" t="s">
        <v>777</v>
      </c>
      <c r="I931" s="312">
        <v>2018</v>
      </c>
      <c r="J931" s="122" t="s">
        <v>711</v>
      </c>
      <c r="K931" s="283">
        <v>7727</v>
      </c>
      <c r="L931" s="318">
        <v>-33.815510000000003</v>
      </c>
      <c r="M931" s="318">
        <v>151.10110499999999</v>
      </c>
      <c r="O931">
        <f>INDEX('MEC - traffic congestion'!$M$145:$M$249,MATCH($D931,'MEC - traffic congestion'!$C$145:$C$249,0))</f>
        <v>1</v>
      </c>
      <c r="P931" t="str">
        <f t="shared" si="38"/>
        <v>2018PM PEAK</v>
      </c>
      <c r="Q931">
        <f t="shared" si="39"/>
        <v>1</v>
      </c>
      <c r="R931" s="195" t="str">
        <f t="shared" si="40"/>
        <v>2018LIGHT VEHICLES</v>
      </c>
    </row>
    <row r="932" spans="3:18" x14ac:dyDescent="0.25">
      <c r="C932" s="294" t="s">
        <v>838</v>
      </c>
      <c r="D932" s="317">
        <v>51235</v>
      </c>
      <c r="E932" s="122" t="s">
        <v>806</v>
      </c>
      <c r="F932" s="122" t="s">
        <v>837</v>
      </c>
      <c r="G932" s="122" t="s">
        <v>786</v>
      </c>
      <c r="H932" s="122" t="s">
        <v>777</v>
      </c>
      <c r="I932" s="312">
        <v>2018</v>
      </c>
      <c r="J932" s="122" t="s">
        <v>711</v>
      </c>
      <c r="K932" s="283">
        <v>7808</v>
      </c>
      <c r="L932" s="318">
        <v>-33.815510000000003</v>
      </c>
      <c r="M932" s="318">
        <v>151.10110499999999</v>
      </c>
      <c r="O932">
        <f>INDEX('MEC - traffic congestion'!$M$145:$M$249,MATCH($D932,'MEC - traffic congestion'!$C$145:$C$249,0))</f>
        <v>1</v>
      </c>
      <c r="P932" t="str">
        <f t="shared" si="38"/>
        <v>2018PM PEAK</v>
      </c>
      <c r="Q932">
        <f t="shared" si="39"/>
        <v>1</v>
      </c>
      <c r="R932" s="195" t="str">
        <f t="shared" si="40"/>
        <v>2018LIGHT VEHICLES</v>
      </c>
    </row>
    <row r="933" spans="3:18" x14ac:dyDescent="0.25">
      <c r="C933" s="294" t="s">
        <v>838</v>
      </c>
      <c r="D933" s="317">
        <v>51235</v>
      </c>
      <c r="E933" s="122" t="s">
        <v>806</v>
      </c>
      <c r="F933" s="122" t="s">
        <v>837</v>
      </c>
      <c r="G933" s="122" t="s">
        <v>785</v>
      </c>
      <c r="H933" s="122" t="s">
        <v>777</v>
      </c>
      <c r="I933" s="312">
        <v>2018</v>
      </c>
      <c r="J933" s="122" t="s">
        <v>712</v>
      </c>
      <c r="K933" s="283">
        <v>22109</v>
      </c>
      <c r="L933" s="318">
        <v>-33.815510000000003</v>
      </c>
      <c r="M933" s="318">
        <v>151.10110499999999</v>
      </c>
      <c r="O933">
        <f>INDEX('MEC - traffic congestion'!$M$145:$M$249,MATCH($D933,'MEC - traffic congestion'!$C$145:$C$249,0))</f>
        <v>1</v>
      </c>
      <c r="P933" t="str">
        <f t="shared" si="38"/>
        <v>2018PUBLIC HOLIDAYS</v>
      </c>
      <c r="Q933">
        <f t="shared" si="39"/>
        <v>1</v>
      </c>
      <c r="R933" s="195" t="str">
        <f t="shared" si="40"/>
        <v>2018LIGHT VEHICLES</v>
      </c>
    </row>
    <row r="934" spans="3:18" x14ac:dyDescent="0.25">
      <c r="C934" s="294" t="s">
        <v>838</v>
      </c>
      <c r="D934" s="317">
        <v>51235</v>
      </c>
      <c r="E934" s="122" t="s">
        <v>806</v>
      </c>
      <c r="F934" s="122" t="s">
        <v>837</v>
      </c>
      <c r="G934" s="122" t="s">
        <v>786</v>
      </c>
      <c r="H934" s="122" t="s">
        <v>777</v>
      </c>
      <c r="I934" s="312">
        <v>2018</v>
      </c>
      <c r="J934" s="122" t="s">
        <v>712</v>
      </c>
      <c r="K934" s="283">
        <v>19855</v>
      </c>
      <c r="L934" s="318">
        <v>-33.815510000000003</v>
      </c>
      <c r="M934" s="318">
        <v>151.10110499999999</v>
      </c>
      <c r="O934">
        <f>INDEX('MEC - traffic congestion'!$M$145:$M$249,MATCH($D934,'MEC - traffic congestion'!$C$145:$C$249,0))</f>
        <v>1</v>
      </c>
      <c r="P934" t="str">
        <f t="shared" si="38"/>
        <v>2018PUBLIC HOLIDAYS</v>
      </c>
      <c r="Q934">
        <f t="shared" si="39"/>
        <v>1</v>
      </c>
      <c r="R934" s="195" t="str">
        <f t="shared" si="40"/>
        <v>2018LIGHT VEHICLES</v>
      </c>
    </row>
    <row r="935" spans="3:18" x14ac:dyDescent="0.25">
      <c r="C935" s="294" t="s">
        <v>838</v>
      </c>
      <c r="D935" s="317">
        <v>51235</v>
      </c>
      <c r="E935" s="122" t="s">
        <v>806</v>
      </c>
      <c r="F935" s="122" t="s">
        <v>837</v>
      </c>
      <c r="G935" s="122" t="s">
        <v>785</v>
      </c>
      <c r="H935" s="122" t="s">
        <v>777</v>
      </c>
      <c r="I935" s="312">
        <v>2018</v>
      </c>
      <c r="J935" s="122" t="s">
        <v>713</v>
      </c>
      <c r="K935" s="283">
        <v>28187</v>
      </c>
      <c r="L935" s="318">
        <v>-33.815510000000003</v>
      </c>
      <c r="M935" s="318">
        <v>151.10110499999999</v>
      </c>
      <c r="O935">
        <f>INDEX('MEC - traffic congestion'!$M$145:$M$249,MATCH($D935,'MEC - traffic congestion'!$C$145:$C$249,0))</f>
        <v>1</v>
      </c>
      <c r="P935" t="str">
        <f t="shared" si="38"/>
        <v>2018WEEKENDS</v>
      </c>
      <c r="Q935">
        <f t="shared" si="39"/>
        <v>1</v>
      </c>
      <c r="R935" s="195" t="str">
        <f t="shared" si="40"/>
        <v>2018LIGHT VEHICLES</v>
      </c>
    </row>
    <row r="936" spans="3:18" x14ac:dyDescent="0.25">
      <c r="C936" s="294" t="s">
        <v>838</v>
      </c>
      <c r="D936" s="317">
        <v>51235</v>
      </c>
      <c r="E936" s="122" t="s">
        <v>806</v>
      </c>
      <c r="F936" s="122" t="s">
        <v>837</v>
      </c>
      <c r="G936" s="122" t="s">
        <v>786</v>
      </c>
      <c r="H936" s="122" t="s">
        <v>777</v>
      </c>
      <c r="I936" s="312">
        <v>2018</v>
      </c>
      <c r="J936" s="122" t="s">
        <v>713</v>
      </c>
      <c r="K936" s="283">
        <v>25888</v>
      </c>
      <c r="L936" s="318">
        <v>-33.815510000000003</v>
      </c>
      <c r="M936" s="318">
        <v>151.10110499999999</v>
      </c>
      <c r="O936">
        <f>INDEX('MEC - traffic congestion'!$M$145:$M$249,MATCH($D936,'MEC - traffic congestion'!$C$145:$C$249,0))</f>
        <v>1</v>
      </c>
      <c r="P936" t="str">
        <f t="shared" si="38"/>
        <v>2018WEEKENDS</v>
      </c>
      <c r="Q936">
        <f t="shared" si="39"/>
        <v>1</v>
      </c>
      <c r="R936" s="195" t="str">
        <f t="shared" si="40"/>
        <v>2018LIGHT VEHICLES</v>
      </c>
    </row>
    <row r="937" spans="3:18" x14ac:dyDescent="0.25">
      <c r="C937" s="294" t="s">
        <v>838</v>
      </c>
      <c r="D937" s="317">
        <v>51235</v>
      </c>
      <c r="E937" s="122" t="s">
        <v>806</v>
      </c>
      <c r="F937" s="122" t="s">
        <v>837</v>
      </c>
      <c r="G937" s="122" t="s">
        <v>785</v>
      </c>
      <c r="H937" s="122" t="s">
        <v>777</v>
      </c>
      <c r="I937" s="312">
        <v>2019</v>
      </c>
      <c r="J937" s="122" t="s">
        <v>709</v>
      </c>
      <c r="K937" s="283">
        <v>8960</v>
      </c>
      <c r="L937" s="318">
        <v>-33.815510000000003</v>
      </c>
      <c r="M937" s="318">
        <v>151.10110499999999</v>
      </c>
      <c r="O937">
        <f>INDEX('MEC - traffic congestion'!$M$145:$M$249,MATCH($D937,'MEC - traffic congestion'!$C$145:$C$249,0))</f>
        <v>1</v>
      </c>
      <c r="P937" t="str">
        <f t="shared" si="38"/>
        <v>2019AM PEAK</v>
      </c>
      <c r="Q937">
        <f t="shared" si="39"/>
        <v>1</v>
      </c>
      <c r="R937" s="195" t="str">
        <f t="shared" si="40"/>
        <v>2019LIGHT VEHICLES</v>
      </c>
    </row>
    <row r="938" spans="3:18" x14ac:dyDescent="0.25">
      <c r="C938" s="294" t="s">
        <v>838</v>
      </c>
      <c r="D938" s="317">
        <v>51235</v>
      </c>
      <c r="E938" s="122" t="s">
        <v>806</v>
      </c>
      <c r="F938" s="122" t="s">
        <v>837</v>
      </c>
      <c r="G938" s="122" t="s">
        <v>786</v>
      </c>
      <c r="H938" s="122" t="s">
        <v>777</v>
      </c>
      <c r="I938" s="312">
        <v>2019</v>
      </c>
      <c r="J938" s="122" t="s">
        <v>709</v>
      </c>
      <c r="K938" s="283">
        <v>5400</v>
      </c>
      <c r="L938" s="318">
        <v>-33.815510000000003</v>
      </c>
      <c r="M938" s="318">
        <v>151.10110499999999</v>
      </c>
      <c r="O938">
        <f>INDEX('MEC - traffic congestion'!$M$145:$M$249,MATCH($D938,'MEC - traffic congestion'!$C$145:$C$249,0))</f>
        <v>1</v>
      </c>
      <c r="P938" t="str">
        <f t="shared" si="38"/>
        <v>2019AM PEAK</v>
      </c>
      <c r="Q938">
        <f t="shared" si="39"/>
        <v>1</v>
      </c>
      <c r="R938" s="195" t="str">
        <f t="shared" si="40"/>
        <v>2019LIGHT VEHICLES</v>
      </c>
    </row>
    <row r="939" spans="3:18" x14ac:dyDescent="0.25">
      <c r="C939" s="294" t="s">
        <v>838</v>
      </c>
      <c r="D939" s="317">
        <v>51235</v>
      </c>
      <c r="E939" s="122" t="s">
        <v>806</v>
      </c>
      <c r="F939" s="122" t="s">
        <v>837</v>
      </c>
      <c r="G939" s="122" t="s">
        <v>785</v>
      </c>
      <c r="H939" s="122" t="s">
        <v>777</v>
      </c>
      <c r="I939" s="312">
        <v>2019</v>
      </c>
      <c r="J939" s="122" t="s">
        <v>710</v>
      </c>
      <c r="K939" s="283">
        <v>14829</v>
      </c>
      <c r="L939" s="318">
        <v>-33.815510000000003</v>
      </c>
      <c r="M939" s="318">
        <v>151.10110499999999</v>
      </c>
      <c r="O939">
        <f>INDEX('MEC - traffic congestion'!$M$145:$M$249,MATCH($D939,'MEC - traffic congestion'!$C$145:$C$249,0))</f>
        <v>1</v>
      </c>
      <c r="P939" t="str">
        <f t="shared" si="38"/>
        <v>2019OFF PEAK</v>
      </c>
      <c r="Q939">
        <f t="shared" si="39"/>
        <v>1</v>
      </c>
      <c r="R939" s="195" t="str">
        <f t="shared" si="40"/>
        <v>2019LIGHT VEHICLES</v>
      </c>
    </row>
    <row r="940" spans="3:18" x14ac:dyDescent="0.25">
      <c r="C940" s="294" t="s">
        <v>838</v>
      </c>
      <c r="D940" s="317">
        <v>51235</v>
      </c>
      <c r="E940" s="122" t="s">
        <v>806</v>
      </c>
      <c r="F940" s="122" t="s">
        <v>837</v>
      </c>
      <c r="G940" s="122" t="s">
        <v>786</v>
      </c>
      <c r="H940" s="122" t="s">
        <v>777</v>
      </c>
      <c r="I940" s="312">
        <v>2019</v>
      </c>
      <c r="J940" s="122" t="s">
        <v>710</v>
      </c>
      <c r="K940" s="283">
        <v>14290</v>
      </c>
      <c r="L940" s="318">
        <v>-33.815510000000003</v>
      </c>
      <c r="M940" s="318">
        <v>151.10110499999999</v>
      </c>
      <c r="O940">
        <f>INDEX('MEC - traffic congestion'!$M$145:$M$249,MATCH($D940,'MEC - traffic congestion'!$C$145:$C$249,0))</f>
        <v>1</v>
      </c>
      <c r="P940" t="str">
        <f t="shared" si="38"/>
        <v>2019OFF PEAK</v>
      </c>
      <c r="Q940">
        <f t="shared" si="39"/>
        <v>1</v>
      </c>
      <c r="R940" s="195" t="str">
        <f t="shared" si="40"/>
        <v>2019LIGHT VEHICLES</v>
      </c>
    </row>
    <row r="941" spans="3:18" x14ac:dyDescent="0.25">
      <c r="C941" s="294" t="s">
        <v>838</v>
      </c>
      <c r="D941" s="317">
        <v>51235</v>
      </c>
      <c r="E941" s="122" t="s">
        <v>806</v>
      </c>
      <c r="F941" s="122" t="s">
        <v>837</v>
      </c>
      <c r="G941" s="122" t="s">
        <v>785</v>
      </c>
      <c r="H941" s="122" t="s">
        <v>777</v>
      </c>
      <c r="I941" s="312">
        <v>2019</v>
      </c>
      <c r="J941" s="122" t="s">
        <v>711</v>
      </c>
      <c r="K941" s="283">
        <v>7657</v>
      </c>
      <c r="L941" s="318">
        <v>-33.815510000000003</v>
      </c>
      <c r="M941" s="318">
        <v>151.10110499999999</v>
      </c>
      <c r="O941">
        <f>INDEX('MEC - traffic congestion'!$M$145:$M$249,MATCH($D941,'MEC - traffic congestion'!$C$145:$C$249,0))</f>
        <v>1</v>
      </c>
      <c r="P941" t="str">
        <f t="shared" si="38"/>
        <v>2019PM PEAK</v>
      </c>
      <c r="Q941">
        <f t="shared" si="39"/>
        <v>1</v>
      </c>
      <c r="R941" s="195" t="str">
        <f t="shared" si="40"/>
        <v>2019LIGHT VEHICLES</v>
      </c>
    </row>
    <row r="942" spans="3:18" x14ac:dyDescent="0.25">
      <c r="C942" s="294" t="s">
        <v>838</v>
      </c>
      <c r="D942" s="317">
        <v>51235</v>
      </c>
      <c r="E942" s="122" t="s">
        <v>806</v>
      </c>
      <c r="F942" s="122" t="s">
        <v>837</v>
      </c>
      <c r="G942" s="122" t="s">
        <v>786</v>
      </c>
      <c r="H942" s="122" t="s">
        <v>777</v>
      </c>
      <c r="I942" s="312">
        <v>2019</v>
      </c>
      <c r="J942" s="122" t="s">
        <v>711</v>
      </c>
      <c r="K942" s="283">
        <v>7886</v>
      </c>
      <c r="L942" s="318">
        <v>-33.815510000000003</v>
      </c>
      <c r="M942" s="318">
        <v>151.10110499999999</v>
      </c>
      <c r="O942">
        <f>INDEX('MEC - traffic congestion'!$M$145:$M$249,MATCH($D942,'MEC - traffic congestion'!$C$145:$C$249,0))</f>
        <v>1</v>
      </c>
      <c r="P942" t="str">
        <f t="shared" si="38"/>
        <v>2019PM PEAK</v>
      </c>
      <c r="Q942">
        <f t="shared" si="39"/>
        <v>1</v>
      </c>
      <c r="R942" s="195" t="str">
        <f t="shared" si="40"/>
        <v>2019LIGHT VEHICLES</v>
      </c>
    </row>
    <row r="943" spans="3:18" x14ac:dyDescent="0.25">
      <c r="C943" s="294" t="s">
        <v>838</v>
      </c>
      <c r="D943" s="317">
        <v>51235</v>
      </c>
      <c r="E943" s="122" t="s">
        <v>806</v>
      </c>
      <c r="F943" s="122" t="s">
        <v>837</v>
      </c>
      <c r="G943" s="122" t="s">
        <v>785</v>
      </c>
      <c r="H943" s="122" t="s">
        <v>777</v>
      </c>
      <c r="I943" s="312">
        <v>2019</v>
      </c>
      <c r="J943" s="122" t="s">
        <v>712</v>
      </c>
      <c r="K943" s="283">
        <v>22074</v>
      </c>
      <c r="L943" s="318">
        <v>-33.815510000000003</v>
      </c>
      <c r="M943" s="318">
        <v>151.10110499999999</v>
      </c>
      <c r="O943">
        <f>INDEX('MEC - traffic congestion'!$M$145:$M$249,MATCH($D943,'MEC - traffic congestion'!$C$145:$C$249,0))</f>
        <v>1</v>
      </c>
      <c r="P943" t="str">
        <f t="shared" si="38"/>
        <v>2019PUBLIC HOLIDAYS</v>
      </c>
      <c r="Q943">
        <f t="shared" si="39"/>
        <v>1</v>
      </c>
      <c r="R943" s="195" t="str">
        <f t="shared" si="40"/>
        <v>2019LIGHT VEHICLES</v>
      </c>
    </row>
    <row r="944" spans="3:18" x14ac:dyDescent="0.25">
      <c r="C944" s="294" t="s">
        <v>838</v>
      </c>
      <c r="D944" s="317">
        <v>51235</v>
      </c>
      <c r="E944" s="122" t="s">
        <v>806</v>
      </c>
      <c r="F944" s="122" t="s">
        <v>837</v>
      </c>
      <c r="G944" s="122" t="s">
        <v>786</v>
      </c>
      <c r="H944" s="122" t="s">
        <v>777</v>
      </c>
      <c r="I944" s="312">
        <v>2019</v>
      </c>
      <c r="J944" s="122" t="s">
        <v>712</v>
      </c>
      <c r="K944" s="283">
        <v>20482</v>
      </c>
      <c r="L944" s="318">
        <v>-33.815510000000003</v>
      </c>
      <c r="M944" s="318">
        <v>151.10110499999999</v>
      </c>
      <c r="O944">
        <f>INDEX('MEC - traffic congestion'!$M$145:$M$249,MATCH($D944,'MEC - traffic congestion'!$C$145:$C$249,0))</f>
        <v>1</v>
      </c>
      <c r="P944" t="str">
        <f t="shared" si="38"/>
        <v>2019PUBLIC HOLIDAYS</v>
      </c>
      <c r="Q944">
        <f t="shared" si="39"/>
        <v>1</v>
      </c>
      <c r="R944" s="195" t="str">
        <f t="shared" si="40"/>
        <v>2019LIGHT VEHICLES</v>
      </c>
    </row>
    <row r="945" spans="3:18" x14ac:dyDescent="0.25">
      <c r="C945" s="294" t="s">
        <v>838</v>
      </c>
      <c r="D945" s="317">
        <v>51235</v>
      </c>
      <c r="E945" s="122" t="s">
        <v>806</v>
      </c>
      <c r="F945" s="122" t="s">
        <v>837</v>
      </c>
      <c r="G945" s="122" t="s">
        <v>785</v>
      </c>
      <c r="H945" s="122" t="s">
        <v>777</v>
      </c>
      <c r="I945" s="312">
        <v>2019</v>
      </c>
      <c r="J945" s="122" t="s">
        <v>713</v>
      </c>
      <c r="K945" s="283">
        <v>27772</v>
      </c>
      <c r="L945" s="318">
        <v>-33.815510000000003</v>
      </c>
      <c r="M945" s="318">
        <v>151.10110499999999</v>
      </c>
      <c r="O945">
        <f>INDEX('MEC - traffic congestion'!$M$145:$M$249,MATCH($D945,'MEC - traffic congestion'!$C$145:$C$249,0))</f>
        <v>1</v>
      </c>
      <c r="P945" t="str">
        <f t="shared" si="38"/>
        <v>2019WEEKENDS</v>
      </c>
      <c r="Q945">
        <f t="shared" si="39"/>
        <v>1</v>
      </c>
      <c r="R945" s="195" t="str">
        <f t="shared" si="40"/>
        <v>2019LIGHT VEHICLES</v>
      </c>
    </row>
    <row r="946" spans="3:18" x14ac:dyDescent="0.25">
      <c r="C946" s="294" t="s">
        <v>838</v>
      </c>
      <c r="D946" s="317">
        <v>51235</v>
      </c>
      <c r="E946" s="122" t="s">
        <v>806</v>
      </c>
      <c r="F946" s="122" t="s">
        <v>837</v>
      </c>
      <c r="G946" s="122" t="s">
        <v>786</v>
      </c>
      <c r="H946" s="122" t="s">
        <v>777</v>
      </c>
      <c r="I946" s="312">
        <v>2019</v>
      </c>
      <c r="J946" s="122" t="s">
        <v>713</v>
      </c>
      <c r="K946" s="283">
        <v>25753</v>
      </c>
      <c r="L946" s="318">
        <v>-33.815510000000003</v>
      </c>
      <c r="M946" s="318">
        <v>151.10110499999999</v>
      </c>
      <c r="O946">
        <f>INDEX('MEC - traffic congestion'!$M$145:$M$249,MATCH($D946,'MEC - traffic congestion'!$C$145:$C$249,0))</f>
        <v>1</v>
      </c>
      <c r="P946" t="str">
        <f t="shared" si="38"/>
        <v>2019WEEKENDS</v>
      </c>
      <c r="Q946">
        <f t="shared" si="39"/>
        <v>1</v>
      </c>
      <c r="R946" s="195" t="str">
        <f t="shared" si="40"/>
        <v>2019LIGHT VEHICLES</v>
      </c>
    </row>
    <row r="947" spans="3:18" x14ac:dyDescent="0.25">
      <c r="C947" s="294" t="s">
        <v>838</v>
      </c>
      <c r="D947" s="317">
        <v>51235</v>
      </c>
      <c r="E947" s="122" t="s">
        <v>806</v>
      </c>
      <c r="F947" s="122" t="s">
        <v>837</v>
      </c>
      <c r="G947" s="122" t="s">
        <v>785</v>
      </c>
      <c r="H947" s="122" t="s">
        <v>777</v>
      </c>
      <c r="I947" s="312">
        <v>2020</v>
      </c>
      <c r="J947" s="122" t="s">
        <v>709</v>
      </c>
      <c r="K947" s="283">
        <v>8449</v>
      </c>
      <c r="L947" s="318">
        <v>-33.815510000000003</v>
      </c>
      <c r="M947" s="318">
        <v>151.10110499999999</v>
      </c>
      <c r="O947">
        <f>INDEX('MEC - traffic congestion'!$M$145:$M$249,MATCH($D947,'MEC - traffic congestion'!$C$145:$C$249,0))</f>
        <v>1</v>
      </c>
      <c r="P947" t="str">
        <f t="shared" si="38"/>
        <v>2020AM PEAK</v>
      </c>
      <c r="Q947">
        <f t="shared" si="39"/>
        <v>1</v>
      </c>
      <c r="R947" s="195" t="str">
        <f t="shared" si="40"/>
        <v>2020LIGHT VEHICLES</v>
      </c>
    </row>
    <row r="948" spans="3:18" x14ac:dyDescent="0.25">
      <c r="C948" s="294" t="s">
        <v>838</v>
      </c>
      <c r="D948" s="317">
        <v>51235</v>
      </c>
      <c r="E948" s="122" t="s">
        <v>806</v>
      </c>
      <c r="F948" s="122" t="s">
        <v>837</v>
      </c>
      <c r="G948" s="122" t="s">
        <v>786</v>
      </c>
      <c r="H948" s="122" t="s">
        <v>777</v>
      </c>
      <c r="I948" s="312">
        <v>2020</v>
      </c>
      <c r="J948" s="122" t="s">
        <v>709</v>
      </c>
      <c r="K948" s="283">
        <v>4923</v>
      </c>
      <c r="L948" s="318">
        <v>-33.815510000000003</v>
      </c>
      <c r="M948" s="318">
        <v>151.10110499999999</v>
      </c>
      <c r="O948">
        <f>INDEX('MEC - traffic congestion'!$M$145:$M$249,MATCH($D948,'MEC - traffic congestion'!$C$145:$C$249,0))</f>
        <v>1</v>
      </c>
      <c r="P948" t="str">
        <f t="shared" si="38"/>
        <v>2020AM PEAK</v>
      </c>
      <c r="Q948">
        <f t="shared" si="39"/>
        <v>1</v>
      </c>
      <c r="R948" s="195" t="str">
        <f t="shared" si="40"/>
        <v>2020LIGHT VEHICLES</v>
      </c>
    </row>
    <row r="949" spans="3:18" x14ac:dyDescent="0.25">
      <c r="C949" s="294" t="s">
        <v>838</v>
      </c>
      <c r="D949" s="317">
        <v>51235</v>
      </c>
      <c r="E949" s="122" t="s">
        <v>806</v>
      </c>
      <c r="F949" s="122" t="s">
        <v>837</v>
      </c>
      <c r="G949" s="122" t="s">
        <v>785</v>
      </c>
      <c r="H949" s="122" t="s">
        <v>777</v>
      </c>
      <c r="I949" s="312">
        <v>2020</v>
      </c>
      <c r="J949" s="122" t="s">
        <v>710</v>
      </c>
      <c r="K949" s="283">
        <v>13510</v>
      </c>
      <c r="L949" s="318">
        <v>-33.815510000000003</v>
      </c>
      <c r="M949" s="318">
        <v>151.10110499999999</v>
      </c>
      <c r="O949">
        <f>INDEX('MEC - traffic congestion'!$M$145:$M$249,MATCH($D949,'MEC - traffic congestion'!$C$145:$C$249,0))</f>
        <v>1</v>
      </c>
      <c r="P949" t="str">
        <f t="shared" si="38"/>
        <v>2020OFF PEAK</v>
      </c>
      <c r="Q949">
        <f t="shared" si="39"/>
        <v>1</v>
      </c>
      <c r="R949" s="195" t="str">
        <f t="shared" si="40"/>
        <v>2020LIGHT VEHICLES</v>
      </c>
    </row>
    <row r="950" spans="3:18" x14ac:dyDescent="0.25">
      <c r="C950" s="294" t="s">
        <v>838</v>
      </c>
      <c r="D950" s="317">
        <v>51235</v>
      </c>
      <c r="E950" s="122" t="s">
        <v>806</v>
      </c>
      <c r="F950" s="122" t="s">
        <v>837</v>
      </c>
      <c r="G950" s="122" t="s">
        <v>786</v>
      </c>
      <c r="H950" s="122" t="s">
        <v>777</v>
      </c>
      <c r="I950" s="312">
        <v>2020</v>
      </c>
      <c r="J950" s="122" t="s">
        <v>710</v>
      </c>
      <c r="K950" s="283">
        <v>12689</v>
      </c>
      <c r="L950" s="318">
        <v>-33.815510000000003</v>
      </c>
      <c r="M950" s="318">
        <v>151.10110499999999</v>
      </c>
      <c r="O950">
        <f>INDEX('MEC - traffic congestion'!$M$145:$M$249,MATCH($D950,'MEC - traffic congestion'!$C$145:$C$249,0))</f>
        <v>1</v>
      </c>
      <c r="P950" t="str">
        <f t="shared" si="38"/>
        <v>2020OFF PEAK</v>
      </c>
      <c r="Q950">
        <f t="shared" si="39"/>
        <v>1</v>
      </c>
      <c r="R950" s="195" t="str">
        <f t="shared" si="40"/>
        <v>2020LIGHT VEHICLES</v>
      </c>
    </row>
    <row r="951" spans="3:18" x14ac:dyDescent="0.25">
      <c r="C951" s="294" t="s">
        <v>838</v>
      </c>
      <c r="D951" s="317">
        <v>51235</v>
      </c>
      <c r="E951" s="122" t="s">
        <v>806</v>
      </c>
      <c r="F951" s="122" t="s">
        <v>837</v>
      </c>
      <c r="G951" s="122" t="s">
        <v>785</v>
      </c>
      <c r="H951" s="122" t="s">
        <v>777</v>
      </c>
      <c r="I951" s="312">
        <v>2020</v>
      </c>
      <c r="J951" s="122" t="s">
        <v>711</v>
      </c>
      <c r="K951" s="283">
        <v>7213</v>
      </c>
      <c r="L951" s="318">
        <v>-33.815510000000003</v>
      </c>
      <c r="M951" s="318">
        <v>151.10110499999999</v>
      </c>
      <c r="O951">
        <f>INDEX('MEC - traffic congestion'!$M$145:$M$249,MATCH($D951,'MEC - traffic congestion'!$C$145:$C$249,0))</f>
        <v>1</v>
      </c>
      <c r="P951" t="str">
        <f t="shared" si="38"/>
        <v>2020PM PEAK</v>
      </c>
      <c r="Q951">
        <f t="shared" si="39"/>
        <v>1</v>
      </c>
      <c r="R951" s="195" t="str">
        <f t="shared" si="40"/>
        <v>2020LIGHT VEHICLES</v>
      </c>
    </row>
    <row r="952" spans="3:18" x14ac:dyDescent="0.25">
      <c r="C952" s="294" t="s">
        <v>838</v>
      </c>
      <c r="D952" s="317">
        <v>51235</v>
      </c>
      <c r="E952" s="122" t="s">
        <v>806</v>
      </c>
      <c r="F952" s="122" t="s">
        <v>837</v>
      </c>
      <c r="G952" s="122" t="s">
        <v>786</v>
      </c>
      <c r="H952" s="122" t="s">
        <v>777</v>
      </c>
      <c r="I952" s="312">
        <v>2020</v>
      </c>
      <c r="J952" s="122" t="s">
        <v>711</v>
      </c>
      <c r="K952" s="283">
        <v>7779</v>
      </c>
      <c r="L952" s="318">
        <v>-33.815510000000003</v>
      </c>
      <c r="M952" s="318">
        <v>151.10110499999999</v>
      </c>
      <c r="O952">
        <f>INDEX('MEC - traffic congestion'!$M$145:$M$249,MATCH($D952,'MEC - traffic congestion'!$C$145:$C$249,0))</f>
        <v>1</v>
      </c>
      <c r="P952" t="str">
        <f t="shared" si="38"/>
        <v>2020PM PEAK</v>
      </c>
      <c r="Q952">
        <f t="shared" si="39"/>
        <v>1</v>
      </c>
      <c r="R952" s="195" t="str">
        <f t="shared" si="40"/>
        <v>2020LIGHT VEHICLES</v>
      </c>
    </row>
    <row r="953" spans="3:18" x14ac:dyDescent="0.25">
      <c r="C953" s="294" t="s">
        <v>838</v>
      </c>
      <c r="D953" s="317">
        <v>51235</v>
      </c>
      <c r="E953" s="122" t="s">
        <v>806</v>
      </c>
      <c r="F953" s="122" t="s">
        <v>837</v>
      </c>
      <c r="G953" s="122" t="s">
        <v>785</v>
      </c>
      <c r="H953" s="122" t="s">
        <v>777</v>
      </c>
      <c r="I953" s="312">
        <v>2020</v>
      </c>
      <c r="J953" s="122" t="s">
        <v>712</v>
      </c>
      <c r="K953" s="283">
        <v>17606</v>
      </c>
      <c r="L953" s="318">
        <v>-33.815510000000003</v>
      </c>
      <c r="M953" s="318">
        <v>151.10110499999999</v>
      </c>
      <c r="O953">
        <f>INDEX('MEC - traffic congestion'!$M$145:$M$249,MATCH($D953,'MEC - traffic congestion'!$C$145:$C$249,0))</f>
        <v>1</v>
      </c>
      <c r="P953" t="str">
        <f t="shared" si="38"/>
        <v>2020PUBLIC HOLIDAYS</v>
      </c>
      <c r="Q953">
        <f t="shared" si="39"/>
        <v>1</v>
      </c>
      <c r="R953" s="195" t="str">
        <f t="shared" si="40"/>
        <v>2020LIGHT VEHICLES</v>
      </c>
    </row>
    <row r="954" spans="3:18" x14ac:dyDescent="0.25">
      <c r="C954" s="294" t="s">
        <v>838</v>
      </c>
      <c r="D954" s="317">
        <v>51235</v>
      </c>
      <c r="E954" s="122" t="s">
        <v>806</v>
      </c>
      <c r="F954" s="122" t="s">
        <v>837</v>
      </c>
      <c r="G954" s="122" t="s">
        <v>786</v>
      </c>
      <c r="H954" s="122" t="s">
        <v>777</v>
      </c>
      <c r="I954" s="312">
        <v>2020</v>
      </c>
      <c r="J954" s="122" t="s">
        <v>712</v>
      </c>
      <c r="K954" s="283">
        <v>16557</v>
      </c>
      <c r="L954" s="318">
        <v>-33.815510000000003</v>
      </c>
      <c r="M954" s="318">
        <v>151.10110499999999</v>
      </c>
      <c r="O954">
        <f>INDEX('MEC - traffic congestion'!$M$145:$M$249,MATCH($D954,'MEC - traffic congestion'!$C$145:$C$249,0))</f>
        <v>1</v>
      </c>
      <c r="P954" t="str">
        <f t="shared" si="38"/>
        <v>2020PUBLIC HOLIDAYS</v>
      </c>
      <c r="Q954">
        <f t="shared" si="39"/>
        <v>1</v>
      </c>
      <c r="R954" s="195" t="str">
        <f t="shared" si="40"/>
        <v>2020LIGHT VEHICLES</v>
      </c>
    </row>
    <row r="955" spans="3:18" x14ac:dyDescent="0.25">
      <c r="C955" s="294" t="s">
        <v>838</v>
      </c>
      <c r="D955" s="317">
        <v>51235</v>
      </c>
      <c r="E955" s="122" t="s">
        <v>806</v>
      </c>
      <c r="F955" s="122" t="s">
        <v>837</v>
      </c>
      <c r="G955" s="122" t="s">
        <v>785</v>
      </c>
      <c r="H955" s="122" t="s">
        <v>777</v>
      </c>
      <c r="I955" s="312">
        <v>2020</v>
      </c>
      <c r="J955" s="122" t="s">
        <v>713</v>
      </c>
      <c r="K955" s="283">
        <v>24912</v>
      </c>
      <c r="L955" s="318">
        <v>-33.815510000000003</v>
      </c>
      <c r="M955" s="318">
        <v>151.10110499999999</v>
      </c>
      <c r="O955">
        <f>INDEX('MEC - traffic congestion'!$M$145:$M$249,MATCH($D955,'MEC - traffic congestion'!$C$145:$C$249,0))</f>
        <v>1</v>
      </c>
      <c r="P955" t="str">
        <f t="shared" si="38"/>
        <v>2020WEEKENDS</v>
      </c>
      <c r="Q955">
        <f t="shared" si="39"/>
        <v>1</v>
      </c>
      <c r="R955" s="195" t="str">
        <f t="shared" si="40"/>
        <v>2020LIGHT VEHICLES</v>
      </c>
    </row>
    <row r="956" spans="3:18" x14ac:dyDescent="0.25">
      <c r="C956" s="294" t="s">
        <v>838</v>
      </c>
      <c r="D956" s="317">
        <v>51235</v>
      </c>
      <c r="E956" s="122" t="s">
        <v>806</v>
      </c>
      <c r="F956" s="122" t="s">
        <v>837</v>
      </c>
      <c r="G956" s="122" t="s">
        <v>786</v>
      </c>
      <c r="H956" s="122" t="s">
        <v>777</v>
      </c>
      <c r="I956" s="312">
        <v>2020</v>
      </c>
      <c r="J956" s="122" t="s">
        <v>713</v>
      </c>
      <c r="K956" s="283">
        <v>22552</v>
      </c>
      <c r="L956" s="318">
        <v>-33.815510000000003</v>
      </c>
      <c r="M956" s="318">
        <v>151.10110499999999</v>
      </c>
      <c r="O956">
        <f>INDEX('MEC - traffic congestion'!$M$145:$M$249,MATCH($D956,'MEC - traffic congestion'!$C$145:$C$249,0))</f>
        <v>1</v>
      </c>
      <c r="P956" t="str">
        <f t="shared" si="38"/>
        <v>2020WEEKENDS</v>
      </c>
      <c r="Q956">
        <f t="shared" si="39"/>
        <v>1</v>
      </c>
      <c r="R956" s="195" t="str">
        <f t="shared" si="40"/>
        <v>2020LIGHT VEHICLES</v>
      </c>
    </row>
    <row r="957" spans="3:18" x14ac:dyDescent="0.25">
      <c r="C957" s="294" t="s">
        <v>838</v>
      </c>
      <c r="D957" s="317">
        <v>51235</v>
      </c>
      <c r="E957" s="122" t="s">
        <v>806</v>
      </c>
      <c r="F957" s="122" t="s">
        <v>837</v>
      </c>
      <c r="G957" s="122" t="s">
        <v>785</v>
      </c>
      <c r="H957" s="122" t="s">
        <v>777</v>
      </c>
      <c r="I957" s="312">
        <v>2021</v>
      </c>
      <c r="J957" s="122" t="s">
        <v>709</v>
      </c>
      <c r="K957" s="283">
        <v>7770</v>
      </c>
      <c r="L957" s="318">
        <v>-33.815510000000003</v>
      </c>
      <c r="M957" s="318">
        <v>151.10110499999999</v>
      </c>
      <c r="O957">
        <f>INDEX('MEC - traffic congestion'!$M$145:$M$249,MATCH($D957,'MEC - traffic congestion'!$C$145:$C$249,0))</f>
        <v>1</v>
      </c>
      <c r="P957" t="str">
        <f t="shared" si="38"/>
        <v>2021AM PEAK</v>
      </c>
      <c r="Q957">
        <f t="shared" si="39"/>
        <v>1</v>
      </c>
      <c r="R957" s="195" t="str">
        <f t="shared" si="40"/>
        <v>2021LIGHT VEHICLES</v>
      </c>
    </row>
    <row r="958" spans="3:18" x14ac:dyDescent="0.25">
      <c r="C958" s="294" t="s">
        <v>838</v>
      </c>
      <c r="D958" s="317">
        <v>51235</v>
      </c>
      <c r="E958" s="122" t="s">
        <v>806</v>
      </c>
      <c r="F958" s="122" t="s">
        <v>837</v>
      </c>
      <c r="G958" s="122" t="s">
        <v>786</v>
      </c>
      <c r="H958" s="122" t="s">
        <v>777</v>
      </c>
      <c r="I958" s="312">
        <v>2021</v>
      </c>
      <c r="J958" s="122" t="s">
        <v>709</v>
      </c>
      <c r="K958" s="283">
        <v>4571</v>
      </c>
      <c r="L958" s="318">
        <v>-33.815510000000003</v>
      </c>
      <c r="M958" s="318">
        <v>151.10110499999999</v>
      </c>
      <c r="O958">
        <f>INDEX('MEC - traffic congestion'!$M$145:$M$249,MATCH($D958,'MEC - traffic congestion'!$C$145:$C$249,0))</f>
        <v>1</v>
      </c>
      <c r="P958" t="str">
        <f t="shared" si="38"/>
        <v>2021AM PEAK</v>
      </c>
      <c r="Q958">
        <f t="shared" si="39"/>
        <v>1</v>
      </c>
      <c r="R958" s="195" t="str">
        <f t="shared" si="40"/>
        <v>2021LIGHT VEHICLES</v>
      </c>
    </row>
    <row r="959" spans="3:18" x14ac:dyDescent="0.25">
      <c r="C959" s="294" t="s">
        <v>838</v>
      </c>
      <c r="D959" s="317">
        <v>51235</v>
      </c>
      <c r="E959" s="122" t="s">
        <v>806</v>
      </c>
      <c r="F959" s="122" t="s">
        <v>837</v>
      </c>
      <c r="G959" s="122" t="s">
        <v>785</v>
      </c>
      <c r="H959" s="122" t="s">
        <v>777</v>
      </c>
      <c r="I959" s="312">
        <v>2021</v>
      </c>
      <c r="J959" s="122" t="s">
        <v>710</v>
      </c>
      <c r="K959" s="283">
        <v>12551</v>
      </c>
      <c r="L959" s="318">
        <v>-33.815510000000003</v>
      </c>
      <c r="M959" s="318">
        <v>151.10110499999999</v>
      </c>
      <c r="O959">
        <f>INDEX('MEC - traffic congestion'!$M$145:$M$249,MATCH($D959,'MEC - traffic congestion'!$C$145:$C$249,0))</f>
        <v>1</v>
      </c>
      <c r="P959" t="str">
        <f t="shared" si="38"/>
        <v>2021OFF PEAK</v>
      </c>
      <c r="Q959">
        <f t="shared" si="39"/>
        <v>1</v>
      </c>
      <c r="R959" s="195" t="str">
        <f t="shared" si="40"/>
        <v>2021LIGHT VEHICLES</v>
      </c>
    </row>
    <row r="960" spans="3:18" x14ac:dyDescent="0.25">
      <c r="C960" s="294" t="s">
        <v>838</v>
      </c>
      <c r="D960" s="317">
        <v>51235</v>
      </c>
      <c r="E960" s="122" t="s">
        <v>806</v>
      </c>
      <c r="F960" s="122" t="s">
        <v>837</v>
      </c>
      <c r="G960" s="122" t="s">
        <v>786</v>
      </c>
      <c r="H960" s="122" t="s">
        <v>777</v>
      </c>
      <c r="I960" s="312">
        <v>2021</v>
      </c>
      <c r="J960" s="122" t="s">
        <v>710</v>
      </c>
      <c r="K960" s="283">
        <v>11773</v>
      </c>
      <c r="L960" s="318">
        <v>-33.815510000000003</v>
      </c>
      <c r="M960" s="318">
        <v>151.10110499999999</v>
      </c>
      <c r="O960">
        <f>INDEX('MEC - traffic congestion'!$M$145:$M$249,MATCH($D960,'MEC - traffic congestion'!$C$145:$C$249,0))</f>
        <v>1</v>
      </c>
      <c r="P960" t="str">
        <f t="shared" si="38"/>
        <v>2021OFF PEAK</v>
      </c>
      <c r="Q960">
        <f t="shared" si="39"/>
        <v>1</v>
      </c>
      <c r="R960" s="195" t="str">
        <f t="shared" si="40"/>
        <v>2021LIGHT VEHICLES</v>
      </c>
    </row>
    <row r="961" spans="3:18" x14ac:dyDescent="0.25">
      <c r="C961" s="294" t="s">
        <v>838</v>
      </c>
      <c r="D961" s="317">
        <v>51235</v>
      </c>
      <c r="E961" s="122" t="s">
        <v>806</v>
      </c>
      <c r="F961" s="122" t="s">
        <v>837</v>
      </c>
      <c r="G961" s="122" t="s">
        <v>785</v>
      </c>
      <c r="H961" s="122" t="s">
        <v>777</v>
      </c>
      <c r="I961" s="312">
        <v>2021</v>
      </c>
      <c r="J961" s="122" t="s">
        <v>711</v>
      </c>
      <c r="K961" s="283">
        <v>6691</v>
      </c>
      <c r="L961" s="318">
        <v>-33.815510000000003</v>
      </c>
      <c r="M961" s="318">
        <v>151.10110499999999</v>
      </c>
      <c r="O961">
        <f>INDEX('MEC - traffic congestion'!$M$145:$M$249,MATCH($D961,'MEC - traffic congestion'!$C$145:$C$249,0))</f>
        <v>1</v>
      </c>
      <c r="P961" t="str">
        <f t="shared" si="38"/>
        <v>2021PM PEAK</v>
      </c>
      <c r="Q961">
        <f t="shared" si="39"/>
        <v>1</v>
      </c>
      <c r="R961" s="195" t="str">
        <f t="shared" si="40"/>
        <v>2021LIGHT VEHICLES</v>
      </c>
    </row>
    <row r="962" spans="3:18" x14ac:dyDescent="0.25">
      <c r="C962" s="294" t="s">
        <v>838</v>
      </c>
      <c r="D962" s="317">
        <v>51235</v>
      </c>
      <c r="E962" s="122" t="s">
        <v>806</v>
      </c>
      <c r="F962" s="122" t="s">
        <v>837</v>
      </c>
      <c r="G962" s="122" t="s">
        <v>786</v>
      </c>
      <c r="H962" s="122" t="s">
        <v>777</v>
      </c>
      <c r="I962" s="312">
        <v>2021</v>
      </c>
      <c r="J962" s="122" t="s">
        <v>711</v>
      </c>
      <c r="K962" s="283">
        <v>6924</v>
      </c>
      <c r="L962" s="318">
        <v>-33.815510000000003</v>
      </c>
      <c r="M962" s="318">
        <v>151.10110499999999</v>
      </c>
      <c r="O962">
        <f>INDEX('MEC - traffic congestion'!$M$145:$M$249,MATCH($D962,'MEC - traffic congestion'!$C$145:$C$249,0))</f>
        <v>1</v>
      </c>
      <c r="P962" t="str">
        <f t="shared" si="38"/>
        <v>2021PM PEAK</v>
      </c>
      <c r="Q962">
        <f t="shared" si="39"/>
        <v>1</v>
      </c>
      <c r="R962" s="195" t="str">
        <f t="shared" si="40"/>
        <v>2021LIGHT VEHICLES</v>
      </c>
    </row>
    <row r="963" spans="3:18" x14ac:dyDescent="0.25">
      <c r="C963" s="294" t="s">
        <v>838</v>
      </c>
      <c r="D963" s="317">
        <v>51235</v>
      </c>
      <c r="E963" s="122" t="s">
        <v>806</v>
      </c>
      <c r="F963" s="122" t="s">
        <v>837</v>
      </c>
      <c r="G963" s="122" t="s">
        <v>785</v>
      </c>
      <c r="H963" s="122" t="s">
        <v>777</v>
      </c>
      <c r="I963" s="312">
        <v>2021</v>
      </c>
      <c r="J963" s="122" t="s">
        <v>713</v>
      </c>
      <c r="K963" s="283">
        <v>22541</v>
      </c>
      <c r="L963" s="318">
        <v>-33.815510000000003</v>
      </c>
      <c r="M963" s="318">
        <v>151.10110499999999</v>
      </c>
      <c r="O963">
        <f>INDEX('MEC - traffic congestion'!$M$145:$M$249,MATCH($D963,'MEC - traffic congestion'!$C$145:$C$249,0))</f>
        <v>1</v>
      </c>
      <c r="P963" t="str">
        <f t="shared" si="38"/>
        <v>2021WEEKENDS</v>
      </c>
      <c r="Q963">
        <f t="shared" si="39"/>
        <v>1</v>
      </c>
      <c r="R963" s="195" t="str">
        <f t="shared" si="40"/>
        <v>2021LIGHT VEHICLES</v>
      </c>
    </row>
    <row r="964" spans="3:18" x14ac:dyDescent="0.25">
      <c r="C964" s="294" t="s">
        <v>838</v>
      </c>
      <c r="D964" s="317">
        <v>51235</v>
      </c>
      <c r="E964" s="122" t="s">
        <v>806</v>
      </c>
      <c r="F964" s="122" t="s">
        <v>837</v>
      </c>
      <c r="G964" s="122" t="s">
        <v>786</v>
      </c>
      <c r="H964" s="122" t="s">
        <v>777</v>
      </c>
      <c r="I964" s="312">
        <v>2021</v>
      </c>
      <c r="J964" s="122" t="s">
        <v>713</v>
      </c>
      <c r="K964" s="283">
        <v>20211</v>
      </c>
      <c r="L964" s="318">
        <v>-33.815510000000003</v>
      </c>
      <c r="M964" s="318">
        <v>151.10110499999999</v>
      </c>
      <c r="O964">
        <f>INDEX('MEC - traffic congestion'!$M$145:$M$249,MATCH($D964,'MEC - traffic congestion'!$C$145:$C$249,0))</f>
        <v>1</v>
      </c>
      <c r="P964" t="str">
        <f t="shared" si="38"/>
        <v>2021WEEKENDS</v>
      </c>
      <c r="Q964">
        <f t="shared" si="39"/>
        <v>1</v>
      </c>
      <c r="R964" s="195" t="str">
        <f t="shared" si="40"/>
        <v>2021LIGHT VEHICLES</v>
      </c>
    </row>
    <row r="965" spans="3:18" x14ac:dyDescent="0.25">
      <c r="C965" s="294" t="s">
        <v>838</v>
      </c>
      <c r="D965" s="317">
        <v>51235</v>
      </c>
      <c r="E965" s="122" t="s">
        <v>806</v>
      </c>
      <c r="F965" s="122" t="s">
        <v>837</v>
      </c>
      <c r="G965" s="122" t="s">
        <v>785</v>
      </c>
      <c r="H965" s="122" t="s">
        <v>777</v>
      </c>
      <c r="I965" s="312">
        <v>2022</v>
      </c>
      <c r="J965" s="122" t="s">
        <v>709</v>
      </c>
      <c r="K965" s="283">
        <v>7553</v>
      </c>
      <c r="L965" s="318">
        <v>-33.815510000000003</v>
      </c>
      <c r="M965" s="318">
        <v>151.10110499999999</v>
      </c>
      <c r="O965">
        <f>INDEX('MEC - traffic congestion'!$M$145:$M$249,MATCH($D965,'MEC - traffic congestion'!$C$145:$C$249,0))</f>
        <v>1</v>
      </c>
      <c r="P965" t="str">
        <f t="shared" si="38"/>
        <v>2022AM PEAK</v>
      </c>
      <c r="Q965">
        <f t="shared" si="39"/>
        <v>1</v>
      </c>
      <c r="R965" s="195" t="str">
        <f t="shared" si="40"/>
        <v>2022LIGHT VEHICLES</v>
      </c>
    </row>
    <row r="966" spans="3:18" x14ac:dyDescent="0.25">
      <c r="C966" s="294" t="s">
        <v>838</v>
      </c>
      <c r="D966" s="317">
        <v>51235</v>
      </c>
      <c r="E966" s="122" t="s">
        <v>806</v>
      </c>
      <c r="F966" s="122" t="s">
        <v>837</v>
      </c>
      <c r="G966" s="122" t="s">
        <v>786</v>
      </c>
      <c r="H966" s="122" t="s">
        <v>777</v>
      </c>
      <c r="I966" s="312">
        <v>2022</v>
      </c>
      <c r="J966" s="122" t="s">
        <v>709</v>
      </c>
      <c r="K966" s="283">
        <v>4485</v>
      </c>
      <c r="L966" s="318">
        <v>-33.815510000000003</v>
      </c>
      <c r="M966" s="318">
        <v>151.10110499999999</v>
      </c>
      <c r="O966">
        <f>INDEX('MEC - traffic congestion'!$M$145:$M$249,MATCH($D966,'MEC - traffic congestion'!$C$145:$C$249,0))</f>
        <v>1</v>
      </c>
      <c r="P966" t="str">
        <f t="shared" si="38"/>
        <v>2022AM PEAK</v>
      </c>
      <c r="Q966">
        <f t="shared" si="39"/>
        <v>1</v>
      </c>
      <c r="R966" s="195" t="str">
        <f t="shared" si="40"/>
        <v>2022LIGHT VEHICLES</v>
      </c>
    </row>
    <row r="967" spans="3:18" x14ac:dyDescent="0.25">
      <c r="C967" s="294" t="s">
        <v>838</v>
      </c>
      <c r="D967" s="317">
        <v>51235</v>
      </c>
      <c r="E967" s="122" t="s">
        <v>806</v>
      </c>
      <c r="F967" s="122" t="s">
        <v>837</v>
      </c>
      <c r="G967" s="122" t="s">
        <v>785</v>
      </c>
      <c r="H967" s="122" t="s">
        <v>777</v>
      </c>
      <c r="I967" s="312">
        <v>2022</v>
      </c>
      <c r="J967" s="122" t="s">
        <v>710</v>
      </c>
      <c r="K967" s="283">
        <v>13325</v>
      </c>
      <c r="L967" s="318">
        <v>-33.815510000000003</v>
      </c>
      <c r="M967" s="318">
        <v>151.10110499999999</v>
      </c>
      <c r="O967">
        <f>INDEX('MEC - traffic congestion'!$M$145:$M$249,MATCH($D967,'MEC - traffic congestion'!$C$145:$C$249,0))</f>
        <v>1</v>
      </c>
      <c r="P967" t="str">
        <f t="shared" si="38"/>
        <v>2022OFF PEAK</v>
      </c>
      <c r="Q967">
        <f t="shared" si="39"/>
        <v>1</v>
      </c>
      <c r="R967" s="195" t="str">
        <f t="shared" si="40"/>
        <v>2022LIGHT VEHICLES</v>
      </c>
    </row>
    <row r="968" spans="3:18" x14ac:dyDescent="0.25">
      <c r="C968" s="294" t="s">
        <v>838</v>
      </c>
      <c r="D968" s="317">
        <v>51235</v>
      </c>
      <c r="E968" s="122" t="s">
        <v>806</v>
      </c>
      <c r="F968" s="122" t="s">
        <v>837</v>
      </c>
      <c r="G968" s="122" t="s">
        <v>786</v>
      </c>
      <c r="H968" s="122" t="s">
        <v>777</v>
      </c>
      <c r="I968" s="312">
        <v>2022</v>
      </c>
      <c r="J968" s="122" t="s">
        <v>710</v>
      </c>
      <c r="K968" s="283">
        <v>12707</v>
      </c>
      <c r="L968" s="318">
        <v>-33.815510000000003</v>
      </c>
      <c r="M968" s="318">
        <v>151.10110499999999</v>
      </c>
      <c r="O968">
        <f>INDEX('MEC - traffic congestion'!$M$145:$M$249,MATCH($D968,'MEC - traffic congestion'!$C$145:$C$249,0))</f>
        <v>1</v>
      </c>
      <c r="P968" t="str">
        <f t="shared" si="38"/>
        <v>2022OFF PEAK</v>
      </c>
      <c r="Q968">
        <f t="shared" si="39"/>
        <v>1</v>
      </c>
      <c r="R968" s="195" t="str">
        <f t="shared" si="40"/>
        <v>2022LIGHT VEHICLES</v>
      </c>
    </row>
    <row r="969" spans="3:18" x14ac:dyDescent="0.25">
      <c r="C969" s="294" t="s">
        <v>838</v>
      </c>
      <c r="D969" s="317">
        <v>51235</v>
      </c>
      <c r="E969" s="122" t="s">
        <v>806</v>
      </c>
      <c r="F969" s="122" t="s">
        <v>837</v>
      </c>
      <c r="G969" s="122" t="s">
        <v>785</v>
      </c>
      <c r="H969" s="122" t="s">
        <v>777</v>
      </c>
      <c r="I969" s="312">
        <v>2022</v>
      </c>
      <c r="J969" s="122" t="s">
        <v>711</v>
      </c>
      <c r="K969" s="283">
        <v>6958</v>
      </c>
      <c r="L969" s="318">
        <v>-33.815510000000003</v>
      </c>
      <c r="M969" s="318">
        <v>151.10110499999999</v>
      </c>
      <c r="O969">
        <f>INDEX('MEC - traffic congestion'!$M$145:$M$249,MATCH($D969,'MEC - traffic congestion'!$C$145:$C$249,0))</f>
        <v>1</v>
      </c>
      <c r="P969" t="str">
        <f t="shared" si="38"/>
        <v>2022PM PEAK</v>
      </c>
      <c r="Q969">
        <f t="shared" si="39"/>
        <v>1</v>
      </c>
      <c r="R969" s="195" t="str">
        <f t="shared" si="40"/>
        <v>2022LIGHT VEHICLES</v>
      </c>
    </row>
    <row r="970" spans="3:18" x14ac:dyDescent="0.25">
      <c r="C970" s="294" t="s">
        <v>838</v>
      </c>
      <c r="D970" s="317">
        <v>51235</v>
      </c>
      <c r="E970" s="122" t="s">
        <v>806</v>
      </c>
      <c r="F970" s="122" t="s">
        <v>837</v>
      </c>
      <c r="G970" s="122" t="s">
        <v>786</v>
      </c>
      <c r="H970" s="122" t="s">
        <v>777</v>
      </c>
      <c r="I970" s="312">
        <v>2022</v>
      </c>
      <c r="J970" s="122" t="s">
        <v>711</v>
      </c>
      <c r="K970" s="283">
        <v>7403</v>
      </c>
      <c r="L970" s="318">
        <v>-33.815510000000003</v>
      </c>
      <c r="M970" s="318">
        <v>151.10110499999999</v>
      </c>
      <c r="O970">
        <f>INDEX('MEC - traffic congestion'!$M$145:$M$249,MATCH($D970,'MEC - traffic congestion'!$C$145:$C$249,0))</f>
        <v>1</v>
      </c>
      <c r="P970" t="str">
        <f t="shared" si="38"/>
        <v>2022PM PEAK</v>
      </c>
      <c r="Q970">
        <f t="shared" si="39"/>
        <v>1</v>
      </c>
      <c r="R970" s="195" t="str">
        <f t="shared" si="40"/>
        <v>2022LIGHT VEHICLES</v>
      </c>
    </row>
    <row r="971" spans="3:18" x14ac:dyDescent="0.25">
      <c r="C971" s="294" t="s">
        <v>838</v>
      </c>
      <c r="D971" s="317">
        <v>51235</v>
      </c>
      <c r="E971" s="122" t="s">
        <v>806</v>
      </c>
      <c r="F971" s="122" t="s">
        <v>837</v>
      </c>
      <c r="G971" s="122" t="s">
        <v>785</v>
      </c>
      <c r="H971" s="122" t="s">
        <v>777</v>
      </c>
      <c r="I971" s="312">
        <v>2022</v>
      </c>
      <c r="J971" s="122" t="s">
        <v>713</v>
      </c>
      <c r="K971" s="283">
        <v>25563</v>
      </c>
      <c r="L971" s="318">
        <v>-33.815510000000003</v>
      </c>
      <c r="M971" s="318">
        <v>151.10110499999999</v>
      </c>
      <c r="O971">
        <f>INDEX('MEC - traffic congestion'!$M$145:$M$249,MATCH($D971,'MEC - traffic congestion'!$C$145:$C$249,0))</f>
        <v>1</v>
      </c>
      <c r="P971" t="str">
        <f t="shared" si="38"/>
        <v>2022WEEKENDS</v>
      </c>
      <c r="Q971">
        <f t="shared" si="39"/>
        <v>1</v>
      </c>
      <c r="R971" s="195" t="str">
        <f t="shared" si="40"/>
        <v>2022LIGHT VEHICLES</v>
      </c>
    </row>
    <row r="972" spans="3:18" x14ac:dyDescent="0.25">
      <c r="C972" s="294" t="s">
        <v>838</v>
      </c>
      <c r="D972" s="317">
        <v>51235</v>
      </c>
      <c r="E972" s="122" t="s">
        <v>806</v>
      </c>
      <c r="F972" s="122" t="s">
        <v>837</v>
      </c>
      <c r="G972" s="122" t="s">
        <v>786</v>
      </c>
      <c r="H972" s="122" t="s">
        <v>777</v>
      </c>
      <c r="I972" s="312">
        <v>2022</v>
      </c>
      <c r="J972" s="122" t="s">
        <v>713</v>
      </c>
      <c r="K972" s="283">
        <v>23534</v>
      </c>
      <c r="L972" s="318">
        <v>-33.815510000000003</v>
      </c>
      <c r="M972" s="318">
        <v>151.10110499999999</v>
      </c>
      <c r="O972">
        <f>INDEX('MEC - traffic congestion'!$M$145:$M$249,MATCH($D972,'MEC - traffic congestion'!$C$145:$C$249,0))</f>
        <v>1</v>
      </c>
      <c r="P972" t="str">
        <f t="shared" si="38"/>
        <v>2022WEEKENDS</v>
      </c>
      <c r="Q972">
        <f t="shared" si="39"/>
        <v>1</v>
      </c>
      <c r="R972" s="195" t="str">
        <f t="shared" si="40"/>
        <v>2022LIGHT VEHICLES</v>
      </c>
    </row>
    <row r="973" spans="3:18" x14ac:dyDescent="0.25">
      <c r="C973" s="294" t="s">
        <v>838</v>
      </c>
      <c r="D973" s="317">
        <v>51235</v>
      </c>
      <c r="E973" s="122" t="s">
        <v>806</v>
      </c>
      <c r="F973" s="122" t="s">
        <v>837</v>
      </c>
      <c r="G973" s="122" t="s">
        <v>785</v>
      </c>
      <c r="H973" s="122" t="s">
        <v>777</v>
      </c>
      <c r="I973" s="312">
        <v>2023</v>
      </c>
      <c r="J973" s="122" t="s">
        <v>709</v>
      </c>
      <c r="K973" s="283">
        <v>8353</v>
      </c>
      <c r="L973" s="318">
        <v>-33.815510000000003</v>
      </c>
      <c r="M973" s="318">
        <v>151.10110499999999</v>
      </c>
      <c r="O973">
        <f>INDEX('MEC - traffic congestion'!$M$145:$M$249,MATCH($D973,'MEC - traffic congestion'!$C$145:$C$249,0))</f>
        <v>1</v>
      </c>
      <c r="P973" t="str">
        <f t="shared" si="38"/>
        <v>2023AM PEAK</v>
      </c>
      <c r="Q973">
        <f t="shared" si="39"/>
        <v>1</v>
      </c>
      <c r="R973" s="195" t="str">
        <f t="shared" si="40"/>
        <v>2023LIGHT VEHICLES</v>
      </c>
    </row>
    <row r="974" spans="3:18" x14ac:dyDescent="0.25">
      <c r="C974" s="294" t="s">
        <v>838</v>
      </c>
      <c r="D974" s="317">
        <v>51235</v>
      </c>
      <c r="E974" s="122" t="s">
        <v>806</v>
      </c>
      <c r="F974" s="122" t="s">
        <v>837</v>
      </c>
      <c r="G974" s="122" t="s">
        <v>786</v>
      </c>
      <c r="H974" s="122" t="s">
        <v>777</v>
      </c>
      <c r="I974" s="312">
        <v>2023</v>
      </c>
      <c r="J974" s="122" t="s">
        <v>709</v>
      </c>
      <c r="K974" s="283">
        <v>4270</v>
      </c>
      <c r="L974" s="318">
        <v>-33.815510000000003</v>
      </c>
      <c r="M974" s="318">
        <v>151.10110499999999</v>
      </c>
      <c r="O974">
        <f>INDEX('MEC - traffic congestion'!$M$145:$M$249,MATCH($D974,'MEC - traffic congestion'!$C$145:$C$249,0))</f>
        <v>1</v>
      </c>
      <c r="P974" t="str">
        <f t="shared" si="38"/>
        <v>2023AM PEAK</v>
      </c>
      <c r="Q974">
        <f t="shared" si="39"/>
        <v>1</v>
      </c>
      <c r="R974" s="195" t="str">
        <f t="shared" si="40"/>
        <v>2023LIGHT VEHICLES</v>
      </c>
    </row>
    <row r="975" spans="3:18" x14ac:dyDescent="0.25">
      <c r="C975" s="294" t="s">
        <v>838</v>
      </c>
      <c r="D975" s="317">
        <v>51235</v>
      </c>
      <c r="E975" s="122" t="s">
        <v>806</v>
      </c>
      <c r="F975" s="122" t="s">
        <v>837</v>
      </c>
      <c r="G975" s="122" t="s">
        <v>785</v>
      </c>
      <c r="H975" s="122" t="s">
        <v>777</v>
      </c>
      <c r="I975" s="312">
        <v>2023</v>
      </c>
      <c r="J975" s="122" t="s">
        <v>710</v>
      </c>
      <c r="K975" s="283">
        <v>13770</v>
      </c>
      <c r="L975" s="318">
        <v>-33.815510000000003</v>
      </c>
      <c r="M975" s="318">
        <v>151.10110499999999</v>
      </c>
      <c r="O975">
        <f>INDEX('MEC - traffic congestion'!$M$145:$M$249,MATCH($D975,'MEC - traffic congestion'!$C$145:$C$249,0))</f>
        <v>1</v>
      </c>
      <c r="P975" t="str">
        <f t="shared" si="38"/>
        <v>2023OFF PEAK</v>
      </c>
      <c r="Q975">
        <f t="shared" si="39"/>
        <v>1</v>
      </c>
      <c r="R975" s="195" t="str">
        <f t="shared" si="40"/>
        <v>2023LIGHT VEHICLES</v>
      </c>
    </row>
    <row r="976" spans="3:18" x14ac:dyDescent="0.25">
      <c r="C976" s="294" t="s">
        <v>838</v>
      </c>
      <c r="D976" s="317">
        <v>51235</v>
      </c>
      <c r="E976" s="122" t="s">
        <v>806</v>
      </c>
      <c r="F976" s="122" t="s">
        <v>837</v>
      </c>
      <c r="G976" s="122" t="s">
        <v>786</v>
      </c>
      <c r="H976" s="122" t="s">
        <v>777</v>
      </c>
      <c r="I976" s="312">
        <v>2023</v>
      </c>
      <c r="J976" s="122" t="s">
        <v>710</v>
      </c>
      <c r="K976" s="283">
        <v>7823</v>
      </c>
      <c r="L976" s="318">
        <v>-33.815510000000003</v>
      </c>
      <c r="M976" s="318">
        <v>151.10110499999999</v>
      </c>
      <c r="O976">
        <f>INDEX('MEC - traffic congestion'!$M$145:$M$249,MATCH($D976,'MEC - traffic congestion'!$C$145:$C$249,0))</f>
        <v>1</v>
      </c>
      <c r="P976" t="str">
        <f t="shared" si="38"/>
        <v>2023OFF PEAK</v>
      </c>
      <c r="Q976">
        <f t="shared" si="39"/>
        <v>1</v>
      </c>
      <c r="R976" s="195" t="str">
        <f t="shared" si="40"/>
        <v>2023LIGHT VEHICLES</v>
      </c>
    </row>
    <row r="977" spans="3:18" x14ac:dyDescent="0.25">
      <c r="C977" s="294" t="s">
        <v>838</v>
      </c>
      <c r="D977" s="317">
        <v>51235</v>
      </c>
      <c r="E977" s="122" t="s">
        <v>806</v>
      </c>
      <c r="F977" s="122" t="s">
        <v>837</v>
      </c>
      <c r="G977" s="122" t="s">
        <v>785</v>
      </c>
      <c r="H977" s="122" t="s">
        <v>777</v>
      </c>
      <c r="I977" s="312">
        <v>2023</v>
      </c>
      <c r="J977" s="122" t="s">
        <v>711</v>
      </c>
      <c r="K977" s="283">
        <v>7298</v>
      </c>
      <c r="L977" s="318">
        <v>-33.815510000000003</v>
      </c>
      <c r="M977" s="318">
        <v>151.10110499999999</v>
      </c>
      <c r="O977">
        <f>INDEX('MEC - traffic congestion'!$M$145:$M$249,MATCH($D977,'MEC - traffic congestion'!$C$145:$C$249,0))</f>
        <v>1</v>
      </c>
      <c r="P977" t="str">
        <f t="shared" si="38"/>
        <v>2023PM PEAK</v>
      </c>
      <c r="Q977">
        <f t="shared" si="39"/>
        <v>1</v>
      </c>
      <c r="R977" s="195" t="str">
        <f t="shared" si="40"/>
        <v>2023LIGHT VEHICLES</v>
      </c>
    </row>
    <row r="978" spans="3:18" x14ac:dyDescent="0.25">
      <c r="C978" s="294" t="s">
        <v>838</v>
      </c>
      <c r="D978" s="317">
        <v>51235</v>
      </c>
      <c r="E978" s="122" t="s">
        <v>806</v>
      </c>
      <c r="F978" s="122" t="s">
        <v>837</v>
      </c>
      <c r="G978" s="122" t="s">
        <v>786</v>
      </c>
      <c r="H978" s="122" t="s">
        <v>777</v>
      </c>
      <c r="I978" s="312">
        <v>2023</v>
      </c>
      <c r="J978" s="122" t="s">
        <v>711</v>
      </c>
      <c r="K978" s="283">
        <v>2126</v>
      </c>
      <c r="L978" s="318">
        <v>-33.815510000000003</v>
      </c>
      <c r="M978" s="318">
        <v>151.10110499999999</v>
      </c>
      <c r="O978">
        <f>INDEX('MEC - traffic congestion'!$M$145:$M$249,MATCH($D978,'MEC - traffic congestion'!$C$145:$C$249,0))</f>
        <v>1</v>
      </c>
      <c r="P978" t="str">
        <f t="shared" si="38"/>
        <v>2023PM PEAK</v>
      </c>
      <c r="Q978">
        <f t="shared" si="39"/>
        <v>1</v>
      </c>
      <c r="R978" s="195" t="str">
        <f t="shared" si="40"/>
        <v>2023LIGHT VEHICLES</v>
      </c>
    </row>
    <row r="979" spans="3:18" x14ac:dyDescent="0.25">
      <c r="C979" s="294" t="s">
        <v>838</v>
      </c>
      <c r="D979" s="317">
        <v>51235</v>
      </c>
      <c r="E979" s="122" t="s">
        <v>806</v>
      </c>
      <c r="F979" s="122" t="s">
        <v>837</v>
      </c>
      <c r="G979" s="122" t="s">
        <v>785</v>
      </c>
      <c r="H979" s="122" t="s">
        <v>777</v>
      </c>
      <c r="I979" s="312">
        <v>2023</v>
      </c>
      <c r="J979" s="122" t="s">
        <v>713</v>
      </c>
      <c r="K979" s="283">
        <v>26956</v>
      </c>
      <c r="L979" s="318">
        <v>-33.815510000000003</v>
      </c>
      <c r="M979" s="318">
        <v>151.10110499999999</v>
      </c>
      <c r="O979">
        <f>INDEX('MEC - traffic congestion'!$M$145:$M$249,MATCH($D979,'MEC - traffic congestion'!$C$145:$C$249,0))</f>
        <v>1</v>
      </c>
      <c r="P979" t="str">
        <f t="shared" si="38"/>
        <v>2023WEEKENDS</v>
      </c>
      <c r="Q979">
        <f t="shared" si="39"/>
        <v>1</v>
      </c>
      <c r="R979" s="195" t="str">
        <f t="shared" si="40"/>
        <v>2023LIGHT VEHICLES</v>
      </c>
    </row>
    <row r="980" spans="3:18" x14ac:dyDescent="0.25">
      <c r="C980" s="294" t="s">
        <v>838</v>
      </c>
      <c r="D980" s="317">
        <v>51235</v>
      </c>
      <c r="E980" s="122" t="s">
        <v>806</v>
      </c>
      <c r="F980" s="122" t="s">
        <v>837</v>
      </c>
      <c r="G980" s="122" t="s">
        <v>785</v>
      </c>
      <c r="H980" s="122" t="s">
        <v>777</v>
      </c>
      <c r="I980" s="312">
        <v>2024</v>
      </c>
      <c r="J980" s="122" t="s">
        <v>709</v>
      </c>
      <c r="K980" s="283">
        <v>8092</v>
      </c>
      <c r="L980" s="318">
        <v>-33.815510000000003</v>
      </c>
      <c r="M980" s="318">
        <v>151.10110499999999</v>
      </c>
      <c r="O980">
        <f>INDEX('MEC - traffic congestion'!$M$145:$M$249,MATCH($D980,'MEC - traffic congestion'!$C$145:$C$249,0))</f>
        <v>1</v>
      </c>
      <c r="P980" t="str">
        <f t="shared" si="38"/>
        <v>2024AM PEAK</v>
      </c>
      <c r="Q980">
        <f t="shared" si="39"/>
        <v>1</v>
      </c>
      <c r="R980" s="195" t="str">
        <f t="shared" si="40"/>
        <v>2024LIGHT VEHICLES</v>
      </c>
    </row>
    <row r="981" spans="3:18" x14ac:dyDescent="0.25">
      <c r="C981" s="294" t="s">
        <v>838</v>
      </c>
      <c r="D981" s="317">
        <v>51235</v>
      </c>
      <c r="E981" s="122" t="s">
        <v>806</v>
      </c>
      <c r="F981" s="122" t="s">
        <v>837</v>
      </c>
      <c r="G981" s="122" t="s">
        <v>785</v>
      </c>
      <c r="H981" s="122" t="s">
        <v>777</v>
      </c>
      <c r="I981" s="312">
        <v>2024</v>
      </c>
      <c r="J981" s="122" t="s">
        <v>710</v>
      </c>
      <c r="K981" s="283">
        <v>13411</v>
      </c>
      <c r="L981" s="318">
        <v>-33.815510000000003</v>
      </c>
      <c r="M981" s="318">
        <v>151.10110499999999</v>
      </c>
      <c r="O981">
        <f>INDEX('MEC - traffic congestion'!$M$145:$M$249,MATCH($D981,'MEC - traffic congestion'!$C$145:$C$249,0))</f>
        <v>1</v>
      </c>
      <c r="P981" t="str">
        <f t="shared" ref="P981:P1044" si="41">IF($O981=1,$I981&amp;$J981,"")</f>
        <v>2024OFF PEAK</v>
      </c>
      <c r="Q981">
        <f t="shared" ref="Q981:Q1044" si="42">IF(AND($M981&gt;150.246,AND($L981&gt;-34.397,$L981&lt;-32.662)),1,0)</f>
        <v>1</v>
      </c>
      <c r="R981" s="195" t="str">
        <f t="shared" ref="R981:R1044" si="43">IF($O981=1,$I981&amp;$H981,"")</f>
        <v>2024LIGHT VEHICLES</v>
      </c>
    </row>
    <row r="982" spans="3:18" x14ac:dyDescent="0.25">
      <c r="C982" s="294" t="s">
        <v>838</v>
      </c>
      <c r="D982" s="317">
        <v>51235</v>
      </c>
      <c r="E982" s="122" t="s">
        <v>806</v>
      </c>
      <c r="F982" s="122" t="s">
        <v>837</v>
      </c>
      <c r="G982" s="122" t="s">
        <v>785</v>
      </c>
      <c r="H982" s="122" t="s">
        <v>777</v>
      </c>
      <c r="I982" s="312">
        <v>2024</v>
      </c>
      <c r="J982" s="122" t="s">
        <v>711</v>
      </c>
      <c r="K982" s="283">
        <v>7475</v>
      </c>
      <c r="L982" s="318">
        <v>-33.815510000000003</v>
      </c>
      <c r="M982" s="318">
        <v>151.10110499999999</v>
      </c>
      <c r="O982">
        <f>INDEX('MEC - traffic congestion'!$M$145:$M$249,MATCH($D982,'MEC - traffic congestion'!$C$145:$C$249,0))</f>
        <v>1</v>
      </c>
      <c r="P982" t="str">
        <f t="shared" si="41"/>
        <v>2024PM PEAK</v>
      </c>
      <c r="Q982">
        <f t="shared" si="42"/>
        <v>1</v>
      </c>
      <c r="R982" s="195" t="str">
        <f t="shared" si="43"/>
        <v>2024LIGHT VEHICLES</v>
      </c>
    </row>
    <row r="983" spans="3:18" x14ac:dyDescent="0.25">
      <c r="C983" s="294" t="s">
        <v>838</v>
      </c>
      <c r="D983" s="317">
        <v>51235</v>
      </c>
      <c r="E983" s="122" t="s">
        <v>806</v>
      </c>
      <c r="F983" s="122" t="s">
        <v>837</v>
      </c>
      <c r="G983" s="122" t="s">
        <v>785</v>
      </c>
      <c r="H983" s="122" t="s">
        <v>777</v>
      </c>
      <c r="I983" s="312">
        <v>2024</v>
      </c>
      <c r="J983" s="122" t="s">
        <v>713</v>
      </c>
      <c r="K983" s="283">
        <v>27924</v>
      </c>
      <c r="L983" s="318">
        <v>-33.815510000000003</v>
      </c>
      <c r="M983" s="318">
        <v>151.10110499999999</v>
      </c>
      <c r="O983">
        <f>INDEX('MEC - traffic congestion'!$M$145:$M$249,MATCH($D983,'MEC - traffic congestion'!$C$145:$C$249,0))</f>
        <v>1</v>
      </c>
      <c r="P983" t="str">
        <f t="shared" si="41"/>
        <v>2024WEEKENDS</v>
      </c>
      <c r="Q983">
        <f t="shared" si="42"/>
        <v>1</v>
      </c>
      <c r="R983" s="195" t="str">
        <f t="shared" si="43"/>
        <v>2024LIGHT VEHICLES</v>
      </c>
    </row>
    <row r="984" spans="3:18" x14ac:dyDescent="0.25">
      <c r="C984" s="294" t="s">
        <v>839</v>
      </c>
      <c r="D984" s="317">
        <v>53003</v>
      </c>
      <c r="E984" s="122" t="s">
        <v>812</v>
      </c>
      <c r="F984" s="122" t="s">
        <v>840</v>
      </c>
      <c r="G984" s="122" t="s">
        <v>776</v>
      </c>
      <c r="H984" s="122" t="s">
        <v>777</v>
      </c>
      <c r="I984" s="312">
        <v>2018</v>
      </c>
      <c r="J984" s="122" t="s">
        <v>709</v>
      </c>
      <c r="K984" s="283">
        <v>5768</v>
      </c>
      <c r="L984" s="318">
        <v>-33.729225</v>
      </c>
      <c r="M984" s="318">
        <v>151.122208</v>
      </c>
      <c r="O984">
        <f>INDEX('MEC - traffic congestion'!$M$145:$M$249,MATCH($D984,'MEC - traffic congestion'!$C$145:$C$249,0))</f>
        <v>1</v>
      </c>
      <c r="P984" t="str">
        <f t="shared" si="41"/>
        <v>2018AM PEAK</v>
      </c>
      <c r="Q984">
        <f t="shared" si="42"/>
        <v>1</v>
      </c>
      <c r="R984" s="195" t="str">
        <f t="shared" si="43"/>
        <v>2018LIGHT VEHICLES</v>
      </c>
    </row>
    <row r="985" spans="3:18" x14ac:dyDescent="0.25">
      <c r="C985" s="294" t="s">
        <v>839</v>
      </c>
      <c r="D985" s="317">
        <v>53003</v>
      </c>
      <c r="E985" s="122" t="s">
        <v>812</v>
      </c>
      <c r="F985" s="122" t="s">
        <v>840</v>
      </c>
      <c r="G985" s="122" t="s">
        <v>778</v>
      </c>
      <c r="H985" s="122" t="s">
        <v>777</v>
      </c>
      <c r="I985" s="312">
        <v>2018</v>
      </c>
      <c r="J985" s="122" t="s">
        <v>709</v>
      </c>
      <c r="K985" s="283">
        <v>9596</v>
      </c>
      <c r="L985" s="318">
        <v>-33.729225</v>
      </c>
      <c r="M985" s="318">
        <v>151.122208</v>
      </c>
      <c r="O985">
        <f>INDEX('MEC - traffic congestion'!$M$145:$M$249,MATCH($D985,'MEC - traffic congestion'!$C$145:$C$249,0))</f>
        <v>1</v>
      </c>
      <c r="P985" t="str">
        <f t="shared" si="41"/>
        <v>2018AM PEAK</v>
      </c>
      <c r="Q985">
        <f t="shared" si="42"/>
        <v>1</v>
      </c>
      <c r="R985" s="195" t="str">
        <f t="shared" si="43"/>
        <v>2018LIGHT VEHICLES</v>
      </c>
    </row>
    <row r="986" spans="3:18" x14ac:dyDescent="0.25">
      <c r="C986" s="294" t="s">
        <v>839</v>
      </c>
      <c r="D986" s="317">
        <v>53003</v>
      </c>
      <c r="E986" s="122" t="s">
        <v>812</v>
      </c>
      <c r="F986" s="122" t="s">
        <v>840</v>
      </c>
      <c r="G986" s="122" t="s">
        <v>776</v>
      </c>
      <c r="H986" s="122" t="s">
        <v>777</v>
      </c>
      <c r="I986" s="312">
        <v>2018</v>
      </c>
      <c r="J986" s="122" t="s">
        <v>710</v>
      </c>
      <c r="K986" s="283">
        <v>14432</v>
      </c>
      <c r="L986" s="318">
        <v>-33.729225</v>
      </c>
      <c r="M986" s="318">
        <v>151.122208</v>
      </c>
      <c r="O986">
        <f>INDEX('MEC - traffic congestion'!$M$145:$M$249,MATCH($D986,'MEC - traffic congestion'!$C$145:$C$249,0))</f>
        <v>1</v>
      </c>
      <c r="P986" t="str">
        <f t="shared" si="41"/>
        <v>2018OFF PEAK</v>
      </c>
      <c r="Q986">
        <f t="shared" si="42"/>
        <v>1</v>
      </c>
      <c r="R986" s="195" t="str">
        <f t="shared" si="43"/>
        <v>2018LIGHT VEHICLES</v>
      </c>
    </row>
    <row r="987" spans="3:18" x14ac:dyDescent="0.25">
      <c r="C987" s="294" t="s">
        <v>839</v>
      </c>
      <c r="D987" s="317">
        <v>53003</v>
      </c>
      <c r="E987" s="122" t="s">
        <v>812</v>
      </c>
      <c r="F987" s="122" t="s">
        <v>840</v>
      </c>
      <c r="G987" s="122" t="s">
        <v>778</v>
      </c>
      <c r="H987" s="122" t="s">
        <v>777</v>
      </c>
      <c r="I987" s="312">
        <v>2018</v>
      </c>
      <c r="J987" s="122" t="s">
        <v>710</v>
      </c>
      <c r="K987" s="283">
        <v>14133</v>
      </c>
      <c r="L987" s="318">
        <v>-33.729225</v>
      </c>
      <c r="M987" s="318">
        <v>151.122208</v>
      </c>
      <c r="O987">
        <f>INDEX('MEC - traffic congestion'!$M$145:$M$249,MATCH($D987,'MEC - traffic congestion'!$C$145:$C$249,0))</f>
        <v>1</v>
      </c>
      <c r="P987" t="str">
        <f t="shared" si="41"/>
        <v>2018OFF PEAK</v>
      </c>
      <c r="Q987">
        <f t="shared" si="42"/>
        <v>1</v>
      </c>
      <c r="R987" s="195" t="str">
        <f t="shared" si="43"/>
        <v>2018LIGHT VEHICLES</v>
      </c>
    </row>
    <row r="988" spans="3:18" x14ac:dyDescent="0.25">
      <c r="C988" s="294" t="s">
        <v>839</v>
      </c>
      <c r="D988" s="317">
        <v>53003</v>
      </c>
      <c r="E988" s="122" t="s">
        <v>812</v>
      </c>
      <c r="F988" s="122" t="s">
        <v>840</v>
      </c>
      <c r="G988" s="122" t="s">
        <v>776</v>
      </c>
      <c r="H988" s="122" t="s">
        <v>777</v>
      </c>
      <c r="I988" s="312">
        <v>2018</v>
      </c>
      <c r="J988" s="122" t="s">
        <v>711</v>
      </c>
      <c r="K988" s="283">
        <v>8627</v>
      </c>
      <c r="L988" s="318">
        <v>-33.729225</v>
      </c>
      <c r="M988" s="318">
        <v>151.122208</v>
      </c>
      <c r="O988">
        <f>INDEX('MEC - traffic congestion'!$M$145:$M$249,MATCH($D988,'MEC - traffic congestion'!$C$145:$C$249,0))</f>
        <v>1</v>
      </c>
      <c r="P988" t="str">
        <f t="shared" si="41"/>
        <v>2018PM PEAK</v>
      </c>
      <c r="Q988">
        <f t="shared" si="42"/>
        <v>1</v>
      </c>
      <c r="R988" s="195" t="str">
        <f t="shared" si="43"/>
        <v>2018LIGHT VEHICLES</v>
      </c>
    </row>
    <row r="989" spans="3:18" x14ac:dyDescent="0.25">
      <c r="C989" s="294" t="s">
        <v>839</v>
      </c>
      <c r="D989" s="317">
        <v>53003</v>
      </c>
      <c r="E989" s="122" t="s">
        <v>812</v>
      </c>
      <c r="F989" s="122" t="s">
        <v>840</v>
      </c>
      <c r="G989" s="122" t="s">
        <v>778</v>
      </c>
      <c r="H989" s="122" t="s">
        <v>777</v>
      </c>
      <c r="I989" s="312">
        <v>2018</v>
      </c>
      <c r="J989" s="122" t="s">
        <v>711</v>
      </c>
      <c r="K989" s="283">
        <v>7106</v>
      </c>
      <c r="L989" s="318">
        <v>-33.729225</v>
      </c>
      <c r="M989" s="318">
        <v>151.122208</v>
      </c>
      <c r="O989">
        <f>INDEX('MEC - traffic congestion'!$M$145:$M$249,MATCH($D989,'MEC - traffic congestion'!$C$145:$C$249,0))</f>
        <v>1</v>
      </c>
      <c r="P989" t="str">
        <f t="shared" si="41"/>
        <v>2018PM PEAK</v>
      </c>
      <c r="Q989">
        <f t="shared" si="42"/>
        <v>1</v>
      </c>
      <c r="R989" s="195" t="str">
        <f t="shared" si="43"/>
        <v>2018LIGHT VEHICLES</v>
      </c>
    </row>
    <row r="990" spans="3:18" x14ac:dyDescent="0.25">
      <c r="C990" s="294" t="s">
        <v>839</v>
      </c>
      <c r="D990" s="317">
        <v>53003</v>
      </c>
      <c r="E990" s="122" t="s">
        <v>812</v>
      </c>
      <c r="F990" s="122" t="s">
        <v>840</v>
      </c>
      <c r="G990" s="122" t="s">
        <v>776</v>
      </c>
      <c r="H990" s="122" t="s">
        <v>777</v>
      </c>
      <c r="I990" s="312">
        <v>2018</v>
      </c>
      <c r="J990" s="122" t="s">
        <v>712</v>
      </c>
      <c r="K990" s="283">
        <v>24291</v>
      </c>
      <c r="L990" s="318">
        <v>-33.729225</v>
      </c>
      <c r="M990" s="318">
        <v>151.122208</v>
      </c>
      <c r="O990">
        <f>INDEX('MEC - traffic congestion'!$M$145:$M$249,MATCH($D990,'MEC - traffic congestion'!$C$145:$C$249,0))</f>
        <v>1</v>
      </c>
      <c r="P990" t="str">
        <f t="shared" si="41"/>
        <v>2018PUBLIC HOLIDAYS</v>
      </c>
      <c r="Q990">
        <f t="shared" si="42"/>
        <v>1</v>
      </c>
      <c r="R990" s="195" t="str">
        <f t="shared" si="43"/>
        <v>2018LIGHT VEHICLES</v>
      </c>
    </row>
    <row r="991" spans="3:18" x14ac:dyDescent="0.25">
      <c r="C991" s="294" t="s">
        <v>839</v>
      </c>
      <c r="D991" s="317">
        <v>53003</v>
      </c>
      <c r="E991" s="122" t="s">
        <v>812</v>
      </c>
      <c r="F991" s="122" t="s">
        <v>840</v>
      </c>
      <c r="G991" s="122" t="s">
        <v>778</v>
      </c>
      <c r="H991" s="122" t="s">
        <v>777</v>
      </c>
      <c r="I991" s="312">
        <v>2018</v>
      </c>
      <c r="J991" s="122" t="s">
        <v>712</v>
      </c>
      <c r="K991" s="283">
        <v>30457</v>
      </c>
      <c r="L991" s="318">
        <v>-33.729225</v>
      </c>
      <c r="M991" s="318">
        <v>151.122208</v>
      </c>
      <c r="O991">
        <f>INDEX('MEC - traffic congestion'!$M$145:$M$249,MATCH($D991,'MEC - traffic congestion'!$C$145:$C$249,0))</f>
        <v>1</v>
      </c>
      <c r="P991" t="str">
        <f t="shared" si="41"/>
        <v>2018PUBLIC HOLIDAYS</v>
      </c>
      <c r="Q991">
        <f t="shared" si="42"/>
        <v>1</v>
      </c>
      <c r="R991" s="195" t="str">
        <f t="shared" si="43"/>
        <v>2018LIGHT VEHICLES</v>
      </c>
    </row>
    <row r="992" spans="3:18" x14ac:dyDescent="0.25">
      <c r="C992" s="294" t="s">
        <v>839</v>
      </c>
      <c r="D992" s="317">
        <v>53003</v>
      </c>
      <c r="E992" s="122" t="s">
        <v>812</v>
      </c>
      <c r="F992" s="122" t="s">
        <v>840</v>
      </c>
      <c r="G992" s="122" t="s">
        <v>776</v>
      </c>
      <c r="H992" s="122" t="s">
        <v>777</v>
      </c>
      <c r="I992" s="312">
        <v>2018</v>
      </c>
      <c r="J992" s="122" t="s">
        <v>713</v>
      </c>
      <c r="K992" s="283">
        <v>28484</v>
      </c>
      <c r="L992" s="318">
        <v>-33.729225</v>
      </c>
      <c r="M992" s="318">
        <v>151.122208</v>
      </c>
      <c r="O992">
        <f>INDEX('MEC - traffic congestion'!$M$145:$M$249,MATCH($D992,'MEC - traffic congestion'!$C$145:$C$249,0))</f>
        <v>1</v>
      </c>
      <c r="P992" t="str">
        <f t="shared" si="41"/>
        <v>2018WEEKENDS</v>
      </c>
      <c r="Q992">
        <f t="shared" si="42"/>
        <v>1</v>
      </c>
      <c r="R992" s="195" t="str">
        <f t="shared" si="43"/>
        <v>2018LIGHT VEHICLES</v>
      </c>
    </row>
    <row r="993" spans="3:18" x14ac:dyDescent="0.25">
      <c r="C993" s="294" t="s">
        <v>839</v>
      </c>
      <c r="D993" s="317">
        <v>53003</v>
      </c>
      <c r="E993" s="122" t="s">
        <v>812</v>
      </c>
      <c r="F993" s="122" t="s">
        <v>840</v>
      </c>
      <c r="G993" s="122" t="s">
        <v>778</v>
      </c>
      <c r="H993" s="122" t="s">
        <v>777</v>
      </c>
      <c r="I993" s="312">
        <v>2018</v>
      </c>
      <c r="J993" s="122" t="s">
        <v>713</v>
      </c>
      <c r="K993" s="283">
        <v>32319</v>
      </c>
      <c r="L993" s="318">
        <v>-33.729225</v>
      </c>
      <c r="M993" s="318">
        <v>151.122208</v>
      </c>
      <c r="O993">
        <f>INDEX('MEC - traffic congestion'!$M$145:$M$249,MATCH($D993,'MEC - traffic congestion'!$C$145:$C$249,0))</f>
        <v>1</v>
      </c>
      <c r="P993" t="str">
        <f t="shared" si="41"/>
        <v>2018WEEKENDS</v>
      </c>
      <c r="Q993">
        <f t="shared" si="42"/>
        <v>1</v>
      </c>
      <c r="R993" s="195" t="str">
        <f t="shared" si="43"/>
        <v>2018LIGHT VEHICLES</v>
      </c>
    </row>
    <row r="994" spans="3:18" x14ac:dyDescent="0.25">
      <c r="C994" s="294" t="s">
        <v>839</v>
      </c>
      <c r="D994" s="317">
        <v>53003</v>
      </c>
      <c r="E994" s="122" t="s">
        <v>812</v>
      </c>
      <c r="F994" s="122" t="s">
        <v>840</v>
      </c>
      <c r="G994" s="122" t="s">
        <v>776</v>
      </c>
      <c r="H994" s="122" t="s">
        <v>777</v>
      </c>
      <c r="I994" s="312">
        <v>2019</v>
      </c>
      <c r="J994" s="122" t="s">
        <v>709</v>
      </c>
      <c r="K994" s="283">
        <v>5666</v>
      </c>
      <c r="L994" s="318">
        <v>-33.729225</v>
      </c>
      <c r="M994" s="318">
        <v>151.122208</v>
      </c>
      <c r="O994">
        <f>INDEX('MEC - traffic congestion'!$M$145:$M$249,MATCH($D994,'MEC - traffic congestion'!$C$145:$C$249,0))</f>
        <v>1</v>
      </c>
      <c r="P994" t="str">
        <f t="shared" si="41"/>
        <v>2019AM PEAK</v>
      </c>
      <c r="Q994">
        <f t="shared" si="42"/>
        <v>1</v>
      </c>
      <c r="R994" s="195" t="str">
        <f t="shared" si="43"/>
        <v>2019LIGHT VEHICLES</v>
      </c>
    </row>
    <row r="995" spans="3:18" x14ac:dyDescent="0.25">
      <c r="C995" s="294" t="s">
        <v>839</v>
      </c>
      <c r="D995" s="317">
        <v>53003</v>
      </c>
      <c r="E995" s="122" t="s">
        <v>812</v>
      </c>
      <c r="F995" s="122" t="s">
        <v>840</v>
      </c>
      <c r="G995" s="122" t="s">
        <v>778</v>
      </c>
      <c r="H995" s="122" t="s">
        <v>777</v>
      </c>
      <c r="I995" s="312">
        <v>2019</v>
      </c>
      <c r="J995" s="122" t="s">
        <v>709</v>
      </c>
      <c r="K995" s="283">
        <v>9210</v>
      </c>
      <c r="L995" s="318">
        <v>-33.729225</v>
      </c>
      <c r="M995" s="318">
        <v>151.122208</v>
      </c>
      <c r="O995">
        <f>INDEX('MEC - traffic congestion'!$M$145:$M$249,MATCH($D995,'MEC - traffic congestion'!$C$145:$C$249,0))</f>
        <v>1</v>
      </c>
      <c r="P995" t="str">
        <f t="shared" si="41"/>
        <v>2019AM PEAK</v>
      </c>
      <c r="Q995">
        <f t="shared" si="42"/>
        <v>1</v>
      </c>
      <c r="R995" s="195" t="str">
        <f t="shared" si="43"/>
        <v>2019LIGHT VEHICLES</v>
      </c>
    </row>
    <row r="996" spans="3:18" x14ac:dyDescent="0.25">
      <c r="C996" s="294" t="s">
        <v>839</v>
      </c>
      <c r="D996" s="317">
        <v>53003</v>
      </c>
      <c r="E996" s="122" t="s">
        <v>812</v>
      </c>
      <c r="F996" s="122" t="s">
        <v>840</v>
      </c>
      <c r="G996" s="122" t="s">
        <v>776</v>
      </c>
      <c r="H996" s="122" t="s">
        <v>777</v>
      </c>
      <c r="I996" s="312">
        <v>2019</v>
      </c>
      <c r="J996" s="122" t="s">
        <v>710</v>
      </c>
      <c r="K996" s="283">
        <v>13873</v>
      </c>
      <c r="L996" s="318">
        <v>-33.729225</v>
      </c>
      <c r="M996" s="318">
        <v>151.122208</v>
      </c>
      <c r="O996">
        <f>INDEX('MEC - traffic congestion'!$M$145:$M$249,MATCH($D996,'MEC - traffic congestion'!$C$145:$C$249,0))</f>
        <v>1</v>
      </c>
      <c r="P996" t="str">
        <f t="shared" si="41"/>
        <v>2019OFF PEAK</v>
      </c>
      <c r="Q996">
        <f t="shared" si="42"/>
        <v>1</v>
      </c>
      <c r="R996" s="195" t="str">
        <f t="shared" si="43"/>
        <v>2019LIGHT VEHICLES</v>
      </c>
    </row>
    <row r="997" spans="3:18" x14ac:dyDescent="0.25">
      <c r="C997" s="294" t="s">
        <v>839</v>
      </c>
      <c r="D997" s="317">
        <v>53003</v>
      </c>
      <c r="E997" s="122" t="s">
        <v>812</v>
      </c>
      <c r="F997" s="122" t="s">
        <v>840</v>
      </c>
      <c r="G997" s="122" t="s">
        <v>778</v>
      </c>
      <c r="H997" s="122" t="s">
        <v>777</v>
      </c>
      <c r="I997" s="312">
        <v>2019</v>
      </c>
      <c r="J997" s="122" t="s">
        <v>710</v>
      </c>
      <c r="K997" s="283">
        <v>13975</v>
      </c>
      <c r="L997" s="318">
        <v>-33.729225</v>
      </c>
      <c r="M997" s="318">
        <v>151.122208</v>
      </c>
      <c r="O997">
        <f>INDEX('MEC - traffic congestion'!$M$145:$M$249,MATCH($D997,'MEC - traffic congestion'!$C$145:$C$249,0))</f>
        <v>1</v>
      </c>
      <c r="P997" t="str">
        <f t="shared" si="41"/>
        <v>2019OFF PEAK</v>
      </c>
      <c r="Q997">
        <f t="shared" si="42"/>
        <v>1</v>
      </c>
      <c r="R997" s="195" t="str">
        <f t="shared" si="43"/>
        <v>2019LIGHT VEHICLES</v>
      </c>
    </row>
    <row r="998" spans="3:18" x14ac:dyDescent="0.25">
      <c r="C998" s="294" t="s">
        <v>839</v>
      </c>
      <c r="D998" s="317">
        <v>53003</v>
      </c>
      <c r="E998" s="122" t="s">
        <v>812</v>
      </c>
      <c r="F998" s="122" t="s">
        <v>840</v>
      </c>
      <c r="G998" s="122" t="s">
        <v>776</v>
      </c>
      <c r="H998" s="122" t="s">
        <v>777</v>
      </c>
      <c r="I998" s="312">
        <v>2019</v>
      </c>
      <c r="J998" s="122" t="s">
        <v>711</v>
      </c>
      <c r="K998" s="283">
        <v>8324</v>
      </c>
      <c r="L998" s="318">
        <v>-33.729225</v>
      </c>
      <c r="M998" s="318">
        <v>151.122208</v>
      </c>
      <c r="O998">
        <f>INDEX('MEC - traffic congestion'!$M$145:$M$249,MATCH($D998,'MEC - traffic congestion'!$C$145:$C$249,0))</f>
        <v>1</v>
      </c>
      <c r="P998" t="str">
        <f t="shared" si="41"/>
        <v>2019PM PEAK</v>
      </c>
      <c r="Q998">
        <f t="shared" si="42"/>
        <v>1</v>
      </c>
      <c r="R998" s="195" t="str">
        <f t="shared" si="43"/>
        <v>2019LIGHT VEHICLES</v>
      </c>
    </row>
    <row r="999" spans="3:18" x14ac:dyDescent="0.25">
      <c r="C999" s="294" t="s">
        <v>839</v>
      </c>
      <c r="D999" s="317">
        <v>53003</v>
      </c>
      <c r="E999" s="122" t="s">
        <v>812</v>
      </c>
      <c r="F999" s="122" t="s">
        <v>840</v>
      </c>
      <c r="G999" s="122" t="s">
        <v>778</v>
      </c>
      <c r="H999" s="122" t="s">
        <v>777</v>
      </c>
      <c r="I999" s="312">
        <v>2019</v>
      </c>
      <c r="J999" s="122" t="s">
        <v>711</v>
      </c>
      <c r="K999" s="283">
        <v>6955</v>
      </c>
      <c r="L999" s="318">
        <v>-33.729225</v>
      </c>
      <c r="M999" s="318">
        <v>151.122208</v>
      </c>
      <c r="O999">
        <f>INDEX('MEC - traffic congestion'!$M$145:$M$249,MATCH($D999,'MEC - traffic congestion'!$C$145:$C$249,0))</f>
        <v>1</v>
      </c>
      <c r="P999" t="str">
        <f t="shared" si="41"/>
        <v>2019PM PEAK</v>
      </c>
      <c r="Q999">
        <f t="shared" si="42"/>
        <v>1</v>
      </c>
      <c r="R999" s="195" t="str">
        <f t="shared" si="43"/>
        <v>2019LIGHT VEHICLES</v>
      </c>
    </row>
    <row r="1000" spans="3:18" x14ac:dyDescent="0.25">
      <c r="C1000" s="294" t="s">
        <v>839</v>
      </c>
      <c r="D1000" s="317">
        <v>53003</v>
      </c>
      <c r="E1000" s="122" t="s">
        <v>812</v>
      </c>
      <c r="F1000" s="122" t="s">
        <v>840</v>
      </c>
      <c r="G1000" s="122" t="s">
        <v>776</v>
      </c>
      <c r="H1000" s="122" t="s">
        <v>777</v>
      </c>
      <c r="I1000" s="312">
        <v>2019</v>
      </c>
      <c r="J1000" s="122" t="s">
        <v>712</v>
      </c>
      <c r="K1000" s="283">
        <v>24908</v>
      </c>
      <c r="L1000" s="318">
        <v>-33.729225</v>
      </c>
      <c r="M1000" s="318">
        <v>151.122208</v>
      </c>
      <c r="O1000">
        <f>INDEX('MEC - traffic congestion'!$M$145:$M$249,MATCH($D1000,'MEC - traffic congestion'!$C$145:$C$249,0))</f>
        <v>1</v>
      </c>
      <c r="P1000" t="str">
        <f t="shared" si="41"/>
        <v>2019PUBLIC HOLIDAYS</v>
      </c>
      <c r="Q1000">
        <f t="shared" si="42"/>
        <v>1</v>
      </c>
      <c r="R1000" s="195" t="str">
        <f t="shared" si="43"/>
        <v>2019LIGHT VEHICLES</v>
      </c>
    </row>
    <row r="1001" spans="3:18" x14ac:dyDescent="0.25">
      <c r="C1001" s="294" t="s">
        <v>839</v>
      </c>
      <c r="D1001" s="317">
        <v>53003</v>
      </c>
      <c r="E1001" s="122" t="s">
        <v>812</v>
      </c>
      <c r="F1001" s="122" t="s">
        <v>840</v>
      </c>
      <c r="G1001" s="122" t="s">
        <v>778</v>
      </c>
      <c r="H1001" s="122" t="s">
        <v>777</v>
      </c>
      <c r="I1001" s="312">
        <v>2019</v>
      </c>
      <c r="J1001" s="122" t="s">
        <v>712</v>
      </c>
      <c r="K1001" s="283">
        <v>27292</v>
      </c>
      <c r="L1001" s="318">
        <v>-33.729225</v>
      </c>
      <c r="M1001" s="318">
        <v>151.122208</v>
      </c>
      <c r="O1001">
        <f>INDEX('MEC - traffic congestion'!$M$145:$M$249,MATCH($D1001,'MEC - traffic congestion'!$C$145:$C$249,0))</f>
        <v>1</v>
      </c>
      <c r="P1001" t="str">
        <f t="shared" si="41"/>
        <v>2019PUBLIC HOLIDAYS</v>
      </c>
      <c r="Q1001">
        <f t="shared" si="42"/>
        <v>1</v>
      </c>
      <c r="R1001" s="195" t="str">
        <f t="shared" si="43"/>
        <v>2019LIGHT VEHICLES</v>
      </c>
    </row>
    <row r="1002" spans="3:18" x14ac:dyDescent="0.25">
      <c r="C1002" s="294" t="s">
        <v>839</v>
      </c>
      <c r="D1002" s="317">
        <v>53003</v>
      </c>
      <c r="E1002" s="122" t="s">
        <v>812</v>
      </c>
      <c r="F1002" s="122" t="s">
        <v>840</v>
      </c>
      <c r="G1002" s="122" t="s">
        <v>776</v>
      </c>
      <c r="H1002" s="122" t="s">
        <v>777</v>
      </c>
      <c r="I1002" s="312">
        <v>2019</v>
      </c>
      <c r="J1002" s="122" t="s">
        <v>713</v>
      </c>
      <c r="K1002" s="283">
        <v>27257</v>
      </c>
      <c r="L1002" s="318">
        <v>-33.729225</v>
      </c>
      <c r="M1002" s="318">
        <v>151.122208</v>
      </c>
      <c r="O1002">
        <f>INDEX('MEC - traffic congestion'!$M$145:$M$249,MATCH($D1002,'MEC - traffic congestion'!$C$145:$C$249,0))</f>
        <v>1</v>
      </c>
      <c r="P1002" t="str">
        <f t="shared" si="41"/>
        <v>2019WEEKENDS</v>
      </c>
      <c r="Q1002">
        <f t="shared" si="42"/>
        <v>1</v>
      </c>
      <c r="R1002" s="195" t="str">
        <f t="shared" si="43"/>
        <v>2019LIGHT VEHICLES</v>
      </c>
    </row>
    <row r="1003" spans="3:18" x14ac:dyDescent="0.25">
      <c r="C1003" s="294" t="s">
        <v>839</v>
      </c>
      <c r="D1003" s="317">
        <v>53003</v>
      </c>
      <c r="E1003" s="122" t="s">
        <v>812</v>
      </c>
      <c r="F1003" s="122" t="s">
        <v>840</v>
      </c>
      <c r="G1003" s="122" t="s">
        <v>778</v>
      </c>
      <c r="H1003" s="122" t="s">
        <v>777</v>
      </c>
      <c r="I1003" s="312">
        <v>2019</v>
      </c>
      <c r="J1003" s="122" t="s">
        <v>713</v>
      </c>
      <c r="K1003" s="283">
        <v>30781</v>
      </c>
      <c r="L1003" s="318">
        <v>-33.729225</v>
      </c>
      <c r="M1003" s="318">
        <v>151.122208</v>
      </c>
      <c r="O1003">
        <f>INDEX('MEC - traffic congestion'!$M$145:$M$249,MATCH($D1003,'MEC - traffic congestion'!$C$145:$C$249,0))</f>
        <v>1</v>
      </c>
      <c r="P1003" t="str">
        <f t="shared" si="41"/>
        <v>2019WEEKENDS</v>
      </c>
      <c r="Q1003">
        <f t="shared" si="42"/>
        <v>1</v>
      </c>
      <c r="R1003" s="195" t="str">
        <f t="shared" si="43"/>
        <v>2019LIGHT VEHICLES</v>
      </c>
    </row>
    <row r="1004" spans="3:18" x14ac:dyDescent="0.25">
      <c r="C1004" s="294" t="s">
        <v>839</v>
      </c>
      <c r="D1004" s="317">
        <v>53003</v>
      </c>
      <c r="E1004" s="122" t="s">
        <v>812</v>
      </c>
      <c r="F1004" s="122" t="s">
        <v>840</v>
      </c>
      <c r="G1004" s="122" t="s">
        <v>776</v>
      </c>
      <c r="H1004" s="122" t="s">
        <v>777</v>
      </c>
      <c r="I1004" s="312">
        <v>2020</v>
      </c>
      <c r="J1004" s="122" t="s">
        <v>709</v>
      </c>
      <c r="K1004" s="283">
        <v>5443</v>
      </c>
      <c r="L1004" s="318">
        <v>-33.729225</v>
      </c>
      <c r="M1004" s="318">
        <v>151.122208</v>
      </c>
      <c r="O1004">
        <f>INDEX('MEC - traffic congestion'!$M$145:$M$249,MATCH($D1004,'MEC - traffic congestion'!$C$145:$C$249,0))</f>
        <v>1</v>
      </c>
      <c r="P1004" t="str">
        <f t="shared" si="41"/>
        <v>2020AM PEAK</v>
      </c>
      <c r="Q1004">
        <f t="shared" si="42"/>
        <v>1</v>
      </c>
      <c r="R1004" s="195" t="str">
        <f t="shared" si="43"/>
        <v>2020LIGHT VEHICLES</v>
      </c>
    </row>
    <row r="1005" spans="3:18" x14ac:dyDescent="0.25">
      <c r="C1005" s="294" t="s">
        <v>839</v>
      </c>
      <c r="D1005" s="317">
        <v>53003</v>
      </c>
      <c r="E1005" s="122" t="s">
        <v>812</v>
      </c>
      <c r="F1005" s="122" t="s">
        <v>840</v>
      </c>
      <c r="G1005" s="122" t="s">
        <v>778</v>
      </c>
      <c r="H1005" s="122" t="s">
        <v>777</v>
      </c>
      <c r="I1005" s="312">
        <v>2020</v>
      </c>
      <c r="J1005" s="122" t="s">
        <v>709</v>
      </c>
      <c r="K1005" s="283">
        <v>9186</v>
      </c>
      <c r="L1005" s="318">
        <v>-33.729225</v>
      </c>
      <c r="M1005" s="318">
        <v>151.122208</v>
      </c>
      <c r="O1005">
        <f>INDEX('MEC - traffic congestion'!$M$145:$M$249,MATCH($D1005,'MEC - traffic congestion'!$C$145:$C$249,0))</f>
        <v>1</v>
      </c>
      <c r="P1005" t="str">
        <f t="shared" si="41"/>
        <v>2020AM PEAK</v>
      </c>
      <c r="Q1005">
        <f t="shared" si="42"/>
        <v>1</v>
      </c>
      <c r="R1005" s="195" t="str">
        <f t="shared" si="43"/>
        <v>2020LIGHT VEHICLES</v>
      </c>
    </row>
    <row r="1006" spans="3:18" x14ac:dyDescent="0.25">
      <c r="C1006" s="294" t="s">
        <v>839</v>
      </c>
      <c r="D1006" s="317">
        <v>53003</v>
      </c>
      <c r="E1006" s="122" t="s">
        <v>812</v>
      </c>
      <c r="F1006" s="122" t="s">
        <v>840</v>
      </c>
      <c r="G1006" s="122" t="s">
        <v>776</v>
      </c>
      <c r="H1006" s="122" t="s">
        <v>777</v>
      </c>
      <c r="I1006" s="312">
        <v>2020</v>
      </c>
      <c r="J1006" s="122" t="s">
        <v>710</v>
      </c>
      <c r="K1006" s="283">
        <v>12580</v>
      </c>
      <c r="L1006" s="318">
        <v>-33.729225</v>
      </c>
      <c r="M1006" s="318">
        <v>151.122208</v>
      </c>
      <c r="O1006">
        <f>INDEX('MEC - traffic congestion'!$M$145:$M$249,MATCH($D1006,'MEC - traffic congestion'!$C$145:$C$249,0))</f>
        <v>1</v>
      </c>
      <c r="P1006" t="str">
        <f t="shared" si="41"/>
        <v>2020OFF PEAK</v>
      </c>
      <c r="Q1006">
        <f t="shared" si="42"/>
        <v>1</v>
      </c>
      <c r="R1006" s="195" t="str">
        <f t="shared" si="43"/>
        <v>2020LIGHT VEHICLES</v>
      </c>
    </row>
    <row r="1007" spans="3:18" x14ac:dyDescent="0.25">
      <c r="C1007" s="294" t="s">
        <v>839</v>
      </c>
      <c r="D1007" s="317">
        <v>53003</v>
      </c>
      <c r="E1007" s="122" t="s">
        <v>812</v>
      </c>
      <c r="F1007" s="122" t="s">
        <v>840</v>
      </c>
      <c r="G1007" s="122" t="s">
        <v>778</v>
      </c>
      <c r="H1007" s="122" t="s">
        <v>777</v>
      </c>
      <c r="I1007" s="312">
        <v>2020</v>
      </c>
      <c r="J1007" s="122" t="s">
        <v>710</v>
      </c>
      <c r="K1007" s="283">
        <v>13383</v>
      </c>
      <c r="L1007" s="318">
        <v>-33.729225</v>
      </c>
      <c r="M1007" s="318">
        <v>151.122208</v>
      </c>
      <c r="O1007">
        <f>INDEX('MEC - traffic congestion'!$M$145:$M$249,MATCH($D1007,'MEC - traffic congestion'!$C$145:$C$249,0))</f>
        <v>1</v>
      </c>
      <c r="P1007" t="str">
        <f t="shared" si="41"/>
        <v>2020OFF PEAK</v>
      </c>
      <c r="Q1007">
        <f t="shared" si="42"/>
        <v>1</v>
      </c>
      <c r="R1007" s="195" t="str">
        <f t="shared" si="43"/>
        <v>2020LIGHT VEHICLES</v>
      </c>
    </row>
    <row r="1008" spans="3:18" x14ac:dyDescent="0.25">
      <c r="C1008" s="294" t="s">
        <v>839</v>
      </c>
      <c r="D1008" s="317">
        <v>53003</v>
      </c>
      <c r="E1008" s="122" t="s">
        <v>812</v>
      </c>
      <c r="F1008" s="122" t="s">
        <v>840</v>
      </c>
      <c r="G1008" s="122" t="s">
        <v>776</v>
      </c>
      <c r="H1008" s="122" t="s">
        <v>777</v>
      </c>
      <c r="I1008" s="312">
        <v>2020</v>
      </c>
      <c r="J1008" s="122" t="s">
        <v>711</v>
      </c>
      <c r="K1008" s="283">
        <v>8089</v>
      </c>
      <c r="L1008" s="318">
        <v>-33.729225</v>
      </c>
      <c r="M1008" s="318">
        <v>151.122208</v>
      </c>
      <c r="O1008">
        <f>INDEX('MEC - traffic congestion'!$M$145:$M$249,MATCH($D1008,'MEC - traffic congestion'!$C$145:$C$249,0))</f>
        <v>1</v>
      </c>
      <c r="P1008" t="str">
        <f t="shared" si="41"/>
        <v>2020PM PEAK</v>
      </c>
      <c r="Q1008">
        <f t="shared" si="42"/>
        <v>1</v>
      </c>
      <c r="R1008" s="195" t="str">
        <f t="shared" si="43"/>
        <v>2020LIGHT VEHICLES</v>
      </c>
    </row>
    <row r="1009" spans="3:18" x14ac:dyDescent="0.25">
      <c r="C1009" s="294" t="s">
        <v>839</v>
      </c>
      <c r="D1009" s="317">
        <v>53003</v>
      </c>
      <c r="E1009" s="122" t="s">
        <v>812</v>
      </c>
      <c r="F1009" s="122" t="s">
        <v>840</v>
      </c>
      <c r="G1009" s="122" t="s">
        <v>778</v>
      </c>
      <c r="H1009" s="122" t="s">
        <v>777</v>
      </c>
      <c r="I1009" s="312">
        <v>2020</v>
      </c>
      <c r="J1009" s="122" t="s">
        <v>711</v>
      </c>
      <c r="K1009" s="283">
        <v>6969</v>
      </c>
      <c r="L1009" s="318">
        <v>-33.729225</v>
      </c>
      <c r="M1009" s="318">
        <v>151.122208</v>
      </c>
      <c r="O1009">
        <f>INDEX('MEC - traffic congestion'!$M$145:$M$249,MATCH($D1009,'MEC - traffic congestion'!$C$145:$C$249,0))</f>
        <v>1</v>
      </c>
      <c r="P1009" t="str">
        <f t="shared" si="41"/>
        <v>2020PM PEAK</v>
      </c>
      <c r="Q1009">
        <f t="shared" si="42"/>
        <v>1</v>
      </c>
      <c r="R1009" s="195" t="str">
        <f t="shared" si="43"/>
        <v>2020LIGHT VEHICLES</v>
      </c>
    </row>
    <row r="1010" spans="3:18" x14ac:dyDescent="0.25">
      <c r="C1010" s="294" t="s">
        <v>839</v>
      </c>
      <c r="D1010" s="317">
        <v>53003</v>
      </c>
      <c r="E1010" s="122" t="s">
        <v>812</v>
      </c>
      <c r="F1010" s="122" t="s">
        <v>840</v>
      </c>
      <c r="G1010" s="122" t="s">
        <v>776</v>
      </c>
      <c r="H1010" s="122" t="s">
        <v>777</v>
      </c>
      <c r="I1010" s="312">
        <v>2020</v>
      </c>
      <c r="J1010" s="122" t="s">
        <v>712</v>
      </c>
      <c r="K1010" s="283">
        <v>17362</v>
      </c>
      <c r="L1010" s="318">
        <v>-33.729225</v>
      </c>
      <c r="M1010" s="318">
        <v>151.122208</v>
      </c>
      <c r="O1010">
        <f>INDEX('MEC - traffic congestion'!$M$145:$M$249,MATCH($D1010,'MEC - traffic congestion'!$C$145:$C$249,0))</f>
        <v>1</v>
      </c>
      <c r="P1010" t="str">
        <f t="shared" si="41"/>
        <v>2020PUBLIC HOLIDAYS</v>
      </c>
      <c r="Q1010">
        <f t="shared" si="42"/>
        <v>1</v>
      </c>
      <c r="R1010" s="195" t="str">
        <f t="shared" si="43"/>
        <v>2020LIGHT VEHICLES</v>
      </c>
    </row>
    <row r="1011" spans="3:18" x14ac:dyDescent="0.25">
      <c r="C1011" s="294" t="s">
        <v>839</v>
      </c>
      <c r="D1011" s="317">
        <v>53003</v>
      </c>
      <c r="E1011" s="122" t="s">
        <v>812</v>
      </c>
      <c r="F1011" s="122" t="s">
        <v>840</v>
      </c>
      <c r="G1011" s="122" t="s">
        <v>778</v>
      </c>
      <c r="H1011" s="122" t="s">
        <v>777</v>
      </c>
      <c r="I1011" s="312">
        <v>2020</v>
      </c>
      <c r="J1011" s="122" t="s">
        <v>712</v>
      </c>
      <c r="K1011" s="283">
        <v>24429</v>
      </c>
      <c r="L1011" s="318">
        <v>-33.729225</v>
      </c>
      <c r="M1011" s="318">
        <v>151.122208</v>
      </c>
      <c r="O1011">
        <f>INDEX('MEC - traffic congestion'!$M$145:$M$249,MATCH($D1011,'MEC - traffic congestion'!$C$145:$C$249,0))</f>
        <v>1</v>
      </c>
      <c r="P1011" t="str">
        <f t="shared" si="41"/>
        <v>2020PUBLIC HOLIDAYS</v>
      </c>
      <c r="Q1011">
        <f t="shared" si="42"/>
        <v>1</v>
      </c>
      <c r="R1011" s="195" t="str">
        <f t="shared" si="43"/>
        <v>2020LIGHT VEHICLES</v>
      </c>
    </row>
    <row r="1012" spans="3:18" x14ac:dyDescent="0.25">
      <c r="C1012" s="294" t="s">
        <v>839</v>
      </c>
      <c r="D1012" s="317">
        <v>53003</v>
      </c>
      <c r="E1012" s="122" t="s">
        <v>812</v>
      </c>
      <c r="F1012" s="122" t="s">
        <v>840</v>
      </c>
      <c r="G1012" s="122" t="s">
        <v>776</v>
      </c>
      <c r="H1012" s="122" t="s">
        <v>777</v>
      </c>
      <c r="I1012" s="312">
        <v>2020</v>
      </c>
      <c r="J1012" s="122" t="s">
        <v>713</v>
      </c>
      <c r="K1012" s="283">
        <v>23723</v>
      </c>
      <c r="L1012" s="318">
        <v>-33.729225</v>
      </c>
      <c r="M1012" s="318">
        <v>151.122208</v>
      </c>
      <c r="O1012">
        <f>INDEX('MEC - traffic congestion'!$M$145:$M$249,MATCH($D1012,'MEC - traffic congestion'!$C$145:$C$249,0))</f>
        <v>1</v>
      </c>
      <c r="P1012" t="str">
        <f t="shared" si="41"/>
        <v>2020WEEKENDS</v>
      </c>
      <c r="Q1012">
        <f t="shared" si="42"/>
        <v>1</v>
      </c>
      <c r="R1012" s="195" t="str">
        <f t="shared" si="43"/>
        <v>2020LIGHT VEHICLES</v>
      </c>
    </row>
    <row r="1013" spans="3:18" x14ac:dyDescent="0.25">
      <c r="C1013" s="294" t="s">
        <v>839</v>
      </c>
      <c r="D1013" s="317">
        <v>53003</v>
      </c>
      <c r="E1013" s="122" t="s">
        <v>812</v>
      </c>
      <c r="F1013" s="122" t="s">
        <v>840</v>
      </c>
      <c r="G1013" s="122" t="s">
        <v>778</v>
      </c>
      <c r="H1013" s="122" t="s">
        <v>777</v>
      </c>
      <c r="I1013" s="312">
        <v>2020</v>
      </c>
      <c r="J1013" s="122" t="s">
        <v>713</v>
      </c>
      <c r="K1013" s="283">
        <v>28080</v>
      </c>
      <c r="L1013" s="318">
        <v>-33.729225</v>
      </c>
      <c r="M1013" s="318">
        <v>151.122208</v>
      </c>
      <c r="O1013">
        <f>INDEX('MEC - traffic congestion'!$M$145:$M$249,MATCH($D1013,'MEC - traffic congestion'!$C$145:$C$249,0))</f>
        <v>1</v>
      </c>
      <c r="P1013" t="str">
        <f t="shared" si="41"/>
        <v>2020WEEKENDS</v>
      </c>
      <c r="Q1013">
        <f t="shared" si="42"/>
        <v>1</v>
      </c>
      <c r="R1013" s="195" t="str">
        <f t="shared" si="43"/>
        <v>2020LIGHT VEHICLES</v>
      </c>
    </row>
    <row r="1014" spans="3:18" x14ac:dyDescent="0.25">
      <c r="C1014" s="294" t="s">
        <v>839</v>
      </c>
      <c r="D1014" s="317">
        <v>53003</v>
      </c>
      <c r="E1014" s="122" t="s">
        <v>812</v>
      </c>
      <c r="F1014" s="122" t="s">
        <v>840</v>
      </c>
      <c r="G1014" s="122" t="s">
        <v>776</v>
      </c>
      <c r="H1014" s="122" t="s">
        <v>777</v>
      </c>
      <c r="I1014" s="312">
        <v>2021</v>
      </c>
      <c r="J1014" s="122" t="s">
        <v>709</v>
      </c>
      <c r="K1014" s="283">
        <v>4898</v>
      </c>
      <c r="L1014" s="318">
        <v>-33.729225</v>
      </c>
      <c r="M1014" s="318">
        <v>151.122208</v>
      </c>
      <c r="O1014">
        <f>INDEX('MEC - traffic congestion'!$M$145:$M$249,MATCH($D1014,'MEC - traffic congestion'!$C$145:$C$249,0))</f>
        <v>1</v>
      </c>
      <c r="P1014" t="str">
        <f t="shared" si="41"/>
        <v>2021AM PEAK</v>
      </c>
      <c r="Q1014">
        <f t="shared" si="42"/>
        <v>1</v>
      </c>
      <c r="R1014" s="195" t="str">
        <f t="shared" si="43"/>
        <v>2021LIGHT VEHICLES</v>
      </c>
    </row>
    <row r="1015" spans="3:18" x14ac:dyDescent="0.25">
      <c r="C1015" s="294" t="s">
        <v>839</v>
      </c>
      <c r="D1015" s="317">
        <v>53003</v>
      </c>
      <c r="E1015" s="122" t="s">
        <v>812</v>
      </c>
      <c r="F1015" s="122" t="s">
        <v>840</v>
      </c>
      <c r="G1015" s="122" t="s">
        <v>778</v>
      </c>
      <c r="H1015" s="122" t="s">
        <v>777</v>
      </c>
      <c r="I1015" s="312">
        <v>2021</v>
      </c>
      <c r="J1015" s="122" t="s">
        <v>709</v>
      </c>
      <c r="K1015" s="283">
        <v>7902</v>
      </c>
      <c r="L1015" s="318">
        <v>-33.729225</v>
      </c>
      <c r="M1015" s="318">
        <v>151.122208</v>
      </c>
      <c r="O1015">
        <f>INDEX('MEC - traffic congestion'!$M$145:$M$249,MATCH($D1015,'MEC - traffic congestion'!$C$145:$C$249,0))</f>
        <v>1</v>
      </c>
      <c r="P1015" t="str">
        <f t="shared" si="41"/>
        <v>2021AM PEAK</v>
      </c>
      <c r="Q1015">
        <f t="shared" si="42"/>
        <v>1</v>
      </c>
      <c r="R1015" s="195" t="str">
        <f t="shared" si="43"/>
        <v>2021LIGHT VEHICLES</v>
      </c>
    </row>
    <row r="1016" spans="3:18" x14ac:dyDescent="0.25">
      <c r="C1016" s="294" t="s">
        <v>839</v>
      </c>
      <c r="D1016" s="317">
        <v>53003</v>
      </c>
      <c r="E1016" s="122" t="s">
        <v>812</v>
      </c>
      <c r="F1016" s="122" t="s">
        <v>840</v>
      </c>
      <c r="G1016" s="122" t="s">
        <v>776</v>
      </c>
      <c r="H1016" s="122" t="s">
        <v>777</v>
      </c>
      <c r="I1016" s="312">
        <v>2021</v>
      </c>
      <c r="J1016" s="122" t="s">
        <v>710</v>
      </c>
      <c r="K1016" s="283">
        <v>11079</v>
      </c>
      <c r="L1016" s="318">
        <v>-33.729225</v>
      </c>
      <c r="M1016" s="318">
        <v>151.122208</v>
      </c>
      <c r="O1016">
        <f>INDEX('MEC - traffic congestion'!$M$145:$M$249,MATCH($D1016,'MEC - traffic congestion'!$C$145:$C$249,0))</f>
        <v>1</v>
      </c>
      <c r="P1016" t="str">
        <f t="shared" si="41"/>
        <v>2021OFF PEAK</v>
      </c>
      <c r="Q1016">
        <f t="shared" si="42"/>
        <v>1</v>
      </c>
      <c r="R1016" s="195" t="str">
        <f t="shared" si="43"/>
        <v>2021LIGHT VEHICLES</v>
      </c>
    </row>
    <row r="1017" spans="3:18" x14ac:dyDescent="0.25">
      <c r="C1017" s="294" t="s">
        <v>839</v>
      </c>
      <c r="D1017" s="317">
        <v>53003</v>
      </c>
      <c r="E1017" s="122" t="s">
        <v>812</v>
      </c>
      <c r="F1017" s="122" t="s">
        <v>840</v>
      </c>
      <c r="G1017" s="122" t="s">
        <v>778</v>
      </c>
      <c r="H1017" s="122" t="s">
        <v>777</v>
      </c>
      <c r="I1017" s="312">
        <v>2021</v>
      </c>
      <c r="J1017" s="122" t="s">
        <v>710</v>
      </c>
      <c r="K1017" s="283">
        <v>10781</v>
      </c>
      <c r="L1017" s="318">
        <v>-33.729225</v>
      </c>
      <c r="M1017" s="318">
        <v>151.122208</v>
      </c>
      <c r="O1017">
        <f>INDEX('MEC - traffic congestion'!$M$145:$M$249,MATCH($D1017,'MEC - traffic congestion'!$C$145:$C$249,0))</f>
        <v>1</v>
      </c>
      <c r="P1017" t="str">
        <f t="shared" si="41"/>
        <v>2021OFF PEAK</v>
      </c>
      <c r="Q1017">
        <f t="shared" si="42"/>
        <v>1</v>
      </c>
      <c r="R1017" s="195" t="str">
        <f t="shared" si="43"/>
        <v>2021LIGHT VEHICLES</v>
      </c>
    </row>
    <row r="1018" spans="3:18" x14ac:dyDescent="0.25">
      <c r="C1018" s="294" t="s">
        <v>839</v>
      </c>
      <c r="D1018" s="317">
        <v>53003</v>
      </c>
      <c r="E1018" s="122" t="s">
        <v>812</v>
      </c>
      <c r="F1018" s="122" t="s">
        <v>840</v>
      </c>
      <c r="G1018" s="122" t="s">
        <v>776</v>
      </c>
      <c r="H1018" s="122" t="s">
        <v>777</v>
      </c>
      <c r="I1018" s="312">
        <v>2021</v>
      </c>
      <c r="J1018" s="122" t="s">
        <v>711</v>
      </c>
      <c r="K1018" s="283">
        <v>7500</v>
      </c>
      <c r="L1018" s="318">
        <v>-33.729225</v>
      </c>
      <c r="M1018" s="318">
        <v>151.122208</v>
      </c>
      <c r="O1018">
        <f>INDEX('MEC - traffic congestion'!$M$145:$M$249,MATCH($D1018,'MEC - traffic congestion'!$C$145:$C$249,0))</f>
        <v>1</v>
      </c>
      <c r="P1018" t="str">
        <f t="shared" si="41"/>
        <v>2021PM PEAK</v>
      </c>
      <c r="Q1018">
        <f t="shared" si="42"/>
        <v>1</v>
      </c>
      <c r="R1018" s="195" t="str">
        <f t="shared" si="43"/>
        <v>2021LIGHT VEHICLES</v>
      </c>
    </row>
    <row r="1019" spans="3:18" x14ac:dyDescent="0.25">
      <c r="C1019" s="294" t="s">
        <v>839</v>
      </c>
      <c r="D1019" s="317">
        <v>53003</v>
      </c>
      <c r="E1019" s="122" t="s">
        <v>812</v>
      </c>
      <c r="F1019" s="122" t="s">
        <v>840</v>
      </c>
      <c r="G1019" s="122" t="s">
        <v>778</v>
      </c>
      <c r="H1019" s="122" t="s">
        <v>777</v>
      </c>
      <c r="I1019" s="312">
        <v>2021</v>
      </c>
      <c r="J1019" s="122" t="s">
        <v>711</v>
      </c>
      <c r="K1019" s="283">
        <v>5726</v>
      </c>
      <c r="L1019" s="318">
        <v>-33.729225</v>
      </c>
      <c r="M1019" s="318">
        <v>151.122208</v>
      </c>
      <c r="O1019">
        <f>INDEX('MEC - traffic congestion'!$M$145:$M$249,MATCH($D1019,'MEC - traffic congestion'!$C$145:$C$249,0))</f>
        <v>1</v>
      </c>
      <c r="P1019" t="str">
        <f t="shared" si="41"/>
        <v>2021PM PEAK</v>
      </c>
      <c r="Q1019">
        <f t="shared" si="42"/>
        <v>1</v>
      </c>
      <c r="R1019" s="195" t="str">
        <f t="shared" si="43"/>
        <v>2021LIGHT VEHICLES</v>
      </c>
    </row>
    <row r="1020" spans="3:18" x14ac:dyDescent="0.25">
      <c r="C1020" s="294" t="s">
        <v>839</v>
      </c>
      <c r="D1020" s="317">
        <v>53003</v>
      </c>
      <c r="E1020" s="122" t="s">
        <v>812</v>
      </c>
      <c r="F1020" s="122" t="s">
        <v>840</v>
      </c>
      <c r="G1020" s="122" t="s">
        <v>776</v>
      </c>
      <c r="H1020" s="122" t="s">
        <v>777</v>
      </c>
      <c r="I1020" s="312">
        <v>2021</v>
      </c>
      <c r="J1020" s="122" t="s">
        <v>713</v>
      </c>
      <c r="K1020" s="283">
        <v>20692</v>
      </c>
      <c r="L1020" s="318">
        <v>-33.729225</v>
      </c>
      <c r="M1020" s="318">
        <v>151.122208</v>
      </c>
      <c r="O1020">
        <f>INDEX('MEC - traffic congestion'!$M$145:$M$249,MATCH($D1020,'MEC - traffic congestion'!$C$145:$C$249,0))</f>
        <v>1</v>
      </c>
      <c r="P1020" t="str">
        <f t="shared" si="41"/>
        <v>2021WEEKENDS</v>
      </c>
      <c r="Q1020">
        <f t="shared" si="42"/>
        <v>1</v>
      </c>
      <c r="R1020" s="195" t="str">
        <f t="shared" si="43"/>
        <v>2021LIGHT VEHICLES</v>
      </c>
    </row>
    <row r="1021" spans="3:18" x14ac:dyDescent="0.25">
      <c r="C1021" s="294" t="s">
        <v>839</v>
      </c>
      <c r="D1021" s="317">
        <v>53003</v>
      </c>
      <c r="E1021" s="122" t="s">
        <v>812</v>
      </c>
      <c r="F1021" s="122" t="s">
        <v>840</v>
      </c>
      <c r="G1021" s="122" t="s">
        <v>778</v>
      </c>
      <c r="H1021" s="122" t="s">
        <v>777</v>
      </c>
      <c r="I1021" s="312">
        <v>2021</v>
      </c>
      <c r="J1021" s="122" t="s">
        <v>713</v>
      </c>
      <c r="K1021" s="283">
        <v>21658</v>
      </c>
      <c r="L1021" s="318">
        <v>-33.729225</v>
      </c>
      <c r="M1021" s="318">
        <v>151.122208</v>
      </c>
      <c r="O1021">
        <f>INDEX('MEC - traffic congestion'!$M$145:$M$249,MATCH($D1021,'MEC - traffic congestion'!$C$145:$C$249,0))</f>
        <v>1</v>
      </c>
      <c r="P1021" t="str">
        <f t="shared" si="41"/>
        <v>2021WEEKENDS</v>
      </c>
      <c r="Q1021">
        <f t="shared" si="42"/>
        <v>1</v>
      </c>
      <c r="R1021" s="195" t="str">
        <f t="shared" si="43"/>
        <v>2021LIGHT VEHICLES</v>
      </c>
    </row>
    <row r="1022" spans="3:18" x14ac:dyDescent="0.25">
      <c r="C1022" s="294" t="s">
        <v>839</v>
      </c>
      <c r="D1022" s="317">
        <v>53003</v>
      </c>
      <c r="E1022" s="122" t="s">
        <v>812</v>
      </c>
      <c r="F1022" s="122" t="s">
        <v>840</v>
      </c>
      <c r="G1022" s="122" t="s">
        <v>776</v>
      </c>
      <c r="H1022" s="122" t="s">
        <v>777</v>
      </c>
      <c r="I1022" s="312">
        <v>2022</v>
      </c>
      <c r="J1022" s="122" t="s">
        <v>709</v>
      </c>
      <c r="K1022" s="283">
        <v>5203</v>
      </c>
      <c r="L1022" s="318">
        <v>-33.729225</v>
      </c>
      <c r="M1022" s="318">
        <v>151.122208</v>
      </c>
      <c r="O1022">
        <f>INDEX('MEC - traffic congestion'!$M$145:$M$249,MATCH($D1022,'MEC - traffic congestion'!$C$145:$C$249,0))</f>
        <v>1</v>
      </c>
      <c r="P1022" t="str">
        <f t="shared" si="41"/>
        <v>2022AM PEAK</v>
      </c>
      <c r="Q1022">
        <f t="shared" si="42"/>
        <v>1</v>
      </c>
      <c r="R1022" s="195" t="str">
        <f t="shared" si="43"/>
        <v>2022LIGHT VEHICLES</v>
      </c>
    </row>
    <row r="1023" spans="3:18" x14ac:dyDescent="0.25">
      <c r="C1023" s="294" t="s">
        <v>839</v>
      </c>
      <c r="D1023" s="317">
        <v>53003</v>
      </c>
      <c r="E1023" s="122" t="s">
        <v>812</v>
      </c>
      <c r="F1023" s="122" t="s">
        <v>840</v>
      </c>
      <c r="G1023" s="122" t="s">
        <v>778</v>
      </c>
      <c r="H1023" s="122" t="s">
        <v>777</v>
      </c>
      <c r="I1023" s="312">
        <v>2022</v>
      </c>
      <c r="J1023" s="122" t="s">
        <v>709</v>
      </c>
      <c r="K1023" s="283">
        <v>8273</v>
      </c>
      <c r="L1023" s="318">
        <v>-33.729225</v>
      </c>
      <c r="M1023" s="318">
        <v>151.122208</v>
      </c>
      <c r="O1023">
        <f>INDEX('MEC - traffic congestion'!$M$145:$M$249,MATCH($D1023,'MEC - traffic congestion'!$C$145:$C$249,0))</f>
        <v>1</v>
      </c>
      <c r="P1023" t="str">
        <f t="shared" si="41"/>
        <v>2022AM PEAK</v>
      </c>
      <c r="Q1023">
        <f t="shared" si="42"/>
        <v>1</v>
      </c>
      <c r="R1023" s="195" t="str">
        <f t="shared" si="43"/>
        <v>2022LIGHT VEHICLES</v>
      </c>
    </row>
    <row r="1024" spans="3:18" x14ac:dyDescent="0.25">
      <c r="C1024" s="294" t="s">
        <v>839</v>
      </c>
      <c r="D1024" s="317">
        <v>53003</v>
      </c>
      <c r="E1024" s="122" t="s">
        <v>812</v>
      </c>
      <c r="F1024" s="122" t="s">
        <v>840</v>
      </c>
      <c r="G1024" s="122" t="s">
        <v>776</v>
      </c>
      <c r="H1024" s="122" t="s">
        <v>777</v>
      </c>
      <c r="I1024" s="312">
        <v>2022</v>
      </c>
      <c r="J1024" s="122" t="s">
        <v>710</v>
      </c>
      <c r="K1024" s="283">
        <v>12369</v>
      </c>
      <c r="L1024" s="318">
        <v>-33.729225</v>
      </c>
      <c r="M1024" s="318">
        <v>151.122208</v>
      </c>
      <c r="O1024">
        <f>INDEX('MEC - traffic congestion'!$M$145:$M$249,MATCH($D1024,'MEC - traffic congestion'!$C$145:$C$249,0))</f>
        <v>1</v>
      </c>
      <c r="P1024" t="str">
        <f t="shared" si="41"/>
        <v>2022OFF PEAK</v>
      </c>
      <c r="Q1024">
        <f t="shared" si="42"/>
        <v>1</v>
      </c>
      <c r="R1024" s="195" t="str">
        <f t="shared" si="43"/>
        <v>2022LIGHT VEHICLES</v>
      </c>
    </row>
    <row r="1025" spans="3:18" x14ac:dyDescent="0.25">
      <c r="C1025" s="294" t="s">
        <v>839</v>
      </c>
      <c r="D1025" s="317">
        <v>53003</v>
      </c>
      <c r="E1025" s="122" t="s">
        <v>812</v>
      </c>
      <c r="F1025" s="122" t="s">
        <v>840</v>
      </c>
      <c r="G1025" s="122" t="s">
        <v>778</v>
      </c>
      <c r="H1025" s="122" t="s">
        <v>777</v>
      </c>
      <c r="I1025" s="312">
        <v>2022</v>
      </c>
      <c r="J1025" s="122" t="s">
        <v>710</v>
      </c>
      <c r="K1025" s="283">
        <v>11873</v>
      </c>
      <c r="L1025" s="318">
        <v>-33.729225</v>
      </c>
      <c r="M1025" s="318">
        <v>151.122208</v>
      </c>
      <c r="O1025">
        <f>INDEX('MEC - traffic congestion'!$M$145:$M$249,MATCH($D1025,'MEC - traffic congestion'!$C$145:$C$249,0))</f>
        <v>1</v>
      </c>
      <c r="P1025" t="str">
        <f t="shared" si="41"/>
        <v>2022OFF PEAK</v>
      </c>
      <c r="Q1025">
        <f t="shared" si="42"/>
        <v>1</v>
      </c>
      <c r="R1025" s="195" t="str">
        <f t="shared" si="43"/>
        <v>2022LIGHT VEHICLES</v>
      </c>
    </row>
    <row r="1026" spans="3:18" x14ac:dyDescent="0.25">
      <c r="C1026" s="294" t="s">
        <v>839</v>
      </c>
      <c r="D1026" s="317">
        <v>53003</v>
      </c>
      <c r="E1026" s="122" t="s">
        <v>812</v>
      </c>
      <c r="F1026" s="122" t="s">
        <v>840</v>
      </c>
      <c r="G1026" s="122" t="s">
        <v>776</v>
      </c>
      <c r="H1026" s="122" t="s">
        <v>777</v>
      </c>
      <c r="I1026" s="312">
        <v>2022</v>
      </c>
      <c r="J1026" s="122" t="s">
        <v>711</v>
      </c>
      <c r="K1026" s="283">
        <v>8209</v>
      </c>
      <c r="L1026" s="318">
        <v>-33.729225</v>
      </c>
      <c r="M1026" s="318">
        <v>151.122208</v>
      </c>
      <c r="O1026">
        <f>INDEX('MEC - traffic congestion'!$M$145:$M$249,MATCH($D1026,'MEC - traffic congestion'!$C$145:$C$249,0))</f>
        <v>1</v>
      </c>
      <c r="P1026" t="str">
        <f t="shared" si="41"/>
        <v>2022PM PEAK</v>
      </c>
      <c r="Q1026">
        <f t="shared" si="42"/>
        <v>1</v>
      </c>
      <c r="R1026" s="195" t="str">
        <f t="shared" si="43"/>
        <v>2022LIGHT VEHICLES</v>
      </c>
    </row>
    <row r="1027" spans="3:18" x14ac:dyDescent="0.25">
      <c r="C1027" s="294" t="s">
        <v>839</v>
      </c>
      <c r="D1027" s="317">
        <v>53003</v>
      </c>
      <c r="E1027" s="122" t="s">
        <v>812</v>
      </c>
      <c r="F1027" s="122" t="s">
        <v>840</v>
      </c>
      <c r="G1027" s="122" t="s">
        <v>778</v>
      </c>
      <c r="H1027" s="122" t="s">
        <v>777</v>
      </c>
      <c r="I1027" s="312">
        <v>2022</v>
      </c>
      <c r="J1027" s="122" t="s">
        <v>711</v>
      </c>
      <c r="K1027" s="283">
        <v>6206</v>
      </c>
      <c r="L1027" s="318">
        <v>-33.729225</v>
      </c>
      <c r="M1027" s="318">
        <v>151.122208</v>
      </c>
      <c r="O1027">
        <f>INDEX('MEC - traffic congestion'!$M$145:$M$249,MATCH($D1027,'MEC - traffic congestion'!$C$145:$C$249,0))</f>
        <v>1</v>
      </c>
      <c r="P1027" t="str">
        <f t="shared" si="41"/>
        <v>2022PM PEAK</v>
      </c>
      <c r="Q1027">
        <f t="shared" si="42"/>
        <v>1</v>
      </c>
      <c r="R1027" s="195" t="str">
        <f t="shared" si="43"/>
        <v>2022LIGHT VEHICLES</v>
      </c>
    </row>
    <row r="1028" spans="3:18" x14ac:dyDescent="0.25">
      <c r="C1028" s="294" t="s">
        <v>839</v>
      </c>
      <c r="D1028" s="317">
        <v>53003</v>
      </c>
      <c r="E1028" s="122" t="s">
        <v>812</v>
      </c>
      <c r="F1028" s="122" t="s">
        <v>840</v>
      </c>
      <c r="G1028" s="122" t="s">
        <v>776</v>
      </c>
      <c r="H1028" s="122" t="s">
        <v>777</v>
      </c>
      <c r="I1028" s="312">
        <v>2022</v>
      </c>
      <c r="J1028" s="122" t="s">
        <v>713</v>
      </c>
      <c r="K1028" s="283">
        <v>24967</v>
      </c>
      <c r="L1028" s="318">
        <v>-33.729225</v>
      </c>
      <c r="M1028" s="318">
        <v>151.122208</v>
      </c>
      <c r="O1028">
        <f>INDEX('MEC - traffic congestion'!$M$145:$M$249,MATCH($D1028,'MEC - traffic congestion'!$C$145:$C$249,0))</f>
        <v>1</v>
      </c>
      <c r="P1028" t="str">
        <f t="shared" si="41"/>
        <v>2022WEEKENDS</v>
      </c>
      <c r="Q1028">
        <f t="shared" si="42"/>
        <v>1</v>
      </c>
      <c r="R1028" s="195" t="str">
        <f t="shared" si="43"/>
        <v>2022LIGHT VEHICLES</v>
      </c>
    </row>
    <row r="1029" spans="3:18" x14ac:dyDescent="0.25">
      <c r="C1029" s="294" t="s">
        <v>839</v>
      </c>
      <c r="D1029" s="317">
        <v>53003</v>
      </c>
      <c r="E1029" s="122" t="s">
        <v>812</v>
      </c>
      <c r="F1029" s="122" t="s">
        <v>840</v>
      </c>
      <c r="G1029" s="122" t="s">
        <v>778</v>
      </c>
      <c r="H1029" s="122" t="s">
        <v>777</v>
      </c>
      <c r="I1029" s="312">
        <v>2022</v>
      </c>
      <c r="J1029" s="122" t="s">
        <v>713</v>
      </c>
      <c r="K1029" s="283">
        <v>26147</v>
      </c>
      <c r="L1029" s="318">
        <v>-33.729225</v>
      </c>
      <c r="M1029" s="318">
        <v>151.122208</v>
      </c>
      <c r="O1029">
        <f>INDEX('MEC - traffic congestion'!$M$145:$M$249,MATCH($D1029,'MEC - traffic congestion'!$C$145:$C$249,0))</f>
        <v>1</v>
      </c>
      <c r="P1029" t="str">
        <f t="shared" si="41"/>
        <v>2022WEEKENDS</v>
      </c>
      <c r="Q1029">
        <f t="shared" si="42"/>
        <v>1</v>
      </c>
      <c r="R1029" s="195" t="str">
        <f t="shared" si="43"/>
        <v>2022LIGHT VEHICLES</v>
      </c>
    </row>
    <row r="1030" spans="3:18" x14ac:dyDescent="0.25">
      <c r="C1030" s="294" t="s">
        <v>839</v>
      </c>
      <c r="D1030" s="317">
        <v>53003</v>
      </c>
      <c r="E1030" s="122" t="s">
        <v>812</v>
      </c>
      <c r="F1030" s="122" t="s">
        <v>840</v>
      </c>
      <c r="G1030" s="122" t="s">
        <v>776</v>
      </c>
      <c r="H1030" s="122" t="s">
        <v>777</v>
      </c>
      <c r="I1030" s="312">
        <v>2023</v>
      </c>
      <c r="J1030" s="122" t="s">
        <v>709</v>
      </c>
      <c r="K1030" s="283">
        <v>5435</v>
      </c>
      <c r="L1030" s="318">
        <v>-33.729225</v>
      </c>
      <c r="M1030" s="318">
        <v>151.122208</v>
      </c>
      <c r="O1030">
        <f>INDEX('MEC - traffic congestion'!$M$145:$M$249,MATCH($D1030,'MEC - traffic congestion'!$C$145:$C$249,0))</f>
        <v>1</v>
      </c>
      <c r="P1030" t="str">
        <f t="shared" si="41"/>
        <v>2023AM PEAK</v>
      </c>
      <c r="Q1030">
        <f t="shared" si="42"/>
        <v>1</v>
      </c>
      <c r="R1030" s="195" t="str">
        <f t="shared" si="43"/>
        <v>2023LIGHT VEHICLES</v>
      </c>
    </row>
    <row r="1031" spans="3:18" x14ac:dyDescent="0.25">
      <c r="C1031" s="294" t="s">
        <v>839</v>
      </c>
      <c r="D1031" s="317">
        <v>53003</v>
      </c>
      <c r="E1031" s="122" t="s">
        <v>812</v>
      </c>
      <c r="F1031" s="122" t="s">
        <v>840</v>
      </c>
      <c r="G1031" s="122" t="s">
        <v>778</v>
      </c>
      <c r="H1031" s="122" t="s">
        <v>777</v>
      </c>
      <c r="I1031" s="312">
        <v>2023</v>
      </c>
      <c r="J1031" s="122" t="s">
        <v>709</v>
      </c>
      <c r="K1031" s="283">
        <v>8738</v>
      </c>
      <c r="L1031" s="318">
        <v>-33.729225</v>
      </c>
      <c r="M1031" s="318">
        <v>151.122208</v>
      </c>
      <c r="O1031">
        <f>INDEX('MEC - traffic congestion'!$M$145:$M$249,MATCH($D1031,'MEC - traffic congestion'!$C$145:$C$249,0))</f>
        <v>1</v>
      </c>
      <c r="P1031" t="str">
        <f t="shared" si="41"/>
        <v>2023AM PEAK</v>
      </c>
      <c r="Q1031">
        <f t="shared" si="42"/>
        <v>1</v>
      </c>
      <c r="R1031" s="195" t="str">
        <f t="shared" si="43"/>
        <v>2023LIGHT VEHICLES</v>
      </c>
    </row>
    <row r="1032" spans="3:18" x14ac:dyDescent="0.25">
      <c r="C1032" s="294" t="s">
        <v>839</v>
      </c>
      <c r="D1032" s="317">
        <v>53003</v>
      </c>
      <c r="E1032" s="122" t="s">
        <v>812</v>
      </c>
      <c r="F1032" s="122" t="s">
        <v>840</v>
      </c>
      <c r="G1032" s="122" t="s">
        <v>776</v>
      </c>
      <c r="H1032" s="122" t="s">
        <v>777</v>
      </c>
      <c r="I1032" s="312">
        <v>2023</v>
      </c>
      <c r="J1032" s="122" t="s">
        <v>710</v>
      </c>
      <c r="K1032" s="283">
        <v>13143</v>
      </c>
      <c r="L1032" s="318">
        <v>-33.729225</v>
      </c>
      <c r="M1032" s="318">
        <v>151.122208</v>
      </c>
      <c r="O1032">
        <f>INDEX('MEC - traffic congestion'!$M$145:$M$249,MATCH($D1032,'MEC - traffic congestion'!$C$145:$C$249,0))</f>
        <v>1</v>
      </c>
      <c r="P1032" t="str">
        <f t="shared" si="41"/>
        <v>2023OFF PEAK</v>
      </c>
      <c r="Q1032">
        <f t="shared" si="42"/>
        <v>1</v>
      </c>
      <c r="R1032" s="195" t="str">
        <f t="shared" si="43"/>
        <v>2023LIGHT VEHICLES</v>
      </c>
    </row>
    <row r="1033" spans="3:18" x14ac:dyDescent="0.25">
      <c r="C1033" s="294" t="s">
        <v>839</v>
      </c>
      <c r="D1033" s="317">
        <v>53003</v>
      </c>
      <c r="E1033" s="122" t="s">
        <v>812</v>
      </c>
      <c r="F1033" s="122" t="s">
        <v>840</v>
      </c>
      <c r="G1033" s="122" t="s">
        <v>778</v>
      </c>
      <c r="H1033" s="122" t="s">
        <v>777</v>
      </c>
      <c r="I1033" s="312">
        <v>2023</v>
      </c>
      <c r="J1033" s="122" t="s">
        <v>710</v>
      </c>
      <c r="K1033" s="283">
        <v>12238</v>
      </c>
      <c r="L1033" s="318">
        <v>-33.729225</v>
      </c>
      <c r="M1033" s="318">
        <v>151.122208</v>
      </c>
      <c r="O1033">
        <f>INDEX('MEC - traffic congestion'!$M$145:$M$249,MATCH($D1033,'MEC - traffic congestion'!$C$145:$C$249,0))</f>
        <v>1</v>
      </c>
      <c r="P1033" t="str">
        <f t="shared" si="41"/>
        <v>2023OFF PEAK</v>
      </c>
      <c r="Q1033">
        <f t="shared" si="42"/>
        <v>1</v>
      </c>
      <c r="R1033" s="195" t="str">
        <f t="shared" si="43"/>
        <v>2023LIGHT VEHICLES</v>
      </c>
    </row>
    <row r="1034" spans="3:18" x14ac:dyDescent="0.25">
      <c r="C1034" s="294" t="s">
        <v>839</v>
      </c>
      <c r="D1034" s="317">
        <v>53003</v>
      </c>
      <c r="E1034" s="122" t="s">
        <v>812</v>
      </c>
      <c r="F1034" s="122" t="s">
        <v>840</v>
      </c>
      <c r="G1034" s="122" t="s">
        <v>776</v>
      </c>
      <c r="H1034" s="122" t="s">
        <v>777</v>
      </c>
      <c r="I1034" s="312">
        <v>2023</v>
      </c>
      <c r="J1034" s="122" t="s">
        <v>711</v>
      </c>
      <c r="K1034" s="283">
        <v>8982</v>
      </c>
      <c r="L1034" s="318">
        <v>-33.729225</v>
      </c>
      <c r="M1034" s="318">
        <v>151.122208</v>
      </c>
      <c r="O1034">
        <f>INDEX('MEC - traffic congestion'!$M$145:$M$249,MATCH($D1034,'MEC - traffic congestion'!$C$145:$C$249,0))</f>
        <v>1</v>
      </c>
      <c r="P1034" t="str">
        <f t="shared" si="41"/>
        <v>2023PM PEAK</v>
      </c>
      <c r="Q1034">
        <f t="shared" si="42"/>
        <v>1</v>
      </c>
      <c r="R1034" s="195" t="str">
        <f t="shared" si="43"/>
        <v>2023LIGHT VEHICLES</v>
      </c>
    </row>
    <row r="1035" spans="3:18" x14ac:dyDescent="0.25">
      <c r="C1035" s="294" t="s">
        <v>839</v>
      </c>
      <c r="D1035" s="317">
        <v>53003</v>
      </c>
      <c r="E1035" s="122" t="s">
        <v>812</v>
      </c>
      <c r="F1035" s="122" t="s">
        <v>840</v>
      </c>
      <c r="G1035" s="122" t="s">
        <v>778</v>
      </c>
      <c r="H1035" s="122" t="s">
        <v>777</v>
      </c>
      <c r="I1035" s="312">
        <v>2023</v>
      </c>
      <c r="J1035" s="122" t="s">
        <v>711</v>
      </c>
      <c r="K1035" s="283">
        <v>6515</v>
      </c>
      <c r="L1035" s="318">
        <v>-33.729225</v>
      </c>
      <c r="M1035" s="318">
        <v>151.122208</v>
      </c>
      <c r="O1035">
        <f>INDEX('MEC - traffic congestion'!$M$145:$M$249,MATCH($D1035,'MEC - traffic congestion'!$C$145:$C$249,0))</f>
        <v>1</v>
      </c>
      <c r="P1035" t="str">
        <f t="shared" si="41"/>
        <v>2023PM PEAK</v>
      </c>
      <c r="Q1035">
        <f t="shared" si="42"/>
        <v>1</v>
      </c>
      <c r="R1035" s="195" t="str">
        <f t="shared" si="43"/>
        <v>2023LIGHT VEHICLES</v>
      </c>
    </row>
    <row r="1036" spans="3:18" x14ac:dyDescent="0.25">
      <c r="C1036" s="294" t="s">
        <v>839</v>
      </c>
      <c r="D1036" s="317">
        <v>53003</v>
      </c>
      <c r="E1036" s="122" t="s">
        <v>812</v>
      </c>
      <c r="F1036" s="122" t="s">
        <v>840</v>
      </c>
      <c r="G1036" s="122" t="s">
        <v>776</v>
      </c>
      <c r="H1036" s="122" t="s">
        <v>777</v>
      </c>
      <c r="I1036" s="312">
        <v>2023</v>
      </c>
      <c r="J1036" s="122" t="s">
        <v>713</v>
      </c>
      <c r="K1036" s="283">
        <v>26414</v>
      </c>
      <c r="L1036" s="318">
        <v>-33.729225</v>
      </c>
      <c r="M1036" s="318">
        <v>151.122208</v>
      </c>
      <c r="O1036">
        <f>INDEX('MEC - traffic congestion'!$M$145:$M$249,MATCH($D1036,'MEC - traffic congestion'!$C$145:$C$249,0))</f>
        <v>1</v>
      </c>
      <c r="P1036" t="str">
        <f t="shared" si="41"/>
        <v>2023WEEKENDS</v>
      </c>
      <c r="Q1036">
        <f t="shared" si="42"/>
        <v>1</v>
      </c>
      <c r="R1036" s="195" t="str">
        <f t="shared" si="43"/>
        <v>2023LIGHT VEHICLES</v>
      </c>
    </row>
    <row r="1037" spans="3:18" x14ac:dyDescent="0.25">
      <c r="C1037" s="294" t="s">
        <v>839</v>
      </c>
      <c r="D1037" s="317">
        <v>53003</v>
      </c>
      <c r="E1037" s="122" t="s">
        <v>812</v>
      </c>
      <c r="F1037" s="122" t="s">
        <v>840</v>
      </c>
      <c r="G1037" s="122" t="s">
        <v>778</v>
      </c>
      <c r="H1037" s="122" t="s">
        <v>777</v>
      </c>
      <c r="I1037" s="312">
        <v>2023</v>
      </c>
      <c r="J1037" s="122" t="s">
        <v>713</v>
      </c>
      <c r="K1037" s="283">
        <v>27719</v>
      </c>
      <c r="L1037" s="318">
        <v>-33.729225</v>
      </c>
      <c r="M1037" s="318">
        <v>151.122208</v>
      </c>
      <c r="O1037">
        <f>INDEX('MEC - traffic congestion'!$M$145:$M$249,MATCH($D1037,'MEC - traffic congestion'!$C$145:$C$249,0))</f>
        <v>1</v>
      </c>
      <c r="P1037" t="str">
        <f t="shared" si="41"/>
        <v>2023WEEKENDS</v>
      </c>
      <c r="Q1037">
        <f t="shared" si="42"/>
        <v>1</v>
      </c>
      <c r="R1037" s="195" t="str">
        <f t="shared" si="43"/>
        <v>2023LIGHT VEHICLES</v>
      </c>
    </row>
    <row r="1038" spans="3:18" x14ac:dyDescent="0.25">
      <c r="C1038" s="294" t="s">
        <v>839</v>
      </c>
      <c r="D1038" s="317">
        <v>53003</v>
      </c>
      <c r="E1038" s="122" t="s">
        <v>812</v>
      </c>
      <c r="F1038" s="122" t="s">
        <v>840</v>
      </c>
      <c r="G1038" s="122" t="s">
        <v>776</v>
      </c>
      <c r="H1038" s="122" t="s">
        <v>777</v>
      </c>
      <c r="I1038" s="312">
        <v>2024</v>
      </c>
      <c r="J1038" s="122" t="s">
        <v>709</v>
      </c>
      <c r="K1038" s="283">
        <v>5456</v>
      </c>
      <c r="L1038" s="318">
        <v>-33.729225</v>
      </c>
      <c r="M1038" s="318">
        <v>151.122208</v>
      </c>
      <c r="O1038">
        <f>INDEX('MEC - traffic congestion'!$M$145:$M$249,MATCH($D1038,'MEC - traffic congestion'!$C$145:$C$249,0))</f>
        <v>1</v>
      </c>
      <c r="P1038" t="str">
        <f t="shared" si="41"/>
        <v>2024AM PEAK</v>
      </c>
      <c r="Q1038">
        <f t="shared" si="42"/>
        <v>1</v>
      </c>
      <c r="R1038" s="195" t="str">
        <f t="shared" si="43"/>
        <v>2024LIGHT VEHICLES</v>
      </c>
    </row>
    <row r="1039" spans="3:18" x14ac:dyDescent="0.25">
      <c r="C1039" s="294" t="s">
        <v>839</v>
      </c>
      <c r="D1039" s="317">
        <v>53003</v>
      </c>
      <c r="E1039" s="122" t="s">
        <v>812</v>
      </c>
      <c r="F1039" s="122" t="s">
        <v>840</v>
      </c>
      <c r="G1039" s="122" t="s">
        <v>778</v>
      </c>
      <c r="H1039" s="122" t="s">
        <v>777</v>
      </c>
      <c r="I1039" s="312">
        <v>2024</v>
      </c>
      <c r="J1039" s="122" t="s">
        <v>709</v>
      </c>
      <c r="K1039" s="283">
        <v>8493</v>
      </c>
      <c r="L1039" s="318">
        <v>-33.729225</v>
      </c>
      <c r="M1039" s="318">
        <v>151.122208</v>
      </c>
      <c r="O1039">
        <f>INDEX('MEC - traffic congestion'!$M$145:$M$249,MATCH($D1039,'MEC - traffic congestion'!$C$145:$C$249,0))</f>
        <v>1</v>
      </c>
      <c r="P1039" t="str">
        <f t="shared" si="41"/>
        <v>2024AM PEAK</v>
      </c>
      <c r="Q1039">
        <f t="shared" si="42"/>
        <v>1</v>
      </c>
      <c r="R1039" s="195" t="str">
        <f t="shared" si="43"/>
        <v>2024LIGHT VEHICLES</v>
      </c>
    </row>
    <row r="1040" spans="3:18" x14ac:dyDescent="0.25">
      <c r="C1040" s="294" t="s">
        <v>839</v>
      </c>
      <c r="D1040" s="317">
        <v>53003</v>
      </c>
      <c r="E1040" s="122" t="s">
        <v>812</v>
      </c>
      <c r="F1040" s="122" t="s">
        <v>840</v>
      </c>
      <c r="G1040" s="122" t="s">
        <v>776</v>
      </c>
      <c r="H1040" s="122" t="s">
        <v>777</v>
      </c>
      <c r="I1040" s="312">
        <v>2024</v>
      </c>
      <c r="J1040" s="122" t="s">
        <v>710</v>
      </c>
      <c r="K1040" s="283">
        <v>13656</v>
      </c>
      <c r="L1040" s="318">
        <v>-33.729225</v>
      </c>
      <c r="M1040" s="318">
        <v>151.122208</v>
      </c>
      <c r="O1040">
        <f>INDEX('MEC - traffic congestion'!$M$145:$M$249,MATCH($D1040,'MEC - traffic congestion'!$C$145:$C$249,0))</f>
        <v>1</v>
      </c>
      <c r="P1040" t="str">
        <f t="shared" si="41"/>
        <v>2024OFF PEAK</v>
      </c>
      <c r="Q1040">
        <f t="shared" si="42"/>
        <v>1</v>
      </c>
      <c r="R1040" s="195" t="str">
        <f t="shared" si="43"/>
        <v>2024LIGHT VEHICLES</v>
      </c>
    </row>
    <row r="1041" spans="3:18" x14ac:dyDescent="0.25">
      <c r="C1041" s="294" t="s">
        <v>839</v>
      </c>
      <c r="D1041" s="317">
        <v>53003</v>
      </c>
      <c r="E1041" s="122" t="s">
        <v>812</v>
      </c>
      <c r="F1041" s="122" t="s">
        <v>840</v>
      </c>
      <c r="G1041" s="122" t="s">
        <v>778</v>
      </c>
      <c r="H1041" s="122" t="s">
        <v>777</v>
      </c>
      <c r="I1041" s="312">
        <v>2024</v>
      </c>
      <c r="J1041" s="122" t="s">
        <v>710</v>
      </c>
      <c r="K1041" s="283">
        <v>12442</v>
      </c>
      <c r="L1041" s="318">
        <v>-33.729225</v>
      </c>
      <c r="M1041" s="318">
        <v>151.122208</v>
      </c>
      <c r="O1041">
        <f>INDEX('MEC - traffic congestion'!$M$145:$M$249,MATCH($D1041,'MEC - traffic congestion'!$C$145:$C$249,0))</f>
        <v>1</v>
      </c>
      <c r="P1041" t="str">
        <f t="shared" si="41"/>
        <v>2024OFF PEAK</v>
      </c>
      <c r="Q1041">
        <f t="shared" si="42"/>
        <v>1</v>
      </c>
      <c r="R1041" s="195" t="str">
        <f t="shared" si="43"/>
        <v>2024LIGHT VEHICLES</v>
      </c>
    </row>
    <row r="1042" spans="3:18" x14ac:dyDescent="0.25">
      <c r="C1042" s="294" t="s">
        <v>839</v>
      </c>
      <c r="D1042" s="317">
        <v>53003</v>
      </c>
      <c r="E1042" s="122" t="s">
        <v>812</v>
      </c>
      <c r="F1042" s="122" t="s">
        <v>840</v>
      </c>
      <c r="G1042" s="122" t="s">
        <v>776</v>
      </c>
      <c r="H1042" s="122" t="s">
        <v>777</v>
      </c>
      <c r="I1042" s="312">
        <v>2024</v>
      </c>
      <c r="J1042" s="122" t="s">
        <v>711</v>
      </c>
      <c r="K1042" s="283">
        <v>8982</v>
      </c>
      <c r="L1042" s="318">
        <v>-33.729225</v>
      </c>
      <c r="M1042" s="318">
        <v>151.122208</v>
      </c>
      <c r="O1042">
        <f>INDEX('MEC - traffic congestion'!$M$145:$M$249,MATCH($D1042,'MEC - traffic congestion'!$C$145:$C$249,0))</f>
        <v>1</v>
      </c>
      <c r="P1042" t="str">
        <f t="shared" si="41"/>
        <v>2024PM PEAK</v>
      </c>
      <c r="Q1042">
        <f t="shared" si="42"/>
        <v>1</v>
      </c>
      <c r="R1042" s="195" t="str">
        <f t="shared" si="43"/>
        <v>2024LIGHT VEHICLES</v>
      </c>
    </row>
    <row r="1043" spans="3:18" x14ac:dyDescent="0.25">
      <c r="C1043" s="294" t="s">
        <v>839</v>
      </c>
      <c r="D1043" s="317">
        <v>53003</v>
      </c>
      <c r="E1043" s="122" t="s">
        <v>812</v>
      </c>
      <c r="F1043" s="122" t="s">
        <v>840</v>
      </c>
      <c r="G1043" s="122" t="s">
        <v>778</v>
      </c>
      <c r="H1043" s="122" t="s">
        <v>777</v>
      </c>
      <c r="I1043" s="312">
        <v>2024</v>
      </c>
      <c r="J1043" s="122" t="s">
        <v>711</v>
      </c>
      <c r="K1043" s="283">
        <v>6655</v>
      </c>
      <c r="L1043" s="318">
        <v>-33.729225</v>
      </c>
      <c r="M1043" s="318">
        <v>151.122208</v>
      </c>
      <c r="O1043">
        <f>INDEX('MEC - traffic congestion'!$M$145:$M$249,MATCH($D1043,'MEC - traffic congestion'!$C$145:$C$249,0))</f>
        <v>1</v>
      </c>
      <c r="P1043" t="str">
        <f t="shared" si="41"/>
        <v>2024PM PEAK</v>
      </c>
      <c r="Q1043">
        <f t="shared" si="42"/>
        <v>1</v>
      </c>
      <c r="R1043" s="195" t="str">
        <f t="shared" si="43"/>
        <v>2024LIGHT VEHICLES</v>
      </c>
    </row>
    <row r="1044" spans="3:18" x14ac:dyDescent="0.25">
      <c r="C1044" s="294" t="s">
        <v>839</v>
      </c>
      <c r="D1044" s="317">
        <v>53003</v>
      </c>
      <c r="E1044" s="122" t="s">
        <v>812</v>
      </c>
      <c r="F1044" s="122" t="s">
        <v>840</v>
      </c>
      <c r="G1044" s="122" t="s">
        <v>776</v>
      </c>
      <c r="H1044" s="122" t="s">
        <v>777</v>
      </c>
      <c r="I1044" s="312">
        <v>2024</v>
      </c>
      <c r="J1044" s="122" t="s">
        <v>713</v>
      </c>
      <c r="K1044" s="283">
        <v>26979</v>
      </c>
      <c r="L1044" s="318">
        <v>-33.729225</v>
      </c>
      <c r="M1044" s="318">
        <v>151.122208</v>
      </c>
      <c r="O1044">
        <f>INDEX('MEC - traffic congestion'!$M$145:$M$249,MATCH($D1044,'MEC - traffic congestion'!$C$145:$C$249,0))</f>
        <v>1</v>
      </c>
      <c r="P1044" t="str">
        <f t="shared" si="41"/>
        <v>2024WEEKENDS</v>
      </c>
      <c r="Q1044">
        <f t="shared" si="42"/>
        <v>1</v>
      </c>
      <c r="R1044" s="195" t="str">
        <f t="shared" si="43"/>
        <v>2024LIGHT VEHICLES</v>
      </c>
    </row>
    <row r="1045" spans="3:18" x14ac:dyDescent="0.25">
      <c r="C1045" s="294" t="s">
        <v>839</v>
      </c>
      <c r="D1045" s="317">
        <v>53003</v>
      </c>
      <c r="E1045" s="122" t="s">
        <v>812</v>
      </c>
      <c r="F1045" s="122" t="s">
        <v>840</v>
      </c>
      <c r="G1045" s="122" t="s">
        <v>778</v>
      </c>
      <c r="H1045" s="122" t="s">
        <v>777</v>
      </c>
      <c r="I1045" s="312">
        <v>2024</v>
      </c>
      <c r="J1045" s="122" t="s">
        <v>713</v>
      </c>
      <c r="K1045" s="283">
        <v>28142</v>
      </c>
      <c r="L1045" s="318">
        <v>-33.729225</v>
      </c>
      <c r="M1045" s="318">
        <v>151.122208</v>
      </c>
      <c r="O1045">
        <f>INDEX('MEC - traffic congestion'!$M$145:$M$249,MATCH($D1045,'MEC - traffic congestion'!$C$145:$C$249,0))</f>
        <v>1</v>
      </c>
      <c r="P1045" t="str">
        <f t="shared" ref="P1045:P1108" si="44">IF($O1045=1,$I1045&amp;$J1045,"")</f>
        <v>2024WEEKENDS</v>
      </c>
      <c r="Q1045">
        <f t="shared" ref="Q1045:Q1108" si="45">IF(AND($M1045&gt;150.246,AND($L1045&gt;-34.397,$L1045&lt;-32.662)),1,0)</f>
        <v>1</v>
      </c>
      <c r="R1045" s="195" t="str">
        <f t="shared" ref="R1045:R1108" si="46">IF($O1045=1,$I1045&amp;$H1045,"")</f>
        <v>2024LIGHT VEHICLES</v>
      </c>
    </row>
    <row r="1046" spans="3:18" x14ac:dyDescent="0.25">
      <c r="C1046" s="294" t="s">
        <v>841</v>
      </c>
      <c r="D1046" s="317">
        <v>53004</v>
      </c>
      <c r="E1046" s="122" t="s">
        <v>812</v>
      </c>
      <c r="F1046" s="122" t="s">
        <v>842</v>
      </c>
      <c r="G1046" s="122" t="s">
        <v>776</v>
      </c>
      <c r="H1046" s="122" t="s">
        <v>777</v>
      </c>
      <c r="I1046" s="312">
        <v>2018</v>
      </c>
      <c r="J1046" s="122" t="s">
        <v>709</v>
      </c>
      <c r="K1046" s="283">
        <v>4525</v>
      </c>
      <c r="L1046" s="318">
        <v>-33.753169999999997</v>
      </c>
      <c r="M1046" s="318">
        <v>151.15107699999999</v>
      </c>
      <c r="O1046">
        <f>INDEX('MEC - traffic congestion'!$M$145:$M$249,MATCH($D1046,'MEC - traffic congestion'!$C$145:$C$249,0))</f>
        <v>0</v>
      </c>
      <c r="P1046" t="str">
        <f t="shared" si="44"/>
        <v/>
      </c>
      <c r="Q1046">
        <f t="shared" si="45"/>
        <v>1</v>
      </c>
      <c r="R1046" s="195" t="str">
        <f t="shared" si="46"/>
        <v/>
      </c>
    </row>
    <row r="1047" spans="3:18" x14ac:dyDescent="0.25">
      <c r="C1047" s="294" t="s">
        <v>841</v>
      </c>
      <c r="D1047" s="317">
        <v>53004</v>
      </c>
      <c r="E1047" s="122" t="s">
        <v>812</v>
      </c>
      <c r="F1047" s="122" t="s">
        <v>842</v>
      </c>
      <c r="G1047" s="122" t="s">
        <v>778</v>
      </c>
      <c r="H1047" s="122" t="s">
        <v>777</v>
      </c>
      <c r="I1047" s="312">
        <v>2018</v>
      </c>
      <c r="J1047" s="122" t="s">
        <v>709</v>
      </c>
      <c r="K1047" s="283">
        <v>8260</v>
      </c>
      <c r="L1047" s="318">
        <v>-33.753169999999997</v>
      </c>
      <c r="M1047" s="318">
        <v>151.15107699999999</v>
      </c>
      <c r="O1047">
        <f>INDEX('MEC - traffic congestion'!$M$145:$M$249,MATCH($D1047,'MEC - traffic congestion'!$C$145:$C$249,0))</f>
        <v>0</v>
      </c>
      <c r="P1047" t="str">
        <f t="shared" si="44"/>
        <v/>
      </c>
      <c r="Q1047">
        <f t="shared" si="45"/>
        <v>1</v>
      </c>
      <c r="R1047" s="195" t="str">
        <f t="shared" si="46"/>
        <v/>
      </c>
    </row>
    <row r="1048" spans="3:18" x14ac:dyDescent="0.25">
      <c r="C1048" s="294" t="s">
        <v>841</v>
      </c>
      <c r="D1048" s="317">
        <v>53004</v>
      </c>
      <c r="E1048" s="122" t="s">
        <v>812</v>
      </c>
      <c r="F1048" s="122" t="s">
        <v>842</v>
      </c>
      <c r="G1048" s="122" t="s">
        <v>776</v>
      </c>
      <c r="H1048" s="122" t="s">
        <v>777</v>
      </c>
      <c r="I1048" s="312">
        <v>2018</v>
      </c>
      <c r="J1048" s="122" t="s">
        <v>710</v>
      </c>
      <c r="K1048" s="283">
        <v>11505</v>
      </c>
      <c r="L1048" s="318">
        <v>-33.753169999999997</v>
      </c>
      <c r="M1048" s="318">
        <v>151.15107699999999</v>
      </c>
      <c r="O1048">
        <f>INDEX('MEC - traffic congestion'!$M$145:$M$249,MATCH($D1048,'MEC - traffic congestion'!$C$145:$C$249,0))</f>
        <v>0</v>
      </c>
      <c r="P1048" t="str">
        <f t="shared" si="44"/>
        <v/>
      </c>
      <c r="Q1048">
        <f t="shared" si="45"/>
        <v>1</v>
      </c>
      <c r="R1048" s="195" t="str">
        <f t="shared" si="46"/>
        <v/>
      </c>
    </row>
    <row r="1049" spans="3:18" x14ac:dyDescent="0.25">
      <c r="C1049" s="294" t="s">
        <v>841</v>
      </c>
      <c r="D1049" s="317">
        <v>53004</v>
      </c>
      <c r="E1049" s="122" t="s">
        <v>812</v>
      </c>
      <c r="F1049" s="122" t="s">
        <v>842</v>
      </c>
      <c r="G1049" s="122" t="s">
        <v>778</v>
      </c>
      <c r="H1049" s="122" t="s">
        <v>777</v>
      </c>
      <c r="I1049" s="312">
        <v>2018</v>
      </c>
      <c r="J1049" s="122" t="s">
        <v>710</v>
      </c>
      <c r="K1049" s="283">
        <v>10216</v>
      </c>
      <c r="L1049" s="318">
        <v>-33.753169999999997</v>
      </c>
      <c r="M1049" s="318">
        <v>151.15107699999999</v>
      </c>
      <c r="O1049">
        <f>INDEX('MEC - traffic congestion'!$M$145:$M$249,MATCH($D1049,'MEC - traffic congestion'!$C$145:$C$249,0))</f>
        <v>0</v>
      </c>
      <c r="P1049" t="str">
        <f t="shared" si="44"/>
        <v/>
      </c>
      <c r="Q1049">
        <f t="shared" si="45"/>
        <v>1</v>
      </c>
      <c r="R1049" s="195" t="str">
        <f t="shared" si="46"/>
        <v/>
      </c>
    </row>
    <row r="1050" spans="3:18" x14ac:dyDescent="0.25">
      <c r="C1050" s="294" t="s">
        <v>841</v>
      </c>
      <c r="D1050" s="317">
        <v>53004</v>
      </c>
      <c r="E1050" s="122" t="s">
        <v>812</v>
      </c>
      <c r="F1050" s="122" t="s">
        <v>842</v>
      </c>
      <c r="G1050" s="122" t="s">
        <v>776</v>
      </c>
      <c r="H1050" s="122" t="s">
        <v>777</v>
      </c>
      <c r="I1050" s="312">
        <v>2018</v>
      </c>
      <c r="J1050" s="122" t="s">
        <v>711</v>
      </c>
      <c r="K1050" s="283">
        <v>7570</v>
      </c>
      <c r="L1050" s="318">
        <v>-33.753169999999997</v>
      </c>
      <c r="M1050" s="318">
        <v>151.15107699999999</v>
      </c>
      <c r="O1050">
        <f>INDEX('MEC - traffic congestion'!$M$145:$M$249,MATCH($D1050,'MEC - traffic congestion'!$C$145:$C$249,0))</f>
        <v>0</v>
      </c>
      <c r="P1050" t="str">
        <f t="shared" si="44"/>
        <v/>
      </c>
      <c r="Q1050">
        <f t="shared" si="45"/>
        <v>1</v>
      </c>
      <c r="R1050" s="195" t="str">
        <f t="shared" si="46"/>
        <v/>
      </c>
    </row>
    <row r="1051" spans="3:18" x14ac:dyDescent="0.25">
      <c r="C1051" s="294" t="s">
        <v>841</v>
      </c>
      <c r="D1051" s="317">
        <v>53004</v>
      </c>
      <c r="E1051" s="122" t="s">
        <v>812</v>
      </c>
      <c r="F1051" s="122" t="s">
        <v>842</v>
      </c>
      <c r="G1051" s="122" t="s">
        <v>778</v>
      </c>
      <c r="H1051" s="122" t="s">
        <v>777</v>
      </c>
      <c r="I1051" s="312">
        <v>2018</v>
      </c>
      <c r="J1051" s="122" t="s">
        <v>711</v>
      </c>
      <c r="K1051" s="283">
        <v>5446</v>
      </c>
      <c r="L1051" s="318">
        <v>-33.753169999999997</v>
      </c>
      <c r="M1051" s="318">
        <v>151.15107699999999</v>
      </c>
      <c r="O1051">
        <f>INDEX('MEC - traffic congestion'!$M$145:$M$249,MATCH($D1051,'MEC - traffic congestion'!$C$145:$C$249,0))</f>
        <v>0</v>
      </c>
      <c r="P1051" t="str">
        <f t="shared" si="44"/>
        <v/>
      </c>
      <c r="Q1051">
        <f t="shared" si="45"/>
        <v>1</v>
      </c>
      <c r="R1051" s="195" t="str">
        <f t="shared" si="46"/>
        <v/>
      </c>
    </row>
    <row r="1052" spans="3:18" x14ac:dyDescent="0.25">
      <c r="C1052" s="294" t="s">
        <v>841</v>
      </c>
      <c r="D1052" s="317">
        <v>53004</v>
      </c>
      <c r="E1052" s="122" t="s">
        <v>812</v>
      </c>
      <c r="F1052" s="122" t="s">
        <v>842</v>
      </c>
      <c r="G1052" s="122" t="s">
        <v>776</v>
      </c>
      <c r="H1052" s="122" t="s">
        <v>777</v>
      </c>
      <c r="I1052" s="312">
        <v>2018</v>
      </c>
      <c r="J1052" s="122" t="s">
        <v>712</v>
      </c>
      <c r="K1052" s="283">
        <v>17459</v>
      </c>
      <c r="L1052" s="318">
        <v>-33.753169999999997</v>
      </c>
      <c r="M1052" s="318">
        <v>151.15107699999999</v>
      </c>
      <c r="O1052">
        <f>INDEX('MEC - traffic congestion'!$M$145:$M$249,MATCH($D1052,'MEC - traffic congestion'!$C$145:$C$249,0))</f>
        <v>0</v>
      </c>
      <c r="P1052" t="str">
        <f t="shared" si="44"/>
        <v/>
      </c>
      <c r="Q1052">
        <f t="shared" si="45"/>
        <v>1</v>
      </c>
      <c r="R1052" s="195" t="str">
        <f t="shared" si="46"/>
        <v/>
      </c>
    </row>
    <row r="1053" spans="3:18" x14ac:dyDescent="0.25">
      <c r="C1053" s="294" t="s">
        <v>841</v>
      </c>
      <c r="D1053" s="317">
        <v>53004</v>
      </c>
      <c r="E1053" s="122" t="s">
        <v>812</v>
      </c>
      <c r="F1053" s="122" t="s">
        <v>842</v>
      </c>
      <c r="G1053" s="122" t="s">
        <v>778</v>
      </c>
      <c r="H1053" s="122" t="s">
        <v>777</v>
      </c>
      <c r="I1053" s="312">
        <v>2018</v>
      </c>
      <c r="J1053" s="122" t="s">
        <v>712</v>
      </c>
      <c r="K1053" s="283">
        <v>15985</v>
      </c>
      <c r="L1053" s="318">
        <v>-33.753169999999997</v>
      </c>
      <c r="M1053" s="318">
        <v>151.15107699999999</v>
      </c>
      <c r="O1053">
        <f>INDEX('MEC - traffic congestion'!$M$145:$M$249,MATCH($D1053,'MEC - traffic congestion'!$C$145:$C$249,0))</f>
        <v>0</v>
      </c>
      <c r="P1053" t="str">
        <f t="shared" si="44"/>
        <v/>
      </c>
      <c r="Q1053">
        <f t="shared" si="45"/>
        <v>1</v>
      </c>
      <c r="R1053" s="195" t="str">
        <f t="shared" si="46"/>
        <v/>
      </c>
    </row>
    <row r="1054" spans="3:18" x14ac:dyDescent="0.25">
      <c r="C1054" s="294" t="s">
        <v>841</v>
      </c>
      <c r="D1054" s="317">
        <v>53004</v>
      </c>
      <c r="E1054" s="122" t="s">
        <v>812</v>
      </c>
      <c r="F1054" s="122" t="s">
        <v>842</v>
      </c>
      <c r="G1054" s="122" t="s">
        <v>776</v>
      </c>
      <c r="H1054" s="122" t="s">
        <v>777</v>
      </c>
      <c r="I1054" s="312">
        <v>2018</v>
      </c>
      <c r="J1054" s="122" t="s">
        <v>713</v>
      </c>
      <c r="K1054" s="283">
        <v>21420</v>
      </c>
      <c r="L1054" s="318">
        <v>-33.753169999999997</v>
      </c>
      <c r="M1054" s="318">
        <v>151.15107699999999</v>
      </c>
      <c r="O1054">
        <f>INDEX('MEC - traffic congestion'!$M$145:$M$249,MATCH($D1054,'MEC - traffic congestion'!$C$145:$C$249,0))</f>
        <v>0</v>
      </c>
      <c r="P1054" t="str">
        <f t="shared" si="44"/>
        <v/>
      </c>
      <c r="Q1054">
        <f t="shared" si="45"/>
        <v>1</v>
      </c>
      <c r="R1054" s="195" t="str">
        <f t="shared" si="46"/>
        <v/>
      </c>
    </row>
    <row r="1055" spans="3:18" x14ac:dyDescent="0.25">
      <c r="C1055" s="294" t="s">
        <v>841</v>
      </c>
      <c r="D1055" s="317">
        <v>53004</v>
      </c>
      <c r="E1055" s="122" t="s">
        <v>812</v>
      </c>
      <c r="F1055" s="122" t="s">
        <v>842</v>
      </c>
      <c r="G1055" s="122" t="s">
        <v>778</v>
      </c>
      <c r="H1055" s="122" t="s">
        <v>777</v>
      </c>
      <c r="I1055" s="312">
        <v>2018</v>
      </c>
      <c r="J1055" s="122" t="s">
        <v>713</v>
      </c>
      <c r="K1055" s="283">
        <v>21598</v>
      </c>
      <c r="L1055" s="318">
        <v>-33.753169999999997</v>
      </c>
      <c r="M1055" s="318">
        <v>151.15107699999999</v>
      </c>
      <c r="O1055">
        <f>INDEX('MEC - traffic congestion'!$M$145:$M$249,MATCH($D1055,'MEC - traffic congestion'!$C$145:$C$249,0))</f>
        <v>0</v>
      </c>
      <c r="P1055" t="str">
        <f t="shared" si="44"/>
        <v/>
      </c>
      <c r="Q1055">
        <f t="shared" si="45"/>
        <v>1</v>
      </c>
      <c r="R1055" s="195" t="str">
        <f t="shared" si="46"/>
        <v/>
      </c>
    </row>
    <row r="1056" spans="3:18" x14ac:dyDescent="0.25">
      <c r="C1056" s="294" t="s">
        <v>843</v>
      </c>
      <c r="D1056" s="317">
        <v>53005</v>
      </c>
      <c r="E1056" s="122" t="s">
        <v>844</v>
      </c>
      <c r="F1056" s="122" t="s">
        <v>845</v>
      </c>
      <c r="G1056" s="122" t="s">
        <v>776</v>
      </c>
      <c r="H1056" s="122" t="s">
        <v>777</v>
      </c>
      <c r="I1056" s="312">
        <v>2018</v>
      </c>
      <c r="J1056" s="122" t="s">
        <v>709</v>
      </c>
      <c r="K1056" s="283">
        <v>6741</v>
      </c>
      <c r="L1056" s="318">
        <v>-33.763686999999997</v>
      </c>
      <c r="M1056" s="318">
        <v>151.136978</v>
      </c>
      <c r="O1056">
        <f>INDEX('MEC - traffic congestion'!$M$145:$M$249,MATCH($D1056,'MEC - traffic congestion'!$C$145:$C$249,0))</f>
        <v>0</v>
      </c>
      <c r="P1056" t="str">
        <f t="shared" si="44"/>
        <v/>
      </c>
      <c r="Q1056">
        <f t="shared" si="45"/>
        <v>1</v>
      </c>
      <c r="R1056" s="195" t="str">
        <f t="shared" si="46"/>
        <v/>
      </c>
    </row>
    <row r="1057" spans="3:18" x14ac:dyDescent="0.25">
      <c r="C1057" s="294" t="s">
        <v>843</v>
      </c>
      <c r="D1057" s="317">
        <v>53005</v>
      </c>
      <c r="E1057" s="122" t="s">
        <v>844</v>
      </c>
      <c r="F1057" s="122" t="s">
        <v>845</v>
      </c>
      <c r="G1057" s="122" t="s">
        <v>778</v>
      </c>
      <c r="H1057" s="122" t="s">
        <v>777</v>
      </c>
      <c r="I1057" s="312">
        <v>2018</v>
      </c>
      <c r="J1057" s="122" t="s">
        <v>709</v>
      </c>
      <c r="K1057" s="283">
        <v>7328</v>
      </c>
      <c r="L1057" s="318">
        <v>-33.763686999999997</v>
      </c>
      <c r="M1057" s="318">
        <v>151.136978</v>
      </c>
      <c r="O1057">
        <f>INDEX('MEC - traffic congestion'!$M$145:$M$249,MATCH($D1057,'MEC - traffic congestion'!$C$145:$C$249,0))</f>
        <v>0</v>
      </c>
      <c r="P1057" t="str">
        <f t="shared" si="44"/>
        <v/>
      </c>
      <c r="Q1057">
        <f t="shared" si="45"/>
        <v>1</v>
      </c>
      <c r="R1057" s="195" t="str">
        <f t="shared" si="46"/>
        <v/>
      </c>
    </row>
    <row r="1058" spans="3:18" x14ac:dyDescent="0.25">
      <c r="C1058" s="294" t="s">
        <v>843</v>
      </c>
      <c r="D1058" s="317">
        <v>53005</v>
      </c>
      <c r="E1058" s="122" t="s">
        <v>844</v>
      </c>
      <c r="F1058" s="122" t="s">
        <v>845</v>
      </c>
      <c r="G1058" s="122" t="s">
        <v>776</v>
      </c>
      <c r="H1058" s="122" t="s">
        <v>777</v>
      </c>
      <c r="I1058" s="312">
        <v>2018</v>
      </c>
      <c r="J1058" s="122" t="s">
        <v>710</v>
      </c>
      <c r="K1058" s="283">
        <v>13651</v>
      </c>
      <c r="L1058" s="318">
        <v>-33.763686999999997</v>
      </c>
      <c r="M1058" s="318">
        <v>151.136978</v>
      </c>
      <c r="O1058">
        <f>INDEX('MEC - traffic congestion'!$M$145:$M$249,MATCH($D1058,'MEC - traffic congestion'!$C$145:$C$249,0))</f>
        <v>0</v>
      </c>
      <c r="P1058" t="str">
        <f t="shared" si="44"/>
        <v/>
      </c>
      <c r="Q1058">
        <f t="shared" si="45"/>
        <v>1</v>
      </c>
      <c r="R1058" s="195" t="str">
        <f t="shared" si="46"/>
        <v/>
      </c>
    </row>
    <row r="1059" spans="3:18" x14ac:dyDescent="0.25">
      <c r="C1059" s="294" t="s">
        <v>843</v>
      </c>
      <c r="D1059" s="317">
        <v>53005</v>
      </c>
      <c r="E1059" s="122" t="s">
        <v>844</v>
      </c>
      <c r="F1059" s="122" t="s">
        <v>845</v>
      </c>
      <c r="G1059" s="122" t="s">
        <v>778</v>
      </c>
      <c r="H1059" s="122" t="s">
        <v>777</v>
      </c>
      <c r="I1059" s="312">
        <v>2018</v>
      </c>
      <c r="J1059" s="122" t="s">
        <v>710</v>
      </c>
      <c r="K1059" s="283">
        <v>14325</v>
      </c>
      <c r="L1059" s="318">
        <v>-33.763686999999997</v>
      </c>
      <c r="M1059" s="318">
        <v>151.136978</v>
      </c>
      <c r="O1059">
        <f>INDEX('MEC - traffic congestion'!$M$145:$M$249,MATCH($D1059,'MEC - traffic congestion'!$C$145:$C$249,0))</f>
        <v>0</v>
      </c>
      <c r="P1059" t="str">
        <f t="shared" si="44"/>
        <v/>
      </c>
      <c r="Q1059">
        <f t="shared" si="45"/>
        <v>1</v>
      </c>
      <c r="R1059" s="195" t="str">
        <f t="shared" si="46"/>
        <v/>
      </c>
    </row>
    <row r="1060" spans="3:18" x14ac:dyDescent="0.25">
      <c r="C1060" s="294" t="s">
        <v>843</v>
      </c>
      <c r="D1060" s="317">
        <v>53005</v>
      </c>
      <c r="E1060" s="122" t="s">
        <v>844</v>
      </c>
      <c r="F1060" s="122" t="s">
        <v>845</v>
      </c>
      <c r="G1060" s="122" t="s">
        <v>776</v>
      </c>
      <c r="H1060" s="122" t="s">
        <v>777</v>
      </c>
      <c r="I1060" s="312">
        <v>2018</v>
      </c>
      <c r="J1060" s="122" t="s">
        <v>711</v>
      </c>
      <c r="K1060" s="283">
        <v>9059</v>
      </c>
      <c r="L1060" s="318">
        <v>-33.763686999999997</v>
      </c>
      <c r="M1060" s="318">
        <v>151.136978</v>
      </c>
      <c r="O1060">
        <f>INDEX('MEC - traffic congestion'!$M$145:$M$249,MATCH($D1060,'MEC - traffic congestion'!$C$145:$C$249,0))</f>
        <v>0</v>
      </c>
      <c r="P1060" t="str">
        <f t="shared" si="44"/>
        <v/>
      </c>
      <c r="Q1060">
        <f t="shared" si="45"/>
        <v>1</v>
      </c>
      <c r="R1060" s="195" t="str">
        <f t="shared" si="46"/>
        <v/>
      </c>
    </row>
    <row r="1061" spans="3:18" x14ac:dyDescent="0.25">
      <c r="C1061" s="294" t="s">
        <v>843</v>
      </c>
      <c r="D1061" s="317">
        <v>53005</v>
      </c>
      <c r="E1061" s="122" t="s">
        <v>844</v>
      </c>
      <c r="F1061" s="122" t="s">
        <v>845</v>
      </c>
      <c r="G1061" s="122" t="s">
        <v>778</v>
      </c>
      <c r="H1061" s="122" t="s">
        <v>777</v>
      </c>
      <c r="I1061" s="312">
        <v>2018</v>
      </c>
      <c r="J1061" s="122" t="s">
        <v>711</v>
      </c>
      <c r="K1061" s="283">
        <v>7436</v>
      </c>
      <c r="L1061" s="318">
        <v>-33.763686999999997</v>
      </c>
      <c r="M1061" s="318">
        <v>151.136978</v>
      </c>
      <c r="O1061">
        <f>INDEX('MEC - traffic congestion'!$M$145:$M$249,MATCH($D1061,'MEC - traffic congestion'!$C$145:$C$249,0))</f>
        <v>0</v>
      </c>
      <c r="P1061" t="str">
        <f t="shared" si="44"/>
        <v/>
      </c>
      <c r="Q1061">
        <f t="shared" si="45"/>
        <v>1</v>
      </c>
      <c r="R1061" s="195" t="str">
        <f t="shared" si="46"/>
        <v/>
      </c>
    </row>
    <row r="1062" spans="3:18" x14ac:dyDescent="0.25">
      <c r="C1062" s="294" t="s">
        <v>843</v>
      </c>
      <c r="D1062" s="317">
        <v>53005</v>
      </c>
      <c r="E1062" s="122" t="s">
        <v>844</v>
      </c>
      <c r="F1062" s="122" t="s">
        <v>845</v>
      </c>
      <c r="G1062" s="122" t="s">
        <v>776</v>
      </c>
      <c r="H1062" s="122" t="s">
        <v>777</v>
      </c>
      <c r="I1062" s="312">
        <v>2018</v>
      </c>
      <c r="J1062" s="122" t="s">
        <v>712</v>
      </c>
      <c r="K1062" s="283">
        <v>24365</v>
      </c>
      <c r="L1062" s="318">
        <v>-33.763686999999997</v>
      </c>
      <c r="M1062" s="318">
        <v>151.136978</v>
      </c>
      <c r="O1062">
        <f>INDEX('MEC - traffic congestion'!$M$145:$M$249,MATCH($D1062,'MEC - traffic congestion'!$C$145:$C$249,0))</f>
        <v>0</v>
      </c>
      <c r="P1062" t="str">
        <f t="shared" si="44"/>
        <v/>
      </c>
      <c r="Q1062">
        <f t="shared" si="45"/>
        <v>1</v>
      </c>
      <c r="R1062" s="195" t="str">
        <f t="shared" si="46"/>
        <v/>
      </c>
    </row>
    <row r="1063" spans="3:18" x14ac:dyDescent="0.25">
      <c r="C1063" s="294" t="s">
        <v>843</v>
      </c>
      <c r="D1063" s="317">
        <v>53005</v>
      </c>
      <c r="E1063" s="122" t="s">
        <v>844</v>
      </c>
      <c r="F1063" s="122" t="s">
        <v>845</v>
      </c>
      <c r="G1063" s="122" t="s">
        <v>778</v>
      </c>
      <c r="H1063" s="122" t="s">
        <v>777</v>
      </c>
      <c r="I1063" s="312">
        <v>2018</v>
      </c>
      <c r="J1063" s="122" t="s">
        <v>712</v>
      </c>
      <c r="K1063" s="283">
        <v>26871</v>
      </c>
      <c r="L1063" s="318">
        <v>-33.763686999999997</v>
      </c>
      <c r="M1063" s="318">
        <v>151.136978</v>
      </c>
      <c r="O1063">
        <f>INDEX('MEC - traffic congestion'!$M$145:$M$249,MATCH($D1063,'MEC - traffic congestion'!$C$145:$C$249,0))</f>
        <v>0</v>
      </c>
      <c r="P1063" t="str">
        <f t="shared" si="44"/>
        <v/>
      </c>
      <c r="Q1063">
        <f t="shared" si="45"/>
        <v>1</v>
      </c>
      <c r="R1063" s="195" t="str">
        <f t="shared" si="46"/>
        <v/>
      </c>
    </row>
    <row r="1064" spans="3:18" x14ac:dyDescent="0.25">
      <c r="C1064" s="294" t="s">
        <v>843</v>
      </c>
      <c r="D1064" s="317">
        <v>53005</v>
      </c>
      <c r="E1064" s="122" t="s">
        <v>844</v>
      </c>
      <c r="F1064" s="122" t="s">
        <v>845</v>
      </c>
      <c r="G1064" s="122" t="s">
        <v>776</v>
      </c>
      <c r="H1064" s="122" t="s">
        <v>777</v>
      </c>
      <c r="I1064" s="312">
        <v>2018</v>
      </c>
      <c r="J1064" s="122" t="s">
        <v>713</v>
      </c>
      <c r="K1064" s="283">
        <v>26490</v>
      </c>
      <c r="L1064" s="318">
        <v>-33.763686999999997</v>
      </c>
      <c r="M1064" s="318">
        <v>151.136978</v>
      </c>
      <c r="O1064">
        <f>INDEX('MEC - traffic congestion'!$M$145:$M$249,MATCH($D1064,'MEC - traffic congestion'!$C$145:$C$249,0))</f>
        <v>0</v>
      </c>
      <c r="P1064" t="str">
        <f t="shared" si="44"/>
        <v/>
      </c>
      <c r="Q1064">
        <f t="shared" si="45"/>
        <v>1</v>
      </c>
      <c r="R1064" s="195" t="str">
        <f t="shared" si="46"/>
        <v/>
      </c>
    </row>
    <row r="1065" spans="3:18" x14ac:dyDescent="0.25">
      <c r="C1065" s="294" t="s">
        <v>843</v>
      </c>
      <c r="D1065" s="317">
        <v>53005</v>
      </c>
      <c r="E1065" s="122" t="s">
        <v>844</v>
      </c>
      <c r="F1065" s="122" t="s">
        <v>845</v>
      </c>
      <c r="G1065" s="122" t="s">
        <v>778</v>
      </c>
      <c r="H1065" s="122" t="s">
        <v>777</v>
      </c>
      <c r="I1065" s="312">
        <v>2018</v>
      </c>
      <c r="J1065" s="122" t="s">
        <v>713</v>
      </c>
      <c r="K1065" s="283">
        <v>29246</v>
      </c>
      <c r="L1065" s="318">
        <v>-33.763686999999997</v>
      </c>
      <c r="M1065" s="318">
        <v>151.136978</v>
      </c>
      <c r="O1065">
        <f>INDEX('MEC - traffic congestion'!$M$145:$M$249,MATCH($D1065,'MEC - traffic congestion'!$C$145:$C$249,0))</f>
        <v>0</v>
      </c>
      <c r="P1065" t="str">
        <f t="shared" si="44"/>
        <v/>
      </c>
      <c r="Q1065">
        <f t="shared" si="45"/>
        <v>1</v>
      </c>
      <c r="R1065" s="195" t="str">
        <f t="shared" si="46"/>
        <v/>
      </c>
    </row>
    <row r="1066" spans="3:18" x14ac:dyDescent="0.25">
      <c r="C1066" s="294" t="s">
        <v>843</v>
      </c>
      <c r="D1066" s="317">
        <v>53005</v>
      </c>
      <c r="E1066" s="122" t="s">
        <v>844</v>
      </c>
      <c r="F1066" s="122" t="s">
        <v>845</v>
      </c>
      <c r="G1066" s="122" t="s">
        <v>776</v>
      </c>
      <c r="H1066" s="122" t="s">
        <v>777</v>
      </c>
      <c r="I1066" s="312">
        <v>2019</v>
      </c>
      <c r="J1066" s="122" t="s">
        <v>709</v>
      </c>
      <c r="K1066" s="283">
        <v>6721</v>
      </c>
      <c r="L1066" s="318">
        <v>-33.763686999999997</v>
      </c>
      <c r="M1066" s="318">
        <v>151.136978</v>
      </c>
      <c r="O1066">
        <f>INDEX('MEC - traffic congestion'!$M$145:$M$249,MATCH($D1066,'MEC - traffic congestion'!$C$145:$C$249,0))</f>
        <v>0</v>
      </c>
      <c r="P1066" t="str">
        <f t="shared" si="44"/>
        <v/>
      </c>
      <c r="Q1066">
        <f t="shared" si="45"/>
        <v>1</v>
      </c>
      <c r="R1066" s="195" t="str">
        <f t="shared" si="46"/>
        <v/>
      </c>
    </row>
    <row r="1067" spans="3:18" x14ac:dyDescent="0.25">
      <c r="C1067" s="294" t="s">
        <v>843</v>
      </c>
      <c r="D1067" s="317">
        <v>53005</v>
      </c>
      <c r="E1067" s="122" t="s">
        <v>844</v>
      </c>
      <c r="F1067" s="122" t="s">
        <v>845</v>
      </c>
      <c r="G1067" s="122" t="s">
        <v>778</v>
      </c>
      <c r="H1067" s="122" t="s">
        <v>777</v>
      </c>
      <c r="I1067" s="312">
        <v>2019</v>
      </c>
      <c r="J1067" s="122" t="s">
        <v>709</v>
      </c>
      <c r="K1067" s="283">
        <v>7248</v>
      </c>
      <c r="L1067" s="318">
        <v>-33.763686999999997</v>
      </c>
      <c r="M1067" s="318">
        <v>151.136978</v>
      </c>
      <c r="O1067">
        <f>INDEX('MEC - traffic congestion'!$M$145:$M$249,MATCH($D1067,'MEC - traffic congestion'!$C$145:$C$249,0))</f>
        <v>0</v>
      </c>
      <c r="P1067" t="str">
        <f t="shared" si="44"/>
        <v/>
      </c>
      <c r="Q1067">
        <f t="shared" si="45"/>
        <v>1</v>
      </c>
      <c r="R1067" s="195" t="str">
        <f t="shared" si="46"/>
        <v/>
      </c>
    </row>
    <row r="1068" spans="3:18" x14ac:dyDescent="0.25">
      <c r="C1068" s="294" t="s">
        <v>843</v>
      </c>
      <c r="D1068" s="317">
        <v>53005</v>
      </c>
      <c r="E1068" s="122" t="s">
        <v>844</v>
      </c>
      <c r="F1068" s="122" t="s">
        <v>845</v>
      </c>
      <c r="G1068" s="122" t="s">
        <v>776</v>
      </c>
      <c r="H1068" s="122" t="s">
        <v>777</v>
      </c>
      <c r="I1068" s="312">
        <v>2019</v>
      </c>
      <c r="J1068" s="122" t="s">
        <v>710</v>
      </c>
      <c r="K1068" s="283">
        <v>13652</v>
      </c>
      <c r="L1068" s="318">
        <v>-33.763686999999997</v>
      </c>
      <c r="M1068" s="318">
        <v>151.136978</v>
      </c>
      <c r="O1068">
        <f>INDEX('MEC - traffic congestion'!$M$145:$M$249,MATCH($D1068,'MEC - traffic congestion'!$C$145:$C$249,0))</f>
        <v>0</v>
      </c>
      <c r="P1068" t="str">
        <f t="shared" si="44"/>
        <v/>
      </c>
      <c r="Q1068">
        <f t="shared" si="45"/>
        <v>1</v>
      </c>
      <c r="R1068" s="195" t="str">
        <f t="shared" si="46"/>
        <v/>
      </c>
    </row>
    <row r="1069" spans="3:18" x14ac:dyDescent="0.25">
      <c r="C1069" s="294" t="s">
        <v>843</v>
      </c>
      <c r="D1069" s="317">
        <v>53005</v>
      </c>
      <c r="E1069" s="122" t="s">
        <v>844</v>
      </c>
      <c r="F1069" s="122" t="s">
        <v>845</v>
      </c>
      <c r="G1069" s="122" t="s">
        <v>778</v>
      </c>
      <c r="H1069" s="122" t="s">
        <v>777</v>
      </c>
      <c r="I1069" s="312">
        <v>2019</v>
      </c>
      <c r="J1069" s="122" t="s">
        <v>710</v>
      </c>
      <c r="K1069" s="283">
        <v>14544</v>
      </c>
      <c r="L1069" s="318">
        <v>-33.763686999999997</v>
      </c>
      <c r="M1069" s="318">
        <v>151.136978</v>
      </c>
      <c r="O1069">
        <f>INDEX('MEC - traffic congestion'!$M$145:$M$249,MATCH($D1069,'MEC - traffic congestion'!$C$145:$C$249,0))</f>
        <v>0</v>
      </c>
      <c r="P1069" t="str">
        <f t="shared" si="44"/>
        <v/>
      </c>
      <c r="Q1069">
        <f t="shared" si="45"/>
        <v>1</v>
      </c>
      <c r="R1069" s="195" t="str">
        <f t="shared" si="46"/>
        <v/>
      </c>
    </row>
    <row r="1070" spans="3:18" x14ac:dyDescent="0.25">
      <c r="C1070" s="294" t="s">
        <v>843</v>
      </c>
      <c r="D1070" s="317">
        <v>53005</v>
      </c>
      <c r="E1070" s="122" t="s">
        <v>844</v>
      </c>
      <c r="F1070" s="122" t="s">
        <v>845</v>
      </c>
      <c r="G1070" s="122" t="s">
        <v>776</v>
      </c>
      <c r="H1070" s="122" t="s">
        <v>777</v>
      </c>
      <c r="I1070" s="312">
        <v>2019</v>
      </c>
      <c r="J1070" s="122" t="s">
        <v>711</v>
      </c>
      <c r="K1070" s="283">
        <v>8696</v>
      </c>
      <c r="L1070" s="318">
        <v>-33.763686999999997</v>
      </c>
      <c r="M1070" s="318">
        <v>151.136978</v>
      </c>
      <c r="O1070">
        <f>INDEX('MEC - traffic congestion'!$M$145:$M$249,MATCH($D1070,'MEC - traffic congestion'!$C$145:$C$249,0))</f>
        <v>0</v>
      </c>
      <c r="P1070" t="str">
        <f t="shared" si="44"/>
        <v/>
      </c>
      <c r="Q1070">
        <f t="shared" si="45"/>
        <v>1</v>
      </c>
      <c r="R1070" s="195" t="str">
        <f t="shared" si="46"/>
        <v/>
      </c>
    </row>
    <row r="1071" spans="3:18" x14ac:dyDescent="0.25">
      <c r="C1071" s="294" t="s">
        <v>843</v>
      </c>
      <c r="D1071" s="317">
        <v>53005</v>
      </c>
      <c r="E1071" s="122" t="s">
        <v>844</v>
      </c>
      <c r="F1071" s="122" t="s">
        <v>845</v>
      </c>
      <c r="G1071" s="122" t="s">
        <v>778</v>
      </c>
      <c r="H1071" s="122" t="s">
        <v>777</v>
      </c>
      <c r="I1071" s="312">
        <v>2019</v>
      </c>
      <c r="J1071" s="122" t="s">
        <v>711</v>
      </c>
      <c r="K1071" s="283">
        <v>7449</v>
      </c>
      <c r="L1071" s="318">
        <v>-33.763686999999997</v>
      </c>
      <c r="M1071" s="318">
        <v>151.136978</v>
      </c>
      <c r="O1071">
        <f>INDEX('MEC - traffic congestion'!$M$145:$M$249,MATCH($D1071,'MEC - traffic congestion'!$C$145:$C$249,0))</f>
        <v>0</v>
      </c>
      <c r="P1071" t="str">
        <f t="shared" si="44"/>
        <v/>
      </c>
      <c r="Q1071">
        <f t="shared" si="45"/>
        <v>1</v>
      </c>
      <c r="R1071" s="195" t="str">
        <f t="shared" si="46"/>
        <v/>
      </c>
    </row>
    <row r="1072" spans="3:18" x14ac:dyDescent="0.25">
      <c r="C1072" s="294" t="s">
        <v>843</v>
      </c>
      <c r="D1072" s="317">
        <v>53005</v>
      </c>
      <c r="E1072" s="122" t="s">
        <v>844</v>
      </c>
      <c r="F1072" s="122" t="s">
        <v>845</v>
      </c>
      <c r="G1072" s="122" t="s">
        <v>776</v>
      </c>
      <c r="H1072" s="122" t="s">
        <v>777</v>
      </c>
      <c r="I1072" s="312">
        <v>2019</v>
      </c>
      <c r="J1072" s="122" t="s">
        <v>712</v>
      </c>
      <c r="K1072" s="283">
        <v>24242</v>
      </c>
      <c r="L1072" s="318">
        <v>-33.763686999999997</v>
      </c>
      <c r="M1072" s="318">
        <v>151.136978</v>
      </c>
      <c r="O1072">
        <f>INDEX('MEC - traffic congestion'!$M$145:$M$249,MATCH($D1072,'MEC - traffic congestion'!$C$145:$C$249,0))</f>
        <v>0</v>
      </c>
      <c r="P1072" t="str">
        <f t="shared" si="44"/>
        <v/>
      </c>
      <c r="Q1072">
        <f t="shared" si="45"/>
        <v>1</v>
      </c>
      <c r="R1072" s="195" t="str">
        <f t="shared" si="46"/>
        <v/>
      </c>
    </row>
    <row r="1073" spans="3:18" x14ac:dyDescent="0.25">
      <c r="C1073" s="294" t="s">
        <v>843</v>
      </c>
      <c r="D1073" s="317">
        <v>53005</v>
      </c>
      <c r="E1073" s="122" t="s">
        <v>844</v>
      </c>
      <c r="F1073" s="122" t="s">
        <v>845</v>
      </c>
      <c r="G1073" s="122" t="s">
        <v>778</v>
      </c>
      <c r="H1073" s="122" t="s">
        <v>777</v>
      </c>
      <c r="I1073" s="312">
        <v>2019</v>
      </c>
      <c r="J1073" s="122" t="s">
        <v>712</v>
      </c>
      <c r="K1073" s="283">
        <v>26420</v>
      </c>
      <c r="L1073" s="318">
        <v>-33.763686999999997</v>
      </c>
      <c r="M1073" s="318">
        <v>151.136978</v>
      </c>
      <c r="O1073">
        <f>INDEX('MEC - traffic congestion'!$M$145:$M$249,MATCH($D1073,'MEC - traffic congestion'!$C$145:$C$249,0))</f>
        <v>0</v>
      </c>
      <c r="P1073" t="str">
        <f t="shared" si="44"/>
        <v/>
      </c>
      <c r="Q1073">
        <f t="shared" si="45"/>
        <v>1</v>
      </c>
      <c r="R1073" s="195" t="str">
        <f t="shared" si="46"/>
        <v/>
      </c>
    </row>
    <row r="1074" spans="3:18" x14ac:dyDescent="0.25">
      <c r="C1074" s="294" t="s">
        <v>843</v>
      </c>
      <c r="D1074" s="317">
        <v>53005</v>
      </c>
      <c r="E1074" s="122" t="s">
        <v>844</v>
      </c>
      <c r="F1074" s="122" t="s">
        <v>845</v>
      </c>
      <c r="G1074" s="122" t="s">
        <v>776</v>
      </c>
      <c r="H1074" s="122" t="s">
        <v>777</v>
      </c>
      <c r="I1074" s="312">
        <v>2019</v>
      </c>
      <c r="J1074" s="122" t="s">
        <v>713</v>
      </c>
      <c r="K1074" s="283">
        <v>26233</v>
      </c>
      <c r="L1074" s="318">
        <v>-33.763686999999997</v>
      </c>
      <c r="M1074" s="318">
        <v>151.136978</v>
      </c>
      <c r="O1074">
        <f>INDEX('MEC - traffic congestion'!$M$145:$M$249,MATCH($D1074,'MEC - traffic congestion'!$C$145:$C$249,0))</f>
        <v>0</v>
      </c>
      <c r="P1074" t="str">
        <f t="shared" si="44"/>
        <v/>
      </c>
      <c r="Q1074">
        <f t="shared" si="45"/>
        <v>1</v>
      </c>
      <c r="R1074" s="195" t="str">
        <f t="shared" si="46"/>
        <v/>
      </c>
    </row>
    <row r="1075" spans="3:18" x14ac:dyDescent="0.25">
      <c r="C1075" s="294" t="s">
        <v>843</v>
      </c>
      <c r="D1075" s="317">
        <v>53005</v>
      </c>
      <c r="E1075" s="122" t="s">
        <v>844</v>
      </c>
      <c r="F1075" s="122" t="s">
        <v>845</v>
      </c>
      <c r="G1075" s="122" t="s">
        <v>778</v>
      </c>
      <c r="H1075" s="122" t="s">
        <v>777</v>
      </c>
      <c r="I1075" s="312">
        <v>2019</v>
      </c>
      <c r="J1075" s="122" t="s">
        <v>713</v>
      </c>
      <c r="K1075" s="283">
        <v>29506</v>
      </c>
      <c r="L1075" s="318">
        <v>-33.763686999999997</v>
      </c>
      <c r="M1075" s="318">
        <v>151.136978</v>
      </c>
      <c r="O1075">
        <f>INDEX('MEC - traffic congestion'!$M$145:$M$249,MATCH($D1075,'MEC - traffic congestion'!$C$145:$C$249,0))</f>
        <v>0</v>
      </c>
      <c r="P1075" t="str">
        <f t="shared" si="44"/>
        <v/>
      </c>
      <c r="Q1075">
        <f t="shared" si="45"/>
        <v>1</v>
      </c>
      <c r="R1075" s="195" t="str">
        <f t="shared" si="46"/>
        <v/>
      </c>
    </row>
    <row r="1076" spans="3:18" x14ac:dyDescent="0.25">
      <c r="C1076" s="294" t="s">
        <v>843</v>
      </c>
      <c r="D1076" s="317">
        <v>53005</v>
      </c>
      <c r="E1076" s="122" t="s">
        <v>844</v>
      </c>
      <c r="F1076" s="122" t="s">
        <v>845</v>
      </c>
      <c r="G1076" s="122" t="s">
        <v>776</v>
      </c>
      <c r="H1076" s="122" t="s">
        <v>777</v>
      </c>
      <c r="I1076" s="312">
        <v>2020</v>
      </c>
      <c r="J1076" s="122" t="s">
        <v>709</v>
      </c>
      <c r="K1076" s="283">
        <v>5776</v>
      </c>
      <c r="L1076" s="318">
        <v>-33.763686999999997</v>
      </c>
      <c r="M1076" s="318">
        <v>151.136978</v>
      </c>
      <c r="O1076">
        <f>INDEX('MEC - traffic congestion'!$M$145:$M$249,MATCH($D1076,'MEC - traffic congestion'!$C$145:$C$249,0))</f>
        <v>0</v>
      </c>
      <c r="P1076" t="str">
        <f t="shared" si="44"/>
        <v/>
      </c>
      <c r="Q1076">
        <f t="shared" si="45"/>
        <v>1</v>
      </c>
      <c r="R1076" s="195" t="str">
        <f t="shared" si="46"/>
        <v/>
      </c>
    </row>
    <row r="1077" spans="3:18" x14ac:dyDescent="0.25">
      <c r="C1077" s="294" t="s">
        <v>843</v>
      </c>
      <c r="D1077" s="317">
        <v>53005</v>
      </c>
      <c r="E1077" s="122" t="s">
        <v>844</v>
      </c>
      <c r="F1077" s="122" t="s">
        <v>845</v>
      </c>
      <c r="G1077" s="122" t="s">
        <v>778</v>
      </c>
      <c r="H1077" s="122" t="s">
        <v>777</v>
      </c>
      <c r="I1077" s="312">
        <v>2020</v>
      </c>
      <c r="J1077" s="122" t="s">
        <v>709</v>
      </c>
      <c r="K1077" s="283">
        <v>6844</v>
      </c>
      <c r="L1077" s="318">
        <v>-33.763686999999997</v>
      </c>
      <c r="M1077" s="318">
        <v>151.136978</v>
      </c>
      <c r="O1077">
        <f>INDEX('MEC - traffic congestion'!$M$145:$M$249,MATCH($D1077,'MEC - traffic congestion'!$C$145:$C$249,0))</f>
        <v>0</v>
      </c>
      <c r="P1077" t="str">
        <f t="shared" si="44"/>
        <v/>
      </c>
      <c r="Q1077">
        <f t="shared" si="45"/>
        <v>1</v>
      </c>
      <c r="R1077" s="195" t="str">
        <f t="shared" si="46"/>
        <v/>
      </c>
    </row>
    <row r="1078" spans="3:18" x14ac:dyDescent="0.25">
      <c r="C1078" s="294" t="s">
        <v>843</v>
      </c>
      <c r="D1078" s="317">
        <v>53005</v>
      </c>
      <c r="E1078" s="122" t="s">
        <v>844</v>
      </c>
      <c r="F1078" s="122" t="s">
        <v>845</v>
      </c>
      <c r="G1078" s="122" t="s">
        <v>776</v>
      </c>
      <c r="H1078" s="122" t="s">
        <v>777</v>
      </c>
      <c r="I1078" s="312">
        <v>2020</v>
      </c>
      <c r="J1078" s="122" t="s">
        <v>710</v>
      </c>
      <c r="K1078" s="283">
        <v>11297</v>
      </c>
      <c r="L1078" s="318">
        <v>-33.763686999999997</v>
      </c>
      <c r="M1078" s="318">
        <v>151.136978</v>
      </c>
      <c r="O1078">
        <f>INDEX('MEC - traffic congestion'!$M$145:$M$249,MATCH($D1078,'MEC - traffic congestion'!$C$145:$C$249,0))</f>
        <v>0</v>
      </c>
      <c r="P1078" t="str">
        <f t="shared" si="44"/>
        <v/>
      </c>
      <c r="Q1078">
        <f t="shared" si="45"/>
        <v>1</v>
      </c>
      <c r="R1078" s="195" t="str">
        <f t="shared" si="46"/>
        <v/>
      </c>
    </row>
    <row r="1079" spans="3:18" x14ac:dyDescent="0.25">
      <c r="C1079" s="294" t="s">
        <v>843</v>
      </c>
      <c r="D1079" s="317">
        <v>53005</v>
      </c>
      <c r="E1079" s="122" t="s">
        <v>844</v>
      </c>
      <c r="F1079" s="122" t="s">
        <v>845</v>
      </c>
      <c r="G1079" s="122" t="s">
        <v>778</v>
      </c>
      <c r="H1079" s="122" t="s">
        <v>777</v>
      </c>
      <c r="I1079" s="312">
        <v>2020</v>
      </c>
      <c r="J1079" s="122" t="s">
        <v>710</v>
      </c>
      <c r="K1079" s="283">
        <v>12676</v>
      </c>
      <c r="L1079" s="318">
        <v>-33.763686999999997</v>
      </c>
      <c r="M1079" s="318">
        <v>151.136978</v>
      </c>
      <c r="O1079">
        <f>INDEX('MEC - traffic congestion'!$M$145:$M$249,MATCH($D1079,'MEC - traffic congestion'!$C$145:$C$249,0))</f>
        <v>0</v>
      </c>
      <c r="P1079" t="str">
        <f t="shared" si="44"/>
        <v/>
      </c>
      <c r="Q1079">
        <f t="shared" si="45"/>
        <v>1</v>
      </c>
      <c r="R1079" s="195" t="str">
        <f t="shared" si="46"/>
        <v/>
      </c>
    </row>
    <row r="1080" spans="3:18" x14ac:dyDescent="0.25">
      <c r="C1080" s="294" t="s">
        <v>843</v>
      </c>
      <c r="D1080" s="317">
        <v>53005</v>
      </c>
      <c r="E1080" s="122" t="s">
        <v>844</v>
      </c>
      <c r="F1080" s="122" t="s">
        <v>845</v>
      </c>
      <c r="G1080" s="122" t="s">
        <v>776</v>
      </c>
      <c r="H1080" s="122" t="s">
        <v>777</v>
      </c>
      <c r="I1080" s="312">
        <v>2020</v>
      </c>
      <c r="J1080" s="122" t="s">
        <v>711</v>
      </c>
      <c r="K1080" s="283">
        <v>6955</v>
      </c>
      <c r="L1080" s="318">
        <v>-33.763686999999997</v>
      </c>
      <c r="M1080" s="318">
        <v>151.136978</v>
      </c>
      <c r="O1080">
        <f>INDEX('MEC - traffic congestion'!$M$145:$M$249,MATCH($D1080,'MEC - traffic congestion'!$C$145:$C$249,0))</f>
        <v>0</v>
      </c>
      <c r="P1080" t="str">
        <f t="shared" si="44"/>
        <v/>
      </c>
      <c r="Q1080">
        <f t="shared" si="45"/>
        <v>1</v>
      </c>
      <c r="R1080" s="195" t="str">
        <f t="shared" si="46"/>
        <v/>
      </c>
    </row>
    <row r="1081" spans="3:18" x14ac:dyDescent="0.25">
      <c r="C1081" s="294" t="s">
        <v>843</v>
      </c>
      <c r="D1081" s="317">
        <v>53005</v>
      </c>
      <c r="E1081" s="122" t="s">
        <v>844</v>
      </c>
      <c r="F1081" s="122" t="s">
        <v>845</v>
      </c>
      <c r="G1081" s="122" t="s">
        <v>778</v>
      </c>
      <c r="H1081" s="122" t="s">
        <v>777</v>
      </c>
      <c r="I1081" s="312">
        <v>2020</v>
      </c>
      <c r="J1081" s="122" t="s">
        <v>711</v>
      </c>
      <c r="K1081" s="283">
        <v>6950</v>
      </c>
      <c r="L1081" s="318">
        <v>-33.763686999999997</v>
      </c>
      <c r="M1081" s="318">
        <v>151.136978</v>
      </c>
      <c r="O1081">
        <f>INDEX('MEC - traffic congestion'!$M$145:$M$249,MATCH($D1081,'MEC - traffic congestion'!$C$145:$C$249,0))</f>
        <v>0</v>
      </c>
      <c r="P1081" t="str">
        <f t="shared" si="44"/>
        <v/>
      </c>
      <c r="Q1081">
        <f t="shared" si="45"/>
        <v>1</v>
      </c>
      <c r="R1081" s="195" t="str">
        <f t="shared" si="46"/>
        <v/>
      </c>
    </row>
    <row r="1082" spans="3:18" x14ac:dyDescent="0.25">
      <c r="C1082" s="294" t="s">
        <v>843</v>
      </c>
      <c r="D1082" s="317">
        <v>53005</v>
      </c>
      <c r="E1082" s="122" t="s">
        <v>844</v>
      </c>
      <c r="F1082" s="122" t="s">
        <v>845</v>
      </c>
      <c r="G1082" s="122" t="s">
        <v>776</v>
      </c>
      <c r="H1082" s="122" t="s">
        <v>777</v>
      </c>
      <c r="I1082" s="312">
        <v>2020</v>
      </c>
      <c r="J1082" s="122" t="s">
        <v>712</v>
      </c>
      <c r="K1082" s="283">
        <v>15934</v>
      </c>
      <c r="L1082" s="318">
        <v>-33.763686999999997</v>
      </c>
      <c r="M1082" s="318">
        <v>151.136978</v>
      </c>
      <c r="O1082">
        <f>INDEX('MEC - traffic congestion'!$M$145:$M$249,MATCH($D1082,'MEC - traffic congestion'!$C$145:$C$249,0))</f>
        <v>0</v>
      </c>
      <c r="P1082" t="str">
        <f t="shared" si="44"/>
        <v/>
      </c>
      <c r="Q1082">
        <f t="shared" si="45"/>
        <v>1</v>
      </c>
      <c r="R1082" s="195" t="str">
        <f t="shared" si="46"/>
        <v/>
      </c>
    </row>
    <row r="1083" spans="3:18" x14ac:dyDescent="0.25">
      <c r="C1083" s="294" t="s">
        <v>843</v>
      </c>
      <c r="D1083" s="317">
        <v>53005</v>
      </c>
      <c r="E1083" s="122" t="s">
        <v>844</v>
      </c>
      <c r="F1083" s="122" t="s">
        <v>845</v>
      </c>
      <c r="G1083" s="122" t="s">
        <v>778</v>
      </c>
      <c r="H1083" s="122" t="s">
        <v>777</v>
      </c>
      <c r="I1083" s="312">
        <v>2020</v>
      </c>
      <c r="J1083" s="122" t="s">
        <v>712</v>
      </c>
      <c r="K1083" s="283">
        <v>17890</v>
      </c>
      <c r="L1083" s="318">
        <v>-33.763686999999997</v>
      </c>
      <c r="M1083" s="318">
        <v>151.136978</v>
      </c>
      <c r="O1083">
        <f>INDEX('MEC - traffic congestion'!$M$145:$M$249,MATCH($D1083,'MEC - traffic congestion'!$C$145:$C$249,0))</f>
        <v>0</v>
      </c>
      <c r="P1083" t="str">
        <f t="shared" si="44"/>
        <v/>
      </c>
      <c r="Q1083">
        <f t="shared" si="45"/>
        <v>1</v>
      </c>
      <c r="R1083" s="195" t="str">
        <f t="shared" si="46"/>
        <v/>
      </c>
    </row>
    <row r="1084" spans="3:18" x14ac:dyDescent="0.25">
      <c r="C1084" s="294" t="s">
        <v>843</v>
      </c>
      <c r="D1084" s="317">
        <v>53005</v>
      </c>
      <c r="E1084" s="122" t="s">
        <v>844</v>
      </c>
      <c r="F1084" s="122" t="s">
        <v>845</v>
      </c>
      <c r="G1084" s="122" t="s">
        <v>776</v>
      </c>
      <c r="H1084" s="122" t="s">
        <v>777</v>
      </c>
      <c r="I1084" s="312">
        <v>2020</v>
      </c>
      <c r="J1084" s="122" t="s">
        <v>713</v>
      </c>
      <c r="K1084" s="283">
        <v>21359</v>
      </c>
      <c r="L1084" s="318">
        <v>-33.763686999999997</v>
      </c>
      <c r="M1084" s="318">
        <v>151.136978</v>
      </c>
      <c r="O1084">
        <f>INDEX('MEC - traffic congestion'!$M$145:$M$249,MATCH($D1084,'MEC - traffic congestion'!$C$145:$C$249,0))</f>
        <v>0</v>
      </c>
      <c r="P1084" t="str">
        <f t="shared" si="44"/>
        <v/>
      </c>
      <c r="Q1084">
        <f t="shared" si="45"/>
        <v>1</v>
      </c>
      <c r="R1084" s="195" t="str">
        <f t="shared" si="46"/>
        <v/>
      </c>
    </row>
    <row r="1085" spans="3:18" x14ac:dyDescent="0.25">
      <c r="C1085" s="294" t="s">
        <v>843</v>
      </c>
      <c r="D1085" s="317">
        <v>53005</v>
      </c>
      <c r="E1085" s="122" t="s">
        <v>844</v>
      </c>
      <c r="F1085" s="122" t="s">
        <v>845</v>
      </c>
      <c r="G1085" s="122" t="s">
        <v>778</v>
      </c>
      <c r="H1085" s="122" t="s">
        <v>777</v>
      </c>
      <c r="I1085" s="312">
        <v>2020</v>
      </c>
      <c r="J1085" s="122" t="s">
        <v>713</v>
      </c>
      <c r="K1085" s="283">
        <v>24757</v>
      </c>
      <c r="L1085" s="318">
        <v>-33.763686999999997</v>
      </c>
      <c r="M1085" s="318">
        <v>151.136978</v>
      </c>
      <c r="O1085">
        <f>INDEX('MEC - traffic congestion'!$M$145:$M$249,MATCH($D1085,'MEC - traffic congestion'!$C$145:$C$249,0))</f>
        <v>0</v>
      </c>
      <c r="P1085" t="str">
        <f t="shared" si="44"/>
        <v/>
      </c>
      <c r="Q1085">
        <f t="shared" si="45"/>
        <v>1</v>
      </c>
      <c r="R1085" s="195" t="str">
        <f t="shared" si="46"/>
        <v/>
      </c>
    </row>
    <row r="1086" spans="3:18" x14ac:dyDescent="0.25">
      <c r="C1086" s="294" t="s">
        <v>843</v>
      </c>
      <c r="D1086" s="317">
        <v>53005</v>
      </c>
      <c r="E1086" s="122" t="s">
        <v>844</v>
      </c>
      <c r="F1086" s="122" t="s">
        <v>845</v>
      </c>
      <c r="G1086" s="122" t="s">
        <v>776</v>
      </c>
      <c r="H1086" s="122" t="s">
        <v>777</v>
      </c>
      <c r="I1086" s="312">
        <v>2021</v>
      </c>
      <c r="J1086" s="122" t="s">
        <v>709</v>
      </c>
      <c r="K1086" s="283">
        <v>5991</v>
      </c>
      <c r="L1086" s="318">
        <v>-33.763686999999997</v>
      </c>
      <c r="M1086" s="318">
        <v>151.136978</v>
      </c>
      <c r="O1086">
        <f>INDEX('MEC - traffic congestion'!$M$145:$M$249,MATCH($D1086,'MEC - traffic congestion'!$C$145:$C$249,0))</f>
        <v>0</v>
      </c>
      <c r="P1086" t="str">
        <f t="shared" si="44"/>
        <v/>
      </c>
      <c r="Q1086">
        <f t="shared" si="45"/>
        <v>1</v>
      </c>
      <c r="R1086" s="195" t="str">
        <f t="shared" si="46"/>
        <v/>
      </c>
    </row>
    <row r="1087" spans="3:18" x14ac:dyDescent="0.25">
      <c r="C1087" s="294" t="s">
        <v>843</v>
      </c>
      <c r="D1087" s="317">
        <v>53005</v>
      </c>
      <c r="E1087" s="122" t="s">
        <v>844</v>
      </c>
      <c r="F1087" s="122" t="s">
        <v>845</v>
      </c>
      <c r="G1087" s="122" t="s">
        <v>778</v>
      </c>
      <c r="H1087" s="122" t="s">
        <v>777</v>
      </c>
      <c r="I1087" s="312">
        <v>2021</v>
      </c>
      <c r="J1087" s="122" t="s">
        <v>709</v>
      </c>
      <c r="K1087" s="283">
        <v>6583</v>
      </c>
      <c r="L1087" s="318">
        <v>-33.763686999999997</v>
      </c>
      <c r="M1087" s="318">
        <v>151.136978</v>
      </c>
      <c r="O1087">
        <f>INDEX('MEC - traffic congestion'!$M$145:$M$249,MATCH($D1087,'MEC - traffic congestion'!$C$145:$C$249,0))</f>
        <v>0</v>
      </c>
      <c r="P1087" t="str">
        <f t="shared" si="44"/>
        <v/>
      </c>
      <c r="Q1087">
        <f t="shared" si="45"/>
        <v>1</v>
      </c>
      <c r="R1087" s="195" t="str">
        <f t="shared" si="46"/>
        <v/>
      </c>
    </row>
    <row r="1088" spans="3:18" x14ac:dyDescent="0.25">
      <c r="C1088" s="294" t="s">
        <v>843</v>
      </c>
      <c r="D1088" s="317">
        <v>53005</v>
      </c>
      <c r="E1088" s="122" t="s">
        <v>844</v>
      </c>
      <c r="F1088" s="122" t="s">
        <v>845</v>
      </c>
      <c r="G1088" s="122" t="s">
        <v>776</v>
      </c>
      <c r="H1088" s="122" t="s">
        <v>777</v>
      </c>
      <c r="I1088" s="312">
        <v>2021</v>
      </c>
      <c r="J1088" s="122" t="s">
        <v>710</v>
      </c>
      <c r="K1088" s="283">
        <v>11356</v>
      </c>
      <c r="L1088" s="318">
        <v>-33.763686999999997</v>
      </c>
      <c r="M1088" s="318">
        <v>151.136978</v>
      </c>
      <c r="O1088">
        <f>INDEX('MEC - traffic congestion'!$M$145:$M$249,MATCH($D1088,'MEC - traffic congestion'!$C$145:$C$249,0))</f>
        <v>0</v>
      </c>
      <c r="P1088" t="str">
        <f t="shared" si="44"/>
        <v/>
      </c>
      <c r="Q1088">
        <f t="shared" si="45"/>
        <v>1</v>
      </c>
      <c r="R1088" s="195" t="str">
        <f t="shared" si="46"/>
        <v/>
      </c>
    </row>
    <row r="1089" spans="3:18" x14ac:dyDescent="0.25">
      <c r="C1089" s="294" t="s">
        <v>843</v>
      </c>
      <c r="D1089" s="317">
        <v>53005</v>
      </c>
      <c r="E1089" s="122" t="s">
        <v>844</v>
      </c>
      <c r="F1089" s="122" t="s">
        <v>845</v>
      </c>
      <c r="G1089" s="122" t="s">
        <v>778</v>
      </c>
      <c r="H1089" s="122" t="s">
        <v>777</v>
      </c>
      <c r="I1089" s="312">
        <v>2021</v>
      </c>
      <c r="J1089" s="122" t="s">
        <v>710</v>
      </c>
      <c r="K1089" s="283">
        <v>11706</v>
      </c>
      <c r="L1089" s="318">
        <v>-33.763686999999997</v>
      </c>
      <c r="M1089" s="318">
        <v>151.136978</v>
      </c>
      <c r="O1089">
        <f>INDEX('MEC - traffic congestion'!$M$145:$M$249,MATCH($D1089,'MEC - traffic congestion'!$C$145:$C$249,0))</f>
        <v>0</v>
      </c>
      <c r="P1089" t="str">
        <f t="shared" si="44"/>
        <v/>
      </c>
      <c r="Q1089">
        <f t="shared" si="45"/>
        <v>1</v>
      </c>
      <c r="R1089" s="195" t="str">
        <f t="shared" si="46"/>
        <v/>
      </c>
    </row>
    <row r="1090" spans="3:18" x14ac:dyDescent="0.25">
      <c r="C1090" s="294" t="s">
        <v>843</v>
      </c>
      <c r="D1090" s="317">
        <v>53005</v>
      </c>
      <c r="E1090" s="122" t="s">
        <v>844</v>
      </c>
      <c r="F1090" s="122" t="s">
        <v>845</v>
      </c>
      <c r="G1090" s="122" t="s">
        <v>776</v>
      </c>
      <c r="H1090" s="122" t="s">
        <v>777</v>
      </c>
      <c r="I1090" s="312">
        <v>2021</v>
      </c>
      <c r="J1090" s="122" t="s">
        <v>711</v>
      </c>
      <c r="K1090" s="283">
        <v>7083</v>
      </c>
      <c r="L1090" s="318">
        <v>-33.763686999999997</v>
      </c>
      <c r="M1090" s="318">
        <v>151.136978</v>
      </c>
      <c r="O1090">
        <f>INDEX('MEC - traffic congestion'!$M$145:$M$249,MATCH($D1090,'MEC - traffic congestion'!$C$145:$C$249,0))</f>
        <v>0</v>
      </c>
      <c r="P1090" t="str">
        <f t="shared" si="44"/>
        <v/>
      </c>
      <c r="Q1090">
        <f t="shared" si="45"/>
        <v>1</v>
      </c>
      <c r="R1090" s="195" t="str">
        <f t="shared" si="46"/>
        <v/>
      </c>
    </row>
    <row r="1091" spans="3:18" x14ac:dyDescent="0.25">
      <c r="C1091" s="294" t="s">
        <v>843</v>
      </c>
      <c r="D1091" s="317">
        <v>53005</v>
      </c>
      <c r="E1091" s="122" t="s">
        <v>844</v>
      </c>
      <c r="F1091" s="122" t="s">
        <v>845</v>
      </c>
      <c r="G1091" s="122" t="s">
        <v>778</v>
      </c>
      <c r="H1091" s="122" t="s">
        <v>777</v>
      </c>
      <c r="I1091" s="312">
        <v>2021</v>
      </c>
      <c r="J1091" s="122" t="s">
        <v>711</v>
      </c>
      <c r="K1091" s="283">
        <v>6766</v>
      </c>
      <c r="L1091" s="318">
        <v>-33.763686999999997</v>
      </c>
      <c r="M1091" s="318">
        <v>151.136978</v>
      </c>
      <c r="O1091">
        <f>INDEX('MEC - traffic congestion'!$M$145:$M$249,MATCH($D1091,'MEC - traffic congestion'!$C$145:$C$249,0))</f>
        <v>0</v>
      </c>
      <c r="P1091" t="str">
        <f t="shared" si="44"/>
        <v/>
      </c>
      <c r="Q1091">
        <f t="shared" si="45"/>
        <v>1</v>
      </c>
      <c r="R1091" s="195" t="str">
        <f t="shared" si="46"/>
        <v/>
      </c>
    </row>
    <row r="1092" spans="3:18" x14ac:dyDescent="0.25">
      <c r="C1092" s="294" t="s">
        <v>843</v>
      </c>
      <c r="D1092" s="317">
        <v>53005</v>
      </c>
      <c r="E1092" s="122" t="s">
        <v>844</v>
      </c>
      <c r="F1092" s="122" t="s">
        <v>845</v>
      </c>
      <c r="G1092" s="122" t="s">
        <v>776</v>
      </c>
      <c r="H1092" s="122" t="s">
        <v>777</v>
      </c>
      <c r="I1092" s="312">
        <v>2021</v>
      </c>
      <c r="J1092" s="122" t="s">
        <v>713</v>
      </c>
      <c r="K1092" s="283">
        <v>21246</v>
      </c>
      <c r="L1092" s="318">
        <v>-33.763686999999997</v>
      </c>
      <c r="M1092" s="318">
        <v>151.136978</v>
      </c>
      <c r="O1092">
        <f>INDEX('MEC - traffic congestion'!$M$145:$M$249,MATCH($D1092,'MEC - traffic congestion'!$C$145:$C$249,0))</f>
        <v>0</v>
      </c>
      <c r="P1092" t="str">
        <f t="shared" si="44"/>
        <v/>
      </c>
      <c r="Q1092">
        <f t="shared" si="45"/>
        <v>1</v>
      </c>
      <c r="R1092" s="195" t="str">
        <f t="shared" si="46"/>
        <v/>
      </c>
    </row>
    <row r="1093" spans="3:18" x14ac:dyDescent="0.25">
      <c r="C1093" s="294" t="s">
        <v>843</v>
      </c>
      <c r="D1093" s="317">
        <v>53005</v>
      </c>
      <c r="E1093" s="122" t="s">
        <v>844</v>
      </c>
      <c r="F1093" s="122" t="s">
        <v>845</v>
      </c>
      <c r="G1093" s="122" t="s">
        <v>778</v>
      </c>
      <c r="H1093" s="122" t="s">
        <v>777</v>
      </c>
      <c r="I1093" s="312">
        <v>2021</v>
      </c>
      <c r="J1093" s="122" t="s">
        <v>713</v>
      </c>
      <c r="K1093" s="283">
        <v>22575</v>
      </c>
      <c r="L1093" s="318">
        <v>-33.763686999999997</v>
      </c>
      <c r="M1093" s="318">
        <v>151.136978</v>
      </c>
      <c r="O1093">
        <f>INDEX('MEC - traffic congestion'!$M$145:$M$249,MATCH($D1093,'MEC - traffic congestion'!$C$145:$C$249,0))</f>
        <v>0</v>
      </c>
      <c r="P1093" t="str">
        <f t="shared" si="44"/>
        <v/>
      </c>
      <c r="Q1093">
        <f t="shared" si="45"/>
        <v>1</v>
      </c>
      <c r="R1093" s="195" t="str">
        <f t="shared" si="46"/>
        <v/>
      </c>
    </row>
    <row r="1094" spans="3:18" x14ac:dyDescent="0.25">
      <c r="C1094" s="294" t="s">
        <v>843</v>
      </c>
      <c r="D1094" s="317">
        <v>53005</v>
      </c>
      <c r="E1094" s="122" t="s">
        <v>844</v>
      </c>
      <c r="F1094" s="122" t="s">
        <v>845</v>
      </c>
      <c r="G1094" s="122" t="s">
        <v>776</v>
      </c>
      <c r="H1094" s="122" t="s">
        <v>777</v>
      </c>
      <c r="I1094" s="312">
        <v>2022</v>
      </c>
      <c r="J1094" s="122" t="s">
        <v>709</v>
      </c>
      <c r="K1094" s="283">
        <v>6400</v>
      </c>
      <c r="L1094" s="318">
        <v>-33.763686999999997</v>
      </c>
      <c r="M1094" s="318">
        <v>151.136978</v>
      </c>
      <c r="O1094">
        <f>INDEX('MEC - traffic congestion'!$M$145:$M$249,MATCH($D1094,'MEC - traffic congestion'!$C$145:$C$249,0))</f>
        <v>0</v>
      </c>
      <c r="P1094" t="str">
        <f t="shared" si="44"/>
        <v/>
      </c>
      <c r="Q1094">
        <f t="shared" si="45"/>
        <v>1</v>
      </c>
      <c r="R1094" s="195" t="str">
        <f t="shared" si="46"/>
        <v/>
      </c>
    </row>
    <row r="1095" spans="3:18" x14ac:dyDescent="0.25">
      <c r="C1095" s="294" t="s">
        <v>843</v>
      </c>
      <c r="D1095" s="317">
        <v>53005</v>
      </c>
      <c r="E1095" s="122" t="s">
        <v>844</v>
      </c>
      <c r="F1095" s="122" t="s">
        <v>845</v>
      </c>
      <c r="G1095" s="122" t="s">
        <v>778</v>
      </c>
      <c r="H1095" s="122" t="s">
        <v>777</v>
      </c>
      <c r="I1095" s="312">
        <v>2022</v>
      </c>
      <c r="J1095" s="122" t="s">
        <v>709</v>
      </c>
      <c r="K1095" s="283">
        <v>6843</v>
      </c>
      <c r="L1095" s="318">
        <v>-33.763686999999997</v>
      </c>
      <c r="M1095" s="318">
        <v>151.136978</v>
      </c>
      <c r="O1095">
        <f>INDEX('MEC - traffic congestion'!$M$145:$M$249,MATCH($D1095,'MEC - traffic congestion'!$C$145:$C$249,0))</f>
        <v>0</v>
      </c>
      <c r="P1095" t="str">
        <f t="shared" si="44"/>
        <v/>
      </c>
      <c r="Q1095">
        <f t="shared" si="45"/>
        <v>1</v>
      </c>
      <c r="R1095" s="195" t="str">
        <f t="shared" si="46"/>
        <v/>
      </c>
    </row>
    <row r="1096" spans="3:18" x14ac:dyDescent="0.25">
      <c r="C1096" s="294" t="s">
        <v>843</v>
      </c>
      <c r="D1096" s="317">
        <v>53005</v>
      </c>
      <c r="E1096" s="122" t="s">
        <v>844</v>
      </c>
      <c r="F1096" s="122" t="s">
        <v>845</v>
      </c>
      <c r="G1096" s="122" t="s">
        <v>776</v>
      </c>
      <c r="H1096" s="122" t="s">
        <v>777</v>
      </c>
      <c r="I1096" s="312">
        <v>2022</v>
      </c>
      <c r="J1096" s="122" t="s">
        <v>710</v>
      </c>
      <c r="K1096" s="283">
        <v>11546</v>
      </c>
      <c r="L1096" s="318">
        <v>-33.763686999999997</v>
      </c>
      <c r="M1096" s="318">
        <v>151.136978</v>
      </c>
      <c r="O1096">
        <f>INDEX('MEC - traffic congestion'!$M$145:$M$249,MATCH($D1096,'MEC - traffic congestion'!$C$145:$C$249,0))</f>
        <v>0</v>
      </c>
      <c r="P1096" t="str">
        <f t="shared" si="44"/>
        <v/>
      </c>
      <c r="Q1096">
        <f t="shared" si="45"/>
        <v>1</v>
      </c>
      <c r="R1096" s="195" t="str">
        <f t="shared" si="46"/>
        <v/>
      </c>
    </row>
    <row r="1097" spans="3:18" x14ac:dyDescent="0.25">
      <c r="C1097" s="294" t="s">
        <v>843</v>
      </c>
      <c r="D1097" s="317">
        <v>53005</v>
      </c>
      <c r="E1097" s="122" t="s">
        <v>844</v>
      </c>
      <c r="F1097" s="122" t="s">
        <v>845</v>
      </c>
      <c r="G1097" s="122" t="s">
        <v>778</v>
      </c>
      <c r="H1097" s="122" t="s">
        <v>777</v>
      </c>
      <c r="I1097" s="312">
        <v>2022</v>
      </c>
      <c r="J1097" s="122" t="s">
        <v>710</v>
      </c>
      <c r="K1097" s="283">
        <v>12125</v>
      </c>
      <c r="L1097" s="318">
        <v>-33.763686999999997</v>
      </c>
      <c r="M1097" s="318">
        <v>151.136978</v>
      </c>
      <c r="O1097">
        <f>INDEX('MEC - traffic congestion'!$M$145:$M$249,MATCH($D1097,'MEC - traffic congestion'!$C$145:$C$249,0))</f>
        <v>0</v>
      </c>
      <c r="P1097" t="str">
        <f t="shared" si="44"/>
        <v/>
      </c>
      <c r="Q1097">
        <f t="shared" si="45"/>
        <v>1</v>
      </c>
      <c r="R1097" s="195" t="str">
        <f t="shared" si="46"/>
        <v/>
      </c>
    </row>
    <row r="1098" spans="3:18" x14ac:dyDescent="0.25">
      <c r="C1098" s="294" t="s">
        <v>843</v>
      </c>
      <c r="D1098" s="317">
        <v>53005</v>
      </c>
      <c r="E1098" s="122" t="s">
        <v>844</v>
      </c>
      <c r="F1098" s="122" t="s">
        <v>845</v>
      </c>
      <c r="G1098" s="122" t="s">
        <v>776</v>
      </c>
      <c r="H1098" s="122" t="s">
        <v>777</v>
      </c>
      <c r="I1098" s="312">
        <v>2022</v>
      </c>
      <c r="J1098" s="122" t="s">
        <v>711</v>
      </c>
      <c r="K1098" s="283">
        <v>7186</v>
      </c>
      <c r="L1098" s="318">
        <v>-33.763686999999997</v>
      </c>
      <c r="M1098" s="318">
        <v>151.136978</v>
      </c>
      <c r="O1098">
        <f>INDEX('MEC - traffic congestion'!$M$145:$M$249,MATCH($D1098,'MEC - traffic congestion'!$C$145:$C$249,0))</f>
        <v>0</v>
      </c>
      <c r="P1098" t="str">
        <f t="shared" si="44"/>
        <v/>
      </c>
      <c r="Q1098">
        <f t="shared" si="45"/>
        <v>1</v>
      </c>
      <c r="R1098" s="195" t="str">
        <f t="shared" si="46"/>
        <v/>
      </c>
    </row>
    <row r="1099" spans="3:18" x14ac:dyDescent="0.25">
      <c r="C1099" s="294" t="s">
        <v>843</v>
      </c>
      <c r="D1099" s="317">
        <v>53005</v>
      </c>
      <c r="E1099" s="122" t="s">
        <v>844</v>
      </c>
      <c r="F1099" s="122" t="s">
        <v>845</v>
      </c>
      <c r="G1099" s="122" t="s">
        <v>778</v>
      </c>
      <c r="H1099" s="122" t="s">
        <v>777</v>
      </c>
      <c r="I1099" s="312">
        <v>2022</v>
      </c>
      <c r="J1099" s="122" t="s">
        <v>711</v>
      </c>
      <c r="K1099" s="283">
        <v>7057</v>
      </c>
      <c r="L1099" s="318">
        <v>-33.763686999999997</v>
      </c>
      <c r="M1099" s="318">
        <v>151.136978</v>
      </c>
      <c r="O1099">
        <f>INDEX('MEC - traffic congestion'!$M$145:$M$249,MATCH($D1099,'MEC - traffic congestion'!$C$145:$C$249,0))</f>
        <v>0</v>
      </c>
      <c r="P1099" t="str">
        <f t="shared" si="44"/>
        <v/>
      </c>
      <c r="Q1099">
        <f t="shared" si="45"/>
        <v>1</v>
      </c>
      <c r="R1099" s="195" t="str">
        <f t="shared" si="46"/>
        <v/>
      </c>
    </row>
    <row r="1100" spans="3:18" x14ac:dyDescent="0.25">
      <c r="C1100" s="294" t="s">
        <v>843</v>
      </c>
      <c r="D1100" s="317">
        <v>53005</v>
      </c>
      <c r="E1100" s="122" t="s">
        <v>844</v>
      </c>
      <c r="F1100" s="122" t="s">
        <v>845</v>
      </c>
      <c r="G1100" s="122" t="s">
        <v>776</v>
      </c>
      <c r="H1100" s="122" t="s">
        <v>777</v>
      </c>
      <c r="I1100" s="312">
        <v>2022</v>
      </c>
      <c r="J1100" s="122" t="s">
        <v>713</v>
      </c>
      <c r="K1100" s="283">
        <v>23729</v>
      </c>
      <c r="L1100" s="318">
        <v>-33.763686999999997</v>
      </c>
      <c r="M1100" s="318">
        <v>151.136978</v>
      </c>
      <c r="O1100">
        <f>INDEX('MEC - traffic congestion'!$M$145:$M$249,MATCH($D1100,'MEC - traffic congestion'!$C$145:$C$249,0))</f>
        <v>0</v>
      </c>
      <c r="P1100" t="str">
        <f t="shared" si="44"/>
        <v/>
      </c>
      <c r="Q1100">
        <f t="shared" si="45"/>
        <v>1</v>
      </c>
      <c r="R1100" s="195" t="str">
        <f t="shared" si="46"/>
        <v/>
      </c>
    </row>
    <row r="1101" spans="3:18" x14ac:dyDescent="0.25">
      <c r="C1101" s="294" t="s">
        <v>843</v>
      </c>
      <c r="D1101" s="317">
        <v>53005</v>
      </c>
      <c r="E1101" s="122" t="s">
        <v>844</v>
      </c>
      <c r="F1101" s="122" t="s">
        <v>845</v>
      </c>
      <c r="G1101" s="122" t="s">
        <v>778</v>
      </c>
      <c r="H1101" s="122" t="s">
        <v>777</v>
      </c>
      <c r="I1101" s="312">
        <v>2022</v>
      </c>
      <c r="J1101" s="122" t="s">
        <v>713</v>
      </c>
      <c r="K1101" s="283">
        <v>25683</v>
      </c>
      <c r="L1101" s="318">
        <v>-33.763686999999997</v>
      </c>
      <c r="M1101" s="318">
        <v>151.136978</v>
      </c>
      <c r="O1101">
        <f>INDEX('MEC - traffic congestion'!$M$145:$M$249,MATCH($D1101,'MEC - traffic congestion'!$C$145:$C$249,0))</f>
        <v>0</v>
      </c>
      <c r="P1101" t="str">
        <f t="shared" si="44"/>
        <v/>
      </c>
      <c r="Q1101">
        <f t="shared" si="45"/>
        <v>1</v>
      </c>
      <c r="R1101" s="195" t="str">
        <f t="shared" si="46"/>
        <v/>
      </c>
    </row>
    <row r="1102" spans="3:18" x14ac:dyDescent="0.25">
      <c r="C1102" s="294" t="s">
        <v>843</v>
      </c>
      <c r="D1102" s="317">
        <v>53005</v>
      </c>
      <c r="E1102" s="122" t="s">
        <v>844</v>
      </c>
      <c r="F1102" s="122" t="s">
        <v>845</v>
      </c>
      <c r="G1102" s="122" t="s">
        <v>776</v>
      </c>
      <c r="H1102" s="122" t="s">
        <v>777</v>
      </c>
      <c r="I1102" s="312">
        <v>2024</v>
      </c>
      <c r="J1102" s="122" t="s">
        <v>709</v>
      </c>
      <c r="K1102" s="283">
        <v>5464</v>
      </c>
      <c r="L1102" s="318">
        <v>-33.763686999999997</v>
      </c>
      <c r="M1102" s="318">
        <v>151.136978</v>
      </c>
      <c r="O1102">
        <f>INDEX('MEC - traffic congestion'!$M$145:$M$249,MATCH($D1102,'MEC - traffic congestion'!$C$145:$C$249,0))</f>
        <v>0</v>
      </c>
      <c r="P1102" t="str">
        <f t="shared" si="44"/>
        <v/>
      </c>
      <c r="Q1102">
        <f t="shared" si="45"/>
        <v>1</v>
      </c>
      <c r="R1102" s="195" t="str">
        <f t="shared" si="46"/>
        <v/>
      </c>
    </row>
    <row r="1103" spans="3:18" x14ac:dyDescent="0.25">
      <c r="C1103" s="294" t="s">
        <v>843</v>
      </c>
      <c r="D1103" s="317">
        <v>53005</v>
      </c>
      <c r="E1103" s="122" t="s">
        <v>844</v>
      </c>
      <c r="F1103" s="122" t="s">
        <v>845</v>
      </c>
      <c r="G1103" s="122" t="s">
        <v>778</v>
      </c>
      <c r="H1103" s="122" t="s">
        <v>777</v>
      </c>
      <c r="I1103" s="312">
        <v>2024</v>
      </c>
      <c r="J1103" s="122" t="s">
        <v>709</v>
      </c>
      <c r="K1103" s="283">
        <v>2634</v>
      </c>
      <c r="L1103" s="318">
        <v>-33.763686999999997</v>
      </c>
      <c r="M1103" s="318">
        <v>151.136978</v>
      </c>
      <c r="O1103">
        <f>INDEX('MEC - traffic congestion'!$M$145:$M$249,MATCH($D1103,'MEC - traffic congestion'!$C$145:$C$249,0))</f>
        <v>0</v>
      </c>
      <c r="P1103" t="str">
        <f t="shared" si="44"/>
        <v/>
      </c>
      <c r="Q1103">
        <f t="shared" si="45"/>
        <v>1</v>
      </c>
      <c r="R1103" s="195" t="str">
        <f t="shared" si="46"/>
        <v/>
      </c>
    </row>
    <row r="1104" spans="3:18" x14ac:dyDescent="0.25">
      <c r="C1104" s="294" t="s">
        <v>843</v>
      </c>
      <c r="D1104" s="317">
        <v>53005</v>
      </c>
      <c r="E1104" s="122" t="s">
        <v>844</v>
      </c>
      <c r="F1104" s="122" t="s">
        <v>845</v>
      </c>
      <c r="G1104" s="122" t="s">
        <v>776</v>
      </c>
      <c r="H1104" s="122" t="s">
        <v>777</v>
      </c>
      <c r="I1104" s="312">
        <v>2024</v>
      </c>
      <c r="J1104" s="122" t="s">
        <v>710</v>
      </c>
      <c r="K1104" s="283">
        <v>11812</v>
      </c>
      <c r="L1104" s="318">
        <v>-33.763686999999997</v>
      </c>
      <c r="M1104" s="318">
        <v>151.136978</v>
      </c>
      <c r="O1104">
        <f>INDEX('MEC - traffic congestion'!$M$145:$M$249,MATCH($D1104,'MEC - traffic congestion'!$C$145:$C$249,0))</f>
        <v>0</v>
      </c>
      <c r="P1104" t="str">
        <f t="shared" si="44"/>
        <v/>
      </c>
      <c r="Q1104">
        <f t="shared" si="45"/>
        <v>1</v>
      </c>
      <c r="R1104" s="195" t="str">
        <f t="shared" si="46"/>
        <v/>
      </c>
    </row>
    <row r="1105" spans="3:18" x14ac:dyDescent="0.25">
      <c r="C1105" s="294" t="s">
        <v>843</v>
      </c>
      <c r="D1105" s="317">
        <v>53005</v>
      </c>
      <c r="E1105" s="122" t="s">
        <v>844</v>
      </c>
      <c r="F1105" s="122" t="s">
        <v>845</v>
      </c>
      <c r="G1105" s="122" t="s">
        <v>778</v>
      </c>
      <c r="H1105" s="122" t="s">
        <v>777</v>
      </c>
      <c r="I1105" s="312">
        <v>2024</v>
      </c>
      <c r="J1105" s="122" t="s">
        <v>710</v>
      </c>
      <c r="K1105" s="283">
        <v>4541</v>
      </c>
      <c r="L1105" s="318">
        <v>-33.763686999999997</v>
      </c>
      <c r="M1105" s="318">
        <v>151.136978</v>
      </c>
      <c r="O1105">
        <f>INDEX('MEC - traffic congestion'!$M$145:$M$249,MATCH($D1105,'MEC - traffic congestion'!$C$145:$C$249,0))</f>
        <v>0</v>
      </c>
      <c r="P1105" t="str">
        <f t="shared" si="44"/>
        <v/>
      </c>
      <c r="Q1105">
        <f t="shared" si="45"/>
        <v>1</v>
      </c>
      <c r="R1105" s="195" t="str">
        <f t="shared" si="46"/>
        <v/>
      </c>
    </row>
    <row r="1106" spans="3:18" x14ac:dyDescent="0.25">
      <c r="C1106" s="294" t="s">
        <v>843</v>
      </c>
      <c r="D1106" s="317">
        <v>53005</v>
      </c>
      <c r="E1106" s="122" t="s">
        <v>844</v>
      </c>
      <c r="F1106" s="122" t="s">
        <v>845</v>
      </c>
      <c r="G1106" s="122" t="s">
        <v>776</v>
      </c>
      <c r="H1106" s="122" t="s">
        <v>777</v>
      </c>
      <c r="I1106" s="312">
        <v>2024</v>
      </c>
      <c r="J1106" s="122" t="s">
        <v>711</v>
      </c>
      <c r="K1106" s="283">
        <v>6573</v>
      </c>
      <c r="L1106" s="318">
        <v>-33.763686999999997</v>
      </c>
      <c r="M1106" s="318">
        <v>151.136978</v>
      </c>
      <c r="O1106">
        <f>INDEX('MEC - traffic congestion'!$M$145:$M$249,MATCH($D1106,'MEC - traffic congestion'!$C$145:$C$249,0))</f>
        <v>0</v>
      </c>
      <c r="P1106" t="str">
        <f t="shared" si="44"/>
        <v/>
      </c>
      <c r="Q1106">
        <f t="shared" si="45"/>
        <v>1</v>
      </c>
      <c r="R1106" s="195" t="str">
        <f t="shared" si="46"/>
        <v/>
      </c>
    </row>
    <row r="1107" spans="3:18" x14ac:dyDescent="0.25">
      <c r="C1107" s="294" t="s">
        <v>843</v>
      </c>
      <c r="D1107" s="317">
        <v>53005</v>
      </c>
      <c r="E1107" s="122" t="s">
        <v>844</v>
      </c>
      <c r="F1107" s="122" t="s">
        <v>845</v>
      </c>
      <c r="G1107" s="122" t="s">
        <v>778</v>
      </c>
      <c r="H1107" s="122" t="s">
        <v>777</v>
      </c>
      <c r="I1107" s="312">
        <v>2024</v>
      </c>
      <c r="J1107" s="122" t="s">
        <v>711</v>
      </c>
      <c r="K1107" s="283">
        <v>2422</v>
      </c>
      <c r="L1107" s="318">
        <v>-33.763686999999997</v>
      </c>
      <c r="M1107" s="318">
        <v>151.136978</v>
      </c>
      <c r="O1107">
        <f>INDEX('MEC - traffic congestion'!$M$145:$M$249,MATCH($D1107,'MEC - traffic congestion'!$C$145:$C$249,0))</f>
        <v>0</v>
      </c>
      <c r="P1107" t="str">
        <f t="shared" si="44"/>
        <v/>
      </c>
      <c r="Q1107">
        <f t="shared" si="45"/>
        <v>1</v>
      </c>
      <c r="R1107" s="195" t="str">
        <f t="shared" si="46"/>
        <v/>
      </c>
    </row>
    <row r="1108" spans="3:18" x14ac:dyDescent="0.25">
      <c r="C1108" s="294" t="s">
        <v>843</v>
      </c>
      <c r="D1108" s="317">
        <v>53005</v>
      </c>
      <c r="E1108" s="122" t="s">
        <v>844</v>
      </c>
      <c r="F1108" s="122" t="s">
        <v>845</v>
      </c>
      <c r="G1108" s="122" t="s">
        <v>776</v>
      </c>
      <c r="H1108" s="122" t="s">
        <v>777</v>
      </c>
      <c r="I1108" s="312">
        <v>2024</v>
      </c>
      <c r="J1108" s="122" t="s">
        <v>713</v>
      </c>
      <c r="K1108" s="283">
        <v>22877</v>
      </c>
      <c r="L1108" s="318">
        <v>-33.763686999999997</v>
      </c>
      <c r="M1108" s="318">
        <v>151.136978</v>
      </c>
      <c r="O1108">
        <f>INDEX('MEC - traffic congestion'!$M$145:$M$249,MATCH($D1108,'MEC - traffic congestion'!$C$145:$C$249,0))</f>
        <v>0</v>
      </c>
      <c r="P1108" t="str">
        <f t="shared" si="44"/>
        <v/>
      </c>
      <c r="Q1108">
        <f t="shared" si="45"/>
        <v>1</v>
      </c>
      <c r="R1108" s="195" t="str">
        <f t="shared" si="46"/>
        <v/>
      </c>
    </row>
    <row r="1109" spans="3:18" x14ac:dyDescent="0.25">
      <c r="C1109" s="294" t="s">
        <v>843</v>
      </c>
      <c r="D1109" s="317">
        <v>53005</v>
      </c>
      <c r="E1109" s="122" t="s">
        <v>844</v>
      </c>
      <c r="F1109" s="122" t="s">
        <v>845</v>
      </c>
      <c r="G1109" s="122" t="s">
        <v>778</v>
      </c>
      <c r="H1109" s="122" t="s">
        <v>777</v>
      </c>
      <c r="I1109" s="312">
        <v>2024</v>
      </c>
      <c r="J1109" s="122" t="s">
        <v>713</v>
      </c>
      <c r="K1109" s="283">
        <v>8831</v>
      </c>
      <c r="L1109" s="318">
        <v>-33.763686999999997</v>
      </c>
      <c r="M1109" s="318">
        <v>151.136978</v>
      </c>
      <c r="O1109">
        <f>INDEX('MEC - traffic congestion'!$M$145:$M$249,MATCH($D1109,'MEC - traffic congestion'!$C$145:$C$249,0))</f>
        <v>0</v>
      </c>
      <c r="P1109" t="str">
        <f t="shared" ref="P1109:P1172" si="47">IF($O1109=1,$I1109&amp;$J1109,"")</f>
        <v/>
      </c>
      <c r="Q1109">
        <f t="shared" ref="Q1109:Q1172" si="48">IF(AND($M1109&gt;150.246,AND($L1109&gt;-34.397,$L1109&lt;-32.662)),1,0)</f>
        <v>1</v>
      </c>
      <c r="R1109" s="195" t="str">
        <f t="shared" ref="R1109:R1172" si="49">IF($O1109=1,$I1109&amp;$H1109,"")</f>
        <v/>
      </c>
    </row>
    <row r="1110" spans="3:18" x14ac:dyDescent="0.25">
      <c r="C1110" s="294" t="s">
        <v>846</v>
      </c>
      <c r="D1110" s="317">
        <v>55049</v>
      </c>
      <c r="E1110" s="122" t="s">
        <v>847</v>
      </c>
      <c r="F1110" s="122" t="s">
        <v>848</v>
      </c>
      <c r="G1110" s="122" t="s">
        <v>776</v>
      </c>
      <c r="H1110" s="122" t="s">
        <v>777</v>
      </c>
      <c r="I1110" s="312">
        <v>2018</v>
      </c>
      <c r="J1110" s="122" t="s">
        <v>709</v>
      </c>
      <c r="K1110" s="283">
        <v>3883</v>
      </c>
      <c r="L1110" s="318">
        <v>-33.729506999999998</v>
      </c>
      <c r="M1110" s="318">
        <v>151.30010999999999</v>
      </c>
      <c r="O1110">
        <f>INDEX('MEC - traffic congestion'!$M$145:$M$249,MATCH($D1110,'MEC - traffic congestion'!$C$145:$C$249,0))</f>
        <v>1</v>
      </c>
      <c r="P1110" t="str">
        <f t="shared" si="47"/>
        <v>2018AM PEAK</v>
      </c>
      <c r="Q1110">
        <f t="shared" si="48"/>
        <v>1</v>
      </c>
      <c r="R1110" s="195" t="str">
        <f t="shared" si="49"/>
        <v>2018LIGHT VEHICLES</v>
      </c>
    </row>
    <row r="1111" spans="3:18" x14ac:dyDescent="0.25">
      <c r="C1111" s="294" t="s">
        <v>846</v>
      </c>
      <c r="D1111" s="317">
        <v>55049</v>
      </c>
      <c r="E1111" s="122" t="s">
        <v>847</v>
      </c>
      <c r="F1111" s="122" t="s">
        <v>848</v>
      </c>
      <c r="G1111" s="122" t="s">
        <v>778</v>
      </c>
      <c r="H1111" s="122" t="s">
        <v>777</v>
      </c>
      <c r="I1111" s="312">
        <v>2018</v>
      </c>
      <c r="J1111" s="122" t="s">
        <v>709</v>
      </c>
      <c r="K1111" s="283">
        <v>6032</v>
      </c>
      <c r="L1111" s="318">
        <v>-33.729506999999998</v>
      </c>
      <c r="M1111" s="318">
        <v>151.30010999999999</v>
      </c>
      <c r="O1111">
        <f>INDEX('MEC - traffic congestion'!$M$145:$M$249,MATCH($D1111,'MEC - traffic congestion'!$C$145:$C$249,0))</f>
        <v>1</v>
      </c>
      <c r="P1111" t="str">
        <f t="shared" si="47"/>
        <v>2018AM PEAK</v>
      </c>
      <c r="Q1111">
        <f t="shared" si="48"/>
        <v>1</v>
      </c>
      <c r="R1111" s="195" t="str">
        <f t="shared" si="49"/>
        <v>2018LIGHT VEHICLES</v>
      </c>
    </row>
    <row r="1112" spans="3:18" x14ac:dyDescent="0.25">
      <c r="C1112" s="294" t="s">
        <v>846</v>
      </c>
      <c r="D1112" s="317">
        <v>55049</v>
      </c>
      <c r="E1112" s="122" t="s">
        <v>847</v>
      </c>
      <c r="F1112" s="122" t="s">
        <v>848</v>
      </c>
      <c r="G1112" s="122" t="s">
        <v>776</v>
      </c>
      <c r="H1112" s="122" t="s">
        <v>777</v>
      </c>
      <c r="I1112" s="312">
        <v>2018</v>
      </c>
      <c r="J1112" s="122" t="s">
        <v>710</v>
      </c>
      <c r="K1112" s="283">
        <v>8112</v>
      </c>
      <c r="L1112" s="318">
        <v>-33.729506999999998</v>
      </c>
      <c r="M1112" s="318">
        <v>151.30010999999999</v>
      </c>
      <c r="O1112">
        <f>INDEX('MEC - traffic congestion'!$M$145:$M$249,MATCH($D1112,'MEC - traffic congestion'!$C$145:$C$249,0))</f>
        <v>1</v>
      </c>
      <c r="P1112" t="str">
        <f t="shared" si="47"/>
        <v>2018OFF PEAK</v>
      </c>
      <c r="Q1112">
        <f t="shared" si="48"/>
        <v>1</v>
      </c>
      <c r="R1112" s="195" t="str">
        <f t="shared" si="49"/>
        <v>2018LIGHT VEHICLES</v>
      </c>
    </row>
    <row r="1113" spans="3:18" x14ac:dyDescent="0.25">
      <c r="C1113" s="294" t="s">
        <v>846</v>
      </c>
      <c r="D1113" s="317">
        <v>55049</v>
      </c>
      <c r="E1113" s="122" t="s">
        <v>847</v>
      </c>
      <c r="F1113" s="122" t="s">
        <v>848</v>
      </c>
      <c r="G1113" s="122" t="s">
        <v>778</v>
      </c>
      <c r="H1113" s="122" t="s">
        <v>777</v>
      </c>
      <c r="I1113" s="312">
        <v>2018</v>
      </c>
      <c r="J1113" s="122" t="s">
        <v>710</v>
      </c>
      <c r="K1113" s="283">
        <v>8431</v>
      </c>
      <c r="L1113" s="318">
        <v>-33.729506999999998</v>
      </c>
      <c r="M1113" s="318">
        <v>151.30010999999999</v>
      </c>
      <c r="O1113">
        <f>INDEX('MEC - traffic congestion'!$M$145:$M$249,MATCH($D1113,'MEC - traffic congestion'!$C$145:$C$249,0))</f>
        <v>1</v>
      </c>
      <c r="P1113" t="str">
        <f t="shared" si="47"/>
        <v>2018OFF PEAK</v>
      </c>
      <c r="Q1113">
        <f t="shared" si="48"/>
        <v>1</v>
      </c>
      <c r="R1113" s="195" t="str">
        <f t="shared" si="49"/>
        <v>2018LIGHT VEHICLES</v>
      </c>
    </row>
    <row r="1114" spans="3:18" x14ac:dyDescent="0.25">
      <c r="C1114" s="294" t="s">
        <v>846</v>
      </c>
      <c r="D1114" s="317">
        <v>55049</v>
      </c>
      <c r="E1114" s="122" t="s">
        <v>847</v>
      </c>
      <c r="F1114" s="122" t="s">
        <v>848</v>
      </c>
      <c r="G1114" s="122" t="s">
        <v>776</v>
      </c>
      <c r="H1114" s="122" t="s">
        <v>777</v>
      </c>
      <c r="I1114" s="312">
        <v>2018</v>
      </c>
      <c r="J1114" s="122" t="s">
        <v>711</v>
      </c>
      <c r="K1114" s="283">
        <v>5965</v>
      </c>
      <c r="L1114" s="318">
        <v>-33.729506999999998</v>
      </c>
      <c r="M1114" s="318">
        <v>151.30010999999999</v>
      </c>
      <c r="O1114">
        <f>INDEX('MEC - traffic congestion'!$M$145:$M$249,MATCH($D1114,'MEC - traffic congestion'!$C$145:$C$249,0))</f>
        <v>1</v>
      </c>
      <c r="P1114" t="str">
        <f t="shared" si="47"/>
        <v>2018PM PEAK</v>
      </c>
      <c r="Q1114">
        <f t="shared" si="48"/>
        <v>1</v>
      </c>
      <c r="R1114" s="195" t="str">
        <f t="shared" si="49"/>
        <v>2018LIGHT VEHICLES</v>
      </c>
    </row>
    <row r="1115" spans="3:18" x14ac:dyDescent="0.25">
      <c r="C1115" s="294" t="s">
        <v>846</v>
      </c>
      <c r="D1115" s="317">
        <v>55049</v>
      </c>
      <c r="E1115" s="122" t="s">
        <v>847</v>
      </c>
      <c r="F1115" s="122" t="s">
        <v>848</v>
      </c>
      <c r="G1115" s="122" t="s">
        <v>778</v>
      </c>
      <c r="H1115" s="122" t="s">
        <v>777</v>
      </c>
      <c r="I1115" s="312">
        <v>2018</v>
      </c>
      <c r="J1115" s="122" t="s">
        <v>711</v>
      </c>
      <c r="K1115" s="283">
        <v>5270</v>
      </c>
      <c r="L1115" s="318">
        <v>-33.729506999999998</v>
      </c>
      <c r="M1115" s="318">
        <v>151.30010999999999</v>
      </c>
      <c r="O1115">
        <f>INDEX('MEC - traffic congestion'!$M$145:$M$249,MATCH($D1115,'MEC - traffic congestion'!$C$145:$C$249,0))</f>
        <v>1</v>
      </c>
      <c r="P1115" t="str">
        <f t="shared" si="47"/>
        <v>2018PM PEAK</v>
      </c>
      <c r="Q1115">
        <f t="shared" si="48"/>
        <v>1</v>
      </c>
      <c r="R1115" s="195" t="str">
        <f t="shared" si="49"/>
        <v>2018LIGHT VEHICLES</v>
      </c>
    </row>
    <row r="1116" spans="3:18" x14ac:dyDescent="0.25">
      <c r="C1116" s="294" t="s">
        <v>846</v>
      </c>
      <c r="D1116" s="317">
        <v>55049</v>
      </c>
      <c r="E1116" s="122" t="s">
        <v>847</v>
      </c>
      <c r="F1116" s="122" t="s">
        <v>848</v>
      </c>
      <c r="G1116" s="122" t="s">
        <v>776</v>
      </c>
      <c r="H1116" s="122" t="s">
        <v>777</v>
      </c>
      <c r="I1116" s="312">
        <v>2018</v>
      </c>
      <c r="J1116" s="122" t="s">
        <v>712</v>
      </c>
      <c r="K1116" s="283">
        <v>13088</v>
      </c>
      <c r="L1116" s="318">
        <v>-33.729506999999998</v>
      </c>
      <c r="M1116" s="318">
        <v>151.30010999999999</v>
      </c>
      <c r="O1116">
        <f>INDEX('MEC - traffic congestion'!$M$145:$M$249,MATCH($D1116,'MEC - traffic congestion'!$C$145:$C$249,0))</f>
        <v>1</v>
      </c>
      <c r="P1116" t="str">
        <f t="shared" si="47"/>
        <v>2018PUBLIC HOLIDAYS</v>
      </c>
      <c r="Q1116">
        <f t="shared" si="48"/>
        <v>1</v>
      </c>
      <c r="R1116" s="195" t="str">
        <f t="shared" si="49"/>
        <v>2018LIGHT VEHICLES</v>
      </c>
    </row>
    <row r="1117" spans="3:18" x14ac:dyDescent="0.25">
      <c r="C1117" s="294" t="s">
        <v>846</v>
      </c>
      <c r="D1117" s="317">
        <v>55049</v>
      </c>
      <c r="E1117" s="122" t="s">
        <v>847</v>
      </c>
      <c r="F1117" s="122" t="s">
        <v>848</v>
      </c>
      <c r="G1117" s="122" t="s">
        <v>778</v>
      </c>
      <c r="H1117" s="122" t="s">
        <v>777</v>
      </c>
      <c r="I1117" s="312">
        <v>2018</v>
      </c>
      <c r="J1117" s="122" t="s">
        <v>712</v>
      </c>
      <c r="K1117" s="283">
        <v>13501</v>
      </c>
      <c r="L1117" s="318">
        <v>-33.729506999999998</v>
      </c>
      <c r="M1117" s="318">
        <v>151.30010999999999</v>
      </c>
      <c r="O1117">
        <f>INDEX('MEC - traffic congestion'!$M$145:$M$249,MATCH($D1117,'MEC - traffic congestion'!$C$145:$C$249,0))</f>
        <v>1</v>
      </c>
      <c r="P1117" t="str">
        <f t="shared" si="47"/>
        <v>2018PUBLIC HOLIDAYS</v>
      </c>
      <c r="Q1117">
        <f t="shared" si="48"/>
        <v>1</v>
      </c>
      <c r="R1117" s="195" t="str">
        <f t="shared" si="49"/>
        <v>2018LIGHT VEHICLES</v>
      </c>
    </row>
    <row r="1118" spans="3:18" x14ac:dyDescent="0.25">
      <c r="C1118" s="294" t="s">
        <v>846</v>
      </c>
      <c r="D1118" s="317">
        <v>55049</v>
      </c>
      <c r="E1118" s="122" t="s">
        <v>847</v>
      </c>
      <c r="F1118" s="122" t="s">
        <v>848</v>
      </c>
      <c r="G1118" s="122" t="s">
        <v>776</v>
      </c>
      <c r="H1118" s="122" t="s">
        <v>777</v>
      </c>
      <c r="I1118" s="312">
        <v>2018</v>
      </c>
      <c r="J1118" s="122" t="s">
        <v>713</v>
      </c>
      <c r="K1118" s="283">
        <v>15105</v>
      </c>
      <c r="L1118" s="318">
        <v>-33.729506999999998</v>
      </c>
      <c r="M1118" s="318">
        <v>151.30010999999999</v>
      </c>
      <c r="O1118">
        <f>INDEX('MEC - traffic congestion'!$M$145:$M$249,MATCH($D1118,'MEC - traffic congestion'!$C$145:$C$249,0))</f>
        <v>1</v>
      </c>
      <c r="P1118" t="str">
        <f t="shared" si="47"/>
        <v>2018WEEKENDS</v>
      </c>
      <c r="Q1118">
        <f t="shared" si="48"/>
        <v>1</v>
      </c>
      <c r="R1118" s="195" t="str">
        <f t="shared" si="49"/>
        <v>2018LIGHT VEHICLES</v>
      </c>
    </row>
    <row r="1119" spans="3:18" x14ac:dyDescent="0.25">
      <c r="C1119" s="294" t="s">
        <v>846</v>
      </c>
      <c r="D1119" s="317">
        <v>55049</v>
      </c>
      <c r="E1119" s="122" t="s">
        <v>847</v>
      </c>
      <c r="F1119" s="122" t="s">
        <v>848</v>
      </c>
      <c r="G1119" s="122" t="s">
        <v>778</v>
      </c>
      <c r="H1119" s="122" t="s">
        <v>777</v>
      </c>
      <c r="I1119" s="312">
        <v>2018</v>
      </c>
      <c r="J1119" s="122" t="s">
        <v>713</v>
      </c>
      <c r="K1119" s="283">
        <v>17542</v>
      </c>
      <c r="L1119" s="318">
        <v>-33.729506999999998</v>
      </c>
      <c r="M1119" s="318">
        <v>151.30010999999999</v>
      </c>
      <c r="O1119">
        <f>INDEX('MEC - traffic congestion'!$M$145:$M$249,MATCH($D1119,'MEC - traffic congestion'!$C$145:$C$249,0))</f>
        <v>1</v>
      </c>
      <c r="P1119" t="str">
        <f t="shared" si="47"/>
        <v>2018WEEKENDS</v>
      </c>
      <c r="Q1119">
        <f t="shared" si="48"/>
        <v>1</v>
      </c>
      <c r="R1119" s="195" t="str">
        <f t="shared" si="49"/>
        <v>2018LIGHT VEHICLES</v>
      </c>
    </row>
    <row r="1120" spans="3:18" x14ac:dyDescent="0.25">
      <c r="C1120" s="294" t="s">
        <v>846</v>
      </c>
      <c r="D1120" s="317">
        <v>55049</v>
      </c>
      <c r="E1120" s="122" t="s">
        <v>847</v>
      </c>
      <c r="F1120" s="122" t="s">
        <v>848</v>
      </c>
      <c r="G1120" s="122" t="s">
        <v>776</v>
      </c>
      <c r="H1120" s="122" t="s">
        <v>777</v>
      </c>
      <c r="I1120" s="312">
        <v>2019</v>
      </c>
      <c r="J1120" s="122" t="s">
        <v>709</v>
      </c>
      <c r="K1120" s="283">
        <v>3653</v>
      </c>
      <c r="L1120" s="318">
        <v>-33.729506999999998</v>
      </c>
      <c r="M1120" s="318">
        <v>151.30010999999999</v>
      </c>
      <c r="O1120">
        <f>INDEX('MEC - traffic congestion'!$M$145:$M$249,MATCH($D1120,'MEC - traffic congestion'!$C$145:$C$249,0))</f>
        <v>1</v>
      </c>
      <c r="P1120" t="str">
        <f t="shared" si="47"/>
        <v>2019AM PEAK</v>
      </c>
      <c r="Q1120">
        <f t="shared" si="48"/>
        <v>1</v>
      </c>
      <c r="R1120" s="195" t="str">
        <f t="shared" si="49"/>
        <v>2019LIGHT VEHICLES</v>
      </c>
    </row>
    <row r="1121" spans="3:18" x14ac:dyDescent="0.25">
      <c r="C1121" s="294" t="s">
        <v>846</v>
      </c>
      <c r="D1121" s="317">
        <v>55049</v>
      </c>
      <c r="E1121" s="122" t="s">
        <v>847</v>
      </c>
      <c r="F1121" s="122" t="s">
        <v>848</v>
      </c>
      <c r="G1121" s="122" t="s">
        <v>778</v>
      </c>
      <c r="H1121" s="122" t="s">
        <v>777</v>
      </c>
      <c r="I1121" s="312">
        <v>2019</v>
      </c>
      <c r="J1121" s="122" t="s">
        <v>709</v>
      </c>
      <c r="K1121" s="283">
        <v>5665</v>
      </c>
      <c r="L1121" s="318">
        <v>-33.729506999999998</v>
      </c>
      <c r="M1121" s="318">
        <v>151.30010999999999</v>
      </c>
      <c r="O1121">
        <f>INDEX('MEC - traffic congestion'!$M$145:$M$249,MATCH($D1121,'MEC - traffic congestion'!$C$145:$C$249,0))</f>
        <v>1</v>
      </c>
      <c r="P1121" t="str">
        <f t="shared" si="47"/>
        <v>2019AM PEAK</v>
      </c>
      <c r="Q1121">
        <f t="shared" si="48"/>
        <v>1</v>
      </c>
      <c r="R1121" s="195" t="str">
        <f t="shared" si="49"/>
        <v>2019LIGHT VEHICLES</v>
      </c>
    </row>
    <row r="1122" spans="3:18" x14ac:dyDescent="0.25">
      <c r="C1122" s="294" t="s">
        <v>846</v>
      </c>
      <c r="D1122" s="317">
        <v>55049</v>
      </c>
      <c r="E1122" s="122" t="s">
        <v>847</v>
      </c>
      <c r="F1122" s="122" t="s">
        <v>848</v>
      </c>
      <c r="G1122" s="122" t="s">
        <v>776</v>
      </c>
      <c r="H1122" s="122" t="s">
        <v>777</v>
      </c>
      <c r="I1122" s="312">
        <v>2019</v>
      </c>
      <c r="J1122" s="122" t="s">
        <v>710</v>
      </c>
      <c r="K1122" s="283">
        <v>8049</v>
      </c>
      <c r="L1122" s="318">
        <v>-33.729506999999998</v>
      </c>
      <c r="M1122" s="318">
        <v>151.30010999999999</v>
      </c>
      <c r="O1122">
        <f>INDEX('MEC - traffic congestion'!$M$145:$M$249,MATCH($D1122,'MEC - traffic congestion'!$C$145:$C$249,0))</f>
        <v>1</v>
      </c>
      <c r="P1122" t="str">
        <f t="shared" si="47"/>
        <v>2019OFF PEAK</v>
      </c>
      <c r="Q1122">
        <f t="shared" si="48"/>
        <v>1</v>
      </c>
      <c r="R1122" s="195" t="str">
        <f t="shared" si="49"/>
        <v>2019LIGHT VEHICLES</v>
      </c>
    </row>
    <row r="1123" spans="3:18" x14ac:dyDescent="0.25">
      <c r="C1123" s="294" t="s">
        <v>846</v>
      </c>
      <c r="D1123" s="317">
        <v>55049</v>
      </c>
      <c r="E1123" s="122" t="s">
        <v>847</v>
      </c>
      <c r="F1123" s="122" t="s">
        <v>848</v>
      </c>
      <c r="G1123" s="122" t="s">
        <v>778</v>
      </c>
      <c r="H1123" s="122" t="s">
        <v>777</v>
      </c>
      <c r="I1123" s="312">
        <v>2019</v>
      </c>
      <c r="J1123" s="122" t="s">
        <v>710</v>
      </c>
      <c r="K1123" s="283">
        <v>8268</v>
      </c>
      <c r="L1123" s="318">
        <v>-33.729506999999998</v>
      </c>
      <c r="M1123" s="318">
        <v>151.30010999999999</v>
      </c>
      <c r="O1123">
        <f>INDEX('MEC - traffic congestion'!$M$145:$M$249,MATCH($D1123,'MEC - traffic congestion'!$C$145:$C$249,0))</f>
        <v>1</v>
      </c>
      <c r="P1123" t="str">
        <f t="shared" si="47"/>
        <v>2019OFF PEAK</v>
      </c>
      <c r="Q1123">
        <f t="shared" si="48"/>
        <v>1</v>
      </c>
      <c r="R1123" s="195" t="str">
        <f t="shared" si="49"/>
        <v>2019LIGHT VEHICLES</v>
      </c>
    </row>
    <row r="1124" spans="3:18" x14ac:dyDescent="0.25">
      <c r="C1124" s="294" t="s">
        <v>846</v>
      </c>
      <c r="D1124" s="317">
        <v>55049</v>
      </c>
      <c r="E1124" s="122" t="s">
        <v>847</v>
      </c>
      <c r="F1124" s="122" t="s">
        <v>848</v>
      </c>
      <c r="G1124" s="122" t="s">
        <v>776</v>
      </c>
      <c r="H1124" s="122" t="s">
        <v>777</v>
      </c>
      <c r="I1124" s="312">
        <v>2019</v>
      </c>
      <c r="J1124" s="122" t="s">
        <v>711</v>
      </c>
      <c r="K1124" s="283">
        <v>5718</v>
      </c>
      <c r="L1124" s="318">
        <v>-33.729506999999998</v>
      </c>
      <c r="M1124" s="318">
        <v>151.30010999999999</v>
      </c>
      <c r="O1124">
        <f>INDEX('MEC - traffic congestion'!$M$145:$M$249,MATCH($D1124,'MEC - traffic congestion'!$C$145:$C$249,0))</f>
        <v>1</v>
      </c>
      <c r="P1124" t="str">
        <f t="shared" si="47"/>
        <v>2019PM PEAK</v>
      </c>
      <c r="Q1124">
        <f t="shared" si="48"/>
        <v>1</v>
      </c>
      <c r="R1124" s="195" t="str">
        <f t="shared" si="49"/>
        <v>2019LIGHT VEHICLES</v>
      </c>
    </row>
    <row r="1125" spans="3:18" x14ac:dyDescent="0.25">
      <c r="C1125" s="294" t="s">
        <v>846</v>
      </c>
      <c r="D1125" s="317">
        <v>55049</v>
      </c>
      <c r="E1125" s="122" t="s">
        <v>847</v>
      </c>
      <c r="F1125" s="122" t="s">
        <v>848</v>
      </c>
      <c r="G1125" s="122" t="s">
        <v>778</v>
      </c>
      <c r="H1125" s="122" t="s">
        <v>777</v>
      </c>
      <c r="I1125" s="312">
        <v>2019</v>
      </c>
      <c r="J1125" s="122" t="s">
        <v>711</v>
      </c>
      <c r="K1125" s="283">
        <v>4963</v>
      </c>
      <c r="L1125" s="318">
        <v>-33.729506999999998</v>
      </c>
      <c r="M1125" s="318">
        <v>151.30010999999999</v>
      </c>
      <c r="O1125">
        <f>INDEX('MEC - traffic congestion'!$M$145:$M$249,MATCH($D1125,'MEC - traffic congestion'!$C$145:$C$249,0))</f>
        <v>1</v>
      </c>
      <c r="P1125" t="str">
        <f t="shared" si="47"/>
        <v>2019PM PEAK</v>
      </c>
      <c r="Q1125">
        <f t="shared" si="48"/>
        <v>1</v>
      </c>
      <c r="R1125" s="195" t="str">
        <f t="shared" si="49"/>
        <v>2019LIGHT VEHICLES</v>
      </c>
    </row>
    <row r="1126" spans="3:18" x14ac:dyDescent="0.25">
      <c r="C1126" s="294" t="s">
        <v>846</v>
      </c>
      <c r="D1126" s="317">
        <v>55049</v>
      </c>
      <c r="E1126" s="122" t="s">
        <v>847</v>
      </c>
      <c r="F1126" s="122" t="s">
        <v>848</v>
      </c>
      <c r="G1126" s="122" t="s">
        <v>776</v>
      </c>
      <c r="H1126" s="122" t="s">
        <v>777</v>
      </c>
      <c r="I1126" s="312">
        <v>2019</v>
      </c>
      <c r="J1126" s="122" t="s">
        <v>712</v>
      </c>
      <c r="K1126" s="283">
        <v>12482</v>
      </c>
      <c r="L1126" s="318">
        <v>-33.729506999999998</v>
      </c>
      <c r="M1126" s="318">
        <v>151.30010999999999</v>
      </c>
      <c r="O1126">
        <f>INDEX('MEC - traffic congestion'!$M$145:$M$249,MATCH($D1126,'MEC - traffic congestion'!$C$145:$C$249,0))</f>
        <v>1</v>
      </c>
      <c r="P1126" t="str">
        <f t="shared" si="47"/>
        <v>2019PUBLIC HOLIDAYS</v>
      </c>
      <c r="Q1126">
        <f t="shared" si="48"/>
        <v>1</v>
      </c>
      <c r="R1126" s="195" t="str">
        <f t="shared" si="49"/>
        <v>2019LIGHT VEHICLES</v>
      </c>
    </row>
    <row r="1127" spans="3:18" x14ac:dyDescent="0.25">
      <c r="C1127" s="294" t="s">
        <v>846</v>
      </c>
      <c r="D1127" s="317">
        <v>55049</v>
      </c>
      <c r="E1127" s="122" t="s">
        <v>847</v>
      </c>
      <c r="F1127" s="122" t="s">
        <v>848</v>
      </c>
      <c r="G1127" s="122" t="s">
        <v>778</v>
      </c>
      <c r="H1127" s="122" t="s">
        <v>777</v>
      </c>
      <c r="I1127" s="312">
        <v>2019</v>
      </c>
      <c r="J1127" s="122" t="s">
        <v>712</v>
      </c>
      <c r="K1127" s="283">
        <v>12750</v>
      </c>
      <c r="L1127" s="318">
        <v>-33.729506999999998</v>
      </c>
      <c r="M1127" s="318">
        <v>151.30010999999999</v>
      </c>
      <c r="O1127">
        <f>INDEX('MEC - traffic congestion'!$M$145:$M$249,MATCH($D1127,'MEC - traffic congestion'!$C$145:$C$249,0))</f>
        <v>1</v>
      </c>
      <c r="P1127" t="str">
        <f t="shared" si="47"/>
        <v>2019PUBLIC HOLIDAYS</v>
      </c>
      <c r="Q1127">
        <f t="shared" si="48"/>
        <v>1</v>
      </c>
      <c r="R1127" s="195" t="str">
        <f t="shared" si="49"/>
        <v>2019LIGHT VEHICLES</v>
      </c>
    </row>
    <row r="1128" spans="3:18" x14ac:dyDescent="0.25">
      <c r="C1128" s="294" t="s">
        <v>846</v>
      </c>
      <c r="D1128" s="317">
        <v>55049</v>
      </c>
      <c r="E1128" s="122" t="s">
        <v>847</v>
      </c>
      <c r="F1128" s="122" t="s">
        <v>848</v>
      </c>
      <c r="G1128" s="122" t="s">
        <v>776</v>
      </c>
      <c r="H1128" s="122" t="s">
        <v>777</v>
      </c>
      <c r="I1128" s="312">
        <v>2019</v>
      </c>
      <c r="J1128" s="122" t="s">
        <v>713</v>
      </c>
      <c r="K1128" s="283">
        <v>15554</v>
      </c>
      <c r="L1128" s="318">
        <v>-33.729506999999998</v>
      </c>
      <c r="M1128" s="318">
        <v>151.30010999999999</v>
      </c>
      <c r="O1128">
        <f>INDEX('MEC - traffic congestion'!$M$145:$M$249,MATCH($D1128,'MEC - traffic congestion'!$C$145:$C$249,0))</f>
        <v>1</v>
      </c>
      <c r="P1128" t="str">
        <f t="shared" si="47"/>
        <v>2019WEEKENDS</v>
      </c>
      <c r="Q1128">
        <f t="shared" si="48"/>
        <v>1</v>
      </c>
      <c r="R1128" s="195" t="str">
        <f t="shared" si="49"/>
        <v>2019LIGHT VEHICLES</v>
      </c>
    </row>
    <row r="1129" spans="3:18" x14ac:dyDescent="0.25">
      <c r="C1129" s="294" t="s">
        <v>846</v>
      </c>
      <c r="D1129" s="317">
        <v>55049</v>
      </c>
      <c r="E1129" s="122" t="s">
        <v>847</v>
      </c>
      <c r="F1129" s="122" t="s">
        <v>848</v>
      </c>
      <c r="G1129" s="122" t="s">
        <v>778</v>
      </c>
      <c r="H1129" s="122" t="s">
        <v>777</v>
      </c>
      <c r="I1129" s="312">
        <v>2019</v>
      </c>
      <c r="J1129" s="122" t="s">
        <v>713</v>
      </c>
      <c r="K1129" s="283">
        <v>17252</v>
      </c>
      <c r="L1129" s="318">
        <v>-33.729506999999998</v>
      </c>
      <c r="M1129" s="318">
        <v>151.30010999999999</v>
      </c>
      <c r="O1129">
        <f>INDEX('MEC - traffic congestion'!$M$145:$M$249,MATCH($D1129,'MEC - traffic congestion'!$C$145:$C$249,0))</f>
        <v>1</v>
      </c>
      <c r="P1129" t="str">
        <f t="shared" si="47"/>
        <v>2019WEEKENDS</v>
      </c>
      <c r="Q1129">
        <f t="shared" si="48"/>
        <v>1</v>
      </c>
      <c r="R1129" s="195" t="str">
        <f t="shared" si="49"/>
        <v>2019LIGHT VEHICLES</v>
      </c>
    </row>
    <row r="1130" spans="3:18" x14ac:dyDescent="0.25">
      <c r="C1130" s="294" t="s">
        <v>846</v>
      </c>
      <c r="D1130" s="317">
        <v>55049</v>
      </c>
      <c r="E1130" s="122" t="s">
        <v>847</v>
      </c>
      <c r="F1130" s="122" t="s">
        <v>848</v>
      </c>
      <c r="G1130" s="122" t="s">
        <v>776</v>
      </c>
      <c r="H1130" s="122" t="s">
        <v>777</v>
      </c>
      <c r="I1130" s="312">
        <v>2020</v>
      </c>
      <c r="J1130" s="122" t="s">
        <v>709</v>
      </c>
      <c r="K1130" s="283">
        <v>3743</v>
      </c>
      <c r="L1130" s="318">
        <v>-33.729506999999998</v>
      </c>
      <c r="M1130" s="318">
        <v>151.30010999999999</v>
      </c>
      <c r="O1130">
        <f>INDEX('MEC - traffic congestion'!$M$145:$M$249,MATCH($D1130,'MEC - traffic congestion'!$C$145:$C$249,0))</f>
        <v>1</v>
      </c>
      <c r="P1130" t="str">
        <f t="shared" si="47"/>
        <v>2020AM PEAK</v>
      </c>
      <c r="Q1130">
        <f t="shared" si="48"/>
        <v>1</v>
      </c>
      <c r="R1130" s="195" t="str">
        <f t="shared" si="49"/>
        <v>2020LIGHT VEHICLES</v>
      </c>
    </row>
    <row r="1131" spans="3:18" x14ac:dyDescent="0.25">
      <c r="C1131" s="294" t="s">
        <v>846</v>
      </c>
      <c r="D1131" s="317">
        <v>55049</v>
      </c>
      <c r="E1131" s="122" t="s">
        <v>847</v>
      </c>
      <c r="F1131" s="122" t="s">
        <v>848</v>
      </c>
      <c r="G1131" s="122" t="s">
        <v>778</v>
      </c>
      <c r="H1131" s="122" t="s">
        <v>777</v>
      </c>
      <c r="I1131" s="312">
        <v>2020</v>
      </c>
      <c r="J1131" s="122" t="s">
        <v>709</v>
      </c>
      <c r="K1131" s="283">
        <v>5069</v>
      </c>
      <c r="L1131" s="318">
        <v>-33.729506999999998</v>
      </c>
      <c r="M1131" s="318">
        <v>151.30010999999999</v>
      </c>
      <c r="O1131">
        <f>INDEX('MEC - traffic congestion'!$M$145:$M$249,MATCH($D1131,'MEC - traffic congestion'!$C$145:$C$249,0))</f>
        <v>1</v>
      </c>
      <c r="P1131" t="str">
        <f t="shared" si="47"/>
        <v>2020AM PEAK</v>
      </c>
      <c r="Q1131">
        <f t="shared" si="48"/>
        <v>1</v>
      </c>
      <c r="R1131" s="195" t="str">
        <f t="shared" si="49"/>
        <v>2020LIGHT VEHICLES</v>
      </c>
    </row>
    <row r="1132" spans="3:18" x14ac:dyDescent="0.25">
      <c r="C1132" s="294" t="s">
        <v>846</v>
      </c>
      <c r="D1132" s="317">
        <v>55049</v>
      </c>
      <c r="E1132" s="122" t="s">
        <v>847</v>
      </c>
      <c r="F1132" s="122" t="s">
        <v>848</v>
      </c>
      <c r="G1132" s="122" t="s">
        <v>776</v>
      </c>
      <c r="H1132" s="122" t="s">
        <v>777</v>
      </c>
      <c r="I1132" s="312">
        <v>2020</v>
      </c>
      <c r="J1132" s="122" t="s">
        <v>710</v>
      </c>
      <c r="K1132" s="283">
        <v>7471</v>
      </c>
      <c r="L1132" s="318">
        <v>-33.729506999999998</v>
      </c>
      <c r="M1132" s="318">
        <v>151.30010999999999</v>
      </c>
      <c r="O1132">
        <f>INDEX('MEC - traffic congestion'!$M$145:$M$249,MATCH($D1132,'MEC - traffic congestion'!$C$145:$C$249,0))</f>
        <v>1</v>
      </c>
      <c r="P1132" t="str">
        <f t="shared" si="47"/>
        <v>2020OFF PEAK</v>
      </c>
      <c r="Q1132">
        <f t="shared" si="48"/>
        <v>1</v>
      </c>
      <c r="R1132" s="195" t="str">
        <f t="shared" si="49"/>
        <v>2020LIGHT VEHICLES</v>
      </c>
    </row>
    <row r="1133" spans="3:18" x14ac:dyDescent="0.25">
      <c r="C1133" s="294" t="s">
        <v>846</v>
      </c>
      <c r="D1133" s="317">
        <v>55049</v>
      </c>
      <c r="E1133" s="122" t="s">
        <v>847</v>
      </c>
      <c r="F1133" s="122" t="s">
        <v>848</v>
      </c>
      <c r="G1133" s="122" t="s">
        <v>778</v>
      </c>
      <c r="H1133" s="122" t="s">
        <v>777</v>
      </c>
      <c r="I1133" s="312">
        <v>2020</v>
      </c>
      <c r="J1133" s="122" t="s">
        <v>710</v>
      </c>
      <c r="K1133" s="283">
        <v>7985</v>
      </c>
      <c r="L1133" s="318">
        <v>-33.729506999999998</v>
      </c>
      <c r="M1133" s="318">
        <v>151.30010999999999</v>
      </c>
      <c r="O1133">
        <f>INDEX('MEC - traffic congestion'!$M$145:$M$249,MATCH($D1133,'MEC - traffic congestion'!$C$145:$C$249,0))</f>
        <v>1</v>
      </c>
      <c r="P1133" t="str">
        <f t="shared" si="47"/>
        <v>2020OFF PEAK</v>
      </c>
      <c r="Q1133">
        <f t="shared" si="48"/>
        <v>1</v>
      </c>
      <c r="R1133" s="195" t="str">
        <f t="shared" si="49"/>
        <v>2020LIGHT VEHICLES</v>
      </c>
    </row>
    <row r="1134" spans="3:18" x14ac:dyDescent="0.25">
      <c r="C1134" s="294" t="s">
        <v>846</v>
      </c>
      <c r="D1134" s="317">
        <v>55049</v>
      </c>
      <c r="E1134" s="122" t="s">
        <v>847</v>
      </c>
      <c r="F1134" s="122" t="s">
        <v>848</v>
      </c>
      <c r="G1134" s="122" t="s">
        <v>776</v>
      </c>
      <c r="H1134" s="122" t="s">
        <v>777</v>
      </c>
      <c r="I1134" s="312">
        <v>2020</v>
      </c>
      <c r="J1134" s="122" t="s">
        <v>711</v>
      </c>
      <c r="K1134" s="283">
        <v>5368</v>
      </c>
      <c r="L1134" s="318">
        <v>-33.729506999999998</v>
      </c>
      <c r="M1134" s="318">
        <v>151.30010999999999</v>
      </c>
      <c r="O1134">
        <f>INDEX('MEC - traffic congestion'!$M$145:$M$249,MATCH($D1134,'MEC - traffic congestion'!$C$145:$C$249,0))</f>
        <v>1</v>
      </c>
      <c r="P1134" t="str">
        <f t="shared" si="47"/>
        <v>2020PM PEAK</v>
      </c>
      <c r="Q1134">
        <f t="shared" si="48"/>
        <v>1</v>
      </c>
      <c r="R1134" s="195" t="str">
        <f t="shared" si="49"/>
        <v>2020LIGHT VEHICLES</v>
      </c>
    </row>
    <row r="1135" spans="3:18" x14ac:dyDescent="0.25">
      <c r="C1135" s="294" t="s">
        <v>846</v>
      </c>
      <c r="D1135" s="317">
        <v>55049</v>
      </c>
      <c r="E1135" s="122" t="s">
        <v>847</v>
      </c>
      <c r="F1135" s="122" t="s">
        <v>848</v>
      </c>
      <c r="G1135" s="122" t="s">
        <v>778</v>
      </c>
      <c r="H1135" s="122" t="s">
        <v>777</v>
      </c>
      <c r="I1135" s="312">
        <v>2020</v>
      </c>
      <c r="J1135" s="122" t="s">
        <v>711</v>
      </c>
      <c r="K1135" s="283">
        <v>4738</v>
      </c>
      <c r="L1135" s="318">
        <v>-33.729506999999998</v>
      </c>
      <c r="M1135" s="318">
        <v>151.30010999999999</v>
      </c>
      <c r="O1135">
        <f>INDEX('MEC - traffic congestion'!$M$145:$M$249,MATCH($D1135,'MEC - traffic congestion'!$C$145:$C$249,0))</f>
        <v>1</v>
      </c>
      <c r="P1135" t="str">
        <f t="shared" si="47"/>
        <v>2020PM PEAK</v>
      </c>
      <c r="Q1135">
        <f t="shared" si="48"/>
        <v>1</v>
      </c>
      <c r="R1135" s="195" t="str">
        <f t="shared" si="49"/>
        <v>2020LIGHT VEHICLES</v>
      </c>
    </row>
    <row r="1136" spans="3:18" x14ac:dyDescent="0.25">
      <c r="C1136" s="294" t="s">
        <v>846</v>
      </c>
      <c r="D1136" s="317">
        <v>55049</v>
      </c>
      <c r="E1136" s="122" t="s">
        <v>847</v>
      </c>
      <c r="F1136" s="122" t="s">
        <v>848</v>
      </c>
      <c r="G1136" s="122" t="s">
        <v>776</v>
      </c>
      <c r="H1136" s="122" t="s">
        <v>777</v>
      </c>
      <c r="I1136" s="312">
        <v>2020</v>
      </c>
      <c r="J1136" s="122" t="s">
        <v>712</v>
      </c>
      <c r="K1136" s="283">
        <v>8229</v>
      </c>
      <c r="L1136" s="318">
        <v>-33.729506999999998</v>
      </c>
      <c r="M1136" s="318">
        <v>151.30010999999999</v>
      </c>
      <c r="O1136">
        <f>INDEX('MEC - traffic congestion'!$M$145:$M$249,MATCH($D1136,'MEC - traffic congestion'!$C$145:$C$249,0))</f>
        <v>1</v>
      </c>
      <c r="P1136" t="str">
        <f t="shared" si="47"/>
        <v>2020PUBLIC HOLIDAYS</v>
      </c>
      <c r="Q1136">
        <f t="shared" si="48"/>
        <v>1</v>
      </c>
      <c r="R1136" s="195" t="str">
        <f t="shared" si="49"/>
        <v>2020LIGHT VEHICLES</v>
      </c>
    </row>
    <row r="1137" spans="3:18" x14ac:dyDescent="0.25">
      <c r="C1137" s="294" t="s">
        <v>846</v>
      </c>
      <c r="D1137" s="317">
        <v>55049</v>
      </c>
      <c r="E1137" s="122" t="s">
        <v>847</v>
      </c>
      <c r="F1137" s="122" t="s">
        <v>848</v>
      </c>
      <c r="G1137" s="122" t="s">
        <v>778</v>
      </c>
      <c r="H1137" s="122" t="s">
        <v>777</v>
      </c>
      <c r="I1137" s="312">
        <v>2020</v>
      </c>
      <c r="J1137" s="122" t="s">
        <v>712</v>
      </c>
      <c r="K1137" s="283">
        <v>10481</v>
      </c>
      <c r="L1137" s="318">
        <v>-33.729506999999998</v>
      </c>
      <c r="M1137" s="318">
        <v>151.30010999999999</v>
      </c>
      <c r="O1137">
        <f>INDEX('MEC - traffic congestion'!$M$145:$M$249,MATCH($D1137,'MEC - traffic congestion'!$C$145:$C$249,0))</f>
        <v>1</v>
      </c>
      <c r="P1137" t="str">
        <f t="shared" si="47"/>
        <v>2020PUBLIC HOLIDAYS</v>
      </c>
      <c r="Q1137">
        <f t="shared" si="48"/>
        <v>1</v>
      </c>
      <c r="R1137" s="195" t="str">
        <f t="shared" si="49"/>
        <v>2020LIGHT VEHICLES</v>
      </c>
    </row>
    <row r="1138" spans="3:18" x14ac:dyDescent="0.25">
      <c r="C1138" s="294" t="s">
        <v>846</v>
      </c>
      <c r="D1138" s="317">
        <v>55049</v>
      </c>
      <c r="E1138" s="122" t="s">
        <v>847</v>
      </c>
      <c r="F1138" s="122" t="s">
        <v>848</v>
      </c>
      <c r="G1138" s="122" t="s">
        <v>776</v>
      </c>
      <c r="H1138" s="122" t="s">
        <v>777</v>
      </c>
      <c r="I1138" s="312">
        <v>2020</v>
      </c>
      <c r="J1138" s="122" t="s">
        <v>713</v>
      </c>
      <c r="K1138" s="283">
        <v>14332</v>
      </c>
      <c r="L1138" s="318">
        <v>-33.729506999999998</v>
      </c>
      <c r="M1138" s="318">
        <v>151.30010999999999</v>
      </c>
      <c r="O1138">
        <f>INDEX('MEC - traffic congestion'!$M$145:$M$249,MATCH($D1138,'MEC - traffic congestion'!$C$145:$C$249,0))</f>
        <v>1</v>
      </c>
      <c r="P1138" t="str">
        <f t="shared" si="47"/>
        <v>2020WEEKENDS</v>
      </c>
      <c r="Q1138">
        <f t="shared" si="48"/>
        <v>1</v>
      </c>
      <c r="R1138" s="195" t="str">
        <f t="shared" si="49"/>
        <v>2020LIGHT VEHICLES</v>
      </c>
    </row>
    <row r="1139" spans="3:18" x14ac:dyDescent="0.25">
      <c r="C1139" s="294" t="s">
        <v>846</v>
      </c>
      <c r="D1139" s="317">
        <v>55049</v>
      </c>
      <c r="E1139" s="122" t="s">
        <v>847</v>
      </c>
      <c r="F1139" s="122" t="s">
        <v>848</v>
      </c>
      <c r="G1139" s="122" t="s">
        <v>778</v>
      </c>
      <c r="H1139" s="122" t="s">
        <v>777</v>
      </c>
      <c r="I1139" s="312">
        <v>2020</v>
      </c>
      <c r="J1139" s="122" t="s">
        <v>713</v>
      </c>
      <c r="K1139" s="283">
        <v>15642</v>
      </c>
      <c r="L1139" s="318">
        <v>-33.729506999999998</v>
      </c>
      <c r="M1139" s="318">
        <v>151.30010999999999</v>
      </c>
      <c r="O1139">
        <f>INDEX('MEC - traffic congestion'!$M$145:$M$249,MATCH($D1139,'MEC - traffic congestion'!$C$145:$C$249,0))</f>
        <v>1</v>
      </c>
      <c r="P1139" t="str">
        <f t="shared" si="47"/>
        <v>2020WEEKENDS</v>
      </c>
      <c r="Q1139">
        <f t="shared" si="48"/>
        <v>1</v>
      </c>
      <c r="R1139" s="195" t="str">
        <f t="shared" si="49"/>
        <v>2020LIGHT VEHICLES</v>
      </c>
    </row>
    <row r="1140" spans="3:18" x14ac:dyDescent="0.25">
      <c r="C1140" s="294" t="s">
        <v>846</v>
      </c>
      <c r="D1140" s="317">
        <v>55049</v>
      </c>
      <c r="E1140" s="122" t="s">
        <v>847</v>
      </c>
      <c r="F1140" s="122" t="s">
        <v>848</v>
      </c>
      <c r="G1140" s="122" t="s">
        <v>776</v>
      </c>
      <c r="H1140" s="122" t="s">
        <v>777</v>
      </c>
      <c r="I1140" s="312">
        <v>2021</v>
      </c>
      <c r="J1140" s="122" t="s">
        <v>709</v>
      </c>
      <c r="K1140" s="283">
        <v>3434</v>
      </c>
      <c r="L1140" s="318">
        <v>-33.729506999999998</v>
      </c>
      <c r="M1140" s="318">
        <v>151.30010999999999</v>
      </c>
      <c r="O1140">
        <f>INDEX('MEC - traffic congestion'!$M$145:$M$249,MATCH($D1140,'MEC - traffic congestion'!$C$145:$C$249,0))</f>
        <v>1</v>
      </c>
      <c r="P1140" t="str">
        <f t="shared" si="47"/>
        <v>2021AM PEAK</v>
      </c>
      <c r="Q1140">
        <f t="shared" si="48"/>
        <v>1</v>
      </c>
      <c r="R1140" s="195" t="str">
        <f t="shared" si="49"/>
        <v>2021LIGHT VEHICLES</v>
      </c>
    </row>
    <row r="1141" spans="3:18" x14ac:dyDescent="0.25">
      <c r="C1141" s="294" t="s">
        <v>846</v>
      </c>
      <c r="D1141" s="317">
        <v>55049</v>
      </c>
      <c r="E1141" s="122" t="s">
        <v>847</v>
      </c>
      <c r="F1141" s="122" t="s">
        <v>848</v>
      </c>
      <c r="G1141" s="122" t="s">
        <v>778</v>
      </c>
      <c r="H1141" s="122" t="s">
        <v>777</v>
      </c>
      <c r="I1141" s="312">
        <v>2021</v>
      </c>
      <c r="J1141" s="122" t="s">
        <v>709</v>
      </c>
      <c r="K1141" s="283">
        <v>4770</v>
      </c>
      <c r="L1141" s="318">
        <v>-33.729506999999998</v>
      </c>
      <c r="M1141" s="318">
        <v>151.30010999999999</v>
      </c>
      <c r="O1141">
        <f>INDEX('MEC - traffic congestion'!$M$145:$M$249,MATCH($D1141,'MEC - traffic congestion'!$C$145:$C$249,0))</f>
        <v>1</v>
      </c>
      <c r="P1141" t="str">
        <f t="shared" si="47"/>
        <v>2021AM PEAK</v>
      </c>
      <c r="Q1141">
        <f t="shared" si="48"/>
        <v>1</v>
      </c>
      <c r="R1141" s="195" t="str">
        <f t="shared" si="49"/>
        <v>2021LIGHT VEHICLES</v>
      </c>
    </row>
    <row r="1142" spans="3:18" x14ac:dyDescent="0.25">
      <c r="C1142" s="294" t="s">
        <v>846</v>
      </c>
      <c r="D1142" s="317">
        <v>55049</v>
      </c>
      <c r="E1142" s="122" t="s">
        <v>847</v>
      </c>
      <c r="F1142" s="122" t="s">
        <v>848</v>
      </c>
      <c r="G1142" s="122" t="s">
        <v>776</v>
      </c>
      <c r="H1142" s="122" t="s">
        <v>777</v>
      </c>
      <c r="I1142" s="312">
        <v>2021</v>
      </c>
      <c r="J1142" s="122" t="s">
        <v>710</v>
      </c>
      <c r="K1142" s="283">
        <v>6802</v>
      </c>
      <c r="L1142" s="318">
        <v>-33.729506999999998</v>
      </c>
      <c r="M1142" s="318">
        <v>151.30010999999999</v>
      </c>
      <c r="O1142">
        <f>INDEX('MEC - traffic congestion'!$M$145:$M$249,MATCH($D1142,'MEC - traffic congestion'!$C$145:$C$249,0))</f>
        <v>1</v>
      </c>
      <c r="P1142" t="str">
        <f t="shared" si="47"/>
        <v>2021OFF PEAK</v>
      </c>
      <c r="Q1142">
        <f t="shared" si="48"/>
        <v>1</v>
      </c>
      <c r="R1142" s="195" t="str">
        <f t="shared" si="49"/>
        <v>2021LIGHT VEHICLES</v>
      </c>
    </row>
    <row r="1143" spans="3:18" x14ac:dyDescent="0.25">
      <c r="C1143" s="294" t="s">
        <v>846</v>
      </c>
      <c r="D1143" s="317">
        <v>55049</v>
      </c>
      <c r="E1143" s="122" t="s">
        <v>847</v>
      </c>
      <c r="F1143" s="122" t="s">
        <v>848</v>
      </c>
      <c r="G1143" s="122" t="s">
        <v>778</v>
      </c>
      <c r="H1143" s="122" t="s">
        <v>777</v>
      </c>
      <c r="I1143" s="312">
        <v>2021</v>
      </c>
      <c r="J1143" s="122" t="s">
        <v>710</v>
      </c>
      <c r="K1143" s="283">
        <v>7544</v>
      </c>
      <c r="L1143" s="318">
        <v>-33.729506999999998</v>
      </c>
      <c r="M1143" s="318">
        <v>151.30010999999999</v>
      </c>
      <c r="O1143">
        <f>INDEX('MEC - traffic congestion'!$M$145:$M$249,MATCH($D1143,'MEC - traffic congestion'!$C$145:$C$249,0))</f>
        <v>1</v>
      </c>
      <c r="P1143" t="str">
        <f t="shared" si="47"/>
        <v>2021OFF PEAK</v>
      </c>
      <c r="Q1143">
        <f t="shared" si="48"/>
        <v>1</v>
      </c>
      <c r="R1143" s="195" t="str">
        <f t="shared" si="49"/>
        <v>2021LIGHT VEHICLES</v>
      </c>
    </row>
    <row r="1144" spans="3:18" x14ac:dyDescent="0.25">
      <c r="C1144" s="294" t="s">
        <v>846</v>
      </c>
      <c r="D1144" s="317">
        <v>55049</v>
      </c>
      <c r="E1144" s="122" t="s">
        <v>847</v>
      </c>
      <c r="F1144" s="122" t="s">
        <v>848</v>
      </c>
      <c r="G1144" s="122" t="s">
        <v>776</v>
      </c>
      <c r="H1144" s="122" t="s">
        <v>777</v>
      </c>
      <c r="I1144" s="312">
        <v>2021</v>
      </c>
      <c r="J1144" s="122" t="s">
        <v>711</v>
      </c>
      <c r="K1144" s="283">
        <v>4883</v>
      </c>
      <c r="L1144" s="318">
        <v>-33.729506999999998</v>
      </c>
      <c r="M1144" s="318">
        <v>151.30010999999999</v>
      </c>
      <c r="O1144">
        <f>INDEX('MEC - traffic congestion'!$M$145:$M$249,MATCH($D1144,'MEC - traffic congestion'!$C$145:$C$249,0))</f>
        <v>1</v>
      </c>
      <c r="P1144" t="str">
        <f t="shared" si="47"/>
        <v>2021PM PEAK</v>
      </c>
      <c r="Q1144">
        <f t="shared" si="48"/>
        <v>1</v>
      </c>
      <c r="R1144" s="195" t="str">
        <f t="shared" si="49"/>
        <v>2021LIGHT VEHICLES</v>
      </c>
    </row>
    <row r="1145" spans="3:18" x14ac:dyDescent="0.25">
      <c r="C1145" s="294" t="s">
        <v>846</v>
      </c>
      <c r="D1145" s="317">
        <v>55049</v>
      </c>
      <c r="E1145" s="122" t="s">
        <v>847</v>
      </c>
      <c r="F1145" s="122" t="s">
        <v>848</v>
      </c>
      <c r="G1145" s="122" t="s">
        <v>778</v>
      </c>
      <c r="H1145" s="122" t="s">
        <v>777</v>
      </c>
      <c r="I1145" s="312">
        <v>2021</v>
      </c>
      <c r="J1145" s="122" t="s">
        <v>711</v>
      </c>
      <c r="K1145" s="283">
        <v>4484</v>
      </c>
      <c r="L1145" s="318">
        <v>-33.729506999999998</v>
      </c>
      <c r="M1145" s="318">
        <v>151.30010999999999</v>
      </c>
      <c r="O1145">
        <f>INDEX('MEC - traffic congestion'!$M$145:$M$249,MATCH($D1145,'MEC - traffic congestion'!$C$145:$C$249,0))</f>
        <v>1</v>
      </c>
      <c r="P1145" t="str">
        <f t="shared" si="47"/>
        <v>2021PM PEAK</v>
      </c>
      <c r="Q1145">
        <f t="shared" si="48"/>
        <v>1</v>
      </c>
      <c r="R1145" s="195" t="str">
        <f t="shared" si="49"/>
        <v>2021LIGHT VEHICLES</v>
      </c>
    </row>
    <row r="1146" spans="3:18" x14ac:dyDescent="0.25">
      <c r="C1146" s="294" t="s">
        <v>846</v>
      </c>
      <c r="D1146" s="317">
        <v>55049</v>
      </c>
      <c r="E1146" s="122" t="s">
        <v>847</v>
      </c>
      <c r="F1146" s="122" t="s">
        <v>848</v>
      </c>
      <c r="G1146" s="122" t="s">
        <v>776</v>
      </c>
      <c r="H1146" s="122" t="s">
        <v>777</v>
      </c>
      <c r="I1146" s="312">
        <v>2021</v>
      </c>
      <c r="J1146" s="122" t="s">
        <v>713</v>
      </c>
      <c r="K1146" s="283">
        <v>13245</v>
      </c>
      <c r="L1146" s="318">
        <v>-33.729506999999998</v>
      </c>
      <c r="M1146" s="318">
        <v>151.30010999999999</v>
      </c>
      <c r="O1146">
        <f>INDEX('MEC - traffic congestion'!$M$145:$M$249,MATCH($D1146,'MEC - traffic congestion'!$C$145:$C$249,0))</f>
        <v>1</v>
      </c>
      <c r="P1146" t="str">
        <f t="shared" si="47"/>
        <v>2021WEEKENDS</v>
      </c>
      <c r="Q1146">
        <f t="shared" si="48"/>
        <v>1</v>
      </c>
      <c r="R1146" s="195" t="str">
        <f t="shared" si="49"/>
        <v>2021LIGHT VEHICLES</v>
      </c>
    </row>
    <row r="1147" spans="3:18" x14ac:dyDescent="0.25">
      <c r="C1147" s="294" t="s">
        <v>846</v>
      </c>
      <c r="D1147" s="317">
        <v>55049</v>
      </c>
      <c r="E1147" s="122" t="s">
        <v>847</v>
      </c>
      <c r="F1147" s="122" t="s">
        <v>848</v>
      </c>
      <c r="G1147" s="122" t="s">
        <v>778</v>
      </c>
      <c r="H1147" s="122" t="s">
        <v>777</v>
      </c>
      <c r="I1147" s="312">
        <v>2021</v>
      </c>
      <c r="J1147" s="122" t="s">
        <v>713</v>
      </c>
      <c r="K1147" s="283">
        <v>13679</v>
      </c>
      <c r="L1147" s="318">
        <v>-33.729506999999998</v>
      </c>
      <c r="M1147" s="318">
        <v>151.30010999999999</v>
      </c>
      <c r="O1147">
        <f>INDEX('MEC - traffic congestion'!$M$145:$M$249,MATCH($D1147,'MEC - traffic congestion'!$C$145:$C$249,0))</f>
        <v>1</v>
      </c>
      <c r="P1147" t="str">
        <f t="shared" si="47"/>
        <v>2021WEEKENDS</v>
      </c>
      <c r="Q1147">
        <f t="shared" si="48"/>
        <v>1</v>
      </c>
      <c r="R1147" s="195" t="str">
        <f t="shared" si="49"/>
        <v>2021LIGHT VEHICLES</v>
      </c>
    </row>
    <row r="1148" spans="3:18" x14ac:dyDescent="0.25">
      <c r="C1148" s="294" t="s">
        <v>846</v>
      </c>
      <c r="D1148" s="317">
        <v>55049</v>
      </c>
      <c r="E1148" s="122" t="s">
        <v>847</v>
      </c>
      <c r="F1148" s="122" t="s">
        <v>848</v>
      </c>
      <c r="G1148" s="122" t="s">
        <v>776</v>
      </c>
      <c r="H1148" s="122" t="s">
        <v>777</v>
      </c>
      <c r="I1148" s="312">
        <v>2022</v>
      </c>
      <c r="J1148" s="122" t="s">
        <v>709</v>
      </c>
      <c r="K1148" s="283">
        <v>2772</v>
      </c>
      <c r="L1148" s="318">
        <v>-33.729506999999998</v>
      </c>
      <c r="M1148" s="318">
        <v>151.30010999999999</v>
      </c>
      <c r="O1148">
        <f>INDEX('MEC - traffic congestion'!$M$145:$M$249,MATCH($D1148,'MEC - traffic congestion'!$C$145:$C$249,0))</f>
        <v>1</v>
      </c>
      <c r="P1148" t="str">
        <f t="shared" si="47"/>
        <v>2022AM PEAK</v>
      </c>
      <c r="Q1148">
        <f t="shared" si="48"/>
        <v>1</v>
      </c>
      <c r="R1148" s="195" t="str">
        <f t="shared" si="49"/>
        <v>2022LIGHT VEHICLES</v>
      </c>
    </row>
    <row r="1149" spans="3:18" x14ac:dyDescent="0.25">
      <c r="C1149" s="294" t="s">
        <v>846</v>
      </c>
      <c r="D1149" s="317">
        <v>55049</v>
      </c>
      <c r="E1149" s="122" t="s">
        <v>847</v>
      </c>
      <c r="F1149" s="122" t="s">
        <v>848</v>
      </c>
      <c r="G1149" s="122" t="s">
        <v>778</v>
      </c>
      <c r="H1149" s="122" t="s">
        <v>777</v>
      </c>
      <c r="I1149" s="312">
        <v>2022</v>
      </c>
      <c r="J1149" s="122" t="s">
        <v>709</v>
      </c>
      <c r="K1149" s="283">
        <v>4622</v>
      </c>
      <c r="L1149" s="318">
        <v>-33.729506999999998</v>
      </c>
      <c r="M1149" s="318">
        <v>151.30010999999999</v>
      </c>
      <c r="O1149">
        <f>INDEX('MEC - traffic congestion'!$M$145:$M$249,MATCH($D1149,'MEC - traffic congestion'!$C$145:$C$249,0))</f>
        <v>1</v>
      </c>
      <c r="P1149" t="str">
        <f t="shared" si="47"/>
        <v>2022AM PEAK</v>
      </c>
      <c r="Q1149">
        <f t="shared" si="48"/>
        <v>1</v>
      </c>
      <c r="R1149" s="195" t="str">
        <f t="shared" si="49"/>
        <v>2022LIGHT VEHICLES</v>
      </c>
    </row>
    <row r="1150" spans="3:18" x14ac:dyDescent="0.25">
      <c r="C1150" s="294" t="s">
        <v>846</v>
      </c>
      <c r="D1150" s="317">
        <v>55049</v>
      </c>
      <c r="E1150" s="122" t="s">
        <v>847</v>
      </c>
      <c r="F1150" s="122" t="s">
        <v>848</v>
      </c>
      <c r="G1150" s="122" t="s">
        <v>776</v>
      </c>
      <c r="H1150" s="122" t="s">
        <v>777</v>
      </c>
      <c r="I1150" s="312">
        <v>2022</v>
      </c>
      <c r="J1150" s="122" t="s">
        <v>710</v>
      </c>
      <c r="K1150" s="283">
        <v>6042</v>
      </c>
      <c r="L1150" s="318">
        <v>-33.729506999999998</v>
      </c>
      <c r="M1150" s="318">
        <v>151.30010999999999</v>
      </c>
      <c r="O1150">
        <f>INDEX('MEC - traffic congestion'!$M$145:$M$249,MATCH($D1150,'MEC - traffic congestion'!$C$145:$C$249,0))</f>
        <v>1</v>
      </c>
      <c r="P1150" t="str">
        <f t="shared" si="47"/>
        <v>2022OFF PEAK</v>
      </c>
      <c r="Q1150">
        <f t="shared" si="48"/>
        <v>1</v>
      </c>
      <c r="R1150" s="195" t="str">
        <f t="shared" si="49"/>
        <v>2022LIGHT VEHICLES</v>
      </c>
    </row>
    <row r="1151" spans="3:18" x14ac:dyDescent="0.25">
      <c r="C1151" s="294" t="s">
        <v>846</v>
      </c>
      <c r="D1151" s="317">
        <v>55049</v>
      </c>
      <c r="E1151" s="122" t="s">
        <v>847</v>
      </c>
      <c r="F1151" s="122" t="s">
        <v>848</v>
      </c>
      <c r="G1151" s="122" t="s">
        <v>778</v>
      </c>
      <c r="H1151" s="122" t="s">
        <v>777</v>
      </c>
      <c r="I1151" s="312">
        <v>2022</v>
      </c>
      <c r="J1151" s="122" t="s">
        <v>710</v>
      </c>
      <c r="K1151" s="283">
        <v>7388</v>
      </c>
      <c r="L1151" s="318">
        <v>-33.729506999999998</v>
      </c>
      <c r="M1151" s="318">
        <v>151.30010999999999</v>
      </c>
      <c r="O1151">
        <f>INDEX('MEC - traffic congestion'!$M$145:$M$249,MATCH($D1151,'MEC - traffic congestion'!$C$145:$C$249,0))</f>
        <v>1</v>
      </c>
      <c r="P1151" t="str">
        <f t="shared" si="47"/>
        <v>2022OFF PEAK</v>
      </c>
      <c r="Q1151">
        <f t="shared" si="48"/>
        <v>1</v>
      </c>
      <c r="R1151" s="195" t="str">
        <f t="shared" si="49"/>
        <v>2022LIGHT VEHICLES</v>
      </c>
    </row>
    <row r="1152" spans="3:18" x14ac:dyDescent="0.25">
      <c r="C1152" s="294" t="s">
        <v>846</v>
      </c>
      <c r="D1152" s="317">
        <v>55049</v>
      </c>
      <c r="E1152" s="122" t="s">
        <v>847</v>
      </c>
      <c r="F1152" s="122" t="s">
        <v>848</v>
      </c>
      <c r="G1152" s="122" t="s">
        <v>776</v>
      </c>
      <c r="H1152" s="122" t="s">
        <v>777</v>
      </c>
      <c r="I1152" s="312">
        <v>2022</v>
      </c>
      <c r="J1152" s="122" t="s">
        <v>711</v>
      </c>
      <c r="K1152" s="283">
        <v>4763</v>
      </c>
      <c r="L1152" s="318">
        <v>-33.729506999999998</v>
      </c>
      <c r="M1152" s="318">
        <v>151.30010999999999</v>
      </c>
      <c r="O1152">
        <f>INDEX('MEC - traffic congestion'!$M$145:$M$249,MATCH($D1152,'MEC - traffic congestion'!$C$145:$C$249,0))</f>
        <v>1</v>
      </c>
      <c r="P1152" t="str">
        <f t="shared" si="47"/>
        <v>2022PM PEAK</v>
      </c>
      <c r="Q1152">
        <f t="shared" si="48"/>
        <v>1</v>
      </c>
      <c r="R1152" s="195" t="str">
        <f t="shared" si="49"/>
        <v>2022LIGHT VEHICLES</v>
      </c>
    </row>
    <row r="1153" spans="3:18" x14ac:dyDescent="0.25">
      <c r="C1153" s="294" t="s">
        <v>846</v>
      </c>
      <c r="D1153" s="317">
        <v>55049</v>
      </c>
      <c r="E1153" s="122" t="s">
        <v>847</v>
      </c>
      <c r="F1153" s="122" t="s">
        <v>848</v>
      </c>
      <c r="G1153" s="122" t="s">
        <v>778</v>
      </c>
      <c r="H1153" s="122" t="s">
        <v>777</v>
      </c>
      <c r="I1153" s="312">
        <v>2022</v>
      </c>
      <c r="J1153" s="122" t="s">
        <v>711</v>
      </c>
      <c r="K1153" s="283">
        <v>4195</v>
      </c>
      <c r="L1153" s="318">
        <v>-33.729506999999998</v>
      </c>
      <c r="M1153" s="318">
        <v>151.30010999999999</v>
      </c>
      <c r="O1153">
        <f>INDEX('MEC - traffic congestion'!$M$145:$M$249,MATCH($D1153,'MEC - traffic congestion'!$C$145:$C$249,0))</f>
        <v>1</v>
      </c>
      <c r="P1153" t="str">
        <f t="shared" si="47"/>
        <v>2022PM PEAK</v>
      </c>
      <c r="Q1153">
        <f t="shared" si="48"/>
        <v>1</v>
      </c>
      <c r="R1153" s="195" t="str">
        <f t="shared" si="49"/>
        <v>2022LIGHT VEHICLES</v>
      </c>
    </row>
    <row r="1154" spans="3:18" x14ac:dyDescent="0.25">
      <c r="C1154" s="294" t="s">
        <v>846</v>
      </c>
      <c r="D1154" s="317">
        <v>55049</v>
      </c>
      <c r="E1154" s="122" t="s">
        <v>847</v>
      </c>
      <c r="F1154" s="122" t="s">
        <v>848</v>
      </c>
      <c r="G1154" s="122" t="s">
        <v>776</v>
      </c>
      <c r="H1154" s="122" t="s">
        <v>777</v>
      </c>
      <c r="I1154" s="312">
        <v>2022</v>
      </c>
      <c r="J1154" s="122" t="s">
        <v>713</v>
      </c>
      <c r="K1154" s="283">
        <v>11615</v>
      </c>
      <c r="L1154" s="318">
        <v>-33.729506999999998</v>
      </c>
      <c r="M1154" s="318">
        <v>151.30010999999999</v>
      </c>
      <c r="O1154">
        <f>INDEX('MEC - traffic congestion'!$M$145:$M$249,MATCH($D1154,'MEC - traffic congestion'!$C$145:$C$249,0))</f>
        <v>1</v>
      </c>
      <c r="P1154" t="str">
        <f t="shared" si="47"/>
        <v>2022WEEKENDS</v>
      </c>
      <c r="Q1154">
        <f t="shared" si="48"/>
        <v>1</v>
      </c>
      <c r="R1154" s="195" t="str">
        <f t="shared" si="49"/>
        <v>2022LIGHT VEHICLES</v>
      </c>
    </row>
    <row r="1155" spans="3:18" x14ac:dyDescent="0.25">
      <c r="C1155" s="294" t="s">
        <v>846</v>
      </c>
      <c r="D1155" s="317">
        <v>55049</v>
      </c>
      <c r="E1155" s="122" t="s">
        <v>847</v>
      </c>
      <c r="F1155" s="122" t="s">
        <v>848</v>
      </c>
      <c r="G1155" s="122" t="s">
        <v>778</v>
      </c>
      <c r="H1155" s="122" t="s">
        <v>777</v>
      </c>
      <c r="I1155" s="312">
        <v>2022</v>
      </c>
      <c r="J1155" s="122" t="s">
        <v>713</v>
      </c>
      <c r="K1155" s="283">
        <v>14209</v>
      </c>
      <c r="L1155" s="318">
        <v>-33.729506999999998</v>
      </c>
      <c r="M1155" s="318">
        <v>151.30010999999999</v>
      </c>
      <c r="O1155">
        <f>INDEX('MEC - traffic congestion'!$M$145:$M$249,MATCH($D1155,'MEC - traffic congestion'!$C$145:$C$249,0))</f>
        <v>1</v>
      </c>
      <c r="P1155" t="str">
        <f t="shared" si="47"/>
        <v>2022WEEKENDS</v>
      </c>
      <c r="Q1155">
        <f t="shared" si="48"/>
        <v>1</v>
      </c>
      <c r="R1155" s="195" t="str">
        <f t="shared" si="49"/>
        <v>2022LIGHT VEHICLES</v>
      </c>
    </row>
    <row r="1156" spans="3:18" x14ac:dyDescent="0.25">
      <c r="C1156" s="294" t="s">
        <v>846</v>
      </c>
      <c r="D1156" s="317">
        <v>55049</v>
      </c>
      <c r="E1156" s="122" t="s">
        <v>847</v>
      </c>
      <c r="F1156" s="122" t="s">
        <v>848</v>
      </c>
      <c r="G1156" s="122" t="s">
        <v>776</v>
      </c>
      <c r="H1156" s="122" t="s">
        <v>777</v>
      </c>
      <c r="I1156" s="312">
        <v>2023</v>
      </c>
      <c r="J1156" s="122" t="s">
        <v>709</v>
      </c>
      <c r="K1156" s="283">
        <v>3599</v>
      </c>
      <c r="L1156" s="318">
        <v>-33.729506999999998</v>
      </c>
      <c r="M1156" s="318">
        <v>151.30010999999999</v>
      </c>
      <c r="O1156">
        <f>INDEX('MEC - traffic congestion'!$M$145:$M$249,MATCH($D1156,'MEC - traffic congestion'!$C$145:$C$249,0))</f>
        <v>1</v>
      </c>
      <c r="P1156" t="str">
        <f t="shared" si="47"/>
        <v>2023AM PEAK</v>
      </c>
      <c r="Q1156">
        <f t="shared" si="48"/>
        <v>1</v>
      </c>
      <c r="R1156" s="195" t="str">
        <f t="shared" si="49"/>
        <v>2023LIGHT VEHICLES</v>
      </c>
    </row>
    <row r="1157" spans="3:18" x14ac:dyDescent="0.25">
      <c r="C1157" s="294" t="s">
        <v>846</v>
      </c>
      <c r="D1157" s="317">
        <v>55049</v>
      </c>
      <c r="E1157" s="122" t="s">
        <v>847</v>
      </c>
      <c r="F1157" s="122" t="s">
        <v>848</v>
      </c>
      <c r="G1157" s="122" t="s">
        <v>778</v>
      </c>
      <c r="H1157" s="122" t="s">
        <v>777</v>
      </c>
      <c r="I1157" s="312">
        <v>2023</v>
      </c>
      <c r="J1157" s="122" t="s">
        <v>709</v>
      </c>
      <c r="K1157" s="283">
        <v>4787</v>
      </c>
      <c r="L1157" s="318">
        <v>-33.729506999999998</v>
      </c>
      <c r="M1157" s="318">
        <v>151.30010999999999</v>
      </c>
      <c r="O1157">
        <f>INDEX('MEC - traffic congestion'!$M$145:$M$249,MATCH($D1157,'MEC - traffic congestion'!$C$145:$C$249,0))</f>
        <v>1</v>
      </c>
      <c r="P1157" t="str">
        <f t="shared" si="47"/>
        <v>2023AM PEAK</v>
      </c>
      <c r="Q1157">
        <f t="shared" si="48"/>
        <v>1</v>
      </c>
      <c r="R1157" s="195" t="str">
        <f t="shared" si="49"/>
        <v>2023LIGHT VEHICLES</v>
      </c>
    </row>
    <row r="1158" spans="3:18" x14ac:dyDescent="0.25">
      <c r="C1158" s="294" t="s">
        <v>846</v>
      </c>
      <c r="D1158" s="317">
        <v>55049</v>
      </c>
      <c r="E1158" s="122" t="s">
        <v>847</v>
      </c>
      <c r="F1158" s="122" t="s">
        <v>848</v>
      </c>
      <c r="G1158" s="122" t="s">
        <v>776</v>
      </c>
      <c r="H1158" s="122" t="s">
        <v>777</v>
      </c>
      <c r="I1158" s="312">
        <v>2023</v>
      </c>
      <c r="J1158" s="122" t="s">
        <v>710</v>
      </c>
      <c r="K1158" s="283">
        <v>7185</v>
      </c>
      <c r="L1158" s="318">
        <v>-33.729506999999998</v>
      </c>
      <c r="M1158" s="318">
        <v>151.30010999999999</v>
      </c>
      <c r="O1158">
        <f>INDEX('MEC - traffic congestion'!$M$145:$M$249,MATCH($D1158,'MEC - traffic congestion'!$C$145:$C$249,0))</f>
        <v>1</v>
      </c>
      <c r="P1158" t="str">
        <f t="shared" si="47"/>
        <v>2023OFF PEAK</v>
      </c>
      <c r="Q1158">
        <f t="shared" si="48"/>
        <v>1</v>
      </c>
      <c r="R1158" s="195" t="str">
        <f t="shared" si="49"/>
        <v>2023LIGHT VEHICLES</v>
      </c>
    </row>
    <row r="1159" spans="3:18" x14ac:dyDescent="0.25">
      <c r="C1159" s="294" t="s">
        <v>846</v>
      </c>
      <c r="D1159" s="317">
        <v>55049</v>
      </c>
      <c r="E1159" s="122" t="s">
        <v>847</v>
      </c>
      <c r="F1159" s="122" t="s">
        <v>848</v>
      </c>
      <c r="G1159" s="122" t="s">
        <v>778</v>
      </c>
      <c r="H1159" s="122" t="s">
        <v>777</v>
      </c>
      <c r="I1159" s="312">
        <v>2023</v>
      </c>
      <c r="J1159" s="122" t="s">
        <v>710</v>
      </c>
      <c r="K1159" s="283">
        <v>7526</v>
      </c>
      <c r="L1159" s="318">
        <v>-33.729506999999998</v>
      </c>
      <c r="M1159" s="318">
        <v>151.30010999999999</v>
      </c>
      <c r="O1159">
        <f>INDEX('MEC - traffic congestion'!$M$145:$M$249,MATCH($D1159,'MEC - traffic congestion'!$C$145:$C$249,0))</f>
        <v>1</v>
      </c>
      <c r="P1159" t="str">
        <f t="shared" si="47"/>
        <v>2023OFF PEAK</v>
      </c>
      <c r="Q1159">
        <f t="shared" si="48"/>
        <v>1</v>
      </c>
      <c r="R1159" s="195" t="str">
        <f t="shared" si="49"/>
        <v>2023LIGHT VEHICLES</v>
      </c>
    </row>
    <row r="1160" spans="3:18" x14ac:dyDescent="0.25">
      <c r="C1160" s="294" t="s">
        <v>846</v>
      </c>
      <c r="D1160" s="317">
        <v>55049</v>
      </c>
      <c r="E1160" s="122" t="s">
        <v>847</v>
      </c>
      <c r="F1160" s="122" t="s">
        <v>848</v>
      </c>
      <c r="G1160" s="122" t="s">
        <v>776</v>
      </c>
      <c r="H1160" s="122" t="s">
        <v>777</v>
      </c>
      <c r="I1160" s="312">
        <v>2023</v>
      </c>
      <c r="J1160" s="122" t="s">
        <v>711</v>
      </c>
      <c r="K1160" s="283">
        <v>5200</v>
      </c>
      <c r="L1160" s="318">
        <v>-33.729506999999998</v>
      </c>
      <c r="M1160" s="318">
        <v>151.30010999999999</v>
      </c>
      <c r="O1160">
        <f>INDEX('MEC - traffic congestion'!$M$145:$M$249,MATCH($D1160,'MEC - traffic congestion'!$C$145:$C$249,0))</f>
        <v>1</v>
      </c>
      <c r="P1160" t="str">
        <f t="shared" si="47"/>
        <v>2023PM PEAK</v>
      </c>
      <c r="Q1160">
        <f t="shared" si="48"/>
        <v>1</v>
      </c>
      <c r="R1160" s="195" t="str">
        <f t="shared" si="49"/>
        <v>2023LIGHT VEHICLES</v>
      </c>
    </row>
    <row r="1161" spans="3:18" x14ac:dyDescent="0.25">
      <c r="C1161" s="294" t="s">
        <v>846</v>
      </c>
      <c r="D1161" s="317">
        <v>55049</v>
      </c>
      <c r="E1161" s="122" t="s">
        <v>847</v>
      </c>
      <c r="F1161" s="122" t="s">
        <v>848</v>
      </c>
      <c r="G1161" s="122" t="s">
        <v>778</v>
      </c>
      <c r="H1161" s="122" t="s">
        <v>777</v>
      </c>
      <c r="I1161" s="312">
        <v>2023</v>
      </c>
      <c r="J1161" s="122" t="s">
        <v>711</v>
      </c>
      <c r="K1161" s="283">
        <v>4476</v>
      </c>
      <c r="L1161" s="318">
        <v>-33.729506999999998</v>
      </c>
      <c r="M1161" s="318">
        <v>151.30010999999999</v>
      </c>
      <c r="O1161">
        <f>INDEX('MEC - traffic congestion'!$M$145:$M$249,MATCH($D1161,'MEC - traffic congestion'!$C$145:$C$249,0))</f>
        <v>1</v>
      </c>
      <c r="P1161" t="str">
        <f t="shared" si="47"/>
        <v>2023PM PEAK</v>
      </c>
      <c r="Q1161">
        <f t="shared" si="48"/>
        <v>1</v>
      </c>
      <c r="R1161" s="195" t="str">
        <f t="shared" si="49"/>
        <v>2023LIGHT VEHICLES</v>
      </c>
    </row>
    <row r="1162" spans="3:18" x14ac:dyDescent="0.25">
      <c r="C1162" s="294" t="s">
        <v>846</v>
      </c>
      <c r="D1162" s="317">
        <v>55049</v>
      </c>
      <c r="E1162" s="122" t="s">
        <v>847</v>
      </c>
      <c r="F1162" s="122" t="s">
        <v>848</v>
      </c>
      <c r="G1162" s="122" t="s">
        <v>776</v>
      </c>
      <c r="H1162" s="122" t="s">
        <v>777</v>
      </c>
      <c r="I1162" s="312">
        <v>2023</v>
      </c>
      <c r="J1162" s="122" t="s">
        <v>713</v>
      </c>
      <c r="K1162" s="283">
        <v>14164</v>
      </c>
      <c r="L1162" s="318">
        <v>-33.729506999999998</v>
      </c>
      <c r="M1162" s="318">
        <v>151.30010999999999</v>
      </c>
      <c r="O1162">
        <f>INDEX('MEC - traffic congestion'!$M$145:$M$249,MATCH($D1162,'MEC - traffic congestion'!$C$145:$C$249,0))</f>
        <v>1</v>
      </c>
      <c r="P1162" t="str">
        <f t="shared" si="47"/>
        <v>2023WEEKENDS</v>
      </c>
      <c r="Q1162">
        <f t="shared" si="48"/>
        <v>1</v>
      </c>
      <c r="R1162" s="195" t="str">
        <f t="shared" si="49"/>
        <v>2023LIGHT VEHICLES</v>
      </c>
    </row>
    <row r="1163" spans="3:18" x14ac:dyDescent="0.25">
      <c r="C1163" s="294" t="s">
        <v>846</v>
      </c>
      <c r="D1163" s="317">
        <v>55049</v>
      </c>
      <c r="E1163" s="122" t="s">
        <v>847</v>
      </c>
      <c r="F1163" s="122" t="s">
        <v>848</v>
      </c>
      <c r="G1163" s="122" t="s">
        <v>778</v>
      </c>
      <c r="H1163" s="122" t="s">
        <v>777</v>
      </c>
      <c r="I1163" s="312">
        <v>2023</v>
      </c>
      <c r="J1163" s="122" t="s">
        <v>713</v>
      </c>
      <c r="K1163" s="283">
        <v>14314</v>
      </c>
      <c r="L1163" s="318">
        <v>-33.729506999999998</v>
      </c>
      <c r="M1163" s="318">
        <v>151.30010999999999</v>
      </c>
      <c r="O1163">
        <f>INDEX('MEC - traffic congestion'!$M$145:$M$249,MATCH($D1163,'MEC - traffic congestion'!$C$145:$C$249,0))</f>
        <v>1</v>
      </c>
      <c r="P1163" t="str">
        <f t="shared" si="47"/>
        <v>2023WEEKENDS</v>
      </c>
      <c r="Q1163">
        <f t="shared" si="48"/>
        <v>1</v>
      </c>
      <c r="R1163" s="195" t="str">
        <f t="shared" si="49"/>
        <v>2023LIGHT VEHICLES</v>
      </c>
    </row>
    <row r="1164" spans="3:18" x14ac:dyDescent="0.25">
      <c r="C1164" s="294" t="s">
        <v>846</v>
      </c>
      <c r="D1164" s="317">
        <v>55049</v>
      </c>
      <c r="E1164" s="122" t="s">
        <v>847</v>
      </c>
      <c r="F1164" s="122" t="s">
        <v>848</v>
      </c>
      <c r="G1164" s="122" t="s">
        <v>776</v>
      </c>
      <c r="H1164" s="122" t="s">
        <v>777</v>
      </c>
      <c r="I1164" s="312">
        <v>2024</v>
      </c>
      <c r="J1164" s="122" t="s">
        <v>709</v>
      </c>
      <c r="K1164" s="283">
        <v>3518</v>
      </c>
      <c r="L1164" s="318">
        <v>-33.729506999999998</v>
      </c>
      <c r="M1164" s="318">
        <v>151.30010999999999</v>
      </c>
      <c r="O1164">
        <f>INDEX('MEC - traffic congestion'!$M$145:$M$249,MATCH($D1164,'MEC - traffic congestion'!$C$145:$C$249,0))</f>
        <v>1</v>
      </c>
      <c r="P1164" t="str">
        <f t="shared" si="47"/>
        <v>2024AM PEAK</v>
      </c>
      <c r="Q1164">
        <f t="shared" si="48"/>
        <v>1</v>
      </c>
      <c r="R1164" s="195" t="str">
        <f t="shared" si="49"/>
        <v>2024LIGHT VEHICLES</v>
      </c>
    </row>
    <row r="1165" spans="3:18" x14ac:dyDescent="0.25">
      <c r="C1165" s="294" t="s">
        <v>846</v>
      </c>
      <c r="D1165" s="317">
        <v>55049</v>
      </c>
      <c r="E1165" s="122" t="s">
        <v>847</v>
      </c>
      <c r="F1165" s="122" t="s">
        <v>848</v>
      </c>
      <c r="G1165" s="122" t="s">
        <v>776</v>
      </c>
      <c r="H1165" s="122" t="s">
        <v>777</v>
      </c>
      <c r="I1165" s="312">
        <v>2024</v>
      </c>
      <c r="J1165" s="122" t="s">
        <v>710</v>
      </c>
      <c r="K1165" s="283">
        <v>7455</v>
      </c>
      <c r="L1165" s="318">
        <v>-33.729506999999998</v>
      </c>
      <c r="M1165" s="318">
        <v>151.30010999999999</v>
      </c>
      <c r="O1165">
        <f>INDEX('MEC - traffic congestion'!$M$145:$M$249,MATCH($D1165,'MEC - traffic congestion'!$C$145:$C$249,0))</f>
        <v>1</v>
      </c>
      <c r="P1165" t="str">
        <f t="shared" si="47"/>
        <v>2024OFF PEAK</v>
      </c>
      <c r="Q1165">
        <f t="shared" si="48"/>
        <v>1</v>
      </c>
      <c r="R1165" s="195" t="str">
        <f t="shared" si="49"/>
        <v>2024LIGHT VEHICLES</v>
      </c>
    </row>
    <row r="1166" spans="3:18" x14ac:dyDescent="0.25">
      <c r="C1166" s="294" t="s">
        <v>846</v>
      </c>
      <c r="D1166" s="317">
        <v>55049</v>
      </c>
      <c r="E1166" s="122" t="s">
        <v>847</v>
      </c>
      <c r="F1166" s="122" t="s">
        <v>848</v>
      </c>
      <c r="G1166" s="122" t="s">
        <v>776</v>
      </c>
      <c r="H1166" s="122" t="s">
        <v>777</v>
      </c>
      <c r="I1166" s="312">
        <v>2024</v>
      </c>
      <c r="J1166" s="122" t="s">
        <v>711</v>
      </c>
      <c r="K1166" s="283">
        <v>5132</v>
      </c>
      <c r="L1166" s="318">
        <v>-33.729506999999998</v>
      </c>
      <c r="M1166" s="318">
        <v>151.30010999999999</v>
      </c>
      <c r="O1166">
        <f>INDEX('MEC - traffic congestion'!$M$145:$M$249,MATCH($D1166,'MEC - traffic congestion'!$C$145:$C$249,0))</f>
        <v>1</v>
      </c>
      <c r="P1166" t="str">
        <f t="shared" si="47"/>
        <v>2024PM PEAK</v>
      </c>
      <c r="Q1166">
        <f t="shared" si="48"/>
        <v>1</v>
      </c>
      <c r="R1166" s="195" t="str">
        <f t="shared" si="49"/>
        <v>2024LIGHT VEHICLES</v>
      </c>
    </row>
    <row r="1167" spans="3:18" x14ac:dyDescent="0.25">
      <c r="C1167" s="294" t="s">
        <v>846</v>
      </c>
      <c r="D1167" s="317">
        <v>55049</v>
      </c>
      <c r="E1167" s="122" t="s">
        <v>847</v>
      </c>
      <c r="F1167" s="122" t="s">
        <v>848</v>
      </c>
      <c r="G1167" s="122" t="s">
        <v>776</v>
      </c>
      <c r="H1167" s="122" t="s">
        <v>777</v>
      </c>
      <c r="I1167" s="312">
        <v>2024</v>
      </c>
      <c r="J1167" s="122" t="s">
        <v>713</v>
      </c>
      <c r="K1167" s="283">
        <v>13064</v>
      </c>
      <c r="L1167" s="318">
        <v>-33.729506999999998</v>
      </c>
      <c r="M1167" s="318">
        <v>151.30010999999999</v>
      </c>
      <c r="O1167">
        <f>INDEX('MEC - traffic congestion'!$M$145:$M$249,MATCH($D1167,'MEC - traffic congestion'!$C$145:$C$249,0))</f>
        <v>1</v>
      </c>
      <c r="P1167" t="str">
        <f t="shared" si="47"/>
        <v>2024WEEKENDS</v>
      </c>
      <c r="Q1167">
        <f t="shared" si="48"/>
        <v>1</v>
      </c>
      <c r="R1167" s="195" t="str">
        <f t="shared" si="49"/>
        <v>2024LIGHT VEHICLES</v>
      </c>
    </row>
    <row r="1168" spans="3:18" x14ac:dyDescent="0.25">
      <c r="C1168" s="294" t="s">
        <v>849</v>
      </c>
      <c r="D1168" s="317">
        <v>55050</v>
      </c>
      <c r="E1168" s="122" t="s">
        <v>850</v>
      </c>
      <c r="F1168" s="122" t="s">
        <v>851</v>
      </c>
      <c r="G1168" s="122" t="s">
        <v>785</v>
      </c>
      <c r="H1168" s="122" t="s">
        <v>777</v>
      </c>
      <c r="I1168" s="312">
        <v>2018</v>
      </c>
      <c r="J1168" s="122" t="s">
        <v>709</v>
      </c>
      <c r="K1168" s="283">
        <v>6172</v>
      </c>
      <c r="L1168" s="318">
        <v>-33.753261999999999</v>
      </c>
      <c r="M1168" s="318">
        <v>151.25788900000001</v>
      </c>
      <c r="O1168">
        <f>INDEX('MEC - traffic congestion'!$M$145:$M$249,MATCH($D1168,'MEC - traffic congestion'!$C$145:$C$249,0))</f>
        <v>1</v>
      </c>
      <c r="P1168" t="str">
        <f t="shared" si="47"/>
        <v>2018AM PEAK</v>
      </c>
      <c r="Q1168">
        <f t="shared" si="48"/>
        <v>1</v>
      </c>
      <c r="R1168" s="195" t="str">
        <f t="shared" si="49"/>
        <v>2018LIGHT VEHICLES</v>
      </c>
    </row>
    <row r="1169" spans="3:18" x14ac:dyDescent="0.25">
      <c r="C1169" s="294" t="s">
        <v>849</v>
      </c>
      <c r="D1169" s="317">
        <v>55050</v>
      </c>
      <c r="E1169" s="122" t="s">
        <v>850</v>
      </c>
      <c r="F1169" s="122" t="s">
        <v>851</v>
      </c>
      <c r="G1169" s="122" t="s">
        <v>786</v>
      </c>
      <c r="H1169" s="122" t="s">
        <v>777</v>
      </c>
      <c r="I1169" s="312">
        <v>2018</v>
      </c>
      <c r="J1169" s="122" t="s">
        <v>709</v>
      </c>
      <c r="K1169" s="283">
        <v>7264</v>
      </c>
      <c r="L1169" s="318">
        <v>-33.753261999999999</v>
      </c>
      <c r="M1169" s="318">
        <v>151.25788900000001</v>
      </c>
      <c r="O1169">
        <f>INDEX('MEC - traffic congestion'!$M$145:$M$249,MATCH($D1169,'MEC - traffic congestion'!$C$145:$C$249,0))</f>
        <v>1</v>
      </c>
      <c r="P1169" t="str">
        <f t="shared" si="47"/>
        <v>2018AM PEAK</v>
      </c>
      <c r="Q1169">
        <f t="shared" si="48"/>
        <v>1</v>
      </c>
      <c r="R1169" s="195" t="str">
        <f t="shared" si="49"/>
        <v>2018LIGHT VEHICLES</v>
      </c>
    </row>
    <row r="1170" spans="3:18" x14ac:dyDescent="0.25">
      <c r="C1170" s="294" t="s">
        <v>849</v>
      </c>
      <c r="D1170" s="317">
        <v>55050</v>
      </c>
      <c r="E1170" s="122" t="s">
        <v>850</v>
      </c>
      <c r="F1170" s="122" t="s">
        <v>851</v>
      </c>
      <c r="G1170" s="122" t="s">
        <v>785</v>
      </c>
      <c r="H1170" s="122" t="s">
        <v>777</v>
      </c>
      <c r="I1170" s="312">
        <v>2018</v>
      </c>
      <c r="J1170" s="122" t="s">
        <v>710</v>
      </c>
      <c r="K1170" s="283">
        <v>11486</v>
      </c>
      <c r="L1170" s="318">
        <v>-33.753261999999999</v>
      </c>
      <c r="M1170" s="318">
        <v>151.25788900000001</v>
      </c>
      <c r="O1170">
        <f>INDEX('MEC - traffic congestion'!$M$145:$M$249,MATCH($D1170,'MEC - traffic congestion'!$C$145:$C$249,0))</f>
        <v>1</v>
      </c>
      <c r="P1170" t="str">
        <f t="shared" si="47"/>
        <v>2018OFF PEAK</v>
      </c>
      <c r="Q1170">
        <f t="shared" si="48"/>
        <v>1</v>
      </c>
      <c r="R1170" s="195" t="str">
        <f t="shared" si="49"/>
        <v>2018LIGHT VEHICLES</v>
      </c>
    </row>
    <row r="1171" spans="3:18" x14ac:dyDescent="0.25">
      <c r="C1171" s="294" t="s">
        <v>849</v>
      </c>
      <c r="D1171" s="317">
        <v>55050</v>
      </c>
      <c r="E1171" s="122" t="s">
        <v>850</v>
      </c>
      <c r="F1171" s="122" t="s">
        <v>851</v>
      </c>
      <c r="G1171" s="122" t="s">
        <v>786</v>
      </c>
      <c r="H1171" s="122" t="s">
        <v>777</v>
      </c>
      <c r="I1171" s="312">
        <v>2018</v>
      </c>
      <c r="J1171" s="122" t="s">
        <v>710</v>
      </c>
      <c r="K1171" s="283">
        <v>12329</v>
      </c>
      <c r="L1171" s="318">
        <v>-33.753261999999999</v>
      </c>
      <c r="M1171" s="318">
        <v>151.25788900000001</v>
      </c>
      <c r="O1171">
        <f>INDEX('MEC - traffic congestion'!$M$145:$M$249,MATCH($D1171,'MEC - traffic congestion'!$C$145:$C$249,0))</f>
        <v>1</v>
      </c>
      <c r="P1171" t="str">
        <f t="shared" si="47"/>
        <v>2018OFF PEAK</v>
      </c>
      <c r="Q1171">
        <f t="shared" si="48"/>
        <v>1</v>
      </c>
      <c r="R1171" s="195" t="str">
        <f t="shared" si="49"/>
        <v>2018LIGHT VEHICLES</v>
      </c>
    </row>
    <row r="1172" spans="3:18" x14ac:dyDescent="0.25">
      <c r="C1172" s="294" t="s">
        <v>849</v>
      </c>
      <c r="D1172" s="317">
        <v>55050</v>
      </c>
      <c r="E1172" s="122" t="s">
        <v>850</v>
      </c>
      <c r="F1172" s="122" t="s">
        <v>851</v>
      </c>
      <c r="G1172" s="122" t="s">
        <v>785</v>
      </c>
      <c r="H1172" s="122" t="s">
        <v>777</v>
      </c>
      <c r="I1172" s="312">
        <v>2018</v>
      </c>
      <c r="J1172" s="122" t="s">
        <v>711</v>
      </c>
      <c r="K1172" s="283">
        <v>7759</v>
      </c>
      <c r="L1172" s="318">
        <v>-33.753261999999999</v>
      </c>
      <c r="M1172" s="318">
        <v>151.25788900000001</v>
      </c>
      <c r="O1172">
        <f>INDEX('MEC - traffic congestion'!$M$145:$M$249,MATCH($D1172,'MEC - traffic congestion'!$C$145:$C$249,0))</f>
        <v>1</v>
      </c>
      <c r="P1172" t="str">
        <f t="shared" si="47"/>
        <v>2018PM PEAK</v>
      </c>
      <c r="Q1172">
        <f t="shared" si="48"/>
        <v>1</v>
      </c>
      <c r="R1172" s="195" t="str">
        <f t="shared" si="49"/>
        <v>2018LIGHT VEHICLES</v>
      </c>
    </row>
    <row r="1173" spans="3:18" x14ac:dyDescent="0.25">
      <c r="C1173" s="294" t="s">
        <v>849</v>
      </c>
      <c r="D1173" s="317">
        <v>55050</v>
      </c>
      <c r="E1173" s="122" t="s">
        <v>850</v>
      </c>
      <c r="F1173" s="122" t="s">
        <v>851</v>
      </c>
      <c r="G1173" s="122" t="s">
        <v>786</v>
      </c>
      <c r="H1173" s="122" t="s">
        <v>777</v>
      </c>
      <c r="I1173" s="312">
        <v>2018</v>
      </c>
      <c r="J1173" s="122" t="s">
        <v>711</v>
      </c>
      <c r="K1173" s="283">
        <v>6891</v>
      </c>
      <c r="L1173" s="318">
        <v>-33.753261999999999</v>
      </c>
      <c r="M1173" s="318">
        <v>151.25788900000001</v>
      </c>
      <c r="O1173">
        <f>INDEX('MEC - traffic congestion'!$M$145:$M$249,MATCH($D1173,'MEC - traffic congestion'!$C$145:$C$249,0))</f>
        <v>1</v>
      </c>
      <c r="P1173" t="str">
        <f t="shared" ref="P1173:P1236" si="50">IF($O1173=1,$I1173&amp;$J1173,"")</f>
        <v>2018PM PEAK</v>
      </c>
      <c r="Q1173">
        <f t="shared" ref="Q1173:Q1236" si="51">IF(AND($M1173&gt;150.246,AND($L1173&gt;-34.397,$L1173&lt;-32.662)),1,0)</f>
        <v>1</v>
      </c>
      <c r="R1173" s="195" t="str">
        <f t="shared" ref="R1173:R1236" si="52">IF($O1173=1,$I1173&amp;$H1173,"")</f>
        <v>2018LIGHT VEHICLES</v>
      </c>
    </row>
    <row r="1174" spans="3:18" x14ac:dyDescent="0.25">
      <c r="C1174" s="294" t="s">
        <v>849</v>
      </c>
      <c r="D1174" s="317">
        <v>55050</v>
      </c>
      <c r="E1174" s="122" t="s">
        <v>850</v>
      </c>
      <c r="F1174" s="122" t="s">
        <v>851</v>
      </c>
      <c r="G1174" s="122" t="s">
        <v>785</v>
      </c>
      <c r="H1174" s="122" t="s">
        <v>777</v>
      </c>
      <c r="I1174" s="312">
        <v>2018</v>
      </c>
      <c r="J1174" s="122" t="s">
        <v>712</v>
      </c>
      <c r="K1174" s="283">
        <v>17684</v>
      </c>
      <c r="L1174" s="318">
        <v>-33.753261999999999</v>
      </c>
      <c r="M1174" s="318">
        <v>151.25788900000001</v>
      </c>
      <c r="O1174">
        <f>INDEX('MEC - traffic congestion'!$M$145:$M$249,MATCH($D1174,'MEC - traffic congestion'!$C$145:$C$249,0))</f>
        <v>1</v>
      </c>
      <c r="P1174" t="str">
        <f t="shared" si="50"/>
        <v>2018PUBLIC HOLIDAYS</v>
      </c>
      <c r="Q1174">
        <f t="shared" si="51"/>
        <v>1</v>
      </c>
      <c r="R1174" s="195" t="str">
        <f t="shared" si="52"/>
        <v>2018LIGHT VEHICLES</v>
      </c>
    </row>
    <row r="1175" spans="3:18" x14ac:dyDescent="0.25">
      <c r="C1175" s="294" t="s">
        <v>849</v>
      </c>
      <c r="D1175" s="317">
        <v>55050</v>
      </c>
      <c r="E1175" s="122" t="s">
        <v>850</v>
      </c>
      <c r="F1175" s="122" t="s">
        <v>851</v>
      </c>
      <c r="G1175" s="122" t="s">
        <v>786</v>
      </c>
      <c r="H1175" s="122" t="s">
        <v>777</v>
      </c>
      <c r="I1175" s="312">
        <v>2018</v>
      </c>
      <c r="J1175" s="122" t="s">
        <v>712</v>
      </c>
      <c r="K1175" s="283">
        <v>17996</v>
      </c>
      <c r="L1175" s="318">
        <v>-33.753261999999999</v>
      </c>
      <c r="M1175" s="318">
        <v>151.25788900000001</v>
      </c>
      <c r="O1175">
        <f>INDEX('MEC - traffic congestion'!$M$145:$M$249,MATCH($D1175,'MEC - traffic congestion'!$C$145:$C$249,0))</f>
        <v>1</v>
      </c>
      <c r="P1175" t="str">
        <f t="shared" si="50"/>
        <v>2018PUBLIC HOLIDAYS</v>
      </c>
      <c r="Q1175">
        <f t="shared" si="51"/>
        <v>1</v>
      </c>
      <c r="R1175" s="195" t="str">
        <f t="shared" si="52"/>
        <v>2018LIGHT VEHICLES</v>
      </c>
    </row>
    <row r="1176" spans="3:18" x14ac:dyDescent="0.25">
      <c r="C1176" s="294" t="s">
        <v>849</v>
      </c>
      <c r="D1176" s="317">
        <v>55050</v>
      </c>
      <c r="E1176" s="122" t="s">
        <v>850</v>
      </c>
      <c r="F1176" s="122" t="s">
        <v>851</v>
      </c>
      <c r="G1176" s="122" t="s">
        <v>785</v>
      </c>
      <c r="H1176" s="122" t="s">
        <v>777</v>
      </c>
      <c r="I1176" s="312">
        <v>2018</v>
      </c>
      <c r="J1176" s="122" t="s">
        <v>713</v>
      </c>
      <c r="K1176" s="283">
        <v>22144</v>
      </c>
      <c r="L1176" s="318">
        <v>-33.753261999999999</v>
      </c>
      <c r="M1176" s="318">
        <v>151.25788900000001</v>
      </c>
      <c r="O1176">
        <f>INDEX('MEC - traffic congestion'!$M$145:$M$249,MATCH($D1176,'MEC - traffic congestion'!$C$145:$C$249,0))</f>
        <v>1</v>
      </c>
      <c r="P1176" t="str">
        <f t="shared" si="50"/>
        <v>2018WEEKENDS</v>
      </c>
      <c r="Q1176">
        <f t="shared" si="51"/>
        <v>1</v>
      </c>
      <c r="R1176" s="195" t="str">
        <f t="shared" si="52"/>
        <v>2018LIGHT VEHICLES</v>
      </c>
    </row>
    <row r="1177" spans="3:18" x14ac:dyDescent="0.25">
      <c r="C1177" s="294" t="s">
        <v>849</v>
      </c>
      <c r="D1177" s="317">
        <v>55050</v>
      </c>
      <c r="E1177" s="122" t="s">
        <v>850</v>
      </c>
      <c r="F1177" s="122" t="s">
        <v>851</v>
      </c>
      <c r="G1177" s="122" t="s">
        <v>786</v>
      </c>
      <c r="H1177" s="122" t="s">
        <v>777</v>
      </c>
      <c r="I1177" s="312">
        <v>2018</v>
      </c>
      <c r="J1177" s="122" t="s">
        <v>713</v>
      </c>
      <c r="K1177" s="283">
        <v>22404</v>
      </c>
      <c r="L1177" s="318">
        <v>-33.753261999999999</v>
      </c>
      <c r="M1177" s="318">
        <v>151.25788900000001</v>
      </c>
      <c r="O1177">
        <f>INDEX('MEC - traffic congestion'!$M$145:$M$249,MATCH($D1177,'MEC - traffic congestion'!$C$145:$C$249,0))</f>
        <v>1</v>
      </c>
      <c r="P1177" t="str">
        <f t="shared" si="50"/>
        <v>2018WEEKENDS</v>
      </c>
      <c r="Q1177">
        <f t="shared" si="51"/>
        <v>1</v>
      </c>
      <c r="R1177" s="195" t="str">
        <f t="shared" si="52"/>
        <v>2018LIGHT VEHICLES</v>
      </c>
    </row>
    <row r="1178" spans="3:18" x14ac:dyDescent="0.25">
      <c r="C1178" s="294" t="s">
        <v>849</v>
      </c>
      <c r="D1178" s="317">
        <v>55050</v>
      </c>
      <c r="E1178" s="122" t="s">
        <v>850</v>
      </c>
      <c r="F1178" s="122" t="s">
        <v>851</v>
      </c>
      <c r="G1178" s="122" t="s">
        <v>785</v>
      </c>
      <c r="H1178" s="122" t="s">
        <v>777</v>
      </c>
      <c r="I1178" s="312">
        <v>2019</v>
      </c>
      <c r="J1178" s="122" t="s">
        <v>709</v>
      </c>
      <c r="K1178" s="283">
        <v>6590</v>
      </c>
      <c r="L1178" s="318">
        <v>-33.753261999999999</v>
      </c>
      <c r="M1178" s="318">
        <v>151.25788900000001</v>
      </c>
      <c r="O1178">
        <f>INDEX('MEC - traffic congestion'!$M$145:$M$249,MATCH($D1178,'MEC - traffic congestion'!$C$145:$C$249,0))</f>
        <v>1</v>
      </c>
      <c r="P1178" t="str">
        <f t="shared" si="50"/>
        <v>2019AM PEAK</v>
      </c>
      <c r="Q1178">
        <f t="shared" si="51"/>
        <v>1</v>
      </c>
      <c r="R1178" s="195" t="str">
        <f t="shared" si="52"/>
        <v>2019LIGHT VEHICLES</v>
      </c>
    </row>
    <row r="1179" spans="3:18" x14ac:dyDescent="0.25">
      <c r="C1179" s="294" t="s">
        <v>849</v>
      </c>
      <c r="D1179" s="317">
        <v>55050</v>
      </c>
      <c r="E1179" s="122" t="s">
        <v>850</v>
      </c>
      <c r="F1179" s="122" t="s">
        <v>851</v>
      </c>
      <c r="G1179" s="122" t="s">
        <v>786</v>
      </c>
      <c r="H1179" s="122" t="s">
        <v>777</v>
      </c>
      <c r="I1179" s="312">
        <v>2019</v>
      </c>
      <c r="J1179" s="122" t="s">
        <v>709</v>
      </c>
      <c r="K1179" s="283">
        <v>7172</v>
      </c>
      <c r="L1179" s="318">
        <v>-33.753261999999999</v>
      </c>
      <c r="M1179" s="318">
        <v>151.25788900000001</v>
      </c>
      <c r="O1179">
        <f>INDEX('MEC - traffic congestion'!$M$145:$M$249,MATCH($D1179,'MEC - traffic congestion'!$C$145:$C$249,0))</f>
        <v>1</v>
      </c>
      <c r="P1179" t="str">
        <f t="shared" si="50"/>
        <v>2019AM PEAK</v>
      </c>
      <c r="Q1179">
        <f t="shared" si="51"/>
        <v>1</v>
      </c>
      <c r="R1179" s="195" t="str">
        <f t="shared" si="52"/>
        <v>2019LIGHT VEHICLES</v>
      </c>
    </row>
    <row r="1180" spans="3:18" x14ac:dyDescent="0.25">
      <c r="C1180" s="294" t="s">
        <v>849</v>
      </c>
      <c r="D1180" s="317">
        <v>55050</v>
      </c>
      <c r="E1180" s="122" t="s">
        <v>850</v>
      </c>
      <c r="F1180" s="122" t="s">
        <v>851</v>
      </c>
      <c r="G1180" s="122" t="s">
        <v>785</v>
      </c>
      <c r="H1180" s="122" t="s">
        <v>777</v>
      </c>
      <c r="I1180" s="312">
        <v>2019</v>
      </c>
      <c r="J1180" s="122" t="s">
        <v>710</v>
      </c>
      <c r="K1180" s="283">
        <v>12079</v>
      </c>
      <c r="L1180" s="318">
        <v>-33.753261999999999</v>
      </c>
      <c r="M1180" s="318">
        <v>151.25788900000001</v>
      </c>
      <c r="O1180">
        <f>INDEX('MEC - traffic congestion'!$M$145:$M$249,MATCH($D1180,'MEC - traffic congestion'!$C$145:$C$249,0))</f>
        <v>1</v>
      </c>
      <c r="P1180" t="str">
        <f t="shared" si="50"/>
        <v>2019OFF PEAK</v>
      </c>
      <c r="Q1180">
        <f t="shared" si="51"/>
        <v>1</v>
      </c>
      <c r="R1180" s="195" t="str">
        <f t="shared" si="52"/>
        <v>2019LIGHT VEHICLES</v>
      </c>
    </row>
    <row r="1181" spans="3:18" x14ac:dyDescent="0.25">
      <c r="C1181" s="294" t="s">
        <v>849</v>
      </c>
      <c r="D1181" s="317">
        <v>55050</v>
      </c>
      <c r="E1181" s="122" t="s">
        <v>850</v>
      </c>
      <c r="F1181" s="122" t="s">
        <v>851</v>
      </c>
      <c r="G1181" s="122" t="s">
        <v>786</v>
      </c>
      <c r="H1181" s="122" t="s">
        <v>777</v>
      </c>
      <c r="I1181" s="312">
        <v>2019</v>
      </c>
      <c r="J1181" s="122" t="s">
        <v>710</v>
      </c>
      <c r="K1181" s="283">
        <v>13019</v>
      </c>
      <c r="L1181" s="318">
        <v>-33.753261999999999</v>
      </c>
      <c r="M1181" s="318">
        <v>151.25788900000001</v>
      </c>
      <c r="O1181">
        <f>INDEX('MEC - traffic congestion'!$M$145:$M$249,MATCH($D1181,'MEC - traffic congestion'!$C$145:$C$249,0))</f>
        <v>1</v>
      </c>
      <c r="P1181" t="str">
        <f t="shared" si="50"/>
        <v>2019OFF PEAK</v>
      </c>
      <c r="Q1181">
        <f t="shared" si="51"/>
        <v>1</v>
      </c>
      <c r="R1181" s="195" t="str">
        <f t="shared" si="52"/>
        <v>2019LIGHT VEHICLES</v>
      </c>
    </row>
    <row r="1182" spans="3:18" x14ac:dyDescent="0.25">
      <c r="C1182" s="294" t="s">
        <v>849</v>
      </c>
      <c r="D1182" s="317">
        <v>55050</v>
      </c>
      <c r="E1182" s="122" t="s">
        <v>850</v>
      </c>
      <c r="F1182" s="122" t="s">
        <v>851</v>
      </c>
      <c r="G1182" s="122" t="s">
        <v>785</v>
      </c>
      <c r="H1182" s="122" t="s">
        <v>777</v>
      </c>
      <c r="I1182" s="312">
        <v>2019</v>
      </c>
      <c r="J1182" s="122" t="s">
        <v>711</v>
      </c>
      <c r="K1182" s="283">
        <v>7849</v>
      </c>
      <c r="L1182" s="318">
        <v>-33.753261999999999</v>
      </c>
      <c r="M1182" s="318">
        <v>151.25788900000001</v>
      </c>
      <c r="O1182">
        <f>INDEX('MEC - traffic congestion'!$M$145:$M$249,MATCH($D1182,'MEC - traffic congestion'!$C$145:$C$249,0))</f>
        <v>1</v>
      </c>
      <c r="P1182" t="str">
        <f t="shared" si="50"/>
        <v>2019PM PEAK</v>
      </c>
      <c r="Q1182">
        <f t="shared" si="51"/>
        <v>1</v>
      </c>
      <c r="R1182" s="195" t="str">
        <f t="shared" si="52"/>
        <v>2019LIGHT VEHICLES</v>
      </c>
    </row>
    <row r="1183" spans="3:18" x14ac:dyDescent="0.25">
      <c r="C1183" s="294" t="s">
        <v>849</v>
      </c>
      <c r="D1183" s="317">
        <v>55050</v>
      </c>
      <c r="E1183" s="122" t="s">
        <v>850</v>
      </c>
      <c r="F1183" s="122" t="s">
        <v>851</v>
      </c>
      <c r="G1183" s="122" t="s">
        <v>786</v>
      </c>
      <c r="H1183" s="122" t="s">
        <v>777</v>
      </c>
      <c r="I1183" s="312">
        <v>2019</v>
      </c>
      <c r="J1183" s="122" t="s">
        <v>711</v>
      </c>
      <c r="K1183" s="283">
        <v>6701</v>
      </c>
      <c r="L1183" s="318">
        <v>-33.753261999999999</v>
      </c>
      <c r="M1183" s="318">
        <v>151.25788900000001</v>
      </c>
      <c r="O1183">
        <f>INDEX('MEC - traffic congestion'!$M$145:$M$249,MATCH($D1183,'MEC - traffic congestion'!$C$145:$C$249,0))</f>
        <v>1</v>
      </c>
      <c r="P1183" t="str">
        <f t="shared" si="50"/>
        <v>2019PM PEAK</v>
      </c>
      <c r="Q1183">
        <f t="shared" si="51"/>
        <v>1</v>
      </c>
      <c r="R1183" s="195" t="str">
        <f t="shared" si="52"/>
        <v>2019LIGHT VEHICLES</v>
      </c>
    </row>
    <row r="1184" spans="3:18" x14ac:dyDescent="0.25">
      <c r="C1184" s="294" t="s">
        <v>849</v>
      </c>
      <c r="D1184" s="317">
        <v>55050</v>
      </c>
      <c r="E1184" s="122" t="s">
        <v>850</v>
      </c>
      <c r="F1184" s="122" t="s">
        <v>851</v>
      </c>
      <c r="G1184" s="122" t="s">
        <v>785</v>
      </c>
      <c r="H1184" s="122" t="s">
        <v>777</v>
      </c>
      <c r="I1184" s="312">
        <v>2019</v>
      </c>
      <c r="J1184" s="122" t="s">
        <v>712</v>
      </c>
      <c r="K1184" s="283">
        <v>18600</v>
      </c>
      <c r="L1184" s="318">
        <v>-33.753261999999999</v>
      </c>
      <c r="M1184" s="318">
        <v>151.25788900000001</v>
      </c>
      <c r="O1184">
        <f>INDEX('MEC - traffic congestion'!$M$145:$M$249,MATCH($D1184,'MEC - traffic congestion'!$C$145:$C$249,0))</f>
        <v>1</v>
      </c>
      <c r="P1184" t="str">
        <f t="shared" si="50"/>
        <v>2019PUBLIC HOLIDAYS</v>
      </c>
      <c r="Q1184">
        <f t="shared" si="51"/>
        <v>1</v>
      </c>
      <c r="R1184" s="195" t="str">
        <f t="shared" si="52"/>
        <v>2019LIGHT VEHICLES</v>
      </c>
    </row>
    <row r="1185" spans="3:18" x14ac:dyDescent="0.25">
      <c r="C1185" s="294" t="s">
        <v>849</v>
      </c>
      <c r="D1185" s="317">
        <v>55050</v>
      </c>
      <c r="E1185" s="122" t="s">
        <v>850</v>
      </c>
      <c r="F1185" s="122" t="s">
        <v>851</v>
      </c>
      <c r="G1185" s="122" t="s">
        <v>786</v>
      </c>
      <c r="H1185" s="122" t="s">
        <v>777</v>
      </c>
      <c r="I1185" s="312">
        <v>2019</v>
      </c>
      <c r="J1185" s="122" t="s">
        <v>712</v>
      </c>
      <c r="K1185" s="283">
        <v>18980</v>
      </c>
      <c r="L1185" s="318">
        <v>-33.753261999999999</v>
      </c>
      <c r="M1185" s="318">
        <v>151.25788900000001</v>
      </c>
      <c r="O1185">
        <f>INDEX('MEC - traffic congestion'!$M$145:$M$249,MATCH($D1185,'MEC - traffic congestion'!$C$145:$C$249,0))</f>
        <v>1</v>
      </c>
      <c r="P1185" t="str">
        <f t="shared" si="50"/>
        <v>2019PUBLIC HOLIDAYS</v>
      </c>
      <c r="Q1185">
        <f t="shared" si="51"/>
        <v>1</v>
      </c>
      <c r="R1185" s="195" t="str">
        <f t="shared" si="52"/>
        <v>2019LIGHT VEHICLES</v>
      </c>
    </row>
    <row r="1186" spans="3:18" x14ac:dyDescent="0.25">
      <c r="C1186" s="294" t="s">
        <v>849</v>
      </c>
      <c r="D1186" s="317">
        <v>55050</v>
      </c>
      <c r="E1186" s="122" t="s">
        <v>850</v>
      </c>
      <c r="F1186" s="122" t="s">
        <v>851</v>
      </c>
      <c r="G1186" s="122" t="s">
        <v>785</v>
      </c>
      <c r="H1186" s="122" t="s">
        <v>777</v>
      </c>
      <c r="I1186" s="312">
        <v>2019</v>
      </c>
      <c r="J1186" s="122" t="s">
        <v>713</v>
      </c>
      <c r="K1186" s="283">
        <v>22524</v>
      </c>
      <c r="L1186" s="318">
        <v>-33.753261999999999</v>
      </c>
      <c r="M1186" s="318">
        <v>151.25788900000001</v>
      </c>
      <c r="O1186">
        <f>INDEX('MEC - traffic congestion'!$M$145:$M$249,MATCH($D1186,'MEC - traffic congestion'!$C$145:$C$249,0))</f>
        <v>1</v>
      </c>
      <c r="P1186" t="str">
        <f t="shared" si="50"/>
        <v>2019WEEKENDS</v>
      </c>
      <c r="Q1186">
        <f t="shared" si="51"/>
        <v>1</v>
      </c>
      <c r="R1186" s="195" t="str">
        <f t="shared" si="52"/>
        <v>2019LIGHT VEHICLES</v>
      </c>
    </row>
    <row r="1187" spans="3:18" x14ac:dyDescent="0.25">
      <c r="C1187" s="294" t="s">
        <v>849</v>
      </c>
      <c r="D1187" s="317">
        <v>55050</v>
      </c>
      <c r="E1187" s="122" t="s">
        <v>850</v>
      </c>
      <c r="F1187" s="122" t="s">
        <v>851</v>
      </c>
      <c r="G1187" s="122" t="s">
        <v>786</v>
      </c>
      <c r="H1187" s="122" t="s">
        <v>777</v>
      </c>
      <c r="I1187" s="312">
        <v>2019</v>
      </c>
      <c r="J1187" s="122" t="s">
        <v>713</v>
      </c>
      <c r="K1187" s="283">
        <v>22495</v>
      </c>
      <c r="L1187" s="318">
        <v>-33.753261999999999</v>
      </c>
      <c r="M1187" s="318">
        <v>151.25788900000001</v>
      </c>
      <c r="O1187">
        <f>INDEX('MEC - traffic congestion'!$M$145:$M$249,MATCH($D1187,'MEC - traffic congestion'!$C$145:$C$249,0))</f>
        <v>1</v>
      </c>
      <c r="P1187" t="str">
        <f t="shared" si="50"/>
        <v>2019WEEKENDS</v>
      </c>
      <c r="Q1187">
        <f t="shared" si="51"/>
        <v>1</v>
      </c>
      <c r="R1187" s="195" t="str">
        <f t="shared" si="52"/>
        <v>2019LIGHT VEHICLES</v>
      </c>
    </row>
    <row r="1188" spans="3:18" x14ac:dyDescent="0.25">
      <c r="C1188" s="294" t="s">
        <v>849</v>
      </c>
      <c r="D1188" s="317">
        <v>55050</v>
      </c>
      <c r="E1188" s="122" t="s">
        <v>850</v>
      </c>
      <c r="F1188" s="122" t="s">
        <v>851</v>
      </c>
      <c r="G1188" s="122" t="s">
        <v>785</v>
      </c>
      <c r="H1188" s="122" t="s">
        <v>777</v>
      </c>
      <c r="I1188" s="312">
        <v>2020</v>
      </c>
      <c r="J1188" s="122" t="s">
        <v>709</v>
      </c>
      <c r="K1188" s="283">
        <v>6134</v>
      </c>
      <c r="L1188" s="318">
        <v>-33.753261999999999</v>
      </c>
      <c r="M1188" s="318">
        <v>151.25788900000001</v>
      </c>
      <c r="O1188">
        <f>INDEX('MEC - traffic congestion'!$M$145:$M$249,MATCH($D1188,'MEC - traffic congestion'!$C$145:$C$249,0))</f>
        <v>1</v>
      </c>
      <c r="P1188" t="str">
        <f t="shared" si="50"/>
        <v>2020AM PEAK</v>
      </c>
      <c r="Q1188">
        <f t="shared" si="51"/>
        <v>1</v>
      </c>
      <c r="R1188" s="195" t="str">
        <f t="shared" si="52"/>
        <v>2020LIGHT VEHICLES</v>
      </c>
    </row>
    <row r="1189" spans="3:18" x14ac:dyDescent="0.25">
      <c r="C1189" s="294" t="s">
        <v>849</v>
      </c>
      <c r="D1189" s="317">
        <v>55050</v>
      </c>
      <c r="E1189" s="122" t="s">
        <v>850</v>
      </c>
      <c r="F1189" s="122" t="s">
        <v>851</v>
      </c>
      <c r="G1189" s="122" t="s">
        <v>786</v>
      </c>
      <c r="H1189" s="122" t="s">
        <v>777</v>
      </c>
      <c r="I1189" s="312">
        <v>2020</v>
      </c>
      <c r="J1189" s="122" t="s">
        <v>709</v>
      </c>
      <c r="K1189" s="283">
        <v>6689</v>
      </c>
      <c r="L1189" s="318">
        <v>-33.753261999999999</v>
      </c>
      <c r="M1189" s="318">
        <v>151.25788900000001</v>
      </c>
      <c r="O1189">
        <f>INDEX('MEC - traffic congestion'!$M$145:$M$249,MATCH($D1189,'MEC - traffic congestion'!$C$145:$C$249,0))</f>
        <v>1</v>
      </c>
      <c r="P1189" t="str">
        <f t="shared" si="50"/>
        <v>2020AM PEAK</v>
      </c>
      <c r="Q1189">
        <f t="shared" si="51"/>
        <v>1</v>
      </c>
      <c r="R1189" s="195" t="str">
        <f t="shared" si="52"/>
        <v>2020LIGHT VEHICLES</v>
      </c>
    </row>
    <row r="1190" spans="3:18" x14ac:dyDescent="0.25">
      <c r="C1190" s="294" t="s">
        <v>849</v>
      </c>
      <c r="D1190" s="317">
        <v>55050</v>
      </c>
      <c r="E1190" s="122" t="s">
        <v>850</v>
      </c>
      <c r="F1190" s="122" t="s">
        <v>851</v>
      </c>
      <c r="G1190" s="122" t="s">
        <v>785</v>
      </c>
      <c r="H1190" s="122" t="s">
        <v>777</v>
      </c>
      <c r="I1190" s="312">
        <v>2020</v>
      </c>
      <c r="J1190" s="122" t="s">
        <v>710</v>
      </c>
      <c r="K1190" s="283">
        <v>11184</v>
      </c>
      <c r="L1190" s="318">
        <v>-33.753261999999999</v>
      </c>
      <c r="M1190" s="318">
        <v>151.25788900000001</v>
      </c>
      <c r="O1190">
        <f>INDEX('MEC - traffic congestion'!$M$145:$M$249,MATCH($D1190,'MEC - traffic congestion'!$C$145:$C$249,0))</f>
        <v>1</v>
      </c>
      <c r="P1190" t="str">
        <f t="shared" si="50"/>
        <v>2020OFF PEAK</v>
      </c>
      <c r="Q1190">
        <f t="shared" si="51"/>
        <v>1</v>
      </c>
      <c r="R1190" s="195" t="str">
        <f t="shared" si="52"/>
        <v>2020LIGHT VEHICLES</v>
      </c>
    </row>
    <row r="1191" spans="3:18" x14ac:dyDescent="0.25">
      <c r="C1191" s="294" t="s">
        <v>849</v>
      </c>
      <c r="D1191" s="317">
        <v>55050</v>
      </c>
      <c r="E1191" s="122" t="s">
        <v>850</v>
      </c>
      <c r="F1191" s="122" t="s">
        <v>851</v>
      </c>
      <c r="G1191" s="122" t="s">
        <v>786</v>
      </c>
      <c r="H1191" s="122" t="s">
        <v>777</v>
      </c>
      <c r="I1191" s="312">
        <v>2020</v>
      </c>
      <c r="J1191" s="122" t="s">
        <v>710</v>
      </c>
      <c r="K1191" s="283">
        <v>12214</v>
      </c>
      <c r="L1191" s="318">
        <v>-33.753261999999999</v>
      </c>
      <c r="M1191" s="318">
        <v>151.25788900000001</v>
      </c>
      <c r="O1191">
        <f>INDEX('MEC - traffic congestion'!$M$145:$M$249,MATCH($D1191,'MEC - traffic congestion'!$C$145:$C$249,0))</f>
        <v>1</v>
      </c>
      <c r="P1191" t="str">
        <f t="shared" si="50"/>
        <v>2020OFF PEAK</v>
      </c>
      <c r="Q1191">
        <f t="shared" si="51"/>
        <v>1</v>
      </c>
      <c r="R1191" s="195" t="str">
        <f t="shared" si="52"/>
        <v>2020LIGHT VEHICLES</v>
      </c>
    </row>
    <row r="1192" spans="3:18" x14ac:dyDescent="0.25">
      <c r="C1192" s="294" t="s">
        <v>849</v>
      </c>
      <c r="D1192" s="317">
        <v>55050</v>
      </c>
      <c r="E1192" s="122" t="s">
        <v>850</v>
      </c>
      <c r="F1192" s="122" t="s">
        <v>851</v>
      </c>
      <c r="G1192" s="122" t="s">
        <v>785</v>
      </c>
      <c r="H1192" s="122" t="s">
        <v>777</v>
      </c>
      <c r="I1192" s="312">
        <v>2020</v>
      </c>
      <c r="J1192" s="122" t="s">
        <v>711</v>
      </c>
      <c r="K1192" s="283">
        <v>7078</v>
      </c>
      <c r="L1192" s="318">
        <v>-33.753261999999999</v>
      </c>
      <c r="M1192" s="318">
        <v>151.25788900000001</v>
      </c>
      <c r="O1192">
        <f>INDEX('MEC - traffic congestion'!$M$145:$M$249,MATCH($D1192,'MEC - traffic congestion'!$C$145:$C$249,0))</f>
        <v>1</v>
      </c>
      <c r="P1192" t="str">
        <f t="shared" si="50"/>
        <v>2020PM PEAK</v>
      </c>
      <c r="Q1192">
        <f t="shared" si="51"/>
        <v>1</v>
      </c>
      <c r="R1192" s="195" t="str">
        <f t="shared" si="52"/>
        <v>2020LIGHT VEHICLES</v>
      </c>
    </row>
    <row r="1193" spans="3:18" x14ac:dyDescent="0.25">
      <c r="C1193" s="294" t="s">
        <v>849</v>
      </c>
      <c r="D1193" s="317">
        <v>55050</v>
      </c>
      <c r="E1193" s="122" t="s">
        <v>850</v>
      </c>
      <c r="F1193" s="122" t="s">
        <v>851</v>
      </c>
      <c r="G1193" s="122" t="s">
        <v>786</v>
      </c>
      <c r="H1193" s="122" t="s">
        <v>777</v>
      </c>
      <c r="I1193" s="312">
        <v>2020</v>
      </c>
      <c r="J1193" s="122" t="s">
        <v>711</v>
      </c>
      <c r="K1193" s="283">
        <v>6347</v>
      </c>
      <c r="L1193" s="318">
        <v>-33.753261999999999</v>
      </c>
      <c r="M1193" s="318">
        <v>151.25788900000001</v>
      </c>
      <c r="O1193">
        <f>INDEX('MEC - traffic congestion'!$M$145:$M$249,MATCH($D1193,'MEC - traffic congestion'!$C$145:$C$249,0))</f>
        <v>1</v>
      </c>
      <c r="P1193" t="str">
        <f t="shared" si="50"/>
        <v>2020PM PEAK</v>
      </c>
      <c r="Q1193">
        <f t="shared" si="51"/>
        <v>1</v>
      </c>
      <c r="R1193" s="195" t="str">
        <f t="shared" si="52"/>
        <v>2020LIGHT VEHICLES</v>
      </c>
    </row>
    <row r="1194" spans="3:18" x14ac:dyDescent="0.25">
      <c r="C1194" s="294" t="s">
        <v>849</v>
      </c>
      <c r="D1194" s="317">
        <v>55050</v>
      </c>
      <c r="E1194" s="122" t="s">
        <v>850</v>
      </c>
      <c r="F1194" s="122" t="s">
        <v>851</v>
      </c>
      <c r="G1194" s="122" t="s">
        <v>785</v>
      </c>
      <c r="H1194" s="122" t="s">
        <v>777</v>
      </c>
      <c r="I1194" s="312">
        <v>2020</v>
      </c>
      <c r="J1194" s="122" t="s">
        <v>712</v>
      </c>
      <c r="K1194" s="283">
        <v>13356</v>
      </c>
      <c r="L1194" s="318">
        <v>-33.753261999999999</v>
      </c>
      <c r="M1194" s="318">
        <v>151.25788900000001</v>
      </c>
      <c r="O1194">
        <f>INDEX('MEC - traffic congestion'!$M$145:$M$249,MATCH($D1194,'MEC - traffic congestion'!$C$145:$C$249,0))</f>
        <v>1</v>
      </c>
      <c r="P1194" t="str">
        <f t="shared" si="50"/>
        <v>2020PUBLIC HOLIDAYS</v>
      </c>
      <c r="Q1194">
        <f t="shared" si="51"/>
        <v>1</v>
      </c>
      <c r="R1194" s="195" t="str">
        <f t="shared" si="52"/>
        <v>2020LIGHT VEHICLES</v>
      </c>
    </row>
    <row r="1195" spans="3:18" x14ac:dyDescent="0.25">
      <c r="C1195" s="294" t="s">
        <v>849</v>
      </c>
      <c r="D1195" s="317">
        <v>55050</v>
      </c>
      <c r="E1195" s="122" t="s">
        <v>850</v>
      </c>
      <c r="F1195" s="122" t="s">
        <v>851</v>
      </c>
      <c r="G1195" s="122" t="s">
        <v>786</v>
      </c>
      <c r="H1195" s="122" t="s">
        <v>777</v>
      </c>
      <c r="I1195" s="312">
        <v>2020</v>
      </c>
      <c r="J1195" s="122" t="s">
        <v>712</v>
      </c>
      <c r="K1195" s="283">
        <v>15415</v>
      </c>
      <c r="L1195" s="318">
        <v>-33.753261999999999</v>
      </c>
      <c r="M1195" s="318">
        <v>151.25788900000001</v>
      </c>
      <c r="O1195">
        <f>INDEX('MEC - traffic congestion'!$M$145:$M$249,MATCH($D1195,'MEC - traffic congestion'!$C$145:$C$249,0))</f>
        <v>1</v>
      </c>
      <c r="P1195" t="str">
        <f t="shared" si="50"/>
        <v>2020PUBLIC HOLIDAYS</v>
      </c>
      <c r="Q1195">
        <f t="shared" si="51"/>
        <v>1</v>
      </c>
      <c r="R1195" s="195" t="str">
        <f t="shared" si="52"/>
        <v>2020LIGHT VEHICLES</v>
      </c>
    </row>
    <row r="1196" spans="3:18" x14ac:dyDescent="0.25">
      <c r="C1196" s="294" t="s">
        <v>849</v>
      </c>
      <c r="D1196" s="317">
        <v>55050</v>
      </c>
      <c r="E1196" s="122" t="s">
        <v>850</v>
      </c>
      <c r="F1196" s="122" t="s">
        <v>851</v>
      </c>
      <c r="G1196" s="122" t="s">
        <v>785</v>
      </c>
      <c r="H1196" s="122" t="s">
        <v>777</v>
      </c>
      <c r="I1196" s="312">
        <v>2020</v>
      </c>
      <c r="J1196" s="122" t="s">
        <v>713</v>
      </c>
      <c r="K1196" s="283">
        <v>20001</v>
      </c>
      <c r="L1196" s="318">
        <v>-33.753261999999999</v>
      </c>
      <c r="M1196" s="318">
        <v>151.25788900000001</v>
      </c>
      <c r="O1196">
        <f>INDEX('MEC - traffic congestion'!$M$145:$M$249,MATCH($D1196,'MEC - traffic congestion'!$C$145:$C$249,0))</f>
        <v>1</v>
      </c>
      <c r="P1196" t="str">
        <f t="shared" si="50"/>
        <v>2020WEEKENDS</v>
      </c>
      <c r="Q1196">
        <f t="shared" si="51"/>
        <v>1</v>
      </c>
      <c r="R1196" s="195" t="str">
        <f t="shared" si="52"/>
        <v>2020LIGHT VEHICLES</v>
      </c>
    </row>
    <row r="1197" spans="3:18" x14ac:dyDescent="0.25">
      <c r="C1197" s="294" t="s">
        <v>849</v>
      </c>
      <c r="D1197" s="317">
        <v>55050</v>
      </c>
      <c r="E1197" s="122" t="s">
        <v>850</v>
      </c>
      <c r="F1197" s="122" t="s">
        <v>851</v>
      </c>
      <c r="G1197" s="122" t="s">
        <v>786</v>
      </c>
      <c r="H1197" s="122" t="s">
        <v>777</v>
      </c>
      <c r="I1197" s="312">
        <v>2020</v>
      </c>
      <c r="J1197" s="122" t="s">
        <v>713</v>
      </c>
      <c r="K1197" s="283">
        <v>20673</v>
      </c>
      <c r="L1197" s="318">
        <v>-33.753261999999999</v>
      </c>
      <c r="M1197" s="318">
        <v>151.25788900000001</v>
      </c>
      <c r="O1197">
        <f>INDEX('MEC - traffic congestion'!$M$145:$M$249,MATCH($D1197,'MEC - traffic congestion'!$C$145:$C$249,0))</f>
        <v>1</v>
      </c>
      <c r="P1197" t="str">
        <f t="shared" si="50"/>
        <v>2020WEEKENDS</v>
      </c>
      <c r="Q1197">
        <f t="shared" si="51"/>
        <v>1</v>
      </c>
      <c r="R1197" s="195" t="str">
        <f t="shared" si="52"/>
        <v>2020LIGHT VEHICLES</v>
      </c>
    </row>
    <row r="1198" spans="3:18" x14ac:dyDescent="0.25">
      <c r="C1198" s="294" t="s">
        <v>849</v>
      </c>
      <c r="D1198" s="317">
        <v>55050</v>
      </c>
      <c r="E1198" s="122" t="s">
        <v>850</v>
      </c>
      <c r="F1198" s="122" t="s">
        <v>851</v>
      </c>
      <c r="G1198" s="122" t="s">
        <v>785</v>
      </c>
      <c r="H1198" s="122" t="s">
        <v>777</v>
      </c>
      <c r="I1198" s="312">
        <v>2021</v>
      </c>
      <c r="J1198" s="122" t="s">
        <v>709</v>
      </c>
      <c r="K1198" s="283">
        <v>6488</v>
      </c>
      <c r="L1198" s="318">
        <v>-33.753261999999999</v>
      </c>
      <c r="M1198" s="318">
        <v>151.25788900000001</v>
      </c>
      <c r="O1198">
        <f>INDEX('MEC - traffic congestion'!$M$145:$M$249,MATCH($D1198,'MEC - traffic congestion'!$C$145:$C$249,0))</f>
        <v>1</v>
      </c>
      <c r="P1198" t="str">
        <f t="shared" si="50"/>
        <v>2021AM PEAK</v>
      </c>
      <c r="Q1198">
        <f t="shared" si="51"/>
        <v>1</v>
      </c>
      <c r="R1198" s="195" t="str">
        <f t="shared" si="52"/>
        <v>2021LIGHT VEHICLES</v>
      </c>
    </row>
    <row r="1199" spans="3:18" x14ac:dyDescent="0.25">
      <c r="C1199" s="294" t="s">
        <v>849</v>
      </c>
      <c r="D1199" s="317">
        <v>55050</v>
      </c>
      <c r="E1199" s="122" t="s">
        <v>850</v>
      </c>
      <c r="F1199" s="122" t="s">
        <v>851</v>
      </c>
      <c r="G1199" s="122" t="s">
        <v>786</v>
      </c>
      <c r="H1199" s="122" t="s">
        <v>777</v>
      </c>
      <c r="I1199" s="312">
        <v>2021</v>
      </c>
      <c r="J1199" s="122" t="s">
        <v>709</v>
      </c>
      <c r="K1199" s="283">
        <v>6890</v>
      </c>
      <c r="L1199" s="318">
        <v>-33.753261999999999</v>
      </c>
      <c r="M1199" s="318">
        <v>151.25788900000001</v>
      </c>
      <c r="O1199">
        <f>INDEX('MEC - traffic congestion'!$M$145:$M$249,MATCH($D1199,'MEC - traffic congestion'!$C$145:$C$249,0))</f>
        <v>1</v>
      </c>
      <c r="P1199" t="str">
        <f t="shared" si="50"/>
        <v>2021AM PEAK</v>
      </c>
      <c r="Q1199">
        <f t="shared" si="51"/>
        <v>1</v>
      </c>
      <c r="R1199" s="195" t="str">
        <f t="shared" si="52"/>
        <v>2021LIGHT VEHICLES</v>
      </c>
    </row>
    <row r="1200" spans="3:18" x14ac:dyDescent="0.25">
      <c r="C1200" s="294" t="s">
        <v>849</v>
      </c>
      <c r="D1200" s="317">
        <v>55050</v>
      </c>
      <c r="E1200" s="122" t="s">
        <v>850</v>
      </c>
      <c r="F1200" s="122" t="s">
        <v>851</v>
      </c>
      <c r="G1200" s="122" t="s">
        <v>785</v>
      </c>
      <c r="H1200" s="122" t="s">
        <v>777</v>
      </c>
      <c r="I1200" s="312">
        <v>2021</v>
      </c>
      <c r="J1200" s="122" t="s">
        <v>710</v>
      </c>
      <c r="K1200" s="283">
        <v>11356</v>
      </c>
      <c r="L1200" s="318">
        <v>-33.753261999999999</v>
      </c>
      <c r="M1200" s="318">
        <v>151.25788900000001</v>
      </c>
      <c r="O1200">
        <f>INDEX('MEC - traffic congestion'!$M$145:$M$249,MATCH($D1200,'MEC - traffic congestion'!$C$145:$C$249,0))</f>
        <v>1</v>
      </c>
      <c r="P1200" t="str">
        <f t="shared" si="50"/>
        <v>2021OFF PEAK</v>
      </c>
      <c r="Q1200">
        <f t="shared" si="51"/>
        <v>1</v>
      </c>
      <c r="R1200" s="195" t="str">
        <f t="shared" si="52"/>
        <v>2021LIGHT VEHICLES</v>
      </c>
    </row>
    <row r="1201" spans="3:18" x14ac:dyDescent="0.25">
      <c r="C1201" s="294" t="s">
        <v>849</v>
      </c>
      <c r="D1201" s="317">
        <v>55050</v>
      </c>
      <c r="E1201" s="122" t="s">
        <v>850</v>
      </c>
      <c r="F1201" s="122" t="s">
        <v>851</v>
      </c>
      <c r="G1201" s="122" t="s">
        <v>786</v>
      </c>
      <c r="H1201" s="122" t="s">
        <v>777</v>
      </c>
      <c r="I1201" s="312">
        <v>2021</v>
      </c>
      <c r="J1201" s="122" t="s">
        <v>710</v>
      </c>
      <c r="K1201" s="283">
        <v>11725</v>
      </c>
      <c r="L1201" s="318">
        <v>-33.753261999999999</v>
      </c>
      <c r="M1201" s="318">
        <v>151.25788900000001</v>
      </c>
      <c r="O1201">
        <f>INDEX('MEC - traffic congestion'!$M$145:$M$249,MATCH($D1201,'MEC - traffic congestion'!$C$145:$C$249,0))</f>
        <v>1</v>
      </c>
      <c r="P1201" t="str">
        <f t="shared" si="50"/>
        <v>2021OFF PEAK</v>
      </c>
      <c r="Q1201">
        <f t="shared" si="51"/>
        <v>1</v>
      </c>
      <c r="R1201" s="195" t="str">
        <f t="shared" si="52"/>
        <v>2021LIGHT VEHICLES</v>
      </c>
    </row>
    <row r="1202" spans="3:18" x14ac:dyDescent="0.25">
      <c r="C1202" s="294" t="s">
        <v>849</v>
      </c>
      <c r="D1202" s="317">
        <v>55050</v>
      </c>
      <c r="E1202" s="122" t="s">
        <v>850</v>
      </c>
      <c r="F1202" s="122" t="s">
        <v>851</v>
      </c>
      <c r="G1202" s="122" t="s">
        <v>785</v>
      </c>
      <c r="H1202" s="122" t="s">
        <v>777</v>
      </c>
      <c r="I1202" s="312">
        <v>2021</v>
      </c>
      <c r="J1202" s="122" t="s">
        <v>711</v>
      </c>
      <c r="K1202" s="283">
        <v>7159</v>
      </c>
      <c r="L1202" s="318">
        <v>-33.753261999999999</v>
      </c>
      <c r="M1202" s="318">
        <v>151.25788900000001</v>
      </c>
      <c r="O1202">
        <f>INDEX('MEC - traffic congestion'!$M$145:$M$249,MATCH($D1202,'MEC - traffic congestion'!$C$145:$C$249,0))</f>
        <v>1</v>
      </c>
      <c r="P1202" t="str">
        <f t="shared" si="50"/>
        <v>2021PM PEAK</v>
      </c>
      <c r="Q1202">
        <f t="shared" si="51"/>
        <v>1</v>
      </c>
      <c r="R1202" s="195" t="str">
        <f t="shared" si="52"/>
        <v>2021LIGHT VEHICLES</v>
      </c>
    </row>
    <row r="1203" spans="3:18" x14ac:dyDescent="0.25">
      <c r="C1203" s="294" t="s">
        <v>849</v>
      </c>
      <c r="D1203" s="317">
        <v>55050</v>
      </c>
      <c r="E1203" s="122" t="s">
        <v>850</v>
      </c>
      <c r="F1203" s="122" t="s">
        <v>851</v>
      </c>
      <c r="G1203" s="122" t="s">
        <v>786</v>
      </c>
      <c r="H1203" s="122" t="s">
        <v>777</v>
      </c>
      <c r="I1203" s="312">
        <v>2021</v>
      </c>
      <c r="J1203" s="122" t="s">
        <v>711</v>
      </c>
      <c r="K1203" s="283">
        <v>6614</v>
      </c>
      <c r="L1203" s="318">
        <v>-33.753261999999999</v>
      </c>
      <c r="M1203" s="318">
        <v>151.25788900000001</v>
      </c>
      <c r="O1203">
        <f>INDEX('MEC - traffic congestion'!$M$145:$M$249,MATCH($D1203,'MEC - traffic congestion'!$C$145:$C$249,0))</f>
        <v>1</v>
      </c>
      <c r="P1203" t="str">
        <f t="shared" si="50"/>
        <v>2021PM PEAK</v>
      </c>
      <c r="Q1203">
        <f t="shared" si="51"/>
        <v>1</v>
      </c>
      <c r="R1203" s="195" t="str">
        <f t="shared" si="52"/>
        <v>2021LIGHT VEHICLES</v>
      </c>
    </row>
    <row r="1204" spans="3:18" x14ac:dyDescent="0.25">
      <c r="C1204" s="294" t="s">
        <v>849</v>
      </c>
      <c r="D1204" s="317">
        <v>55050</v>
      </c>
      <c r="E1204" s="122" t="s">
        <v>850</v>
      </c>
      <c r="F1204" s="122" t="s">
        <v>851</v>
      </c>
      <c r="G1204" s="122" t="s">
        <v>785</v>
      </c>
      <c r="H1204" s="122" t="s">
        <v>777</v>
      </c>
      <c r="I1204" s="312">
        <v>2021</v>
      </c>
      <c r="J1204" s="122" t="s">
        <v>713</v>
      </c>
      <c r="K1204" s="283">
        <v>20339</v>
      </c>
      <c r="L1204" s="318">
        <v>-33.753261999999999</v>
      </c>
      <c r="M1204" s="318">
        <v>151.25788900000001</v>
      </c>
      <c r="O1204">
        <f>INDEX('MEC - traffic congestion'!$M$145:$M$249,MATCH($D1204,'MEC - traffic congestion'!$C$145:$C$249,0))</f>
        <v>1</v>
      </c>
      <c r="P1204" t="str">
        <f t="shared" si="50"/>
        <v>2021WEEKENDS</v>
      </c>
      <c r="Q1204">
        <f t="shared" si="51"/>
        <v>1</v>
      </c>
      <c r="R1204" s="195" t="str">
        <f t="shared" si="52"/>
        <v>2021LIGHT VEHICLES</v>
      </c>
    </row>
    <row r="1205" spans="3:18" x14ac:dyDescent="0.25">
      <c r="C1205" s="294" t="s">
        <v>849</v>
      </c>
      <c r="D1205" s="317">
        <v>55050</v>
      </c>
      <c r="E1205" s="122" t="s">
        <v>850</v>
      </c>
      <c r="F1205" s="122" t="s">
        <v>851</v>
      </c>
      <c r="G1205" s="122" t="s">
        <v>786</v>
      </c>
      <c r="H1205" s="122" t="s">
        <v>777</v>
      </c>
      <c r="I1205" s="312">
        <v>2021</v>
      </c>
      <c r="J1205" s="122" t="s">
        <v>713</v>
      </c>
      <c r="K1205" s="283">
        <v>20313</v>
      </c>
      <c r="L1205" s="318">
        <v>-33.753261999999999</v>
      </c>
      <c r="M1205" s="318">
        <v>151.25788900000001</v>
      </c>
      <c r="O1205">
        <f>INDEX('MEC - traffic congestion'!$M$145:$M$249,MATCH($D1205,'MEC - traffic congestion'!$C$145:$C$249,0))</f>
        <v>1</v>
      </c>
      <c r="P1205" t="str">
        <f t="shared" si="50"/>
        <v>2021WEEKENDS</v>
      </c>
      <c r="Q1205">
        <f t="shared" si="51"/>
        <v>1</v>
      </c>
      <c r="R1205" s="195" t="str">
        <f t="shared" si="52"/>
        <v>2021LIGHT VEHICLES</v>
      </c>
    </row>
    <row r="1206" spans="3:18" x14ac:dyDescent="0.25">
      <c r="C1206" s="294" t="s">
        <v>849</v>
      </c>
      <c r="D1206" s="317">
        <v>55050</v>
      </c>
      <c r="E1206" s="122" t="s">
        <v>850</v>
      </c>
      <c r="F1206" s="122" t="s">
        <v>851</v>
      </c>
      <c r="G1206" s="122" t="s">
        <v>785</v>
      </c>
      <c r="H1206" s="122" t="s">
        <v>777</v>
      </c>
      <c r="I1206" s="312">
        <v>2022</v>
      </c>
      <c r="J1206" s="122" t="s">
        <v>709</v>
      </c>
      <c r="K1206" s="283">
        <v>6906</v>
      </c>
      <c r="L1206" s="318">
        <v>-33.753261999999999</v>
      </c>
      <c r="M1206" s="318">
        <v>151.25788900000001</v>
      </c>
      <c r="O1206">
        <f>INDEX('MEC - traffic congestion'!$M$145:$M$249,MATCH($D1206,'MEC - traffic congestion'!$C$145:$C$249,0))</f>
        <v>1</v>
      </c>
      <c r="P1206" t="str">
        <f t="shared" si="50"/>
        <v>2022AM PEAK</v>
      </c>
      <c r="Q1206">
        <f t="shared" si="51"/>
        <v>1</v>
      </c>
      <c r="R1206" s="195" t="str">
        <f t="shared" si="52"/>
        <v>2022LIGHT VEHICLES</v>
      </c>
    </row>
    <row r="1207" spans="3:18" x14ac:dyDescent="0.25">
      <c r="C1207" s="294" t="s">
        <v>849</v>
      </c>
      <c r="D1207" s="317">
        <v>55050</v>
      </c>
      <c r="E1207" s="122" t="s">
        <v>850</v>
      </c>
      <c r="F1207" s="122" t="s">
        <v>851</v>
      </c>
      <c r="G1207" s="122" t="s">
        <v>786</v>
      </c>
      <c r="H1207" s="122" t="s">
        <v>777</v>
      </c>
      <c r="I1207" s="312">
        <v>2022</v>
      </c>
      <c r="J1207" s="122" t="s">
        <v>709</v>
      </c>
      <c r="K1207" s="283">
        <v>5210</v>
      </c>
      <c r="L1207" s="318">
        <v>-33.753261999999999</v>
      </c>
      <c r="M1207" s="318">
        <v>151.25788900000001</v>
      </c>
      <c r="O1207">
        <f>INDEX('MEC - traffic congestion'!$M$145:$M$249,MATCH($D1207,'MEC - traffic congestion'!$C$145:$C$249,0))</f>
        <v>1</v>
      </c>
      <c r="P1207" t="str">
        <f t="shared" si="50"/>
        <v>2022AM PEAK</v>
      </c>
      <c r="Q1207">
        <f t="shared" si="51"/>
        <v>1</v>
      </c>
      <c r="R1207" s="195" t="str">
        <f t="shared" si="52"/>
        <v>2022LIGHT VEHICLES</v>
      </c>
    </row>
    <row r="1208" spans="3:18" x14ac:dyDescent="0.25">
      <c r="C1208" s="294" t="s">
        <v>849</v>
      </c>
      <c r="D1208" s="317">
        <v>55050</v>
      </c>
      <c r="E1208" s="122" t="s">
        <v>850</v>
      </c>
      <c r="F1208" s="122" t="s">
        <v>851</v>
      </c>
      <c r="G1208" s="122" t="s">
        <v>785</v>
      </c>
      <c r="H1208" s="122" t="s">
        <v>777</v>
      </c>
      <c r="I1208" s="312">
        <v>2022</v>
      </c>
      <c r="J1208" s="122" t="s">
        <v>710</v>
      </c>
      <c r="K1208" s="283">
        <v>11733</v>
      </c>
      <c r="L1208" s="318">
        <v>-33.753261999999999</v>
      </c>
      <c r="M1208" s="318">
        <v>151.25788900000001</v>
      </c>
      <c r="O1208">
        <f>INDEX('MEC - traffic congestion'!$M$145:$M$249,MATCH($D1208,'MEC - traffic congestion'!$C$145:$C$249,0))</f>
        <v>1</v>
      </c>
      <c r="P1208" t="str">
        <f t="shared" si="50"/>
        <v>2022OFF PEAK</v>
      </c>
      <c r="Q1208">
        <f t="shared" si="51"/>
        <v>1</v>
      </c>
      <c r="R1208" s="195" t="str">
        <f t="shared" si="52"/>
        <v>2022LIGHT VEHICLES</v>
      </c>
    </row>
    <row r="1209" spans="3:18" x14ac:dyDescent="0.25">
      <c r="C1209" s="294" t="s">
        <v>849</v>
      </c>
      <c r="D1209" s="317">
        <v>55050</v>
      </c>
      <c r="E1209" s="122" t="s">
        <v>850</v>
      </c>
      <c r="F1209" s="122" t="s">
        <v>851</v>
      </c>
      <c r="G1209" s="122" t="s">
        <v>786</v>
      </c>
      <c r="H1209" s="122" t="s">
        <v>777</v>
      </c>
      <c r="I1209" s="312">
        <v>2022</v>
      </c>
      <c r="J1209" s="122" t="s">
        <v>710</v>
      </c>
      <c r="K1209" s="283">
        <v>8974</v>
      </c>
      <c r="L1209" s="318">
        <v>-33.753261999999999</v>
      </c>
      <c r="M1209" s="318">
        <v>151.25788900000001</v>
      </c>
      <c r="O1209">
        <f>INDEX('MEC - traffic congestion'!$M$145:$M$249,MATCH($D1209,'MEC - traffic congestion'!$C$145:$C$249,0))</f>
        <v>1</v>
      </c>
      <c r="P1209" t="str">
        <f t="shared" si="50"/>
        <v>2022OFF PEAK</v>
      </c>
      <c r="Q1209">
        <f t="shared" si="51"/>
        <v>1</v>
      </c>
      <c r="R1209" s="195" t="str">
        <f t="shared" si="52"/>
        <v>2022LIGHT VEHICLES</v>
      </c>
    </row>
    <row r="1210" spans="3:18" x14ac:dyDescent="0.25">
      <c r="C1210" s="294" t="s">
        <v>849</v>
      </c>
      <c r="D1210" s="317">
        <v>55050</v>
      </c>
      <c r="E1210" s="122" t="s">
        <v>850</v>
      </c>
      <c r="F1210" s="122" t="s">
        <v>851</v>
      </c>
      <c r="G1210" s="122" t="s">
        <v>785</v>
      </c>
      <c r="H1210" s="122" t="s">
        <v>777</v>
      </c>
      <c r="I1210" s="312">
        <v>2022</v>
      </c>
      <c r="J1210" s="122" t="s">
        <v>711</v>
      </c>
      <c r="K1210" s="283">
        <v>7551</v>
      </c>
      <c r="L1210" s="318">
        <v>-33.753261999999999</v>
      </c>
      <c r="M1210" s="318">
        <v>151.25788900000001</v>
      </c>
      <c r="O1210">
        <f>INDEX('MEC - traffic congestion'!$M$145:$M$249,MATCH($D1210,'MEC - traffic congestion'!$C$145:$C$249,0))</f>
        <v>1</v>
      </c>
      <c r="P1210" t="str">
        <f t="shared" si="50"/>
        <v>2022PM PEAK</v>
      </c>
      <c r="Q1210">
        <f t="shared" si="51"/>
        <v>1</v>
      </c>
      <c r="R1210" s="195" t="str">
        <f t="shared" si="52"/>
        <v>2022LIGHT VEHICLES</v>
      </c>
    </row>
    <row r="1211" spans="3:18" x14ac:dyDescent="0.25">
      <c r="C1211" s="294" t="s">
        <v>849</v>
      </c>
      <c r="D1211" s="317">
        <v>55050</v>
      </c>
      <c r="E1211" s="122" t="s">
        <v>850</v>
      </c>
      <c r="F1211" s="122" t="s">
        <v>851</v>
      </c>
      <c r="G1211" s="122" t="s">
        <v>786</v>
      </c>
      <c r="H1211" s="122" t="s">
        <v>777</v>
      </c>
      <c r="I1211" s="312">
        <v>2022</v>
      </c>
      <c r="J1211" s="122" t="s">
        <v>711</v>
      </c>
      <c r="K1211" s="283">
        <v>5181</v>
      </c>
      <c r="L1211" s="318">
        <v>-33.753261999999999</v>
      </c>
      <c r="M1211" s="318">
        <v>151.25788900000001</v>
      </c>
      <c r="O1211">
        <f>INDEX('MEC - traffic congestion'!$M$145:$M$249,MATCH($D1211,'MEC - traffic congestion'!$C$145:$C$249,0))</f>
        <v>1</v>
      </c>
      <c r="P1211" t="str">
        <f t="shared" si="50"/>
        <v>2022PM PEAK</v>
      </c>
      <c r="Q1211">
        <f t="shared" si="51"/>
        <v>1</v>
      </c>
      <c r="R1211" s="195" t="str">
        <f t="shared" si="52"/>
        <v>2022LIGHT VEHICLES</v>
      </c>
    </row>
    <row r="1212" spans="3:18" x14ac:dyDescent="0.25">
      <c r="C1212" s="294" t="s">
        <v>849</v>
      </c>
      <c r="D1212" s="317">
        <v>55050</v>
      </c>
      <c r="E1212" s="122" t="s">
        <v>850</v>
      </c>
      <c r="F1212" s="122" t="s">
        <v>851</v>
      </c>
      <c r="G1212" s="122" t="s">
        <v>785</v>
      </c>
      <c r="H1212" s="122" t="s">
        <v>777</v>
      </c>
      <c r="I1212" s="312">
        <v>2022</v>
      </c>
      <c r="J1212" s="122" t="s">
        <v>713</v>
      </c>
      <c r="K1212" s="283">
        <v>22468</v>
      </c>
      <c r="L1212" s="318">
        <v>-33.753261999999999</v>
      </c>
      <c r="M1212" s="318">
        <v>151.25788900000001</v>
      </c>
      <c r="O1212">
        <f>INDEX('MEC - traffic congestion'!$M$145:$M$249,MATCH($D1212,'MEC - traffic congestion'!$C$145:$C$249,0))</f>
        <v>1</v>
      </c>
      <c r="P1212" t="str">
        <f t="shared" si="50"/>
        <v>2022WEEKENDS</v>
      </c>
      <c r="Q1212">
        <f t="shared" si="51"/>
        <v>1</v>
      </c>
      <c r="R1212" s="195" t="str">
        <f t="shared" si="52"/>
        <v>2022LIGHT VEHICLES</v>
      </c>
    </row>
    <row r="1213" spans="3:18" x14ac:dyDescent="0.25">
      <c r="C1213" s="294" t="s">
        <v>849</v>
      </c>
      <c r="D1213" s="317">
        <v>55050</v>
      </c>
      <c r="E1213" s="122" t="s">
        <v>850</v>
      </c>
      <c r="F1213" s="122" t="s">
        <v>851</v>
      </c>
      <c r="G1213" s="122" t="s">
        <v>786</v>
      </c>
      <c r="H1213" s="122" t="s">
        <v>777</v>
      </c>
      <c r="I1213" s="312">
        <v>2022</v>
      </c>
      <c r="J1213" s="122" t="s">
        <v>713</v>
      </c>
      <c r="K1213" s="283">
        <v>16695</v>
      </c>
      <c r="L1213" s="318">
        <v>-33.753261999999999</v>
      </c>
      <c r="M1213" s="318">
        <v>151.25788900000001</v>
      </c>
      <c r="O1213">
        <f>INDEX('MEC - traffic congestion'!$M$145:$M$249,MATCH($D1213,'MEC - traffic congestion'!$C$145:$C$249,0))</f>
        <v>1</v>
      </c>
      <c r="P1213" t="str">
        <f t="shared" si="50"/>
        <v>2022WEEKENDS</v>
      </c>
      <c r="Q1213">
        <f t="shared" si="51"/>
        <v>1</v>
      </c>
      <c r="R1213" s="195" t="str">
        <f t="shared" si="52"/>
        <v>2022LIGHT VEHICLES</v>
      </c>
    </row>
    <row r="1214" spans="3:18" x14ac:dyDescent="0.25">
      <c r="C1214" s="294" t="s">
        <v>849</v>
      </c>
      <c r="D1214" s="317">
        <v>55050</v>
      </c>
      <c r="E1214" s="122" t="s">
        <v>850</v>
      </c>
      <c r="F1214" s="122" t="s">
        <v>851</v>
      </c>
      <c r="G1214" s="122" t="s">
        <v>785</v>
      </c>
      <c r="H1214" s="122" t="s">
        <v>777</v>
      </c>
      <c r="I1214" s="312">
        <v>2023</v>
      </c>
      <c r="J1214" s="122" t="s">
        <v>709</v>
      </c>
      <c r="K1214" s="283">
        <v>6951</v>
      </c>
      <c r="L1214" s="318">
        <v>-33.753261999999999</v>
      </c>
      <c r="M1214" s="318">
        <v>151.25788900000001</v>
      </c>
      <c r="O1214">
        <f>INDEX('MEC - traffic congestion'!$M$145:$M$249,MATCH($D1214,'MEC - traffic congestion'!$C$145:$C$249,0))</f>
        <v>1</v>
      </c>
      <c r="P1214" t="str">
        <f t="shared" si="50"/>
        <v>2023AM PEAK</v>
      </c>
      <c r="Q1214">
        <f t="shared" si="51"/>
        <v>1</v>
      </c>
      <c r="R1214" s="195" t="str">
        <f t="shared" si="52"/>
        <v>2023LIGHT VEHICLES</v>
      </c>
    </row>
    <row r="1215" spans="3:18" x14ac:dyDescent="0.25">
      <c r="C1215" s="294" t="s">
        <v>849</v>
      </c>
      <c r="D1215" s="317">
        <v>55050</v>
      </c>
      <c r="E1215" s="122" t="s">
        <v>850</v>
      </c>
      <c r="F1215" s="122" t="s">
        <v>851</v>
      </c>
      <c r="G1215" s="122" t="s">
        <v>786</v>
      </c>
      <c r="H1215" s="122" t="s">
        <v>777</v>
      </c>
      <c r="I1215" s="312">
        <v>2023</v>
      </c>
      <c r="J1215" s="122" t="s">
        <v>709</v>
      </c>
      <c r="K1215" s="283">
        <v>4269</v>
      </c>
      <c r="L1215" s="318">
        <v>-33.753261999999999</v>
      </c>
      <c r="M1215" s="318">
        <v>151.25788900000001</v>
      </c>
      <c r="O1215">
        <f>INDEX('MEC - traffic congestion'!$M$145:$M$249,MATCH($D1215,'MEC - traffic congestion'!$C$145:$C$249,0))</f>
        <v>1</v>
      </c>
      <c r="P1215" t="str">
        <f t="shared" si="50"/>
        <v>2023AM PEAK</v>
      </c>
      <c r="Q1215">
        <f t="shared" si="51"/>
        <v>1</v>
      </c>
      <c r="R1215" s="195" t="str">
        <f t="shared" si="52"/>
        <v>2023LIGHT VEHICLES</v>
      </c>
    </row>
    <row r="1216" spans="3:18" x14ac:dyDescent="0.25">
      <c r="C1216" s="294" t="s">
        <v>849</v>
      </c>
      <c r="D1216" s="317">
        <v>55050</v>
      </c>
      <c r="E1216" s="122" t="s">
        <v>850</v>
      </c>
      <c r="F1216" s="122" t="s">
        <v>851</v>
      </c>
      <c r="G1216" s="122" t="s">
        <v>785</v>
      </c>
      <c r="H1216" s="122" t="s">
        <v>777</v>
      </c>
      <c r="I1216" s="312">
        <v>2023</v>
      </c>
      <c r="J1216" s="122" t="s">
        <v>710</v>
      </c>
      <c r="K1216" s="283">
        <v>12262</v>
      </c>
      <c r="L1216" s="318">
        <v>-33.753261999999999</v>
      </c>
      <c r="M1216" s="318">
        <v>151.25788900000001</v>
      </c>
      <c r="O1216">
        <f>INDEX('MEC - traffic congestion'!$M$145:$M$249,MATCH($D1216,'MEC - traffic congestion'!$C$145:$C$249,0))</f>
        <v>1</v>
      </c>
      <c r="P1216" t="str">
        <f t="shared" si="50"/>
        <v>2023OFF PEAK</v>
      </c>
      <c r="Q1216">
        <f t="shared" si="51"/>
        <v>1</v>
      </c>
      <c r="R1216" s="195" t="str">
        <f t="shared" si="52"/>
        <v>2023LIGHT VEHICLES</v>
      </c>
    </row>
    <row r="1217" spans="3:18" x14ac:dyDescent="0.25">
      <c r="C1217" s="294" t="s">
        <v>849</v>
      </c>
      <c r="D1217" s="317">
        <v>55050</v>
      </c>
      <c r="E1217" s="122" t="s">
        <v>850</v>
      </c>
      <c r="F1217" s="122" t="s">
        <v>851</v>
      </c>
      <c r="G1217" s="122" t="s">
        <v>786</v>
      </c>
      <c r="H1217" s="122" t="s">
        <v>777</v>
      </c>
      <c r="I1217" s="312">
        <v>2023</v>
      </c>
      <c r="J1217" s="122" t="s">
        <v>710</v>
      </c>
      <c r="K1217" s="283">
        <v>7978</v>
      </c>
      <c r="L1217" s="318">
        <v>-33.753261999999999</v>
      </c>
      <c r="M1217" s="318">
        <v>151.25788900000001</v>
      </c>
      <c r="O1217">
        <f>INDEX('MEC - traffic congestion'!$M$145:$M$249,MATCH($D1217,'MEC - traffic congestion'!$C$145:$C$249,0))</f>
        <v>1</v>
      </c>
      <c r="P1217" t="str">
        <f t="shared" si="50"/>
        <v>2023OFF PEAK</v>
      </c>
      <c r="Q1217">
        <f t="shared" si="51"/>
        <v>1</v>
      </c>
      <c r="R1217" s="195" t="str">
        <f t="shared" si="52"/>
        <v>2023LIGHT VEHICLES</v>
      </c>
    </row>
    <row r="1218" spans="3:18" x14ac:dyDescent="0.25">
      <c r="C1218" s="294" t="s">
        <v>849</v>
      </c>
      <c r="D1218" s="317">
        <v>55050</v>
      </c>
      <c r="E1218" s="122" t="s">
        <v>850</v>
      </c>
      <c r="F1218" s="122" t="s">
        <v>851</v>
      </c>
      <c r="G1218" s="122" t="s">
        <v>785</v>
      </c>
      <c r="H1218" s="122" t="s">
        <v>777</v>
      </c>
      <c r="I1218" s="312">
        <v>2023</v>
      </c>
      <c r="J1218" s="122" t="s">
        <v>711</v>
      </c>
      <c r="K1218" s="283">
        <v>6768</v>
      </c>
      <c r="L1218" s="318">
        <v>-33.753261999999999</v>
      </c>
      <c r="M1218" s="318">
        <v>151.25788900000001</v>
      </c>
      <c r="O1218">
        <f>INDEX('MEC - traffic congestion'!$M$145:$M$249,MATCH($D1218,'MEC - traffic congestion'!$C$145:$C$249,0))</f>
        <v>1</v>
      </c>
      <c r="P1218" t="str">
        <f t="shared" si="50"/>
        <v>2023PM PEAK</v>
      </c>
      <c r="Q1218">
        <f t="shared" si="51"/>
        <v>1</v>
      </c>
      <c r="R1218" s="195" t="str">
        <f t="shared" si="52"/>
        <v>2023LIGHT VEHICLES</v>
      </c>
    </row>
    <row r="1219" spans="3:18" x14ac:dyDescent="0.25">
      <c r="C1219" s="294" t="s">
        <v>849</v>
      </c>
      <c r="D1219" s="317">
        <v>55050</v>
      </c>
      <c r="E1219" s="122" t="s">
        <v>850</v>
      </c>
      <c r="F1219" s="122" t="s">
        <v>851</v>
      </c>
      <c r="G1219" s="122" t="s">
        <v>786</v>
      </c>
      <c r="H1219" s="122" t="s">
        <v>777</v>
      </c>
      <c r="I1219" s="312">
        <v>2023</v>
      </c>
      <c r="J1219" s="122" t="s">
        <v>711</v>
      </c>
      <c r="K1219" s="283">
        <v>4004</v>
      </c>
      <c r="L1219" s="318">
        <v>-33.753261999999999</v>
      </c>
      <c r="M1219" s="318">
        <v>151.25788900000001</v>
      </c>
      <c r="O1219">
        <f>INDEX('MEC - traffic congestion'!$M$145:$M$249,MATCH($D1219,'MEC - traffic congestion'!$C$145:$C$249,0))</f>
        <v>1</v>
      </c>
      <c r="P1219" t="str">
        <f t="shared" si="50"/>
        <v>2023PM PEAK</v>
      </c>
      <c r="Q1219">
        <f t="shared" si="51"/>
        <v>1</v>
      </c>
      <c r="R1219" s="195" t="str">
        <f t="shared" si="52"/>
        <v>2023LIGHT VEHICLES</v>
      </c>
    </row>
    <row r="1220" spans="3:18" x14ac:dyDescent="0.25">
      <c r="C1220" s="294" t="s">
        <v>849</v>
      </c>
      <c r="D1220" s="317">
        <v>55050</v>
      </c>
      <c r="E1220" s="122" t="s">
        <v>850</v>
      </c>
      <c r="F1220" s="122" t="s">
        <v>851</v>
      </c>
      <c r="G1220" s="122" t="s">
        <v>785</v>
      </c>
      <c r="H1220" s="122" t="s">
        <v>777</v>
      </c>
      <c r="I1220" s="312">
        <v>2023</v>
      </c>
      <c r="J1220" s="122" t="s">
        <v>713</v>
      </c>
      <c r="K1220" s="283">
        <v>23114</v>
      </c>
      <c r="L1220" s="318">
        <v>-33.753261999999999</v>
      </c>
      <c r="M1220" s="318">
        <v>151.25788900000001</v>
      </c>
      <c r="O1220">
        <f>INDEX('MEC - traffic congestion'!$M$145:$M$249,MATCH($D1220,'MEC - traffic congestion'!$C$145:$C$249,0))</f>
        <v>1</v>
      </c>
      <c r="P1220" t="str">
        <f t="shared" si="50"/>
        <v>2023WEEKENDS</v>
      </c>
      <c r="Q1220">
        <f t="shared" si="51"/>
        <v>1</v>
      </c>
      <c r="R1220" s="195" t="str">
        <f t="shared" si="52"/>
        <v>2023LIGHT VEHICLES</v>
      </c>
    </row>
    <row r="1221" spans="3:18" x14ac:dyDescent="0.25">
      <c r="C1221" s="294" t="s">
        <v>849</v>
      </c>
      <c r="D1221" s="317">
        <v>55050</v>
      </c>
      <c r="E1221" s="122" t="s">
        <v>850</v>
      </c>
      <c r="F1221" s="122" t="s">
        <v>851</v>
      </c>
      <c r="G1221" s="122" t="s">
        <v>786</v>
      </c>
      <c r="H1221" s="122" t="s">
        <v>777</v>
      </c>
      <c r="I1221" s="312">
        <v>2023</v>
      </c>
      <c r="J1221" s="122" t="s">
        <v>713</v>
      </c>
      <c r="K1221" s="283">
        <v>13792</v>
      </c>
      <c r="L1221" s="318">
        <v>-33.753261999999999</v>
      </c>
      <c r="M1221" s="318">
        <v>151.25788900000001</v>
      </c>
      <c r="O1221">
        <f>INDEX('MEC - traffic congestion'!$M$145:$M$249,MATCH($D1221,'MEC - traffic congestion'!$C$145:$C$249,0))</f>
        <v>1</v>
      </c>
      <c r="P1221" t="str">
        <f t="shared" si="50"/>
        <v>2023WEEKENDS</v>
      </c>
      <c r="Q1221">
        <f t="shared" si="51"/>
        <v>1</v>
      </c>
      <c r="R1221" s="195" t="str">
        <f t="shared" si="52"/>
        <v>2023LIGHT VEHICLES</v>
      </c>
    </row>
    <row r="1222" spans="3:18" x14ac:dyDescent="0.25">
      <c r="C1222" s="294" t="s">
        <v>852</v>
      </c>
      <c r="D1222" s="317">
        <v>57024</v>
      </c>
      <c r="E1222" s="122" t="s">
        <v>853</v>
      </c>
      <c r="F1222" s="122" t="s">
        <v>854</v>
      </c>
      <c r="G1222" s="122" t="s">
        <v>785</v>
      </c>
      <c r="H1222" s="122" t="s">
        <v>777</v>
      </c>
      <c r="I1222" s="312">
        <v>2018</v>
      </c>
      <c r="J1222" s="122" t="s">
        <v>709</v>
      </c>
      <c r="K1222" s="283">
        <v>3917</v>
      </c>
      <c r="L1222" s="318">
        <v>-33.686591999999997</v>
      </c>
      <c r="M1222" s="318">
        <v>151.25694300000001</v>
      </c>
      <c r="O1222">
        <f>INDEX('MEC - traffic congestion'!$M$145:$M$249,MATCH($D1222,'MEC - traffic congestion'!$C$145:$C$249,0))</f>
        <v>1</v>
      </c>
      <c r="P1222" t="str">
        <f t="shared" si="50"/>
        <v>2018AM PEAK</v>
      </c>
      <c r="Q1222">
        <f t="shared" si="51"/>
        <v>1</v>
      </c>
      <c r="R1222" s="195" t="str">
        <f t="shared" si="52"/>
        <v>2018LIGHT VEHICLES</v>
      </c>
    </row>
    <row r="1223" spans="3:18" x14ac:dyDescent="0.25">
      <c r="C1223" s="294" t="s">
        <v>852</v>
      </c>
      <c r="D1223" s="317">
        <v>57024</v>
      </c>
      <c r="E1223" s="122" t="s">
        <v>853</v>
      </c>
      <c r="F1223" s="122" t="s">
        <v>854</v>
      </c>
      <c r="G1223" s="122" t="s">
        <v>786</v>
      </c>
      <c r="H1223" s="122" t="s">
        <v>777</v>
      </c>
      <c r="I1223" s="312">
        <v>2018</v>
      </c>
      <c r="J1223" s="122" t="s">
        <v>709</v>
      </c>
      <c r="K1223" s="283">
        <v>5341</v>
      </c>
      <c r="L1223" s="318">
        <v>-33.686591999999997</v>
      </c>
      <c r="M1223" s="318">
        <v>151.25694300000001</v>
      </c>
      <c r="O1223">
        <f>INDEX('MEC - traffic congestion'!$M$145:$M$249,MATCH($D1223,'MEC - traffic congestion'!$C$145:$C$249,0))</f>
        <v>1</v>
      </c>
      <c r="P1223" t="str">
        <f t="shared" si="50"/>
        <v>2018AM PEAK</v>
      </c>
      <c r="Q1223">
        <f t="shared" si="51"/>
        <v>1</v>
      </c>
      <c r="R1223" s="195" t="str">
        <f t="shared" si="52"/>
        <v>2018LIGHT VEHICLES</v>
      </c>
    </row>
    <row r="1224" spans="3:18" x14ac:dyDescent="0.25">
      <c r="C1224" s="294" t="s">
        <v>852</v>
      </c>
      <c r="D1224" s="317">
        <v>57024</v>
      </c>
      <c r="E1224" s="122" t="s">
        <v>853</v>
      </c>
      <c r="F1224" s="122" t="s">
        <v>854</v>
      </c>
      <c r="G1224" s="122" t="s">
        <v>785</v>
      </c>
      <c r="H1224" s="122" t="s">
        <v>777</v>
      </c>
      <c r="I1224" s="312">
        <v>2018</v>
      </c>
      <c r="J1224" s="122" t="s">
        <v>710</v>
      </c>
      <c r="K1224" s="283">
        <v>6713</v>
      </c>
      <c r="L1224" s="318">
        <v>-33.686591999999997</v>
      </c>
      <c r="M1224" s="318">
        <v>151.25694300000001</v>
      </c>
      <c r="O1224">
        <f>INDEX('MEC - traffic congestion'!$M$145:$M$249,MATCH($D1224,'MEC - traffic congestion'!$C$145:$C$249,0))</f>
        <v>1</v>
      </c>
      <c r="P1224" t="str">
        <f t="shared" si="50"/>
        <v>2018OFF PEAK</v>
      </c>
      <c r="Q1224">
        <f t="shared" si="51"/>
        <v>1</v>
      </c>
      <c r="R1224" s="195" t="str">
        <f t="shared" si="52"/>
        <v>2018LIGHT VEHICLES</v>
      </c>
    </row>
    <row r="1225" spans="3:18" x14ac:dyDescent="0.25">
      <c r="C1225" s="294" t="s">
        <v>852</v>
      </c>
      <c r="D1225" s="317">
        <v>57024</v>
      </c>
      <c r="E1225" s="122" t="s">
        <v>853</v>
      </c>
      <c r="F1225" s="122" t="s">
        <v>854</v>
      </c>
      <c r="G1225" s="122" t="s">
        <v>786</v>
      </c>
      <c r="H1225" s="122" t="s">
        <v>777</v>
      </c>
      <c r="I1225" s="312">
        <v>2018</v>
      </c>
      <c r="J1225" s="122" t="s">
        <v>710</v>
      </c>
      <c r="K1225" s="283">
        <v>6726</v>
      </c>
      <c r="L1225" s="318">
        <v>-33.686591999999997</v>
      </c>
      <c r="M1225" s="318">
        <v>151.25694300000001</v>
      </c>
      <c r="O1225">
        <f>INDEX('MEC - traffic congestion'!$M$145:$M$249,MATCH($D1225,'MEC - traffic congestion'!$C$145:$C$249,0))</f>
        <v>1</v>
      </c>
      <c r="P1225" t="str">
        <f t="shared" si="50"/>
        <v>2018OFF PEAK</v>
      </c>
      <c r="Q1225">
        <f t="shared" si="51"/>
        <v>1</v>
      </c>
      <c r="R1225" s="195" t="str">
        <f t="shared" si="52"/>
        <v>2018LIGHT VEHICLES</v>
      </c>
    </row>
    <row r="1226" spans="3:18" x14ac:dyDescent="0.25">
      <c r="C1226" s="294" t="s">
        <v>852</v>
      </c>
      <c r="D1226" s="317">
        <v>57024</v>
      </c>
      <c r="E1226" s="122" t="s">
        <v>853</v>
      </c>
      <c r="F1226" s="122" t="s">
        <v>854</v>
      </c>
      <c r="G1226" s="122" t="s">
        <v>785</v>
      </c>
      <c r="H1226" s="122" t="s">
        <v>777</v>
      </c>
      <c r="I1226" s="312">
        <v>2018</v>
      </c>
      <c r="J1226" s="122" t="s">
        <v>711</v>
      </c>
      <c r="K1226" s="283">
        <v>5764</v>
      </c>
      <c r="L1226" s="318">
        <v>-33.686591999999997</v>
      </c>
      <c r="M1226" s="318">
        <v>151.25694300000001</v>
      </c>
      <c r="O1226">
        <f>INDEX('MEC - traffic congestion'!$M$145:$M$249,MATCH($D1226,'MEC - traffic congestion'!$C$145:$C$249,0))</f>
        <v>1</v>
      </c>
      <c r="P1226" t="str">
        <f t="shared" si="50"/>
        <v>2018PM PEAK</v>
      </c>
      <c r="Q1226">
        <f t="shared" si="51"/>
        <v>1</v>
      </c>
      <c r="R1226" s="195" t="str">
        <f t="shared" si="52"/>
        <v>2018LIGHT VEHICLES</v>
      </c>
    </row>
    <row r="1227" spans="3:18" x14ac:dyDescent="0.25">
      <c r="C1227" s="294" t="s">
        <v>852</v>
      </c>
      <c r="D1227" s="317">
        <v>57024</v>
      </c>
      <c r="E1227" s="122" t="s">
        <v>853</v>
      </c>
      <c r="F1227" s="122" t="s">
        <v>854</v>
      </c>
      <c r="G1227" s="122" t="s">
        <v>786</v>
      </c>
      <c r="H1227" s="122" t="s">
        <v>777</v>
      </c>
      <c r="I1227" s="312">
        <v>2018</v>
      </c>
      <c r="J1227" s="122" t="s">
        <v>711</v>
      </c>
      <c r="K1227" s="283">
        <v>4061</v>
      </c>
      <c r="L1227" s="318">
        <v>-33.686591999999997</v>
      </c>
      <c r="M1227" s="318">
        <v>151.25694300000001</v>
      </c>
      <c r="O1227">
        <f>INDEX('MEC - traffic congestion'!$M$145:$M$249,MATCH($D1227,'MEC - traffic congestion'!$C$145:$C$249,0))</f>
        <v>1</v>
      </c>
      <c r="P1227" t="str">
        <f t="shared" si="50"/>
        <v>2018PM PEAK</v>
      </c>
      <c r="Q1227">
        <f t="shared" si="51"/>
        <v>1</v>
      </c>
      <c r="R1227" s="195" t="str">
        <f t="shared" si="52"/>
        <v>2018LIGHT VEHICLES</v>
      </c>
    </row>
    <row r="1228" spans="3:18" x14ac:dyDescent="0.25">
      <c r="C1228" s="294" t="s">
        <v>852</v>
      </c>
      <c r="D1228" s="317">
        <v>57024</v>
      </c>
      <c r="E1228" s="122" t="s">
        <v>853</v>
      </c>
      <c r="F1228" s="122" t="s">
        <v>854</v>
      </c>
      <c r="G1228" s="122" t="s">
        <v>785</v>
      </c>
      <c r="H1228" s="122" t="s">
        <v>777</v>
      </c>
      <c r="I1228" s="312">
        <v>2018</v>
      </c>
      <c r="J1228" s="122" t="s">
        <v>712</v>
      </c>
      <c r="K1228" s="283">
        <v>14344</v>
      </c>
      <c r="L1228" s="318">
        <v>-33.686591999999997</v>
      </c>
      <c r="M1228" s="318">
        <v>151.25694300000001</v>
      </c>
      <c r="O1228">
        <f>INDEX('MEC - traffic congestion'!$M$145:$M$249,MATCH($D1228,'MEC - traffic congestion'!$C$145:$C$249,0))</f>
        <v>1</v>
      </c>
      <c r="P1228" t="str">
        <f t="shared" si="50"/>
        <v>2018PUBLIC HOLIDAYS</v>
      </c>
      <c r="Q1228">
        <f t="shared" si="51"/>
        <v>1</v>
      </c>
      <c r="R1228" s="195" t="str">
        <f t="shared" si="52"/>
        <v>2018LIGHT VEHICLES</v>
      </c>
    </row>
    <row r="1229" spans="3:18" x14ac:dyDescent="0.25">
      <c r="C1229" s="294" t="s">
        <v>852</v>
      </c>
      <c r="D1229" s="317">
        <v>57024</v>
      </c>
      <c r="E1229" s="122" t="s">
        <v>853</v>
      </c>
      <c r="F1229" s="122" t="s">
        <v>854</v>
      </c>
      <c r="G1229" s="122" t="s">
        <v>786</v>
      </c>
      <c r="H1229" s="122" t="s">
        <v>777</v>
      </c>
      <c r="I1229" s="312">
        <v>2018</v>
      </c>
      <c r="J1229" s="122" t="s">
        <v>712</v>
      </c>
      <c r="K1229" s="283">
        <v>14301</v>
      </c>
      <c r="L1229" s="318">
        <v>-33.686591999999997</v>
      </c>
      <c r="M1229" s="318">
        <v>151.25694300000001</v>
      </c>
      <c r="O1229">
        <f>INDEX('MEC - traffic congestion'!$M$145:$M$249,MATCH($D1229,'MEC - traffic congestion'!$C$145:$C$249,0))</f>
        <v>1</v>
      </c>
      <c r="P1229" t="str">
        <f t="shared" si="50"/>
        <v>2018PUBLIC HOLIDAYS</v>
      </c>
      <c r="Q1229">
        <f t="shared" si="51"/>
        <v>1</v>
      </c>
      <c r="R1229" s="195" t="str">
        <f t="shared" si="52"/>
        <v>2018LIGHT VEHICLES</v>
      </c>
    </row>
    <row r="1230" spans="3:18" x14ac:dyDescent="0.25">
      <c r="C1230" s="294" t="s">
        <v>852</v>
      </c>
      <c r="D1230" s="317">
        <v>57024</v>
      </c>
      <c r="E1230" s="122" t="s">
        <v>853</v>
      </c>
      <c r="F1230" s="122" t="s">
        <v>854</v>
      </c>
      <c r="G1230" s="122" t="s">
        <v>785</v>
      </c>
      <c r="H1230" s="122" t="s">
        <v>777</v>
      </c>
      <c r="I1230" s="312">
        <v>2018</v>
      </c>
      <c r="J1230" s="122" t="s">
        <v>713</v>
      </c>
      <c r="K1230" s="283">
        <v>14222</v>
      </c>
      <c r="L1230" s="318">
        <v>-33.686591999999997</v>
      </c>
      <c r="M1230" s="318">
        <v>151.25694300000001</v>
      </c>
      <c r="O1230">
        <f>INDEX('MEC - traffic congestion'!$M$145:$M$249,MATCH($D1230,'MEC - traffic congestion'!$C$145:$C$249,0))</f>
        <v>1</v>
      </c>
      <c r="P1230" t="str">
        <f t="shared" si="50"/>
        <v>2018WEEKENDS</v>
      </c>
      <c r="Q1230">
        <f t="shared" si="51"/>
        <v>1</v>
      </c>
      <c r="R1230" s="195" t="str">
        <f t="shared" si="52"/>
        <v>2018LIGHT VEHICLES</v>
      </c>
    </row>
    <row r="1231" spans="3:18" x14ac:dyDescent="0.25">
      <c r="C1231" s="294" t="s">
        <v>852</v>
      </c>
      <c r="D1231" s="317">
        <v>57024</v>
      </c>
      <c r="E1231" s="122" t="s">
        <v>853</v>
      </c>
      <c r="F1231" s="122" t="s">
        <v>854</v>
      </c>
      <c r="G1231" s="122" t="s">
        <v>786</v>
      </c>
      <c r="H1231" s="122" t="s">
        <v>777</v>
      </c>
      <c r="I1231" s="312">
        <v>2018</v>
      </c>
      <c r="J1231" s="122" t="s">
        <v>713</v>
      </c>
      <c r="K1231" s="283">
        <v>14100</v>
      </c>
      <c r="L1231" s="318">
        <v>-33.686591999999997</v>
      </c>
      <c r="M1231" s="318">
        <v>151.25694300000001</v>
      </c>
      <c r="O1231">
        <f>INDEX('MEC - traffic congestion'!$M$145:$M$249,MATCH($D1231,'MEC - traffic congestion'!$C$145:$C$249,0))</f>
        <v>1</v>
      </c>
      <c r="P1231" t="str">
        <f t="shared" si="50"/>
        <v>2018WEEKENDS</v>
      </c>
      <c r="Q1231">
        <f t="shared" si="51"/>
        <v>1</v>
      </c>
      <c r="R1231" s="195" t="str">
        <f t="shared" si="52"/>
        <v>2018LIGHT VEHICLES</v>
      </c>
    </row>
    <row r="1232" spans="3:18" x14ac:dyDescent="0.25">
      <c r="C1232" s="294" t="s">
        <v>852</v>
      </c>
      <c r="D1232" s="317">
        <v>57024</v>
      </c>
      <c r="E1232" s="122" t="s">
        <v>853</v>
      </c>
      <c r="F1232" s="122" t="s">
        <v>854</v>
      </c>
      <c r="G1232" s="122" t="s">
        <v>785</v>
      </c>
      <c r="H1232" s="122" t="s">
        <v>777</v>
      </c>
      <c r="I1232" s="312">
        <v>2019</v>
      </c>
      <c r="J1232" s="122" t="s">
        <v>709</v>
      </c>
      <c r="K1232" s="283">
        <v>3833</v>
      </c>
      <c r="L1232" s="318">
        <v>-33.686591999999997</v>
      </c>
      <c r="M1232" s="318">
        <v>151.25694300000001</v>
      </c>
      <c r="O1232">
        <f>INDEX('MEC - traffic congestion'!$M$145:$M$249,MATCH($D1232,'MEC - traffic congestion'!$C$145:$C$249,0))</f>
        <v>1</v>
      </c>
      <c r="P1232" t="str">
        <f t="shared" si="50"/>
        <v>2019AM PEAK</v>
      </c>
      <c r="Q1232">
        <f t="shared" si="51"/>
        <v>1</v>
      </c>
      <c r="R1232" s="195" t="str">
        <f t="shared" si="52"/>
        <v>2019LIGHT VEHICLES</v>
      </c>
    </row>
    <row r="1233" spans="3:18" x14ac:dyDescent="0.25">
      <c r="C1233" s="294" t="s">
        <v>852</v>
      </c>
      <c r="D1233" s="317">
        <v>57024</v>
      </c>
      <c r="E1233" s="122" t="s">
        <v>853</v>
      </c>
      <c r="F1233" s="122" t="s">
        <v>854</v>
      </c>
      <c r="G1233" s="122" t="s">
        <v>786</v>
      </c>
      <c r="H1233" s="122" t="s">
        <v>777</v>
      </c>
      <c r="I1233" s="312">
        <v>2019</v>
      </c>
      <c r="J1233" s="122" t="s">
        <v>709</v>
      </c>
      <c r="K1233" s="283">
        <v>5325</v>
      </c>
      <c r="L1233" s="318">
        <v>-33.686591999999997</v>
      </c>
      <c r="M1233" s="318">
        <v>151.25694300000001</v>
      </c>
      <c r="O1233">
        <f>INDEX('MEC - traffic congestion'!$M$145:$M$249,MATCH($D1233,'MEC - traffic congestion'!$C$145:$C$249,0))</f>
        <v>1</v>
      </c>
      <c r="P1233" t="str">
        <f t="shared" si="50"/>
        <v>2019AM PEAK</v>
      </c>
      <c r="Q1233">
        <f t="shared" si="51"/>
        <v>1</v>
      </c>
      <c r="R1233" s="195" t="str">
        <f t="shared" si="52"/>
        <v>2019LIGHT VEHICLES</v>
      </c>
    </row>
    <row r="1234" spans="3:18" x14ac:dyDescent="0.25">
      <c r="C1234" s="294" t="s">
        <v>852</v>
      </c>
      <c r="D1234" s="317">
        <v>57024</v>
      </c>
      <c r="E1234" s="122" t="s">
        <v>853</v>
      </c>
      <c r="F1234" s="122" t="s">
        <v>854</v>
      </c>
      <c r="G1234" s="122" t="s">
        <v>785</v>
      </c>
      <c r="H1234" s="122" t="s">
        <v>777</v>
      </c>
      <c r="I1234" s="312">
        <v>2019</v>
      </c>
      <c r="J1234" s="122" t="s">
        <v>710</v>
      </c>
      <c r="K1234" s="283">
        <v>6537</v>
      </c>
      <c r="L1234" s="318">
        <v>-33.686591999999997</v>
      </c>
      <c r="M1234" s="318">
        <v>151.25694300000001</v>
      </c>
      <c r="O1234">
        <f>INDEX('MEC - traffic congestion'!$M$145:$M$249,MATCH($D1234,'MEC - traffic congestion'!$C$145:$C$249,0))</f>
        <v>1</v>
      </c>
      <c r="P1234" t="str">
        <f t="shared" si="50"/>
        <v>2019OFF PEAK</v>
      </c>
      <c r="Q1234">
        <f t="shared" si="51"/>
        <v>1</v>
      </c>
      <c r="R1234" s="195" t="str">
        <f t="shared" si="52"/>
        <v>2019LIGHT VEHICLES</v>
      </c>
    </row>
    <row r="1235" spans="3:18" x14ac:dyDescent="0.25">
      <c r="C1235" s="294" t="s">
        <v>852</v>
      </c>
      <c r="D1235" s="317">
        <v>57024</v>
      </c>
      <c r="E1235" s="122" t="s">
        <v>853</v>
      </c>
      <c r="F1235" s="122" t="s">
        <v>854</v>
      </c>
      <c r="G1235" s="122" t="s">
        <v>786</v>
      </c>
      <c r="H1235" s="122" t="s">
        <v>777</v>
      </c>
      <c r="I1235" s="312">
        <v>2019</v>
      </c>
      <c r="J1235" s="122" t="s">
        <v>710</v>
      </c>
      <c r="K1235" s="283">
        <v>6631</v>
      </c>
      <c r="L1235" s="318">
        <v>-33.686591999999997</v>
      </c>
      <c r="M1235" s="318">
        <v>151.25694300000001</v>
      </c>
      <c r="O1235">
        <f>INDEX('MEC - traffic congestion'!$M$145:$M$249,MATCH($D1235,'MEC - traffic congestion'!$C$145:$C$249,0))</f>
        <v>1</v>
      </c>
      <c r="P1235" t="str">
        <f t="shared" si="50"/>
        <v>2019OFF PEAK</v>
      </c>
      <c r="Q1235">
        <f t="shared" si="51"/>
        <v>1</v>
      </c>
      <c r="R1235" s="195" t="str">
        <f t="shared" si="52"/>
        <v>2019LIGHT VEHICLES</v>
      </c>
    </row>
    <row r="1236" spans="3:18" x14ac:dyDescent="0.25">
      <c r="C1236" s="294" t="s">
        <v>852</v>
      </c>
      <c r="D1236" s="317">
        <v>57024</v>
      </c>
      <c r="E1236" s="122" t="s">
        <v>853</v>
      </c>
      <c r="F1236" s="122" t="s">
        <v>854</v>
      </c>
      <c r="G1236" s="122" t="s">
        <v>785</v>
      </c>
      <c r="H1236" s="122" t="s">
        <v>777</v>
      </c>
      <c r="I1236" s="312">
        <v>2019</v>
      </c>
      <c r="J1236" s="122" t="s">
        <v>711</v>
      </c>
      <c r="K1236" s="283">
        <v>5612</v>
      </c>
      <c r="L1236" s="318">
        <v>-33.686591999999997</v>
      </c>
      <c r="M1236" s="318">
        <v>151.25694300000001</v>
      </c>
      <c r="O1236">
        <f>INDEX('MEC - traffic congestion'!$M$145:$M$249,MATCH($D1236,'MEC - traffic congestion'!$C$145:$C$249,0))</f>
        <v>1</v>
      </c>
      <c r="P1236" t="str">
        <f t="shared" si="50"/>
        <v>2019PM PEAK</v>
      </c>
      <c r="Q1236">
        <f t="shared" si="51"/>
        <v>1</v>
      </c>
      <c r="R1236" s="195" t="str">
        <f t="shared" si="52"/>
        <v>2019LIGHT VEHICLES</v>
      </c>
    </row>
    <row r="1237" spans="3:18" x14ac:dyDescent="0.25">
      <c r="C1237" s="294" t="s">
        <v>852</v>
      </c>
      <c r="D1237" s="317">
        <v>57024</v>
      </c>
      <c r="E1237" s="122" t="s">
        <v>853</v>
      </c>
      <c r="F1237" s="122" t="s">
        <v>854</v>
      </c>
      <c r="G1237" s="122" t="s">
        <v>786</v>
      </c>
      <c r="H1237" s="122" t="s">
        <v>777</v>
      </c>
      <c r="I1237" s="312">
        <v>2019</v>
      </c>
      <c r="J1237" s="122" t="s">
        <v>711</v>
      </c>
      <c r="K1237" s="283">
        <v>4052</v>
      </c>
      <c r="L1237" s="318">
        <v>-33.686591999999997</v>
      </c>
      <c r="M1237" s="318">
        <v>151.25694300000001</v>
      </c>
      <c r="O1237">
        <f>INDEX('MEC - traffic congestion'!$M$145:$M$249,MATCH($D1237,'MEC - traffic congestion'!$C$145:$C$249,0))</f>
        <v>1</v>
      </c>
      <c r="P1237" t="str">
        <f t="shared" ref="P1237:P1300" si="53">IF($O1237=1,$I1237&amp;$J1237,"")</f>
        <v>2019PM PEAK</v>
      </c>
      <c r="Q1237">
        <f t="shared" ref="Q1237:Q1300" si="54">IF(AND($M1237&gt;150.246,AND($L1237&gt;-34.397,$L1237&lt;-32.662)),1,0)</f>
        <v>1</v>
      </c>
      <c r="R1237" s="195" t="str">
        <f t="shared" ref="R1237:R1300" si="55">IF($O1237=1,$I1237&amp;$H1237,"")</f>
        <v>2019LIGHT VEHICLES</v>
      </c>
    </row>
    <row r="1238" spans="3:18" x14ac:dyDescent="0.25">
      <c r="C1238" s="294" t="s">
        <v>852</v>
      </c>
      <c r="D1238" s="317">
        <v>57024</v>
      </c>
      <c r="E1238" s="122" t="s">
        <v>853</v>
      </c>
      <c r="F1238" s="122" t="s">
        <v>854</v>
      </c>
      <c r="G1238" s="122" t="s">
        <v>785</v>
      </c>
      <c r="H1238" s="122" t="s">
        <v>777</v>
      </c>
      <c r="I1238" s="312">
        <v>2019</v>
      </c>
      <c r="J1238" s="122" t="s">
        <v>712</v>
      </c>
      <c r="K1238" s="283">
        <v>14462</v>
      </c>
      <c r="L1238" s="318">
        <v>-33.686591999999997</v>
      </c>
      <c r="M1238" s="318">
        <v>151.25694300000001</v>
      </c>
      <c r="O1238">
        <f>INDEX('MEC - traffic congestion'!$M$145:$M$249,MATCH($D1238,'MEC - traffic congestion'!$C$145:$C$249,0))</f>
        <v>1</v>
      </c>
      <c r="P1238" t="str">
        <f t="shared" si="53"/>
        <v>2019PUBLIC HOLIDAYS</v>
      </c>
      <c r="Q1238">
        <f t="shared" si="54"/>
        <v>1</v>
      </c>
      <c r="R1238" s="195" t="str">
        <f t="shared" si="55"/>
        <v>2019LIGHT VEHICLES</v>
      </c>
    </row>
    <row r="1239" spans="3:18" x14ac:dyDescent="0.25">
      <c r="C1239" s="294" t="s">
        <v>852</v>
      </c>
      <c r="D1239" s="317">
        <v>57024</v>
      </c>
      <c r="E1239" s="122" t="s">
        <v>853</v>
      </c>
      <c r="F1239" s="122" t="s">
        <v>854</v>
      </c>
      <c r="G1239" s="122" t="s">
        <v>786</v>
      </c>
      <c r="H1239" s="122" t="s">
        <v>777</v>
      </c>
      <c r="I1239" s="312">
        <v>2019</v>
      </c>
      <c r="J1239" s="122" t="s">
        <v>712</v>
      </c>
      <c r="K1239" s="283">
        <v>14508</v>
      </c>
      <c r="L1239" s="318">
        <v>-33.686591999999997</v>
      </c>
      <c r="M1239" s="318">
        <v>151.25694300000001</v>
      </c>
      <c r="O1239">
        <f>INDEX('MEC - traffic congestion'!$M$145:$M$249,MATCH($D1239,'MEC - traffic congestion'!$C$145:$C$249,0))</f>
        <v>1</v>
      </c>
      <c r="P1239" t="str">
        <f t="shared" si="53"/>
        <v>2019PUBLIC HOLIDAYS</v>
      </c>
      <c r="Q1239">
        <f t="shared" si="54"/>
        <v>1</v>
      </c>
      <c r="R1239" s="195" t="str">
        <f t="shared" si="55"/>
        <v>2019LIGHT VEHICLES</v>
      </c>
    </row>
    <row r="1240" spans="3:18" x14ac:dyDescent="0.25">
      <c r="C1240" s="294" t="s">
        <v>852</v>
      </c>
      <c r="D1240" s="317">
        <v>57024</v>
      </c>
      <c r="E1240" s="122" t="s">
        <v>853</v>
      </c>
      <c r="F1240" s="122" t="s">
        <v>854</v>
      </c>
      <c r="G1240" s="122" t="s">
        <v>785</v>
      </c>
      <c r="H1240" s="122" t="s">
        <v>777</v>
      </c>
      <c r="I1240" s="312">
        <v>2019</v>
      </c>
      <c r="J1240" s="122" t="s">
        <v>713</v>
      </c>
      <c r="K1240" s="283">
        <v>13749</v>
      </c>
      <c r="L1240" s="318">
        <v>-33.686591999999997</v>
      </c>
      <c r="M1240" s="318">
        <v>151.25694300000001</v>
      </c>
      <c r="O1240">
        <f>INDEX('MEC - traffic congestion'!$M$145:$M$249,MATCH($D1240,'MEC - traffic congestion'!$C$145:$C$249,0))</f>
        <v>1</v>
      </c>
      <c r="P1240" t="str">
        <f t="shared" si="53"/>
        <v>2019WEEKENDS</v>
      </c>
      <c r="Q1240">
        <f t="shared" si="54"/>
        <v>1</v>
      </c>
      <c r="R1240" s="195" t="str">
        <f t="shared" si="55"/>
        <v>2019LIGHT VEHICLES</v>
      </c>
    </row>
    <row r="1241" spans="3:18" x14ac:dyDescent="0.25">
      <c r="C1241" s="294" t="s">
        <v>852</v>
      </c>
      <c r="D1241" s="317">
        <v>57024</v>
      </c>
      <c r="E1241" s="122" t="s">
        <v>853</v>
      </c>
      <c r="F1241" s="122" t="s">
        <v>854</v>
      </c>
      <c r="G1241" s="122" t="s">
        <v>786</v>
      </c>
      <c r="H1241" s="122" t="s">
        <v>777</v>
      </c>
      <c r="I1241" s="312">
        <v>2019</v>
      </c>
      <c r="J1241" s="122" t="s">
        <v>713</v>
      </c>
      <c r="K1241" s="283">
        <v>13751</v>
      </c>
      <c r="L1241" s="318">
        <v>-33.686591999999997</v>
      </c>
      <c r="M1241" s="318">
        <v>151.25694300000001</v>
      </c>
      <c r="O1241">
        <f>INDEX('MEC - traffic congestion'!$M$145:$M$249,MATCH($D1241,'MEC - traffic congestion'!$C$145:$C$249,0))</f>
        <v>1</v>
      </c>
      <c r="P1241" t="str">
        <f t="shared" si="53"/>
        <v>2019WEEKENDS</v>
      </c>
      <c r="Q1241">
        <f t="shared" si="54"/>
        <v>1</v>
      </c>
      <c r="R1241" s="195" t="str">
        <f t="shared" si="55"/>
        <v>2019LIGHT VEHICLES</v>
      </c>
    </row>
    <row r="1242" spans="3:18" x14ac:dyDescent="0.25">
      <c r="C1242" s="294" t="s">
        <v>852</v>
      </c>
      <c r="D1242" s="317">
        <v>57024</v>
      </c>
      <c r="E1242" s="122" t="s">
        <v>853</v>
      </c>
      <c r="F1242" s="122" t="s">
        <v>854</v>
      </c>
      <c r="G1242" s="122" t="s">
        <v>785</v>
      </c>
      <c r="H1242" s="122" t="s">
        <v>777</v>
      </c>
      <c r="I1242" s="312">
        <v>2020</v>
      </c>
      <c r="J1242" s="122" t="s">
        <v>709</v>
      </c>
      <c r="K1242" s="283">
        <v>3694</v>
      </c>
      <c r="L1242" s="318">
        <v>-33.686591999999997</v>
      </c>
      <c r="M1242" s="318">
        <v>151.25694300000001</v>
      </c>
      <c r="O1242">
        <f>INDEX('MEC - traffic congestion'!$M$145:$M$249,MATCH($D1242,'MEC - traffic congestion'!$C$145:$C$249,0))</f>
        <v>1</v>
      </c>
      <c r="P1242" t="str">
        <f t="shared" si="53"/>
        <v>2020AM PEAK</v>
      </c>
      <c r="Q1242">
        <f t="shared" si="54"/>
        <v>1</v>
      </c>
      <c r="R1242" s="195" t="str">
        <f t="shared" si="55"/>
        <v>2020LIGHT VEHICLES</v>
      </c>
    </row>
    <row r="1243" spans="3:18" x14ac:dyDescent="0.25">
      <c r="C1243" s="294" t="s">
        <v>852</v>
      </c>
      <c r="D1243" s="317">
        <v>57024</v>
      </c>
      <c r="E1243" s="122" t="s">
        <v>853</v>
      </c>
      <c r="F1243" s="122" t="s">
        <v>854</v>
      </c>
      <c r="G1243" s="122" t="s">
        <v>786</v>
      </c>
      <c r="H1243" s="122" t="s">
        <v>777</v>
      </c>
      <c r="I1243" s="312">
        <v>2020</v>
      </c>
      <c r="J1243" s="122" t="s">
        <v>709</v>
      </c>
      <c r="K1243" s="283">
        <v>4484</v>
      </c>
      <c r="L1243" s="318">
        <v>-33.686591999999997</v>
      </c>
      <c r="M1243" s="318">
        <v>151.25694300000001</v>
      </c>
      <c r="O1243">
        <f>INDEX('MEC - traffic congestion'!$M$145:$M$249,MATCH($D1243,'MEC - traffic congestion'!$C$145:$C$249,0))</f>
        <v>1</v>
      </c>
      <c r="P1243" t="str">
        <f t="shared" si="53"/>
        <v>2020AM PEAK</v>
      </c>
      <c r="Q1243">
        <f t="shared" si="54"/>
        <v>1</v>
      </c>
      <c r="R1243" s="195" t="str">
        <f t="shared" si="55"/>
        <v>2020LIGHT VEHICLES</v>
      </c>
    </row>
    <row r="1244" spans="3:18" x14ac:dyDescent="0.25">
      <c r="C1244" s="294" t="s">
        <v>852</v>
      </c>
      <c r="D1244" s="317">
        <v>57024</v>
      </c>
      <c r="E1244" s="122" t="s">
        <v>853</v>
      </c>
      <c r="F1244" s="122" t="s">
        <v>854</v>
      </c>
      <c r="G1244" s="122" t="s">
        <v>785</v>
      </c>
      <c r="H1244" s="122" t="s">
        <v>777</v>
      </c>
      <c r="I1244" s="312">
        <v>2020</v>
      </c>
      <c r="J1244" s="122" t="s">
        <v>710</v>
      </c>
      <c r="K1244" s="283">
        <v>6074</v>
      </c>
      <c r="L1244" s="318">
        <v>-33.686591999999997</v>
      </c>
      <c r="M1244" s="318">
        <v>151.25694300000001</v>
      </c>
      <c r="O1244">
        <f>INDEX('MEC - traffic congestion'!$M$145:$M$249,MATCH($D1244,'MEC - traffic congestion'!$C$145:$C$249,0))</f>
        <v>1</v>
      </c>
      <c r="P1244" t="str">
        <f t="shared" si="53"/>
        <v>2020OFF PEAK</v>
      </c>
      <c r="Q1244">
        <f t="shared" si="54"/>
        <v>1</v>
      </c>
      <c r="R1244" s="195" t="str">
        <f t="shared" si="55"/>
        <v>2020LIGHT VEHICLES</v>
      </c>
    </row>
    <row r="1245" spans="3:18" x14ac:dyDescent="0.25">
      <c r="C1245" s="294" t="s">
        <v>852</v>
      </c>
      <c r="D1245" s="317">
        <v>57024</v>
      </c>
      <c r="E1245" s="122" t="s">
        <v>853</v>
      </c>
      <c r="F1245" s="122" t="s">
        <v>854</v>
      </c>
      <c r="G1245" s="122" t="s">
        <v>786</v>
      </c>
      <c r="H1245" s="122" t="s">
        <v>777</v>
      </c>
      <c r="I1245" s="312">
        <v>2020</v>
      </c>
      <c r="J1245" s="122" t="s">
        <v>710</v>
      </c>
      <c r="K1245" s="283">
        <v>6312</v>
      </c>
      <c r="L1245" s="318">
        <v>-33.686591999999997</v>
      </c>
      <c r="M1245" s="318">
        <v>151.25694300000001</v>
      </c>
      <c r="O1245">
        <f>INDEX('MEC - traffic congestion'!$M$145:$M$249,MATCH($D1245,'MEC - traffic congestion'!$C$145:$C$249,0))</f>
        <v>1</v>
      </c>
      <c r="P1245" t="str">
        <f t="shared" si="53"/>
        <v>2020OFF PEAK</v>
      </c>
      <c r="Q1245">
        <f t="shared" si="54"/>
        <v>1</v>
      </c>
      <c r="R1245" s="195" t="str">
        <f t="shared" si="55"/>
        <v>2020LIGHT VEHICLES</v>
      </c>
    </row>
    <row r="1246" spans="3:18" x14ac:dyDescent="0.25">
      <c r="C1246" s="294" t="s">
        <v>852</v>
      </c>
      <c r="D1246" s="317">
        <v>57024</v>
      </c>
      <c r="E1246" s="122" t="s">
        <v>853</v>
      </c>
      <c r="F1246" s="122" t="s">
        <v>854</v>
      </c>
      <c r="G1246" s="122" t="s">
        <v>785</v>
      </c>
      <c r="H1246" s="122" t="s">
        <v>777</v>
      </c>
      <c r="I1246" s="312">
        <v>2020</v>
      </c>
      <c r="J1246" s="122" t="s">
        <v>711</v>
      </c>
      <c r="K1246" s="283">
        <v>4872</v>
      </c>
      <c r="L1246" s="318">
        <v>-33.686591999999997</v>
      </c>
      <c r="M1246" s="318">
        <v>151.25694300000001</v>
      </c>
      <c r="O1246">
        <f>INDEX('MEC - traffic congestion'!$M$145:$M$249,MATCH($D1246,'MEC - traffic congestion'!$C$145:$C$249,0))</f>
        <v>1</v>
      </c>
      <c r="P1246" t="str">
        <f t="shared" si="53"/>
        <v>2020PM PEAK</v>
      </c>
      <c r="Q1246">
        <f t="shared" si="54"/>
        <v>1</v>
      </c>
      <c r="R1246" s="195" t="str">
        <f t="shared" si="55"/>
        <v>2020LIGHT VEHICLES</v>
      </c>
    </row>
    <row r="1247" spans="3:18" x14ac:dyDescent="0.25">
      <c r="C1247" s="294" t="s">
        <v>852</v>
      </c>
      <c r="D1247" s="317">
        <v>57024</v>
      </c>
      <c r="E1247" s="122" t="s">
        <v>853</v>
      </c>
      <c r="F1247" s="122" t="s">
        <v>854</v>
      </c>
      <c r="G1247" s="122" t="s">
        <v>786</v>
      </c>
      <c r="H1247" s="122" t="s">
        <v>777</v>
      </c>
      <c r="I1247" s="312">
        <v>2020</v>
      </c>
      <c r="J1247" s="122" t="s">
        <v>711</v>
      </c>
      <c r="K1247" s="283">
        <v>3946</v>
      </c>
      <c r="L1247" s="318">
        <v>-33.686591999999997</v>
      </c>
      <c r="M1247" s="318">
        <v>151.25694300000001</v>
      </c>
      <c r="O1247">
        <f>INDEX('MEC - traffic congestion'!$M$145:$M$249,MATCH($D1247,'MEC - traffic congestion'!$C$145:$C$249,0))</f>
        <v>1</v>
      </c>
      <c r="P1247" t="str">
        <f t="shared" si="53"/>
        <v>2020PM PEAK</v>
      </c>
      <c r="Q1247">
        <f t="shared" si="54"/>
        <v>1</v>
      </c>
      <c r="R1247" s="195" t="str">
        <f t="shared" si="55"/>
        <v>2020LIGHT VEHICLES</v>
      </c>
    </row>
    <row r="1248" spans="3:18" x14ac:dyDescent="0.25">
      <c r="C1248" s="294" t="s">
        <v>852</v>
      </c>
      <c r="D1248" s="317">
        <v>57024</v>
      </c>
      <c r="E1248" s="122" t="s">
        <v>853</v>
      </c>
      <c r="F1248" s="122" t="s">
        <v>854</v>
      </c>
      <c r="G1248" s="122" t="s">
        <v>785</v>
      </c>
      <c r="H1248" s="122" t="s">
        <v>777</v>
      </c>
      <c r="I1248" s="312">
        <v>2020</v>
      </c>
      <c r="J1248" s="122" t="s">
        <v>712</v>
      </c>
      <c r="K1248" s="283">
        <v>8988</v>
      </c>
      <c r="L1248" s="318">
        <v>-33.686591999999997</v>
      </c>
      <c r="M1248" s="318">
        <v>151.25694300000001</v>
      </c>
      <c r="O1248">
        <f>INDEX('MEC - traffic congestion'!$M$145:$M$249,MATCH($D1248,'MEC - traffic congestion'!$C$145:$C$249,0))</f>
        <v>1</v>
      </c>
      <c r="P1248" t="str">
        <f t="shared" si="53"/>
        <v>2020PUBLIC HOLIDAYS</v>
      </c>
      <c r="Q1248">
        <f t="shared" si="54"/>
        <v>1</v>
      </c>
      <c r="R1248" s="195" t="str">
        <f t="shared" si="55"/>
        <v>2020LIGHT VEHICLES</v>
      </c>
    </row>
    <row r="1249" spans="3:18" x14ac:dyDescent="0.25">
      <c r="C1249" s="294" t="s">
        <v>852</v>
      </c>
      <c r="D1249" s="317">
        <v>57024</v>
      </c>
      <c r="E1249" s="122" t="s">
        <v>853</v>
      </c>
      <c r="F1249" s="122" t="s">
        <v>854</v>
      </c>
      <c r="G1249" s="122" t="s">
        <v>786</v>
      </c>
      <c r="H1249" s="122" t="s">
        <v>777</v>
      </c>
      <c r="I1249" s="312">
        <v>2020</v>
      </c>
      <c r="J1249" s="122" t="s">
        <v>712</v>
      </c>
      <c r="K1249" s="283">
        <v>8955</v>
      </c>
      <c r="L1249" s="318">
        <v>-33.686591999999997</v>
      </c>
      <c r="M1249" s="318">
        <v>151.25694300000001</v>
      </c>
      <c r="O1249">
        <f>INDEX('MEC - traffic congestion'!$M$145:$M$249,MATCH($D1249,'MEC - traffic congestion'!$C$145:$C$249,0))</f>
        <v>1</v>
      </c>
      <c r="P1249" t="str">
        <f t="shared" si="53"/>
        <v>2020PUBLIC HOLIDAYS</v>
      </c>
      <c r="Q1249">
        <f t="shared" si="54"/>
        <v>1</v>
      </c>
      <c r="R1249" s="195" t="str">
        <f t="shared" si="55"/>
        <v>2020LIGHT VEHICLES</v>
      </c>
    </row>
    <row r="1250" spans="3:18" x14ac:dyDescent="0.25">
      <c r="C1250" s="294" t="s">
        <v>852</v>
      </c>
      <c r="D1250" s="317">
        <v>57024</v>
      </c>
      <c r="E1250" s="122" t="s">
        <v>853</v>
      </c>
      <c r="F1250" s="122" t="s">
        <v>854</v>
      </c>
      <c r="G1250" s="122" t="s">
        <v>785</v>
      </c>
      <c r="H1250" s="122" t="s">
        <v>777</v>
      </c>
      <c r="I1250" s="312">
        <v>2020</v>
      </c>
      <c r="J1250" s="122" t="s">
        <v>713</v>
      </c>
      <c r="K1250" s="283">
        <v>12912</v>
      </c>
      <c r="L1250" s="318">
        <v>-33.686591999999997</v>
      </c>
      <c r="M1250" s="318">
        <v>151.25694300000001</v>
      </c>
      <c r="O1250">
        <f>INDEX('MEC - traffic congestion'!$M$145:$M$249,MATCH($D1250,'MEC - traffic congestion'!$C$145:$C$249,0))</f>
        <v>1</v>
      </c>
      <c r="P1250" t="str">
        <f t="shared" si="53"/>
        <v>2020WEEKENDS</v>
      </c>
      <c r="Q1250">
        <f t="shared" si="54"/>
        <v>1</v>
      </c>
      <c r="R1250" s="195" t="str">
        <f t="shared" si="55"/>
        <v>2020LIGHT VEHICLES</v>
      </c>
    </row>
    <row r="1251" spans="3:18" x14ac:dyDescent="0.25">
      <c r="C1251" s="294" t="s">
        <v>852</v>
      </c>
      <c r="D1251" s="317">
        <v>57024</v>
      </c>
      <c r="E1251" s="122" t="s">
        <v>853</v>
      </c>
      <c r="F1251" s="122" t="s">
        <v>854</v>
      </c>
      <c r="G1251" s="122" t="s">
        <v>786</v>
      </c>
      <c r="H1251" s="122" t="s">
        <v>777</v>
      </c>
      <c r="I1251" s="312">
        <v>2020</v>
      </c>
      <c r="J1251" s="122" t="s">
        <v>713</v>
      </c>
      <c r="K1251" s="283">
        <v>12899</v>
      </c>
      <c r="L1251" s="318">
        <v>-33.686591999999997</v>
      </c>
      <c r="M1251" s="318">
        <v>151.25694300000001</v>
      </c>
      <c r="O1251">
        <f>INDEX('MEC - traffic congestion'!$M$145:$M$249,MATCH($D1251,'MEC - traffic congestion'!$C$145:$C$249,0))</f>
        <v>1</v>
      </c>
      <c r="P1251" t="str">
        <f t="shared" si="53"/>
        <v>2020WEEKENDS</v>
      </c>
      <c r="Q1251">
        <f t="shared" si="54"/>
        <v>1</v>
      </c>
      <c r="R1251" s="195" t="str">
        <f t="shared" si="55"/>
        <v>2020LIGHT VEHICLES</v>
      </c>
    </row>
    <row r="1252" spans="3:18" x14ac:dyDescent="0.25">
      <c r="C1252" s="294" t="s">
        <v>852</v>
      </c>
      <c r="D1252" s="317">
        <v>57024</v>
      </c>
      <c r="E1252" s="122" t="s">
        <v>853</v>
      </c>
      <c r="F1252" s="122" t="s">
        <v>854</v>
      </c>
      <c r="G1252" s="122" t="s">
        <v>785</v>
      </c>
      <c r="H1252" s="122" t="s">
        <v>777</v>
      </c>
      <c r="I1252" s="312">
        <v>2021</v>
      </c>
      <c r="J1252" s="122" t="s">
        <v>709</v>
      </c>
      <c r="K1252" s="283">
        <v>3494</v>
      </c>
      <c r="L1252" s="318">
        <v>-33.686591999999997</v>
      </c>
      <c r="M1252" s="318">
        <v>151.25694300000001</v>
      </c>
      <c r="O1252">
        <f>INDEX('MEC - traffic congestion'!$M$145:$M$249,MATCH($D1252,'MEC - traffic congestion'!$C$145:$C$249,0))</f>
        <v>1</v>
      </c>
      <c r="P1252" t="str">
        <f t="shared" si="53"/>
        <v>2021AM PEAK</v>
      </c>
      <c r="Q1252">
        <f t="shared" si="54"/>
        <v>1</v>
      </c>
      <c r="R1252" s="195" t="str">
        <f t="shared" si="55"/>
        <v>2021LIGHT VEHICLES</v>
      </c>
    </row>
    <row r="1253" spans="3:18" x14ac:dyDescent="0.25">
      <c r="C1253" s="294" t="s">
        <v>852</v>
      </c>
      <c r="D1253" s="317">
        <v>57024</v>
      </c>
      <c r="E1253" s="122" t="s">
        <v>853</v>
      </c>
      <c r="F1253" s="122" t="s">
        <v>854</v>
      </c>
      <c r="G1253" s="122" t="s">
        <v>786</v>
      </c>
      <c r="H1253" s="122" t="s">
        <v>777</v>
      </c>
      <c r="I1253" s="312">
        <v>2021</v>
      </c>
      <c r="J1253" s="122" t="s">
        <v>709</v>
      </c>
      <c r="K1253" s="283">
        <v>3965</v>
      </c>
      <c r="L1253" s="318">
        <v>-33.686591999999997</v>
      </c>
      <c r="M1253" s="318">
        <v>151.25694300000001</v>
      </c>
      <c r="O1253">
        <f>INDEX('MEC - traffic congestion'!$M$145:$M$249,MATCH($D1253,'MEC - traffic congestion'!$C$145:$C$249,0))</f>
        <v>1</v>
      </c>
      <c r="P1253" t="str">
        <f t="shared" si="53"/>
        <v>2021AM PEAK</v>
      </c>
      <c r="Q1253">
        <f t="shared" si="54"/>
        <v>1</v>
      </c>
      <c r="R1253" s="195" t="str">
        <f t="shared" si="55"/>
        <v>2021LIGHT VEHICLES</v>
      </c>
    </row>
    <row r="1254" spans="3:18" x14ac:dyDescent="0.25">
      <c r="C1254" s="294" t="s">
        <v>852</v>
      </c>
      <c r="D1254" s="317">
        <v>57024</v>
      </c>
      <c r="E1254" s="122" t="s">
        <v>853</v>
      </c>
      <c r="F1254" s="122" t="s">
        <v>854</v>
      </c>
      <c r="G1254" s="122" t="s">
        <v>785</v>
      </c>
      <c r="H1254" s="122" t="s">
        <v>777</v>
      </c>
      <c r="I1254" s="312">
        <v>2021</v>
      </c>
      <c r="J1254" s="122" t="s">
        <v>710</v>
      </c>
      <c r="K1254" s="283">
        <v>5377</v>
      </c>
      <c r="L1254" s="318">
        <v>-33.686591999999997</v>
      </c>
      <c r="M1254" s="318">
        <v>151.25694300000001</v>
      </c>
      <c r="O1254">
        <f>INDEX('MEC - traffic congestion'!$M$145:$M$249,MATCH($D1254,'MEC - traffic congestion'!$C$145:$C$249,0))</f>
        <v>1</v>
      </c>
      <c r="P1254" t="str">
        <f t="shared" si="53"/>
        <v>2021OFF PEAK</v>
      </c>
      <c r="Q1254">
        <f t="shared" si="54"/>
        <v>1</v>
      </c>
      <c r="R1254" s="195" t="str">
        <f t="shared" si="55"/>
        <v>2021LIGHT VEHICLES</v>
      </c>
    </row>
    <row r="1255" spans="3:18" x14ac:dyDescent="0.25">
      <c r="C1255" s="294" t="s">
        <v>852</v>
      </c>
      <c r="D1255" s="317">
        <v>57024</v>
      </c>
      <c r="E1255" s="122" t="s">
        <v>853</v>
      </c>
      <c r="F1255" s="122" t="s">
        <v>854</v>
      </c>
      <c r="G1255" s="122" t="s">
        <v>786</v>
      </c>
      <c r="H1255" s="122" t="s">
        <v>777</v>
      </c>
      <c r="I1255" s="312">
        <v>2021</v>
      </c>
      <c r="J1255" s="122" t="s">
        <v>710</v>
      </c>
      <c r="K1255" s="283">
        <v>5538</v>
      </c>
      <c r="L1255" s="318">
        <v>-33.686591999999997</v>
      </c>
      <c r="M1255" s="318">
        <v>151.25694300000001</v>
      </c>
      <c r="O1255">
        <f>INDEX('MEC - traffic congestion'!$M$145:$M$249,MATCH($D1255,'MEC - traffic congestion'!$C$145:$C$249,0))</f>
        <v>1</v>
      </c>
      <c r="P1255" t="str">
        <f t="shared" si="53"/>
        <v>2021OFF PEAK</v>
      </c>
      <c r="Q1255">
        <f t="shared" si="54"/>
        <v>1</v>
      </c>
      <c r="R1255" s="195" t="str">
        <f t="shared" si="55"/>
        <v>2021LIGHT VEHICLES</v>
      </c>
    </row>
    <row r="1256" spans="3:18" x14ac:dyDescent="0.25">
      <c r="C1256" s="294" t="s">
        <v>852</v>
      </c>
      <c r="D1256" s="317">
        <v>57024</v>
      </c>
      <c r="E1256" s="122" t="s">
        <v>853</v>
      </c>
      <c r="F1256" s="122" t="s">
        <v>854</v>
      </c>
      <c r="G1256" s="122" t="s">
        <v>785</v>
      </c>
      <c r="H1256" s="122" t="s">
        <v>777</v>
      </c>
      <c r="I1256" s="312">
        <v>2021</v>
      </c>
      <c r="J1256" s="122" t="s">
        <v>711</v>
      </c>
      <c r="K1256" s="283">
        <v>4315</v>
      </c>
      <c r="L1256" s="318">
        <v>-33.686591999999997</v>
      </c>
      <c r="M1256" s="318">
        <v>151.25694300000001</v>
      </c>
      <c r="O1256">
        <f>INDEX('MEC - traffic congestion'!$M$145:$M$249,MATCH($D1256,'MEC - traffic congestion'!$C$145:$C$249,0))</f>
        <v>1</v>
      </c>
      <c r="P1256" t="str">
        <f t="shared" si="53"/>
        <v>2021PM PEAK</v>
      </c>
      <c r="Q1256">
        <f t="shared" si="54"/>
        <v>1</v>
      </c>
      <c r="R1256" s="195" t="str">
        <f t="shared" si="55"/>
        <v>2021LIGHT VEHICLES</v>
      </c>
    </row>
    <row r="1257" spans="3:18" x14ac:dyDescent="0.25">
      <c r="C1257" s="294" t="s">
        <v>852</v>
      </c>
      <c r="D1257" s="317">
        <v>57024</v>
      </c>
      <c r="E1257" s="122" t="s">
        <v>853</v>
      </c>
      <c r="F1257" s="122" t="s">
        <v>854</v>
      </c>
      <c r="G1257" s="122" t="s">
        <v>786</v>
      </c>
      <c r="H1257" s="122" t="s">
        <v>777</v>
      </c>
      <c r="I1257" s="312">
        <v>2021</v>
      </c>
      <c r="J1257" s="122" t="s">
        <v>711</v>
      </c>
      <c r="K1257" s="283">
        <v>3660</v>
      </c>
      <c r="L1257" s="318">
        <v>-33.686591999999997</v>
      </c>
      <c r="M1257" s="318">
        <v>151.25694300000001</v>
      </c>
      <c r="O1257">
        <f>INDEX('MEC - traffic congestion'!$M$145:$M$249,MATCH($D1257,'MEC - traffic congestion'!$C$145:$C$249,0))</f>
        <v>1</v>
      </c>
      <c r="P1257" t="str">
        <f t="shared" si="53"/>
        <v>2021PM PEAK</v>
      </c>
      <c r="Q1257">
        <f t="shared" si="54"/>
        <v>1</v>
      </c>
      <c r="R1257" s="195" t="str">
        <f t="shared" si="55"/>
        <v>2021LIGHT VEHICLES</v>
      </c>
    </row>
    <row r="1258" spans="3:18" x14ac:dyDescent="0.25">
      <c r="C1258" s="294" t="s">
        <v>852</v>
      </c>
      <c r="D1258" s="317">
        <v>57024</v>
      </c>
      <c r="E1258" s="122" t="s">
        <v>853</v>
      </c>
      <c r="F1258" s="122" t="s">
        <v>854</v>
      </c>
      <c r="G1258" s="122" t="s">
        <v>785</v>
      </c>
      <c r="H1258" s="122" t="s">
        <v>777</v>
      </c>
      <c r="I1258" s="312">
        <v>2021</v>
      </c>
      <c r="J1258" s="122" t="s">
        <v>713</v>
      </c>
      <c r="K1258" s="283">
        <v>10832</v>
      </c>
      <c r="L1258" s="318">
        <v>-33.686591999999997</v>
      </c>
      <c r="M1258" s="318">
        <v>151.25694300000001</v>
      </c>
      <c r="O1258">
        <f>INDEX('MEC - traffic congestion'!$M$145:$M$249,MATCH($D1258,'MEC - traffic congestion'!$C$145:$C$249,0))</f>
        <v>1</v>
      </c>
      <c r="P1258" t="str">
        <f t="shared" si="53"/>
        <v>2021WEEKENDS</v>
      </c>
      <c r="Q1258">
        <f t="shared" si="54"/>
        <v>1</v>
      </c>
      <c r="R1258" s="195" t="str">
        <f t="shared" si="55"/>
        <v>2021LIGHT VEHICLES</v>
      </c>
    </row>
    <row r="1259" spans="3:18" x14ac:dyDescent="0.25">
      <c r="C1259" s="294" t="s">
        <v>852</v>
      </c>
      <c r="D1259" s="317">
        <v>57024</v>
      </c>
      <c r="E1259" s="122" t="s">
        <v>853</v>
      </c>
      <c r="F1259" s="122" t="s">
        <v>854</v>
      </c>
      <c r="G1259" s="122" t="s">
        <v>786</v>
      </c>
      <c r="H1259" s="122" t="s">
        <v>777</v>
      </c>
      <c r="I1259" s="312">
        <v>2021</v>
      </c>
      <c r="J1259" s="122" t="s">
        <v>713</v>
      </c>
      <c r="K1259" s="283">
        <v>10830</v>
      </c>
      <c r="L1259" s="318">
        <v>-33.686591999999997</v>
      </c>
      <c r="M1259" s="318">
        <v>151.25694300000001</v>
      </c>
      <c r="O1259">
        <f>INDEX('MEC - traffic congestion'!$M$145:$M$249,MATCH($D1259,'MEC - traffic congestion'!$C$145:$C$249,0))</f>
        <v>1</v>
      </c>
      <c r="P1259" t="str">
        <f t="shared" si="53"/>
        <v>2021WEEKENDS</v>
      </c>
      <c r="Q1259">
        <f t="shared" si="54"/>
        <v>1</v>
      </c>
      <c r="R1259" s="195" t="str">
        <f t="shared" si="55"/>
        <v>2021LIGHT VEHICLES</v>
      </c>
    </row>
    <row r="1260" spans="3:18" x14ac:dyDescent="0.25">
      <c r="C1260" s="294" t="s">
        <v>852</v>
      </c>
      <c r="D1260" s="317">
        <v>57024</v>
      </c>
      <c r="E1260" s="122" t="s">
        <v>853</v>
      </c>
      <c r="F1260" s="122" t="s">
        <v>854</v>
      </c>
      <c r="G1260" s="122" t="s">
        <v>785</v>
      </c>
      <c r="H1260" s="122" t="s">
        <v>777</v>
      </c>
      <c r="I1260" s="312">
        <v>2022</v>
      </c>
      <c r="J1260" s="122" t="s">
        <v>709</v>
      </c>
      <c r="K1260" s="283">
        <v>3560</v>
      </c>
      <c r="L1260" s="318">
        <v>-33.686591999999997</v>
      </c>
      <c r="M1260" s="318">
        <v>151.25694300000001</v>
      </c>
      <c r="O1260">
        <f>INDEX('MEC - traffic congestion'!$M$145:$M$249,MATCH($D1260,'MEC - traffic congestion'!$C$145:$C$249,0))</f>
        <v>1</v>
      </c>
      <c r="P1260" t="str">
        <f t="shared" si="53"/>
        <v>2022AM PEAK</v>
      </c>
      <c r="Q1260">
        <f t="shared" si="54"/>
        <v>1</v>
      </c>
      <c r="R1260" s="195" t="str">
        <f t="shared" si="55"/>
        <v>2022LIGHT VEHICLES</v>
      </c>
    </row>
    <row r="1261" spans="3:18" x14ac:dyDescent="0.25">
      <c r="C1261" s="294" t="s">
        <v>852</v>
      </c>
      <c r="D1261" s="317">
        <v>57024</v>
      </c>
      <c r="E1261" s="122" t="s">
        <v>853</v>
      </c>
      <c r="F1261" s="122" t="s">
        <v>854</v>
      </c>
      <c r="G1261" s="122" t="s">
        <v>786</v>
      </c>
      <c r="H1261" s="122" t="s">
        <v>777</v>
      </c>
      <c r="I1261" s="312">
        <v>2022</v>
      </c>
      <c r="J1261" s="122" t="s">
        <v>709</v>
      </c>
      <c r="K1261" s="283">
        <v>4220</v>
      </c>
      <c r="L1261" s="318">
        <v>-33.686591999999997</v>
      </c>
      <c r="M1261" s="318">
        <v>151.25694300000001</v>
      </c>
      <c r="O1261">
        <f>INDEX('MEC - traffic congestion'!$M$145:$M$249,MATCH($D1261,'MEC - traffic congestion'!$C$145:$C$249,0))</f>
        <v>1</v>
      </c>
      <c r="P1261" t="str">
        <f t="shared" si="53"/>
        <v>2022AM PEAK</v>
      </c>
      <c r="Q1261">
        <f t="shared" si="54"/>
        <v>1</v>
      </c>
      <c r="R1261" s="195" t="str">
        <f t="shared" si="55"/>
        <v>2022LIGHT VEHICLES</v>
      </c>
    </row>
    <row r="1262" spans="3:18" x14ac:dyDescent="0.25">
      <c r="C1262" s="294" t="s">
        <v>852</v>
      </c>
      <c r="D1262" s="317">
        <v>57024</v>
      </c>
      <c r="E1262" s="122" t="s">
        <v>853</v>
      </c>
      <c r="F1262" s="122" t="s">
        <v>854</v>
      </c>
      <c r="G1262" s="122" t="s">
        <v>785</v>
      </c>
      <c r="H1262" s="122" t="s">
        <v>777</v>
      </c>
      <c r="I1262" s="312">
        <v>2022</v>
      </c>
      <c r="J1262" s="122" t="s">
        <v>710</v>
      </c>
      <c r="K1262" s="283">
        <v>5252</v>
      </c>
      <c r="L1262" s="318">
        <v>-33.686591999999997</v>
      </c>
      <c r="M1262" s="318">
        <v>151.25694300000001</v>
      </c>
      <c r="O1262">
        <f>INDEX('MEC - traffic congestion'!$M$145:$M$249,MATCH($D1262,'MEC - traffic congestion'!$C$145:$C$249,0))</f>
        <v>1</v>
      </c>
      <c r="P1262" t="str">
        <f t="shared" si="53"/>
        <v>2022OFF PEAK</v>
      </c>
      <c r="Q1262">
        <f t="shared" si="54"/>
        <v>1</v>
      </c>
      <c r="R1262" s="195" t="str">
        <f t="shared" si="55"/>
        <v>2022LIGHT VEHICLES</v>
      </c>
    </row>
    <row r="1263" spans="3:18" x14ac:dyDescent="0.25">
      <c r="C1263" s="294" t="s">
        <v>852</v>
      </c>
      <c r="D1263" s="317">
        <v>57024</v>
      </c>
      <c r="E1263" s="122" t="s">
        <v>853</v>
      </c>
      <c r="F1263" s="122" t="s">
        <v>854</v>
      </c>
      <c r="G1263" s="122" t="s">
        <v>786</v>
      </c>
      <c r="H1263" s="122" t="s">
        <v>777</v>
      </c>
      <c r="I1263" s="312">
        <v>2022</v>
      </c>
      <c r="J1263" s="122" t="s">
        <v>710</v>
      </c>
      <c r="K1263" s="283">
        <v>5343</v>
      </c>
      <c r="L1263" s="318">
        <v>-33.686591999999997</v>
      </c>
      <c r="M1263" s="318">
        <v>151.25694300000001</v>
      </c>
      <c r="O1263">
        <f>INDEX('MEC - traffic congestion'!$M$145:$M$249,MATCH($D1263,'MEC - traffic congestion'!$C$145:$C$249,0))</f>
        <v>1</v>
      </c>
      <c r="P1263" t="str">
        <f t="shared" si="53"/>
        <v>2022OFF PEAK</v>
      </c>
      <c r="Q1263">
        <f t="shared" si="54"/>
        <v>1</v>
      </c>
      <c r="R1263" s="195" t="str">
        <f t="shared" si="55"/>
        <v>2022LIGHT VEHICLES</v>
      </c>
    </row>
    <row r="1264" spans="3:18" x14ac:dyDescent="0.25">
      <c r="C1264" s="294" t="s">
        <v>852</v>
      </c>
      <c r="D1264" s="317">
        <v>57024</v>
      </c>
      <c r="E1264" s="122" t="s">
        <v>853</v>
      </c>
      <c r="F1264" s="122" t="s">
        <v>854</v>
      </c>
      <c r="G1264" s="122" t="s">
        <v>785</v>
      </c>
      <c r="H1264" s="122" t="s">
        <v>777</v>
      </c>
      <c r="I1264" s="312">
        <v>2022</v>
      </c>
      <c r="J1264" s="122" t="s">
        <v>711</v>
      </c>
      <c r="K1264" s="283">
        <v>4308</v>
      </c>
      <c r="L1264" s="318">
        <v>-33.686591999999997</v>
      </c>
      <c r="M1264" s="318">
        <v>151.25694300000001</v>
      </c>
      <c r="O1264">
        <f>INDEX('MEC - traffic congestion'!$M$145:$M$249,MATCH($D1264,'MEC - traffic congestion'!$C$145:$C$249,0))</f>
        <v>1</v>
      </c>
      <c r="P1264" t="str">
        <f t="shared" si="53"/>
        <v>2022PM PEAK</v>
      </c>
      <c r="Q1264">
        <f t="shared" si="54"/>
        <v>1</v>
      </c>
      <c r="R1264" s="195" t="str">
        <f t="shared" si="55"/>
        <v>2022LIGHT VEHICLES</v>
      </c>
    </row>
    <row r="1265" spans="3:18" x14ac:dyDescent="0.25">
      <c r="C1265" s="294" t="s">
        <v>852</v>
      </c>
      <c r="D1265" s="317">
        <v>57024</v>
      </c>
      <c r="E1265" s="122" t="s">
        <v>853</v>
      </c>
      <c r="F1265" s="122" t="s">
        <v>854</v>
      </c>
      <c r="G1265" s="122" t="s">
        <v>786</v>
      </c>
      <c r="H1265" s="122" t="s">
        <v>777</v>
      </c>
      <c r="I1265" s="312">
        <v>2022</v>
      </c>
      <c r="J1265" s="122" t="s">
        <v>711</v>
      </c>
      <c r="K1265" s="283">
        <v>3675</v>
      </c>
      <c r="L1265" s="318">
        <v>-33.686591999999997</v>
      </c>
      <c r="M1265" s="318">
        <v>151.25694300000001</v>
      </c>
      <c r="O1265">
        <f>INDEX('MEC - traffic congestion'!$M$145:$M$249,MATCH($D1265,'MEC - traffic congestion'!$C$145:$C$249,0))</f>
        <v>1</v>
      </c>
      <c r="P1265" t="str">
        <f t="shared" si="53"/>
        <v>2022PM PEAK</v>
      </c>
      <c r="Q1265">
        <f t="shared" si="54"/>
        <v>1</v>
      </c>
      <c r="R1265" s="195" t="str">
        <f t="shared" si="55"/>
        <v>2022LIGHT VEHICLES</v>
      </c>
    </row>
    <row r="1266" spans="3:18" x14ac:dyDescent="0.25">
      <c r="C1266" s="294" t="s">
        <v>852</v>
      </c>
      <c r="D1266" s="317">
        <v>57024</v>
      </c>
      <c r="E1266" s="122" t="s">
        <v>853</v>
      </c>
      <c r="F1266" s="122" t="s">
        <v>854</v>
      </c>
      <c r="G1266" s="122" t="s">
        <v>785</v>
      </c>
      <c r="H1266" s="122" t="s">
        <v>777</v>
      </c>
      <c r="I1266" s="312">
        <v>2022</v>
      </c>
      <c r="J1266" s="122" t="s">
        <v>713</v>
      </c>
      <c r="K1266" s="283">
        <v>11879</v>
      </c>
      <c r="L1266" s="318">
        <v>-33.686591999999997</v>
      </c>
      <c r="M1266" s="318">
        <v>151.25694300000001</v>
      </c>
      <c r="O1266">
        <f>INDEX('MEC - traffic congestion'!$M$145:$M$249,MATCH($D1266,'MEC - traffic congestion'!$C$145:$C$249,0))</f>
        <v>1</v>
      </c>
      <c r="P1266" t="str">
        <f t="shared" si="53"/>
        <v>2022WEEKENDS</v>
      </c>
      <c r="Q1266">
        <f t="shared" si="54"/>
        <v>1</v>
      </c>
      <c r="R1266" s="195" t="str">
        <f t="shared" si="55"/>
        <v>2022LIGHT VEHICLES</v>
      </c>
    </row>
    <row r="1267" spans="3:18" x14ac:dyDescent="0.25">
      <c r="C1267" s="294" t="s">
        <v>852</v>
      </c>
      <c r="D1267" s="317">
        <v>57024</v>
      </c>
      <c r="E1267" s="122" t="s">
        <v>853</v>
      </c>
      <c r="F1267" s="122" t="s">
        <v>854</v>
      </c>
      <c r="G1267" s="122" t="s">
        <v>786</v>
      </c>
      <c r="H1267" s="122" t="s">
        <v>777</v>
      </c>
      <c r="I1267" s="312">
        <v>2022</v>
      </c>
      <c r="J1267" s="122" t="s">
        <v>713</v>
      </c>
      <c r="K1267" s="283">
        <v>11816</v>
      </c>
      <c r="L1267" s="318">
        <v>-33.686591999999997</v>
      </c>
      <c r="M1267" s="318">
        <v>151.25694300000001</v>
      </c>
      <c r="O1267">
        <f>INDEX('MEC - traffic congestion'!$M$145:$M$249,MATCH($D1267,'MEC - traffic congestion'!$C$145:$C$249,0))</f>
        <v>1</v>
      </c>
      <c r="P1267" t="str">
        <f t="shared" si="53"/>
        <v>2022WEEKENDS</v>
      </c>
      <c r="Q1267">
        <f t="shared" si="54"/>
        <v>1</v>
      </c>
      <c r="R1267" s="195" t="str">
        <f t="shared" si="55"/>
        <v>2022LIGHT VEHICLES</v>
      </c>
    </row>
    <row r="1268" spans="3:18" x14ac:dyDescent="0.25">
      <c r="C1268" s="294" t="s">
        <v>852</v>
      </c>
      <c r="D1268" s="317">
        <v>57024</v>
      </c>
      <c r="E1268" s="122" t="s">
        <v>853</v>
      </c>
      <c r="F1268" s="122" t="s">
        <v>854</v>
      </c>
      <c r="G1268" s="122" t="s">
        <v>785</v>
      </c>
      <c r="H1268" s="122" t="s">
        <v>777</v>
      </c>
      <c r="I1268" s="312">
        <v>2023</v>
      </c>
      <c r="J1268" s="122" t="s">
        <v>709</v>
      </c>
      <c r="K1268" s="283">
        <v>3396</v>
      </c>
      <c r="L1268" s="318">
        <v>-33.686591999999997</v>
      </c>
      <c r="M1268" s="318">
        <v>151.25694300000001</v>
      </c>
      <c r="O1268">
        <f>INDEX('MEC - traffic congestion'!$M$145:$M$249,MATCH($D1268,'MEC - traffic congestion'!$C$145:$C$249,0))</f>
        <v>1</v>
      </c>
      <c r="P1268" t="str">
        <f t="shared" si="53"/>
        <v>2023AM PEAK</v>
      </c>
      <c r="Q1268">
        <f t="shared" si="54"/>
        <v>1</v>
      </c>
      <c r="R1268" s="195" t="str">
        <f t="shared" si="55"/>
        <v>2023LIGHT VEHICLES</v>
      </c>
    </row>
    <row r="1269" spans="3:18" x14ac:dyDescent="0.25">
      <c r="C1269" s="294" t="s">
        <v>852</v>
      </c>
      <c r="D1269" s="317">
        <v>57024</v>
      </c>
      <c r="E1269" s="122" t="s">
        <v>853</v>
      </c>
      <c r="F1269" s="122" t="s">
        <v>854</v>
      </c>
      <c r="G1269" s="122" t="s">
        <v>786</v>
      </c>
      <c r="H1269" s="122" t="s">
        <v>777</v>
      </c>
      <c r="I1269" s="312">
        <v>2023</v>
      </c>
      <c r="J1269" s="122" t="s">
        <v>709</v>
      </c>
      <c r="K1269" s="283">
        <v>4088</v>
      </c>
      <c r="L1269" s="318">
        <v>-33.686591999999997</v>
      </c>
      <c r="M1269" s="318">
        <v>151.25694300000001</v>
      </c>
      <c r="O1269">
        <f>INDEX('MEC - traffic congestion'!$M$145:$M$249,MATCH($D1269,'MEC - traffic congestion'!$C$145:$C$249,0))</f>
        <v>1</v>
      </c>
      <c r="P1269" t="str">
        <f t="shared" si="53"/>
        <v>2023AM PEAK</v>
      </c>
      <c r="Q1269">
        <f t="shared" si="54"/>
        <v>1</v>
      </c>
      <c r="R1269" s="195" t="str">
        <f t="shared" si="55"/>
        <v>2023LIGHT VEHICLES</v>
      </c>
    </row>
    <row r="1270" spans="3:18" x14ac:dyDescent="0.25">
      <c r="C1270" s="294" t="s">
        <v>852</v>
      </c>
      <c r="D1270" s="317">
        <v>57024</v>
      </c>
      <c r="E1270" s="122" t="s">
        <v>853</v>
      </c>
      <c r="F1270" s="122" t="s">
        <v>854</v>
      </c>
      <c r="G1270" s="122" t="s">
        <v>785</v>
      </c>
      <c r="H1270" s="122" t="s">
        <v>777</v>
      </c>
      <c r="I1270" s="312">
        <v>2023</v>
      </c>
      <c r="J1270" s="122" t="s">
        <v>710</v>
      </c>
      <c r="K1270" s="283">
        <v>5533</v>
      </c>
      <c r="L1270" s="318">
        <v>-33.686591999999997</v>
      </c>
      <c r="M1270" s="318">
        <v>151.25694300000001</v>
      </c>
      <c r="O1270">
        <f>INDEX('MEC - traffic congestion'!$M$145:$M$249,MATCH($D1270,'MEC - traffic congestion'!$C$145:$C$249,0))</f>
        <v>1</v>
      </c>
      <c r="P1270" t="str">
        <f t="shared" si="53"/>
        <v>2023OFF PEAK</v>
      </c>
      <c r="Q1270">
        <f t="shared" si="54"/>
        <v>1</v>
      </c>
      <c r="R1270" s="195" t="str">
        <f t="shared" si="55"/>
        <v>2023LIGHT VEHICLES</v>
      </c>
    </row>
    <row r="1271" spans="3:18" x14ac:dyDescent="0.25">
      <c r="C1271" s="294" t="s">
        <v>852</v>
      </c>
      <c r="D1271" s="317">
        <v>57024</v>
      </c>
      <c r="E1271" s="122" t="s">
        <v>853</v>
      </c>
      <c r="F1271" s="122" t="s">
        <v>854</v>
      </c>
      <c r="G1271" s="122" t="s">
        <v>786</v>
      </c>
      <c r="H1271" s="122" t="s">
        <v>777</v>
      </c>
      <c r="I1271" s="312">
        <v>2023</v>
      </c>
      <c r="J1271" s="122" t="s">
        <v>710</v>
      </c>
      <c r="K1271" s="283">
        <v>5578</v>
      </c>
      <c r="L1271" s="318">
        <v>-33.686591999999997</v>
      </c>
      <c r="M1271" s="318">
        <v>151.25694300000001</v>
      </c>
      <c r="O1271">
        <f>INDEX('MEC - traffic congestion'!$M$145:$M$249,MATCH($D1271,'MEC - traffic congestion'!$C$145:$C$249,0))</f>
        <v>1</v>
      </c>
      <c r="P1271" t="str">
        <f t="shared" si="53"/>
        <v>2023OFF PEAK</v>
      </c>
      <c r="Q1271">
        <f t="shared" si="54"/>
        <v>1</v>
      </c>
      <c r="R1271" s="195" t="str">
        <f t="shared" si="55"/>
        <v>2023LIGHT VEHICLES</v>
      </c>
    </row>
    <row r="1272" spans="3:18" x14ac:dyDescent="0.25">
      <c r="C1272" s="294" t="s">
        <v>852</v>
      </c>
      <c r="D1272" s="317">
        <v>57024</v>
      </c>
      <c r="E1272" s="122" t="s">
        <v>853</v>
      </c>
      <c r="F1272" s="122" t="s">
        <v>854</v>
      </c>
      <c r="G1272" s="122" t="s">
        <v>785</v>
      </c>
      <c r="H1272" s="122" t="s">
        <v>777</v>
      </c>
      <c r="I1272" s="312">
        <v>2023</v>
      </c>
      <c r="J1272" s="122" t="s">
        <v>711</v>
      </c>
      <c r="K1272" s="283">
        <v>4345</v>
      </c>
      <c r="L1272" s="318">
        <v>-33.686591999999997</v>
      </c>
      <c r="M1272" s="318">
        <v>151.25694300000001</v>
      </c>
      <c r="O1272">
        <f>INDEX('MEC - traffic congestion'!$M$145:$M$249,MATCH($D1272,'MEC - traffic congestion'!$C$145:$C$249,0))</f>
        <v>1</v>
      </c>
      <c r="P1272" t="str">
        <f t="shared" si="53"/>
        <v>2023PM PEAK</v>
      </c>
      <c r="Q1272">
        <f t="shared" si="54"/>
        <v>1</v>
      </c>
      <c r="R1272" s="195" t="str">
        <f t="shared" si="55"/>
        <v>2023LIGHT VEHICLES</v>
      </c>
    </row>
    <row r="1273" spans="3:18" x14ac:dyDescent="0.25">
      <c r="C1273" s="294" t="s">
        <v>852</v>
      </c>
      <c r="D1273" s="317">
        <v>57024</v>
      </c>
      <c r="E1273" s="122" t="s">
        <v>853</v>
      </c>
      <c r="F1273" s="122" t="s">
        <v>854</v>
      </c>
      <c r="G1273" s="122" t="s">
        <v>786</v>
      </c>
      <c r="H1273" s="122" t="s">
        <v>777</v>
      </c>
      <c r="I1273" s="312">
        <v>2023</v>
      </c>
      <c r="J1273" s="122" t="s">
        <v>711</v>
      </c>
      <c r="K1273" s="283">
        <v>3674</v>
      </c>
      <c r="L1273" s="318">
        <v>-33.686591999999997</v>
      </c>
      <c r="M1273" s="318">
        <v>151.25694300000001</v>
      </c>
      <c r="O1273">
        <f>INDEX('MEC - traffic congestion'!$M$145:$M$249,MATCH($D1273,'MEC - traffic congestion'!$C$145:$C$249,0))</f>
        <v>1</v>
      </c>
      <c r="P1273" t="str">
        <f t="shared" si="53"/>
        <v>2023PM PEAK</v>
      </c>
      <c r="Q1273">
        <f t="shared" si="54"/>
        <v>1</v>
      </c>
      <c r="R1273" s="195" t="str">
        <f t="shared" si="55"/>
        <v>2023LIGHT VEHICLES</v>
      </c>
    </row>
    <row r="1274" spans="3:18" x14ac:dyDescent="0.25">
      <c r="C1274" s="294" t="s">
        <v>852</v>
      </c>
      <c r="D1274" s="317">
        <v>57024</v>
      </c>
      <c r="E1274" s="122" t="s">
        <v>853</v>
      </c>
      <c r="F1274" s="122" t="s">
        <v>854</v>
      </c>
      <c r="G1274" s="122" t="s">
        <v>785</v>
      </c>
      <c r="H1274" s="122" t="s">
        <v>777</v>
      </c>
      <c r="I1274" s="312">
        <v>2023</v>
      </c>
      <c r="J1274" s="122" t="s">
        <v>713</v>
      </c>
      <c r="K1274" s="283">
        <v>11694</v>
      </c>
      <c r="L1274" s="318">
        <v>-33.686591999999997</v>
      </c>
      <c r="M1274" s="318">
        <v>151.25694300000001</v>
      </c>
      <c r="O1274">
        <f>INDEX('MEC - traffic congestion'!$M$145:$M$249,MATCH($D1274,'MEC - traffic congestion'!$C$145:$C$249,0))</f>
        <v>1</v>
      </c>
      <c r="P1274" t="str">
        <f t="shared" si="53"/>
        <v>2023WEEKENDS</v>
      </c>
      <c r="Q1274">
        <f t="shared" si="54"/>
        <v>1</v>
      </c>
      <c r="R1274" s="195" t="str">
        <f t="shared" si="55"/>
        <v>2023LIGHT VEHICLES</v>
      </c>
    </row>
    <row r="1275" spans="3:18" x14ac:dyDescent="0.25">
      <c r="C1275" s="294" t="s">
        <v>852</v>
      </c>
      <c r="D1275" s="317">
        <v>57024</v>
      </c>
      <c r="E1275" s="122" t="s">
        <v>853</v>
      </c>
      <c r="F1275" s="122" t="s">
        <v>854</v>
      </c>
      <c r="G1275" s="122" t="s">
        <v>786</v>
      </c>
      <c r="H1275" s="122" t="s">
        <v>777</v>
      </c>
      <c r="I1275" s="312">
        <v>2023</v>
      </c>
      <c r="J1275" s="122" t="s">
        <v>713</v>
      </c>
      <c r="K1275" s="283">
        <v>11772</v>
      </c>
      <c r="L1275" s="318">
        <v>-33.686591999999997</v>
      </c>
      <c r="M1275" s="318">
        <v>151.25694300000001</v>
      </c>
      <c r="O1275">
        <f>INDEX('MEC - traffic congestion'!$M$145:$M$249,MATCH($D1275,'MEC - traffic congestion'!$C$145:$C$249,0))</f>
        <v>1</v>
      </c>
      <c r="P1275" t="str">
        <f t="shared" si="53"/>
        <v>2023WEEKENDS</v>
      </c>
      <c r="Q1275">
        <f t="shared" si="54"/>
        <v>1</v>
      </c>
      <c r="R1275" s="195" t="str">
        <f t="shared" si="55"/>
        <v>2023LIGHT VEHICLES</v>
      </c>
    </row>
    <row r="1276" spans="3:18" x14ac:dyDescent="0.25">
      <c r="C1276" s="294" t="s">
        <v>855</v>
      </c>
      <c r="D1276" s="317">
        <v>57025</v>
      </c>
      <c r="E1276" s="122" t="s">
        <v>856</v>
      </c>
      <c r="F1276" s="122" t="s">
        <v>857</v>
      </c>
      <c r="G1276" s="122" t="s">
        <v>776</v>
      </c>
      <c r="H1276" s="122" t="s">
        <v>777</v>
      </c>
      <c r="I1276" s="312">
        <v>2018</v>
      </c>
      <c r="J1276" s="122" t="s">
        <v>709</v>
      </c>
      <c r="K1276" s="283">
        <v>4651</v>
      </c>
      <c r="L1276" s="318">
        <v>-33.725772999999997</v>
      </c>
      <c r="M1276" s="318">
        <v>151.21978799999999</v>
      </c>
      <c r="O1276">
        <f>INDEX('MEC - traffic congestion'!$M$145:$M$249,MATCH($D1276,'MEC - traffic congestion'!$C$145:$C$249,0))</f>
        <v>1</v>
      </c>
      <c r="P1276" t="str">
        <f t="shared" si="53"/>
        <v>2018AM PEAK</v>
      </c>
      <c r="Q1276">
        <f t="shared" si="54"/>
        <v>1</v>
      </c>
      <c r="R1276" s="195" t="str">
        <f t="shared" si="55"/>
        <v>2018LIGHT VEHICLES</v>
      </c>
    </row>
    <row r="1277" spans="3:18" x14ac:dyDescent="0.25">
      <c r="C1277" s="294" t="s">
        <v>855</v>
      </c>
      <c r="D1277" s="317">
        <v>57025</v>
      </c>
      <c r="E1277" s="122" t="s">
        <v>856</v>
      </c>
      <c r="F1277" s="122" t="s">
        <v>857</v>
      </c>
      <c r="G1277" s="122" t="s">
        <v>778</v>
      </c>
      <c r="H1277" s="122" t="s">
        <v>777</v>
      </c>
      <c r="I1277" s="312">
        <v>2018</v>
      </c>
      <c r="J1277" s="122" t="s">
        <v>709</v>
      </c>
      <c r="K1277" s="283">
        <v>4371</v>
      </c>
      <c r="L1277" s="318">
        <v>-33.725772999999997</v>
      </c>
      <c r="M1277" s="318">
        <v>151.21978799999999</v>
      </c>
      <c r="O1277">
        <f>INDEX('MEC - traffic congestion'!$M$145:$M$249,MATCH($D1277,'MEC - traffic congestion'!$C$145:$C$249,0))</f>
        <v>1</v>
      </c>
      <c r="P1277" t="str">
        <f t="shared" si="53"/>
        <v>2018AM PEAK</v>
      </c>
      <c r="Q1277">
        <f t="shared" si="54"/>
        <v>1</v>
      </c>
      <c r="R1277" s="195" t="str">
        <f t="shared" si="55"/>
        <v>2018LIGHT VEHICLES</v>
      </c>
    </row>
    <row r="1278" spans="3:18" x14ac:dyDescent="0.25">
      <c r="C1278" s="294" t="s">
        <v>855</v>
      </c>
      <c r="D1278" s="317">
        <v>57025</v>
      </c>
      <c r="E1278" s="122" t="s">
        <v>856</v>
      </c>
      <c r="F1278" s="122" t="s">
        <v>857</v>
      </c>
      <c r="G1278" s="122" t="s">
        <v>776</v>
      </c>
      <c r="H1278" s="122" t="s">
        <v>777</v>
      </c>
      <c r="I1278" s="312">
        <v>2018</v>
      </c>
      <c r="J1278" s="122" t="s">
        <v>710</v>
      </c>
      <c r="K1278" s="283">
        <v>7783</v>
      </c>
      <c r="L1278" s="318">
        <v>-33.725772999999997</v>
      </c>
      <c r="M1278" s="318">
        <v>151.21978799999999</v>
      </c>
      <c r="O1278">
        <f>INDEX('MEC - traffic congestion'!$M$145:$M$249,MATCH($D1278,'MEC - traffic congestion'!$C$145:$C$249,0))</f>
        <v>1</v>
      </c>
      <c r="P1278" t="str">
        <f t="shared" si="53"/>
        <v>2018OFF PEAK</v>
      </c>
      <c r="Q1278">
        <f t="shared" si="54"/>
        <v>1</v>
      </c>
      <c r="R1278" s="195" t="str">
        <f t="shared" si="55"/>
        <v>2018LIGHT VEHICLES</v>
      </c>
    </row>
    <row r="1279" spans="3:18" x14ac:dyDescent="0.25">
      <c r="C1279" s="294" t="s">
        <v>855</v>
      </c>
      <c r="D1279" s="317">
        <v>57025</v>
      </c>
      <c r="E1279" s="122" t="s">
        <v>856</v>
      </c>
      <c r="F1279" s="122" t="s">
        <v>857</v>
      </c>
      <c r="G1279" s="122" t="s">
        <v>778</v>
      </c>
      <c r="H1279" s="122" t="s">
        <v>777</v>
      </c>
      <c r="I1279" s="312">
        <v>2018</v>
      </c>
      <c r="J1279" s="122" t="s">
        <v>710</v>
      </c>
      <c r="K1279" s="283">
        <v>7996</v>
      </c>
      <c r="L1279" s="318">
        <v>-33.725772999999997</v>
      </c>
      <c r="M1279" s="318">
        <v>151.21978799999999</v>
      </c>
      <c r="O1279">
        <f>INDEX('MEC - traffic congestion'!$M$145:$M$249,MATCH($D1279,'MEC - traffic congestion'!$C$145:$C$249,0))</f>
        <v>1</v>
      </c>
      <c r="P1279" t="str">
        <f t="shared" si="53"/>
        <v>2018OFF PEAK</v>
      </c>
      <c r="Q1279">
        <f t="shared" si="54"/>
        <v>1</v>
      </c>
      <c r="R1279" s="195" t="str">
        <f t="shared" si="55"/>
        <v>2018LIGHT VEHICLES</v>
      </c>
    </row>
    <row r="1280" spans="3:18" x14ac:dyDescent="0.25">
      <c r="C1280" s="294" t="s">
        <v>855</v>
      </c>
      <c r="D1280" s="317">
        <v>57025</v>
      </c>
      <c r="E1280" s="122" t="s">
        <v>856</v>
      </c>
      <c r="F1280" s="122" t="s">
        <v>857</v>
      </c>
      <c r="G1280" s="122" t="s">
        <v>776</v>
      </c>
      <c r="H1280" s="122" t="s">
        <v>777</v>
      </c>
      <c r="I1280" s="312">
        <v>2018</v>
      </c>
      <c r="J1280" s="122" t="s">
        <v>711</v>
      </c>
      <c r="K1280" s="283">
        <v>4274</v>
      </c>
      <c r="L1280" s="318">
        <v>-33.725772999999997</v>
      </c>
      <c r="M1280" s="318">
        <v>151.21978799999999</v>
      </c>
      <c r="O1280">
        <f>INDEX('MEC - traffic congestion'!$M$145:$M$249,MATCH($D1280,'MEC - traffic congestion'!$C$145:$C$249,0))</f>
        <v>1</v>
      </c>
      <c r="P1280" t="str">
        <f t="shared" si="53"/>
        <v>2018PM PEAK</v>
      </c>
      <c r="Q1280">
        <f t="shared" si="54"/>
        <v>1</v>
      </c>
      <c r="R1280" s="195" t="str">
        <f t="shared" si="55"/>
        <v>2018LIGHT VEHICLES</v>
      </c>
    </row>
    <row r="1281" spans="3:18" x14ac:dyDescent="0.25">
      <c r="C1281" s="294" t="s">
        <v>855</v>
      </c>
      <c r="D1281" s="317">
        <v>57025</v>
      </c>
      <c r="E1281" s="122" t="s">
        <v>856</v>
      </c>
      <c r="F1281" s="122" t="s">
        <v>857</v>
      </c>
      <c r="G1281" s="122" t="s">
        <v>778</v>
      </c>
      <c r="H1281" s="122" t="s">
        <v>777</v>
      </c>
      <c r="I1281" s="312">
        <v>2018</v>
      </c>
      <c r="J1281" s="122" t="s">
        <v>711</v>
      </c>
      <c r="K1281" s="283">
        <v>5311</v>
      </c>
      <c r="L1281" s="318">
        <v>-33.725772999999997</v>
      </c>
      <c r="M1281" s="318">
        <v>151.21978799999999</v>
      </c>
      <c r="O1281">
        <f>INDEX('MEC - traffic congestion'!$M$145:$M$249,MATCH($D1281,'MEC - traffic congestion'!$C$145:$C$249,0))</f>
        <v>1</v>
      </c>
      <c r="P1281" t="str">
        <f t="shared" si="53"/>
        <v>2018PM PEAK</v>
      </c>
      <c r="Q1281">
        <f t="shared" si="54"/>
        <v>1</v>
      </c>
      <c r="R1281" s="195" t="str">
        <f t="shared" si="55"/>
        <v>2018LIGHT VEHICLES</v>
      </c>
    </row>
    <row r="1282" spans="3:18" x14ac:dyDescent="0.25">
      <c r="C1282" s="294" t="s">
        <v>855</v>
      </c>
      <c r="D1282" s="317">
        <v>57025</v>
      </c>
      <c r="E1282" s="122" t="s">
        <v>856</v>
      </c>
      <c r="F1282" s="122" t="s">
        <v>857</v>
      </c>
      <c r="G1282" s="122" t="s">
        <v>776</v>
      </c>
      <c r="H1282" s="122" t="s">
        <v>777</v>
      </c>
      <c r="I1282" s="312">
        <v>2018</v>
      </c>
      <c r="J1282" s="122" t="s">
        <v>712</v>
      </c>
      <c r="K1282" s="283">
        <v>11830</v>
      </c>
      <c r="L1282" s="318">
        <v>-33.725772999999997</v>
      </c>
      <c r="M1282" s="318">
        <v>151.21978799999999</v>
      </c>
      <c r="O1282">
        <f>INDEX('MEC - traffic congestion'!$M$145:$M$249,MATCH($D1282,'MEC - traffic congestion'!$C$145:$C$249,0))</f>
        <v>1</v>
      </c>
      <c r="P1282" t="str">
        <f t="shared" si="53"/>
        <v>2018PUBLIC HOLIDAYS</v>
      </c>
      <c r="Q1282">
        <f t="shared" si="54"/>
        <v>1</v>
      </c>
      <c r="R1282" s="195" t="str">
        <f t="shared" si="55"/>
        <v>2018LIGHT VEHICLES</v>
      </c>
    </row>
    <row r="1283" spans="3:18" x14ac:dyDescent="0.25">
      <c r="C1283" s="294" t="s">
        <v>855</v>
      </c>
      <c r="D1283" s="317">
        <v>57025</v>
      </c>
      <c r="E1283" s="122" t="s">
        <v>856</v>
      </c>
      <c r="F1283" s="122" t="s">
        <v>857</v>
      </c>
      <c r="G1283" s="122" t="s">
        <v>778</v>
      </c>
      <c r="H1283" s="122" t="s">
        <v>777</v>
      </c>
      <c r="I1283" s="312">
        <v>2018</v>
      </c>
      <c r="J1283" s="122" t="s">
        <v>712</v>
      </c>
      <c r="K1283" s="283">
        <v>12149</v>
      </c>
      <c r="L1283" s="318">
        <v>-33.725772999999997</v>
      </c>
      <c r="M1283" s="318">
        <v>151.21978799999999</v>
      </c>
      <c r="O1283">
        <f>INDEX('MEC - traffic congestion'!$M$145:$M$249,MATCH($D1283,'MEC - traffic congestion'!$C$145:$C$249,0))</f>
        <v>1</v>
      </c>
      <c r="P1283" t="str">
        <f t="shared" si="53"/>
        <v>2018PUBLIC HOLIDAYS</v>
      </c>
      <c r="Q1283">
        <f t="shared" si="54"/>
        <v>1</v>
      </c>
      <c r="R1283" s="195" t="str">
        <f t="shared" si="55"/>
        <v>2018LIGHT VEHICLES</v>
      </c>
    </row>
    <row r="1284" spans="3:18" x14ac:dyDescent="0.25">
      <c r="C1284" s="294" t="s">
        <v>855</v>
      </c>
      <c r="D1284" s="317">
        <v>57025</v>
      </c>
      <c r="E1284" s="122" t="s">
        <v>856</v>
      </c>
      <c r="F1284" s="122" t="s">
        <v>857</v>
      </c>
      <c r="G1284" s="122" t="s">
        <v>776</v>
      </c>
      <c r="H1284" s="122" t="s">
        <v>777</v>
      </c>
      <c r="I1284" s="312">
        <v>2018</v>
      </c>
      <c r="J1284" s="122" t="s">
        <v>713</v>
      </c>
      <c r="K1284" s="283">
        <v>14808</v>
      </c>
      <c r="L1284" s="318">
        <v>-33.725772999999997</v>
      </c>
      <c r="M1284" s="318">
        <v>151.21978799999999</v>
      </c>
      <c r="O1284">
        <f>INDEX('MEC - traffic congestion'!$M$145:$M$249,MATCH($D1284,'MEC - traffic congestion'!$C$145:$C$249,0))</f>
        <v>1</v>
      </c>
      <c r="P1284" t="str">
        <f t="shared" si="53"/>
        <v>2018WEEKENDS</v>
      </c>
      <c r="Q1284">
        <f t="shared" si="54"/>
        <v>1</v>
      </c>
      <c r="R1284" s="195" t="str">
        <f t="shared" si="55"/>
        <v>2018LIGHT VEHICLES</v>
      </c>
    </row>
    <row r="1285" spans="3:18" x14ac:dyDescent="0.25">
      <c r="C1285" s="294" t="s">
        <v>855</v>
      </c>
      <c r="D1285" s="317">
        <v>57025</v>
      </c>
      <c r="E1285" s="122" t="s">
        <v>856</v>
      </c>
      <c r="F1285" s="122" t="s">
        <v>857</v>
      </c>
      <c r="G1285" s="122" t="s">
        <v>778</v>
      </c>
      <c r="H1285" s="122" t="s">
        <v>777</v>
      </c>
      <c r="I1285" s="312">
        <v>2018</v>
      </c>
      <c r="J1285" s="122" t="s">
        <v>713</v>
      </c>
      <c r="K1285" s="283">
        <v>15361</v>
      </c>
      <c r="L1285" s="318">
        <v>-33.725772999999997</v>
      </c>
      <c r="M1285" s="318">
        <v>151.21978799999999</v>
      </c>
      <c r="O1285">
        <f>INDEX('MEC - traffic congestion'!$M$145:$M$249,MATCH($D1285,'MEC - traffic congestion'!$C$145:$C$249,0))</f>
        <v>1</v>
      </c>
      <c r="P1285" t="str">
        <f t="shared" si="53"/>
        <v>2018WEEKENDS</v>
      </c>
      <c r="Q1285">
        <f t="shared" si="54"/>
        <v>1</v>
      </c>
      <c r="R1285" s="195" t="str">
        <f t="shared" si="55"/>
        <v>2018LIGHT VEHICLES</v>
      </c>
    </row>
    <row r="1286" spans="3:18" x14ac:dyDescent="0.25">
      <c r="C1286" s="294" t="s">
        <v>855</v>
      </c>
      <c r="D1286" s="317">
        <v>57025</v>
      </c>
      <c r="E1286" s="122" t="s">
        <v>856</v>
      </c>
      <c r="F1286" s="122" t="s">
        <v>857</v>
      </c>
      <c r="G1286" s="122" t="s">
        <v>776</v>
      </c>
      <c r="H1286" s="122" t="s">
        <v>777</v>
      </c>
      <c r="I1286" s="312">
        <v>2019</v>
      </c>
      <c r="J1286" s="122" t="s">
        <v>709</v>
      </c>
      <c r="K1286" s="283">
        <v>3497</v>
      </c>
      <c r="L1286" s="318">
        <v>-33.725772999999997</v>
      </c>
      <c r="M1286" s="318">
        <v>151.21978799999999</v>
      </c>
      <c r="O1286">
        <f>INDEX('MEC - traffic congestion'!$M$145:$M$249,MATCH($D1286,'MEC - traffic congestion'!$C$145:$C$249,0))</f>
        <v>1</v>
      </c>
      <c r="P1286" t="str">
        <f t="shared" si="53"/>
        <v>2019AM PEAK</v>
      </c>
      <c r="Q1286">
        <f t="shared" si="54"/>
        <v>1</v>
      </c>
      <c r="R1286" s="195" t="str">
        <f t="shared" si="55"/>
        <v>2019LIGHT VEHICLES</v>
      </c>
    </row>
    <row r="1287" spans="3:18" x14ac:dyDescent="0.25">
      <c r="C1287" s="294" t="s">
        <v>855</v>
      </c>
      <c r="D1287" s="317">
        <v>57025</v>
      </c>
      <c r="E1287" s="122" t="s">
        <v>856</v>
      </c>
      <c r="F1287" s="122" t="s">
        <v>857</v>
      </c>
      <c r="G1287" s="122" t="s">
        <v>778</v>
      </c>
      <c r="H1287" s="122" t="s">
        <v>777</v>
      </c>
      <c r="I1287" s="312">
        <v>2019</v>
      </c>
      <c r="J1287" s="122" t="s">
        <v>709</v>
      </c>
      <c r="K1287" s="283">
        <v>4242</v>
      </c>
      <c r="L1287" s="318">
        <v>-33.725772999999997</v>
      </c>
      <c r="M1287" s="318">
        <v>151.21978799999999</v>
      </c>
      <c r="O1287">
        <f>INDEX('MEC - traffic congestion'!$M$145:$M$249,MATCH($D1287,'MEC - traffic congestion'!$C$145:$C$249,0))</f>
        <v>1</v>
      </c>
      <c r="P1287" t="str">
        <f t="shared" si="53"/>
        <v>2019AM PEAK</v>
      </c>
      <c r="Q1287">
        <f t="shared" si="54"/>
        <v>1</v>
      </c>
      <c r="R1287" s="195" t="str">
        <f t="shared" si="55"/>
        <v>2019LIGHT VEHICLES</v>
      </c>
    </row>
    <row r="1288" spans="3:18" x14ac:dyDescent="0.25">
      <c r="C1288" s="294" t="s">
        <v>855</v>
      </c>
      <c r="D1288" s="317">
        <v>57025</v>
      </c>
      <c r="E1288" s="122" t="s">
        <v>856</v>
      </c>
      <c r="F1288" s="122" t="s">
        <v>857</v>
      </c>
      <c r="G1288" s="122" t="s">
        <v>776</v>
      </c>
      <c r="H1288" s="122" t="s">
        <v>777</v>
      </c>
      <c r="I1288" s="312">
        <v>2019</v>
      </c>
      <c r="J1288" s="122" t="s">
        <v>710</v>
      </c>
      <c r="K1288" s="283">
        <v>6328</v>
      </c>
      <c r="L1288" s="318">
        <v>-33.725772999999997</v>
      </c>
      <c r="M1288" s="318">
        <v>151.21978799999999</v>
      </c>
      <c r="O1288">
        <f>INDEX('MEC - traffic congestion'!$M$145:$M$249,MATCH($D1288,'MEC - traffic congestion'!$C$145:$C$249,0))</f>
        <v>1</v>
      </c>
      <c r="P1288" t="str">
        <f t="shared" si="53"/>
        <v>2019OFF PEAK</v>
      </c>
      <c r="Q1288">
        <f t="shared" si="54"/>
        <v>1</v>
      </c>
      <c r="R1288" s="195" t="str">
        <f t="shared" si="55"/>
        <v>2019LIGHT VEHICLES</v>
      </c>
    </row>
    <row r="1289" spans="3:18" x14ac:dyDescent="0.25">
      <c r="C1289" s="294" t="s">
        <v>855</v>
      </c>
      <c r="D1289" s="317">
        <v>57025</v>
      </c>
      <c r="E1289" s="122" t="s">
        <v>856</v>
      </c>
      <c r="F1289" s="122" t="s">
        <v>857</v>
      </c>
      <c r="G1289" s="122" t="s">
        <v>778</v>
      </c>
      <c r="H1289" s="122" t="s">
        <v>777</v>
      </c>
      <c r="I1289" s="312">
        <v>2019</v>
      </c>
      <c r="J1289" s="122" t="s">
        <v>710</v>
      </c>
      <c r="K1289" s="283">
        <v>7599</v>
      </c>
      <c r="L1289" s="318">
        <v>-33.725772999999997</v>
      </c>
      <c r="M1289" s="318">
        <v>151.21978799999999</v>
      </c>
      <c r="O1289">
        <f>INDEX('MEC - traffic congestion'!$M$145:$M$249,MATCH($D1289,'MEC - traffic congestion'!$C$145:$C$249,0))</f>
        <v>1</v>
      </c>
      <c r="P1289" t="str">
        <f t="shared" si="53"/>
        <v>2019OFF PEAK</v>
      </c>
      <c r="Q1289">
        <f t="shared" si="54"/>
        <v>1</v>
      </c>
      <c r="R1289" s="195" t="str">
        <f t="shared" si="55"/>
        <v>2019LIGHT VEHICLES</v>
      </c>
    </row>
    <row r="1290" spans="3:18" x14ac:dyDescent="0.25">
      <c r="C1290" s="294" t="s">
        <v>855</v>
      </c>
      <c r="D1290" s="317">
        <v>57025</v>
      </c>
      <c r="E1290" s="122" t="s">
        <v>856</v>
      </c>
      <c r="F1290" s="122" t="s">
        <v>857</v>
      </c>
      <c r="G1290" s="122" t="s">
        <v>776</v>
      </c>
      <c r="H1290" s="122" t="s">
        <v>777</v>
      </c>
      <c r="I1290" s="312">
        <v>2019</v>
      </c>
      <c r="J1290" s="122" t="s">
        <v>711</v>
      </c>
      <c r="K1290" s="283">
        <v>3605</v>
      </c>
      <c r="L1290" s="318">
        <v>-33.725772999999997</v>
      </c>
      <c r="M1290" s="318">
        <v>151.21978799999999</v>
      </c>
      <c r="O1290">
        <f>INDEX('MEC - traffic congestion'!$M$145:$M$249,MATCH($D1290,'MEC - traffic congestion'!$C$145:$C$249,0))</f>
        <v>1</v>
      </c>
      <c r="P1290" t="str">
        <f t="shared" si="53"/>
        <v>2019PM PEAK</v>
      </c>
      <c r="Q1290">
        <f t="shared" si="54"/>
        <v>1</v>
      </c>
      <c r="R1290" s="195" t="str">
        <f t="shared" si="55"/>
        <v>2019LIGHT VEHICLES</v>
      </c>
    </row>
    <row r="1291" spans="3:18" x14ac:dyDescent="0.25">
      <c r="C1291" s="294" t="s">
        <v>855</v>
      </c>
      <c r="D1291" s="317">
        <v>57025</v>
      </c>
      <c r="E1291" s="122" t="s">
        <v>856</v>
      </c>
      <c r="F1291" s="122" t="s">
        <v>857</v>
      </c>
      <c r="G1291" s="122" t="s">
        <v>778</v>
      </c>
      <c r="H1291" s="122" t="s">
        <v>777</v>
      </c>
      <c r="I1291" s="312">
        <v>2019</v>
      </c>
      <c r="J1291" s="122" t="s">
        <v>711</v>
      </c>
      <c r="K1291" s="283">
        <v>5331</v>
      </c>
      <c r="L1291" s="318">
        <v>-33.725772999999997</v>
      </c>
      <c r="M1291" s="318">
        <v>151.21978799999999</v>
      </c>
      <c r="O1291">
        <f>INDEX('MEC - traffic congestion'!$M$145:$M$249,MATCH($D1291,'MEC - traffic congestion'!$C$145:$C$249,0))</f>
        <v>1</v>
      </c>
      <c r="P1291" t="str">
        <f t="shared" si="53"/>
        <v>2019PM PEAK</v>
      </c>
      <c r="Q1291">
        <f t="shared" si="54"/>
        <v>1</v>
      </c>
      <c r="R1291" s="195" t="str">
        <f t="shared" si="55"/>
        <v>2019LIGHT VEHICLES</v>
      </c>
    </row>
    <row r="1292" spans="3:18" x14ac:dyDescent="0.25">
      <c r="C1292" s="294" t="s">
        <v>855</v>
      </c>
      <c r="D1292" s="317">
        <v>57025</v>
      </c>
      <c r="E1292" s="122" t="s">
        <v>856</v>
      </c>
      <c r="F1292" s="122" t="s">
        <v>857</v>
      </c>
      <c r="G1292" s="122" t="s">
        <v>776</v>
      </c>
      <c r="H1292" s="122" t="s">
        <v>777</v>
      </c>
      <c r="I1292" s="312">
        <v>2019</v>
      </c>
      <c r="J1292" s="122" t="s">
        <v>712</v>
      </c>
      <c r="K1292" s="283">
        <v>11004</v>
      </c>
      <c r="L1292" s="318">
        <v>-33.725772999999997</v>
      </c>
      <c r="M1292" s="318">
        <v>151.21978799999999</v>
      </c>
      <c r="O1292">
        <f>INDEX('MEC - traffic congestion'!$M$145:$M$249,MATCH($D1292,'MEC - traffic congestion'!$C$145:$C$249,0))</f>
        <v>1</v>
      </c>
      <c r="P1292" t="str">
        <f t="shared" si="53"/>
        <v>2019PUBLIC HOLIDAYS</v>
      </c>
      <c r="Q1292">
        <f t="shared" si="54"/>
        <v>1</v>
      </c>
      <c r="R1292" s="195" t="str">
        <f t="shared" si="55"/>
        <v>2019LIGHT VEHICLES</v>
      </c>
    </row>
    <row r="1293" spans="3:18" x14ac:dyDescent="0.25">
      <c r="C1293" s="294" t="s">
        <v>855</v>
      </c>
      <c r="D1293" s="317">
        <v>57025</v>
      </c>
      <c r="E1293" s="122" t="s">
        <v>856</v>
      </c>
      <c r="F1293" s="122" t="s">
        <v>857</v>
      </c>
      <c r="G1293" s="122" t="s">
        <v>778</v>
      </c>
      <c r="H1293" s="122" t="s">
        <v>777</v>
      </c>
      <c r="I1293" s="312">
        <v>2019</v>
      </c>
      <c r="J1293" s="122" t="s">
        <v>712</v>
      </c>
      <c r="K1293" s="283">
        <v>11588</v>
      </c>
      <c r="L1293" s="318">
        <v>-33.725772999999997</v>
      </c>
      <c r="M1293" s="318">
        <v>151.21978799999999</v>
      </c>
      <c r="O1293">
        <f>INDEX('MEC - traffic congestion'!$M$145:$M$249,MATCH($D1293,'MEC - traffic congestion'!$C$145:$C$249,0))</f>
        <v>1</v>
      </c>
      <c r="P1293" t="str">
        <f t="shared" si="53"/>
        <v>2019PUBLIC HOLIDAYS</v>
      </c>
      <c r="Q1293">
        <f t="shared" si="54"/>
        <v>1</v>
      </c>
      <c r="R1293" s="195" t="str">
        <f t="shared" si="55"/>
        <v>2019LIGHT VEHICLES</v>
      </c>
    </row>
    <row r="1294" spans="3:18" x14ac:dyDescent="0.25">
      <c r="C1294" s="294" t="s">
        <v>855</v>
      </c>
      <c r="D1294" s="317">
        <v>57025</v>
      </c>
      <c r="E1294" s="122" t="s">
        <v>856</v>
      </c>
      <c r="F1294" s="122" t="s">
        <v>857</v>
      </c>
      <c r="G1294" s="122" t="s">
        <v>776</v>
      </c>
      <c r="H1294" s="122" t="s">
        <v>777</v>
      </c>
      <c r="I1294" s="312">
        <v>2019</v>
      </c>
      <c r="J1294" s="122" t="s">
        <v>713</v>
      </c>
      <c r="K1294" s="283">
        <v>12072</v>
      </c>
      <c r="L1294" s="318">
        <v>-33.725772999999997</v>
      </c>
      <c r="M1294" s="318">
        <v>151.21978799999999</v>
      </c>
      <c r="O1294">
        <f>INDEX('MEC - traffic congestion'!$M$145:$M$249,MATCH($D1294,'MEC - traffic congestion'!$C$145:$C$249,0))</f>
        <v>1</v>
      </c>
      <c r="P1294" t="str">
        <f t="shared" si="53"/>
        <v>2019WEEKENDS</v>
      </c>
      <c r="Q1294">
        <f t="shared" si="54"/>
        <v>1</v>
      </c>
      <c r="R1294" s="195" t="str">
        <f t="shared" si="55"/>
        <v>2019LIGHT VEHICLES</v>
      </c>
    </row>
    <row r="1295" spans="3:18" x14ac:dyDescent="0.25">
      <c r="C1295" s="294" t="s">
        <v>855</v>
      </c>
      <c r="D1295" s="317">
        <v>57025</v>
      </c>
      <c r="E1295" s="122" t="s">
        <v>856</v>
      </c>
      <c r="F1295" s="122" t="s">
        <v>857</v>
      </c>
      <c r="G1295" s="122" t="s">
        <v>778</v>
      </c>
      <c r="H1295" s="122" t="s">
        <v>777</v>
      </c>
      <c r="I1295" s="312">
        <v>2019</v>
      </c>
      <c r="J1295" s="122" t="s">
        <v>713</v>
      </c>
      <c r="K1295" s="283">
        <v>14823</v>
      </c>
      <c r="L1295" s="318">
        <v>-33.725772999999997</v>
      </c>
      <c r="M1295" s="318">
        <v>151.21978799999999</v>
      </c>
      <c r="O1295">
        <f>INDEX('MEC - traffic congestion'!$M$145:$M$249,MATCH($D1295,'MEC - traffic congestion'!$C$145:$C$249,0))</f>
        <v>1</v>
      </c>
      <c r="P1295" t="str">
        <f t="shared" si="53"/>
        <v>2019WEEKENDS</v>
      </c>
      <c r="Q1295">
        <f t="shared" si="54"/>
        <v>1</v>
      </c>
      <c r="R1295" s="195" t="str">
        <f t="shared" si="55"/>
        <v>2019LIGHT VEHICLES</v>
      </c>
    </row>
    <row r="1296" spans="3:18" x14ac:dyDescent="0.25">
      <c r="C1296" s="294" t="s">
        <v>855</v>
      </c>
      <c r="D1296" s="317">
        <v>57025</v>
      </c>
      <c r="E1296" s="122" t="s">
        <v>856</v>
      </c>
      <c r="F1296" s="122" t="s">
        <v>857</v>
      </c>
      <c r="G1296" s="122" t="s">
        <v>776</v>
      </c>
      <c r="H1296" s="122" t="s">
        <v>777</v>
      </c>
      <c r="I1296" s="312">
        <v>2020</v>
      </c>
      <c r="J1296" s="122" t="s">
        <v>709</v>
      </c>
      <c r="K1296" s="283">
        <v>984</v>
      </c>
      <c r="L1296" s="318">
        <v>-33.725772999999997</v>
      </c>
      <c r="M1296" s="318">
        <v>151.21978799999999</v>
      </c>
      <c r="O1296">
        <f>INDEX('MEC - traffic congestion'!$M$145:$M$249,MATCH($D1296,'MEC - traffic congestion'!$C$145:$C$249,0))</f>
        <v>1</v>
      </c>
      <c r="P1296" t="str">
        <f t="shared" si="53"/>
        <v>2020AM PEAK</v>
      </c>
      <c r="Q1296">
        <f t="shared" si="54"/>
        <v>1</v>
      </c>
      <c r="R1296" s="195" t="str">
        <f t="shared" si="55"/>
        <v>2020LIGHT VEHICLES</v>
      </c>
    </row>
    <row r="1297" spans="3:18" x14ac:dyDescent="0.25">
      <c r="C1297" s="294" t="s">
        <v>855</v>
      </c>
      <c r="D1297" s="317">
        <v>57025</v>
      </c>
      <c r="E1297" s="122" t="s">
        <v>856</v>
      </c>
      <c r="F1297" s="122" t="s">
        <v>857</v>
      </c>
      <c r="G1297" s="122" t="s">
        <v>778</v>
      </c>
      <c r="H1297" s="122" t="s">
        <v>777</v>
      </c>
      <c r="I1297" s="312">
        <v>2020</v>
      </c>
      <c r="J1297" s="122" t="s">
        <v>709</v>
      </c>
      <c r="K1297" s="283">
        <v>4108</v>
      </c>
      <c r="L1297" s="318">
        <v>-33.725772999999997</v>
      </c>
      <c r="M1297" s="318">
        <v>151.21978799999999</v>
      </c>
      <c r="O1297">
        <f>INDEX('MEC - traffic congestion'!$M$145:$M$249,MATCH($D1297,'MEC - traffic congestion'!$C$145:$C$249,0))</f>
        <v>1</v>
      </c>
      <c r="P1297" t="str">
        <f t="shared" si="53"/>
        <v>2020AM PEAK</v>
      </c>
      <c r="Q1297">
        <f t="shared" si="54"/>
        <v>1</v>
      </c>
      <c r="R1297" s="195" t="str">
        <f t="shared" si="55"/>
        <v>2020LIGHT VEHICLES</v>
      </c>
    </row>
    <row r="1298" spans="3:18" x14ac:dyDescent="0.25">
      <c r="C1298" s="294" t="s">
        <v>855</v>
      </c>
      <c r="D1298" s="317">
        <v>57025</v>
      </c>
      <c r="E1298" s="122" t="s">
        <v>856</v>
      </c>
      <c r="F1298" s="122" t="s">
        <v>857</v>
      </c>
      <c r="G1298" s="122" t="s">
        <v>776</v>
      </c>
      <c r="H1298" s="122" t="s">
        <v>777</v>
      </c>
      <c r="I1298" s="312">
        <v>2020</v>
      </c>
      <c r="J1298" s="122" t="s">
        <v>710</v>
      </c>
      <c r="K1298" s="283">
        <v>1745</v>
      </c>
      <c r="L1298" s="318">
        <v>-33.725772999999997</v>
      </c>
      <c r="M1298" s="318">
        <v>151.21978799999999</v>
      </c>
      <c r="O1298">
        <f>INDEX('MEC - traffic congestion'!$M$145:$M$249,MATCH($D1298,'MEC - traffic congestion'!$C$145:$C$249,0))</f>
        <v>1</v>
      </c>
      <c r="P1298" t="str">
        <f t="shared" si="53"/>
        <v>2020OFF PEAK</v>
      </c>
      <c r="Q1298">
        <f t="shared" si="54"/>
        <v>1</v>
      </c>
      <c r="R1298" s="195" t="str">
        <f t="shared" si="55"/>
        <v>2020LIGHT VEHICLES</v>
      </c>
    </row>
    <row r="1299" spans="3:18" x14ac:dyDescent="0.25">
      <c r="C1299" s="294" t="s">
        <v>855</v>
      </c>
      <c r="D1299" s="317">
        <v>57025</v>
      </c>
      <c r="E1299" s="122" t="s">
        <v>856</v>
      </c>
      <c r="F1299" s="122" t="s">
        <v>857</v>
      </c>
      <c r="G1299" s="122" t="s">
        <v>778</v>
      </c>
      <c r="H1299" s="122" t="s">
        <v>777</v>
      </c>
      <c r="I1299" s="312">
        <v>2020</v>
      </c>
      <c r="J1299" s="122" t="s">
        <v>710</v>
      </c>
      <c r="K1299" s="283">
        <v>7490</v>
      </c>
      <c r="L1299" s="318">
        <v>-33.725772999999997</v>
      </c>
      <c r="M1299" s="318">
        <v>151.21978799999999</v>
      </c>
      <c r="O1299">
        <f>INDEX('MEC - traffic congestion'!$M$145:$M$249,MATCH($D1299,'MEC - traffic congestion'!$C$145:$C$249,0))</f>
        <v>1</v>
      </c>
      <c r="P1299" t="str">
        <f t="shared" si="53"/>
        <v>2020OFF PEAK</v>
      </c>
      <c r="Q1299">
        <f t="shared" si="54"/>
        <v>1</v>
      </c>
      <c r="R1299" s="195" t="str">
        <f t="shared" si="55"/>
        <v>2020LIGHT VEHICLES</v>
      </c>
    </row>
    <row r="1300" spans="3:18" x14ac:dyDescent="0.25">
      <c r="C1300" s="294" t="s">
        <v>855</v>
      </c>
      <c r="D1300" s="317">
        <v>57025</v>
      </c>
      <c r="E1300" s="122" t="s">
        <v>856</v>
      </c>
      <c r="F1300" s="122" t="s">
        <v>857</v>
      </c>
      <c r="G1300" s="122" t="s">
        <v>776</v>
      </c>
      <c r="H1300" s="122" t="s">
        <v>777</v>
      </c>
      <c r="I1300" s="312">
        <v>2020</v>
      </c>
      <c r="J1300" s="122" t="s">
        <v>711</v>
      </c>
      <c r="K1300" s="283">
        <v>964</v>
      </c>
      <c r="L1300" s="318">
        <v>-33.725772999999997</v>
      </c>
      <c r="M1300" s="318">
        <v>151.21978799999999</v>
      </c>
      <c r="O1300">
        <f>INDEX('MEC - traffic congestion'!$M$145:$M$249,MATCH($D1300,'MEC - traffic congestion'!$C$145:$C$249,0))</f>
        <v>1</v>
      </c>
      <c r="P1300" t="str">
        <f t="shared" si="53"/>
        <v>2020PM PEAK</v>
      </c>
      <c r="Q1300">
        <f t="shared" si="54"/>
        <v>1</v>
      </c>
      <c r="R1300" s="195" t="str">
        <f t="shared" si="55"/>
        <v>2020LIGHT VEHICLES</v>
      </c>
    </row>
    <row r="1301" spans="3:18" x14ac:dyDescent="0.25">
      <c r="C1301" s="294" t="s">
        <v>855</v>
      </c>
      <c r="D1301" s="317">
        <v>57025</v>
      </c>
      <c r="E1301" s="122" t="s">
        <v>856</v>
      </c>
      <c r="F1301" s="122" t="s">
        <v>857</v>
      </c>
      <c r="G1301" s="122" t="s">
        <v>778</v>
      </c>
      <c r="H1301" s="122" t="s">
        <v>777</v>
      </c>
      <c r="I1301" s="312">
        <v>2020</v>
      </c>
      <c r="J1301" s="122" t="s">
        <v>711</v>
      </c>
      <c r="K1301" s="283">
        <v>5007</v>
      </c>
      <c r="L1301" s="318">
        <v>-33.725772999999997</v>
      </c>
      <c r="M1301" s="318">
        <v>151.21978799999999</v>
      </c>
      <c r="O1301">
        <f>INDEX('MEC - traffic congestion'!$M$145:$M$249,MATCH($D1301,'MEC - traffic congestion'!$C$145:$C$249,0))</f>
        <v>1</v>
      </c>
      <c r="P1301" t="str">
        <f t="shared" ref="P1301:P1364" si="56">IF($O1301=1,$I1301&amp;$J1301,"")</f>
        <v>2020PM PEAK</v>
      </c>
      <c r="Q1301">
        <f t="shared" ref="Q1301:Q1364" si="57">IF(AND($M1301&gt;150.246,AND($L1301&gt;-34.397,$L1301&lt;-32.662)),1,0)</f>
        <v>1</v>
      </c>
      <c r="R1301" s="195" t="str">
        <f t="shared" ref="R1301:R1364" si="58">IF($O1301=1,$I1301&amp;$H1301,"")</f>
        <v>2020LIGHT VEHICLES</v>
      </c>
    </row>
    <row r="1302" spans="3:18" x14ac:dyDescent="0.25">
      <c r="C1302" s="294" t="s">
        <v>855</v>
      </c>
      <c r="D1302" s="317">
        <v>57025</v>
      </c>
      <c r="E1302" s="122" t="s">
        <v>856</v>
      </c>
      <c r="F1302" s="122" t="s">
        <v>857</v>
      </c>
      <c r="G1302" s="122" t="s">
        <v>776</v>
      </c>
      <c r="H1302" s="122" t="s">
        <v>777</v>
      </c>
      <c r="I1302" s="312">
        <v>2020</v>
      </c>
      <c r="J1302" s="122" t="s">
        <v>712</v>
      </c>
      <c r="K1302" s="283">
        <v>2269</v>
      </c>
      <c r="L1302" s="318">
        <v>-33.725772999999997</v>
      </c>
      <c r="M1302" s="318">
        <v>151.21978799999999</v>
      </c>
      <c r="O1302">
        <f>INDEX('MEC - traffic congestion'!$M$145:$M$249,MATCH($D1302,'MEC - traffic congestion'!$C$145:$C$249,0))</f>
        <v>1</v>
      </c>
      <c r="P1302" t="str">
        <f t="shared" si="56"/>
        <v>2020PUBLIC HOLIDAYS</v>
      </c>
      <c r="Q1302">
        <f t="shared" si="57"/>
        <v>1</v>
      </c>
      <c r="R1302" s="195" t="str">
        <f t="shared" si="58"/>
        <v>2020LIGHT VEHICLES</v>
      </c>
    </row>
    <row r="1303" spans="3:18" x14ac:dyDescent="0.25">
      <c r="C1303" s="294" t="s">
        <v>855</v>
      </c>
      <c r="D1303" s="317">
        <v>57025</v>
      </c>
      <c r="E1303" s="122" t="s">
        <v>856</v>
      </c>
      <c r="F1303" s="122" t="s">
        <v>857</v>
      </c>
      <c r="G1303" s="122" t="s">
        <v>778</v>
      </c>
      <c r="H1303" s="122" t="s">
        <v>777</v>
      </c>
      <c r="I1303" s="312">
        <v>2020</v>
      </c>
      <c r="J1303" s="122" t="s">
        <v>712</v>
      </c>
      <c r="K1303" s="283">
        <v>8958</v>
      </c>
      <c r="L1303" s="318">
        <v>-33.725772999999997</v>
      </c>
      <c r="M1303" s="318">
        <v>151.21978799999999</v>
      </c>
      <c r="O1303">
        <f>INDEX('MEC - traffic congestion'!$M$145:$M$249,MATCH($D1303,'MEC - traffic congestion'!$C$145:$C$249,0))</f>
        <v>1</v>
      </c>
      <c r="P1303" t="str">
        <f t="shared" si="56"/>
        <v>2020PUBLIC HOLIDAYS</v>
      </c>
      <c r="Q1303">
        <f t="shared" si="57"/>
        <v>1</v>
      </c>
      <c r="R1303" s="195" t="str">
        <f t="shared" si="58"/>
        <v>2020LIGHT VEHICLES</v>
      </c>
    </row>
    <row r="1304" spans="3:18" x14ac:dyDescent="0.25">
      <c r="C1304" s="294" t="s">
        <v>855</v>
      </c>
      <c r="D1304" s="317">
        <v>57025</v>
      </c>
      <c r="E1304" s="122" t="s">
        <v>856</v>
      </c>
      <c r="F1304" s="122" t="s">
        <v>857</v>
      </c>
      <c r="G1304" s="122" t="s">
        <v>776</v>
      </c>
      <c r="H1304" s="122" t="s">
        <v>777</v>
      </c>
      <c r="I1304" s="312">
        <v>2020</v>
      </c>
      <c r="J1304" s="122" t="s">
        <v>713</v>
      </c>
      <c r="K1304" s="283">
        <v>2915</v>
      </c>
      <c r="L1304" s="318">
        <v>-33.725772999999997</v>
      </c>
      <c r="M1304" s="318">
        <v>151.21978799999999</v>
      </c>
      <c r="O1304">
        <f>INDEX('MEC - traffic congestion'!$M$145:$M$249,MATCH($D1304,'MEC - traffic congestion'!$C$145:$C$249,0))</f>
        <v>1</v>
      </c>
      <c r="P1304" t="str">
        <f t="shared" si="56"/>
        <v>2020WEEKENDS</v>
      </c>
      <c r="Q1304">
        <f t="shared" si="57"/>
        <v>1</v>
      </c>
      <c r="R1304" s="195" t="str">
        <f t="shared" si="58"/>
        <v>2020LIGHT VEHICLES</v>
      </c>
    </row>
    <row r="1305" spans="3:18" x14ac:dyDescent="0.25">
      <c r="C1305" s="294" t="s">
        <v>855</v>
      </c>
      <c r="D1305" s="317">
        <v>57025</v>
      </c>
      <c r="E1305" s="122" t="s">
        <v>856</v>
      </c>
      <c r="F1305" s="122" t="s">
        <v>857</v>
      </c>
      <c r="G1305" s="122" t="s">
        <v>778</v>
      </c>
      <c r="H1305" s="122" t="s">
        <v>777</v>
      </c>
      <c r="I1305" s="312">
        <v>2020</v>
      </c>
      <c r="J1305" s="122" t="s">
        <v>713</v>
      </c>
      <c r="K1305" s="283">
        <v>14536</v>
      </c>
      <c r="L1305" s="318">
        <v>-33.725772999999997</v>
      </c>
      <c r="M1305" s="318">
        <v>151.21978799999999</v>
      </c>
      <c r="O1305">
        <f>INDEX('MEC - traffic congestion'!$M$145:$M$249,MATCH($D1305,'MEC - traffic congestion'!$C$145:$C$249,0))</f>
        <v>1</v>
      </c>
      <c r="P1305" t="str">
        <f t="shared" si="56"/>
        <v>2020WEEKENDS</v>
      </c>
      <c r="Q1305">
        <f t="shared" si="57"/>
        <v>1</v>
      </c>
      <c r="R1305" s="195" t="str">
        <f t="shared" si="58"/>
        <v>2020LIGHT VEHICLES</v>
      </c>
    </row>
    <row r="1306" spans="3:18" x14ac:dyDescent="0.25">
      <c r="C1306" s="294" t="s">
        <v>855</v>
      </c>
      <c r="D1306" s="317">
        <v>57025</v>
      </c>
      <c r="E1306" s="122" t="s">
        <v>856</v>
      </c>
      <c r="F1306" s="122" t="s">
        <v>857</v>
      </c>
      <c r="G1306" s="122" t="s">
        <v>776</v>
      </c>
      <c r="H1306" s="122" t="s">
        <v>777</v>
      </c>
      <c r="I1306" s="312">
        <v>2021</v>
      </c>
      <c r="J1306" s="122" t="s">
        <v>709</v>
      </c>
      <c r="K1306" s="283">
        <v>3630</v>
      </c>
      <c r="L1306" s="318">
        <v>-33.725772999999997</v>
      </c>
      <c r="M1306" s="318">
        <v>151.21978799999999</v>
      </c>
      <c r="O1306">
        <f>INDEX('MEC - traffic congestion'!$M$145:$M$249,MATCH($D1306,'MEC - traffic congestion'!$C$145:$C$249,0))</f>
        <v>1</v>
      </c>
      <c r="P1306" t="str">
        <f t="shared" si="56"/>
        <v>2021AM PEAK</v>
      </c>
      <c r="Q1306">
        <f t="shared" si="57"/>
        <v>1</v>
      </c>
      <c r="R1306" s="195" t="str">
        <f t="shared" si="58"/>
        <v>2021LIGHT VEHICLES</v>
      </c>
    </row>
    <row r="1307" spans="3:18" x14ac:dyDescent="0.25">
      <c r="C1307" s="294" t="s">
        <v>855</v>
      </c>
      <c r="D1307" s="317">
        <v>57025</v>
      </c>
      <c r="E1307" s="122" t="s">
        <v>856</v>
      </c>
      <c r="F1307" s="122" t="s">
        <v>857</v>
      </c>
      <c r="G1307" s="122" t="s">
        <v>778</v>
      </c>
      <c r="H1307" s="122" t="s">
        <v>777</v>
      </c>
      <c r="I1307" s="312">
        <v>2021</v>
      </c>
      <c r="J1307" s="122" t="s">
        <v>709</v>
      </c>
      <c r="K1307" s="283">
        <v>3870</v>
      </c>
      <c r="L1307" s="318">
        <v>-33.725772999999997</v>
      </c>
      <c r="M1307" s="318">
        <v>151.21978799999999</v>
      </c>
      <c r="O1307">
        <f>INDEX('MEC - traffic congestion'!$M$145:$M$249,MATCH($D1307,'MEC - traffic congestion'!$C$145:$C$249,0))</f>
        <v>1</v>
      </c>
      <c r="P1307" t="str">
        <f t="shared" si="56"/>
        <v>2021AM PEAK</v>
      </c>
      <c r="Q1307">
        <f t="shared" si="57"/>
        <v>1</v>
      </c>
      <c r="R1307" s="195" t="str">
        <f t="shared" si="58"/>
        <v>2021LIGHT VEHICLES</v>
      </c>
    </row>
    <row r="1308" spans="3:18" x14ac:dyDescent="0.25">
      <c r="C1308" s="294" t="s">
        <v>855</v>
      </c>
      <c r="D1308" s="317">
        <v>57025</v>
      </c>
      <c r="E1308" s="122" t="s">
        <v>856</v>
      </c>
      <c r="F1308" s="122" t="s">
        <v>857</v>
      </c>
      <c r="G1308" s="122" t="s">
        <v>776</v>
      </c>
      <c r="H1308" s="122" t="s">
        <v>777</v>
      </c>
      <c r="I1308" s="312">
        <v>2021</v>
      </c>
      <c r="J1308" s="122" t="s">
        <v>710</v>
      </c>
      <c r="K1308" s="283">
        <v>5792</v>
      </c>
      <c r="L1308" s="318">
        <v>-33.725772999999997</v>
      </c>
      <c r="M1308" s="318">
        <v>151.21978799999999</v>
      </c>
      <c r="O1308">
        <f>INDEX('MEC - traffic congestion'!$M$145:$M$249,MATCH($D1308,'MEC - traffic congestion'!$C$145:$C$249,0))</f>
        <v>1</v>
      </c>
      <c r="P1308" t="str">
        <f t="shared" si="56"/>
        <v>2021OFF PEAK</v>
      </c>
      <c r="Q1308">
        <f t="shared" si="57"/>
        <v>1</v>
      </c>
      <c r="R1308" s="195" t="str">
        <f t="shared" si="58"/>
        <v>2021LIGHT VEHICLES</v>
      </c>
    </row>
    <row r="1309" spans="3:18" x14ac:dyDescent="0.25">
      <c r="C1309" s="294" t="s">
        <v>855</v>
      </c>
      <c r="D1309" s="317">
        <v>57025</v>
      </c>
      <c r="E1309" s="122" t="s">
        <v>856</v>
      </c>
      <c r="F1309" s="122" t="s">
        <v>857</v>
      </c>
      <c r="G1309" s="122" t="s">
        <v>778</v>
      </c>
      <c r="H1309" s="122" t="s">
        <v>777</v>
      </c>
      <c r="I1309" s="312">
        <v>2021</v>
      </c>
      <c r="J1309" s="122" t="s">
        <v>710</v>
      </c>
      <c r="K1309" s="283">
        <v>6994</v>
      </c>
      <c r="L1309" s="318">
        <v>-33.725772999999997</v>
      </c>
      <c r="M1309" s="318">
        <v>151.21978799999999</v>
      </c>
      <c r="O1309">
        <f>INDEX('MEC - traffic congestion'!$M$145:$M$249,MATCH($D1309,'MEC - traffic congestion'!$C$145:$C$249,0))</f>
        <v>1</v>
      </c>
      <c r="P1309" t="str">
        <f t="shared" si="56"/>
        <v>2021OFF PEAK</v>
      </c>
      <c r="Q1309">
        <f t="shared" si="57"/>
        <v>1</v>
      </c>
      <c r="R1309" s="195" t="str">
        <f t="shared" si="58"/>
        <v>2021LIGHT VEHICLES</v>
      </c>
    </row>
    <row r="1310" spans="3:18" x14ac:dyDescent="0.25">
      <c r="C1310" s="294" t="s">
        <v>855</v>
      </c>
      <c r="D1310" s="317">
        <v>57025</v>
      </c>
      <c r="E1310" s="122" t="s">
        <v>856</v>
      </c>
      <c r="F1310" s="122" t="s">
        <v>857</v>
      </c>
      <c r="G1310" s="122" t="s">
        <v>776</v>
      </c>
      <c r="H1310" s="122" t="s">
        <v>777</v>
      </c>
      <c r="I1310" s="312">
        <v>2021</v>
      </c>
      <c r="J1310" s="122" t="s">
        <v>711</v>
      </c>
      <c r="K1310" s="283">
        <v>3422</v>
      </c>
      <c r="L1310" s="318">
        <v>-33.725772999999997</v>
      </c>
      <c r="M1310" s="318">
        <v>151.21978799999999</v>
      </c>
      <c r="O1310">
        <f>INDEX('MEC - traffic congestion'!$M$145:$M$249,MATCH($D1310,'MEC - traffic congestion'!$C$145:$C$249,0))</f>
        <v>1</v>
      </c>
      <c r="P1310" t="str">
        <f t="shared" si="56"/>
        <v>2021PM PEAK</v>
      </c>
      <c r="Q1310">
        <f t="shared" si="57"/>
        <v>1</v>
      </c>
      <c r="R1310" s="195" t="str">
        <f t="shared" si="58"/>
        <v>2021LIGHT VEHICLES</v>
      </c>
    </row>
    <row r="1311" spans="3:18" x14ac:dyDescent="0.25">
      <c r="C1311" s="294" t="s">
        <v>855</v>
      </c>
      <c r="D1311" s="317">
        <v>57025</v>
      </c>
      <c r="E1311" s="122" t="s">
        <v>856</v>
      </c>
      <c r="F1311" s="122" t="s">
        <v>857</v>
      </c>
      <c r="G1311" s="122" t="s">
        <v>778</v>
      </c>
      <c r="H1311" s="122" t="s">
        <v>777</v>
      </c>
      <c r="I1311" s="312">
        <v>2021</v>
      </c>
      <c r="J1311" s="122" t="s">
        <v>711</v>
      </c>
      <c r="K1311" s="283">
        <v>4545</v>
      </c>
      <c r="L1311" s="318">
        <v>-33.725772999999997</v>
      </c>
      <c r="M1311" s="318">
        <v>151.21978799999999</v>
      </c>
      <c r="O1311">
        <f>INDEX('MEC - traffic congestion'!$M$145:$M$249,MATCH($D1311,'MEC - traffic congestion'!$C$145:$C$249,0))</f>
        <v>1</v>
      </c>
      <c r="P1311" t="str">
        <f t="shared" si="56"/>
        <v>2021PM PEAK</v>
      </c>
      <c r="Q1311">
        <f t="shared" si="57"/>
        <v>1</v>
      </c>
      <c r="R1311" s="195" t="str">
        <f t="shared" si="58"/>
        <v>2021LIGHT VEHICLES</v>
      </c>
    </row>
    <row r="1312" spans="3:18" x14ac:dyDescent="0.25">
      <c r="C1312" s="294" t="s">
        <v>855</v>
      </c>
      <c r="D1312" s="317">
        <v>57025</v>
      </c>
      <c r="E1312" s="122" t="s">
        <v>856</v>
      </c>
      <c r="F1312" s="122" t="s">
        <v>857</v>
      </c>
      <c r="G1312" s="122" t="s">
        <v>776</v>
      </c>
      <c r="H1312" s="122" t="s">
        <v>777</v>
      </c>
      <c r="I1312" s="312">
        <v>2021</v>
      </c>
      <c r="J1312" s="122" t="s">
        <v>713</v>
      </c>
      <c r="K1312" s="283">
        <v>11245</v>
      </c>
      <c r="L1312" s="318">
        <v>-33.725772999999997</v>
      </c>
      <c r="M1312" s="318">
        <v>151.21978799999999</v>
      </c>
      <c r="O1312">
        <f>INDEX('MEC - traffic congestion'!$M$145:$M$249,MATCH($D1312,'MEC - traffic congestion'!$C$145:$C$249,0))</f>
        <v>1</v>
      </c>
      <c r="P1312" t="str">
        <f t="shared" si="56"/>
        <v>2021WEEKENDS</v>
      </c>
      <c r="Q1312">
        <f t="shared" si="57"/>
        <v>1</v>
      </c>
      <c r="R1312" s="195" t="str">
        <f t="shared" si="58"/>
        <v>2021LIGHT VEHICLES</v>
      </c>
    </row>
    <row r="1313" spans="3:18" x14ac:dyDescent="0.25">
      <c r="C1313" s="294" t="s">
        <v>855</v>
      </c>
      <c r="D1313" s="317">
        <v>57025</v>
      </c>
      <c r="E1313" s="122" t="s">
        <v>856</v>
      </c>
      <c r="F1313" s="122" t="s">
        <v>857</v>
      </c>
      <c r="G1313" s="122" t="s">
        <v>778</v>
      </c>
      <c r="H1313" s="122" t="s">
        <v>777</v>
      </c>
      <c r="I1313" s="312">
        <v>2021</v>
      </c>
      <c r="J1313" s="122" t="s">
        <v>713</v>
      </c>
      <c r="K1313" s="283">
        <v>13404</v>
      </c>
      <c r="L1313" s="318">
        <v>-33.725772999999997</v>
      </c>
      <c r="M1313" s="318">
        <v>151.21978799999999</v>
      </c>
      <c r="O1313">
        <f>INDEX('MEC - traffic congestion'!$M$145:$M$249,MATCH($D1313,'MEC - traffic congestion'!$C$145:$C$249,0))</f>
        <v>1</v>
      </c>
      <c r="P1313" t="str">
        <f t="shared" si="56"/>
        <v>2021WEEKENDS</v>
      </c>
      <c r="Q1313">
        <f t="shared" si="57"/>
        <v>1</v>
      </c>
      <c r="R1313" s="195" t="str">
        <f t="shared" si="58"/>
        <v>2021LIGHT VEHICLES</v>
      </c>
    </row>
    <row r="1314" spans="3:18" x14ac:dyDescent="0.25">
      <c r="C1314" s="294" t="s">
        <v>855</v>
      </c>
      <c r="D1314" s="317">
        <v>57025</v>
      </c>
      <c r="E1314" s="122" t="s">
        <v>856</v>
      </c>
      <c r="F1314" s="122" t="s">
        <v>857</v>
      </c>
      <c r="G1314" s="122" t="s">
        <v>776</v>
      </c>
      <c r="H1314" s="122" t="s">
        <v>777</v>
      </c>
      <c r="I1314" s="312">
        <v>2022</v>
      </c>
      <c r="J1314" s="122" t="s">
        <v>709</v>
      </c>
      <c r="K1314" s="283">
        <v>4762</v>
      </c>
      <c r="L1314" s="318">
        <v>-33.725772999999997</v>
      </c>
      <c r="M1314" s="318">
        <v>151.21978799999999</v>
      </c>
      <c r="O1314">
        <f>INDEX('MEC - traffic congestion'!$M$145:$M$249,MATCH($D1314,'MEC - traffic congestion'!$C$145:$C$249,0))</f>
        <v>1</v>
      </c>
      <c r="P1314" t="str">
        <f t="shared" si="56"/>
        <v>2022AM PEAK</v>
      </c>
      <c r="Q1314">
        <f t="shared" si="57"/>
        <v>1</v>
      </c>
      <c r="R1314" s="195" t="str">
        <f t="shared" si="58"/>
        <v>2022LIGHT VEHICLES</v>
      </c>
    </row>
    <row r="1315" spans="3:18" x14ac:dyDescent="0.25">
      <c r="C1315" s="294" t="s">
        <v>855</v>
      </c>
      <c r="D1315" s="317">
        <v>57025</v>
      </c>
      <c r="E1315" s="122" t="s">
        <v>856</v>
      </c>
      <c r="F1315" s="122" t="s">
        <v>857</v>
      </c>
      <c r="G1315" s="122" t="s">
        <v>778</v>
      </c>
      <c r="H1315" s="122" t="s">
        <v>777</v>
      </c>
      <c r="I1315" s="312">
        <v>2022</v>
      </c>
      <c r="J1315" s="122" t="s">
        <v>709</v>
      </c>
      <c r="K1315" s="283">
        <v>4394</v>
      </c>
      <c r="L1315" s="318">
        <v>-33.725772999999997</v>
      </c>
      <c r="M1315" s="318">
        <v>151.21978799999999</v>
      </c>
      <c r="O1315">
        <f>INDEX('MEC - traffic congestion'!$M$145:$M$249,MATCH($D1315,'MEC - traffic congestion'!$C$145:$C$249,0))</f>
        <v>1</v>
      </c>
      <c r="P1315" t="str">
        <f t="shared" si="56"/>
        <v>2022AM PEAK</v>
      </c>
      <c r="Q1315">
        <f t="shared" si="57"/>
        <v>1</v>
      </c>
      <c r="R1315" s="195" t="str">
        <f t="shared" si="58"/>
        <v>2022LIGHT VEHICLES</v>
      </c>
    </row>
    <row r="1316" spans="3:18" x14ac:dyDescent="0.25">
      <c r="C1316" s="294" t="s">
        <v>855</v>
      </c>
      <c r="D1316" s="317">
        <v>57025</v>
      </c>
      <c r="E1316" s="122" t="s">
        <v>856</v>
      </c>
      <c r="F1316" s="122" t="s">
        <v>857</v>
      </c>
      <c r="G1316" s="122" t="s">
        <v>776</v>
      </c>
      <c r="H1316" s="122" t="s">
        <v>777</v>
      </c>
      <c r="I1316" s="312">
        <v>2022</v>
      </c>
      <c r="J1316" s="122" t="s">
        <v>710</v>
      </c>
      <c r="K1316" s="283">
        <v>7501</v>
      </c>
      <c r="L1316" s="318">
        <v>-33.725772999999997</v>
      </c>
      <c r="M1316" s="318">
        <v>151.21978799999999</v>
      </c>
      <c r="O1316">
        <f>INDEX('MEC - traffic congestion'!$M$145:$M$249,MATCH($D1316,'MEC - traffic congestion'!$C$145:$C$249,0))</f>
        <v>1</v>
      </c>
      <c r="P1316" t="str">
        <f t="shared" si="56"/>
        <v>2022OFF PEAK</v>
      </c>
      <c r="Q1316">
        <f t="shared" si="57"/>
        <v>1</v>
      </c>
      <c r="R1316" s="195" t="str">
        <f t="shared" si="58"/>
        <v>2022LIGHT VEHICLES</v>
      </c>
    </row>
    <row r="1317" spans="3:18" x14ac:dyDescent="0.25">
      <c r="C1317" s="294" t="s">
        <v>855</v>
      </c>
      <c r="D1317" s="317">
        <v>57025</v>
      </c>
      <c r="E1317" s="122" t="s">
        <v>856</v>
      </c>
      <c r="F1317" s="122" t="s">
        <v>857</v>
      </c>
      <c r="G1317" s="122" t="s">
        <v>778</v>
      </c>
      <c r="H1317" s="122" t="s">
        <v>777</v>
      </c>
      <c r="I1317" s="312">
        <v>2022</v>
      </c>
      <c r="J1317" s="122" t="s">
        <v>710</v>
      </c>
      <c r="K1317" s="283">
        <v>7340</v>
      </c>
      <c r="L1317" s="318">
        <v>-33.725772999999997</v>
      </c>
      <c r="M1317" s="318">
        <v>151.21978799999999</v>
      </c>
      <c r="O1317">
        <f>INDEX('MEC - traffic congestion'!$M$145:$M$249,MATCH($D1317,'MEC - traffic congestion'!$C$145:$C$249,0))</f>
        <v>1</v>
      </c>
      <c r="P1317" t="str">
        <f t="shared" si="56"/>
        <v>2022OFF PEAK</v>
      </c>
      <c r="Q1317">
        <f t="shared" si="57"/>
        <v>1</v>
      </c>
      <c r="R1317" s="195" t="str">
        <f t="shared" si="58"/>
        <v>2022LIGHT VEHICLES</v>
      </c>
    </row>
    <row r="1318" spans="3:18" x14ac:dyDescent="0.25">
      <c r="C1318" s="294" t="s">
        <v>855</v>
      </c>
      <c r="D1318" s="317">
        <v>57025</v>
      </c>
      <c r="E1318" s="122" t="s">
        <v>856</v>
      </c>
      <c r="F1318" s="122" t="s">
        <v>857</v>
      </c>
      <c r="G1318" s="122" t="s">
        <v>776</v>
      </c>
      <c r="H1318" s="122" t="s">
        <v>777</v>
      </c>
      <c r="I1318" s="312">
        <v>2022</v>
      </c>
      <c r="J1318" s="122" t="s">
        <v>711</v>
      </c>
      <c r="K1318" s="283">
        <v>4340</v>
      </c>
      <c r="L1318" s="318">
        <v>-33.725772999999997</v>
      </c>
      <c r="M1318" s="318">
        <v>151.21978799999999</v>
      </c>
      <c r="O1318">
        <f>INDEX('MEC - traffic congestion'!$M$145:$M$249,MATCH($D1318,'MEC - traffic congestion'!$C$145:$C$249,0))</f>
        <v>1</v>
      </c>
      <c r="P1318" t="str">
        <f t="shared" si="56"/>
        <v>2022PM PEAK</v>
      </c>
      <c r="Q1318">
        <f t="shared" si="57"/>
        <v>1</v>
      </c>
      <c r="R1318" s="195" t="str">
        <f t="shared" si="58"/>
        <v>2022LIGHT VEHICLES</v>
      </c>
    </row>
    <row r="1319" spans="3:18" x14ac:dyDescent="0.25">
      <c r="C1319" s="294" t="s">
        <v>855</v>
      </c>
      <c r="D1319" s="317">
        <v>57025</v>
      </c>
      <c r="E1319" s="122" t="s">
        <v>856</v>
      </c>
      <c r="F1319" s="122" t="s">
        <v>857</v>
      </c>
      <c r="G1319" s="122" t="s">
        <v>778</v>
      </c>
      <c r="H1319" s="122" t="s">
        <v>777</v>
      </c>
      <c r="I1319" s="312">
        <v>2022</v>
      </c>
      <c r="J1319" s="122" t="s">
        <v>711</v>
      </c>
      <c r="K1319" s="283">
        <v>5015</v>
      </c>
      <c r="L1319" s="318">
        <v>-33.725772999999997</v>
      </c>
      <c r="M1319" s="318">
        <v>151.21978799999999</v>
      </c>
      <c r="O1319">
        <f>INDEX('MEC - traffic congestion'!$M$145:$M$249,MATCH($D1319,'MEC - traffic congestion'!$C$145:$C$249,0))</f>
        <v>1</v>
      </c>
      <c r="P1319" t="str">
        <f t="shared" si="56"/>
        <v>2022PM PEAK</v>
      </c>
      <c r="Q1319">
        <f t="shared" si="57"/>
        <v>1</v>
      </c>
      <c r="R1319" s="195" t="str">
        <f t="shared" si="58"/>
        <v>2022LIGHT VEHICLES</v>
      </c>
    </row>
    <row r="1320" spans="3:18" x14ac:dyDescent="0.25">
      <c r="C1320" s="294" t="s">
        <v>855</v>
      </c>
      <c r="D1320" s="317">
        <v>57025</v>
      </c>
      <c r="E1320" s="122" t="s">
        <v>856</v>
      </c>
      <c r="F1320" s="122" t="s">
        <v>857</v>
      </c>
      <c r="G1320" s="122" t="s">
        <v>776</v>
      </c>
      <c r="H1320" s="122" t="s">
        <v>777</v>
      </c>
      <c r="I1320" s="312">
        <v>2022</v>
      </c>
      <c r="J1320" s="122" t="s">
        <v>713</v>
      </c>
      <c r="K1320" s="283">
        <v>14471</v>
      </c>
      <c r="L1320" s="318">
        <v>-33.725772999999997</v>
      </c>
      <c r="M1320" s="318">
        <v>151.21978799999999</v>
      </c>
      <c r="O1320">
        <f>INDEX('MEC - traffic congestion'!$M$145:$M$249,MATCH($D1320,'MEC - traffic congestion'!$C$145:$C$249,0))</f>
        <v>1</v>
      </c>
      <c r="P1320" t="str">
        <f t="shared" si="56"/>
        <v>2022WEEKENDS</v>
      </c>
      <c r="Q1320">
        <f t="shared" si="57"/>
        <v>1</v>
      </c>
      <c r="R1320" s="195" t="str">
        <f t="shared" si="58"/>
        <v>2022LIGHT VEHICLES</v>
      </c>
    </row>
    <row r="1321" spans="3:18" x14ac:dyDescent="0.25">
      <c r="C1321" s="294" t="s">
        <v>855</v>
      </c>
      <c r="D1321" s="317">
        <v>57025</v>
      </c>
      <c r="E1321" s="122" t="s">
        <v>856</v>
      </c>
      <c r="F1321" s="122" t="s">
        <v>857</v>
      </c>
      <c r="G1321" s="122" t="s">
        <v>778</v>
      </c>
      <c r="H1321" s="122" t="s">
        <v>777</v>
      </c>
      <c r="I1321" s="312">
        <v>2022</v>
      </c>
      <c r="J1321" s="122" t="s">
        <v>713</v>
      </c>
      <c r="K1321" s="283">
        <v>14724</v>
      </c>
      <c r="L1321" s="318">
        <v>-33.725772999999997</v>
      </c>
      <c r="M1321" s="318">
        <v>151.21978799999999</v>
      </c>
      <c r="O1321">
        <f>INDEX('MEC - traffic congestion'!$M$145:$M$249,MATCH($D1321,'MEC - traffic congestion'!$C$145:$C$249,0))</f>
        <v>1</v>
      </c>
      <c r="P1321" t="str">
        <f t="shared" si="56"/>
        <v>2022WEEKENDS</v>
      </c>
      <c r="Q1321">
        <f t="shared" si="57"/>
        <v>1</v>
      </c>
      <c r="R1321" s="195" t="str">
        <f t="shared" si="58"/>
        <v>2022LIGHT VEHICLES</v>
      </c>
    </row>
    <row r="1322" spans="3:18" x14ac:dyDescent="0.25">
      <c r="C1322" s="294" t="s">
        <v>855</v>
      </c>
      <c r="D1322" s="317">
        <v>57025</v>
      </c>
      <c r="E1322" s="122" t="s">
        <v>856</v>
      </c>
      <c r="F1322" s="122" t="s">
        <v>857</v>
      </c>
      <c r="G1322" s="122" t="s">
        <v>776</v>
      </c>
      <c r="H1322" s="122" t="s">
        <v>777</v>
      </c>
      <c r="I1322" s="312">
        <v>2023</v>
      </c>
      <c r="J1322" s="122" t="s">
        <v>709</v>
      </c>
      <c r="K1322" s="283">
        <v>4849</v>
      </c>
      <c r="L1322" s="318">
        <v>-33.725772999999997</v>
      </c>
      <c r="M1322" s="318">
        <v>151.21978799999999</v>
      </c>
      <c r="O1322">
        <f>INDEX('MEC - traffic congestion'!$M$145:$M$249,MATCH($D1322,'MEC - traffic congestion'!$C$145:$C$249,0))</f>
        <v>1</v>
      </c>
      <c r="P1322" t="str">
        <f t="shared" si="56"/>
        <v>2023AM PEAK</v>
      </c>
      <c r="Q1322">
        <f t="shared" si="57"/>
        <v>1</v>
      </c>
      <c r="R1322" s="195" t="str">
        <f t="shared" si="58"/>
        <v>2023LIGHT VEHICLES</v>
      </c>
    </row>
    <row r="1323" spans="3:18" x14ac:dyDescent="0.25">
      <c r="C1323" s="294" t="s">
        <v>855</v>
      </c>
      <c r="D1323" s="317">
        <v>57025</v>
      </c>
      <c r="E1323" s="122" t="s">
        <v>856</v>
      </c>
      <c r="F1323" s="122" t="s">
        <v>857</v>
      </c>
      <c r="G1323" s="122" t="s">
        <v>778</v>
      </c>
      <c r="H1323" s="122" t="s">
        <v>777</v>
      </c>
      <c r="I1323" s="312">
        <v>2023</v>
      </c>
      <c r="J1323" s="122" t="s">
        <v>709</v>
      </c>
      <c r="K1323" s="283">
        <v>4288</v>
      </c>
      <c r="L1323" s="318">
        <v>-33.725772999999997</v>
      </c>
      <c r="M1323" s="318">
        <v>151.21978799999999</v>
      </c>
      <c r="O1323">
        <f>INDEX('MEC - traffic congestion'!$M$145:$M$249,MATCH($D1323,'MEC - traffic congestion'!$C$145:$C$249,0))</f>
        <v>1</v>
      </c>
      <c r="P1323" t="str">
        <f t="shared" si="56"/>
        <v>2023AM PEAK</v>
      </c>
      <c r="Q1323">
        <f t="shared" si="57"/>
        <v>1</v>
      </c>
      <c r="R1323" s="195" t="str">
        <f t="shared" si="58"/>
        <v>2023LIGHT VEHICLES</v>
      </c>
    </row>
    <row r="1324" spans="3:18" x14ac:dyDescent="0.25">
      <c r="C1324" s="294" t="s">
        <v>855</v>
      </c>
      <c r="D1324" s="317">
        <v>57025</v>
      </c>
      <c r="E1324" s="122" t="s">
        <v>856</v>
      </c>
      <c r="F1324" s="122" t="s">
        <v>857</v>
      </c>
      <c r="G1324" s="122" t="s">
        <v>776</v>
      </c>
      <c r="H1324" s="122" t="s">
        <v>777</v>
      </c>
      <c r="I1324" s="312">
        <v>2023</v>
      </c>
      <c r="J1324" s="122" t="s">
        <v>710</v>
      </c>
      <c r="K1324" s="283">
        <v>7620</v>
      </c>
      <c r="L1324" s="318">
        <v>-33.725772999999997</v>
      </c>
      <c r="M1324" s="318">
        <v>151.21978799999999</v>
      </c>
      <c r="O1324">
        <f>INDEX('MEC - traffic congestion'!$M$145:$M$249,MATCH($D1324,'MEC - traffic congestion'!$C$145:$C$249,0))</f>
        <v>1</v>
      </c>
      <c r="P1324" t="str">
        <f t="shared" si="56"/>
        <v>2023OFF PEAK</v>
      </c>
      <c r="Q1324">
        <f t="shared" si="57"/>
        <v>1</v>
      </c>
      <c r="R1324" s="195" t="str">
        <f t="shared" si="58"/>
        <v>2023LIGHT VEHICLES</v>
      </c>
    </row>
    <row r="1325" spans="3:18" x14ac:dyDescent="0.25">
      <c r="C1325" s="294" t="s">
        <v>855</v>
      </c>
      <c r="D1325" s="317">
        <v>57025</v>
      </c>
      <c r="E1325" s="122" t="s">
        <v>856</v>
      </c>
      <c r="F1325" s="122" t="s">
        <v>857</v>
      </c>
      <c r="G1325" s="122" t="s">
        <v>778</v>
      </c>
      <c r="H1325" s="122" t="s">
        <v>777</v>
      </c>
      <c r="I1325" s="312">
        <v>2023</v>
      </c>
      <c r="J1325" s="122" t="s">
        <v>710</v>
      </c>
      <c r="K1325" s="283">
        <v>7466</v>
      </c>
      <c r="L1325" s="318">
        <v>-33.725772999999997</v>
      </c>
      <c r="M1325" s="318">
        <v>151.21978799999999</v>
      </c>
      <c r="O1325">
        <f>INDEX('MEC - traffic congestion'!$M$145:$M$249,MATCH($D1325,'MEC - traffic congestion'!$C$145:$C$249,0))</f>
        <v>1</v>
      </c>
      <c r="P1325" t="str">
        <f t="shared" si="56"/>
        <v>2023OFF PEAK</v>
      </c>
      <c r="Q1325">
        <f t="shared" si="57"/>
        <v>1</v>
      </c>
      <c r="R1325" s="195" t="str">
        <f t="shared" si="58"/>
        <v>2023LIGHT VEHICLES</v>
      </c>
    </row>
    <row r="1326" spans="3:18" x14ac:dyDescent="0.25">
      <c r="C1326" s="294" t="s">
        <v>855</v>
      </c>
      <c r="D1326" s="317">
        <v>57025</v>
      </c>
      <c r="E1326" s="122" t="s">
        <v>856</v>
      </c>
      <c r="F1326" s="122" t="s">
        <v>857</v>
      </c>
      <c r="G1326" s="122" t="s">
        <v>776</v>
      </c>
      <c r="H1326" s="122" t="s">
        <v>777</v>
      </c>
      <c r="I1326" s="312">
        <v>2023</v>
      </c>
      <c r="J1326" s="122" t="s">
        <v>711</v>
      </c>
      <c r="K1326" s="283">
        <v>4417</v>
      </c>
      <c r="L1326" s="318">
        <v>-33.725772999999997</v>
      </c>
      <c r="M1326" s="318">
        <v>151.21978799999999</v>
      </c>
      <c r="O1326">
        <f>INDEX('MEC - traffic congestion'!$M$145:$M$249,MATCH($D1326,'MEC - traffic congestion'!$C$145:$C$249,0))</f>
        <v>1</v>
      </c>
      <c r="P1326" t="str">
        <f t="shared" si="56"/>
        <v>2023PM PEAK</v>
      </c>
      <c r="Q1326">
        <f t="shared" si="57"/>
        <v>1</v>
      </c>
      <c r="R1326" s="195" t="str">
        <f t="shared" si="58"/>
        <v>2023LIGHT VEHICLES</v>
      </c>
    </row>
    <row r="1327" spans="3:18" x14ac:dyDescent="0.25">
      <c r="C1327" s="294" t="s">
        <v>855</v>
      </c>
      <c r="D1327" s="317">
        <v>57025</v>
      </c>
      <c r="E1327" s="122" t="s">
        <v>856</v>
      </c>
      <c r="F1327" s="122" t="s">
        <v>857</v>
      </c>
      <c r="G1327" s="122" t="s">
        <v>778</v>
      </c>
      <c r="H1327" s="122" t="s">
        <v>777</v>
      </c>
      <c r="I1327" s="312">
        <v>2023</v>
      </c>
      <c r="J1327" s="122" t="s">
        <v>711</v>
      </c>
      <c r="K1327" s="283">
        <v>5108</v>
      </c>
      <c r="L1327" s="318">
        <v>-33.725772999999997</v>
      </c>
      <c r="M1327" s="318">
        <v>151.21978799999999</v>
      </c>
      <c r="O1327">
        <f>INDEX('MEC - traffic congestion'!$M$145:$M$249,MATCH($D1327,'MEC - traffic congestion'!$C$145:$C$249,0))</f>
        <v>1</v>
      </c>
      <c r="P1327" t="str">
        <f t="shared" si="56"/>
        <v>2023PM PEAK</v>
      </c>
      <c r="Q1327">
        <f t="shared" si="57"/>
        <v>1</v>
      </c>
      <c r="R1327" s="195" t="str">
        <f t="shared" si="58"/>
        <v>2023LIGHT VEHICLES</v>
      </c>
    </row>
    <row r="1328" spans="3:18" x14ac:dyDescent="0.25">
      <c r="C1328" s="294" t="s">
        <v>855</v>
      </c>
      <c r="D1328" s="317">
        <v>57025</v>
      </c>
      <c r="E1328" s="122" t="s">
        <v>856</v>
      </c>
      <c r="F1328" s="122" t="s">
        <v>857</v>
      </c>
      <c r="G1328" s="122" t="s">
        <v>776</v>
      </c>
      <c r="H1328" s="122" t="s">
        <v>777</v>
      </c>
      <c r="I1328" s="312">
        <v>2023</v>
      </c>
      <c r="J1328" s="122" t="s">
        <v>713</v>
      </c>
      <c r="K1328" s="283">
        <v>14803</v>
      </c>
      <c r="L1328" s="318">
        <v>-33.725772999999997</v>
      </c>
      <c r="M1328" s="318">
        <v>151.21978799999999</v>
      </c>
      <c r="O1328">
        <f>INDEX('MEC - traffic congestion'!$M$145:$M$249,MATCH($D1328,'MEC - traffic congestion'!$C$145:$C$249,0))</f>
        <v>1</v>
      </c>
      <c r="P1328" t="str">
        <f t="shared" si="56"/>
        <v>2023WEEKENDS</v>
      </c>
      <c r="Q1328">
        <f t="shared" si="57"/>
        <v>1</v>
      </c>
      <c r="R1328" s="195" t="str">
        <f t="shared" si="58"/>
        <v>2023LIGHT VEHICLES</v>
      </c>
    </row>
    <row r="1329" spans="3:18" x14ac:dyDescent="0.25">
      <c r="C1329" s="294" t="s">
        <v>855</v>
      </c>
      <c r="D1329" s="317">
        <v>57025</v>
      </c>
      <c r="E1329" s="122" t="s">
        <v>856</v>
      </c>
      <c r="F1329" s="122" t="s">
        <v>857</v>
      </c>
      <c r="G1329" s="122" t="s">
        <v>778</v>
      </c>
      <c r="H1329" s="122" t="s">
        <v>777</v>
      </c>
      <c r="I1329" s="312">
        <v>2023</v>
      </c>
      <c r="J1329" s="122" t="s">
        <v>713</v>
      </c>
      <c r="K1329" s="283">
        <v>15020</v>
      </c>
      <c r="L1329" s="318">
        <v>-33.725772999999997</v>
      </c>
      <c r="M1329" s="318">
        <v>151.21978799999999</v>
      </c>
      <c r="O1329">
        <f>INDEX('MEC - traffic congestion'!$M$145:$M$249,MATCH($D1329,'MEC - traffic congestion'!$C$145:$C$249,0))</f>
        <v>1</v>
      </c>
      <c r="P1329" t="str">
        <f t="shared" si="56"/>
        <v>2023WEEKENDS</v>
      </c>
      <c r="Q1329">
        <f t="shared" si="57"/>
        <v>1</v>
      </c>
      <c r="R1329" s="195" t="str">
        <f t="shared" si="58"/>
        <v>2023LIGHT VEHICLES</v>
      </c>
    </row>
    <row r="1330" spans="3:18" x14ac:dyDescent="0.25">
      <c r="C1330" s="294" t="s">
        <v>855</v>
      </c>
      <c r="D1330" s="317">
        <v>57025</v>
      </c>
      <c r="E1330" s="122" t="s">
        <v>856</v>
      </c>
      <c r="F1330" s="122" t="s">
        <v>857</v>
      </c>
      <c r="G1330" s="122" t="s">
        <v>776</v>
      </c>
      <c r="H1330" s="122" t="s">
        <v>777</v>
      </c>
      <c r="I1330" s="312">
        <v>2024</v>
      </c>
      <c r="J1330" s="122" t="s">
        <v>709</v>
      </c>
      <c r="K1330" s="283">
        <v>5055</v>
      </c>
      <c r="L1330" s="318">
        <v>-33.725772999999997</v>
      </c>
      <c r="M1330" s="318">
        <v>151.21978799999999</v>
      </c>
      <c r="O1330">
        <f>INDEX('MEC - traffic congestion'!$M$145:$M$249,MATCH($D1330,'MEC - traffic congestion'!$C$145:$C$249,0))</f>
        <v>1</v>
      </c>
      <c r="P1330" t="str">
        <f t="shared" si="56"/>
        <v>2024AM PEAK</v>
      </c>
      <c r="Q1330">
        <f t="shared" si="57"/>
        <v>1</v>
      </c>
      <c r="R1330" s="195" t="str">
        <f t="shared" si="58"/>
        <v>2024LIGHT VEHICLES</v>
      </c>
    </row>
    <row r="1331" spans="3:18" x14ac:dyDescent="0.25">
      <c r="C1331" s="294" t="s">
        <v>855</v>
      </c>
      <c r="D1331" s="317">
        <v>57025</v>
      </c>
      <c r="E1331" s="122" t="s">
        <v>856</v>
      </c>
      <c r="F1331" s="122" t="s">
        <v>857</v>
      </c>
      <c r="G1331" s="122" t="s">
        <v>778</v>
      </c>
      <c r="H1331" s="122" t="s">
        <v>777</v>
      </c>
      <c r="I1331" s="312">
        <v>2024</v>
      </c>
      <c r="J1331" s="122" t="s">
        <v>709</v>
      </c>
      <c r="K1331" s="283">
        <v>2124</v>
      </c>
      <c r="L1331" s="318">
        <v>-33.725772999999997</v>
      </c>
      <c r="M1331" s="318">
        <v>151.21978799999999</v>
      </c>
      <c r="O1331">
        <f>INDEX('MEC - traffic congestion'!$M$145:$M$249,MATCH($D1331,'MEC - traffic congestion'!$C$145:$C$249,0))</f>
        <v>1</v>
      </c>
      <c r="P1331" t="str">
        <f t="shared" si="56"/>
        <v>2024AM PEAK</v>
      </c>
      <c r="Q1331">
        <f t="shared" si="57"/>
        <v>1</v>
      </c>
      <c r="R1331" s="195" t="str">
        <f t="shared" si="58"/>
        <v>2024LIGHT VEHICLES</v>
      </c>
    </row>
    <row r="1332" spans="3:18" x14ac:dyDescent="0.25">
      <c r="C1332" s="294" t="s">
        <v>855</v>
      </c>
      <c r="D1332" s="317">
        <v>57025</v>
      </c>
      <c r="E1332" s="122" t="s">
        <v>856</v>
      </c>
      <c r="F1332" s="122" t="s">
        <v>857</v>
      </c>
      <c r="G1332" s="122" t="s">
        <v>776</v>
      </c>
      <c r="H1332" s="122" t="s">
        <v>777</v>
      </c>
      <c r="I1332" s="312">
        <v>2024</v>
      </c>
      <c r="J1332" s="122" t="s">
        <v>710</v>
      </c>
      <c r="K1332" s="283">
        <v>7857</v>
      </c>
      <c r="L1332" s="318">
        <v>-33.725772999999997</v>
      </c>
      <c r="M1332" s="318">
        <v>151.21978799999999</v>
      </c>
      <c r="O1332">
        <f>INDEX('MEC - traffic congestion'!$M$145:$M$249,MATCH($D1332,'MEC - traffic congestion'!$C$145:$C$249,0))</f>
        <v>1</v>
      </c>
      <c r="P1332" t="str">
        <f t="shared" si="56"/>
        <v>2024OFF PEAK</v>
      </c>
      <c r="Q1332">
        <f t="shared" si="57"/>
        <v>1</v>
      </c>
      <c r="R1332" s="195" t="str">
        <f t="shared" si="58"/>
        <v>2024LIGHT VEHICLES</v>
      </c>
    </row>
    <row r="1333" spans="3:18" x14ac:dyDescent="0.25">
      <c r="C1333" s="294" t="s">
        <v>855</v>
      </c>
      <c r="D1333" s="317">
        <v>57025</v>
      </c>
      <c r="E1333" s="122" t="s">
        <v>856</v>
      </c>
      <c r="F1333" s="122" t="s">
        <v>857</v>
      </c>
      <c r="G1333" s="122" t="s">
        <v>778</v>
      </c>
      <c r="H1333" s="122" t="s">
        <v>777</v>
      </c>
      <c r="I1333" s="312">
        <v>2024</v>
      </c>
      <c r="J1333" s="122" t="s">
        <v>710</v>
      </c>
      <c r="K1333" s="283">
        <v>3871</v>
      </c>
      <c r="L1333" s="318">
        <v>-33.725772999999997</v>
      </c>
      <c r="M1333" s="318">
        <v>151.21978799999999</v>
      </c>
      <c r="O1333">
        <f>INDEX('MEC - traffic congestion'!$M$145:$M$249,MATCH($D1333,'MEC - traffic congestion'!$C$145:$C$249,0))</f>
        <v>1</v>
      </c>
      <c r="P1333" t="str">
        <f t="shared" si="56"/>
        <v>2024OFF PEAK</v>
      </c>
      <c r="Q1333">
        <f t="shared" si="57"/>
        <v>1</v>
      </c>
      <c r="R1333" s="195" t="str">
        <f t="shared" si="58"/>
        <v>2024LIGHT VEHICLES</v>
      </c>
    </row>
    <row r="1334" spans="3:18" x14ac:dyDescent="0.25">
      <c r="C1334" s="294" t="s">
        <v>855</v>
      </c>
      <c r="D1334" s="317">
        <v>57025</v>
      </c>
      <c r="E1334" s="122" t="s">
        <v>856</v>
      </c>
      <c r="F1334" s="122" t="s">
        <v>857</v>
      </c>
      <c r="G1334" s="122" t="s">
        <v>776</v>
      </c>
      <c r="H1334" s="122" t="s">
        <v>777</v>
      </c>
      <c r="I1334" s="312">
        <v>2024</v>
      </c>
      <c r="J1334" s="122" t="s">
        <v>711</v>
      </c>
      <c r="K1334" s="283">
        <v>4302</v>
      </c>
      <c r="L1334" s="318">
        <v>-33.725772999999997</v>
      </c>
      <c r="M1334" s="318">
        <v>151.21978799999999</v>
      </c>
      <c r="O1334">
        <f>INDEX('MEC - traffic congestion'!$M$145:$M$249,MATCH($D1334,'MEC - traffic congestion'!$C$145:$C$249,0))</f>
        <v>1</v>
      </c>
      <c r="P1334" t="str">
        <f t="shared" si="56"/>
        <v>2024PM PEAK</v>
      </c>
      <c r="Q1334">
        <f t="shared" si="57"/>
        <v>1</v>
      </c>
      <c r="R1334" s="195" t="str">
        <f t="shared" si="58"/>
        <v>2024LIGHT VEHICLES</v>
      </c>
    </row>
    <row r="1335" spans="3:18" x14ac:dyDescent="0.25">
      <c r="C1335" s="294" t="s">
        <v>855</v>
      </c>
      <c r="D1335" s="317">
        <v>57025</v>
      </c>
      <c r="E1335" s="122" t="s">
        <v>856</v>
      </c>
      <c r="F1335" s="122" t="s">
        <v>857</v>
      </c>
      <c r="G1335" s="122" t="s">
        <v>778</v>
      </c>
      <c r="H1335" s="122" t="s">
        <v>777</v>
      </c>
      <c r="I1335" s="312">
        <v>2024</v>
      </c>
      <c r="J1335" s="122" t="s">
        <v>711</v>
      </c>
      <c r="K1335" s="283">
        <v>2336</v>
      </c>
      <c r="L1335" s="318">
        <v>-33.725772999999997</v>
      </c>
      <c r="M1335" s="318">
        <v>151.21978799999999</v>
      </c>
      <c r="O1335">
        <f>INDEX('MEC - traffic congestion'!$M$145:$M$249,MATCH($D1335,'MEC - traffic congestion'!$C$145:$C$249,0))</f>
        <v>1</v>
      </c>
      <c r="P1335" t="str">
        <f t="shared" si="56"/>
        <v>2024PM PEAK</v>
      </c>
      <c r="Q1335">
        <f t="shared" si="57"/>
        <v>1</v>
      </c>
      <c r="R1335" s="195" t="str">
        <f t="shared" si="58"/>
        <v>2024LIGHT VEHICLES</v>
      </c>
    </row>
    <row r="1336" spans="3:18" x14ac:dyDescent="0.25">
      <c r="C1336" s="294" t="s">
        <v>855</v>
      </c>
      <c r="D1336" s="317">
        <v>57025</v>
      </c>
      <c r="E1336" s="122" t="s">
        <v>856</v>
      </c>
      <c r="F1336" s="122" t="s">
        <v>857</v>
      </c>
      <c r="G1336" s="122" t="s">
        <v>776</v>
      </c>
      <c r="H1336" s="122" t="s">
        <v>777</v>
      </c>
      <c r="I1336" s="312">
        <v>2024</v>
      </c>
      <c r="J1336" s="122" t="s">
        <v>713</v>
      </c>
      <c r="K1336" s="283">
        <v>14768</v>
      </c>
      <c r="L1336" s="318">
        <v>-33.725772999999997</v>
      </c>
      <c r="M1336" s="318">
        <v>151.21978799999999</v>
      </c>
      <c r="O1336">
        <f>INDEX('MEC - traffic congestion'!$M$145:$M$249,MATCH($D1336,'MEC - traffic congestion'!$C$145:$C$249,0))</f>
        <v>1</v>
      </c>
      <c r="P1336" t="str">
        <f t="shared" si="56"/>
        <v>2024WEEKENDS</v>
      </c>
      <c r="Q1336">
        <f t="shared" si="57"/>
        <v>1</v>
      </c>
      <c r="R1336" s="195" t="str">
        <f t="shared" si="58"/>
        <v>2024LIGHT VEHICLES</v>
      </c>
    </row>
    <row r="1337" spans="3:18" x14ac:dyDescent="0.25">
      <c r="C1337" s="294" t="s">
        <v>855</v>
      </c>
      <c r="D1337" s="317">
        <v>57025</v>
      </c>
      <c r="E1337" s="122" t="s">
        <v>856</v>
      </c>
      <c r="F1337" s="122" t="s">
        <v>857</v>
      </c>
      <c r="G1337" s="122" t="s">
        <v>778</v>
      </c>
      <c r="H1337" s="122" t="s">
        <v>777</v>
      </c>
      <c r="I1337" s="312">
        <v>2024</v>
      </c>
      <c r="J1337" s="122" t="s">
        <v>713</v>
      </c>
      <c r="K1337" s="283">
        <v>7710</v>
      </c>
      <c r="L1337" s="318">
        <v>-33.725772999999997</v>
      </c>
      <c r="M1337" s="318">
        <v>151.21978799999999</v>
      </c>
      <c r="O1337">
        <f>INDEX('MEC - traffic congestion'!$M$145:$M$249,MATCH($D1337,'MEC - traffic congestion'!$C$145:$C$249,0))</f>
        <v>1</v>
      </c>
      <c r="P1337" t="str">
        <f t="shared" si="56"/>
        <v>2024WEEKENDS</v>
      </c>
      <c r="Q1337">
        <f t="shared" si="57"/>
        <v>1</v>
      </c>
      <c r="R1337" s="195" t="str">
        <f t="shared" si="58"/>
        <v>2024LIGHT VEHICLES</v>
      </c>
    </row>
    <row r="1338" spans="3:18" x14ac:dyDescent="0.25">
      <c r="C1338" s="294" t="s">
        <v>858</v>
      </c>
      <c r="D1338" s="317" t="s">
        <v>726</v>
      </c>
      <c r="E1338" s="122" t="s">
        <v>859</v>
      </c>
      <c r="F1338" s="122" t="s">
        <v>860</v>
      </c>
      <c r="G1338" s="122" t="s">
        <v>785</v>
      </c>
      <c r="H1338" s="122" t="s">
        <v>777</v>
      </c>
      <c r="I1338" s="312">
        <v>2018</v>
      </c>
      <c r="J1338" s="122" t="s">
        <v>709</v>
      </c>
      <c r="K1338" s="283">
        <v>1905</v>
      </c>
      <c r="L1338" s="318">
        <v>-34.372967000000003</v>
      </c>
      <c r="M1338" s="318">
        <v>150.82952900000001</v>
      </c>
      <c r="O1338">
        <f>INDEX('MEC - traffic congestion'!$M$145:$M$249,MATCH($D1338,'MEC - traffic congestion'!$C$145:$C$249,0))</f>
        <v>1</v>
      </c>
      <c r="P1338" t="str">
        <f t="shared" si="56"/>
        <v>2018AM PEAK</v>
      </c>
      <c r="Q1338">
        <f t="shared" si="57"/>
        <v>1</v>
      </c>
      <c r="R1338" s="195" t="str">
        <f t="shared" si="58"/>
        <v>2018LIGHT VEHICLES</v>
      </c>
    </row>
    <row r="1339" spans="3:18" x14ac:dyDescent="0.25">
      <c r="C1339" s="294" t="s">
        <v>858</v>
      </c>
      <c r="D1339" s="317" t="s">
        <v>726</v>
      </c>
      <c r="E1339" s="122" t="s">
        <v>859</v>
      </c>
      <c r="F1339" s="122" t="s">
        <v>860</v>
      </c>
      <c r="G1339" s="122" t="s">
        <v>786</v>
      </c>
      <c r="H1339" s="122" t="s">
        <v>777</v>
      </c>
      <c r="I1339" s="312">
        <v>2018</v>
      </c>
      <c r="J1339" s="122" t="s">
        <v>709</v>
      </c>
      <c r="K1339" s="283">
        <v>2158</v>
      </c>
      <c r="L1339" s="318">
        <v>-34.372967000000003</v>
      </c>
      <c r="M1339" s="318">
        <v>150.82952900000001</v>
      </c>
      <c r="O1339">
        <f>INDEX('MEC - traffic congestion'!$M$145:$M$249,MATCH($D1339,'MEC - traffic congestion'!$C$145:$C$249,0))</f>
        <v>1</v>
      </c>
      <c r="P1339" t="str">
        <f t="shared" si="56"/>
        <v>2018AM PEAK</v>
      </c>
      <c r="Q1339">
        <f t="shared" si="57"/>
        <v>1</v>
      </c>
      <c r="R1339" s="195" t="str">
        <f t="shared" si="58"/>
        <v>2018LIGHT VEHICLES</v>
      </c>
    </row>
    <row r="1340" spans="3:18" x14ac:dyDescent="0.25">
      <c r="C1340" s="294" t="s">
        <v>858</v>
      </c>
      <c r="D1340" s="317" t="s">
        <v>726</v>
      </c>
      <c r="E1340" s="122" t="s">
        <v>859</v>
      </c>
      <c r="F1340" s="122" t="s">
        <v>860</v>
      </c>
      <c r="G1340" s="122" t="s">
        <v>785</v>
      </c>
      <c r="H1340" s="122" t="s">
        <v>777</v>
      </c>
      <c r="I1340" s="312">
        <v>2018</v>
      </c>
      <c r="J1340" s="122" t="s">
        <v>710</v>
      </c>
      <c r="K1340" s="283">
        <v>3124</v>
      </c>
      <c r="L1340" s="318">
        <v>-34.372967000000003</v>
      </c>
      <c r="M1340" s="318">
        <v>150.82952900000001</v>
      </c>
      <c r="O1340">
        <f>INDEX('MEC - traffic congestion'!$M$145:$M$249,MATCH($D1340,'MEC - traffic congestion'!$C$145:$C$249,0))</f>
        <v>1</v>
      </c>
      <c r="P1340" t="str">
        <f t="shared" si="56"/>
        <v>2018OFF PEAK</v>
      </c>
      <c r="Q1340">
        <f t="shared" si="57"/>
        <v>1</v>
      </c>
      <c r="R1340" s="195" t="str">
        <f t="shared" si="58"/>
        <v>2018LIGHT VEHICLES</v>
      </c>
    </row>
    <row r="1341" spans="3:18" x14ac:dyDescent="0.25">
      <c r="C1341" s="294" t="s">
        <v>858</v>
      </c>
      <c r="D1341" s="317" t="s">
        <v>726</v>
      </c>
      <c r="E1341" s="122" t="s">
        <v>859</v>
      </c>
      <c r="F1341" s="122" t="s">
        <v>860</v>
      </c>
      <c r="G1341" s="122" t="s">
        <v>786</v>
      </c>
      <c r="H1341" s="122" t="s">
        <v>777</v>
      </c>
      <c r="I1341" s="312">
        <v>2018</v>
      </c>
      <c r="J1341" s="122" t="s">
        <v>710</v>
      </c>
      <c r="K1341" s="283">
        <v>3416</v>
      </c>
      <c r="L1341" s="318">
        <v>-34.372967000000003</v>
      </c>
      <c r="M1341" s="318">
        <v>150.82952900000001</v>
      </c>
      <c r="O1341">
        <f>INDEX('MEC - traffic congestion'!$M$145:$M$249,MATCH($D1341,'MEC - traffic congestion'!$C$145:$C$249,0))</f>
        <v>1</v>
      </c>
      <c r="P1341" t="str">
        <f t="shared" si="56"/>
        <v>2018OFF PEAK</v>
      </c>
      <c r="Q1341">
        <f t="shared" si="57"/>
        <v>1</v>
      </c>
      <c r="R1341" s="195" t="str">
        <f t="shared" si="58"/>
        <v>2018LIGHT VEHICLES</v>
      </c>
    </row>
    <row r="1342" spans="3:18" x14ac:dyDescent="0.25">
      <c r="C1342" s="294" t="s">
        <v>858</v>
      </c>
      <c r="D1342" s="317" t="s">
        <v>726</v>
      </c>
      <c r="E1342" s="122" t="s">
        <v>859</v>
      </c>
      <c r="F1342" s="122" t="s">
        <v>860</v>
      </c>
      <c r="G1342" s="122" t="s">
        <v>785</v>
      </c>
      <c r="H1342" s="122" t="s">
        <v>777</v>
      </c>
      <c r="I1342" s="312">
        <v>2018</v>
      </c>
      <c r="J1342" s="122" t="s">
        <v>711</v>
      </c>
      <c r="K1342" s="283">
        <v>2829</v>
      </c>
      <c r="L1342" s="318">
        <v>-34.372967000000003</v>
      </c>
      <c r="M1342" s="318">
        <v>150.82952900000001</v>
      </c>
      <c r="O1342">
        <f>INDEX('MEC - traffic congestion'!$M$145:$M$249,MATCH($D1342,'MEC - traffic congestion'!$C$145:$C$249,0))</f>
        <v>1</v>
      </c>
      <c r="P1342" t="str">
        <f t="shared" si="56"/>
        <v>2018PM PEAK</v>
      </c>
      <c r="Q1342">
        <f t="shared" si="57"/>
        <v>1</v>
      </c>
      <c r="R1342" s="195" t="str">
        <f t="shared" si="58"/>
        <v>2018LIGHT VEHICLES</v>
      </c>
    </row>
    <row r="1343" spans="3:18" x14ac:dyDescent="0.25">
      <c r="C1343" s="294" t="s">
        <v>858</v>
      </c>
      <c r="D1343" s="317" t="s">
        <v>726</v>
      </c>
      <c r="E1343" s="122" t="s">
        <v>859</v>
      </c>
      <c r="F1343" s="122" t="s">
        <v>860</v>
      </c>
      <c r="G1343" s="122" t="s">
        <v>786</v>
      </c>
      <c r="H1343" s="122" t="s">
        <v>777</v>
      </c>
      <c r="I1343" s="312">
        <v>2018</v>
      </c>
      <c r="J1343" s="122" t="s">
        <v>711</v>
      </c>
      <c r="K1343" s="283">
        <v>2059</v>
      </c>
      <c r="L1343" s="318">
        <v>-34.372967000000003</v>
      </c>
      <c r="M1343" s="318">
        <v>150.82952900000001</v>
      </c>
      <c r="O1343">
        <f>INDEX('MEC - traffic congestion'!$M$145:$M$249,MATCH($D1343,'MEC - traffic congestion'!$C$145:$C$249,0))</f>
        <v>1</v>
      </c>
      <c r="P1343" t="str">
        <f t="shared" si="56"/>
        <v>2018PM PEAK</v>
      </c>
      <c r="Q1343">
        <f t="shared" si="57"/>
        <v>1</v>
      </c>
      <c r="R1343" s="195" t="str">
        <f t="shared" si="58"/>
        <v>2018LIGHT VEHICLES</v>
      </c>
    </row>
    <row r="1344" spans="3:18" x14ac:dyDescent="0.25">
      <c r="C1344" s="294" t="s">
        <v>858</v>
      </c>
      <c r="D1344" s="317" t="s">
        <v>726</v>
      </c>
      <c r="E1344" s="122" t="s">
        <v>859</v>
      </c>
      <c r="F1344" s="122" t="s">
        <v>860</v>
      </c>
      <c r="G1344" s="122" t="s">
        <v>785</v>
      </c>
      <c r="H1344" s="122" t="s">
        <v>777</v>
      </c>
      <c r="I1344" s="312">
        <v>2018</v>
      </c>
      <c r="J1344" s="122" t="s">
        <v>712</v>
      </c>
      <c r="K1344" s="283">
        <v>8865</v>
      </c>
      <c r="L1344" s="318">
        <v>-34.372967000000003</v>
      </c>
      <c r="M1344" s="318">
        <v>150.82952900000001</v>
      </c>
      <c r="O1344">
        <f>INDEX('MEC - traffic congestion'!$M$145:$M$249,MATCH($D1344,'MEC - traffic congestion'!$C$145:$C$249,0))</f>
        <v>1</v>
      </c>
      <c r="P1344" t="str">
        <f t="shared" si="56"/>
        <v>2018PUBLIC HOLIDAYS</v>
      </c>
      <c r="Q1344">
        <f t="shared" si="57"/>
        <v>1</v>
      </c>
      <c r="R1344" s="195" t="str">
        <f t="shared" si="58"/>
        <v>2018LIGHT VEHICLES</v>
      </c>
    </row>
    <row r="1345" spans="3:18" x14ac:dyDescent="0.25">
      <c r="C1345" s="294" t="s">
        <v>858</v>
      </c>
      <c r="D1345" s="317" t="s">
        <v>726</v>
      </c>
      <c r="E1345" s="122" t="s">
        <v>859</v>
      </c>
      <c r="F1345" s="122" t="s">
        <v>860</v>
      </c>
      <c r="G1345" s="122" t="s">
        <v>786</v>
      </c>
      <c r="H1345" s="122" t="s">
        <v>777</v>
      </c>
      <c r="I1345" s="312">
        <v>2018</v>
      </c>
      <c r="J1345" s="122" t="s">
        <v>712</v>
      </c>
      <c r="K1345" s="283">
        <v>9480</v>
      </c>
      <c r="L1345" s="318">
        <v>-34.372967000000003</v>
      </c>
      <c r="M1345" s="318">
        <v>150.82952900000001</v>
      </c>
      <c r="O1345">
        <f>INDEX('MEC - traffic congestion'!$M$145:$M$249,MATCH($D1345,'MEC - traffic congestion'!$C$145:$C$249,0))</f>
        <v>1</v>
      </c>
      <c r="P1345" t="str">
        <f t="shared" si="56"/>
        <v>2018PUBLIC HOLIDAYS</v>
      </c>
      <c r="Q1345">
        <f t="shared" si="57"/>
        <v>1</v>
      </c>
      <c r="R1345" s="195" t="str">
        <f t="shared" si="58"/>
        <v>2018LIGHT VEHICLES</v>
      </c>
    </row>
    <row r="1346" spans="3:18" x14ac:dyDescent="0.25">
      <c r="C1346" s="294" t="s">
        <v>858</v>
      </c>
      <c r="D1346" s="317" t="s">
        <v>726</v>
      </c>
      <c r="E1346" s="122" t="s">
        <v>859</v>
      </c>
      <c r="F1346" s="122" t="s">
        <v>860</v>
      </c>
      <c r="G1346" s="122" t="s">
        <v>785</v>
      </c>
      <c r="H1346" s="122" t="s">
        <v>777</v>
      </c>
      <c r="I1346" s="312">
        <v>2018</v>
      </c>
      <c r="J1346" s="122" t="s">
        <v>713</v>
      </c>
      <c r="K1346" s="283">
        <v>7662</v>
      </c>
      <c r="L1346" s="318">
        <v>-34.372967000000003</v>
      </c>
      <c r="M1346" s="318">
        <v>150.82952900000001</v>
      </c>
      <c r="O1346">
        <f>INDEX('MEC - traffic congestion'!$M$145:$M$249,MATCH($D1346,'MEC - traffic congestion'!$C$145:$C$249,0))</f>
        <v>1</v>
      </c>
      <c r="P1346" t="str">
        <f t="shared" si="56"/>
        <v>2018WEEKENDS</v>
      </c>
      <c r="Q1346">
        <f t="shared" si="57"/>
        <v>1</v>
      </c>
      <c r="R1346" s="195" t="str">
        <f t="shared" si="58"/>
        <v>2018LIGHT VEHICLES</v>
      </c>
    </row>
    <row r="1347" spans="3:18" x14ac:dyDescent="0.25">
      <c r="C1347" s="294" t="s">
        <v>858</v>
      </c>
      <c r="D1347" s="317" t="s">
        <v>726</v>
      </c>
      <c r="E1347" s="122" t="s">
        <v>859</v>
      </c>
      <c r="F1347" s="122" t="s">
        <v>860</v>
      </c>
      <c r="G1347" s="122" t="s">
        <v>786</v>
      </c>
      <c r="H1347" s="122" t="s">
        <v>777</v>
      </c>
      <c r="I1347" s="312">
        <v>2018</v>
      </c>
      <c r="J1347" s="122" t="s">
        <v>713</v>
      </c>
      <c r="K1347" s="283">
        <v>7828</v>
      </c>
      <c r="L1347" s="318">
        <v>-34.372967000000003</v>
      </c>
      <c r="M1347" s="318">
        <v>150.82952900000001</v>
      </c>
      <c r="O1347">
        <f>INDEX('MEC - traffic congestion'!$M$145:$M$249,MATCH($D1347,'MEC - traffic congestion'!$C$145:$C$249,0))</f>
        <v>1</v>
      </c>
      <c r="P1347" t="str">
        <f t="shared" si="56"/>
        <v>2018WEEKENDS</v>
      </c>
      <c r="Q1347">
        <f t="shared" si="57"/>
        <v>1</v>
      </c>
      <c r="R1347" s="195" t="str">
        <f t="shared" si="58"/>
        <v>2018LIGHT VEHICLES</v>
      </c>
    </row>
    <row r="1348" spans="3:18" x14ac:dyDescent="0.25">
      <c r="C1348" s="294" t="s">
        <v>858</v>
      </c>
      <c r="D1348" s="317" t="s">
        <v>726</v>
      </c>
      <c r="E1348" s="122" t="s">
        <v>859</v>
      </c>
      <c r="F1348" s="122" t="s">
        <v>860</v>
      </c>
      <c r="G1348" s="122" t="s">
        <v>786</v>
      </c>
      <c r="H1348" s="122" t="s">
        <v>777</v>
      </c>
      <c r="I1348" s="312">
        <v>2019</v>
      </c>
      <c r="J1348" s="122" t="s">
        <v>709</v>
      </c>
      <c r="K1348" s="283">
        <v>2116</v>
      </c>
      <c r="L1348" s="318">
        <v>-34.372967000000003</v>
      </c>
      <c r="M1348" s="318">
        <v>150.82952900000001</v>
      </c>
      <c r="O1348">
        <f>INDEX('MEC - traffic congestion'!$M$145:$M$249,MATCH($D1348,'MEC - traffic congestion'!$C$145:$C$249,0))</f>
        <v>1</v>
      </c>
      <c r="P1348" t="str">
        <f t="shared" si="56"/>
        <v>2019AM PEAK</v>
      </c>
      <c r="Q1348">
        <f t="shared" si="57"/>
        <v>1</v>
      </c>
      <c r="R1348" s="195" t="str">
        <f t="shared" si="58"/>
        <v>2019LIGHT VEHICLES</v>
      </c>
    </row>
    <row r="1349" spans="3:18" x14ac:dyDescent="0.25">
      <c r="C1349" s="294" t="s">
        <v>858</v>
      </c>
      <c r="D1349" s="317" t="s">
        <v>726</v>
      </c>
      <c r="E1349" s="122" t="s">
        <v>859</v>
      </c>
      <c r="F1349" s="122" t="s">
        <v>860</v>
      </c>
      <c r="G1349" s="122" t="s">
        <v>786</v>
      </c>
      <c r="H1349" s="122" t="s">
        <v>777</v>
      </c>
      <c r="I1349" s="312">
        <v>2019</v>
      </c>
      <c r="J1349" s="122" t="s">
        <v>710</v>
      </c>
      <c r="K1349" s="283">
        <v>3661</v>
      </c>
      <c r="L1349" s="318">
        <v>-34.372967000000003</v>
      </c>
      <c r="M1349" s="318">
        <v>150.82952900000001</v>
      </c>
      <c r="O1349">
        <f>INDEX('MEC - traffic congestion'!$M$145:$M$249,MATCH($D1349,'MEC - traffic congestion'!$C$145:$C$249,0))</f>
        <v>1</v>
      </c>
      <c r="P1349" t="str">
        <f t="shared" si="56"/>
        <v>2019OFF PEAK</v>
      </c>
      <c r="Q1349">
        <f t="shared" si="57"/>
        <v>1</v>
      </c>
      <c r="R1349" s="195" t="str">
        <f t="shared" si="58"/>
        <v>2019LIGHT VEHICLES</v>
      </c>
    </row>
    <row r="1350" spans="3:18" x14ac:dyDescent="0.25">
      <c r="C1350" s="294" t="s">
        <v>858</v>
      </c>
      <c r="D1350" s="317" t="s">
        <v>726</v>
      </c>
      <c r="E1350" s="122" t="s">
        <v>859</v>
      </c>
      <c r="F1350" s="122" t="s">
        <v>860</v>
      </c>
      <c r="G1350" s="122" t="s">
        <v>786</v>
      </c>
      <c r="H1350" s="122" t="s">
        <v>777</v>
      </c>
      <c r="I1350" s="312">
        <v>2019</v>
      </c>
      <c r="J1350" s="122" t="s">
        <v>711</v>
      </c>
      <c r="K1350" s="283">
        <v>2159</v>
      </c>
      <c r="L1350" s="318">
        <v>-34.372967000000003</v>
      </c>
      <c r="M1350" s="318">
        <v>150.82952900000001</v>
      </c>
      <c r="O1350">
        <f>INDEX('MEC - traffic congestion'!$M$145:$M$249,MATCH($D1350,'MEC - traffic congestion'!$C$145:$C$249,0))</f>
        <v>1</v>
      </c>
      <c r="P1350" t="str">
        <f t="shared" si="56"/>
        <v>2019PM PEAK</v>
      </c>
      <c r="Q1350">
        <f t="shared" si="57"/>
        <v>1</v>
      </c>
      <c r="R1350" s="195" t="str">
        <f t="shared" si="58"/>
        <v>2019LIGHT VEHICLES</v>
      </c>
    </row>
    <row r="1351" spans="3:18" x14ac:dyDescent="0.25">
      <c r="C1351" s="294" t="s">
        <v>858</v>
      </c>
      <c r="D1351" s="317" t="s">
        <v>726</v>
      </c>
      <c r="E1351" s="122" t="s">
        <v>859</v>
      </c>
      <c r="F1351" s="122" t="s">
        <v>860</v>
      </c>
      <c r="G1351" s="122" t="s">
        <v>786</v>
      </c>
      <c r="H1351" s="122" t="s">
        <v>777</v>
      </c>
      <c r="I1351" s="312">
        <v>2019</v>
      </c>
      <c r="J1351" s="122" t="s">
        <v>712</v>
      </c>
      <c r="K1351" s="283">
        <v>9160</v>
      </c>
      <c r="L1351" s="318">
        <v>-34.372967000000003</v>
      </c>
      <c r="M1351" s="318">
        <v>150.82952900000001</v>
      </c>
      <c r="O1351">
        <f>INDEX('MEC - traffic congestion'!$M$145:$M$249,MATCH($D1351,'MEC - traffic congestion'!$C$145:$C$249,0))</f>
        <v>1</v>
      </c>
      <c r="P1351" t="str">
        <f t="shared" si="56"/>
        <v>2019PUBLIC HOLIDAYS</v>
      </c>
      <c r="Q1351">
        <f t="shared" si="57"/>
        <v>1</v>
      </c>
      <c r="R1351" s="195" t="str">
        <f t="shared" si="58"/>
        <v>2019LIGHT VEHICLES</v>
      </c>
    </row>
    <row r="1352" spans="3:18" x14ac:dyDescent="0.25">
      <c r="C1352" s="294" t="s">
        <v>858</v>
      </c>
      <c r="D1352" s="317" t="s">
        <v>726</v>
      </c>
      <c r="E1352" s="122" t="s">
        <v>859</v>
      </c>
      <c r="F1352" s="122" t="s">
        <v>860</v>
      </c>
      <c r="G1352" s="122" t="s">
        <v>786</v>
      </c>
      <c r="H1352" s="122" t="s">
        <v>777</v>
      </c>
      <c r="I1352" s="312">
        <v>2019</v>
      </c>
      <c r="J1352" s="122" t="s">
        <v>713</v>
      </c>
      <c r="K1352" s="283">
        <v>8288</v>
      </c>
      <c r="L1352" s="318">
        <v>-34.372967000000003</v>
      </c>
      <c r="M1352" s="318">
        <v>150.82952900000001</v>
      </c>
      <c r="O1352">
        <f>INDEX('MEC - traffic congestion'!$M$145:$M$249,MATCH($D1352,'MEC - traffic congestion'!$C$145:$C$249,0))</f>
        <v>1</v>
      </c>
      <c r="P1352" t="str">
        <f t="shared" si="56"/>
        <v>2019WEEKENDS</v>
      </c>
      <c r="Q1352">
        <f t="shared" si="57"/>
        <v>1</v>
      </c>
      <c r="R1352" s="195" t="str">
        <f t="shared" si="58"/>
        <v>2019LIGHT VEHICLES</v>
      </c>
    </row>
    <row r="1353" spans="3:18" x14ac:dyDescent="0.25">
      <c r="C1353" s="294" t="s">
        <v>858</v>
      </c>
      <c r="D1353" s="317" t="s">
        <v>726</v>
      </c>
      <c r="E1353" s="122" t="s">
        <v>859</v>
      </c>
      <c r="F1353" s="122" t="s">
        <v>860</v>
      </c>
      <c r="G1353" s="122" t="s">
        <v>786</v>
      </c>
      <c r="H1353" s="122" t="s">
        <v>777</v>
      </c>
      <c r="I1353" s="312">
        <v>2020</v>
      </c>
      <c r="J1353" s="122" t="s">
        <v>709</v>
      </c>
      <c r="K1353" s="283">
        <v>1951</v>
      </c>
      <c r="L1353" s="318">
        <v>-34.372967000000003</v>
      </c>
      <c r="M1353" s="318">
        <v>150.82952900000001</v>
      </c>
      <c r="O1353">
        <f>INDEX('MEC - traffic congestion'!$M$145:$M$249,MATCH($D1353,'MEC - traffic congestion'!$C$145:$C$249,0))</f>
        <v>1</v>
      </c>
      <c r="P1353" t="str">
        <f t="shared" si="56"/>
        <v>2020AM PEAK</v>
      </c>
      <c r="Q1353">
        <f t="shared" si="57"/>
        <v>1</v>
      </c>
      <c r="R1353" s="195" t="str">
        <f t="shared" si="58"/>
        <v>2020LIGHT VEHICLES</v>
      </c>
    </row>
    <row r="1354" spans="3:18" x14ac:dyDescent="0.25">
      <c r="C1354" s="294" t="s">
        <v>858</v>
      </c>
      <c r="D1354" s="317" t="s">
        <v>726</v>
      </c>
      <c r="E1354" s="122" t="s">
        <v>859</v>
      </c>
      <c r="F1354" s="122" t="s">
        <v>860</v>
      </c>
      <c r="G1354" s="122" t="s">
        <v>786</v>
      </c>
      <c r="H1354" s="122" t="s">
        <v>777</v>
      </c>
      <c r="I1354" s="312">
        <v>2020</v>
      </c>
      <c r="J1354" s="122" t="s">
        <v>710</v>
      </c>
      <c r="K1354" s="283">
        <v>3251</v>
      </c>
      <c r="L1354" s="318">
        <v>-34.372967000000003</v>
      </c>
      <c r="M1354" s="318">
        <v>150.82952900000001</v>
      </c>
      <c r="O1354">
        <f>INDEX('MEC - traffic congestion'!$M$145:$M$249,MATCH($D1354,'MEC - traffic congestion'!$C$145:$C$249,0))</f>
        <v>1</v>
      </c>
      <c r="P1354" t="str">
        <f t="shared" si="56"/>
        <v>2020OFF PEAK</v>
      </c>
      <c r="Q1354">
        <f t="shared" si="57"/>
        <v>1</v>
      </c>
      <c r="R1354" s="195" t="str">
        <f t="shared" si="58"/>
        <v>2020LIGHT VEHICLES</v>
      </c>
    </row>
    <row r="1355" spans="3:18" x14ac:dyDescent="0.25">
      <c r="C1355" s="294" t="s">
        <v>858</v>
      </c>
      <c r="D1355" s="317" t="s">
        <v>726</v>
      </c>
      <c r="E1355" s="122" t="s">
        <v>859</v>
      </c>
      <c r="F1355" s="122" t="s">
        <v>860</v>
      </c>
      <c r="G1355" s="122" t="s">
        <v>786</v>
      </c>
      <c r="H1355" s="122" t="s">
        <v>777</v>
      </c>
      <c r="I1355" s="312">
        <v>2020</v>
      </c>
      <c r="J1355" s="122" t="s">
        <v>711</v>
      </c>
      <c r="K1355" s="283">
        <v>1885</v>
      </c>
      <c r="L1355" s="318">
        <v>-34.372967000000003</v>
      </c>
      <c r="M1355" s="318">
        <v>150.82952900000001</v>
      </c>
      <c r="O1355">
        <f>INDEX('MEC - traffic congestion'!$M$145:$M$249,MATCH($D1355,'MEC - traffic congestion'!$C$145:$C$249,0))</f>
        <v>1</v>
      </c>
      <c r="P1355" t="str">
        <f t="shared" si="56"/>
        <v>2020PM PEAK</v>
      </c>
      <c r="Q1355">
        <f t="shared" si="57"/>
        <v>1</v>
      </c>
      <c r="R1355" s="195" t="str">
        <f t="shared" si="58"/>
        <v>2020LIGHT VEHICLES</v>
      </c>
    </row>
    <row r="1356" spans="3:18" x14ac:dyDescent="0.25">
      <c r="C1356" s="294" t="s">
        <v>858</v>
      </c>
      <c r="D1356" s="317" t="s">
        <v>726</v>
      </c>
      <c r="E1356" s="122" t="s">
        <v>859</v>
      </c>
      <c r="F1356" s="122" t="s">
        <v>860</v>
      </c>
      <c r="G1356" s="122" t="s">
        <v>786</v>
      </c>
      <c r="H1356" s="122" t="s">
        <v>777</v>
      </c>
      <c r="I1356" s="312">
        <v>2020</v>
      </c>
      <c r="J1356" s="122" t="s">
        <v>712</v>
      </c>
      <c r="K1356" s="283">
        <v>6412</v>
      </c>
      <c r="L1356" s="318">
        <v>-34.372967000000003</v>
      </c>
      <c r="M1356" s="318">
        <v>150.82952900000001</v>
      </c>
      <c r="O1356">
        <f>INDEX('MEC - traffic congestion'!$M$145:$M$249,MATCH($D1356,'MEC - traffic congestion'!$C$145:$C$249,0))</f>
        <v>1</v>
      </c>
      <c r="P1356" t="str">
        <f t="shared" si="56"/>
        <v>2020PUBLIC HOLIDAYS</v>
      </c>
      <c r="Q1356">
        <f t="shared" si="57"/>
        <v>1</v>
      </c>
      <c r="R1356" s="195" t="str">
        <f t="shared" si="58"/>
        <v>2020LIGHT VEHICLES</v>
      </c>
    </row>
    <row r="1357" spans="3:18" x14ac:dyDescent="0.25">
      <c r="C1357" s="294" t="s">
        <v>858</v>
      </c>
      <c r="D1357" s="317" t="s">
        <v>726</v>
      </c>
      <c r="E1357" s="122" t="s">
        <v>859</v>
      </c>
      <c r="F1357" s="122" t="s">
        <v>860</v>
      </c>
      <c r="G1357" s="122" t="s">
        <v>786</v>
      </c>
      <c r="H1357" s="122" t="s">
        <v>777</v>
      </c>
      <c r="I1357" s="312">
        <v>2020</v>
      </c>
      <c r="J1357" s="122" t="s">
        <v>713</v>
      </c>
      <c r="K1357" s="283">
        <v>7158</v>
      </c>
      <c r="L1357" s="318">
        <v>-34.372967000000003</v>
      </c>
      <c r="M1357" s="318">
        <v>150.82952900000001</v>
      </c>
      <c r="O1357">
        <f>INDEX('MEC - traffic congestion'!$M$145:$M$249,MATCH($D1357,'MEC - traffic congestion'!$C$145:$C$249,0))</f>
        <v>1</v>
      </c>
      <c r="P1357" t="str">
        <f t="shared" si="56"/>
        <v>2020WEEKENDS</v>
      </c>
      <c r="Q1357">
        <f t="shared" si="57"/>
        <v>1</v>
      </c>
      <c r="R1357" s="195" t="str">
        <f t="shared" si="58"/>
        <v>2020LIGHT VEHICLES</v>
      </c>
    </row>
    <row r="1358" spans="3:18" x14ac:dyDescent="0.25">
      <c r="C1358" s="294" t="s">
        <v>858</v>
      </c>
      <c r="D1358" s="317" t="s">
        <v>726</v>
      </c>
      <c r="E1358" s="122" t="s">
        <v>859</v>
      </c>
      <c r="F1358" s="122" t="s">
        <v>860</v>
      </c>
      <c r="G1358" s="122" t="s">
        <v>786</v>
      </c>
      <c r="H1358" s="122" t="s">
        <v>777</v>
      </c>
      <c r="I1358" s="312">
        <v>2021</v>
      </c>
      <c r="J1358" s="122" t="s">
        <v>709</v>
      </c>
      <c r="K1358" s="283">
        <v>1899</v>
      </c>
      <c r="L1358" s="318">
        <v>-34.372967000000003</v>
      </c>
      <c r="M1358" s="318">
        <v>150.82952900000001</v>
      </c>
      <c r="O1358">
        <f>INDEX('MEC - traffic congestion'!$M$145:$M$249,MATCH($D1358,'MEC - traffic congestion'!$C$145:$C$249,0))</f>
        <v>1</v>
      </c>
      <c r="P1358" t="str">
        <f t="shared" si="56"/>
        <v>2021AM PEAK</v>
      </c>
      <c r="Q1358">
        <f t="shared" si="57"/>
        <v>1</v>
      </c>
      <c r="R1358" s="195" t="str">
        <f t="shared" si="58"/>
        <v>2021LIGHT VEHICLES</v>
      </c>
    </row>
    <row r="1359" spans="3:18" x14ac:dyDescent="0.25">
      <c r="C1359" s="294" t="s">
        <v>858</v>
      </c>
      <c r="D1359" s="317" t="s">
        <v>726</v>
      </c>
      <c r="E1359" s="122" t="s">
        <v>859</v>
      </c>
      <c r="F1359" s="122" t="s">
        <v>860</v>
      </c>
      <c r="G1359" s="122" t="s">
        <v>786</v>
      </c>
      <c r="H1359" s="122" t="s">
        <v>777</v>
      </c>
      <c r="I1359" s="312">
        <v>2021</v>
      </c>
      <c r="J1359" s="122" t="s">
        <v>710</v>
      </c>
      <c r="K1359" s="283">
        <v>3172</v>
      </c>
      <c r="L1359" s="318">
        <v>-34.372967000000003</v>
      </c>
      <c r="M1359" s="318">
        <v>150.82952900000001</v>
      </c>
      <c r="O1359">
        <f>INDEX('MEC - traffic congestion'!$M$145:$M$249,MATCH($D1359,'MEC - traffic congestion'!$C$145:$C$249,0))</f>
        <v>1</v>
      </c>
      <c r="P1359" t="str">
        <f t="shared" si="56"/>
        <v>2021OFF PEAK</v>
      </c>
      <c r="Q1359">
        <f t="shared" si="57"/>
        <v>1</v>
      </c>
      <c r="R1359" s="195" t="str">
        <f t="shared" si="58"/>
        <v>2021LIGHT VEHICLES</v>
      </c>
    </row>
    <row r="1360" spans="3:18" x14ac:dyDescent="0.25">
      <c r="C1360" s="294" t="s">
        <v>858</v>
      </c>
      <c r="D1360" s="317" t="s">
        <v>726</v>
      </c>
      <c r="E1360" s="122" t="s">
        <v>859</v>
      </c>
      <c r="F1360" s="122" t="s">
        <v>860</v>
      </c>
      <c r="G1360" s="122" t="s">
        <v>786</v>
      </c>
      <c r="H1360" s="122" t="s">
        <v>777</v>
      </c>
      <c r="I1360" s="312">
        <v>2021</v>
      </c>
      <c r="J1360" s="122" t="s">
        <v>711</v>
      </c>
      <c r="K1360" s="283">
        <v>1782</v>
      </c>
      <c r="L1360" s="318">
        <v>-34.372967000000003</v>
      </c>
      <c r="M1360" s="318">
        <v>150.82952900000001</v>
      </c>
      <c r="O1360">
        <f>INDEX('MEC - traffic congestion'!$M$145:$M$249,MATCH($D1360,'MEC - traffic congestion'!$C$145:$C$249,0))</f>
        <v>1</v>
      </c>
      <c r="P1360" t="str">
        <f t="shared" si="56"/>
        <v>2021PM PEAK</v>
      </c>
      <c r="Q1360">
        <f t="shared" si="57"/>
        <v>1</v>
      </c>
      <c r="R1360" s="195" t="str">
        <f t="shared" si="58"/>
        <v>2021LIGHT VEHICLES</v>
      </c>
    </row>
    <row r="1361" spans="3:18" x14ac:dyDescent="0.25">
      <c r="C1361" s="294" t="s">
        <v>858</v>
      </c>
      <c r="D1361" s="317" t="s">
        <v>726</v>
      </c>
      <c r="E1361" s="122" t="s">
        <v>859</v>
      </c>
      <c r="F1361" s="122" t="s">
        <v>860</v>
      </c>
      <c r="G1361" s="122" t="s">
        <v>786</v>
      </c>
      <c r="H1361" s="122" t="s">
        <v>777</v>
      </c>
      <c r="I1361" s="312">
        <v>2021</v>
      </c>
      <c r="J1361" s="122" t="s">
        <v>713</v>
      </c>
      <c r="K1361" s="283">
        <v>6370</v>
      </c>
      <c r="L1361" s="318">
        <v>-34.372967000000003</v>
      </c>
      <c r="M1361" s="318">
        <v>150.82952900000001</v>
      </c>
      <c r="O1361">
        <f>INDEX('MEC - traffic congestion'!$M$145:$M$249,MATCH($D1361,'MEC - traffic congestion'!$C$145:$C$249,0))</f>
        <v>1</v>
      </c>
      <c r="P1361" t="str">
        <f t="shared" si="56"/>
        <v>2021WEEKENDS</v>
      </c>
      <c r="Q1361">
        <f t="shared" si="57"/>
        <v>1</v>
      </c>
      <c r="R1361" s="195" t="str">
        <f t="shared" si="58"/>
        <v>2021LIGHT VEHICLES</v>
      </c>
    </row>
    <row r="1362" spans="3:18" x14ac:dyDescent="0.25">
      <c r="C1362" s="294" t="s">
        <v>858</v>
      </c>
      <c r="D1362" s="317" t="s">
        <v>726</v>
      </c>
      <c r="E1362" s="122" t="s">
        <v>859</v>
      </c>
      <c r="F1362" s="122" t="s">
        <v>860</v>
      </c>
      <c r="G1362" s="122" t="s">
        <v>786</v>
      </c>
      <c r="H1362" s="122" t="s">
        <v>777</v>
      </c>
      <c r="I1362" s="312">
        <v>2022</v>
      </c>
      <c r="J1362" s="122" t="s">
        <v>709</v>
      </c>
      <c r="K1362" s="283">
        <v>2145</v>
      </c>
      <c r="L1362" s="318">
        <v>-34.372967000000003</v>
      </c>
      <c r="M1362" s="318">
        <v>150.82952900000001</v>
      </c>
      <c r="O1362">
        <f>INDEX('MEC - traffic congestion'!$M$145:$M$249,MATCH($D1362,'MEC - traffic congestion'!$C$145:$C$249,0))</f>
        <v>1</v>
      </c>
      <c r="P1362" t="str">
        <f t="shared" si="56"/>
        <v>2022AM PEAK</v>
      </c>
      <c r="Q1362">
        <f t="shared" si="57"/>
        <v>1</v>
      </c>
      <c r="R1362" s="195" t="str">
        <f t="shared" si="58"/>
        <v>2022LIGHT VEHICLES</v>
      </c>
    </row>
    <row r="1363" spans="3:18" x14ac:dyDescent="0.25">
      <c r="C1363" s="294" t="s">
        <v>858</v>
      </c>
      <c r="D1363" s="317" t="s">
        <v>726</v>
      </c>
      <c r="E1363" s="122" t="s">
        <v>859</v>
      </c>
      <c r="F1363" s="122" t="s">
        <v>860</v>
      </c>
      <c r="G1363" s="122" t="s">
        <v>786</v>
      </c>
      <c r="H1363" s="122" t="s">
        <v>777</v>
      </c>
      <c r="I1363" s="312">
        <v>2022</v>
      </c>
      <c r="J1363" s="122" t="s">
        <v>710</v>
      </c>
      <c r="K1363" s="283">
        <v>3651</v>
      </c>
      <c r="L1363" s="318">
        <v>-34.372967000000003</v>
      </c>
      <c r="M1363" s="318">
        <v>150.82952900000001</v>
      </c>
      <c r="O1363">
        <f>INDEX('MEC - traffic congestion'!$M$145:$M$249,MATCH($D1363,'MEC - traffic congestion'!$C$145:$C$249,0))</f>
        <v>1</v>
      </c>
      <c r="P1363" t="str">
        <f t="shared" si="56"/>
        <v>2022OFF PEAK</v>
      </c>
      <c r="Q1363">
        <f t="shared" si="57"/>
        <v>1</v>
      </c>
      <c r="R1363" s="195" t="str">
        <f t="shared" si="58"/>
        <v>2022LIGHT VEHICLES</v>
      </c>
    </row>
    <row r="1364" spans="3:18" x14ac:dyDescent="0.25">
      <c r="C1364" s="294" t="s">
        <v>858</v>
      </c>
      <c r="D1364" s="317" t="s">
        <v>726</v>
      </c>
      <c r="E1364" s="122" t="s">
        <v>859</v>
      </c>
      <c r="F1364" s="122" t="s">
        <v>860</v>
      </c>
      <c r="G1364" s="122" t="s">
        <v>786</v>
      </c>
      <c r="H1364" s="122" t="s">
        <v>777</v>
      </c>
      <c r="I1364" s="312">
        <v>2022</v>
      </c>
      <c r="J1364" s="122" t="s">
        <v>711</v>
      </c>
      <c r="K1364" s="283">
        <v>2081</v>
      </c>
      <c r="L1364" s="318">
        <v>-34.372967000000003</v>
      </c>
      <c r="M1364" s="318">
        <v>150.82952900000001</v>
      </c>
      <c r="O1364">
        <f>INDEX('MEC - traffic congestion'!$M$145:$M$249,MATCH($D1364,'MEC - traffic congestion'!$C$145:$C$249,0))</f>
        <v>1</v>
      </c>
      <c r="P1364" t="str">
        <f t="shared" si="56"/>
        <v>2022PM PEAK</v>
      </c>
      <c r="Q1364">
        <f t="shared" si="57"/>
        <v>1</v>
      </c>
      <c r="R1364" s="195" t="str">
        <f t="shared" si="58"/>
        <v>2022LIGHT VEHICLES</v>
      </c>
    </row>
    <row r="1365" spans="3:18" x14ac:dyDescent="0.25">
      <c r="C1365" s="294" t="s">
        <v>858</v>
      </c>
      <c r="D1365" s="317" t="s">
        <v>726</v>
      </c>
      <c r="E1365" s="122" t="s">
        <v>859</v>
      </c>
      <c r="F1365" s="122" t="s">
        <v>860</v>
      </c>
      <c r="G1365" s="122" t="s">
        <v>786</v>
      </c>
      <c r="H1365" s="122" t="s">
        <v>777</v>
      </c>
      <c r="I1365" s="312">
        <v>2022</v>
      </c>
      <c r="J1365" s="122" t="s">
        <v>713</v>
      </c>
      <c r="K1365" s="283">
        <v>8225</v>
      </c>
      <c r="L1365" s="318">
        <v>-34.372967000000003</v>
      </c>
      <c r="M1365" s="318">
        <v>150.82952900000001</v>
      </c>
      <c r="O1365">
        <f>INDEX('MEC - traffic congestion'!$M$145:$M$249,MATCH($D1365,'MEC - traffic congestion'!$C$145:$C$249,0))</f>
        <v>1</v>
      </c>
      <c r="P1365" t="str">
        <f t="shared" ref="P1365:P1428" si="59">IF($O1365=1,$I1365&amp;$J1365,"")</f>
        <v>2022WEEKENDS</v>
      </c>
      <c r="Q1365">
        <f t="shared" ref="Q1365:Q1428" si="60">IF(AND($M1365&gt;150.246,AND($L1365&gt;-34.397,$L1365&lt;-32.662)),1,0)</f>
        <v>1</v>
      </c>
      <c r="R1365" s="195" t="str">
        <f t="shared" ref="R1365:R1428" si="61">IF($O1365=1,$I1365&amp;$H1365,"")</f>
        <v>2022LIGHT VEHICLES</v>
      </c>
    </row>
    <row r="1366" spans="3:18" x14ac:dyDescent="0.25">
      <c r="C1366" s="294" t="s">
        <v>858</v>
      </c>
      <c r="D1366" s="317" t="s">
        <v>726</v>
      </c>
      <c r="E1366" s="122" t="s">
        <v>859</v>
      </c>
      <c r="F1366" s="122" t="s">
        <v>860</v>
      </c>
      <c r="G1366" s="122" t="s">
        <v>786</v>
      </c>
      <c r="H1366" s="122" t="s">
        <v>777</v>
      </c>
      <c r="I1366" s="312">
        <v>2023</v>
      </c>
      <c r="J1366" s="122" t="s">
        <v>709</v>
      </c>
      <c r="K1366" s="283">
        <v>2097</v>
      </c>
      <c r="L1366" s="318">
        <v>-34.372967000000003</v>
      </c>
      <c r="M1366" s="318">
        <v>150.82952900000001</v>
      </c>
      <c r="O1366">
        <f>INDEX('MEC - traffic congestion'!$M$145:$M$249,MATCH($D1366,'MEC - traffic congestion'!$C$145:$C$249,0))</f>
        <v>1</v>
      </c>
      <c r="P1366" t="str">
        <f t="shared" si="59"/>
        <v>2023AM PEAK</v>
      </c>
      <c r="Q1366">
        <f t="shared" si="60"/>
        <v>1</v>
      </c>
      <c r="R1366" s="195" t="str">
        <f t="shared" si="61"/>
        <v>2023LIGHT VEHICLES</v>
      </c>
    </row>
    <row r="1367" spans="3:18" x14ac:dyDescent="0.25">
      <c r="C1367" s="294" t="s">
        <v>858</v>
      </c>
      <c r="D1367" s="317" t="s">
        <v>726</v>
      </c>
      <c r="E1367" s="122" t="s">
        <v>859</v>
      </c>
      <c r="F1367" s="122" t="s">
        <v>860</v>
      </c>
      <c r="G1367" s="122" t="s">
        <v>786</v>
      </c>
      <c r="H1367" s="122" t="s">
        <v>777</v>
      </c>
      <c r="I1367" s="312">
        <v>2023</v>
      </c>
      <c r="J1367" s="122" t="s">
        <v>710</v>
      </c>
      <c r="K1367" s="283">
        <v>3739</v>
      </c>
      <c r="L1367" s="318">
        <v>-34.372967000000003</v>
      </c>
      <c r="M1367" s="318">
        <v>150.82952900000001</v>
      </c>
      <c r="O1367">
        <f>INDEX('MEC - traffic congestion'!$M$145:$M$249,MATCH($D1367,'MEC - traffic congestion'!$C$145:$C$249,0))</f>
        <v>1</v>
      </c>
      <c r="P1367" t="str">
        <f t="shared" si="59"/>
        <v>2023OFF PEAK</v>
      </c>
      <c r="Q1367">
        <f t="shared" si="60"/>
        <v>1</v>
      </c>
      <c r="R1367" s="195" t="str">
        <f t="shared" si="61"/>
        <v>2023LIGHT VEHICLES</v>
      </c>
    </row>
    <row r="1368" spans="3:18" x14ac:dyDescent="0.25">
      <c r="C1368" s="294" t="s">
        <v>858</v>
      </c>
      <c r="D1368" s="317" t="s">
        <v>726</v>
      </c>
      <c r="E1368" s="122" t="s">
        <v>859</v>
      </c>
      <c r="F1368" s="122" t="s">
        <v>860</v>
      </c>
      <c r="G1368" s="122" t="s">
        <v>786</v>
      </c>
      <c r="H1368" s="122" t="s">
        <v>777</v>
      </c>
      <c r="I1368" s="312">
        <v>2023</v>
      </c>
      <c r="J1368" s="122" t="s">
        <v>711</v>
      </c>
      <c r="K1368" s="283">
        <v>2225</v>
      </c>
      <c r="L1368" s="318">
        <v>-34.372967000000003</v>
      </c>
      <c r="M1368" s="318">
        <v>150.82952900000001</v>
      </c>
      <c r="O1368">
        <f>INDEX('MEC - traffic congestion'!$M$145:$M$249,MATCH($D1368,'MEC - traffic congestion'!$C$145:$C$249,0))</f>
        <v>1</v>
      </c>
      <c r="P1368" t="str">
        <f t="shared" si="59"/>
        <v>2023PM PEAK</v>
      </c>
      <c r="Q1368">
        <f t="shared" si="60"/>
        <v>1</v>
      </c>
      <c r="R1368" s="195" t="str">
        <f t="shared" si="61"/>
        <v>2023LIGHT VEHICLES</v>
      </c>
    </row>
    <row r="1369" spans="3:18" x14ac:dyDescent="0.25">
      <c r="C1369" s="294" t="s">
        <v>858</v>
      </c>
      <c r="D1369" s="317" t="s">
        <v>726</v>
      </c>
      <c r="E1369" s="122" t="s">
        <v>859</v>
      </c>
      <c r="F1369" s="122" t="s">
        <v>860</v>
      </c>
      <c r="G1369" s="122" t="s">
        <v>786</v>
      </c>
      <c r="H1369" s="122" t="s">
        <v>777</v>
      </c>
      <c r="I1369" s="312">
        <v>2023</v>
      </c>
      <c r="J1369" s="122" t="s">
        <v>713</v>
      </c>
      <c r="K1369" s="283">
        <v>8545</v>
      </c>
      <c r="L1369" s="318">
        <v>-34.372967000000003</v>
      </c>
      <c r="M1369" s="318">
        <v>150.82952900000001</v>
      </c>
      <c r="O1369">
        <f>INDEX('MEC - traffic congestion'!$M$145:$M$249,MATCH($D1369,'MEC - traffic congestion'!$C$145:$C$249,0))</f>
        <v>1</v>
      </c>
      <c r="P1369" t="str">
        <f t="shared" si="59"/>
        <v>2023WEEKENDS</v>
      </c>
      <c r="Q1369">
        <f t="shared" si="60"/>
        <v>1</v>
      </c>
      <c r="R1369" s="195" t="str">
        <f t="shared" si="61"/>
        <v>2023LIGHT VEHICLES</v>
      </c>
    </row>
    <row r="1370" spans="3:18" x14ac:dyDescent="0.25">
      <c r="C1370" s="294" t="s">
        <v>858</v>
      </c>
      <c r="D1370" s="317" t="s">
        <v>726</v>
      </c>
      <c r="E1370" s="122" t="s">
        <v>859</v>
      </c>
      <c r="F1370" s="122" t="s">
        <v>860</v>
      </c>
      <c r="G1370" s="122" t="s">
        <v>786</v>
      </c>
      <c r="H1370" s="122" t="s">
        <v>777</v>
      </c>
      <c r="I1370" s="312">
        <v>2024</v>
      </c>
      <c r="J1370" s="122" t="s">
        <v>709</v>
      </c>
      <c r="K1370" s="283">
        <v>1744</v>
      </c>
      <c r="L1370" s="318">
        <v>-34.372967000000003</v>
      </c>
      <c r="M1370" s="318">
        <v>150.82952900000001</v>
      </c>
      <c r="O1370">
        <f>INDEX('MEC - traffic congestion'!$M$145:$M$249,MATCH($D1370,'MEC - traffic congestion'!$C$145:$C$249,0))</f>
        <v>1</v>
      </c>
      <c r="P1370" t="str">
        <f t="shared" si="59"/>
        <v>2024AM PEAK</v>
      </c>
      <c r="Q1370">
        <f t="shared" si="60"/>
        <v>1</v>
      </c>
      <c r="R1370" s="195" t="str">
        <f t="shared" si="61"/>
        <v>2024LIGHT VEHICLES</v>
      </c>
    </row>
    <row r="1371" spans="3:18" x14ac:dyDescent="0.25">
      <c r="C1371" s="294" t="s">
        <v>858</v>
      </c>
      <c r="D1371" s="317" t="s">
        <v>726</v>
      </c>
      <c r="E1371" s="122" t="s">
        <v>859</v>
      </c>
      <c r="F1371" s="122" t="s">
        <v>860</v>
      </c>
      <c r="G1371" s="122" t="s">
        <v>786</v>
      </c>
      <c r="H1371" s="122" t="s">
        <v>777</v>
      </c>
      <c r="I1371" s="312">
        <v>2024</v>
      </c>
      <c r="J1371" s="122" t="s">
        <v>710</v>
      </c>
      <c r="K1371" s="283">
        <v>3581</v>
      </c>
      <c r="L1371" s="318">
        <v>-34.372967000000003</v>
      </c>
      <c r="M1371" s="318">
        <v>150.82952900000001</v>
      </c>
      <c r="O1371">
        <f>INDEX('MEC - traffic congestion'!$M$145:$M$249,MATCH($D1371,'MEC - traffic congestion'!$C$145:$C$249,0))</f>
        <v>1</v>
      </c>
      <c r="P1371" t="str">
        <f t="shared" si="59"/>
        <v>2024OFF PEAK</v>
      </c>
      <c r="Q1371">
        <f t="shared" si="60"/>
        <v>1</v>
      </c>
      <c r="R1371" s="195" t="str">
        <f t="shared" si="61"/>
        <v>2024LIGHT VEHICLES</v>
      </c>
    </row>
    <row r="1372" spans="3:18" x14ac:dyDescent="0.25">
      <c r="C1372" s="294" t="s">
        <v>858</v>
      </c>
      <c r="D1372" s="317" t="s">
        <v>726</v>
      </c>
      <c r="E1372" s="122" t="s">
        <v>859</v>
      </c>
      <c r="F1372" s="122" t="s">
        <v>860</v>
      </c>
      <c r="G1372" s="122" t="s">
        <v>786</v>
      </c>
      <c r="H1372" s="122" t="s">
        <v>777</v>
      </c>
      <c r="I1372" s="312">
        <v>2024</v>
      </c>
      <c r="J1372" s="122" t="s">
        <v>711</v>
      </c>
      <c r="K1372" s="283">
        <v>1979</v>
      </c>
      <c r="L1372" s="318">
        <v>-34.372967000000003</v>
      </c>
      <c r="M1372" s="318">
        <v>150.82952900000001</v>
      </c>
      <c r="O1372">
        <f>INDEX('MEC - traffic congestion'!$M$145:$M$249,MATCH($D1372,'MEC - traffic congestion'!$C$145:$C$249,0))</f>
        <v>1</v>
      </c>
      <c r="P1372" t="str">
        <f t="shared" si="59"/>
        <v>2024PM PEAK</v>
      </c>
      <c r="Q1372">
        <f t="shared" si="60"/>
        <v>1</v>
      </c>
      <c r="R1372" s="195" t="str">
        <f t="shared" si="61"/>
        <v>2024LIGHT VEHICLES</v>
      </c>
    </row>
    <row r="1373" spans="3:18" x14ac:dyDescent="0.25">
      <c r="C1373" s="294" t="s">
        <v>858</v>
      </c>
      <c r="D1373" s="317" t="s">
        <v>726</v>
      </c>
      <c r="E1373" s="122" t="s">
        <v>859</v>
      </c>
      <c r="F1373" s="122" t="s">
        <v>860</v>
      </c>
      <c r="G1373" s="122" t="s">
        <v>786</v>
      </c>
      <c r="H1373" s="122" t="s">
        <v>777</v>
      </c>
      <c r="I1373" s="312">
        <v>2024</v>
      </c>
      <c r="J1373" s="122" t="s">
        <v>713</v>
      </c>
      <c r="K1373" s="283">
        <v>7878</v>
      </c>
      <c r="L1373" s="318">
        <v>-34.372967000000003</v>
      </c>
      <c r="M1373" s="318">
        <v>150.82952900000001</v>
      </c>
      <c r="O1373">
        <f>INDEX('MEC - traffic congestion'!$M$145:$M$249,MATCH($D1373,'MEC - traffic congestion'!$C$145:$C$249,0))</f>
        <v>1</v>
      </c>
      <c r="P1373" t="str">
        <f t="shared" si="59"/>
        <v>2024WEEKENDS</v>
      </c>
      <c r="Q1373">
        <f t="shared" si="60"/>
        <v>1</v>
      </c>
      <c r="R1373" s="195" t="str">
        <f t="shared" si="61"/>
        <v>2024LIGHT VEHICLES</v>
      </c>
    </row>
    <row r="1374" spans="3:18" x14ac:dyDescent="0.25">
      <c r="C1374" s="294" t="s">
        <v>861</v>
      </c>
      <c r="D1374" s="317">
        <v>6179</v>
      </c>
      <c r="E1374" s="122" t="s">
        <v>859</v>
      </c>
      <c r="F1374" s="122" t="s">
        <v>862</v>
      </c>
      <c r="G1374" s="122" t="s">
        <v>785</v>
      </c>
      <c r="H1374" s="122" t="s">
        <v>777</v>
      </c>
      <c r="I1374" s="312">
        <v>2018</v>
      </c>
      <c r="J1374" s="122" t="s">
        <v>709</v>
      </c>
      <c r="K1374" s="283">
        <v>1910</v>
      </c>
      <c r="L1374" s="318">
        <v>-34.272804000000001</v>
      </c>
      <c r="M1374" s="318">
        <v>150.71418800000001</v>
      </c>
      <c r="O1374">
        <f>INDEX('MEC - traffic congestion'!$M$145:$M$249,MATCH($D1374,'MEC - traffic congestion'!$C$145:$C$249,0))</f>
        <v>1</v>
      </c>
      <c r="P1374" t="str">
        <f t="shared" si="59"/>
        <v>2018AM PEAK</v>
      </c>
      <c r="Q1374">
        <f t="shared" si="60"/>
        <v>1</v>
      </c>
      <c r="R1374" s="195" t="str">
        <f t="shared" si="61"/>
        <v>2018LIGHT VEHICLES</v>
      </c>
    </row>
    <row r="1375" spans="3:18" x14ac:dyDescent="0.25">
      <c r="C1375" s="294" t="s">
        <v>861</v>
      </c>
      <c r="D1375" s="317">
        <v>6179</v>
      </c>
      <c r="E1375" s="122" t="s">
        <v>859</v>
      </c>
      <c r="F1375" s="122" t="s">
        <v>862</v>
      </c>
      <c r="G1375" s="122" t="s">
        <v>786</v>
      </c>
      <c r="H1375" s="122" t="s">
        <v>777</v>
      </c>
      <c r="I1375" s="312">
        <v>2018</v>
      </c>
      <c r="J1375" s="122" t="s">
        <v>709</v>
      </c>
      <c r="K1375" s="283">
        <v>2117</v>
      </c>
      <c r="L1375" s="318">
        <v>-34.272804000000001</v>
      </c>
      <c r="M1375" s="318">
        <v>150.71418800000001</v>
      </c>
      <c r="O1375">
        <f>INDEX('MEC - traffic congestion'!$M$145:$M$249,MATCH($D1375,'MEC - traffic congestion'!$C$145:$C$249,0))</f>
        <v>1</v>
      </c>
      <c r="P1375" t="str">
        <f t="shared" si="59"/>
        <v>2018AM PEAK</v>
      </c>
      <c r="Q1375">
        <f t="shared" si="60"/>
        <v>1</v>
      </c>
      <c r="R1375" s="195" t="str">
        <f t="shared" si="61"/>
        <v>2018LIGHT VEHICLES</v>
      </c>
    </row>
    <row r="1376" spans="3:18" x14ac:dyDescent="0.25">
      <c r="C1376" s="294" t="s">
        <v>861</v>
      </c>
      <c r="D1376" s="317">
        <v>6179</v>
      </c>
      <c r="E1376" s="122" t="s">
        <v>859</v>
      </c>
      <c r="F1376" s="122" t="s">
        <v>862</v>
      </c>
      <c r="G1376" s="122" t="s">
        <v>785</v>
      </c>
      <c r="H1376" s="122" t="s">
        <v>777</v>
      </c>
      <c r="I1376" s="312">
        <v>2018</v>
      </c>
      <c r="J1376" s="122" t="s">
        <v>710</v>
      </c>
      <c r="K1376" s="283">
        <v>3115</v>
      </c>
      <c r="L1376" s="318">
        <v>-34.272804000000001</v>
      </c>
      <c r="M1376" s="318">
        <v>150.71418800000001</v>
      </c>
      <c r="O1376">
        <f>INDEX('MEC - traffic congestion'!$M$145:$M$249,MATCH($D1376,'MEC - traffic congestion'!$C$145:$C$249,0))</f>
        <v>1</v>
      </c>
      <c r="P1376" t="str">
        <f t="shared" si="59"/>
        <v>2018OFF PEAK</v>
      </c>
      <c r="Q1376">
        <f t="shared" si="60"/>
        <v>1</v>
      </c>
      <c r="R1376" s="195" t="str">
        <f t="shared" si="61"/>
        <v>2018LIGHT VEHICLES</v>
      </c>
    </row>
    <row r="1377" spans="3:18" x14ac:dyDescent="0.25">
      <c r="C1377" s="294" t="s">
        <v>861</v>
      </c>
      <c r="D1377" s="317">
        <v>6179</v>
      </c>
      <c r="E1377" s="122" t="s">
        <v>859</v>
      </c>
      <c r="F1377" s="122" t="s">
        <v>862</v>
      </c>
      <c r="G1377" s="122" t="s">
        <v>786</v>
      </c>
      <c r="H1377" s="122" t="s">
        <v>777</v>
      </c>
      <c r="I1377" s="312">
        <v>2018</v>
      </c>
      <c r="J1377" s="122" t="s">
        <v>710</v>
      </c>
      <c r="K1377" s="283">
        <v>3265</v>
      </c>
      <c r="L1377" s="318">
        <v>-34.272804000000001</v>
      </c>
      <c r="M1377" s="318">
        <v>150.71418800000001</v>
      </c>
      <c r="O1377">
        <f>INDEX('MEC - traffic congestion'!$M$145:$M$249,MATCH($D1377,'MEC - traffic congestion'!$C$145:$C$249,0))</f>
        <v>1</v>
      </c>
      <c r="P1377" t="str">
        <f t="shared" si="59"/>
        <v>2018OFF PEAK</v>
      </c>
      <c r="Q1377">
        <f t="shared" si="60"/>
        <v>1</v>
      </c>
      <c r="R1377" s="195" t="str">
        <f t="shared" si="61"/>
        <v>2018LIGHT VEHICLES</v>
      </c>
    </row>
    <row r="1378" spans="3:18" x14ac:dyDescent="0.25">
      <c r="C1378" s="294" t="s">
        <v>861</v>
      </c>
      <c r="D1378" s="317">
        <v>6179</v>
      </c>
      <c r="E1378" s="122" t="s">
        <v>859</v>
      </c>
      <c r="F1378" s="122" t="s">
        <v>862</v>
      </c>
      <c r="G1378" s="122" t="s">
        <v>785</v>
      </c>
      <c r="H1378" s="122" t="s">
        <v>777</v>
      </c>
      <c r="I1378" s="312">
        <v>2018</v>
      </c>
      <c r="J1378" s="122" t="s">
        <v>711</v>
      </c>
      <c r="K1378" s="283">
        <v>2682</v>
      </c>
      <c r="L1378" s="318">
        <v>-34.272804000000001</v>
      </c>
      <c r="M1378" s="318">
        <v>150.71418800000001</v>
      </c>
      <c r="O1378">
        <f>INDEX('MEC - traffic congestion'!$M$145:$M$249,MATCH($D1378,'MEC - traffic congestion'!$C$145:$C$249,0))</f>
        <v>1</v>
      </c>
      <c r="P1378" t="str">
        <f t="shared" si="59"/>
        <v>2018PM PEAK</v>
      </c>
      <c r="Q1378">
        <f t="shared" si="60"/>
        <v>1</v>
      </c>
      <c r="R1378" s="195" t="str">
        <f t="shared" si="61"/>
        <v>2018LIGHT VEHICLES</v>
      </c>
    </row>
    <row r="1379" spans="3:18" x14ac:dyDescent="0.25">
      <c r="C1379" s="294" t="s">
        <v>861</v>
      </c>
      <c r="D1379" s="317">
        <v>6179</v>
      </c>
      <c r="E1379" s="122" t="s">
        <v>859</v>
      </c>
      <c r="F1379" s="122" t="s">
        <v>862</v>
      </c>
      <c r="G1379" s="122" t="s">
        <v>786</v>
      </c>
      <c r="H1379" s="122" t="s">
        <v>777</v>
      </c>
      <c r="I1379" s="312">
        <v>2018</v>
      </c>
      <c r="J1379" s="122" t="s">
        <v>711</v>
      </c>
      <c r="K1379" s="283">
        <v>2067</v>
      </c>
      <c r="L1379" s="318">
        <v>-34.272804000000001</v>
      </c>
      <c r="M1379" s="318">
        <v>150.71418800000001</v>
      </c>
      <c r="O1379">
        <f>INDEX('MEC - traffic congestion'!$M$145:$M$249,MATCH($D1379,'MEC - traffic congestion'!$C$145:$C$249,0))</f>
        <v>1</v>
      </c>
      <c r="P1379" t="str">
        <f t="shared" si="59"/>
        <v>2018PM PEAK</v>
      </c>
      <c r="Q1379">
        <f t="shared" si="60"/>
        <v>1</v>
      </c>
      <c r="R1379" s="195" t="str">
        <f t="shared" si="61"/>
        <v>2018LIGHT VEHICLES</v>
      </c>
    </row>
    <row r="1380" spans="3:18" x14ac:dyDescent="0.25">
      <c r="C1380" s="294" t="s">
        <v>861</v>
      </c>
      <c r="D1380" s="317">
        <v>6179</v>
      </c>
      <c r="E1380" s="122" t="s">
        <v>859</v>
      </c>
      <c r="F1380" s="122" t="s">
        <v>862</v>
      </c>
      <c r="G1380" s="122" t="s">
        <v>785</v>
      </c>
      <c r="H1380" s="122" t="s">
        <v>777</v>
      </c>
      <c r="I1380" s="312">
        <v>2018</v>
      </c>
      <c r="J1380" s="122" t="s">
        <v>712</v>
      </c>
      <c r="K1380" s="283">
        <v>9674</v>
      </c>
      <c r="L1380" s="318">
        <v>-34.272804000000001</v>
      </c>
      <c r="M1380" s="318">
        <v>150.71418800000001</v>
      </c>
      <c r="O1380">
        <f>INDEX('MEC - traffic congestion'!$M$145:$M$249,MATCH($D1380,'MEC - traffic congestion'!$C$145:$C$249,0))</f>
        <v>1</v>
      </c>
      <c r="P1380" t="str">
        <f t="shared" si="59"/>
        <v>2018PUBLIC HOLIDAYS</v>
      </c>
      <c r="Q1380">
        <f t="shared" si="60"/>
        <v>1</v>
      </c>
      <c r="R1380" s="195" t="str">
        <f t="shared" si="61"/>
        <v>2018LIGHT VEHICLES</v>
      </c>
    </row>
    <row r="1381" spans="3:18" x14ac:dyDescent="0.25">
      <c r="C1381" s="294" t="s">
        <v>861</v>
      </c>
      <c r="D1381" s="317">
        <v>6179</v>
      </c>
      <c r="E1381" s="122" t="s">
        <v>859</v>
      </c>
      <c r="F1381" s="122" t="s">
        <v>862</v>
      </c>
      <c r="G1381" s="122" t="s">
        <v>786</v>
      </c>
      <c r="H1381" s="122" t="s">
        <v>777</v>
      </c>
      <c r="I1381" s="312">
        <v>2018</v>
      </c>
      <c r="J1381" s="122" t="s">
        <v>712</v>
      </c>
      <c r="K1381" s="283">
        <v>9173</v>
      </c>
      <c r="L1381" s="318">
        <v>-34.272804000000001</v>
      </c>
      <c r="M1381" s="318">
        <v>150.71418800000001</v>
      </c>
      <c r="O1381">
        <f>INDEX('MEC - traffic congestion'!$M$145:$M$249,MATCH($D1381,'MEC - traffic congestion'!$C$145:$C$249,0))</f>
        <v>1</v>
      </c>
      <c r="P1381" t="str">
        <f t="shared" si="59"/>
        <v>2018PUBLIC HOLIDAYS</v>
      </c>
      <c r="Q1381">
        <f t="shared" si="60"/>
        <v>1</v>
      </c>
      <c r="R1381" s="195" t="str">
        <f t="shared" si="61"/>
        <v>2018LIGHT VEHICLES</v>
      </c>
    </row>
    <row r="1382" spans="3:18" x14ac:dyDescent="0.25">
      <c r="C1382" s="294" t="s">
        <v>861</v>
      </c>
      <c r="D1382" s="317">
        <v>6179</v>
      </c>
      <c r="E1382" s="122" t="s">
        <v>859</v>
      </c>
      <c r="F1382" s="122" t="s">
        <v>862</v>
      </c>
      <c r="G1382" s="122" t="s">
        <v>785</v>
      </c>
      <c r="H1382" s="122" t="s">
        <v>777</v>
      </c>
      <c r="I1382" s="312">
        <v>2018</v>
      </c>
      <c r="J1382" s="122" t="s">
        <v>713</v>
      </c>
      <c r="K1382" s="283">
        <v>7469</v>
      </c>
      <c r="L1382" s="318">
        <v>-34.272804000000001</v>
      </c>
      <c r="M1382" s="318">
        <v>150.71418800000001</v>
      </c>
      <c r="O1382">
        <f>INDEX('MEC - traffic congestion'!$M$145:$M$249,MATCH($D1382,'MEC - traffic congestion'!$C$145:$C$249,0))</f>
        <v>1</v>
      </c>
      <c r="P1382" t="str">
        <f t="shared" si="59"/>
        <v>2018WEEKENDS</v>
      </c>
      <c r="Q1382">
        <f t="shared" si="60"/>
        <v>1</v>
      </c>
      <c r="R1382" s="195" t="str">
        <f t="shared" si="61"/>
        <v>2018LIGHT VEHICLES</v>
      </c>
    </row>
    <row r="1383" spans="3:18" x14ac:dyDescent="0.25">
      <c r="C1383" s="294" t="s">
        <v>861</v>
      </c>
      <c r="D1383" s="317">
        <v>6179</v>
      </c>
      <c r="E1383" s="122" t="s">
        <v>859</v>
      </c>
      <c r="F1383" s="122" t="s">
        <v>862</v>
      </c>
      <c r="G1383" s="122" t="s">
        <v>786</v>
      </c>
      <c r="H1383" s="122" t="s">
        <v>777</v>
      </c>
      <c r="I1383" s="312">
        <v>2018</v>
      </c>
      <c r="J1383" s="122" t="s">
        <v>713</v>
      </c>
      <c r="K1383" s="283">
        <v>7562</v>
      </c>
      <c r="L1383" s="318">
        <v>-34.272804000000001</v>
      </c>
      <c r="M1383" s="318">
        <v>150.71418800000001</v>
      </c>
      <c r="O1383">
        <f>INDEX('MEC - traffic congestion'!$M$145:$M$249,MATCH($D1383,'MEC - traffic congestion'!$C$145:$C$249,0))</f>
        <v>1</v>
      </c>
      <c r="P1383" t="str">
        <f t="shared" si="59"/>
        <v>2018WEEKENDS</v>
      </c>
      <c r="Q1383">
        <f t="shared" si="60"/>
        <v>1</v>
      </c>
      <c r="R1383" s="195" t="str">
        <f t="shared" si="61"/>
        <v>2018LIGHT VEHICLES</v>
      </c>
    </row>
    <row r="1384" spans="3:18" x14ac:dyDescent="0.25">
      <c r="C1384" s="294" t="s">
        <v>861</v>
      </c>
      <c r="D1384" s="317">
        <v>6179</v>
      </c>
      <c r="E1384" s="122" t="s">
        <v>859</v>
      </c>
      <c r="F1384" s="122" t="s">
        <v>862</v>
      </c>
      <c r="G1384" s="122" t="s">
        <v>785</v>
      </c>
      <c r="H1384" s="122" t="s">
        <v>777</v>
      </c>
      <c r="I1384" s="312">
        <v>2019</v>
      </c>
      <c r="J1384" s="122" t="s">
        <v>709</v>
      </c>
      <c r="K1384" s="283">
        <v>2051</v>
      </c>
      <c r="L1384" s="318">
        <v>-34.272804000000001</v>
      </c>
      <c r="M1384" s="318">
        <v>150.71418800000001</v>
      </c>
      <c r="O1384">
        <f>INDEX('MEC - traffic congestion'!$M$145:$M$249,MATCH($D1384,'MEC - traffic congestion'!$C$145:$C$249,0))</f>
        <v>1</v>
      </c>
      <c r="P1384" t="str">
        <f t="shared" si="59"/>
        <v>2019AM PEAK</v>
      </c>
      <c r="Q1384">
        <f t="shared" si="60"/>
        <v>1</v>
      </c>
      <c r="R1384" s="195" t="str">
        <f t="shared" si="61"/>
        <v>2019LIGHT VEHICLES</v>
      </c>
    </row>
    <row r="1385" spans="3:18" x14ac:dyDescent="0.25">
      <c r="C1385" s="294" t="s">
        <v>861</v>
      </c>
      <c r="D1385" s="317">
        <v>6179</v>
      </c>
      <c r="E1385" s="122" t="s">
        <v>859</v>
      </c>
      <c r="F1385" s="122" t="s">
        <v>862</v>
      </c>
      <c r="G1385" s="122" t="s">
        <v>786</v>
      </c>
      <c r="H1385" s="122" t="s">
        <v>777</v>
      </c>
      <c r="I1385" s="312">
        <v>2019</v>
      </c>
      <c r="J1385" s="122" t="s">
        <v>709</v>
      </c>
      <c r="K1385" s="283">
        <v>2106</v>
      </c>
      <c r="L1385" s="318">
        <v>-34.272804000000001</v>
      </c>
      <c r="M1385" s="318">
        <v>150.71418800000001</v>
      </c>
      <c r="O1385">
        <f>INDEX('MEC - traffic congestion'!$M$145:$M$249,MATCH($D1385,'MEC - traffic congestion'!$C$145:$C$249,0))</f>
        <v>1</v>
      </c>
      <c r="P1385" t="str">
        <f t="shared" si="59"/>
        <v>2019AM PEAK</v>
      </c>
      <c r="Q1385">
        <f t="shared" si="60"/>
        <v>1</v>
      </c>
      <c r="R1385" s="195" t="str">
        <f t="shared" si="61"/>
        <v>2019LIGHT VEHICLES</v>
      </c>
    </row>
    <row r="1386" spans="3:18" x14ac:dyDescent="0.25">
      <c r="C1386" s="294" t="s">
        <v>861</v>
      </c>
      <c r="D1386" s="317">
        <v>6179</v>
      </c>
      <c r="E1386" s="122" t="s">
        <v>859</v>
      </c>
      <c r="F1386" s="122" t="s">
        <v>862</v>
      </c>
      <c r="G1386" s="122" t="s">
        <v>785</v>
      </c>
      <c r="H1386" s="122" t="s">
        <v>777</v>
      </c>
      <c r="I1386" s="312">
        <v>2019</v>
      </c>
      <c r="J1386" s="122" t="s">
        <v>710</v>
      </c>
      <c r="K1386" s="283">
        <v>3264</v>
      </c>
      <c r="L1386" s="318">
        <v>-34.272804000000001</v>
      </c>
      <c r="M1386" s="318">
        <v>150.71418800000001</v>
      </c>
      <c r="O1386">
        <f>INDEX('MEC - traffic congestion'!$M$145:$M$249,MATCH($D1386,'MEC - traffic congestion'!$C$145:$C$249,0))</f>
        <v>1</v>
      </c>
      <c r="P1386" t="str">
        <f t="shared" si="59"/>
        <v>2019OFF PEAK</v>
      </c>
      <c r="Q1386">
        <f t="shared" si="60"/>
        <v>1</v>
      </c>
      <c r="R1386" s="195" t="str">
        <f t="shared" si="61"/>
        <v>2019LIGHT VEHICLES</v>
      </c>
    </row>
    <row r="1387" spans="3:18" x14ac:dyDescent="0.25">
      <c r="C1387" s="294" t="s">
        <v>861</v>
      </c>
      <c r="D1387" s="317">
        <v>6179</v>
      </c>
      <c r="E1387" s="122" t="s">
        <v>859</v>
      </c>
      <c r="F1387" s="122" t="s">
        <v>862</v>
      </c>
      <c r="G1387" s="122" t="s">
        <v>786</v>
      </c>
      <c r="H1387" s="122" t="s">
        <v>777</v>
      </c>
      <c r="I1387" s="312">
        <v>2019</v>
      </c>
      <c r="J1387" s="122" t="s">
        <v>710</v>
      </c>
      <c r="K1387" s="283">
        <v>3451</v>
      </c>
      <c r="L1387" s="318">
        <v>-34.272804000000001</v>
      </c>
      <c r="M1387" s="318">
        <v>150.71418800000001</v>
      </c>
      <c r="O1387">
        <f>INDEX('MEC - traffic congestion'!$M$145:$M$249,MATCH($D1387,'MEC - traffic congestion'!$C$145:$C$249,0))</f>
        <v>1</v>
      </c>
      <c r="P1387" t="str">
        <f t="shared" si="59"/>
        <v>2019OFF PEAK</v>
      </c>
      <c r="Q1387">
        <f t="shared" si="60"/>
        <v>1</v>
      </c>
      <c r="R1387" s="195" t="str">
        <f t="shared" si="61"/>
        <v>2019LIGHT VEHICLES</v>
      </c>
    </row>
    <row r="1388" spans="3:18" x14ac:dyDescent="0.25">
      <c r="C1388" s="294" t="s">
        <v>861</v>
      </c>
      <c r="D1388" s="317">
        <v>6179</v>
      </c>
      <c r="E1388" s="122" t="s">
        <v>859</v>
      </c>
      <c r="F1388" s="122" t="s">
        <v>862</v>
      </c>
      <c r="G1388" s="122" t="s">
        <v>785</v>
      </c>
      <c r="H1388" s="122" t="s">
        <v>777</v>
      </c>
      <c r="I1388" s="312">
        <v>2019</v>
      </c>
      <c r="J1388" s="122" t="s">
        <v>711</v>
      </c>
      <c r="K1388" s="283">
        <v>2673</v>
      </c>
      <c r="L1388" s="318">
        <v>-34.272804000000001</v>
      </c>
      <c r="M1388" s="318">
        <v>150.71418800000001</v>
      </c>
      <c r="O1388">
        <f>INDEX('MEC - traffic congestion'!$M$145:$M$249,MATCH($D1388,'MEC - traffic congestion'!$C$145:$C$249,0))</f>
        <v>1</v>
      </c>
      <c r="P1388" t="str">
        <f t="shared" si="59"/>
        <v>2019PM PEAK</v>
      </c>
      <c r="Q1388">
        <f t="shared" si="60"/>
        <v>1</v>
      </c>
      <c r="R1388" s="195" t="str">
        <f t="shared" si="61"/>
        <v>2019LIGHT VEHICLES</v>
      </c>
    </row>
    <row r="1389" spans="3:18" x14ac:dyDescent="0.25">
      <c r="C1389" s="294" t="s">
        <v>861</v>
      </c>
      <c r="D1389" s="317">
        <v>6179</v>
      </c>
      <c r="E1389" s="122" t="s">
        <v>859</v>
      </c>
      <c r="F1389" s="122" t="s">
        <v>862</v>
      </c>
      <c r="G1389" s="122" t="s">
        <v>786</v>
      </c>
      <c r="H1389" s="122" t="s">
        <v>777</v>
      </c>
      <c r="I1389" s="312">
        <v>2019</v>
      </c>
      <c r="J1389" s="122" t="s">
        <v>711</v>
      </c>
      <c r="K1389" s="283">
        <v>2194</v>
      </c>
      <c r="L1389" s="318">
        <v>-34.272804000000001</v>
      </c>
      <c r="M1389" s="318">
        <v>150.71418800000001</v>
      </c>
      <c r="O1389">
        <f>INDEX('MEC - traffic congestion'!$M$145:$M$249,MATCH($D1389,'MEC - traffic congestion'!$C$145:$C$249,0))</f>
        <v>1</v>
      </c>
      <c r="P1389" t="str">
        <f t="shared" si="59"/>
        <v>2019PM PEAK</v>
      </c>
      <c r="Q1389">
        <f t="shared" si="60"/>
        <v>1</v>
      </c>
      <c r="R1389" s="195" t="str">
        <f t="shared" si="61"/>
        <v>2019LIGHT VEHICLES</v>
      </c>
    </row>
    <row r="1390" spans="3:18" x14ac:dyDescent="0.25">
      <c r="C1390" s="294" t="s">
        <v>861</v>
      </c>
      <c r="D1390" s="317">
        <v>6179</v>
      </c>
      <c r="E1390" s="122" t="s">
        <v>859</v>
      </c>
      <c r="F1390" s="122" t="s">
        <v>862</v>
      </c>
      <c r="G1390" s="122" t="s">
        <v>785</v>
      </c>
      <c r="H1390" s="122" t="s">
        <v>777</v>
      </c>
      <c r="I1390" s="312">
        <v>2019</v>
      </c>
      <c r="J1390" s="122" t="s">
        <v>712</v>
      </c>
      <c r="K1390" s="283">
        <v>8954</v>
      </c>
      <c r="L1390" s="318">
        <v>-34.272804000000001</v>
      </c>
      <c r="M1390" s="318">
        <v>150.71418800000001</v>
      </c>
      <c r="O1390">
        <f>INDEX('MEC - traffic congestion'!$M$145:$M$249,MATCH($D1390,'MEC - traffic congestion'!$C$145:$C$249,0))</f>
        <v>1</v>
      </c>
      <c r="P1390" t="str">
        <f t="shared" si="59"/>
        <v>2019PUBLIC HOLIDAYS</v>
      </c>
      <c r="Q1390">
        <f t="shared" si="60"/>
        <v>1</v>
      </c>
      <c r="R1390" s="195" t="str">
        <f t="shared" si="61"/>
        <v>2019LIGHT VEHICLES</v>
      </c>
    </row>
    <row r="1391" spans="3:18" x14ac:dyDescent="0.25">
      <c r="C1391" s="294" t="s">
        <v>861</v>
      </c>
      <c r="D1391" s="317">
        <v>6179</v>
      </c>
      <c r="E1391" s="122" t="s">
        <v>859</v>
      </c>
      <c r="F1391" s="122" t="s">
        <v>862</v>
      </c>
      <c r="G1391" s="122" t="s">
        <v>786</v>
      </c>
      <c r="H1391" s="122" t="s">
        <v>777</v>
      </c>
      <c r="I1391" s="312">
        <v>2019</v>
      </c>
      <c r="J1391" s="122" t="s">
        <v>712</v>
      </c>
      <c r="K1391" s="283">
        <v>8794</v>
      </c>
      <c r="L1391" s="318">
        <v>-34.272804000000001</v>
      </c>
      <c r="M1391" s="318">
        <v>150.71418800000001</v>
      </c>
      <c r="O1391">
        <f>INDEX('MEC - traffic congestion'!$M$145:$M$249,MATCH($D1391,'MEC - traffic congestion'!$C$145:$C$249,0))</f>
        <v>1</v>
      </c>
      <c r="P1391" t="str">
        <f t="shared" si="59"/>
        <v>2019PUBLIC HOLIDAYS</v>
      </c>
      <c r="Q1391">
        <f t="shared" si="60"/>
        <v>1</v>
      </c>
      <c r="R1391" s="195" t="str">
        <f t="shared" si="61"/>
        <v>2019LIGHT VEHICLES</v>
      </c>
    </row>
    <row r="1392" spans="3:18" x14ac:dyDescent="0.25">
      <c r="C1392" s="294" t="s">
        <v>861</v>
      </c>
      <c r="D1392" s="317">
        <v>6179</v>
      </c>
      <c r="E1392" s="122" t="s">
        <v>859</v>
      </c>
      <c r="F1392" s="122" t="s">
        <v>862</v>
      </c>
      <c r="G1392" s="122" t="s">
        <v>785</v>
      </c>
      <c r="H1392" s="122" t="s">
        <v>777</v>
      </c>
      <c r="I1392" s="312">
        <v>2019</v>
      </c>
      <c r="J1392" s="122" t="s">
        <v>713</v>
      </c>
      <c r="K1392" s="283">
        <v>7739</v>
      </c>
      <c r="L1392" s="318">
        <v>-34.272804000000001</v>
      </c>
      <c r="M1392" s="318">
        <v>150.71418800000001</v>
      </c>
      <c r="O1392">
        <f>INDEX('MEC - traffic congestion'!$M$145:$M$249,MATCH($D1392,'MEC - traffic congestion'!$C$145:$C$249,0))</f>
        <v>1</v>
      </c>
      <c r="P1392" t="str">
        <f t="shared" si="59"/>
        <v>2019WEEKENDS</v>
      </c>
      <c r="Q1392">
        <f t="shared" si="60"/>
        <v>1</v>
      </c>
      <c r="R1392" s="195" t="str">
        <f t="shared" si="61"/>
        <v>2019LIGHT VEHICLES</v>
      </c>
    </row>
    <row r="1393" spans="3:18" x14ac:dyDescent="0.25">
      <c r="C1393" s="294" t="s">
        <v>861</v>
      </c>
      <c r="D1393" s="317">
        <v>6179</v>
      </c>
      <c r="E1393" s="122" t="s">
        <v>859</v>
      </c>
      <c r="F1393" s="122" t="s">
        <v>862</v>
      </c>
      <c r="G1393" s="122" t="s">
        <v>786</v>
      </c>
      <c r="H1393" s="122" t="s">
        <v>777</v>
      </c>
      <c r="I1393" s="312">
        <v>2019</v>
      </c>
      <c r="J1393" s="122" t="s">
        <v>713</v>
      </c>
      <c r="K1393" s="283">
        <v>7841</v>
      </c>
      <c r="L1393" s="318">
        <v>-34.272804000000001</v>
      </c>
      <c r="M1393" s="318">
        <v>150.71418800000001</v>
      </c>
      <c r="O1393">
        <f>INDEX('MEC - traffic congestion'!$M$145:$M$249,MATCH($D1393,'MEC - traffic congestion'!$C$145:$C$249,0))</f>
        <v>1</v>
      </c>
      <c r="P1393" t="str">
        <f t="shared" si="59"/>
        <v>2019WEEKENDS</v>
      </c>
      <c r="Q1393">
        <f t="shared" si="60"/>
        <v>1</v>
      </c>
      <c r="R1393" s="195" t="str">
        <f t="shared" si="61"/>
        <v>2019LIGHT VEHICLES</v>
      </c>
    </row>
    <row r="1394" spans="3:18" x14ac:dyDescent="0.25">
      <c r="C1394" s="294" t="s">
        <v>861</v>
      </c>
      <c r="D1394" s="317">
        <v>6179</v>
      </c>
      <c r="E1394" s="122" t="s">
        <v>859</v>
      </c>
      <c r="F1394" s="122" t="s">
        <v>862</v>
      </c>
      <c r="G1394" s="122" t="s">
        <v>785</v>
      </c>
      <c r="H1394" s="122" t="s">
        <v>777</v>
      </c>
      <c r="I1394" s="312">
        <v>2020</v>
      </c>
      <c r="J1394" s="122" t="s">
        <v>709</v>
      </c>
      <c r="K1394" s="283">
        <v>1821</v>
      </c>
      <c r="L1394" s="318">
        <v>-34.272804000000001</v>
      </c>
      <c r="M1394" s="318">
        <v>150.71418800000001</v>
      </c>
      <c r="O1394">
        <f>INDEX('MEC - traffic congestion'!$M$145:$M$249,MATCH($D1394,'MEC - traffic congestion'!$C$145:$C$249,0))</f>
        <v>1</v>
      </c>
      <c r="P1394" t="str">
        <f t="shared" si="59"/>
        <v>2020AM PEAK</v>
      </c>
      <c r="Q1394">
        <f t="shared" si="60"/>
        <v>1</v>
      </c>
      <c r="R1394" s="195" t="str">
        <f t="shared" si="61"/>
        <v>2020LIGHT VEHICLES</v>
      </c>
    </row>
    <row r="1395" spans="3:18" x14ac:dyDescent="0.25">
      <c r="C1395" s="294" t="s">
        <v>861</v>
      </c>
      <c r="D1395" s="317">
        <v>6179</v>
      </c>
      <c r="E1395" s="122" t="s">
        <v>859</v>
      </c>
      <c r="F1395" s="122" t="s">
        <v>862</v>
      </c>
      <c r="G1395" s="122" t="s">
        <v>786</v>
      </c>
      <c r="H1395" s="122" t="s">
        <v>777</v>
      </c>
      <c r="I1395" s="312">
        <v>2020</v>
      </c>
      <c r="J1395" s="122" t="s">
        <v>709</v>
      </c>
      <c r="K1395" s="283">
        <v>1930</v>
      </c>
      <c r="L1395" s="318">
        <v>-34.272804000000001</v>
      </c>
      <c r="M1395" s="318">
        <v>150.71418800000001</v>
      </c>
      <c r="O1395">
        <f>INDEX('MEC - traffic congestion'!$M$145:$M$249,MATCH($D1395,'MEC - traffic congestion'!$C$145:$C$249,0))</f>
        <v>1</v>
      </c>
      <c r="P1395" t="str">
        <f t="shared" si="59"/>
        <v>2020AM PEAK</v>
      </c>
      <c r="Q1395">
        <f t="shared" si="60"/>
        <v>1</v>
      </c>
      <c r="R1395" s="195" t="str">
        <f t="shared" si="61"/>
        <v>2020LIGHT VEHICLES</v>
      </c>
    </row>
    <row r="1396" spans="3:18" x14ac:dyDescent="0.25">
      <c r="C1396" s="294" t="s">
        <v>861</v>
      </c>
      <c r="D1396" s="317">
        <v>6179</v>
      </c>
      <c r="E1396" s="122" t="s">
        <v>859</v>
      </c>
      <c r="F1396" s="122" t="s">
        <v>862</v>
      </c>
      <c r="G1396" s="122" t="s">
        <v>785</v>
      </c>
      <c r="H1396" s="122" t="s">
        <v>777</v>
      </c>
      <c r="I1396" s="312">
        <v>2020</v>
      </c>
      <c r="J1396" s="122" t="s">
        <v>710</v>
      </c>
      <c r="K1396" s="283">
        <v>3027</v>
      </c>
      <c r="L1396" s="318">
        <v>-34.272804000000001</v>
      </c>
      <c r="M1396" s="318">
        <v>150.71418800000001</v>
      </c>
      <c r="O1396">
        <f>INDEX('MEC - traffic congestion'!$M$145:$M$249,MATCH($D1396,'MEC - traffic congestion'!$C$145:$C$249,0))</f>
        <v>1</v>
      </c>
      <c r="P1396" t="str">
        <f t="shared" si="59"/>
        <v>2020OFF PEAK</v>
      </c>
      <c r="Q1396">
        <f t="shared" si="60"/>
        <v>1</v>
      </c>
      <c r="R1396" s="195" t="str">
        <f t="shared" si="61"/>
        <v>2020LIGHT VEHICLES</v>
      </c>
    </row>
    <row r="1397" spans="3:18" x14ac:dyDescent="0.25">
      <c r="C1397" s="294" t="s">
        <v>861</v>
      </c>
      <c r="D1397" s="317">
        <v>6179</v>
      </c>
      <c r="E1397" s="122" t="s">
        <v>859</v>
      </c>
      <c r="F1397" s="122" t="s">
        <v>862</v>
      </c>
      <c r="G1397" s="122" t="s">
        <v>786</v>
      </c>
      <c r="H1397" s="122" t="s">
        <v>777</v>
      </c>
      <c r="I1397" s="312">
        <v>2020</v>
      </c>
      <c r="J1397" s="122" t="s">
        <v>710</v>
      </c>
      <c r="K1397" s="283">
        <v>3134</v>
      </c>
      <c r="L1397" s="318">
        <v>-34.272804000000001</v>
      </c>
      <c r="M1397" s="318">
        <v>150.71418800000001</v>
      </c>
      <c r="O1397">
        <f>INDEX('MEC - traffic congestion'!$M$145:$M$249,MATCH($D1397,'MEC - traffic congestion'!$C$145:$C$249,0))</f>
        <v>1</v>
      </c>
      <c r="P1397" t="str">
        <f t="shared" si="59"/>
        <v>2020OFF PEAK</v>
      </c>
      <c r="Q1397">
        <f t="shared" si="60"/>
        <v>1</v>
      </c>
      <c r="R1397" s="195" t="str">
        <f t="shared" si="61"/>
        <v>2020LIGHT VEHICLES</v>
      </c>
    </row>
    <row r="1398" spans="3:18" x14ac:dyDescent="0.25">
      <c r="C1398" s="294" t="s">
        <v>861</v>
      </c>
      <c r="D1398" s="317">
        <v>6179</v>
      </c>
      <c r="E1398" s="122" t="s">
        <v>859</v>
      </c>
      <c r="F1398" s="122" t="s">
        <v>862</v>
      </c>
      <c r="G1398" s="122" t="s">
        <v>785</v>
      </c>
      <c r="H1398" s="122" t="s">
        <v>777</v>
      </c>
      <c r="I1398" s="312">
        <v>2020</v>
      </c>
      <c r="J1398" s="122" t="s">
        <v>711</v>
      </c>
      <c r="K1398" s="283">
        <v>2485</v>
      </c>
      <c r="L1398" s="318">
        <v>-34.272804000000001</v>
      </c>
      <c r="M1398" s="318">
        <v>150.71418800000001</v>
      </c>
      <c r="O1398">
        <f>INDEX('MEC - traffic congestion'!$M$145:$M$249,MATCH($D1398,'MEC - traffic congestion'!$C$145:$C$249,0))</f>
        <v>1</v>
      </c>
      <c r="P1398" t="str">
        <f t="shared" si="59"/>
        <v>2020PM PEAK</v>
      </c>
      <c r="Q1398">
        <f t="shared" si="60"/>
        <v>1</v>
      </c>
      <c r="R1398" s="195" t="str">
        <f t="shared" si="61"/>
        <v>2020LIGHT VEHICLES</v>
      </c>
    </row>
    <row r="1399" spans="3:18" x14ac:dyDescent="0.25">
      <c r="C1399" s="294" t="s">
        <v>861</v>
      </c>
      <c r="D1399" s="317">
        <v>6179</v>
      </c>
      <c r="E1399" s="122" t="s">
        <v>859</v>
      </c>
      <c r="F1399" s="122" t="s">
        <v>862</v>
      </c>
      <c r="G1399" s="122" t="s">
        <v>786</v>
      </c>
      <c r="H1399" s="122" t="s">
        <v>777</v>
      </c>
      <c r="I1399" s="312">
        <v>2020</v>
      </c>
      <c r="J1399" s="122" t="s">
        <v>711</v>
      </c>
      <c r="K1399" s="283">
        <v>1920</v>
      </c>
      <c r="L1399" s="318">
        <v>-34.272804000000001</v>
      </c>
      <c r="M1399" s="318">
        <v>150.71418800000001</v>
      </c>
      <c r="O1399">
        <f>INDEX('MEC - traffic congestion'!$M$145:$M$249,MATCH($D1399,'MEC - traffic congestion'!$C$145:$C$249,0))</f>
        <v>1</v>
      </c>
      <c r="P1399" t="str">
        <f t="shared" si="59"/>
        <v>2020PM PEAK</v>
      </c>
      <c r="Q1399">
        <f t="shared" si="60"/>
        <v>1</v>
      </c>
      <c r="R1399" s="195" t="str">
        <f t="shared" si="61"/>
        <v>2020LIGHT VEHICLES</v>
      </c>
    </row>
    <row r="1400" spans="3:18" x14ac:dyDescent="0.25">
      <c r="C1400" s="294" t="s">
        <v>861</v>
      </c>
      <c r="D1400" s="317">
        <v>6179</v>
      </c>
      <c r="E1400" s="122" t="s">
        <v>859</v>
      </c>
      <c r="F1400" s="122" t="s">
        <v>862</v>
      </c>
      <c r="G1400" s="122" t="s">
        <v>785</v>
      </c>
      <c r="H1400" s="122" t="s">
        <v>777</v>
      </c>
      <c r="I1400" s="312">
        <v>2020</v>
      </c>
      <c r="J1400" s="122" t="s">
        <v>712</v>
      </c>
      <c r="K1400" s="283">
        <v>6284</v>
      </c>
      <c r="L1400" s="318">
        <v>-34.272804000000001</v>
      </c>
      <c r="M1400" s="318">
        <v>150.71418800000001</v>
      </c>
      <c r="O1400">
        <f>INDEX('MEC - traffic congestion'!$M$145:$M$249,MATCH($D1400,'MEC - traffic congestion'!$C$145:$C$249,0))</f>
        <v>1</v>
      </c>
      <c r="P1400" t="str">
        <f t="shared" si="59"/>
        <v>2020PUBLIC HOLIDAYS</v>
      </c>
      <c r="Q1400">
        <f t="shared" si="60"/>
        <v>1</v>
      </c>
      <c r="R1400" s="195" t="str">
        <f t="shared" si="61"/>
        <v>2020LIGHT VEHICLES</v>
      </c>
    </row>
    <row r="1401" spans="3:18" x14ac:dyDescent="0.25">
      <c r="C1401" s="294" t="s">
        <v>861</v>
      </c>
      <c r="D1401" s="317">
        <v>6179</v>
      </c>
      <c r="E1401" s="122" t="s">
        <v>859</v>
      </c>
      <c r="F1401" s="122" t="s">
        <v>862</v>
      </c>
      <c r="G1401" s="122" t="s">
        <v>786</v>
      </c>
      <c r="H1401" s="122" t="s">
        <v>777</v>
      </c>
      <c r="I1401" s="312">
        <v>2020</v>
      </c>
      <c r="J1401" s="122" t="s">
        <v>712</v>
      </c>
      <c r="K1401" s="283">
        <v>6267</v>
      </c>
      <c r="L1401" s="318">
        <v>-34.272804000000001</v>
      </c>
      <c r="M1401" s="318">
        <v>150.71418800000001</v>
      </c>
      <c r="O1401">
        <f>INDEX('MEC - traffic congestion'!$M$145:$M$249,MATCH($D1401,'MEC - traffic congestion'!$C$145:$C$249,0))</f>
        <v>1</v>
      </c>
      <c r="P1401" t="str">
        <f t="shared" si="59"/>
        <v>2020PUBLIC HOLIDAYS</v>
      </c>
      <c r="Q1401">
        <f t="shared" si="60"/>
        <v>1</v>
      </c>
      <c r="R1401" s="195" t="str">
        <f t="shared" si="61"/>
        <v>2020LIGHT VEHICLES</v>
      </c>
    </row>
    <row r="1402" spans="3:18" x14ac:dyDescent="0.25">
      <c r="C1402" s="294" t="s">
        <v>861</v>
      </c>
      <c r="D1402" s="317">
        <v>6179</v>
      </c>
      <c r="E1402" s="122" t="s">
        <v>859</v>
      </c>
      <c r="F1402" s="122" t="s">
        <v>862</v>
      </c>
      <c r="G1402" s="122" t="s">
        <v>785</v>
      </c>
      <c r="H1402" s="122" t="s">
        <v>777</v>
      </c>
      <c r="I1402" s="312">
        <v>2020</v>
      </c>
      <c r="J1402" s="122" t="s">
        <v>713</v>
      </c>
      <c r="K1402" s="283">
        <v>6779</v>
      </c>
      <c r="L1402" s="318">
        <v>-34.272804000000001</v>
      </c>
      <c r="M1402" s="318">
        <v>150.71418800000001</v>
      </c>
      <c r="O1402">
        <f>INDEX('MEC - traffic congestion'!$M$145:$M$249,MATCH($D1402,'MEC - traffic congestion'!$C$145:$C$249,0))</f>
        <v>1</v>
      </c>
      <c r="P1402" t="str">
        <f t="shared" si="59"/>
        <v>2020WEEKENDS</v>
      </c>
      <c r="Q1402">
        <f t="shared" si="60"/>
        <v>1</v>
      </c>
      <c r="R1402" s="195" t="str">
        <f t="shared" si="61"/>
        <v>2020LIGHT VEHICLES</v>
      </c>
    </row>
    <row r="1403" spans="3:18" x14ac:dyDescent="0.25">
      <c r="C1403" s="294" t="s">
        <v>861</v>
      </c>
      <c r="D1403" s="317">
        <v>6179</v>
      </c>
      <c r="E1403" s="122" t="s">
        <v>859</v>
      </c>
      <c r="F1403" s="122" t="s">
        <v>862</v>
      </c>
      <c r="G1403" s="122" t="s">
        <v>786</v>
      </c>
      <c r="H1403" s="122" t="s">
        <v>777</v>
      </c>
      <c r="I1403" s="312">
        <v>2020</v>
      </c>
      <c r="J1403" s="122" t="s">
        <v>713</v>
      </c>
      <c r="K1403" s="283">
        <v>6907</v>
      </c>
      <c r="L1403" s="318">
        <v>-34.272804000000001</v>
      </c>
      <c r="M1403" s="318">
        <v>150.71418800000001</v>
      </c>
      <c r="O1403">
        <f>INDEX('MEC - traffic congestion'!$M$145:$M$249,MATCH($D1403,'MEC - traffic congestion'!$C$145:$C$249,0))</f>
        <v>1</v>
      </c>
      <c r="P1403" t="str">
        <f t="shared" si="59"/>
        <v>2020WEEKENDS</v>
      </c>
      <c r="Q1403">
        <f t="shared" si="60"/>
        <v>1</v>
      </c>
      <c r="R1403" s="195" t="str">
        <f t="shared" si="61"/>
        <v>2020LIGHT VEHICLES</v>
      </c>
    </row>
    <row r="1404" spans="3:18" x14ac:dyDescent="0.25">
      <c r="C1404" s="294" t="s">
        <v>861</v>
      </c>
      <c r="D1404" s="317">
        <v>6179</v>
      </c>
      <c r="E1404" s="122" t="s">
        <v>859</v>
      </c>
      <c r="F1404" s="122" t="s">
        <v>862</v>
      </c>
      <c r="G1404" s="122" t="s">
        <v>785</v>
      </c>
      <c r="H1404" s="122" t="s">
        <v>777</v>
      </c>
      <c r="I1404" s="312">
        <v>2021</v>
      </c>
      <c r="J1404" s="122" t="s">
        <v>709</v>
      </c>
      <c r="K1404" s="283">
        <v>1773</v>
      </c>
      <c r="L1404" s="318">
        <v>-34.272804000000001</v>
      </c>
      <c r="M1404" s="318">
        <v>150.71418800000001</v>
      </c>
      <c r="O1404">
        <f>INDEX('MEC - traffic congestion'!$M$145:$M$249,MATCH($D1404,'MEC - traffic congestion'!$C$145:$C$249,0))</f>
        <v>1</v>
      </c>
      <c r="P1404" t="str">
        <f t="shared" si="59"/>
        <v>2021AM PEAK</v>
      </c>
      <c r="Q1404">
        <f t="shared" si="60"/>
        <v>1</v>
      </c>
      <c r="R1404" s="195" t="str">
        <f t="shared" si="61"/>
        <v>2021LIGHT VEHICLES</v>
      </c>
    </row>
    <row r="1405" spans="3:18" x14ac:dyDescent="0.25">
      <c r="C1405" s="294" t="s">
        <v>861</v>
      </c>
      <c r="D1405" s="317">
        <v>6179</v>
      </c>
      <c r="E1405" s="122" t="s">
        <v>859</v>
      </c>
      <c r="F1405" s="122" t="s">
        <v>862</v>
      </c>
      <c r="G1405" s="122" t="s">
        <v>786</v>
      </c>
      <c r="H1405" s="122" t="s">
        <v>777</v>
      </c>
      <c r="I1405" s="312">
        <v>2021</v>
      </c>
      <c r="J1405" s="122" t="s">
        <v>709</v>
      </c>
      <c r="K1405" s="283">
        <v>1855</v>
      </c>
      <c r="L1405" s="318">
        <v>-34.272804000000001</v>
      </c>
      <c r="M1405" s="318">
        <v>150.71418800000001</v>
      </c>
      <c r="O1405">
        <f>INDEX('MEC - traffic congestion'!$M$145:$M$249,MATCH($D1405,'MEC - traffic congestion'!$C$145:$C$249,0))</f>
        <v>1</v>
      </c>
      <c r="P1405" t="str">
        <f t="shared" si="59"/>
        <v>2021AM PEAK</v>
      </c>
      <c r="Q1405">
        <f t="shared" si="60"/>
        <v>1</v>
      </c>
      <c r="R1405" s="195" t="str">
        <f t="shared" si="61"/>
        <v>2021LIGHT VEHICLES</v>
      </c>
    </row>
    <row r="1406" spans="3:18" x14ac:dyDescent="0.25">
      <c r="C1406" s="294" t="s">
        <v>861</v>
      </c>
      <c r="D1406" s="317">
        <v>6179</v>
      </c>
      <c r="E1406" s="122" t="s">
        <v>859</v>
      </c>
      <c r="F1406" s="122" t="s">
        <v>862</v>
      </c>
      <c r="G1406" s="122" t="s">
        <v>785</v>
      </c>
      <c r="H1406" s="122" t="s">
        <v>777</v>
      </c>
      <c r="I1406" s="312">
        <v>2021</v>
      </c>
      <c r="J1406" s="122" t="s">
        <v>710</v>
      </c>
      <c r="K1406" s="283">
        <v>2853</v>
      </c>
      <c r="L1406" s="318">
        <v>-34.272804000000001</v>
      </c>
      <c r="M1406" s="318">
        <v>150.71418800000001</v>
      </c>
      <c r="O1406">
        <f>INDEX('MEC - traffic congestion'!$M$145:$M$249,MATCH($D1406,'MEC - traffic congestion'!$C$145:$C$249,0))</f>
        <v>1</v>
      </c>
      <c r="P1406" t="str">
        <f t="shared" si="59"/>
        <v>2021OFF PEAK</v>
      </c>
      <c r="Q1406">
        <f t="shared" si="60"/>
        <v>1</v>
      </c>
      <c r="R1406" s="195" t="str">
        <f t="shared" si="61"/>
        <v>2021LIGHT VEHICLES</v>
      </c>
    </row>
    <row r="1407" spans="3:18" x14ac:dyDescent="0.25">
      <c r="C1407" s="294" t="s">
        <v>861</v>
      </c>
      <c r="D1407" s="317">
        <v>6179</v>
      </c>
      <c r="E1407" s="122" t="s">
        <v>859</v>
      </c>
      <c r="F1407" s="122" t="s">
        <v>862</v>
      </c>
      <c r="G1407" s="122" t="s">
        <v>786</v>
      </c>
      <c r="H1407" s="122" t="s">
        <v>777</v>
      </c>
      <c r="I1407" s="312">
        <v>2021</v>
      </c>
      <c r="J1407" s="122" t="s">
        <v>710</v>
      </c>
      <c r="K1407" s="283">
        <v>3010</v>
      </c>
      <c r="L1407" s="318">
        <v>-34.272804000000001</v>
      </c>
      <c r="M1407" s="318">
        <v>150.71418800000001</v>
      </c>
      <c r="O1407">
        <f>INDEX('MEC - traffic congestion'!$M$145:$M$249,MATCH($D1407,'MEC - traffic congestion'!$C$145:$C$249,0))</f>
        <v>1</v>
      </c>
      <c r="P1407" t="str">
        <f t="shared" si="59"/>
        <v>2021OFF PEAK</v>
      </c>
      <c r="Q1407">
        <f t="shared" si="60"/>
        <v>1</v>
      </c>
      <c r="R1407" s="195" t="str">
        <f t="shared" si="61"/>
        <v>2021LIGHT VEHICLES</v>
      </c>
    </row>
    <row r="1408" spans="3:18" x14ac:dyDescent="0.25">
      <c r="C1408" s="294" t="s">
        <v>861</v>
      </c>
      <c r="D1408" s="317">
        <v>6179</v>
      </c>
      <c r="E1408" s="122" t="s">
        <v>859</v>
      </c>
      <c r="F1408" s="122" t="s">
        <v>862</v>
      </c>
      <c r="G1408" s="122" t="s">
        <v>785</v>
      </c>
      <c r="H1408" s="122" t="s">
        <v>777</v>
      </c>
      <c r="I1408" s="312">
        <v>2021</v>
      </c>
      <c r="J1408" s="122" t="s">
        <v>711</v>
      </c>
      <c r="K1408" s="283">
        <v>2367</v>
      </c>
      <c r="L1408" s="318">
        <v>-34.272804000000001</v>
      </c>
      <c r="M1408" s="318">
        <v>150.71418800000001</v>
      </c>
      <c r="O1408">
        <f>INDEX('MEC - traffic congestion'!$M$145:$M$249,MATCH($D1408,'MEC - traffic congestion'!$C$145:$C$249,0))</f>
        <v>1</v>
      </c>
      <c r="P1408" t="str">
        <f t="shared" si="59"/>
        <v>2021PM PEAK</v>
      </c>
      <c r="Q1408">
        <f t="shared" si="60"/>
        <v>1</v>
      </c>
      <c r="R1408" s="195" t="str">
        <f t="shared" si="61"/>
        <v>2021LIGHT VEHICLES</v>
      </c>
    </row>
    <row r="1409" spans="3:18" x14ac:dyDescent="0.25">
      <c r="C1409" s="294" t="s">
        <v>861</v>
      </c>
      <c r="D1409" s="317">
        <v>6179</v>
      </c>
      <c r="E1409" s="122" t="s">
        <v>859</v>
      </c>
      <c r="F1409" s="122" t="s">
        <v>862</v>
      </c>
      <c r="G1409" s="122" t="s">
        <v>786</v>
      </c>
      <c r="H1409" s="122" t="s">
        <v>777</v>
      </c>
      <c r="I1409" s="312">
        <v>2021</v>
      </c>
      <c r="J1409" s="122" t="s">
        <v>711</v>
      </c>
      <c r="K1409" s="283">
        <v>1776</v>
      </c>
      <c r="L1409" s="318">
        <v>-34.272804000000001</v>
      </c>
      <c r="M1409" s="318">
        <v>150.71418800000001</v>
      </c>
      <c r="O1409">
        <f>INDEX('MEC - traffic congestion'!$M$145:$M$249,MATCH($D1409,'MEC - traffic congestion'!$C$145:$C$249,0))</f>
        <v>1</v>
      </c>
      <c r="P1409" t="str">
        <f t="shared" si="59"/>
        <v>2021PM PEAK</v>
      </c>
      <c r="Q1409">
        <f t="shared" si="60"/>
        <v>1</v>
      </c>
      <c r="R1409" s="195" t="str">
        <f t="shared" si="61"/>
        <v>2021LIGHT VEHICLES</v>
      </c>
    </row>
    <row r="1410" spans="3:18" x14ac:dyDescent="0.25">
      <c r="C1410" s="294" t="s">
        <v>861</v>
      </c>
      <c r="D1410" s="317">
        <v>6179</v>
      </c>
      <c r="E1410" s="122" t="s">
        <v>859</v>
      </c>
      <c r="F1410" s="122" t="s">
        <v>862</v>
      </c>
      <c r="G1410" s="122" t="s">
        <v>785</v>
      </c>
      <c r="H1410" s="122" t="s">
        <v>777</v>
      </c>
      <c r="I1410" s="312">
        <v>2021</v>
      </c>
      <c r="J1410" s="122" t="s">
        <v>713</v>
      </c>
      <c r="K1410" s="283">
        <v>6444</v>
      </c>
      <c r="L1410" s="318">
        <v>-34.272804000000001</v>
      </c>
      <c r="M1410" s="318">
        <v>150.71418800000001</v>
      </c>
      <c r="O1410">
        <f>INDEX('MEC - traffic congestion'!$M$145:$M$249,MATCH($D1410,'MEC - traffic congestion'!$C$145:$C$249,0))</f>
        <v>1</v>
      </c>
      <c r="P1410" t="str">
        <f t="shared" si="59"/>
        <v>2021WEEKENDS</v>
      </c>
      <c r="Q1410">
        <f t="shared" si="60"/>
        <v>1</v>
      </c>
      <c r="R1410" s="195" t="str">
        <f t="shared" si="61"/>
        <v>2021LIGHT VEHICLES</v>
      </c>
    </row>
    <row r="1411" spans="3:18" x14ac:dyDescent="0.25">
      <c r="C1411" s="294" t="s">
        <v>861</v>
      </c>
      <c r="D1411" s="317">
        <v>6179</v>
      </c>
      <c r="E1411" s="122" t="s">
        <v>859</v>
      </c>
      <c r="F1411" s="122" t="s">
        <v>862</v>
      </c>
      <c r="G1411" s="122" t="s">
        <v>786</v>
      </c>
      <c r="H1411" s="122" t="s">
        <v>777</v>
      </c>
      <c r="I1411" s="312">
        <v>2021</v>
      </c>
      <c r="J1411" s="122" t="s">
        <v>713</v>
      </c>
      <c r="K1411" s="283">
        <v>6397</v>
      </c>
      <c r="L1411" s="318">
        <v>-34.272804000000001</v>
      </c>
      <c r="M1411" s="318">
        <v>150.71418800000001</v>
      </c>
      <c r="O1411">
        <f>INDEX('MEC - traffic congestion'!$M$145:$M$249,MATCH($D1411,'MEC - traffic congestion'!$C$145:$C$249,0))</f>
        <v>1</v>
      </c>
      <c r="P1411" t="str">
        <f t="shared" si="59"/>
        <v>2021WEEKENDS</v>
      </c>
      <c r="Q1411">
        <f t="shared" si="60"/>
        <v>1</v>
      </c>
      <c r="R1411" s="195" t="str">
        <f t="shared" si="61"/>
        <v>2021LIGHT VEHICLES</v>
      </c>
    </row>
    <row r="1412" spans="3:18" x14ac:dyDescent="0.25">
      <c r="C1412" s="294" t="s">
        <v>861</v>
      </c>
      <c r="D1412" s="317">
        <v>6179</v>
      </c>
      <c r="E1412" s="122" t="s">
        <v>859</v>
      </c>
      <c r="F1412" s="122" t="s">
        <v>862</v>
      </c>
      <c r="G1412" s="122" t="s">
        <v>785</v>
      </c>
      <c r="H1412" s="122" t="s">
        <v>777</v>
      </c>
      <c r="I1412" s="312">
        <v>2022</v>
      </c>
      <c r="J1412" s="122" t="s">
        <v>709</v>
      </c>
      <c r="K1412" s="283">
        <v>1961</v>
      </c>
      <c r="L1412" s="318">
        <v>-34.272804000000001</v>
      </c>
      <c r="M1412" s="318">
        <v>150.71418800000001</v>
      </c>
      <c r="O1412">
        <f>INDEX('MEC - traffic congestion'!$M$145:$M$249,MATCH($D1412,'MEC - traffic congestion'!$C$145:$C$249,0))</f>
        <v>1</v>
      </c>
      <c r="P1412" t="str">
        <f t="shared" si="59"/>
        <v>2022AM PEAK</v>
      </c>
      <c r="Q1412">
        <f t="shared" si="60"/>
        <v>1</v>
      </c>
      <c r="R1412" s="195" t="str">
        <f t="shared" si="61"/>
        <v>2022LIGHT VEHICLES</v>
      </c>
    </row>
    <row r="1413" spans="3:18" x14ac:dyDescent="0.25">
      <c r="C1413" s="294" t="s">
        <v>861</v>
      </c>
      <c r="D1413" s="317">
        <v>6179</v>
      </c>
      <c r="E1413" s="122" t="s">
        <v>859</v>
      </c>
      <c r="F1413" s="122" t="s">
        <v>862</v>
      </c>
      <c r="G1413" s="122" t="s">
        <v>786</v>
      </c>
      <c r="H1413" s="122" t="s">
        <v>777</v>
      </c>
      <c r="I1413" s="312">
        <v>2022</v>
      </c>
      <c r="J1413" s="122" t="s">
        <v>709</v>
      </c>
      <c r="K1413" s="283">
        <v>1960</v>
      </c>
      <c r="L1413" s="318">
        <v>-34.272804000000001</v>
      </c>
      <c r="M1413" s="318">
        <v>150.71418800000001</v>
      </c>
      <c r="O1413">
        <f>INDEX('MEC - traffic congestion'!$M$145:$M$249,MATCH($D1413,'MEC - traffic congestion'!$C$145:$C$249,0))</f>
        <v>1</v>
      </c>
      <c r="P1413" t="str">
        <f t="shared" si="59"/>
        <v>2022AM PEAK</v>
      </c>
      <c r="Q1413">
        <f t="shared" si="60"/>
        <v>1</v>
      </c>
      <c r="R1413" s="195" t="str">
        <f t="shared" si="61"/>
        <v>2022LIGHT VEHICLES</v>
      </c>
    </row>
    <row r="1414" spans="3:18" x14ac:dyDescent="0.25">
      <c r="C1414" s="294" t="s">
        <v>861</v>
      </c>
      <c r="D1414" s="317">
        <v>6179</v>
      </c>
      <c r="E1414" s="122" t="s">
        <v>859</v>
      </c>
      <c r="F1414" s="122" t="s">
        <v>862</v>
      </c>
      <c r="G1414" s="122" t="s">
        <v>785</v>
      </c>
      <c r="H1414" s="122" t="s">
        <v>777</v>
      </c>
      <c r="I1414" s="312">
        <v>2022</v>
      </c>
      <c r="J1414" s="122" t="s">
        <v>710</v>
      </c>
      <c r="K1414" s="283">
        <v>3198</v>
      </c>
      <c r="L1414" s="318">
        <v>-34.272804000000001</v>
      </c>
      <c r="M1414" s="318">
        <v>150.71418800000001</v>
      </c>
      <c r="O1414">
        <f>INDEX('MEC - traffic congestion'!$M$145:$M$249,MATCH($D1414,'MEC - traffic congestion'!$C$145:$C$249,0))</f>
        <v>1</v>
      </c>
      <c r="P1414" t="str">
        <f t="shared" si="59"/>
        <v>2022OFF PEAK</v>
      </c>
      <c r="Q1414">
        <f t="shared" si="60"/>
        <v>1</v>
      </c>
      <c r="R1414" s="195" t="str">
        <f t="shared" si="61"/>
        <v>2022LIGHT VEHICLES</v>
      </c>
    </row>
    <row r="1415" spans="3:18" x14ac:dyDescent="0.25">
      <c r="C1415" s="294" t="s">
        <v>861</v>
      </c>
      <c r="D1415" s="317">
        <v>6179</v>
      </c>
      <c r="E1415" s="122" t="s">
        <v>859</v>
      </c>
      <c r="F1415" s="122" t="s">
        <v>862</v>
      </c>
      <c r="G1415" s="122" t="s">
        <v>786</v>
      </c>
      <c r="H1415" s="122" t="s">
        <v>777</v>
      </c>
      <c r="I1415" s="312">
        <v>2022</v>
      </c>
      <c r="J1415" s="122" t="s">
        <v>710</v>
      </c>
      <c r="K1415" s="283">
        <v>3272</v>
      </c>
      <c r="L1415" s="318">
        <v>-34.272804000000001</v>
      </c>
      <c r="M1415" s="318">
        <v>150.71418800000001</v>
      </c>
      <c r="O1415">
        <f>INDEX('MEC - traffic congestion'!$M$145:$M$249,MATCH($D1415,'MEC - traffic congestion'!$C$145:$C$249,0))</f>
        <v>1</v>
      </c>
      <c r="P1415" t="str">
        <f t="shared" si="59"/>
        <v>2022OFF PEAK</v>
      </c>
      <c r="Q1415">
        <f t="shared" si="60"/>
        <v>1</v>
      </c>
      <c r="R1415" s="195" t="str">
        <f t="shared" si="61"/>
        <v>2022LIGHT VEHICLES</v>
      </c>
    </row>
    <row r="1416" spans="3:18" x14ac:dyDescent="0.25">
      <c r="C1416" s="294" t="s">
        <v>861</v>
      </c>
      <c r="D1416" s="317">
        <v>6179</v>
      </c>
      <c r="E1416" s="122" t="s">
        <v>859</v>
      </c>
      <c r="F1416" s="122" t="s">
        <v>862</v>
      </c>
      <c r="G1416" s="122" t="s">
        <v>785</v>
      </c>
      <c r="H1416" s="122" t="s">
        <v>777</v>
      </c>
      <c r="I1416" s="312">
        <v>2022</v>
      </c>
      <c r="J1416" s="122" t="s">
        <v>711</v>
      </c>
      <c r="K1416" s="283">
        <v>2530</v>
      </c>
      <c r="L1416" s="318">
        <v>-34.272804000000001</v>
      </c>
      <c r="M1416" s="318">
        <v>150.71418800000001</v>
      </c>
      <c r="O1416">
        <f>INDEX('MEC - traffic congestion'!$M$145:$M$249,MATCH($D1416,'MEC - traffic congestion'!$C$145:$C$249,0))</f>
        <v>1</v>
      </c>
      <c r="P1416" t="str">
        <f t="shared" si="59"/>
        <v>2022PM PEAK</v>
      </c>
      <c r="Q1416">
        <f t="shared" si="60"/>
        <v>1</v>
      </c>
      <c r="R1416" s="195" t="str">
        <f t="shared" si="61"/>
        <v>2022LIGHT VEHICLES</v>
      </c>
    </row>
    <row r="1417" spans="3:18" x14ac:dyDescent="0.25">
      <c r="C1417" s="294" t="s">
        <v>861</v>
      </c>
      <c r="D1417" s="317">
        <v>6179</v>
      </c>
      <c r="E1417" s="122" t="s">
        <v>859</v>
      </c>
      <c r="F1417" s="122" t="s">
        <v>862</v>
      </c>
      <c r="G1417" s="122" t="s">
        <v>786</v>
      </c>
      <c r="H1417" s="122" t="s">
        <v>777</v>
      </c>
      <c r="I1417" s="312">
        <v>2022</v>
      </c>
      <c r="J1417" s="122" t="s">
        <v>711</v>
      </c>
      <c r="K1417" s="283">
        <v>1928</v>
      </c>
      <c r="L1417" s="318">
        <v>-34.272804000000001</v>
      </c>
      <c r="M1417" s="318">
        <v>150.71418800000001</v>
      </c>
      <c r="O1417">
        <f>INDEX('MEC - traffic congestion'!$M$145:$M$249,MATCH($D1417,'MEC - traffic congestion'!$C$145:$C$249,0))</f>
        <v>1</v>
      </c>
      <c r="P1417" t="str">
        <f t="shared" si="59"/>
        <v>2022PM PEAK</v>
      </c>
      <c r="Q1417">
        <f t="shared" si="60"/>
        <v>1</v>
      </c>
      <c r="R1417" s="195" t="str">
        <f t="shared" si="61"/>
        <v>2022LIGHT VEHICLES</v>
      </c>
    </row>
    <row r="1418" spans="3:18" x14ac:dyDescent="0.25">
      <c r="C1418" s="294" t="s">
        <v>861</v>
      </c>
      <c r="D1418" s="317">
        <v>6179</v>
      </c>
      <c r="E1418" s="122" t="s">
        <v>859</v>
      </c>
      <c r="F1418" s="122" t="s">
        <v>862</v>
      </c>
      <c r="G1418" s="122" t="s">
        <v>785</v>
      </c>
      <c r="H1418" s="122" t="s">
        <v>777</v>
      </c>
      <c r="I1418" s="312">
        <v>2022</v>
      </c>
      <c r="J1418" s="122" t="s">
        <v>713</v>
      </c>
      <c r="K1418" s="283">
        <v>7527</v>
      </c>
      <c r="L1418" s="318">
        <v>-34.272804000000001</v>
      </c>
      <c r="M1418" s="318">
        <v>150.71418800000001</v>
      </c>
      <c r="O1418">
        <f>INDEX('MEC - traffic congestion'!$M$145:$M$249,MATCH($D1418,'MEC - traffic congestion'!$C$145:$C$249,0))</f>
        <v>1</v>
      </c>
      <c r="P1418" t="str">
        <f t="shared" si="59"/>
        <v>2022WEEKENDS</v>
      </c>
      <c r="Q1418">
        <f t="shared" si="60"/>
        <v>1</v>
      </c>
      <c r="R1418" s="195" t="str">
        <f t="shared" si="61"/>
        <v>2022LIGHT VEHICLES</v>
      </c>
    </row>
    <row r="1419" spans="3:18" x14ac:dyDescent="0.25">
      <c r="C1419" s="294" t="s">
        <v>861</v>
      </c>
      <c r="D1419" s="317">
        <v>6179</v>
      </c>
      <c r="E1419" s="122" t="s">
        <v>859</v>
      </c>
      <c r="F1419" s="122" t="s">
        <v>862</v>
      </c>
      <c r="G1419" s="122" t="s">
        <v>786</v>
      </c>
      <c r="H1419" s="122" t="s">
        <v>777</v>
      </c>
      <c r="I1419" s="312">
        <v>2022</v>
      </c>
      <c r="J1419" s="122" t="s">
        <v>713</v>
      </c>
      <c r="K1419" s="283">
        <v>7257</v>
      </c>
      <c r="L1419" s="318">
        <v>-34.272804000000001</v>
      </c>
      <c r="M1419" s="318">
        <v>150.71418800000001</v>
      </c>
      <c r="O1419">
        <f>INDEX('MEC - traffic congestion'!$M$145:$M$249,MATCH($D1419,'MEC - traffic congestion'!$C$145:$C$249,0))</f>
        <v>1</v>
      </c>
      <c r="P1419" t="str">
        <f t="shared" si="59"/>
        <v>2022WEEKENDS</v>
      </c>
      <c r="Q1419">
        <f t="shared" si="60"/>
        <v>1</v>
      </c>
      <c r="R1419" s="195" t="str">
        <f t="shared" si="61"/>
        <v>2022LIGHT VEHICLES</v>
      </c>
    </row>
    <row r="1420" spans="3:18" x14ac:dyDescent="0.25">
      <c r="C1420" s="294" t="s">
        <v>861</v>
      </c>
      <c r="D1420" s="317">
        <v>6179</v>
      </c>
      <c r="E1420" s="122" t="s">
        <v>859</v>
      </c>
      <c r="F1420" s="122" t="s">
        <v>862</v>
      </c>
      <c r="G1420" s="122" t="s">
        <v>785</v>
      </c>
      <c r="H1420" s="122" t="s">
        <v>777</v>
      </c>
      <c r="I1420" s="312">
        <v>2023</v>
      </c>
      <c r="J1420" s="122" t="s">
        <v>709</v>
      </c>
      <c r="K1420" s="283">
        <v>2571</v>
      </c>
      <c r="L1420" s="318">
        <v>-34.272804000000001</v>
      </c>
      <c r="M1420" s="318">
        <v>150.71418800000001</v>
      </c>
      <c r="O1420">
        <f>INDEX('MEC - traffic congestion'!$M$145:$M$249,MATCH($D1420,'MEC - traffic congestion'!$C$145:$C$249,0))</f>
        <v>1</v>
      </c>
      <c r="P1420" t="str">
        <f t="shared" si="59"/>
        <v>2023AM PEAK</v>
      </c>
      <c r="Q1420">
        <f t="shared" si="60"/>
        <v>1</v>
      </c>
      <c r="R1420" s="195" t="str">
        <f t="shared" si="61"/>
        <v>2023LIGHT VEHICLES</v>
      </c>
    </row>
    <row r="1421" spans="3:18" x14ac:dyDescent="0.25">
      <c r="C1421" s="294" t="s">
        <v>861</v>
      </c>
      <c r="D1421" s="317">
        <v>6179</v>
      </c>
      <c r="E1421" s="122" t="s">
        <v>859</v>
      </c>
      <c r="F1421" s="122" t="s">
        <v>862</v>
      </c>
      <c r="G1421" s="122" t="s">
        <v>786</v>
      </c>
      <c r="H1421" s="122" t="s">
        <v>777</v>
      </c>
      <c r="I1421" s="312">
        <v>2023</v>
      </c>
      <c r="J1421" s="122" t="s">
        <v>709</v>
      </c>
      <c r="K1421" s="283">
        <v>2019</v>
      </c>
      <c r="L1421" s="318">
        <v>-34.272804000000001</v>
      </c>
      <c r="M1421" s="318">
        <v>150.71418800000001</v>
      </c>
      <c r="O1421">
        <f>INDEX('MEC - traffic congestion'!$M$145:$M$249,MATCH($D1421,'MEC - traffic congestion'!$C$145:$C$249,0))</f>
        <v>1</v>
      </c>
      <c r="P1421" t="str">
        <f t="shared" si="59"/>
        <v>2023AM PEAK</v>
      </c>
      <c r="Q1421">
        <f t="shared" si="60"/>
        <v>1</v>
      </c>
      <c r="R1421" s="195" t="str">
        <f t="shared" si="61"/>
        <v>2023LIGHT VEHICLES</v>
      </c>
    </row>
    <row r="1422" spans="3:18" x14ac:dyDescent="0.25">
      <c r="C1422" s="294" t="s">
        <v>861</v>
      </c>
      <c r="D1422" s="317">
        <v>6179</v>
      </c>
      <c r="E1422" s="122" t="s">
        <v>859</v>
      </c>
      <c r="F1422" s="122" t="s">
        <v>862</v>
      </c>
      <c r="G1422" s="122" t="s">
        <v>785</v>
      </c>
      <c r="H1422" s="122" t="s">
        <v>777</v>
      </c>
      <c r="I1422" s="312">
        <v>2023</v>
      </c>
      <c r="J1422" s="122" t="s">
        <v>710</v>
      </c>
      <c r="K1422" s="283">
        <v>4151</v>
      </c>
      <c r="L1422" s="318">
        <v>-34.272804000000001</v>
      </c>
      <c r="M1422" s="318">
        <v>150.71418800000001</v>
      </c>
      <c r="O1422">
        <f>INDEX('MEC - traffic congestion'!$M$145:$M$249,MATCH($D1422,'MEC - traffic congestion'!$C$145:$C$249,0))</f>
        <v>1</v>
      </c>
      <c r="P1422" t="str">
        <f t="shared" si="59"/>
        <v>2023OFF PEAK</v>
      </c>
      <c r="Q1422">
        <f t="shared" si="60"/>
        <v>1</v>
      </c>
      <c r="R1422" s="195" t="str">
        <f t="shared" si="61"/>
        <v>2023LIGHT VEHICLES</v>
      </c>
    </row>
    <row r="1423" spans="3:18" x14ac:dyDescent="0.25">
      <c r="C1423" s="294" t="s">
        <v>861</v>
      </c>
      <c r="D1423" s="317">
        <v>6179</v>
      </c>
      <c r="E1423" s="122" t="s">
        <v>859</v>
      </c>
      <c r="F1423" s="122" t="s">
        <v>862</v>
      </c>
      <c r="G1423" s="122" t="s">
        <v>786</v>
      </c>
      <c r="H1423" s="122" t="s">
        <v>777</v>
      </c>
      <c r="I1423" s="312">
        <v>2023</v>
      </c>
      <c r="J1423" s="122" t="s">
        <v>710</v>
      </c>
      <c r="K1423" s="283">
        <v>3539</v>
      </c>
      <c r="L1423" s="318">
        <v>-34.272804000000001</v>
      </c>
      <c r="M1423" s="318">
        <v>150.71418800000001</v>
      </c>
      <c r="O1423">
        <f>INDEX('MEC - traffic congestion'!$M$145:$M$249,MATCH($D1423,'MEC - traffic congestion'!$C$145:$C$249,0))</f>
        <v>1</v>
      </c>
      <c r="P1423" t="str">
        <f t="shared" si="59"/>
        <v>2023OFF PEAK</v>
      </c>
      <c r="Q1423">
        <f t="shared" si="60"/>
        <v>1</v>
      </c>
      <c r="R1423" s="195" t="str">
        <f t="shared" si="61"/>
        <v>2023LIGHT VEHICLES</v>
      </c>
    </row>
    <row r="1424" spans="3:18" x14ac:dyDescent="0.25">
      <c r="C1424" s="294" t="s">
        <v>861</v>
      </c>
      <c r="D1424" s="317">
        <v>6179</v>
      </c>
      <c r="E1424" s="122" t="s">
        <v>859</v>
      </c>
      <c r="F1424" s="122" t="s">
        <v>862</v>
      </c>
      <c r="G1424" s="122" t="s">
        <v>785</v>
      </c>
      <c r="H1424" s="122" t="s">
        <v>777</v>
      </c>
      <c r="I1424" s="312">
        <v>2023</v>
      </c>
      <c r="J1424" s="122" t="s">
        <v>711</v>
      </c>
      <c r="K1424" s="283">
        <v>3127</v>
      </c>
      <c r="L1424" s="318">
        <v>-34.272804000000001</v>
      </c>
      <c r="M1424" s="318">
        <v>150.71418800000001</v>
      </c>
      <c r="O1424">
        <f>INDEX('MEC - traffic congestion'!$M$145:$M$249,MATCH($D1424,'MEC - traffic congestion'!$C$145:$C$249,0))</f>
        <v>1</v>
      </c>
      <c r="P1424" t="str">
        <f t="shared" si="59"/>
        <v>2023PM PEAK</v>
      </c>
      <c r="Q1424">
        <f t="shared" si="60"/>
        <v>1</v>
      </c>
      <c r="R1424" s="195" t="str">
        <f t="shared" si="61"/>
        <v>2023LIGHT VEHICLES</v>
      </c>
    </row>
    <row r="1425" spans="3:18" x14ac:dyDescent="0.25">
      <c r="C1425" s="294" t="s">
        <v>861</v>
      </c>
      <c r="D1425" s="317">
        <v>6179</v>
      </c>
      <c r="E1425" s="122" t="s">
        <v>859</v>
      </c>
      <c r="F1425" s="122" t="s">
        <v>862</v>
      </c>
      <c r="G1425" s="122" t="s">
        <v>786</v>
      </c>
      <c r="H1425" s="122" t="s">
        <v>777</v>
      </c>
      <c r="I1425" s="312">
        <v>2023</v>
      </c>
      <c r="J1425" s="122" t="s">
        <v>711</v>
      </c>
      <c r="K1425" s="283">
        <v>2206</v>
      </c>
      <c r="L1425" s="318">
        <v>-34.272804000000001</v>
      </c>
      <c r="M1425" s="318">
        <v>150.71418800000001</v>
      </c>
      <c r="O1425">
        <f>INDEX('MEC - traffic congestion'!$M$145:$M$249,MATCH($D1425,'MEC - traffic congestion'!$C$145:$C$249,0))</f>
        <v>1</v>
      </c>
      <c r="P1425" t="str">
        <f t="shared" si="59"/>
        <v>2023PM PEAK</v>
      </c>
      <c r="Q1425">
        <f t="shared" si="60"/>
        <v>1</v>
      </c>
      <c r="R1425" s="195" t="str">
        <f t="shared" si="61"/>
        <v>2023LIGHT VEHICLES</v>
      </c>
    </row>
    <row r="1426" spans="3:18" x14ac:dyDescent="0.25">
      <c r="C1426" s="294" t="s">
        <v>861</v>
      </c>
      <c r="D1426" s="317">
        <v>6179</v>
      </c>
      <c r="E1426" s="122" t="s">
        <v>859</v>
      </c>
      <c r="F1426" s="122" t="s">
        <v>862</v>
      </c>
      <c r="G1426" s="122" t="s">
        <v>785</v>
      </c>
      <c r="H1426" s="122" t="s">
        <v>777</v>
      </c>
      <c r="I1426" s="312">
        <v>2023</v>
      </c>
      <c r="J1426" s="122" t="s">
        <v>713</v>
      </c>
      <c r="K1426" s="283">
        <v>9884</v>
      </c>
      <c r="L1426" s="318">
        <v>-34.272804000000001</v>
      </c>
      <c r="M1426" s="318">
        <v>150.71418800000001</v>
      </c>
      <c r="O1426">
        <f>INDEX('MEC - traffic congestion'!$M$145:$M$249,MATCH($D1426,'MEC - traffic congestion'!$C$145:$C$249,0))</f>
        <v>1</v>
      </c>
      <c r="P1426" t="str">
        <f t="shared" si="59"/>
        <v>2023WEEKENDS</v>
      </c>
      <c r="Q1426">
        <f t="shared" si="60"/>
        <v>1</v>
      </c>
      <c r="R1426" s="195" t="str">
        <f t="shared" si="61"/>
        <v>2023LIGHT VEHICLES</v>
      </c>
    </row>
    <row r="1427" spans="3:18" x14ac:dyDescent="0.25">
      <c r="C1427" s="294" t="s">
        <v>861</v>
      </c>
      <c r="D1427" s="317">
        <v>6179</v>
      </c>
      <c r="E1427" s="122" t="s">
        <v>859</v>
      </c>
      <c r="F1427" s="122" t="s">
        <v>862</v>
      </c>
      <c r="G1427" s="122" t="s">
        <v>786</v>
      </c>
      <c r="H1427" s="122" t="s">
        <v>777</v>
      </c>
      <c r="I1427" s="312">
        <v>2023</v>
      </c>
      <c r="J1427" s="122" t="s">
        <v>713</v>
      </c>
      <c r="K1427" s="283">
        <v>8116</v>
      </c>
      <c r="L1427" s="318">
        <v>-34.272804000000001</v>
      </c>
      <c r="M1427" s="318">
        <v>150.71418800000001</v>
      </c>
      <c r="O1427">
        <f>INDEX('MEC - traffic congestion'!$M$145:$M$249,MATCH($D1427,'MEC - traffic congestion'!$C$145:$C$249,0))</f>
        <v>1</v>
      </c>
      <c r="P1427" t="str">
        <f t="shared" si="59"/>
        <v>2023WEEKENDS</v>
      </c>
      <c r="Q1427">
        <f t="shared" si="60"/>
        <v>1</v>
      </c>
      <c r="R1427" s="195" t="str">
        <f t="shared" si="61"/>
        <v>2023LIGHT VEHICLES</v>
      </c>
    </row>
    <row r="1428" spans="3:18" x14ac:dyDescent="0.25">
      <c r="C1428" s="294" t="s">
        <v>861</v>
      </c>
      <c r="D1428" s="317">
        <v>6179</v>
      </c>
      <c r="E1428" s="122" t="s">
        <v>859</v>
      </c>
      <c r="F1428" s="122" t="s">
        <v>862</v>
      </c>
      <c r="G1428" s="122" t="s">
        <v>785</v>
      </c>
      <c r="H1428" s="122" t="s">
        <v>777</v>
      </c>
      <c r="I1428" s="312">
        <v>2024</v>
      </c>
      <c r="J1428" s="122" t="s">
        <v>709</v>
      </c>
      <c r="K1428" s="283">
        <v>2080</v>
      </c>
      <c r="L1428" s="318">
        <v>-34.272804000000001</v>
      </c>
      <c r="M1428" s="318">
        <v>150.71418800000001</v>
      </c>
      <c r="O1428">
        <f>INDEX('MEC - traffic congestion'!$M$145:$M$249,MATCH($D1428,'MEC - traffic congestion'!$C$145:$C$249,0))</f>
        <v>1</v>
      </c>
      <c r="P1428" t="str">
        <f t="shared" si="59"/>
        <v>2024AM PEAK</v>
      </c>
      <c r="Q1428">
        <f t="shared" si="60"/>
        <v>1</v>
      </c>
      <c r="R1428" s="195" t="str">
        <f t="shared" si="61"/>
        <v>2024LIGHT VEHICLES</v>
      </c>
    </row>
    <row r="1429" spans="3:18" x14ac:dyDescent="0.25">
      <c r="C1429" s="294" t="s">
        <v>861</v>
      </c>
      <c r="D1429" s="317">
        <v>6179</v>
      </c>
      <c r="E1429" s="122" t="s">
        <v>859</v>
      </c>
      <c r="F1429" s="122" t="s">
        <v>862</v>
      </c>
      <c r="G1429" s="122" t="s">
        <v>786</v>
      </c>
      <c r="H1429" s="122" t="s">
        <v>777</v>
      </c>
      <c r="I1429" s="312">
        <v>2024</v>
      </c>
      <c r="J1429" s="122" t="s">
        <v>709</v>
      </c>
      <c r="K1429" s="283">
        <v>1886</v>
      </c>
      <c r="L1429" s="318">
        <v>-34.272804000000001</v>
      </c>
      <c r="M1429" s="318">
        <v>150.71418800000001</v>
      </c>
      <c r="O1429">
        <f>INDEX('MEC - traffic congestion'!$M$145:$M$249,MATCH($D1429,'MEC - traffic congestion'!$C$145:$C$249,0))</f>
        <v>1</v>
      </c>
      <c r="P1429" t="str">
        <f t="shared" ref="P1429:P1492" si="62">IF($O1429=1,$I1429&amp;$J1429,"")</f>
        <v>2024AM PEAK</v>
      </c>
      <c r="Q1429">
        <f t="shared" ref="Q1429:Q1492" si="63">IF(AND($M1429&gt;150.246,AND($L1429&gt;-34.397,$L1429&lt;-32.662)),1,0)</f>
        <v>1</v>
      </c>
      <c r="R1429" s="195" t="str">
        <f t="shared" ref="R1429:R1492" si="64">IF($O1429=1,$I1429&amp;$H1429,"")</f>
        <v>2024LIGHT VEHICLES</v>
      </c>
    </row>
    <row r="1430" spans="3:18" x14ac:dyDescent="0.25">
      <c r="C1430" s="294" t="s">
        <v>861</v>
      </c>
      <c r="D1430" s="317">
        <v>6179</v>
      </c>
      <c r="E1430" s="122" t="s">
        <v>859</v>
      </c>
      <c r="F1430" s="122" t="s">
        <v>862</v>
      </c>
      <c r="G1430" s="122" t="s">
        <v>785</v>
      </c>
      <c r="H1430" s="122" t="s">
        <v>777</v>
      </c>
      <c r="I1430" s="312">
        <v>2024</v>
      </c>
      <c r="J1430" s="122" t="s">
        <v>710</v>
      </c>
      <c r="K1430" s="283">
        <v>3474</v>
      </c>
      <c r="L1430" s="318">
        <v>-34.272804000000001</v>
      </c>
      <c r="M1430" s="318">
        <v>150.71418800000001</v>
      </c>
      <c r="O1430">
        <f>INDEX('MEC - traffic congestion'!$M$145:$M$249,MATCH($D1430,'MEC - traffic congestion'!$C$145:$C$249,0))</f>
        <v>1</v>
      </c>
      <c r="P1430" t="str">
        <f t="shared" si="62"/>
        <v>2024OFF PEAK</v>
      </c>
      <c r="Q1430">
        <f t="shared" si="63"/>
        <v>1</v>
      </c>
      <c r="R1430" s="195" t="str">
        <f t="shared" si="64"/>
        <v>2024LIGHT VEHICLES</v>
      </c>
    </row>
    <row r="1431" spans="3:18" x14ac:dyDescent="0.25">
      <c r="C1431" s="294" t="s">
        <v>861</v>
      </c>
      <c r="D1431" s="317">
        <v>6179</v>
      </c>
      <c r="E1431" s="122" t="s">
        <v>859</v>
      </c>
      <c r="F1431" s="122" t="s">
        <v>862</v>
      </c>
      <c r="G1431" s="122" t="s">
        <v>786</v>
      </c>
      <c r="H1431" s="122" t="s">
        <v>777</v>
      </c>
      <c r="I1431" s="312">
        <v>2024</v>
      </c>
      <c r="J1431" s="122" t="s">
        <v>710</v>
      </c>
      <c r="K1431" s="283">
        <v>3564</v>
      </c>
      <c r="L1431" s="318">
        <v>-34.272804000000001</v>
      </c>
      <c r="M1431" s="318">
        <v>150.71418800000001</v>
      </c>
      <c r="O1431">
        <f>INDEX('MEC - traffic congestion'!$M$145:$M$249,MATCH($D1431,'MEC - traffic congestion'!$C$145:$C$249,0))</f>
        <v>1</v>
      </c>
      <c r="P1431" t="str">
        <f t="shared" si="62"/>
        <v>2024OFF PEAK</v>
      </c>
      <c r="Q1431">
        <f t="shared" si="63"/>
        <v>1</v>
      </c>
      <c r="R1431" s="195" t="str">
        <f t="shared" si="64"/>
        <v>2024LIGHT VEHICLES</v>
      </c>
    </row>
    <row r="1432" spans="3:18" x14ac:dyDescent="0.25">
      <c r="C1432" s="294" t="s">
        <v>861</v>
      </c>
      <c r="D1432" s="317">
        <v>6179</v>
      </c>
      <c r="E1432" s="122" t="s">
        <v>859</v>
      </c>
      <c r="F1432" s="122" t="s">
        <v>862</v>
      </c>
      <c r="G1432" s="122" t="s">
        <v>785</v>
      </c>
      <c r="H1432" s="122" t="s">
        <v>777</v>
      </c>
      <c r="I1432" s="312">
        <v>2024</v>
      </c>
      <c r="J1432" s="122" t="s">
        <v>711</v>
      </c>
      <c r="K1432" s="283">
        <v>2544</v>
      </c>
      <c r="L1432" s="318">
        <v>-34.272804000000001</v>
      </c>
      <c r="M1432" s="318">
        <v>150.71418800000001</v>
      </c>
      <c r="O1432">
        <f>INDEX('MEC - traffic congestion'!$M$145:$M$249,MATCH($D1432,'MEC - traffic congestion'!$C$145:$C$249,0))</f>
        <v>1</v>
      </c>
      <c r="P1432" t="str">
        <f t="shared" si="62"/>
        <v>2024PM PEAK</v>
      </c>
      <c r="Q1432">
        <f t="shared" si="63"/>
        <v>1</v>
      </c>
      <c r="R1432" s="195" t="str">
        <f t="shared" si="64"/>
        <v>2024LIGHT VEHICLES</v>
      </c>
    </row>
    <row r="1433" spans="3:18" x14ac:dyDescent="0.25">
      <c r="C1433" s="294" t="s">
        <v>861</v>
      </c>
      <c r="D1433" s="317">
        <v>6179</v>
      </c>
      <c r="E1433" s="122" t="s">
        <v>859</v>
      </c>
      <c r="F1433" s="122" t="s">
        <v>862</v>
      </c>
      <c r="G1433" s="122" t="s">
        <v>786</v>
      </c>
      <c r="H1433" s="122" t="s">
        <v>777</v>
      </c>
      <c r="I1433" s="312">
        <v>2024</v>
      </c>
      <c r="J1433" s="122" t="s">
        <v>711</v>
      </c>
      <c r="K1433" s="283">
        <v>2310</v>
      </c>
      <c r="L1433" s="318">
        <v>-34.272804000000001</v>
      </c>
      <c r="M1433" s="318">
        <v>150.71418800000001</v>
      </c>
      <c r="O1433">
        <f>INDEX('MEC - traffic congestion'!$M$145:$M$249,MATCH($D1433,'MEC - traffic congestion'!$C$145:$C$249,0))</f>
        <v>1</v>
      </c>
      <c r="P1433" t="str">
        <f t="shared" si="62"/>
        <v>2024PM PEAK</v>
      </c>
      <c r="Q1433">
        <f t="shared" si="63"/>
        <v>1</v>
      </c>
      <c r="R1433" s="195" t="str">
        <f t="shared" si="64"/>
        <v>2024LIGHT VEHICLES</v>
      </c>
    </row>
    <row r="1434" spans="3:18" x14ac:dyDescent="0.25">
      <c r="C1434" s="294" t="s">
        <v>861</v>
      </c>
      <c r="D1434" s="317">
        <v>6179</v>
      </c>
      <c r="E1434" s="122" t="s">
        <v>859</v>
      </c>
      <c r="F1434" s="122" t="s">
        <v>862</v>
      </c>
      <c r="G1434" s="122" t="s">
        <v>785</v>
      </c>
      <c r="H1434" s="122" t="s">
        <v>777</v>
      </c>
      <c r="I1434" s="312">
        <v>2024</v>
      </c>
      <c r="J1434" s="122" t="s">
        <v>713</v>
      </c>
      <c r="K1434" s="283">
        <v>8811</v>
      </c>
      <c r="L1434" s="318">
        <v>-34.272804000000001</v>
      </c>
      <c r="M1434" s="318">
        <v>150.71418800000001</v>
      </c>
      <c r="O1434">
        <f>INDEX('MEC - traffic congestion'!$M$145:$M$249,MATCH($D1434,'MEC - traffic congestion'!$C$145:$C$249,0))</f>
        <v>1</v>
      </c>
      <c r="P1434" t="str">
        <f t="shared" si="62"/>
        <v>2024WEEKENDS</v>
      </c>
      <c r="Q1434">
        <f t="shared" si="63"/>
        <v>1</v>
      </c>
      <c r="R1434" s="195" t="str">
        <f t="shared" si="64"/>
        <v>2024LIGHT VEHICLES</v>
      </c>
    </row>
    <row r="1435" spans="3:18" x14ac:dyDescent="0.25">
      <c r="C1435" s="294" t="s">
        <v>861</v>
      </c>
      <c r="D1435" s="317">
        <v>6179</v>
      </c>
      <c r="E1435" s="122" t="s">
        <v>859</v>
      </c>
      <c r="F1435" s="122" t="s">
        <v>862</v>
      </c>
      <c r="G1435" s="122" t="s">
        <v>786</v>
      </c>
      <c r="H1435" s="122" t="s">
        <v>777</v>
      </c>
      <c r="I1435" s="312">
        <v>2024</v>
      </c>
      <c r="J1435" s="122" t="s">
        <v>713</v>
      </c>
      <c r="K1435" s="283">
        <v>9093</v>
      </c>
      <c r="L1435" s="318">
        <v>-34.272804000000001</v>
      </c>
      <c r="M1435" s="318">
        <v>150.71418800000001</v>
      </c>
      <c r="O1435">
        <f>INDEX('MEC - traffic congestion'!$M$145:$M$249,MATCH($D1435,'MEC - traffic congestion'!$C$145:$C$249,0))</f>
        <v>1</v>
      </c>
      <c r="P1435" t="str">
        <f t="shared" si="62"/>
        <v>2024WEEKENDS</v>
      </c>
      <c r="Q1435">
        <f t="shared" si="63"/>
        <v>1</v>
      </c>
      <c r="R1435" s="195" t="str">
        <f t="shared" si="64"/>
        <v>2024LIGHT VEHICLES</v>
      </c>
    </row>
    <row r="1436" spans="3:18" x14ac:dyDescent="0.25">
      <c r="C1436" s="294" t="s">
        <v>863</v>
      </c>
      <c r="D1436" s="317">
        <v>62001</v>
      </c>
      <c r="E1436" s="122" t="s">
        <v>864</v>
      </c>
      <c r="F1436" s="122" t="s">
        <v>865</v>
      </c>
      <c r="G1436" s="122" t="s">
        <v>776</v>
      </c>
      <c r="H1436" s="122" t="s">
        <v>777</v>
      </c>
      <c r="I1436" s="312">
        <v>2018</v>
      </c>
      <c r="J1436" s="122" t="s">
        <v>709</v>
      </c>
      <c r="K1436" s="283">
        <v>7152</v>
      </c>
      <c r="L1436" s="318">
        <v>-33.956684000000003</v>
      </c>
      <c r="M1436" s="318">
        <v>150.891098</v>
      </c>
      <c r="O1436">
        <f>INDEX('MEC - traffic congestion'!$M$145:$M$249,MATCH($D1436,'MEC - traffic congestion'!$C$145:$C$249,0))</f>
        <v>0</v>
      </c>
      <c r="P1436" t="str">
        <f t="shared" si="62"/>
        <v/>
      </c>
      <c r="Q1436">
        <f t="shared" si="63"/>
        <v>1</v>
      </c>
      <c r="R1436" s="195" t="str">
        <f t="shared" si="64"/>
        <v/>
      </c>
    </row>
    <row r="1437" spans="3:18" x14ac:dyDescent="0.25">
      <c r="C1437" s="294" t="s">
        <v>863</v>
      </c>
      <c r="D1437" s="317">
        <v>62001</v>
      </c>
      <c r="E1437" s="122" t="s">
        <v>864</v>
      </c>
      <c r="F1437" s="122" t="s">
        <v>865</v>
      </c>
      <c r="G1437" s="122" t="s">
        <v>778</v>
      </c>
      <c r="H1437" s="122" t="s">
        <v>777</v>
      </c>
      <c r="I1437" s="312">
        <v>2018</v>
      </c>
      <c r="J1437" s="122" t="s">
        <v>709</v>
      </c>
      <c r="K1437" s="283">
        <v>5349</v>
      </c>
      <c r="L1437" s="318">
        <v>-33.956684000000003</v>
      </c>
      <c r="M1437" s="318">
        <v>150.891098</v>
      </c>
      <c r="O1437">
        <f>INDEX('MEC - traffic congestion'!$M$145:$M$249,MATCH($D1437,'MEC - traffic congestion'!$C$145:$C$249,0))</f>
        <v>0</v>
      </c>
      <c r="P1437" t="str">
        <f t="shared" si="62"/>
        <v/>
      </c>
      <c r="Q1437">
        <f t="shared" si="63"/>
        <v>1</v>
      </c>
      <c r="R1437" s="195" t="str">
        <f t="shared" si="64"/>
        <v/>
      </c>
    </row>
    <row r="1438" spans="3:18" x14ac:dyDescent="0.25">
      <c r="C1438" s="294" t="s">
        <v>863</v>
      </c>
      <c r="D1438" s="317">
        <v>62001</v>
      </c>
      <c r="E1438" s="122" t="s">
        <v>864</v>
      </c>
      <c r="F1438" s="122" t="s">
        <v>865</v>
      </c>
      <c r="G1438" s="122" t="s">
        <v>776</v>
      </c>
      <c r="H1438" s="122" t="s">
        <v>777</v>
      </c>
      <c r="I1438" s="312">
        <v>2018</v>
      </c>
      <c r="J1438" s="122" t="s">
        <v>710</v>
      </c>
      <c r="K1438" s="283">
        <v>12999</v>
      </c>
      <c r="L1438" s="318">
        <v>-33.956684000000003</v>
      </c>
      <c r="M1438" s="318">
        <v>150.891098</v>
      </c>
      <c r="O1438">
        <f>INDEX('MEC - traffic congestion'!$M$145:$M$249,MATCH($D1438,'MEC - traffic congestion'!$C$145:$C$249,0))</f>
        <v>0</v>
      </c>
      <c r="P1438" t="str">
        <f t="shared" si="62"/>
        <v/>
      </c>
      <c r="Q1438">
        <f t="shared" si="63"/>
        <v>1</v>
      </c>
      <c r="R1438" s="195" t="str">
        <f t="shared" si="64"/>
        <v/>
      </c>
    </row>
    <row r="1439" spans="3:18" x14ac:dyDescent="0.25">
      <c r="C1439" s="294" t="s">
        <v>863</v>
      </c>
      <c r="D1439" s="317">
        <v>62001</v>
      </c>
      <c r="E1439" s="122" t="s">
        <v>864</v>
      </c>
      <c r="F1439" s="122" t="s">
        <v>865</v>
      </c>
      <c r="G1439" s="122" t="s">
        <v>778</v>
      </c>
      <c r="H1439" s="122" t="s">
        <v>777</v>
      </c>
      <c r="I1439" s="312">
        <v>2018</v>
      </c>
      <c r="J1439" s="122" t="s">
        <v>710</v>
      </c>
      <c r="K1439" s="283">
        <v>14785</v>
      </c>
      <c r="L1439" s="318">
        <v>-33.956684000000003</v>
      </c>
      <c r="M1439" s="318">
        <v>150.891098</v>
      </c>
      <c r="O1439">
        <f>INDEX('MEC - traffic congestion'!$M$145:$M$249,MATCH($D1439,'MEC - traffic congestion'!$C$145:$C$249,0))</f>
        <v>0</v>
      </c>
      <c r="P1439" t="str">
        <f t="shared" si="62"/>
        <v/>
      </c>
      <c r="Q1439">
        <f t="shared" si="63"/>
        <v>1</v>
      </c>
      <c r="R1439" s="195" t="str">
        <f t="shared" si="64"/>
        <v/>
      </c>
    </row>
    <row r="1440" spans="3:18" x14ac:dyDescent="0.25">
      <c r="C1440" s="294" t="s">
        <v>863</v>
      </c>
      <c r="D1440" s="317">
        <v>62001</v>
      </c>
      <c r="E1440" s="122" t="s">
        <v>864</v>
      </c>
      <c r="F1440" s="122" t="s">
        <v>865</v>
      </c>
      <c r="G1440" s="122" t="s">
        <v>776</v>
      </c>
      <c r="H1440" s="122" t="s">
        <v>777</v>
      </c>
      <c r="I1440" s="312">
        <v>2018</v>
      </c>
      <c r="J1440" s="122" t="s">
        <v>711</v>
      </c>
      <c r="K1440" s="283">
        <v>6279</v>
      </c>
      <c r="L1440" s="318">
        <v>-33.956684000000003</v>
      </c>
      <c r="M1440" s="318">
        <v>150.891098</v>
      </c>
      <c r="O1440">
        <f>INDEX('MEC - traffic congestion'!$M$145:$M$249,MATCH($D1440,'MEC - traffic congestion'!$C$145:$C$249,0))</f>
        <v>0</v>
      </c>
      <c r="P1440" t="str">
        <f t="shared" si="62"/>
        <v/>
      </c>
      <c r="Q1440">
        <f t="shared" si="63"/>
        <v>1</v>
      </c>
      <c r="R1440" s="195" t="str">
        <f t="shared" si="64"/>
        <v/>
      </c>
    </row>
    <row r="1441" spans="3:18" x14ac:dyDescent="0.25">
      <c r="C1441" s="294" t="s">
        <v>863</v>
      </c>
      <c r="D1441" s="317">
        <v>62001</v>
      </c>
      <c r="E1441" s="122" t="s">
        <v>864</v>
      </c>
      <c r="F1441" s="122" t="s">
        <v>865</v>
      </c>
      <c r="G1441" s="122" t="s">
        <v>778</v>
      </c>
      <c r="H1441" s="122" t="s">
        <v>777</v>
      </c>
      <c r="I1441" s="312">
        <v>2018</v>
      </c>
      <c r="J1441" s="122" t="s">
        <v>711</v>
      </c>
      <c r="K1441" s="283">
        <v>9066</v>
      </c>
      <c r="L1441" s="318">
        <v>-33.956684000000003</v>
      </c>
      <c r="M1441" s="318">
        <v>150.891098</v>
      </c>
      <c r="O1441">
        <f>INDEX('MEC - traffic congestion'!$M$145:$M$249,MATCH($D1441,'MEC - traffic congestion'!$C$145:$C$249,0))</f>
        <v>0</v>
      </c>
      <c r="P1441" t="str">
        <f t="shared" si="62"/>
        <v/>
      </c>
      <c r="Q1441">
        <f t="shared" si="63"/>
        <v>1</v>
      </c>
      <c r="R1441" s="195" t="str">
        <f t="shared" si="64"/>
        <v/>
      </c>
    </row>
    <row r="1442" spans="3:18" x14ac:dyDescent="0.25">
      <c r="C1442" s="294" t="s">
        <v>863</v>
      </c>
      <c r="D1442" s="317">
        <v>62001</v>
      </c>
      <c r="E1442" s="122" t="s">
        <v>864</v>
      </c>
      <c r="F1442" s="122" t="s">
        <v>865</v>
      </c>
      <c r="G1442" s="122" t="s">
        <v>776</v>
      </c>
      <c r="H1442" s="122" t="s">
        <v>777</v>
      </c>
      <c r="I1442" s="312">
        <v>2018</v>
      </c>
      <c r="J1442" s="122" t="s">
        <v>712</v>
      </c>
      <c r="K1442" s="283">
        <v>17949</v>
      </c>
      <c r="L1442" s="318">
        <v>-33.956684000000003</v>
      </c>
      <c r="M1442" s="318">
        <v>150.891098</v>
      </c>
      <c r="O1442">
        <f>INDEX('MEC - traffic congestion'!$M$145:$M$249,MATCH($D1442,'MEC - traffic congestion'!$C$145:$C$249,0))</f>
        <v>0</v>
      </c>
      <c r="P1442" t="str">
        <f t="shared" si="62"/>
        <v/>
      </c>
      <c r="Q1442">
        <f t="shared" si="63"/>
        <v>1</v>
      </c>
      <c r="R1442" s="195" t="str">
        <f t="shared" si="64"/>
        <v/>
      </c>
    </row>
    <row r="1443" spans="3:18" x14ac:dyDescent="0.25">
      <c r="C1443" s="294" t="s">
        <v>863</v>
      </c>
      <c r="D1443" s="317">
        <v>62001</v>
      </c>
      <c r="E1443" s="122" t="s">
        <v>864</v>
      </c>
      <c r="F1443" s="122" t="s">
        <v>865</v>
      </c>
      <c r="G1443" s="122" t="s">
        <v>778</v>
      </c>
      <c r="H1443" s="122" t="s">
        <v>777</v>
      </c>
      <c r="I1443" s="312">
        <v>2018</v>
      </c>
      <c r="J1443" s="122" t="s">
        <v>712</v>
      </c>
      <c r="K1443" s="283">
        <v>20542</v>
      </c>
      <c r="L1443" s="318">
        <v>-33.956684000000003</v>
      </c>
      <c r="M1443" s="318">
        <v>150.891098</v>
      </c>
      <c r="O1443">
        <f>INDEX('MEC - traffic congestion'!$M$145:$M$249,MATCH($D1443,'MEC - traffic congestion'!$C$145:$C$249,0))</f>
        <v>0</v>
      </c>
      <c r="P1443" t="str">
        <f t="shared" si="62"/>
        <v/>
      </c>
      <c r="Q1443">
        <f t="shared" si="63"/>
        <v>1</v>
      </c>
      <c r="R1443" s="195" t="str">
        <f t="shared" si="64"/>
        <v/>
      </c>
    </row>
    <row r="1444" spans="3:18" x14ac:dyDescent="0.25">
      <c r="C1444" s="294" t="s">
        <v>863</v>
      </c>
      <c r="D1444" s="317">
        <v>62001</v>
      </c>
      <c r="E1444" s="122" t="s">
        <v>864</v>
      </c>
      <c r="F1444" s="122" t="s">
        <v>865</v>
      </c>
      <c r="G1444" s="122" t="s">
        <v>776</v>
      </c>
      <c r="H1444" s="122" t="s">
        <v>777</v>
      </c>
      <c r="I1444" s="312">
        <v>2018</v>
      </c>
      <c r="J1444" s="122" t="s">
        <v>713</v>
      </c>
      <c r="K1444" s="283">
        <v>23204</v>
      </c>
      <c r="L1444" s="318">
        <v>-33.956684000000003</v>
      </c>
      <c r="M1444" s="318">
        <v>150.891098</v>
      </c>
      <c r="O1444">
        <f>INDEX('MEC - traffic congestion'!$M$145:$M$249,MATCH($D1444,'MEC - traffic congestion'!$C$145:$C$249,0))</f>
        <v>0</v>
      </c>
      <c r="P1444" t="str">
        <f t="shared" si="62"/>
        <v/>
      </c>
      <c r="Q1444">
        <f t="shared" si="63"/>
        <v>1</v>
      </c>
      <c r="R1444" s="195" t="str">
        <f t="shared" si="64"/>
        <v/>
      </c>
    </row>
    <row r="1445" spans="3:18" x14ac:dyDescent="0.25">
      <c r="C1445" s="294" t="s">
        <v>863</v>
      </c>
      <c r="D1445" s="317">
        <v>62001</v>
      </c>
      <c r="E1445" s="122" t="s">
        <v>864</v>
      </c>
      <c r="F1445" s="122" t="s">
        <v>865</v>
      </c>
      <c r="G1445" s="122" t="s">
        <v>778</v>
      </c>
      <c r="H1445" s="122" t="s">
        <v>777</v>
      </c>
      <c r="I1445" s="312">
        <v>2018</v>
      </c>
      <c r="J1445" s="122" t="s">
        <v>713</v>
      </c>
      <c r="K1445" s="283">
        <v>26184</v>
      </c>
      <c r="L1445" s="318">
        <v>-33.956684000000003</v>
      </c>
      <c r="M1445" s="318">
        <v>150.891098</v>
      </c>
      <c r="O1445">
        <f>INDEX('MEC - traffic congestion'!$M$145:$M$249,MATCH($D1445,'MEC - traffic congestion'!$C$145:$C$249,0))</f>
        <v>0</v>
      </c>
      <c r="P1445" t="str">
        <f t="shared" si="62"/>
        <v/>
      </c>
      <c r="Q1445">
        <f t="shared" si="63"/>
        <v>1</v>
      </c>
      <c r="R1445" s="195" t="str">
        <f t="shared" si="64"/>
        <v/>
      </c>
    </row>
    <row r="1446" spans="3:18" x14ac:dyDescent="0.25">
      <c r="C1446" s="294" t="s">
        <v>863</v>
      </c>
      <c r="D1446" s="317">
        <v>62001</v>
      </c>
      <c r="E1446" s="122" t="s">
        <v>864</v>
      </c>
      <c r="F1446" s="122" t="s">
        <v>865</v>
      </c>
      <c r="G1446" s="122" t="s">
        <v>776</v>
      </c>
      <c r="H1446" s="122" t="s">
        <v>777</v>
      </c>
      <c r="I1446" s="312">
        <v>2019</v>
      </c>
      <c r="J1446" s="122" t="s">
        <v>709</v>
      </c>
      <c r="K1446" s="283">
        <v>7090</v>
      </c>
      <c r="L1446" s="318">
        <v>-33.956684000000003</v>
      </c>
      <c r="M1446" s="318">
        <v>150.891098</v>
      </c>
      <c r="O1446">
        <f>INDEX('MEC - traffic congestion'!$M$145:$M$249,MATCH($D1446,'MEC - traffic congestion'!$C$145:$C$249,0))</f>
        <v>0</v>
      </c>
      <c r="P1446" t="str">
        <f t="shared" si="62"/>
        <v/>
      </c>
      <c r="Q1446">
        <f t="shared" si="63"/>
        <v>1</v>
      </c>
      <c r="R1446" s="195" t="str">
        <f t="shared" si="64"/>
        <v/>
      </c>
    </row>
    <row r="1447" spans="3:18" x14ac:dyDescent="0.25">
      <c r="C1447" s="294" t="s">
        <v>863</v>
      </c>
      <c r="D1447" s="317">
        <v>62001</v>
      </c>
      <c r="E1447" s="122" t="s">
        <v>864</v>
      </c>
      <c r="F1447" s="122" t="s">
        <v>865</v>
      </c>
      <c r="G1447" s="122" t="s">
        <v>778</v>
      </c>
      <c r="H1447" s="122" t="s">
        <v>777</v>
      </c>
      <c r="I1447" s="312">
        <v>2019</v>
      </c>
      <c r="J1447" s="122" t="s">
        <v>709</v>
      </c>
      <c r="K1447" s="283">
        <v>5304</v>
      </c>
      <c r="L1447" s="318">
        <v>-33.956684000000003</v>
      </c>
      <c r="M1447" s="318">
        <v>150.891098</v>
      </c>
      <c r="O1447">
        <f>INDEX('MEC - traffic congestion'!$M$145:$M$249,MATCH($D1447,'MEC - traffic congestion'!$C$145:$C$249,0))</f>
        <v>0</v>
      </c>
      <c r="P1447" t="str">
        <f t="shared" si="62"/>
        <v/>
      </c>
      <c r="Q1447">
        <f t="shared" si="63"/>
        <v>1</v>
      </c>
      <c r="R1447" s="195" t="str">
        <f t="shared" si="64"/>
        <v/>
      </c>
    </row>
    <row r="1448" spans="3:18" x14ac:dyDescent="0.25">
      <c r="C1448" s="294" t="s">
        <v>863</v>
      </c>
      <c r="D1448" s="317">
        <v>62001</v>
      </c>
      <c r="E1448" s="122" t="s">
        <v>864</v>
      </c>
      <c r="F1448" s="122" t="s">
        <v>865</v>
      </c>
      <c r="G1448" s="122" t="s">
        <v>776</v>
      </c>
      <c r="H1448" s="122" t="s">
        <v>777</v>
      </c>
      <c r="I1448" s="312">
        <v>2019</v>
      </c>
      <c r="J1448" s="122" t="s">
        <v>710</v>
      </c>
      <c r="K1448" s="283">
        <v>12952</v>
      </c>
      <c r="L1448" s="318">
        <v>-33.956684000000003</v>
      </c>
      <c r="M1448" s="318">
        <v>150.891098</v>
      </c>
      <c r="O1448">
        <f>INDEX('MEC - traffic congestion'!$M$145:$M$249,MATCH($D1448,'MEC - traffic congestion'!$C$145:$C$249,0))</f>
        <v>0</v>
      </c>
      <c r="P1448" t="str">
        <f t="shared" si="62"/>
        <v/>
      </c>
      <c r="Q1448">
        <f t="shared" si="63"/>
        <v>1</v>
      </c>
      <c r="R1448" s="195" t="str">
        <f t="shared" si="64"/>
        <v/>
      </c>
    </row>
    <row r="1449" spans="3:18" x14ac:dyDescent="0.25">
      <c r="C1449" s="294" t="s">
        <v>863</v>
      </c>
      <c r="D1449" s="317">
        <v>62001</v>
      </c>
      <c r="E1449" s="122" t="s">
        <v>864</v>
      </c>
      <c r="F1449" s="122" t="s">
        <v>865</v>
      </c>
      <c r="G1449" s="122" t="s">
        <v>778</v>
      </c>
      <c r="H1449" s="122" t="s">
        <v>777</v>
      </c>
      <c r="I1449" s="312">
        <v>2019</v>
      </c>
      <c r="J1449" s="122" t="s">
        <v>710</v>
      </c>
      <c r="K1449" s="283">
        <v>15070</v>
      </c>
      <c r="L1449" s="318">
        <v>-33.956684000000003</v>
      </c>
      <c r="M1449" s="318">
        <v>150.891098</v>
      </c>
      <c r="O1449">
        <f>INDEX('MEC - traffic congestion'!$M$145:$M$249,MATCH($D1449,'MEC - traffic congestion'!$C$145:$C$249,0))</f>
        <v>0</v>
      </c>
      <c r="P1449" t="str">
        <f t="shared" si="62"/>
        <v/>
      </c>
      <c r="Q1449">
        <f t="shared" si="63"/>
        <v>1</v>
      </c>
      <c r="R1449" s="195" t="str">
        <f t="shared" si="64"/>
        <v/>
      </c>
    </row>
    <row r="1450" spans="3:18" x14ac:dyDescent="0.25">
      <c r="C1450" s="294" t="s">
        <v>863</v>
      </c>
      <c r="D1450" s="317">
        <v>62001</v>
      </c>
      <c r="E1450" s="122" t="s">
        <v>864</v>
      </c>
      <c r="F1450" s="122" t="s">
        <v>865</v>
      </c>
      <c r="G1450" s="122" t="s">
        <v>776</v>
      </c>
      <c r="H1450" s="122" t="s">
        <v>777</v>
      </c>
      <c r="I1450" s="312">
        <v>2019</v>
      </c>
      <c r="J1450" s="122" t="s">
        <v>711</v>
      </c>
      <c r="K1450" s="283">
        <v>6119</v>
      </c>
      <c r="L1450" s="318">
        <v>-33.956684000000003</v>
      </c>
      <c r="M1450" s="318">
        <v>150.891098</v>
      </c>
      <c r="O1450">
        <f>INDEX('MEC - traffic congestion'!$M$145:$M$249,MATCH($D1450,'MEC - traffic congestion'!$C$145:$C$249,0))</f>
        <v>0</v>
      </c>
      <c r="P1450" t="str">
        <f t="shared" si="62"/>
        <v/>
      </c>
      <c r="Q1450">
        <f t="shared" si="63"/>
        <v>1</v>
      </c>
      <c r="R1450" s="195" t="str">
        <f t="shared" si="64"/>
        <v/>
      </c>
    </row>
    <row r="1451" spans="3:18" x14ac:dyDescent="0.25">
      <c r="C1451" s="294" t="s">
        <v>863</v>
      </c>
      <c r="D1451" s="317">
        <v>62001</v>
      </c>
      <c r="E1451" s="122" t="s">
        <v>864</v>
      </c>
      <c r="F1451" s="122" t="s">
        <v>865</v>
      </c>
      <c r="G1451" s="122" t="s">
        <v>778</v>
      </c>
      <c r="H1451" s="122" t="s">
        <v>777</v>
      </c>
      <c r="I1451" s="312">
        <v>2019</v>
      </c>
      <c r="J1451" s="122" t="s">
        <v>711</v>
      </c>
      <c r="K1451" s="283">
        <v>8871</v>
      </c>
      <c r="L1451" s="318">
        <v>-33.956684000000003</v>
      </c>
      <c r="M1451" s="318">
        <v>150.891098</v>
      </c>
      <c r="O1451">
        <f>INDEX('MEC - traffic congestion'!$M$145:$M$249,MATCH($D1451,'MEC - traffic congestion'!$C$145:$C$249,0))</f>
        <v>0</v>
      </c>
      <c r="P1451" t="str">
        <f t="shared" si="62"/>
        <v/>
      </c>
      <c r="Q1451">
        <f t="shared" si="63"/>
        <v>1</v>
      </c>
      <c r="R1451" s="195" t="str">
        <f t="shared" si="64"/>
        <v/>
      </c>
    </row>
    <row r="1452" spans="3:18" x14ac:dyDescent="0.25">
      <c r="C1452" s="294" t="s">
        <v>863</v>
      </c>
      <c r="D1452" s="317">
        <v>62001</v>
      </c>
      <c r="E1452" s="122" t="s">
        <v>864</v>
      </c>
      <c r="F1452" s="122" t="s">
        <v>865</v>
      </c>
      <c r="G1452" s="122" t="s">
        <v>776</v>
      </c>
      <c r="H1452" s="122" t="s">
        <v>777</v>
      </c>
      <c r="I1452" s="312">
        <v>2019</v>
      </c>
      <c r="J1452" s="122" t="s">
        <v>712</v>
      </c>
      <c r="K1452" s="283">
        <v>17739</v>
      </c>
      <c r="L1452" s="318">
        <v>-33.956684000000003</v>
      </c>
      <c r="M1452" s="318">
        <v>150.891098</v>
      </c>
      <c r="O1452">
        <f>INDEX('MEC - traffic congestion'!$M$145:$M$249,MATCH($D1452,'MEC - traffic congestion'!$C$145:$C$249,0))</f>
        <v>0</v>
      </c>
      <c r="P1452" t="str">
        <f t="shared" si="62"/>
        <v/>
      </c>
      <c r="Q1452">
        <f t="shared" si="63"/>
        <v>1</v>
      </c>
      <c r="R1452" s="195" t="str">
        <f t="shared" si="64"/>
        <v/>
      </c>
    </row>
    <row r="1453" spans="3:18" x14ac:dyDescent="0.25">
      <c r="C1453" s="294" t="s">
        <v>863</v>
      </c>
      <c r="D1453" s="317">
        <v>62001</v>
      </c>
      <c r="E1453" s="122" t="s">
        <v>864</v>
      </c>
      <c r="F1453" s="122" t="s">
        <v>865</v>
      </c>
      <c r="G1453" s="122" t="s">
        <v>778</v>
      </c>
      <c r="H1453" s="122" t="s">
        <v>777</v>
      </c>
      <c r="I1453" s="312">
        <v>2019</v>
      </c>
      <c r="J1453" s="122" t="s">
        <v>712</v>
      </c>
      <c r="K1453" s="283">
        <v>20923</v>
      </c>
      <c r="L1453" s="318">
        <v>-33.956684000000003</v>
      </c>
      <c r="M1453" s="318">
        <v>150.891098</v>
      </c>
      <c r="O1453">
        <f>INDEX('MEC - traffic congestion'!$M$145:$M$249,MATCH($D1453,'MEC - traffic congestion'!$C$145:$C$249,0))</f>
        <v>0</v>
      </c>
      <c r="P1453" t="str">
        <f t="shared" si="62"/>
        <v/>
      </c>
      <c r="Q1453">
        <f t="shared" si="63"/>
        <v>1</v>
      </c>
      <c r="R1453" s="195" t="str">
        <f t="shared" si="64"/>
        <v/>
      </c>
    </row>
    <row r="1454" spans="3:18" x14ac:dyDescent="0.25">
      <c r="C1454" s="294" t="s">
        <v>863</v>
      </c>
      <c r="D1454" s="317">
        <v>62001</v>
      </c>
      <c r="E1454" s="122" t="s">
        <v>864</v>
      </c>
      <c r="F1454" s="122" t="s">
        <v>865</v>
      </c>
      <c r="G1454" s="122" t="s">
        <v>776</v>
      </c>
      <c r="H1454" s="122" t="s">
        <v>777</v>
      </c>
      <c r="I1454" s="312">
        <v>2019</v>
      </c>
      <c r="J1454" s="122" t="s">
        <v>713</v>
      </c>
      <c r="K1454" s="283">
        <v>22617</v>
      </c>
      <c r="L1454" s="318">
        <v>-33.956684000000003</v>
      </c>
      <c r="M1454" s="318">
        <v>150.891098</v>
      </c>
      <c r="O1454">
        <f>INDEX('MEC - traffic congestion'!$M$145:$M$249,MATCH($D1454,'MEC - traffic congestion'!$C$145:$C$249,0))</f>
        <v>0</v>
      </c>
      <c r="P1454" t="str">
        <f t="shared" si="62"/>
        <v/>
      </c>
      <c r="Q1454">
        <f t="shared" si="63"/>
        <v>1</v>
      </c>
      <c r="R1454" s="195" t="str">
        <f t="shared" si="64"/>
        <v/>
      </c>
    </row>
    <row r="1455" spans="3:18" x14ac:dyDescent="0.25">
      <c r="C1455" s="294" t="s">
        <v>863</v>
      </c>
      <c r="D1455" s="317">
        <v>62001</v>
      </c>
      <c r="E1455" s="122" t="s">
        <v>864</v>
      </c>
      <c r="F1455" s="122" t="s">
        <v>865</v>
      </c>
      <c r="G1455" s="122" t="s">
        <v>778</v>
      </c>
      <c r="H1455" s="122" t="s">
        <v>777</v>
      </c>
      <c r="I1455" s="312">
        <v>2019</v>
      </c>
      <c r="J1455" s="122" t="s">
        <v>713</v>
      </c>
      <c r="K1455" s="283">
        <v>26084</v>
      </c>
      <c r="L1455" s="318">
        <v>-33.956684000000003</v>
      </c>
      <c r="M1455" s="318">
        <v>150.891098</v>
      </c>
      <c r="O1455">
        <f>INDEX('MEC - traffic congestion'!$M$145:$M$249,MATCH($D1455,'MEC - traffic congestion'!$C$145:$C$249,0))</f>
        <v>0</v>
      </c>
      <c r="P1455" t="str">
        <f t="shared" si="62"/>
        <v/>
      </c>
      <c r="Q1455">
        <f t="shared" si="63"/>
        <v>1</v>
      </c>
      <c r="R1455" s="195" t="str">
        <f t="shared" si="64"/>
        <v/>
      </c>
    </row>
    <row r="1456" spans="3:18" x14ac:dyDescent="0.25">
      <c r="C1456" s="294" t="s">
        <v>863</v>
      </c>
      <c r="D1456" s="317">
        <v>62001</v>
      </c>
      <c r="E1456" s="122" t="s">
        <v>864</v>
      </c>
      <c r="F1456" s="122" t="s">
        <v>865</v>
      </c>
      <c r="G1456" s="122" t="s">
        <v>776</v>
      </c>
      <c r="H1456" s="122" t="s">
        <v>777</v>
      </c>
      <c r="I1456" s="312">
        <v>2020</v>
      </c>
      <c r="J1456" s="122" t="s">
        <v>709</v>
      </c>
      <c r="K1456" s="283">
        <v>6225</v>
      </c>
      <c r="L1456" s="318">
        <v>-33.956684000000003</v>
      </c>
      <c r="M1456" s="318">
        <v>150.891098</v>
      </c>
      <c r="O1456">
        <f>INDEX('MEC - traffic congestion'!$M$145:$M$249,MATCH($D1456,'MEC - traffic congestion'!$C$145:$C$249,0))</f>
        <v>0</v>
      </c>
      <c r="P1456" t="str">
        <f t="shared" si="62"/>
        <v/>
      </c>
      <c r="Q1456">
        <f t="shared" si="63"/>
        <v>1</v>
      </c>
      <c r="R1456" s="195" t="str">
        <f t="shared" si="64"/>
        <v/>
      </c>
    </row>
    <row r="1457" spans="3:18" x14ac:dyDescent="0.25">
      <c r="C1457" s="294" t="s">
        <v>863</v>
      </c>
      <c r="D1457" s="317">
        <v>62001</v>
      </c>
      <c r="E1457" s="122" t="s">
        <v>864</v>
      </c>
      <c r="F1457" s="122" t="s">
        <v>865</v>
      </c>
      <c r="G1457" s="122" t="s">
        <v>778</v>
      </c>
      <c r="H1457" s="122" t="s">
        <v>777</v>
      </c>
      <c r="I1457" s="312">
        <v>2020</v>
      </c>
      <c r="J1457" s="122" t="s">
        <v>709</v>
      </c>
      <c r="K1457" s="283">
        <v>5051</v>
      </c>
      <c r="L1457" s="318">
        <v>-33.956684000000003</v>
      </c>
      <c r="M1457" s="318">
        <v>150.891098</v>
      </c>
      <c r="O1457">
        <f>INDEX('MEC - traffic congestion'!$M$145:$M$249,MATCH($D1457,'MEC - traffic congestion'!$C$145:$C$249,0))</f>
        <v>0</v>
      </c>
      <c r="P1457" t="str">
        <f t="shared" si="62"/>
        <v/>
      </c>
      <c r="Q1457">
        <f t="shared" si="63"/>
        <v>1</v>
      </c>
      <c r="R1457" s="195" t="str">
        <f t="shared" si="64"/>
        <v/>
      </c>
    </row>
    <row r="1458" spans="3:18" x14ac:dyDescent="0.25">
      <c r="C1458" s="294" t="s">
        <v>863</v>
      </c>
      <c r="D1458" s="317">
        <v>62001</v>
      </c>
      <c r="E1458" s="122" t="s">
        <v>864</v>
      </c>
      <c r="F1458" s="122" t="s">
        <v>865</v>
      </c>
      <c r="G1458" s="122" t="s">
        <v>776</v>
      </c>
      <c r="H1458" s="122" t="s">
        <v>777</v>
      </c>
      <c r="I1458" s="312">
        <v>2020</v>
      </c>
      <c r="J1458" s="122" t="s">
        <v>710</v>
      </c>
      <c r="K1458" s="283">
        <v>11989</v>
      </c>
      <c r="L1458" s="318">
        <v>-33.956684000000003</v>
      </c>
      <c r="M1458" s="318">
        <v>150.891098</v>
      </c>
      <c r="O1458">
        <f>INDEX('MEC - traffic congestion'!$M$145:$M$249,MATCH($D1458,'MEC - traffic congestion'!$C$145:$C$249,0))</f>
        <v>0</v>
      </c>
      <c r="P1458" t="str">
        <f t="shared" si="62"/>
        <v/>
      </c>
      <c r="Q1458">
        <f t="shared" si="63"/>
        <v>1</v>
      </c>
      <c r="R1458" s="195" t="str">
        <f t="shared" si="64"/>
        <v/>
      </c>
    </row>
    <row r="1459" spans="3:18" x14ac:dyDescent="0.25">
      <c r="C1459" s="294" t="s">
        <v>863</v>
      </c>
      <c r="D1459" s="317">
        <v>62001</v>
      </c>
      <c r="E1459" s="122" t="s">
        <v>864</v>
      </c>
      <c r="F1459" s="122" t="s">
        <v>865</v>
      </c>
      <c r="G1459" s="122" t="s">
        <v>778</v>
      </c>
      <c r="H1459" s="122" t="s">
        <v>777</v>
      </c>
      <c r="I1459" s="312">
        <v>2020</v>
      </c>
      <c r="J1459" s="122" t="s">
        <v>710</v>
      </c>
      <c r="K1459" s="283">
        <v>14010</v>
      </c>
      <c r="L1459" s="318">
        <v>-33.956684000000003</v>
      </c>
      <c r="M1459" s="318">
        <v>150.891098</v>
      </c>
      <c r="O1459">
        <f>INDEX('MEC - traffic congestion'!$M$145:$M$249,MATCH($D1459,'MEC - traffic congestion'!$C$145:$C$249,0))</f>
        <v>0</v>
      </c>
      <c r="P1459" t="str">
        <f t="shared" si="62"/>
        <v/>
      </c>
      <c r="Q1459">
        <f t="shared" si="63"/>
        <v>1</v>
      </c>
      <c r="R1459" s="195" t="str">
        <f t="shared" si="64"/>
        <v/>
      </c>
    </row>
    <row r="1460" spans="3:18" x14ac:dyDescent="0.25">
      <c r="C1460" s="294" t="s">
        <v>863</v>
      </c>
      <c r="D1460" s="317">
        <v>62001</v>
      </c>
      <c r="E1460" s="122" t="s">
        <v>864</v>
      </c>
      <c r="F1460" s="122" t="s">
        <v>865</v>
      </c>
      <c r="G1460" s="122" t="s">
        <v>776</v>
      </c>
      <c r="H1460" s="122" t="s">
        <v>777</v>
      </c>
      <c r="I1460" s="312">
        <v>2020</v>
      </c>
      <c r="J1460" s="122" t="s">
        <v>711</v>
      </c>
      <c r="K1460" s="283">
        <v>5672</v>
      </c>
      <c r="L1460" s="318">
        <v>-33.956684000000003</v>
      </c>
      <c r="M1460" s="318">
        <v>150.891098</v>
      </c>
      <c r="O1460">
        <f>INDEX('MEC - traffic congestion'!$M$145:$M$249,MATCH($D1460,'MEC - traffic congestion'!$C$145:$C$249,0))</f>
        <v>0</v>
      </c>
      <c r="P1460" t="str">
        <f t="shared" si="62"/>
        <v/>
      </c>
      <c r="Q1460">
        <f t="shared" si="63"/>
        <v>1</v>
      </c>
      <c r="R1460" s="195" t="str">
        <f t="shared" si="64"/>
        <v/>
      </c>
    </row>
    <row r="1461" spans="3:18" x14ac:dyDescent="0.25">
      <c r="C1461" s="294" t="s">
        <v>863</v>
      </c>
      <c r="D1461" s="317">
        <v>62001</v>
      </c>
      <c r="E1461" s="122" t="s">
        <v>864</v>
      </c>
      <c r="F1461" s="122" t="s">
        <v>865</v>
      </c>
      <c r="G1461" s="122" t="s">
        <v>778</v>
      </c>
      <c r="H1461" s="122" t="s">
        <v>777</v>
      </c>
      <c r="I1461" s="312">
        <v>2020</v>
      </c>
      <c r="J1461" s="122" t="s">
        <v>711</v>
      </c>
      <c r="K1461" s="283">
        <v>8439</v>
      </c>
      <c r="L1461" s="318">
        <v>-33.956684000000003</v>
      </c>
      <c r="M1461" s="318">
        <v>150.891098</v>
      </c>
      <c r="O1461">
        <f>INDEX('MEC - traffic congestion'!$M$145:$M$249,MATCH($D1461,'MEC - traffic congestion'!$C$145:$C$249,0))</f>
        <v>0</v>
      </c>
      <c r="P1461" t="str">
        <f t="shared" si="62"/>
        <v/>
      </c>
      <c r="Q1461">
        <f t="shared" si="63"/>
        <v>1</v>
      </c>
      <c r="R1461" s="195" t="str">
        <f t="shared" si="64"/>
        <v/>
      </c>
    </row>
    <row r="1462" spans="3:18" x14ac:dyDescent="0.25">
      <c r="C1462" s="294" t="s">
        <v>863</v>
      </c>
      <c r="D1462" s="317">
        <v>62001</v>
      </c>
      <c r="E1462" s="122" t="s">
        <v>864</v>
      </c>
      <c r="F1462" s="122" t="s">
        <v>865</v>
      </c>
      <c r="G1462" s="122" t="s">
        <v>776</v>
      </c>
      <c r="H1462" s="122" t="s">
        <v>777</v>
      </c>
      <c r="I1462" s="312">
        <v>2020</v>
      </c>
      <c r="J1462" s="122" t="s">
        <v>712</v>
      </c>
      <c r="K1462" s="283">
        <v>13137</v>
      </c>
      <c r="L1462" s="318">
        <v>-33.956684000000003</v>
      </c>
      <c r="M1462" s="318">
        <v>150.891098</v>
      </c>
      <c r="O1462">
        <f>INDEX('MEC - traffic congestion'!$M$145:$M$249,MATCH($D1462,'MEC - traffic congestion'!$C$145:$C$249,0))</f>
        <v>0</v>
      </c>
      <c r="P1462" t="str">
        <f t="shared" si="62"/>
        <v/>
      </c>
      <c r="Q1462">
        <f t="shared" si="63"/>
        <v>1</v>
      </c>
      <c r="R1462" s="195" t="str">
        <f t="shared" si="64"/>
        <v/>
      </c>
    </row>
    <row r="1463" spans="3:18" x14ac:dyDescent="0.25">
      <c r="C1463" s="294" t="s">
        <v>863</v>
      </c>
      <c r="D1463" s="317">
        <v>62001</v>
      </c>
      <c r="E1463" s="122" t="s">
        <v>864</v>
      </c>
      <c r="F1463" s="122" t="s">
        <v>865</v>
      </c>
      <c r="G1463" s="122" t="s">
        <v>778</v>
      </c>
      <c r="H1463" s="122" t="s">
        <v>777</v>
      </c>
      <c r="I1463" s="312">
        <v>2020</v>
      </c>
      <c r="J1463" s="122" t="s">
        <v>712</v>
      </c>
      <c r="K1463" s="283">
        <v>14881</v>
      </c>
      <c r="L1463" s="318">
        <v>-33.956684000000003</v>
      </c>
      <c r="M1463" s="318">
        <v>150.891098</v>
      </c>
      <c r="O1463">
        <f>INDEX('MEC - traffic congestion'!$M$145:$M$249,MATCH($D1463,'MEC - traffic congestion'!$C$145:$C$249,0))</f>
        <v>0</v>
      </c>
      <c r="P1463" t="str">
        <f t="shared" si="62"/>
        <v/>
      </c>
      <c r="Q1463">
        <f t="shared" si="63"/>
        <v>1</v>
      </c>
      <c r="R1463" s="195" t="str">
        <f t="shared" si="64"/>
        <v/>
      </c>
    </row>
    <row r="1464" spans="3:18" x14ac:dyDescent="0.25">
      <c r="C1464" s="294" t="s">
        <v>863</v>
      </c>
      <c r="D1464" s="317">
        <v>62001</v>
      </c>
      <c r="E1464" s="122" t="s">
        <v>864</v>
      </c>
      <c r="F1464" s="122" t="s">
        <v>865</v>
      </c>
      <c r="G1464" s="122" t="s">
        <v>776</v>
      </c>
      <c r="H1464" s="122" t="s">
        <v>777</v>
      </c>
      <c r="I1464" s="312">
        <v>2020</v>
      </c>
      <c r="J1464" s="122" t="s">
        <v>713</v>
      </c>
      <c r="K1464" s="283">
        <v>20300</v>
      </c>
      <c r="L1464" s="318">
        <v>-33.956684000000003</v>
      </c>
      <c r="M1464" s="318">
        <v>150.891098</v>
      </c>
      <c r="O1464">
        <f>INDEX('MEC - traffic congestion'!$M$145:$M$249,MATCH($D1464,'MEC - traffic congestion'!$C$145:$C$249,0))</f>
        <v>0</v>
      </c>
      <c r="P1464" t="str">
        <f t="shared" si="62"/>
        <v/>
      </c>
      <c r="Q1464">
        <f t="shared" si="63"/>
        <v>1</v>
      </c>
      <c r="R1464" s="195" t="str">
        <f t="shared" si="64"/>
        <v/>
      </c>
    </row>
    <row r="1465" spans="3:18" x14ac:dyDescent="0.25">
      <c r="C1465" s="294" t="s">
        <v>863</v>
      </c>
      <c r="D1465" s="317">
        <v>62001</v>
      </c>
      <c r="E1465" s="122" t="s">
        <v>864</v>
      </c>
      <c r="F1465" s="122" t="s">
        <v>865</v>
      </c>
      <c r="G1465" s="122" t="s">
        <v>778</v>
      </c>
      <c r="H1465" s="122" t="s">
        <v>777</v>
      </c>
      <c r="I1465" s="312">
        <v>2020</v>
      </c>
      <c r="J1465" s="122" t="s">
        <v>713</v>
      </c>
      <c r="K1465" s="283">
        <v>23463</v>
      </c>
      <c r="L1465" s="318">
        <v>-33.956684000000003</v>
      </c>
      <c r="M1465" s="318">
        <v>150.891098</v>
      </c>
      <c r="O1465">
        <f>INDEX('MEC - traffic congestion'!$M$145:$M$249,MATCH($D1465,'MEC - traffic congestion'!$C$145:$C$249,0))</f>
        <v>0</v>
      </c>
      <c r="P1465" t="str">
        <f t="shared" si="62"/>
        <v/>
      </c>
      <c r="Q1465">
        <f t="shared" si="63"/>
        <v>1</v>
      </c>
      <c r="R1465" s="195" t="str">
        <f t="shared" si="64"/>
        <v/>
      </c>
    </row>
    <row r="1466" spans="3:18" x14ac:dyDescent="0.25">
      <c r="C1466" s="294" t="s">
        <v>866</v>
      </c>
      <c r="D1466" s="317">
        <v>66249</v>
      </c>
      <c r="E1466" s="122" t="s">
        <v>867</v>
      </c>
      <c r="F1466" s="122" t="s">
        <v>868</v>
      </c>
      <c r="G1466" s="122" t="s">
        <v>785</v>
      </c>
      <c r="H1466" s="122" t="s">
        <v>777</v>
      </c>
      <c r="I1466" s="312">
        <v>2018</v>
      </c>
      <c r="J1466" s="122" t="s">
        <v>709</v>
      </c>
      <c r="K1466" s="283">
        <v>2696</v>
      </c>
      <c r="L1466" s="318">
        <v>-33.869323999999999</v>
      </c>
      <c r="M1466" s="318">
        <v>150.96348599999999</v>
      </c>
      <c r="O1466">
        <f>INDEX('MEC - traffic congestion'!$M$145:$M$249,MATCH($D1466,'MEC - traffic congestion'!$C$145:$C$249,0))</f>
        <v>1</v>
      </c>
      <c r="P1466" t="str">
        <f t="shared" si="62"/>
        <v>2018AM PEAK</v>
      </c>
      <c r="Q1466">
        <f t="shared" si="63"/>
        <v>1</v>
      </c>
      <c r="R1466" s="195" t="str">
        <f t="shared" si="64"/>
        <v>2018LIGHT VEHICLES</v>
      </c>
    </row>
    <row r="1467" spans="3:18" x14ac:dyDescent="0.25">
      <c r="C1467" s="294" t="s">
        <v>866</v>
      </c>
      <c r="D1467" s="317">
        <v>66249</v>
      </c>
      <c r="E1467" s="122" t="s">
        <v>867</v>
      </c>
      <c r="F1467" s="122" t="s">
        <v>868</v>
      </c>
      <c r="G1467" s="122" t="s">
        <v>786</v>
      </c>
      <c r="H1467" s="122" t="s">
        <v>777</v>
      </c>
      <c r="I1467" s="312">
        <v>2018</v>
      </c>
      <c r="J1467" s="122" t="s">
        <v>709</v>
      </c>
      <c r="K1467" s="283">
        <v>1477</v>
      </c>
      <c r="L1467" s="318">
        <v>-33.869323999999999</v>
      </c>
      <c r="M1467" s="318">
        <v>150.96348599999999</v>
      </c>
      <c r="O1467">
        <f>INDEX('MEC - traffic congestion'!$M$145:$M$249,MATCH($D1467,'MEC - traffic congestion'!$C$145:$C$249,0))</f>
        <v>1</v>
      </c>
      <c r="P1467" t="str">
        <f t="shared" si="62"/>
        <v>2018AM PEAK</v>
      </c>
      <c r="Q1467">
        <f t="shared" si="63"/>
        <v>1</v>
      </c>
      <c r="R1467" s="195" t="str">
        <f t="shared" si="64"/>
        <v>2018LIGHT VEHICLES</v>
      </c>
    </row>
    <row r="1468" spans="3:18" x14ac:dyDescent="0.25">
      <c r="C1468" s="294" t="s">
        <v>866</v>
      </c>
      <c r="D1468" s="317">
        <v>66249</v>
      </c>
      <c r="E1468" s="122" t="s">
        <v>867</v>
      </c>
      <c r="F1468" s="122" t="s">
        <v>868</v>
      </c>
      <c r="G1468" s="122" t="s">
        <v>785</v>
      </c>
      <c r="H1468" s="122" t="s">
        <v>777</v>
      </c>
      <c r="I1468" s="312">
        <v>2018</v>
      </c>
      <c r="J1468" s="122" t="s">
        <v>710</v>
      </c>
      <c r="K1468" s="283">
        <v>4662</v>
      </c>
      <c r="L1468" s="318">
        <v>-33.869323999999999</v>
      </c>
      <c r="M1468" s="318">
        <v>150.96348599999999</v>
      </c>
      <c r="O1468">
        <f>INDEX('MEC - traffic congestion'!$M$145:$M$249,MATCH($D1468,'MEC - traffic congestion'!$C$145:$C$249,0))</f>
        <v>1</v>
      </c>
      <c r="P1468" t="str">
        <f t="shared" si="62"/>
        <v>2018OFF PEAK</v>
      </c>
      <c r="Q1468">
        <f t="shared" si="63"/>
        <v>1</v>
      </c>
      <c r="R1468" s="195" t="str">
        <f t="shared" si="64"/>
        <v>2018LIGHT VEHICLES</v>
      </c>
    </row>
    <row r="1469" spans="3:18" x14ac:dyDescent="0.25">
      <c r="C1469" s="294" t="s">
        <v>866</v>
      </c>
      <c r="D1469" s="317">
        <v>66249</v>
      </c>
      <c r="E1469" s="122" t="s">
        <v>867</v>
      </c>
      <c r="F1469" s="122" t="s">
        <v>868</v>
      </c>
      <c r="G1469" s="122" t="s">
        <v>786</v>
      </c>
      <c r="H1469" s="122" t="s">
        <v>777</v>
      </c>
      <c r="I1469" s="312">
        <v>2018</v>
      </c>
      <c r="J1469" s="122" t="s">
        <v>710</v>
      </c>
      <c r="K1469" s="283">
        <v>4841</v>
      </c>
      <c r="L1469" s="318">
        <v>-33.869323999999999</v>
      </c>
      <c r="M1469" s="318">
        <v>150.96348599999999</v>
      </c>
      <c r="O1469">
        <f>INDEX('MEC - traffic congestion'!$M$145:$M$249,MATCH($D1469,'MEC - traffic congestion'!$C$145:$C$249,0))</f>
        <v>1</v>
      </c>
      <c r="P1469" t="str">
        <f t="shared" si="62"/>
        <v>2018OFF PEAK</v>
      </c>
      <c r="Q1469">
        <f t="shared" si="63"/>
        <v>1</v>
      </c>
      <c r="R1469" s="195" t="str">
        <f t="shared" si="64"/>
        <v>2018LIGHT VEHICLES</v>
      </c>
    </row>
    <row r="1470" spans="3:18" x14ac:dyDescent="0.25">
      <c r="C1470" s="294" t="s">
        <v>866</v>
      </c>
      <c r="D1470" s="317">
        <v>66249</v>
      </c>
      <c r="E1470" s="122" t="s">
        <v>867</v>
      </c>
      <c r="F1470" s="122" t="s">
        <v>868</v>
      </c>
      <c r="G1470" s="122" t="s">
        <v>785</v>
      </c>
      <c r="H1470" s="122" t="s">
        <v>777</v>
      </c>
      <c r="I1470" s="312">
        <v>2018</v>
      </c>
      <c r="J1470" s="122" t="s">
        <v>711</v>
      </c>
      <c r="K1470" s="283">
        <v>2193</v>
      </c>
      <c r="L1470" s="318">
        <v>-33.869323999999999</v>
      </c>
      <c r="M1470" s="318">
        <v>150.96348599999999</v>
      </c>
      <c r="O1470">
        <f>INDEX('MEC - traffic congestion'!$M$145:$M$249,MATCH($D1470,'MEC - traffic congestion'!$C$145:$C$249,0))</f>
        <v>1</v>
      </c>
      <c r="P1470" t="str">
        <f t="shared" si="62"/>
        <v>2018PM PEAK</v>
      </c>
      <c r="Q1470">
        <f t="shared" si="63"/>
        <v>1</v>
      </c>
      <c r="R1470" s="195" t="str">
        <f t="shared" si="64"/>
        <v>2018LIGHT VEHICLES</v>
      </c>
    </row>
    <row r="1471" spans="3:18" x14ac:dyDescent="0.25">
      <c r="C1471" s="294" t="s">
        <v>866</v>
      </c>
      <c r="D1471" s="317">
        <v>66249</v>
      </c>
      <c r="E1471" s="122" t="s">
        <v>867</v>
      </c>
      <c r="F1471" s="122" t="s">
        <v>868</v>
      </c>
      <c r="G1471" s="122" t="s">
        <v>786</v>
      </c>
      <c r="H1471" s="122" t="s">
        <v>777</v>
      </c>
      <c r="I1471" s="312">
        <v>2018</v>
      </c>
      <c r="J1471" s="122" t="s">
        <v>711</v>
      </c>
      <c r="K1471" s="283">
        <v>3514</v>
      </c>
      <c r="L1471" s="318">
        <v>-33.869323999999999</v>
      </c>
      <c r="M1471" s="318">
        <v>150.96348599999999</v>
      </c>
      <c r="O1471">
        <f>INDEX('MEC - traffic congestion'!$M$145:$M$249,MATCH($D1471,'MEC - traffic congestion'!$C$145:$C$249,0))</f>
        <v>1</v>
      </c>
      <c r="P1471" t="str">
        <f t="shared" si="62"/>
        <v>2018PM PEAK</v>
      </c>
      <c r="Q1471">
        <f t="shared" si="63"/>
        <v>1</v>
      </c>
      <c r="R1471" s="195" t="str">
        <f t="shared" si="64"/>
        <v>2018LIGHT VEHICLES</v>
      </c>
    </row>
    <row r="1472" spans="3:18" x14ac:dyDescent="0.25">
      <c r="C1472" s="294" t="s">
        <v>866</v>
      </c>
      <c r="D1472" s="317">
        <v>66249</v>
      </c>
      <c r="E1472" s="122" t="s">
        <v>867</v>
      </c>
      <c r="F1472" s="122" t="s">
        <v>868</v>
      </c>
      <c r="G1472" s="122" t="s">
        <v>785</v>
      </c>
      <c r="H1472" s="122" t="s">
        <v>777</v>
      </c>
      <c r="I1472" s="312">
        <v>2018</v>
      </c>
      <c r="J1472" s="122" t="s">
        <v>712</v>
      </c>
      <c r="K1472" s="283">
        <v>6307</v>
      </c>
      <c r="L1472" s="318">
        <v>-33.869323999999999</v>
      </c>
      <c r="M1472" s="318">
        <v>150.96348599999999</v>
      </c>
      <c r="O1472">
        <f>INDEX('MEC - traffic congestion'!$M$145:$M$249,MATCH($D1472,'MEC - traffic congestion'!$C$145:$C$249,0))</f>
        <v>1</v>
      </c>
      <c r="P1472" t="str">
        <f t="shared" si="62"/>
        <v>2018PUBLIC HOLIDAYS</v>
      </c>
      <c r="Q1472">
        <f t="shared" si="63"/>
        <v>1</v>
      </c>
      <c r="R1472" s="195" t="str">
        <f t="shared" si="64"/>
        <v>2018LIGHT VEHICLES</v>
      </c>
    </row>
    <row r="1473" spans="3:18" x14ac:dyDescent="0.25">
      <c r="C1473" s="294" t="s">
        <v>866</v>
      </c>
      <c r="D1473" s="317">
        <v>66249</v>
      </c>
      <c r="E1473" s="122" t="s">
        <v>867</v>
      </c>
      <c r="F1473" s="122" t="s">
        <v>868</v>
      </c>
      <c r="G1473" s="122" t="s">
        <v>786</v>
      </c>
      <c r="H1473" s="122" t="s">
        <v>777</v>
      </c>
      <c r="I1473" s="312">
        <v>2018</v>
      </c>
      <c r="J1473" s="122" t="s">
        <v>712</v>
      </c>
      <c r="K1473" s="283">
        <v>6498</v>
      </c>
      <c r="L1473" s="318">
        <v>-33.869323999999999</v>
      </c>
      <c r="M1473" s="318">
        <v>150.96348599999999</v>
      </c>
      <c r="O1473">
        <f>INDEX('MEC - traffic congestion'!$M$145:$M$249,MATCH($D1473,'MEC - traffic congestion'!$C$145:$C$249,0))</f>
        <v>1</v>
      </c>
      <c r="P1473" t="str">
        <f t="shared" si="62"/>
        <v>2018PUBLIC HOLIDAYS</v>
      </c>
      <c r="Q1473">
        <f t="shared" si="63"/>
        <v>1</v>
      </c>
      <c r="R1473" s="195" t="str">
        <f t="shared" si="64"/>
        <v>2018LIGHT VEHICLES</v>
      </c>
    </row>
    <row r="1474" spans="3:18" x14ac:dyDescent="0.25">
      <c r="C1474" s="294" t="s">
        <v>866</v>
      </c>
      <c r="D1474" s="317">
        <v>66249</v>
      </c>
      <c r="E1474" s="122" t="s">
        <v>867</v>
      </c>
      <c r="F1474" s="122" t="s">
        <v>868</v>
      </c>
      <c r="G1474" s="122" t="s">
        <v>785</v>
      </c>
      <c r="H1474" s="122" t="s">
        <v>777</v>
      </c>
      <c r="I1474" s="312">
        <v>2018</v>
      </c>
      <c r="J1474" s="122" t="s">
        <v>713</v>
      </c>
      <c r="K1474" s="283">
        <v>8059</v>
      </c>
      <c r="L1474" s="318">
        <v>-33.869323999999999</v>
      </c>
      <c r="M1474" s="318">
        <v>150.96348599999999</v>
      </c>
      <c r="O1474">
        <f>INDEX('MEC - traffic congestion'!$M$145:$M$249,MATCH($D1474,'MEC - traffic congestion'!$C$145:$C$249,0))</f>
        <v>1</v>
      </c>
      <c r="P1474" t="str">
        <f t="shared" si="62"/>
        <v>2018WEEKENDS</v>
      </c>
      <c r="Q1474">
        <f t="shared" si="63"/>
        <v>1</v>
      </c>
      <c r="R1474" s="195" t="str">
        <f t="shared" si="64"/>
        <v>2018LIGHT VEHICLES</v>
      </c>
    </row>
    <row r="1475" spans="3:18" x14ac:dyDescent="0.25">
      <c r="C1475" s="294" t="s">
        <v>866</v>
      </c>
      <c r="D1475" s="317">
        <v>66249</v>
      </c>
      <c r="E1475" s="122" t="s">
        <v>867</v>
      </c>
      <c r="F1475" s="122" t="s">
        <v>868</v>
      </c>
      <c r="G1475" s="122" t="s">
        <v>786</v>
      </c>
      <c r="H1475" s="122" t="s">
        <v>777</v>
      </c>
      <c r="I1475" s="312">
        <v>2018</v>
      </c>
      <c r="J1475" s="122" t="s">
        <v>713</v>
      </c>
      <c r="K1475" s="283">
        <v>8384</v>
      </c>
      <c r="L1475" s="318">
        <v>-33.869323999999999</v>
      </c>
      <c r="M1475" s="318">
        <v>150.96348599999999</v>
      </c>
      <c r="O1475">
        <f>INDEX('MEC - traffic congestion'!$M$145:$M$249,MATCH($D1475,'MEC - traffic congestion'!$C$145:$C$249,0))</f>
        <v>1</v>
      </c>
      <c r="P1475" t="str">
        <f t="shared" si="62"/>
        <v>2018WEEKENDS</v>
      </c>
      <c r="Q1475">
        <f t="shared" si="63"/>
        <v>1</v>
      </c>
      <c r="R1475" s="195" t="str">
        <f t="shared" si="64"/>
        <v>2018LIGHT VEHICLES</v>
      </c>
    </row>
    <row r="1476" spans="3:18" x14ac:dyDescent="0.25">
      <c r="C1476" s="294" t="s">
        <v>866</v>
      </c>
      <c r="D1476" s="317">
        <v>66249</v>
      </c>
      <c r="E1476" s="122" t="s">
        <v>867</v>
      </c>
      <c r="F1476" s="122" t="s">
        <v>868</v>
      </c>
      <c r="G1476" s="122" t="s">
        <v>785</v>
      </c>
      <c r="H1476" s="122" t="s">
        <v>777</v>
      </c>
      <c r="I1476" s="312">
        <v>2019</v>
      </c>
      <c r="J1476" s="122" t="s">
        <v>709</v>
      </c>
      <c r="K1476" s="283">
        <v>2692</v>
      </c>
      <c r="L1476" s="318">
        <v>-33.869323999999999</v>
      </c>
      <c r="M1476" s="318">
        <v>150.96348599999999</v>
      </c>
      <c r="O1476">
        <f>INDEX('MEC - traffic congestion'!$M$145:$M$249,MATCH($D1476,'MEC - traffic congestion'!$C$145:$C$249,0))</f>
        <v>1</v>
      </c>
      <c r="P1476" t="str">
        <f t="shared" si="62"/>
        <v>2019AM PEAK</v>
      </c>
      <c r="Q1476">
        <f t="shared" si="63"/>
        <v>1</v>
      </c>
      <c r="R1476" s="195" t="str">
        <f t="shared" si="64"/>
        <v>2019LIGHT VEHICLES</v>
      </c>
    </row>
    <row r="1477" spans="3:18" x14ac:dyDescent="0.25">
      <c r="C1477" s="294" t="s">
        <v>866</v>
      </c>
      <c r="D1477" s="317">
        <v>66249</v>
      </c>
      <c r="E1477" s="122" t="s">
        <v>867</v>
      </c>
      <c r="F1477" s="122" t="s">
        <v>868</v>
      </c>
      <c r="G1477" s="122" t="s">
        <v>786</v>
      </c>
      <c r="H1477" s="122" t="s">
        <v>777</v>
      </c>
      <c r="I1477" s="312">
        <v>2019</v>
      </c>
      <c r="J1477" s="122" t="s">
        <v>709</v>
      </c>
      <c r="K1477" s="283">
        <v>1484</v>
      </c>
      <c r="L1477" s="318">
        <v>-33.869323999999999</v>
      </c>
      <c r="M1477" s="318">
        <v>150.96348599999999</v>
      </c>
      <c r="O1477">
        <f>INDEX('MEC - traffic congestion'!$M$145:$M$249,MATCH($D1477,'MEC - traffic congestion'!$C$145:$C$249,0))</f>
        <v>1</v>
      </c>
      <c r="P1477" t="str">
        <f t="shared" si="62"/>
        <v>2019AM PEAK</v>
      </c>
      <c r="Q1477">
        <f t="shared" si="63"/>
        <v>1</v>
      </c>
      <c r="R1477" s="195" t="str">
        <f t="shared" si="64"/>
        <v>2019LIGHT VEHICLES</v>
      </c>
    </row>
    <row r="1478" spans="3:18" x14ac:dyDescent="0.25">
      <c r="C1478" s="294" t="s">
        <v>866</v>
      </c>
      <c r="D1478" s="317">
        <v>66249</v>
      </c>
      <c r="E1478" s="122" t="s">
        <v>867</v>
      </c>
      <c r="F1478" s="122" t="s">
        <v>868</v>
      </c>
      <c r="G1478" s="122" t="s">
        <v>785</v>
      </c>
      <c r="H1478" s="122" t="s">
        <v>777</v>
      </c>
      <c r="I1478" s="312">
        <v>2019</v>
      </c>
      <c r="J1478" s="122" t="s">
        <v>710</v>
      </c>
      <c r="K1478" s="283">
        <v>4767</v>
      </c>
      <c r="L1478" s="318">
        <v>-33.869323999999999</v>
      </c>
      <c r="M1478" s="318">
        <v>150.96348599999999</v>
      </c>
      <c r="O1478">
        <f>INDEX('MEC - traffic congestion'!$M$145:$M$249,MATCH($D1478,'MEC - traffic congestion'!$C$145:$C$249,0))</f>
        <v>1</v>
      </c>
      <c r="P1478" t="str">
        <f t="shared" si="62"/>
        <v>2019OFF PEAK</v>
      </c>
      <c r="Q1478">
        <f t="shared" si="63"/>
        <v>1</v>
      </c>
      <c r="R1478" s="195" t="str">
        <f t="shared" si="64"/>
        <v>2019LIGHT VEHICLES</v>
      </c>
    </row>
    <row r="1479" spans="3:18" x14ac:dyDescent="0.25">
      <c r="C1479" s="294" t="s">
        <v>866</v>
      </c>
      <c r="D1479" s="317">
        <v>66249</v>
      </c>
      <c r="E1479" s="122" t="s">
        <v>867</v>
      </c>
      <c r="F1479" s="122" t="s">
        <v>868</v>
      </c>
      <c r="G1479" s="122" t="s">
        <v>786</v>
      </c>
      <c r="H1479" s="122" t="s">
        <v>777</v>
      </c>
      <c r="I1479" s="312">
        <v>2019</v>
      </c>
      <c r="J1479" s="122" t="s">
        <v>710</v>
      </c>
      <c r="K1479" s="283">
        <v>4886</v>
      </c>
      <c r="L1479" s="318">
        <v>-33.869323999999999</v>
      </c>
      <c r="M1479" s="318">
        <v>150.96348599999999</v>
      </c>
      <c r="O1479">
        <f>INDEX('MEC - traffic congestion'!$M$145:$M$249,MATCH($D1479,'MEC - traffic congestion'!$C$145:$C$249,0))</f>
        <v>1</v>
      </c>
      <c r="P1479" t="str">
        <f t="shared" si="62"/>
        <v>2019OFF PEAK</v>
      </c>
      <c r="Q1479">
        <f t="shared" si="63"/>
        <v>1</v>
      </c>
      <c r="R1479" s="195" t="str">
        <f t="shared" si="64"/>
        <v>2019LIGHT VEHICLES</v>
      </c>
    </row>
    <row r="1480" spans="3:18" x14ac:dyDescent="0.25">
      <c r="C1480" s="294" t="s">
        <v>866</v>
      </c>
      <c r="D1480" s="317">
        <v>66249</v>
      </c>
      <c r="E1480" s="122" t="s">
        <v>867</v>
      </c>
      <c r="F1480" s="122" t="s">
        <v>868</v>
      </c>
      <c r="G1480" s="122" t="s">
        <v>785</v>
      </c>
      <c r="H1480" s="122" t="s">
        <v>777</v>
      </c>
      <c r="I1480" s="312">
        <v>2019</v>
      </c>
      <c r="J1480" s="122" t="s">
        <v>711</v>
      </c>
      <c r="K1480" s="283">
        <v>2208</v>
      </c>
      <c r="L1480" s="318">
        <v>-33.869323999999999</v>
      </c>
      <c r="M1480" s="318">
        <v>150.96348599999999</v>
      </c>
      <c r="O1480">
        <f>INDEX('MEC - traffic congestion'!$M$145:$M$249,MATCH($D1480,'MEC - traffic congestion'!$C$145:$C$249,0))</f>
        <v>1</v>
      </c>
      <c r="P1480" t="str">
        <f t="shared" si="62"/>
        <v>2019PM PEAK</v>
      </c>
      <c r="Q1480">
        <f t="shared" si="63"/>
        <v>1</v>
      </c>
      <c r="R1480" s="195" t="str">
        <f t="shared" si="64"/>
        <v>2019LIGHT VEHICLES</v>
      </c>
    </row>
    <row r="1481" spans="3:18" x14ac:dyDescent="0.25">
      <c r="C1481" s="294" t="s">
        <v>866</v>
      </c>
      <c r="D1481" s="317">
        <v>66249</v>
      </c>
      <c r="E1481" s="122" t="s">
        <v>867</v>
      </c>
      <c r="F1481" s="122" t="s">
        <v>868</v>
      </c>
      <c r="G1481" s="122" t="s">
        <v>786</v>
      </c>
      <c r="H1481" s="122" t="s">
        <v>777</v>
      </c>
      <c r="I1481" s="312">
        <v>2019</v>
      </c>
      <c r="J1481" s="122" t="s">
        <v>711</v>
      </c>
      <c r="K1481" s="283">
        <v>3458</v>
      </c>
      <c r="L1481" s="318">
        <v>-33.869323999999999</v>
      </c>
      <c r="M1481" s="318">
        <v>150.96348599999999</v>
      </c>
      <c r="O1481">
        <f>INDEX('MEC - traffic congestion'!$M$145:$M$249,MATCH($D1481,'MEC - traffic congestion'!$C$145:$C$249,0))</f>
        <v>1</v>
      </c>
      <c r="P1481" t="str">
        <f t="shared" si="62"/>
        <v>2019PM PEAK</v>
      </c>
      <c r="Q1481">
        <f t="shared" si="63"/>
        <v>1</v>
      </c>
      <c r="R1481" s="195" t="str">
        <f t="shared" si="64"/>
        <v>2019LIGHT VEHICLES</v>
      </c>
    </row>
    <row r="1482" spans="3:18" x14ac:dyDescent="0.25">
      <c r="C1482" s="294" t="s">
        <v>866</v>
      </c>
      <c r="D1482" s="317">
        <v>66249</v>
      </c>
      <c r="E1482" s="122" t="s">
        <v>867</v>
      </c>
      <c r="F1482" s="122" t="s">
        <v>868</v>
      </c>
      <c r="G1482" s="122" t="s">
        <v>785</v>
      </c>
      <c r="H1482" s="122" t="s">
        <v>777</v>
      </c>
      <c r="I1482" s="312">
        <v>2019</v>
      </c>
      <c r="J1482" s="122" t="s">
        <v>712</v>
      </c>
      <c r="K1482" s="283">
        <v>6498</v>
      </c>
      <c r="L1482" s="318">
        <v>-33.869323999999999</v>
      </c>
      <c r="M1482" s="318">
        <v>150.96348599999999</v>
      </c>
      <c r="O1482">
        <f>INDEX('MEC - traffic congestion'!$M$145:$M$249,MATCH($D1482,'MEC - traffic congestion'!$C$145:$C$249,0))</f>
        <v>1</v>
      </c>
      <c r="P1482" t="str">
        <f t="shared" si="62"/>
        <v>2019PUBLIC HOLIDAYS</v>
      </c>
      <c r="Q1482">
        <f t="shared" si="63"/>
        <v>1</v>
      </c>
      <c r="R1482" s="195" t="str">
        <f t="shared" si="64"/>
        <v>2019LIGHT VEHICLES</v>
      </c>
    </row>
    <row r="1483" spans="3:18" x14ac:dyDescent="0.25">
      <c r="C1483" s="294" t="s">
        <v>866</v>
      </c>
      <c r="D1483" s="317">
        <v>66249</v>
      </c>
      <c r="E1483" s="122" t="s">
        <v>867</v>
      </c>
      <c r="F1483" s="122" t="s">
        <v>868</v>
      </c>
      <c r="G1483" s="122" t="s">
        <v>786</v>
      </c>
      <c r="H1483" s="122" t="s">
        <v>777</v>
      </c>
      <c r="I1483" s="312">
        <v>2019</v>
      </c>
      <c r="J1483" s="122" t="s">
        <v>712</v>
      </c>
      <c r="K1483" s="283">
        <v>6761</v>
      </c>
      <c r="L1483" s="318">
        <v>-33.869323999999999</v>
      </c>
      <c r="M1483" s="318">
        <v>150.96348599999999</v>
      </c>
      <c r="O1483">
        <f>INDEX('MEC - traffic congestion'!$M$145:$M$249,MATCH($D1483,'MEC - traffic congestion'!$C$145:$C$249,0))</f>
        <v>1</v>
      </c>
      <c r="P1483" t="str">
        <f t="shared" si="62"/>
        <v>2019PUBLIC HOLIDAYS</v>
      </c>
      <c r="Q1483">
        <f t="shared" si="63"/>
        <v>1</v>
      </c>
      <c r="R1483" s="195" t="str">
        <f t="shared" si="64"/>
        <v>2019LIGHT VEHICLES</v>
      </c>
    </row>
    <row r="1484" spans="3:18" x14ac:dyDescent="0.25">
      <c r="C1484" s="294" t="s">
        <v>866</v>
      </c>
      <c r="D1484" s="317">
        <v>66249</v>
      </c>
      <c r="E1484" s="122" t="s">
        <v>867</v>
      </c>
      <c r="F1484" s="122" t="s">
        <v>868</v>
      </c>
      <c r="G1484" s="122" t="s">
        <v>785</v>
      </c>
      <c r="H1484" s="122" t="s">
        <v>777</v>
      </c>
      <c r="I1484" s="312">
        <v>2019</v>
      </c>
      <c r="J1484" s="122" t="s">
        <v>713</v>
      </c>
      <c r="K1484" s="283">
        <v>8043</v>
      </c>
      <c r="L1484" s="318">
        <v>-33.869323999999999</v>
      </c>
      <c r="M1484" s="318">
        <v>150.96348599999999</v>
      </c>
      <c r="O1484">
        <f>INDEX('MEC - traffic congestion'!$M$145:$M$249,MATCH($D1484,'MEC - traffic congestion'!$C$145:$C$249,0))</f>
        <v>1</v>
      </c>
      <c r="P1484" t="str">
        <f t="shared" si="62"/>
        <v>2019WEEKENDS</v>
      </c>
      <c r="Q1484">
        <f t="shared" si="63"/>
        <v>1</v>
      </c>
      <c r="R1484" s="195" t="str">
        <f t="shared" si="64"/>
        <v>2019LIGHT VEHICLES</v>
      </c>
    </row>
    <row r="1485" spans="3:18" x14ac:dyDescent="0.25">
      <c r="C1485" s="294" t="s">
        <v>866</v>
      </c>
      <c r="D1485" s="317">
        <v>66249</v>
      </c>
      <c r="E1485" s="122" t="s">
        <v>867</v>
      </c>
      <c r="F1485" s="122" t="s">
        <v>868</v>
      </c>
      <c r="G1485" s="122" t="s">
        <v>786</v>
      </c>
      <c r="H1485" s="122" t="s">
        <v>777</v>
      </c>
      <c r="I1485" s="312">
        <v>2019</v>
      </c>
      <c r="J1485" s="122" t="s">
        <v>713</v>
      </c>
      <c r="K1485" s="283">
        <v>8270</v>
      </c>
      <c r="L1485" s="318">
        <v>-33.869323999999999</v>
      </c>
      <c r="M1485" s="318">
        <v>150.96348599999999</v>
      </c>
      <c r="O1485">
        <f>INDEX('MEC - traffic congestion'!$M$145:$M$249,MATCH($D1485,'MEC - traffic congestion'!$C$145:$C$249,0))</f>
        <v>1</v>
      </c>
      <c r="P1485" t="str">
        <f t="shared" si="62"/>
        <v>2019WEEKENDS</v>
      </c>
      <c r="Q1485">
        <f t="shared" si="63"/>
        <v>1</v>
      </c>
      <c r="R1485" s="195" t="str">
        <f t="shared" si="64"/>
        <v>2019LIGHT VEHICLES</v>
      </c>
    </row>
    <row r="1486" spans="3:18" x14ac:dyDescent="0.25">
      <c r="C1486" s="294" t="s">
        <v>866</v>
      </c>
      <c r="D1486" s="317">
        <v>66249</v>
      </c>
      <c r="E1486" s="122" t="s">
        <v>867</v>
      </c>
      <c r="F1486" s="122" t="s">
        <v>868</v>
      </c>
      <c r="G1486" s="122" t="s">
        <v>785</v>
      </c>
      <c r="H1486" s="122" t="s">
        <v>777</v>
      </c>
      <c r="I1486" s="312">
        <v>2020</v>
      </c>
      <c r="J1486" s="122" t="s">
        <v>709</v>
      </c>
      <c r="K1486" s="283">
        <v>2289</v>
      </c>
      <c r="L1486" s="318">
        <v>-33.869323999999999</v>
      </c>
      <c r="M1486" s="318">
        <v>150.96348599999999</v>
      </c>
      <c r="O1486">
        <f>INDEX('MEC - traffic congestion'!$M$145:$M$249,MATCH($D1486,'MEC - traffic congestion'!$C$145:$C$249,0))</f>
        <v>1</v>
      </c>
      <c r="P1486" t="str">
        <f t="shared" si="62"/>
        <v>2020AM PEAK</v>
      </c>
      <c r="Q1486">
        <f t="shared" si="63"/>
        <v>1</v>
      </c>
      <c r="R1486" s="195" t="str">
        <f t="shared" si="64"/>
        <v>2020LIGHT VEHICLES</v>
      </c>
    </row>
    <row r="1487" spans="3:18" x14ac:dyDescent="0.25">
      <c r="C1487" s="294" t="s">
        <v>866</v>
      </c>
      <c r="D1487" s="317">
        <v>66249</v>
      </c>
      <c r="E1487" s="122" t="s">
        <v>867</v>
      </c>
      <c r="F1487" s="122" t="s">
        <v>868</v>
      </c>
      <c r="G1487" s="122" t="s">
        <v>786</v>
      </c>
      <c r="H1487" s="122" t="s">
        <v>777</v>
      </c>
      <c r="I1487" s="312">
        <v>2020</v>
      </c>
      <c r="J1487" s="122" t="s">
        <v>709</v>
      </c>
      <c r="K1487" s="283">
        <v>1366</v>
      </c>
      <c r="L1487" s="318">
        <v>-33.869323999999999</v>
      </c>
      <c r="M1487" s="318">
        <v>150.96348599999999</v>
      </c>
      <c r="O1487">
        <f>INDEX('MEC - traffic congestion'!$M$145:$M$249,MATCH($D1487,'MEC - traffic congestion'!$C$145:$C$249,0))</f>
        <v>1</v>
      </c>
      <c r="P1487" t="str">
        <f t="shared" si="62"/>
        <v>2020AM PEAK</v>
      </c>
      <c r="Q1487">
        <f t="shared" si="63"/>
        <v>1</v>
      </c>
      <c r="R1487" s="195" t="str">
        <f t="shared" si="64"/>
        <v>2020LIGHT VEHICLES</v>
      </c>
    </row>
    <row r="1488" spans="3:18" x14ac:dyDescent="0.25">
      <c r="C1488" s="294" t="s">
        <v>866</v>
      </c>
      <c r="D1488" s="317">
        <v>66249</v>
      </c>
      <c r="E1488" s="122" t="s">
        <v>867</v>
      </c>
      <c r="F1488" s="122" t="s">
        <v>868</v>
      </c>
      <c r="G1488" s="122" t="s">
        <v>785</v>
      </c>
      <c r="H1488" s="122" t="s">
        <v>777</v>
      </c>
      <c r="I1488" s="312">
        <v>2020</v>
      </c>
      <c r="J1488" s="122" t="s">
        <v>710</v>
      </c>
      <c r="K1488" s="283">
        <v>4484</v>
      </c>
      <c r="L1488" s="318">
        <v>-33.869323999999999</v>
      </c>
      <c r="M1488" s="318">
        <v>150.96348599999999</v>
      </c>
      <c r="O1488">
        <f>INDEX('MEC - traffic congestion'!$M$145:$M$249,MATCH($D1488,'MEC - traffic congestion'!$C$145:$C$249,0))</f>
        <v>1</v>
      </c>
      <c r="P1488" t="str">
        <f t="shared" si="62"/>
        <v>2020OFF PEAK</v>
      </c>
      <c r="Q1488">
        <f t="shared" si="63"/>
        <v>1</v>
      </c>
      <c r="R1488" s="195" t="str">
        <f t="shared" si="64"/>
        <v>2020LIGHT VEHICLES</v>
      </c>
    </row>
    <row r="1489" spans="3:18" x14ac:dyDescent="0.25">
      <c r="C1489" s="294" t="s">
        <v>866</v>
      </c>
      <c r="D1489" s="317">
        <v>66249</v>
      </c>
      <c r="E1489" s="122" t="s">
        <v>867</v>
      </c>
      <c r="F1489" s="122" t="s">
        <v>868</v>
      </c>
      <c r="G1489" s="122" t="s">
        <v>786</v>
      </c>
      <c r="H1489" s="122" t="s">
        <v>777</v>
      </c>
      <c r="I1489" s="312">
        <v>2020</v>
      </c>
      <c r="J1489" s="122" t="s">
        <v>710</v>
      </c>
      <c r="K1489" s="283">
        <v>4573</v>
      </c>
      <c r="L1489" s="318">
        <v>-33.869323999999999</v>
      </c>
      <c r="M1489" s="318">
        <v>150.96348599999999</v>
      </c>
      <c r="O1489">
        <f>INDEX('MEC - traffic congestion'!$M$145:$M$249,MATCH($D1489,'MEC - traffic congestion'!$C$145:$C$249,0))</f>
        <v>1</v>
      </c>
      <c r="P1489" t="str">
        <f t="shared" si="62"/>
        <v>2020OFF PEAK</v>
      </c>
      <c r="Q1489">
        <f t="shared" si="63"/>
        <v>1</v>
      </c>
      <c r="R1489" s="195" t="str">
        <f t="shared" si="64"/>
        <v>2020LIGHT VEHICLES</v>
      </c>
    </row>
    <row r="1490" spans="3:18" x14ac:dyDescent="0.25">
      <c r="C1490" s="294" t="s">
        <v>866</v>
      </c>
      <c r="D1490" s="317">
        <v>66249</v>
      </c>
      <c r="E1490" s="122" t="s">
        <v>867</v>
      </c>
      <c r="F1490" s="122" t="s">
        <v>868</v>
      </c>
      <c r="G1490" s="122" t="s">
        <v>785</v>
      </c>
      <c r="H1490" s="122" t="s">
        <v>777</v>
      </c>
      <c r="I1490" s="312">
        <v>2020</v>
      </c>
      <c r="J1490" s="122" t="s">
        <v>711</v>
      </c>
      <c r="K1490" s="283">
        <v>2127</v>
      </c>
      <c r="L1490" s="318">
        <v>-33.869323999999999</v>
      </c>
      <c r="M1490" s="318">
        <v>150.96348599999999</v>
      </c>
      <c r="O1490">
        <f>INDEX('MEC - traffic congestion'!$M$145:$M$249,MATCH($D1490,'MEC - traffic congestion'!$C$145:$C$249,0))</f>
        <v>1</v>
      </c>
      <c r="P1490" t="str">
        <f t="shared" si="62"/>
        <v>2020PM PEAK</v>
      </c>
      <c r="Q1490">
        <f t="shared" si="63"/>
        <v>1</v>
      </c>
      <c r="R1490" s="195" t="str">
        <f t="shared" si="64"/>
        <v>2020LIGHT VEHICLES</v>
      </c>
    </row>
    <row r="1491" spans="3:18" x14ac:dyDescent="0.25">
      <c r="C1491" s="294" t="s">
        <v>866</v>
      </c>
      <c r="D1491" s="317">
        <v>66249</v>
      </c>
      <c r="E1491" s="122" t="s">
        <v>867</v>
      </c>
      <c r="F1491" s="122" t="s">
        <v>868</v>
      </c>
      <c r="G1491" s="122" t="s">
        <v>786</v>
      </c>
      <c r="H1491" s="122" t="s">
        <v>777</v>
      </c>
      <c r="I1491" s="312">
        <v>2020</v>
      </c>
      <c r="J1491" s="122" t="s">
        <v>711</v>
      </c>
      <c r="K1491" s="283">
        <v>3115</v>
      </c>
      <c r="L1491" s="318">
        <v>-33.869323999999999</v>
      </c>
      <c r="M1491" s="318">
        <v>150.96348599999999</v>
      </c>
      <c r="O1491">
        <f>INDEX('MEC - traffic congestion'!$M$145:$M$249,MATCH($D1491,'MEC - traffic congestion'!$C$145:$C$249,0))</f>
        <v>1</v>
      </c>
      <c r="P1491" t="str">
        <f t="shared" si="62"/>
        <v>2020PM PEAK</v>
      </c>
      <c r="Q1491">
        <f t="shared" si="63"/>
        <v>1</v>
      </c>
      <c r="R1491" s="195" t="str">
        <f t="shared" si="64"/>
        <v>2020LIGHT VEHICLES</v>
      </c>
    </row>
    <row r="1492" spans="3:18" x14ac:dyDescent="0.25">
      <c r="C1492" s="294" t="s">
        <v>866</v>
      </c>
      <c r="D1492" s="317">
        <v>66249</v>
      </c>
      <c r="E1492" s="122" t="s">
        <v>867</v>
      </c>
      <c r="F1492" s="122" t="s">
        <v>868</v>
      </c>
      <c r="G1492" s="122" t="s">
        <v>785</v>
      </c>
      <c r="H1492" s="122" t="s">
        <v>777</v>
      </c>
      <c r="I1492" s="312">
        <v>2020</v>
      </c>
      <c r="J1492" s="122" t="s">
        <v>712</v>
      </c>
      <c r="K1492" s="283">
        <v>5339</v>
      </c>
      <c r="L1492" s="318">
        <v>-33.869323999999999</v>
      </c>
      <c r="M1492" s="318">
        <v>150.96348599999999</v>
      </c>
      <c r="O1492">
        <f>INDEX('MEC - traffic congestion'!$M$145:$M$249,MATCH($D1492,'MEC - traffic congestion'!$C$145:$C$249,0))</f>
        <v>1</v>
      </c>
      <c r="P1492" t="str">
        <f t="shared" si="62"/>
        <v>2020PUBLIC HOLIDAYS</v>
      </c>
      <c r="Q1492">
        <f t="shared" si="63"/>
        <v>1</v>
      </c>
      <c r="R1492" s="195" t="str">
        <f t="shared" si="64"/>
        <v>2020LIGHT VEHICLES</v>
      </c>
    </row>
    <row r="1493" spans="3:18" x14ac:dyDescent="0.25">
      <c r="C1493" s="294" t="s">
        <v>866</v>
      </c>
      <c r="D1493" s="317">
        <v>66249</v>
      </c>
      <c r="E1493" s="122" t="s">
        <v>867</v>
      </c>
      <c r="F1493" s="122" t="s">
        <v>868</v>
      </c>
      <c r="G1493" s="122" t="s">
        <v>786</v>
      </c>
      <c r="H1493" s="122" t="s">
        <v>777</v>
      </c>
      <c r="I1493" s="312">
        <v>2020</v>
      </c>
      <c r="J1493" s="122" t="s">
        <v>712</v>
      </c>
      <c r="K1493" s="283">
        <v>5512</v>
      </c>
      <c r="L1493" s="318">
        <v>-33.869323999999999</v>
      </c>
      <c r="M1493" s="318">
        <v>150.96348599999999</v>
      </c>
      <c r="O1493">
        <f>INDEX('MEC - traffic congestion'!$M$145:$M$249,MATCH($D1493,'MEC - traffic congestion'!$C$145:$C$249,0))</f>
        <v>1</v>
      </c>
      <c r="P1493" t="str">
        <f t="shared" ref="P1493:P1556" si="65">IF($O1493=1,$I1493&amp;$J1493,"")</f>
        <v>2020PUBLIC HOLIDAYS</v>
      </c>
      <c r="Q1493">
        <f t="shared" ref="Q1493:Q1556" si="66">IF(AND($M1493&gt;150.246,AND($L1493&gt;-34.397,$L1493&lt;-32.662)),1,0)</f>
        <v>1</v>
      </c>
      <c r="R1493" s="195" t="str">
        <f t="shared" ref="R1493:R1556" si="67">IF($O1493=1,$I1493&amp;$H1493,"")</f>
        <v>2020LIGHT VEHICLES</v>
      </c>
    </row>
    <row r="1494" spans="3:18" x14ac:dyDescent="0.25">
      <c r="C1494" s="294" t="s">
        <v>866</v>
      </c>
      <c r="D1494" s="317">
        <v>66249</v>
      </c>
      <c r="E1494" s="122" t="s">
        <v>867</v>
      </c>
      <c r="F1494" s="122" t="s">
        <v>868</v>
      </c>
      <c r="G1494" s="122" t="s">
        <v>785</v>
      </c>
      <c r="H1494" s="122" t="s">
        <v>777</v>
      </c>
      <c r="I1494" s="312">
        <v>2020</v>
      </c>
      <c r="J1494" s="122" t="s">
        <v>713</v>
      </c>
      <c r="K1494" s="283">
        <v>6965</v>
      </c>
      <c r="L1494" s="318">
        <v>-33.869323999999999</v>
      </c>
      <c r="M1494" s="318">
        <v>150.96348599999999</v>
      </c>
      <c r="O1494">
        <f>INDEX('MEC - traffic congestion'!$M$145:$M$249,MATCH($D1494,'MEC - traffic congestion'!$C$145:$C$249,0))</f>
        <v>1</v>
      </c>
      <c r="P1494" t="str">
        <f t="shared" si="65"/>
        <v>2020WEEKENDS</v>
      </c>
      <c r="Q1494">
        <f t="shared" si="66"/>
        <v>1</v>
      </c>
      <c r="R1494" s="195" t="str">
        <f t="shared" si="67"/>
        <v>2020LIGHT VEHICLES</v>
      </c>
    </row>
    <row r="1495" spans="3:18" x14ac:dyDescent="0.25">
      <c r="C1495" s="294" t="s">
        <v>866</v>
      </c>
      <c r="D1495" s="317">
        <v>66249</v>
      </c>
      <c r="E1495" s="122" t="s">
        <v>867</v>
      </c>
      <c r="F1495" s="122" t="s">
        <v>868</v>
      </c>
      <c r="G1495" s="122" t="s">
        <v>786</v>
      </c>
      <c r="H1495" s="122" t="s">
        <v>777</v>
      </c>
      <c r="I1495" s="312">
        <v>2020</v>
      </c>
      <c r="J1495" s="122" t="s">
        <v>713</v>
      </c>
      <c r="K1495" s="283">
        <v>7245</v>
      </c>
      <c r="L1495" s="318">
        <v>-33.869323999999999</v>
      </c>
      <c r="M1495" s="318">
        <v>150.96348599999999</v>
      </c>
      <c r="O1495">
        <f>INDEX('MEC - traffic congestion'!$M$145:$M$249,MATCH($D1495,'MEC - traffic congestion'!$C$145:$C$249,0))</f>
        <v>1</v>
      </c>
      <c r="P1495" t="str">
        <f t="shared" si="65"/>
        <v>2020WEEKENDS</v>
      </c>
      <c r="Q1495">
        <f t="shared" si="66"/>
        <v>1</v>
      </c>
      <c r="R1495" s="195" t="str">
        <f t="shared" si="67"/>
        <v>2020LIGHT VEHICLES</v>
      </c>
    </row>
    <row r="1496" spans="3:18" x14ac:dyDescent="0.25">
      <c r="C1496" s="294" t="s">
        <v>866</v>
      </c>
      <c r="D1496" s="317">
        <v>66249</v>
      </c>
      <c r="E1496" s="122" t="s">
        <v>867</v>
      </c>
      <c r="F1496" s="122" t="s">
        <v>868</v>
      </c>
      <c r="G1496" s="122" t="s">
        <v>785</v>
      </c>
      <c r="H1496" s="122" t="s">
        <v>777</v>
      </c>
      <c r="I1496" s="312">
        <v>2021</v>
      </c>
      <c r="J1496" s="122" t="s">
        <v>709</v>
      </c>
      <c r="K1496" s="283">
        <v>2116</v>
      </c>
      <c r="L1496" s="318">
        <v>-33.869323999999999</v>
      </c>
      <c r="M1496" s="318">
        <v>150.96348599999999</v>
      </c>
      <c r="O1496">
        <f>INDEX('MEC - traffic congestion'!$M$145:$M$249,MATCH($D1496,'MEC - traffic congestion'!$C$145:$C$249,0))</f>
        <v>1</v>
      </c>
      <c r="P1496" t="str">
        <f t="shared" si="65"/>
        <v>2021AM PEAK</v>
      </c>
      <c r="Q1496">
        <f t="shared" si="66"/>
        <v>1</v>
      </c>
      <c r="R1496" s="195" t="str">
        <f t="shared" si="67"/>
        <v>2021LIGHT VEHICLES</v>
      </c>
    </row>
    <row r="1497" spans="3:18" x14ac:dyDescent="0.25">
      <c r="C1497" s="294" t="s">
        <v>866</v>
      </c>
      <c r="D1497" s="317">
        <v>66249</v>
      </c>
      <c r="E1497" s="122" t="s">
        <v>867</v>
      </c>
      <c r="F1497" s="122" t="s">
        <v>868</v>
      </c>
      <c r="G1497" s="122" t="s">
        <v>786</v>
      </c>
      <c r="H1497" s="122" t="s">
        <v>777</v>
      </c>
      <c r="I1497" s="312">
        <v>2021</v>
      </c>
      <c r="J1497" s="122" t="s">
        <v>709</v>
      </c>
      <c r="K1497" s="283">
        <v>1261</v>
      </c>
      <c r="L1497" s="318">
        <v>-33.869323999999999</v>
      </c>
      <c r="M1497" s="318">
        <v>150.96348599999999</v>
      </c>
      <c r="O1497">
        <f>INDEX('MEC - traffic congestion'!$M$145:$M$249,MATCH($D1497,'MEC - traffic congestion'!$C$145:$C$249,0))</f>
        <v>1</v>
      </c>
      <c r="P1497" t="str">
        <f t="shared" si="65"/>
        <v>2021AM PEAK</v>
      </c>
      <c r="Q1497">
        <f t="shared" si="66"/>
        <v>1</v>
      </c>
      <c r="R1497" s="195" t="str">
        <f t="shared" si="67"/>
        <v>2021LIGHT VEHICLES</v>
      </c>
    </row>
    <row r="1498" spans="3:18" x14ac:dyDescent="0.25">
      <c r="C1498" s="294" t="s">
        <v>866</v>
      </c>
      <c r="D1498" s="317">
        <v>66249</v>
      </c>
      <c r="E1498" s="122" t="s">
        <v>867</v>
      </c>
      <c r="F1498" s="122" t="s">
        <v>868</v>
      </c>
      <c r="G1498" s="122" t="s">
        <v>785</v>
      </c>
      <c r="H1498" s="122" t="s">
        <v>777</v>
      </c>
      <c r="I1498" s="312">
        <v>2021</v>
      </c>
      <c r="J1498" s="122" t="s">
        <v>710</v>
      </c>
      <c r="K1498" s="283">
        <v>4086</v>
      </c>
      <c r="L1498" s="318">
        <v>-33.869323999999999</v>
      </c>
      <c r="M1498" s="318">
        <v>150.96348599999999</v>
      </c>
      <c r="O1498">
        <f>INDEX('MEC - traffic congestion'!$M$145:$M$249,MATCH($D1498,'MEC - traffic congestion'!$C$145:$C$249,0))</f>
        <v>1</v>
      </c>
      <c r="P1498" t="str">
        <f t="shared" si="65"/>
        <v>2021OFF PEAK</v>
      </c>
      <c r="Q1498">
        <f t="shared" si="66"/>
        <v>1</v>
      </c>
      <c r="R1498" s="195" t="str">
        <f t="shared" si="67"/>
        <v>2021LIGHT VEHICLES</v>
      </c>
    </row>
    <row r="1499" spans="3:18" x14ac:dyDescent="0.25">
      <c r="C1499" s="294" t="s">
        <v>866</v>
      </c>
      <c r="D1499" s="317">
        <v>66249</v>
      </c>
      <c r="E1499" s="122" t="s">
        <v>867</v>
      </c>
      <c r="F1499" s="122" t="s">
        <v>868</v>
      </c>
      <c r="G1499" s="122" t="s">
        <v>786</v>
      </c>
      <c r="H1499" s="122" t="s">
        <v>777</v>
      </c>
      <c r="I1499" s="312">
        <v>2021</v>
      </c>
      <c r="J1499" s="122" t="s">
        <v>710</v>
      </c>
      <c r="K1499" s="283">
        <v>4049</v>
      </c>
      <c r="L1499" s="318">
        <v>-33.869323999999999</v>
      </c>
      <c r="M1499" s="318">
        <v>150.96348599999999</v>
      </c>
      <c r="O1499">
        <f>INDEX('MEC - traffic congestion'!$M$145:$M$249,MATCH($D1499,'MEC - traffic congestion'!$C$145:$C$249,0))</f>
        <v>1</v>
      </c>
      <c r="P1499" t="str">
        <f t="shared" si="65"/>
        <v>2021OFF PEAK</v>
      </c>
      <c r="Q1499">
        <f t="shared" si="66"/>
        <v>1</v>
      </c>
      <c r="R1499" s="195" t="str">
        <f t="shared" si="67"/>
        <v>2021LIGHT VEHICLES</v>
      </c>
    </row>
    <row r="1500" spans="3:18" x14ac:dyDescent="0.25">
      <c r="C1500" s="294" t="s">
        <v>866</v>
      </c>
      <c r="D1500" s="317">
        <v>66249</v>
      </c>
      <c r="E1500" s="122" t="s">
        <v>867</v>
      </c>
      <c r="F1500" s="122" t="s">
        <v>868</v>
      </c>
      <c r="G1500" s="122" t="s">
        <v>785</v>
      </c>
      <c r="H1500" s="122" t="s">
        <v>777</v>
      </c>
      <c r="I1500" s="312">
        <v>2021</v>
      </c>
      <c r="J1500" s="122" t="s">
        <v>711</v>
      </c>
      <c r="K1500" s="283">
        <v>1931</v>
      </c>
      <c r="L1500" s="318">
        <v>-33.869323999999999</v>
      </c>
      <c r="M1500" s="318">
        <v>150.96348599999999</v>
      </c>
      <c r="O1500">
        <f>INDEX('MEC - traffic congestion'!$M$145:$M$249,MATCH($D1500,'MEC - traffic congestion'!$C$145:$C$249,0))</f>
        <v>1</v>
      </c>
      <c r="P1500" t="str">
        <f t="shared" si="65"/>
        <v>2021PM PEAK</v>
      </c>
      <c r="Q1500">
        <f t="shared" si="66"/>
        <v>1</v>
      </c>
      <c r="R1500" s="195" t="str">
        <f t="shared" si="67"/>
        <v>2021LIGHT VEHICLES</v>
      </c>
    </row>
    <row r="1501" spans="3:18" x14ac:dyDescent="0.25">
      <c r="C1501" s="294" t="s">
        <v>866</v>
      </c>
      <c r="D1501" s="317">
        <v>66249</v>
      </c>
      <c r="E1501" s="122" t="s">
        <v>867</v>
      </c>
      <c r="F1501" s="122" t="s">
        <v>868</v>
      </c>
      <c r="G1501" s="122" t="s">
        <v>786</v>
      </c>
      <c r="H1501" s="122" t="s">
        <v>777</v>
      </c>
      <c r="I1501" s="312">
        <v>2021</v>
      </c>
      <c r="J1501" s="122" t="s">
        <v>711</v>
      </c>
      <c r="K1501" s="283">
        <v>2713</v>
      </c>
      <c r="L1501" s="318">
        <v>-33.869323999999999</v>
      </c>
      <c r="M1501" s="318">
        <v>150.96348599999999</v>
      </c>
      <c r="O1501">
        <f>INDEX('MEC - traffic congestion'!$M$145:$M$249,MATCH($D1501,'MEC - traffic congestion'!$C$145:$C$249,0))</f>
        <v>1</v>
      </c>
      <c r="P1501" t="str">
        <f t="shared" si="65"/>
        <v>2021PM PEAK</v>
      </c>
      <c r="Q1501">
        <f t="shared" si="66"/>
        <v>1</v>
      </c>
      <c r="R1501" s="195" t="str">
        <f t="shared" si="67"/>
        <v>2021LIGHT VEHICLES</v>
      </c>
    </row>
    <row r="1502" spans="3:18" x14ac:dyDescent="0.25">
      <c r="C1502" s="294" t="s">
        <v>866</v>
      </c>
      <c r="D1502" s="317">
        <v>66249</v>
      </c>
      <c r="E1502" s="122" t="s">
        <v>867</v>
      </c>
      <c r="F1502" s="122" t="s">
        <v>868</v>
      </c>
      <c r="G1502" s="122" t="s">
        <v>785</v>
      </c>
      <c r="H1502" s="122" t="s">
        <v>777</v>
      </c>
      <c r="I1502" s="312">
        <v>2021</v>
      </c>
      <c r="J1502" s="122" t="s">
        <v>713</v>
      </c>
      <c r="K1502" s="283">
        <v>6246</v>
      </c>
      <c r="L1502" s="318">
        <v>-33.869323999999999</v>
      </c>
      <c r="M1502" s="318">
        <v>150.96348599999999</v>
      </c>
      <c r="O1502">
        <f>INDEX('MEC - traffic congestion'!$M$145:$M$249,MATCH($D1502,'MEC - traffic congestion'!$C$145:$C$249,0))</f>
        <v>1</v>
      </c>
      <c r="P1502" t="str">
        <f t="shared" si="65"/>
        <v>2021WEEKENDS</v>
      </c>
      <c r="Q1502">
        <f t="shared" si="66"/>
        <v>1</v>
      </c>
      <c r="R1502" s="195" t="str">
        <f t="shared" si="67"/>
        <v>2021LIGHT VEHICLES</v>
      </c>
    </row>
    <row r="1503" spans="3:18" x14ac:dyDescent="0.25">
      <c r="C1503" s="294" t="s">
        <v>866</v>
      </c>
      <c r="D1503" s="317">
        <v>66249</v>
      </c>
      <c r="E1503" s="122" t="s">
        <v>867</v>
      </c>
      <c r="F1503" s="122" t="s">
        <v>868</v>
      </c>
      <c r="G1503" s="122" t="s">
        <v>786</v>
      </c>
      <c r="H1503" s="122" t="s">
        <v>777</v>
      </c>
      <c r="I1503" s="312">
        <v>2021</v>
      </c>
      <c r="J1503" s="122" t="s">
        <v>713</v>
      </c>
      <c r="K1503" s="283">
        <v>6339</v>
      </c>
      <c r="L1503" s="318">
        <v>-33.869323999999999</v>
      </c>
      <c r="M1503" s="318">
        <v>150.96348599999999</v>
      </c>
      <c r="O1503">
        <f>INDEX('MEC - traffic congestion'!$M$145:$M$249,MATCH($D1503,'MEC - traffic congestion'!$C$145:$C$249,0))</f>
        <v>1</v>
      </c>
      <c r="P1503" t="str">
        <f t="shared" si="65"/>
        <v>2021WEEKENDS</v>
      </c>
      <c r="Q1503">
        <f t="shared" si="66"/>
        <v>1</v>
      </c>
      <c r="R1503" s="195" t="str">
        <f t="shared" si="67"/>
        <v>2021LIGHT VEHICLES</v>
      </c>
    </row>
    <row r="1504" spans="3:18" x14ac:dyDescent="0.25">
      <c r="C1504" s="294" t="s">
        <v>866</v>
      </c>
      <c r="D1504" s="317">
        <v>66249</v>
      </c>
      <c r="E1504" s="122" t="s">
        <v>867</v>
      </c>
      <c r="F1504" s="122" t="s">
        <v>868</v>
      </c>
      <c r="G1504" s="122" t="s">
        <v>785</v>
      </c>
      <c r="H1504" s="122" t="s">
        <v>777</v>
      </c>
      <c r="I1504" s="312">
        <v>2022</v>
      </c>
      <c r="J1504" s="122" t="s">
        <v>709</v>
      </c>
      <c r="K1504" s="283">
        <v>2338</v>
      </c>
      <c r="L1504" s="318">
        <v>-33.869323999999999</v>
      </c>
      <c r="M1504" s="318">
        <v>150.96348599999999</v>
      </c>
      <c r="O1504">
        <f>INDEX('MEC - traffic congestion'!$M$145:$M$249,MATCH($D1504,'MEC - traffic congestion'!$C$145:$C$249,0))</f>
        <v>1</v>
      </c>
      <c r="P1504" t="str">
        <f t="shared" si="65"/>
        <v>2022AM PEAK</v>
      </c>
      <c r="Q1504">
        <f t="shared" si="66"/>
        <v>1</v>
      </c>
      <c r="R1504" s="195" t="str">
        <f t="shared" si="67"/>
        <v>2022LIGHT VEHICLES</v>
      </c>
    </row>
    <row r="1505" spans="3:18" x14ac:dyDescent="0.25">
      <c r="C1505" s="294" t="s">
        <v>866</v>
      </c>
      <c r="D1505" s="317">
        <v>66249</v>
      </c>
      <c r="E1505" s="122" t="s">
        <v>867</v>
      </c>
      <c r="F1505" s="122" t="s">
        <v>868</v>
      </c>
      <c r="G1505" s="122" t="s">
        <v>786</v>
      </c>
      <c r="H1505" s="122" t="s">
        <v>777</v>
      </c>
      <c r="I1505" s="312">
        <v>2022</v>
      </c>
      <c r="J1505" s="122" t="s">
        <v>709</v>
      </c>
      <c r="K1505" s="283">
        <v>1357</v>
      </c>
      <c r="L1505" s="318">
        <v>-33.869323999999999</v>
      </c>
      <c r="M1505" s="318">
        <v>150.96348599999999</v>
      </c>
      <c r="O1505">
        <f>INDEX('MEC - traffic congestion'!$M$145:$M$249,MATCH($D1505,'MEC - traffic congestion'!$C$145:$C$249,0))</f>
        <v>1</v>
      </c>
      <c r="P1505" t="str">
        <f t="shared" si="65"/>
        <v>2022AM PEAK</v>
      </c>
      <c r="Q1505">
        <f t="shared" si="66"/>
        <v>1</v>
      </c>
      <c r="R1505" s="195" t="str">
        <f t="shared" si="67"/>
        <v>2022LIGHT VEHICLES</v>
      </c>
    </row>
    <row r="1506" spans="3:18" x14ac:dyDescent="0.25">
      <c r="C1506" s="294" t="s">
        <v>866</v>
      </c>
      <c r="D1506" s="317">
        <v>66249</v>
      </c>
      <c r="E1506" s="122" t="s">
        <v>867</v>
      </c>
      <c r="F1506" s="122" t="s">
        <v>868</v>
      </c>
      <c r="G1506" s="122" t="s">
        <v>785</v>
      </c>
      <c r="H1506" s="122" t="s">
        <v>777</v>
      </c>
      <c r="I1506" s="312">
        <v>2022</v>
      </c>
      <c r="J1506" s="122" t="s">
        <v>710</v>
      </c>
      <c r="K1506" s="283">
        <v>4391</v>
      </c>
      <c r="L1506" s="318">
        <v>-33.869323999999999</v>
      </c>
      <c r="M1506" s="318">
        <v>150.96348599999999</v>
      </c>
      <c r="O1506">
        <f>INDEX('MEC - traffic congestion'!$M$145:$M$249,MATCH($D1506,'MEC - traffic congestion'!$C$145:$C$249,0))</f>
        <v>1</v>
      </c>
      <c r="P1506" t="str">
        <f t="shared" si="65"/>
        <v>2022OFF PEAK</v>
      </c>
      <c r="Q1506">
        <f t="shared" si="66"/>
        <v>1</v>
      </c>
      <c r="R1506" s="195" t="str">
        <f t="shared" si="67"/>
        <v>2022LIGHT VEHICLES</v>
      </c>
    </row>
    <row r="1507" spans="3:18" x14ac:dyDescent="0.25">
      <c r="C1507" s="294" t="s">
        <v>866</v>
      </c>
      <c r="D1507" s="317">
        <v>66249</v>
      </c>
      <c r="E1507" s="122" t="s">
        <v>867</v>
      </c>
      <c r="F1507" s="122" t="s">
        <v>868</v>
      </c>
      <c r="G1507" s="122" t="s">
        <v>786</v>
      </c>
      <c r="H1507" s="122" t="s">
        <v>777</v>
      </c>
      <c r="I1507" s="312">
        <v>2022</v>
      </c>
      <c r="J1507" s="122" t="s">
        <v>710</v>
      </c>
      <c r="K1507" s="283">
        <v>4251</v>
      </c>
      <c r="L1507" s="318">
        <v>-33.869323999999999</v>
      </c>
      <c r="M1507" s="318">
        <v>150.96348599999999</v>
      </c>
      <c r="O1507">
        <f>INDEX('MEC - traffic congestion'!$M$145:$M$249,MATCH($D1507,'MEC - traffic congestion'!$C$145:$C$249,0))</f>
        <v>1</v>
      </c>
      <c r="P1507" t="str">
        <f t="shared" si="65"/>
        <v>2022OFF PEAK</v>
      </c>
      <c r="Q1507">
        <f t="shared" si="66"/>
        <v>1</v>
      </c>
      <c r="R1507" s="195" t="str">
        <f t="shared" si="67"/>
        <v>2022LIGHT VEHICLES</v>
      </c>
    </row>
    <row r="1508" spans="3:18" x14ac:dyDescent="0.25">
      <c r="C1508" s="294" t="s">
        <v>866</v>
      </c>
      <c r="D1508" s="317">
        <v>66249</v>
      </c>
      <c r="E1508" s="122" t="s">
        <v>867</v>
      </c>
      <c r="F1508" s="122" t="s">
        <v>868</v>
      </c>
      <c r="G1508" s="122" t="s">
        <v>785</v>
      </c>
      <c r="H1508" s="122" t="s">
        <v>777</v>
      </c>
      <c r="I1508" s="312">
        <v>2022</v>
      </c>
      <c r="J1508" s="122" t="s">
        <v>711</v>
      </c>
      <c r="K1508" s="283">
        <v>2101</v>
      </c>
      <c r="L1508" s="318">
        <v>-33.869323999999999</v>
      </c>
      <c r="M1508" s="318">
        <v>150.96348599999999</v>
      </c>
      <c r="O1508">
        <f>INDEX('MEC - traffic congestion'!$M$145:$M$249,MATCH($D1508,'MEC - traffic congestion'!$C$145:$C$249,0))</f>
        <v>1</v>
      </c>
      <c r="P1508" t="str">
        <f t="shared" si="65"/>
        <v>2022PM PEAK</v>
      </c>
      <c r="Q1508">
        <f t="shared" si="66"/>
        <v>1</v>
      </c>
      <c r="R1508" s="195" t="str">
        <f t="shared" si="67"/>
        <v>2022LIGHT VEHICLES</v>
      </c>
    </row>
    <row r="1509" spans="3:18" x14ac:dyDescent="0.25">
      <c r="C1509" s="294" t="s">
        <v>866</v>
      </c>
      <c r="D1509" s="317">
        <v>66249</v>
      </c>
      <c r="E1509" s="122" t="s">
        <v>867</v>
      </c>
      <c r="F1509" s="122" t="s">
        <v>868</v>
      </c>
      <c r="G1509" s="122" t="s">
        <v>786</v>
      </c>
      <c r="H1509" s="122" t="s">
        <v>777</v>
      </c>
      <c r="I1509" s="312">
        <v>2022</v>
      </c>
      <c r="J1509" s="122" t="s">
        <v>711</v>
      </c>
      <c r="K1509" s="283">
        <v>2822</v>
      </c>
      <c r="L1509" s="318">
        <v>-33.869323999999999</v>
      </c>
      <c r="M1509" s="318">
        <v>150.96348599999999</v>
      </c>
      <c r="O1509">
        <f>INDEX('MEC - traffic congestion'!$M$145:$M$249,MATCH($D1509,'MEC - traffic congestion'!$C$145:$C$249,0))</f>
        <v>1</v>
      </c>
      <c r="P1509" t="str">
        <f t="shared" si="65"/>
        <v>2022PM PEAK</v>
      </c>
      <c r="Q1509">
        <f t="shared" si="66"/>
        <v>1</v>
      </c>
      <c r="R1509" s="195" t="str">
        <f t="shared" si="67"/>
        <v>2022LIGHT VEHICLES</v>
      </c>
    </row>
    <row r="1510" spans="3:18" x14ac:dyDescent="0.25">
      <c r="C1510" s="294" t="s">
        <v>866</v>
      </c>
      <c r="D1510" s="317">
        <v>66249</v>
      </c>
      <c r="E1510" s="122" t="s">
        <v>867</v>
      </c>
      <c r="F1510" s="122" t="s">
        <v>868</v>
      </c>
      <c r="G1510" s="122" t="s">
        <v>785</v>
      </c>
      <c r="H1510" s="122" t="s">
        <v>777</v>
      </c>
      <c r="I1510" s="312">
        <v>2022</v>
      </c>
      <c r="J1510" s="122" t="s">
        <v>713</v>
      </c>
      <c r="K1510" s="283">
        <v>7277</v>
      </c>
      <c r="L1510" s="318">
        <v>-33.869323999999999</v>
      </c>
      <c r="M1510" s="318">
        <v>150.96348599999999</v>
      </c>
      <c r="O1510">
        <f>INDEX('MEC - traffic congestion'!$M$145:$M$249,MATCH($D1510,'MEC - traffic congestion'!$C$145:$C$249,0))</f>
        <v>1</v>
      </c>
      <c r="P1510" t="str">
        <f t="shared" si="65"/>
        <v>2022WEEKENDS</v>
      </c>
      <c r="Q1510">
        <f t="shared" si="66"/>
        <v>1</v>
      </c>
      <c r="R1510" s="195" t="str">
        <f t="shared" si="67"/>
        <v>2022LIGHT VEHICLES</v>
      </c>
    </row>
    <row r="1511" spans="3:18" x14ac:dyDescent="0.25">
      <c r="C1511" s="294" t="s">
        <v>866</v>
      </c>
      <c r="D1511" s="317">
        <v>66249</v>
      </c>
      <c r="E1511" s="122" t="s">
        <v>867</v>
      </c>
      <c r="F1511" s="122" t="s">
        <v>868</v>
      </c>
      <c r="G1511" s="122" t="s">
        <v>786</v>
      </c>
      <c r="H1511" s="122" t="s">
        <v>777</v>
      </c>
      <c r="I1511" s="312">
        <v>2022</v>
      </c>
      <c r="J1511" s="122" t="s">
        <v>713</v>
      </c>
      <c r="K1511" s="283">
        <v>7372</v>
      </c>
      <c r="L1511" s="318">
        <v>-33.869323999999999</v>
      </c>
      <c r="M1511" s="318">
        <v>150.96348599999999</v>
      </c>
      <c r="O1511">
        <f>INDEX('MEC - traffic congestion'!$M$145:$M$249,MATCH($D1511,'MEC - traffic congestion'!$C$145:$C$249,0))</f>
        <v>1</v>
      </c>
      <c r="P1511" t="str">
        <f t="shared" si="65"/>
        <v>2022WEEKENDS</v>
      </c>
      <c r="Q1511">
        <f t="shared" si="66"/>
        <v>1</v>
      </c>
      <c r="R1511" s="195" t="str">
        <f t="shared" si="67"/>
        <v>2022LIGHT VEHICLES</v>
      </c>
    </row>
    <row r="1512" spans="3:18" x14ac:dyDescent="0.25">
      <c r="C1512" s="294" t="s">
        <v>866</v>
      </c>
      <c r="D1512" s="317">
        <v>66249</v>
      </c>
      <c r="E1512" s="122" t="s">
        <v>867</v>
      </c>
      <c r="F1512" s="122" t="s">
        <v>868</v>
      </c>
      <c r="G1512" s="122" t="s">
        <v>785</v>
      </c>
      <c r="H1512" s="122" t="s">
        <v>777</v>
      </c>
      <c r="I1512" s="312">
        <v>2023</v>
      </c>
      <c r="J1512" s="122" t="s">
        <v>709</v>
      </c>
      <c r="K1512" s="283">
        <v>2540</v>
      </c>
      <c r="L1512" s="318">
        <v>-33.869323999999999</v>
      </c>
      <c r="M1512" s="318">
        <v>150.96348599999999</v>
      </c>
      <c r="O1512">
        <f>INDEX('MEC - traffic congestion'!$M$145:$M$249,MATCH($D1512,'MEC - traffic congestion'!$C$145:$C$249,0))</f>
        <v>1</v>
      </c>
      <c r="P1512" t="str">
        <f t="shared" si="65"/>
        <v>2023AM PEAK</v>
      </c>
      <c r="Q1512">
        <f t="shared" si="66"/>
        <v>1</v>
      </c>
      <c r="R1512" s="195" t="str">
        <f t="shared" si="67"/>
        <v>2023LIGHT VEHICLES</v>
      </c>
    </row>
    <row r="1513" spans="3:18" x14ac:dyDescent="0.25">
      <c r="C1513" s="294" t="s">
        <v>866</v>
      </c>
      <c r="D1513" s="317">
        <v>66249</v>
      </c>
      <c r="E1513" s="122" t="s">
        <v>867</v>
      </c>
      <c r="F1513" s="122" t="s">
        <v>868</v>
      </c>
      <c r="G1513" s="122" t="s">
        <v>786</v>
      </c>
      <c r="H1513" s="122" t="s">
        <v>777</v>
      </c>
      <c r="I1513" s="312">
        <v>2023</v>
      </c>
      <c r="J1513" s="122" t="s">
        <v>709</v>
      </c>
      <c r="K1513" s="283">
        <v>1428</v>
      </c>
      <c r="L1513" s="318">
        <v>-33.869323999999999</v>
      </c>
      <c r="M1513" s="318">
        <v>150.96348599999999</v>
      </c>
      <c r="O1513">
        <f>INDEX('MEC - traffic congestion'!$M$145:$M$249,MATCH($D1513,'MEC - traffic congestion'!$C$145:$C$249,0))</f>
        <v>1</v>
      </c>
      <c r="P1513" t="str">
        <f t="shared" si="65"/>
        <v>2023AM PEAK</v>
      </c>
      <c r="Q1513">
        <f t="shared" si="66"/>
        <v>1</v>
      </c>
      <c r="R1513" s="195" t="str">
        <f t="shared" si="67"/>
        <v>2023LIGHT VEHICLES</v>
      </c>
    </row>
    <row r="1514" spans="3:18" x14ac:dyDescent="0.25">
      <c r="C1514" s="294" t="s">
        <v>866</v>
      </c>
      <c r="D1514" s="317">
        <v>66249</v>
      </c>
      <c r="E1514" s="122" t="s">
        <v>867</v>
      </c>
      <c r="F1514" s="122" t="s">
        <v>868</v>
      </c>
      <c r="G1514" s="122" t="s">
        <v>785</v>
      </c>
      <c r="H1514" s="122" t="s">
        <v>777</v>
      </c>
      <c r="I1514" s="312">
        <v>2023</v>
      </c>
      <c r="J1514" s="122" t="s">
        <v>710</v>
      </c>
      <c r="K1514" s="283">
        <v>4695</v>
      </c>
      <c r="L1514" s="318">
        <v>-33.869323999999999</v>
      </c>
      <c r="M1514" s="318">
        <v>150.96348599999999</v>
      </c>
      <c r="O1514">
        <f>INDEX('MEC - traffic congestion'!$M$145:$M$249,MATCH($D1514,'MEC - traffic congestion'!$C$145:$C$249,0))</f>
        <v>1</v>
      </c>
      <c r="P1514" t="str">
        <f t="shared" si="65"/>
        <v>2023OFF PEAK</v>
      </c>
      <c r="Q1514">
        <f t="shared" si="66"/>
        <v>1</v>
      </c>
      <c r="R1514" s="195" t="str">
        <f t="shared" si="67"/>
        <v>2023LIGHT VEHICLES</v>
      </c>
    </row>
    <row r="1515" spans="3:18" x14ac:dyDescent="0.25">
      <c r="C1515" s="294" t="s">
        <v>866</v>
      </c>
      <c r="D1515" s="317">
        <v>66249</v>
      </c>
      <c r="E1515" s="122" t="s">
        <v>867</v>
      </c>
      <c r="F1515" s="122" t="s">
        <v>868</v>
      </c>
      <c r="G1515" s="122" t="s">
        <v>786</v>
      </c>
      <c r="H1515" s="122" t="s">
        <v>777</v>
      </c>
      <c r="I1515" s="312">
        <v>2023</v>
      </c>
      <c r="J1515" s="122" t="s">
        <v>710</v>
      </c>
      <c r="K1515" s="283">
        <v>4505</v>
      </c>
      <c r="L1515" s="318">
        <v>-33.869323999999999</v>
      </c>
      <c r="M1515" s="318">
        <v>150.96348599999999</v>
      </c>
      <c r="O1515">
        <f>INDEX('MEC - traffic congestion'!$M$145:$M$249,MATCH($D1515,'MEC - traffic congestion'!$C$145:$C$249,0))</f>
        <v>1</v>
      </c>
      <c r="P1515" t="str">
        <f t="shared" si="65"/>
        <v>2023OFF PEAK</v>
      </c>
      <c r="Q1515">
        <f t="shared" si="66"/>
        <v>1</v>
      </c>
      <c r="R1515" s="195" t="str">
        <f t="shared" si="67"/>
        <v>2023LIGHT VEHICLES</v>
      </c>
    </row>
    <row r="1516" spans="3:18" x14ac:dyDescent="0.25">
      <c r="C1516" s="294" t="s">
        <v>866</v>
      </c>
      <c r="D1516" s="317">
        <v>66249</v>
      </c>
      <c r="E1516" s="122" t="s">
        <v>867</v>
      </c>
      <c r="F1516" s="122" t="s">
        <v>868</v>
      </c>
      <c r="G1516" s="122" t="s">
        <v>785</v>
      </c>
      <c r="H1516" s="122" t="s">
        <v>777</v>
      </c>
      <c r="I1516" s="312">
        <v>2023</v>
      </c>
      <c r="J1516" s="122" t="s">
        <v>711</v>
      </c>
      <c r="K1516" s="283">
        <v>2315</v>
      </c>
      <c r="L1516" s="318">
        <v>-33.869323999999999</v>
      </c>
      <c r="M1516" s="318">
        <v>150.96348599999999</v>
      </c>
      <c r="O1516">
        <f>INDEX('MEC - traffic congestion'!$M$145:$M$249,MATCH($D1516,'MEC - traffic congestion'!$C$145:$C$249,0))</f>
        <v>1</v>
      </c>
      <c r="P1516" t="str">
        <f t="shared" si="65"/>
        <v>2023PM PEAK</v>
      </c>
      <c r="Q1516">
        <f t="shared" si="66"/>
        <v>1</v>
      </c>
      <c r="R1516" s="195" t="str">
        <f t="shared" si="67"/>
        <v>2023LIGHT VEHICLES</v>
      </c>
    </row>
    <row r="1517" spans="3:18" x14ac:dyDescent="0.25">
      <c r="C1517" s="294" t="s">
        <v>866</v>
      </c>
      <c r="D1517" s="317">
        <v>66249</v>
      </c>
      <c r="E1517" s="122" t="s">
        <v>867</v>
      </c>
      <c r="F1517" s="122" t="s">
        <v>868</v>
      </c>
      <c r="G1517" s="122" t="s">
        <v>786</v>
      </c>
      <c r="H1517" s="122" t="s">
        <v>777</v>
      </c>
      <c r="I1517" s="312">
        <v>2023</v>
      </c>
      <c r="J1517" s="122" t="s">
        <v>711</v>
      </c>
      <c r="K1517" s="283">
        <v>3090</v>
      </c>
      <c r="L1517" s="318">
        <v>-33.869323999999999</v>
      </c>
      <c r="M1517" s="318">
        <v>150.96348599999999</v>
      </c>
      <c r="O1517">
        <f>INDEX('MEC - traffic congestion'!$M$145:$M$249,MATCH($D1517,'MEC - traffic congestion'!$C$145:$C$249,0))</f>
        <v>1</v>
      </c>
      <c r="P1517" t="str">
        <f t="shared" si="65"/>
        <v>2023PM PEAK</v>
      </c>
      <c r="Q1517">
        <f t="shared" si="66"/>
        <v>1</v>
      </c>
      <c r="R1517" s="195" t="str">
        <f t="shared" si="67"/>
        <v>2023LIGHT VEHICLES</v>
      </c>
    </row>
    <row r="1518" spans="3:18" x14ac:dyDescent="0.25">
      <c r="C1518" s="294" t="s">
        <v>866</v>
      </c>
      <c r="D1518" s="317">
        <v>66249</v>
      </c>
      <c r="E1518" s="122" t="s">
        <v>867</v>
      </c>
      <c r="F1518" s="122" t="s">
        <v>868</v>
      </c>
      <c r="G1518" s="122" t="s">
        <v>785</v>
      </c>
      <c r="H1518" s="122" t="s">
        <v>777</v>
      </c>
      <c r="I1518" s="312">
        <v>2023</v>
      </c>
      <c r="J1518" s="122" t="s">
        <v>713</v>
      </c>
      <c r="K1518" s="283">
        <v>7537</v>
      </c>
      <c r="L1518" s="318">
        <v>-33.869323999999999</v>
      </c>
      <c r="M1518" s="318">
        <v>150.96348599999999</v>
      </c>
      <c r="O1518">
        <f>INDEX('MEC - traffic congestion'!$M$145:$M$249,MATCH($D1518,'MEC - traffic congestion'!$C$145:$C$249,0))</f>
        <v>1</v>
      </c>
      <c r="P1518" t="str">
        <f t="shared" si="65"/>
        <v>2023WEEKENDS</v>
      </c>
      <c r="Q1518">
        <f t="shared" si="66"/>
        <v>1</v>
      </c>
      <c r="R1518" s="195" t="str">
        <f t="shared" si="67"/>
        <v>2023LIGHT VEHICLES</v>
      </c>
    </row>
    <row r="1519" spans="3:18" x14ac:dyDescent="0.25">
      <c r="C1519" s="294" t="s">
        <v>866</v>
      </c>
      <c r="D1519" s="317">
        <v>66249</v>
      </c>
      <c r="E1519" s="122" t="s">
        <v>867</v>
      </c>
      <c r="F1519" s="122" t="s">
        <v>868</v>
      </c>
      <c r="G1519" s="122" t="s">
        <v>786</v>
      </c>
      <c r="H1519" s="122" t="s">
        <v>777</v>
      </c>
      <c r="I1519" s="312">
        <v>2023</v>
      </c>
      <c r="J1519" s="122" t="s">
        <v>713</v>
      </c>
      <c r="K1519" s="283">
        <v>7572</v>
      </c>
      <c r="L1519" s="318">
        <v>-33.869323999999999</v>
      </c>
      <c r="M1519" s="318">
        <v>150.96348599999999</v>
      </c>
      <c r="O1519">
        <f>INDEX('MEC - traffic congestion'!$M$145:$M$249,MATCH($D1519,'MEC - traffic congestion'!$C$145:$C$249,0))</f>
        <v>1</v>
      </c>
      <c r="P1519" t="str">
        <f t="shared" si="65"/>
        <v>2023WEEKENDS</v>
      </c>
      <c r="Q1519">
        <f t="shared" si="66"/>
        <v>1</v>
      </c>
      <c r="R1519" s="195" t="str">
        <f t="shared" si="67"/>
        <v>2023LIGHT VEHICLES</v>
      </c>
    </row>
    <row r="1520" spans="3:18" x14ac:dyDescent="0.25">
      <c r="C1520" s="294" t="s">
        <v>866</v>
      </c>
      <c r="D1520" s="317">
        <v>66249</v>
      </c>
      <c r="E1520" s="122" t="s">
        <v>867</v>
      </c>
      <c r="F1520" s="122" t="s">
        <v>868</v>
      </c>
      <c r="G1520" s="122" t="s">
        <v>785</v>
      </c>
      <c r="H1520" s="122" t="s">
        <v>777</v>
      </c>
      <c r="I1520" s="312">
        <v>2024</v>
      </c>
      <c r="J1520" s="122" t="s">
        <v>709</v>
      </c>
      <c r="K1520" s="283">
        <v>2507</v>
      </c>
      <c r="L1520" s="318">
        <v>-33.869323999999999</v>
      </c>
      <c r="M1520" s="318">
        <v>150.96348599999999</v>
      </c>
      <c r="O1520">
        <f>INDEX('MEC - traffic congestion'!$M$145:$M$249,MATCH($D1520,'MEC - traffic congestion'!$C$145:$C$249,0))</f>
        <v>1</v>
      </c>
      <c r="P1520" t="str">
        <f t="shared" si="65"/>
        <v>2024AM PEAK</v>
      </c>
      <c r="Q1520">
        <f t="shared" si="66"/>
        <v>1</v>
      </c>
      <c r="R1520" s="195" t="str">
        <f t="shared" si="67"/>
        <v>2024LIGHT VEHICLES</v>
      </c>
    </row>
    <row r="1521" spans="3:18" x14ac:dyDescent="0.25">
      <c r="C1521" s="294" t="s">
        <v>866</v>
      </c>
      <c r="D1521" s="317">
        <v>66249</v>
      </c>
      <c r="E1521" s="122" t="s">
        <v>867</v>
      </c>
      <c r="F1521" s="122" t="s">
        <v>868</v>
      </c>
      <c r="G1521" s="122" t="s">
        <v>786</v>
      </c>
      <c r="H1521" s="122" t="s">
        <v>777</v>
      </c>
      <c r="I1521" s="312">
        <v>2024</v>
      </c>
      <c r="J1521" s="122" t="s">
        <v>709</v>
      </c>
      <c r="K1521" s="283">
        <v>1392</v>
      </c>
      <c r="L1521" s="318">
        <v>-33.869323999999999</v>
      </c>
      <c r="M1521" s="318">
        <v>150.96348599999999</v>
      </c>
      <c r="O1521">
        <f>INDEX('MEC - traffic congestion'!$M$145:$M$249,MATCH($D1521,'MEC - traffic congestion'!$C$145:$C$249,0))</f>
        <v>1</v>
      </c>
      <c r="P1521" t="str">
        <f t="shared" si="65"/>
        <v>2024AM PEAK</v>
      </c>
      <c r="Q1521">
        <f t="shared" si="66"/>
        <v>1</v>
      </c>
      <c r="R1521" s="195" t="str">
        <f t="shared" si="67"/>
        <v>2024LIGHT VEHICLES</v>
      </c>
    </row>
    <row r="1522" spans="3:18" x14ac:dyDescent="0.25">
      <c r="C1522" s="294" t="s">
        <v>866</v>
      </c>
      <c r="D1522" s="317">
        <v>66249</v>
      </c>
      <c r="E1522" s="122" t="s">
        <v>867</v>
      </c>
      <c r="F1522" s="122" t="s">
        <v>868</v>
      </c>
      <c r="G1522" s="122" t="s">
        <v>785</v>
      </c>
      <c r="H1522" s="122" t="s">
        <v>777</v>
      </c>
      <c r="I1522" s="312">
        <v>2024</v>
      </c>
      <c r="J1522" s="122" t="s">
        <v>710</v>
      </c>
      <c r="K1522" s="283">
        <v>4839</v>
      </c>
      <c r="L1522" s="318">
        <v>-33.869323999999999</v>
      </c>
      <c r="M1522" s="318">
        <v>150.96348599999999</v>
      </c>
      <c r="O1522">
        <f>INDEX('MEC - traffic congestion'!$M$145:$M$249,MATCH($D1522,'MEC - traffic congestion'!$C$145:$C$249,0))</f>
        <v>1</v>
      </c>
      <c r="P1522" t="str">
        <f t="shared" si="65"/>
        <v>2024OFF PEAK</v>
      </c>
      <c r="Q1522">
        <f t="shared" si="66"/>
        <v>1</v>
      </c>
      <c r="R1522" s="195" t="str">
        <f t="shared" si="67"/>
        <v>2024LIGHT VEHICLES</v>
      </c>
    </row>
    <row r="1523" spans="3:18" x14ac:dyDescent="0.25">
      <c r="C1523" s="294" t="s">
        <v>866</v>
      </c>
      <c r="D1523" s="317">
        <v>66249</v>
      </c>
      <c r="E1523" s="122" t="s">
        <v>867</v>
      </c>
      <c r="F1523" s="122" t="s">
        <v>868</v>
      </c>
      <c r="G1523" s="122" t="s">
        <v>786</v>
      </c>
      <c r="H1523" s="122" t="s">
        <v>777</v>
      </c>
      <c r="I1523" s="312">
        <v>2024</v>
      </c>
      <c r="J1523" s="122" t="s">
        <v>710</v>
      </c>
      <c r="K1523" s="283">
        <v>4568</v>
      </c>
      <c r="L1523" s="318">
        <v>-33.869323999999999</v>
      </c>
      <c r="M1523" s="318">
        <v>150.96348599999999</v>
      </c>
      <c r="O1523">
        <f>INDEX('MEC - traffic congestion'!$M$145:$M$249,MATCH($D1523,'MEC - traffic congestion'!$C$145:$C$249,0))</f>
        <v>1</v>
      </c>
      <c r="P1523" t="str">
        <f t="shared" si="65"/>
        <v>2024OFF PEAK</v>
      </c>
      <c r="Q1523">
        <f t="shared" si="66"/>
        <v>1</v>
      </c>
      <c r="R1523" s="195" t="str">
        <f t="shared" si="67"/>
        <v>2024LIGHT VEHICLES</v>
      </c>
    </row>
    <row r="1524" spans="3:18" x14ac:dyDescent="0.25">
      <c r="C1524" s="294" t="s">
        <v>866</v>
      </c>
      <c r="D1524" s="317">
        <v>66249</v>
      </c>
      <c r="E1524" s="122" t="s">
        <v>867</v>
      </c>
      <c r="F1524" s="122" t="s">
        <v>868</v>
      </c>
      <c r="G1524" s="122" t="s">
        <v>785</v>
      </c>
      <c r="H1524" s="122" t="s">
        <v>777</v>
      </c>
      <c r="I1524" s="312">
        <v>2024</v>
      </c>
      <c r="J1524" s="122" t="s">
        <v>711</v>
      </c>
      <c r="K1524" s="283">
        <v>2331</v>
      </c>
      <c r="L1524" s="318">
        <v>-33.869323999999999</v>
      </c>
      <c r="M1524" s="318">
        <v>150.96348599999999</v>
      </c>
      <c r="O1524">
        <f>INDEX('MEC - traffic congestion'!$M$145:$M$249,MATCH($D1524,'MEC - traffic congestion'!$C$145:$C$249,0))</f>
        <v>1</v>
      </c>
      <c r="P1524" t="str">
        <f t="shared" si="65"/>
        <v>2024PM PEAK</v>
      </c>
      <c r="Q1524">
        <f t="shared" si="66"/>
        <v>1</v>
      </c>
      <c r="R1524" s="195" t="str">
        <f t="shared" si="67"/>
        <v>2024LIGHT VEHICLES</v>
      </c>
    </row>
    <row r="1525" spans="3:18" x14ac:dyDescent="0.25">
      <c r="C1525" s="294" t="s">
        <v>866</v>
      </c>
      <c r="D1525" s="317">
        <v>66249</v>
      </c>
      <c r="E1525" s="122" t="s">
        <v>867</v>
      </c>
      <c r="F1525" s="122" t="s">
        <v>868</v>
      </c>
      <c r="G1525" s="122" t="s">
        <v>786</v>
      </c>
      <c r="H1525" s="122" t="s">
        <v>777</v>
      </c>
      <c r="I1525" s="312">
        <v>2024</v>
      </c>
      <c r="J1525" s="122" t="s">
        <v>711</v>
      </c>
      <c r="K1525" s="283">
        <v>3013</v>
      </c>
      <c r="L1525" s="318">
        <v>-33.869323999999999</v>
      </c>
      <c r="M1525" s="318">
        <v>150.96348599999999</v>
      </c>
      <c r="O1525">
        <f>INDEX('MEC - traffic congestion'!$M$145:$M$249,MATCH($D1525,'MEC - traffic congestion'!$C$145:$C$249,0))</f>
        <v>1</v>
      </c>
      <c r="P1525" t="str">
        <f t="shared" si="65"/>
        <v>2024PM PEAK</v>
      </c>
      <c r="Q1525">
        <f t="shared" si="66"/>
        <v>1</v>
      </c>
      <c r="R1525" s="195" t="str">
        <f t="shared" si="67"/>
        <v>2024LIGHT VEHICLES</v>
      </c>
    </row>
    <row r="1526" spans="3:18" x14ac:dyDescent="0.25">
      <c r="C1526" s="294" t="s">
        <v>866</v>
      </c>
      <c r="D1526" s="317">
        <v>66249</v>
      </c>
      <c r="E1526" s="122" t="s">
        <v>867</v>
      </c>
      <c r="F1526" s="122" t="s">
        <v>868</v>
      </c>
      <c r="G1526" s="122" t="s">
        <v>785</v>
      </c>
      <c r="H1526" s="122" t="s">
        <v>777</v>
      </c>
      <c r="I1526" s="312">
        <v>2024</v>
      </c>
      <c r="J1526" s="122" t="s">
        <v>713</v>
      </c>
      <c r="K1526" s="283">
        <v>7805</v>
      </c>
      <c r="L1526" s="318">
        <v>-33.869323999999999</v>
      </c>
      <c r="M1526" s="318">
        <v>150.96348599999999</v>
      </c>
      <c r="O1526">
        <f>INDEX('MEC - traffic congestion'!$M$145:$M$249,MATCH($D1526,'MEC - traffic congestion'!$C$145:$C$249,0))</f>
        <v>1</v>
      </c>
      <c r="P1526" t="str">
        <f t="shared" si="65"/>
        <v>2024WEEKENDS</v>
      </c>
      <c r="Q1526">
        <f t="shared" si="66"/>
        <v>1</v>
      </c>
      <c r="R1526" s="195" t="str">
        <f t="shared" si="67"/>
        <v>2024LIGHT VEHICLES</v>
      </c>
    </row>
    <row r="1527" spans="3:18" x14ac:dyDescent="0.25">
      <c r="C1527" s="294" t="s">
        <v>866</v>
      </c>
      <c r="D1527" s="317">
        <v>66249</v>
      </c>
      <c r="E1527" s="122" t="s">
        <v>867</v>
      </c>
      <c r="F1527" s="122" t="s">
        <v>868</v>
      </c>
      <c r="G1527" s="122" t="s">
        <v>786</v>
      </c>
      <c r="H1527" s="122" t="s">
        <v>777</v>
      </c>
      <c r="I1527" s="312">
        <v>2024</v>
      </c>
      <c r="J1527" s="122" t="s">
        <v>713</v>
      </c>
      <c r="K1527" s="283">
        <v>7646</v>
      </c>
      <c r="L1527" s="318">
        <v>-33.869323999999999</v>
      </c>
      <c r="M1527" s="318">
        <v>150.96348599999999</v>
      </c>
      <c r="O1527">
        <f>INDEX('MEC - traffic congestion'!$M$145:$M$249,MATCH($D1527,'MEC - traffic congestion'!$C$145:$C$249,0))</f>
        <v>1</v>
      </c>
      <c r="P1527" t="str">
        <f t="shared" si="65"/>
        <v>2024WEEKENDS</v>
      </c>
      <c r="Q1527">
        <f t="shared" si="66"/>
        <v>1</v>
      </c>
      <c r="R1527" s="195" t="str">
        <f t="shared" si="67"/>
        <v>2024LIGHT VEHICLES</v>
      </c>
    </row>
    <row r="1528" spans="3:18" x14ac:dyDescent="0.25">
      <c r="C1528" s="294" t="s">
        <v>869</v>
      </c>
      <c r="D1528" s="317">
        <v>68025</v>
      </c>
      <c r="E1528" s="122" t="s">
        <v>870</v>
      </c>
      <c r="F1528" s="122" t="s">
        <v>871</v>
      </c>
      <c r="G1528" s="122" t="s">
        <v>785</v>
      </c>
      <c r="H1528" s="122" t="s">
        <v>777</v>
      </c>
      <c r="I1528" s="312">
        <v>2018</v>
      </c>
      <c r="J1528" s="122" t="s">
        <v>709</v>
      </c>
      <c r="K1528" s="283">
        <v>4823</v>
      </c>
      <c r="L1528" s="318">
        <v>-33.816696</v>
      </c>
      <c r="M1528" s="318">
        <v>150.97662299999999</v>
      </c>
      <c r="O1528">
        <f>INDEX('MEC - traffic congestion'!$M$145:$M$249,MATCH($D1528,'MEC - traffic congestion'!$C$145:$C$249,0))</f>
        <v>1</v>
      </c>
      <c r="P1528" t="str">
        <f t="shared" si="65"/>
        <v>2018AM PEAK</v>
      </c>
      <c r="Q1528">
        <f t="shared" si="66"/>
        <v>1</v>
      </c>
      <c r="R1528" s="195" t="str">
        <f t="shared" si="67"/>
        <v>2018LIGHT VEHICLES</v>
      </c>
    </row>
    <row r="1529" spans="3:18" x14ac:dyDescent="0.25">
      <c r="C1529" s="294" t="s">
        <v>869</v>
      </c>
      <c r="D1529" s="317">
        <v>68025</v>
      </c>
      <c r="E1529" s="122" t="s">
        <v>870</v>
      </c>
      <c r="F1529" s="122" t="s">
        <v>871</v>
      </c>
      <c r="G1529" s="122" t="s">
        <v>786</v>
      </c>
      <c r="H1529" s="122" t="s">
        <v>777</v>
      </c>
      <c r="I1529" s="312">
        <v>2018</v>
      </c>
      <c r="J1529" s="122" t="s">
        <v>709</v>
      </c>
      <c r="K1529" s="283">
        <v>2883</v>
      </c>
      <c r="L1529" s="318">
        <v>-33.816696</v>
      </c>
      <c r="M1529" s="318">
        <v>150.97662299999999</v>
      </c>
      <c r="O1529">
        <f>INDEX('MEC - traffic congestion'!$M$145:$M$249,MATCH($D1529,'MEC - traffic congestion'!$C$145:$C$249,0))</f>
        <v>1</v>
      </c>
      <c r="P1529" t="str">
        <f t="shared" si="65"/>
        <v>2018AM PEAK</v>
      </c>
      <c r="Q1529">
        <f t="shared" si="66"/>
        <v>1</v>
      </c>
      <c r="R1529" s="195" t="str">
        <f t="shared" si="67"/>
        <v>2018LIGHT VEHICLES</v>
      </c>
    </row>
    <row r="1530" spans="3:18" x14ac:dyDescent="0.25">
      <c r="C1530" s="294" t="s">
        <v>869</v>
      </c>
      <c r="D1530" s="317">
        <v>68025</v>
      </c>
      <c r="E1530" s="122" t="s">
        <v>870</v>
      </c>
      <c r="F1530" s="122" t="s">
        <v>871</v>
      </c>
      <c r="G1530" s="122" t="s">
        <v>785</v>
      </c>
      <c r="H1530" s="122" t="s">
        <v>777</v>
      </c>
      <c r="I1530" s="312">
        <v>2018</v>
      </c>
      <c r="J1530" s="122" t="s">
        <v>710</v>
      </c>
      <c r="K1530" s="283">
        <v>7829</v>
      </c>
      <c r="L1530" s="318">
        <v>-33.816696</v>
      </c>
      <c r="M1530" s="318">
        <v>150.97662299999999</v>
      </c>
      <c r="O1530">
        <f>INDEX('MEC - traffic congestion'!$M$145:$M$249,MATCH($D1530,'MEC - traffic congestion'!$C$145:$C$249,0))</f>
        <v>1</v>
      </c>
      <c r="P1530" t="str">
        <f t="shared" si="65"/>
        <v>2018OFF PEAK</v>
      </c>
      <c r="Q1530">
        <f t="shared" si="66"/>
        <v>1</v>
      </c>
      <c r="R1530" s="195" t="str">
        <f t="shared" si="67"/>
        <v>2018LIGHT VEHICLES</v>
      </c>
    </row>
    <row r="1531" spans="3:18" x14ac:dyDescent="0.25">
      <c r="C1531" s="294" t="s">
        <v>869</v>
      </c>
      <c r="D1531" s="317">
        <v>68025</v>
      </c>
      <c r="E1531" s="122" t="s">
        <v>870</v>
      </c>
      <c r="F1531" s="122" t="s">
        <v>871</v>
      </c>
      <c r="G1531" s="122" t="s">
        <v>786</v>
      </c>
      <c r="H1531" s="122" t="s">
        <v>777</v>
      </c>
      <c r="I1531" s="312">
        <v>2018</v>
      </c>
      <c r="J1531" s="122" t="s">
        <v>710</v>
      </c>
      <c r="K1531" s="283">
        <v>9311</v>
      </c>
      <c r="L1531" s="318">
        <v>-33.816696</v>
      </c>
      <c r="M1531" s="318">
        <v>150.97662299999999</v>
      </c>
      <c r="O1531">
        <f>INDEX('MEC - traffic congestion'!$M$145:$M$249,MATCH($D1531,'MEC - traffic congestion'!$C$145:$C$249,0))</f>
        <v>1</v>
      </c>
      <c r="P1531" t="str">
        <f t="shared" si="65"/>
        <v>2018OFF PEAK</v>
      </c>
      <c r="Q1531">
        <f t="shared" si="66"/>
        <v>1</v>
      </c>
      <c r="R1531" s="195" t="str">
        <f t="shared" si="67"/>
        <v>2018LIGHT VEHICLES</v>
      </c>
    </row>
    <row r="1532" spans="3:18" x14ac:dyDescent="0.25">
      <c r="C1532" s="294" t="s">
        <v>869</v>
      </c>
      <c r="D1532" s="317">
        <v>68025</v>
      </c>
      <c r="E1532" s="122" t="s">
        <v>870</v>
      </c>
      <c r="F1532" s="122" t="s">
        <v>871</v>
      </c>
      <c r="G1532" s="122" t="s">
        <v>785</v>
      </c>
      <c r="H1532" s="122" t="s">
        <v>777</v>
      </c>
      <c r="I1532" s="312">
        <v>2018</v>
      </c>
      <c r="J1532" s="122" t="s">
        <v>711</v>
      </c>
      <c r="K1532" s="283">
        <v>3848</v>
      </c>
      <c r="L1532" s="318">
        <v>-33.816696</v>
      </c>
      <c r="M1532" s="318">
        <v>150.97662299999999</v>
      </c>
      <c r="O1532">
        <f>INDEX('MEC - traffic congestion'!$M$145:$M$249,MATCH($D1532,'MEC - traffic congestion'!$C$145:$C$249,0))</f>
        <v>1</v>
      </c>
      <c r="P1532" t="str">
        <f t="shared" si="65"/>
        <v>2018PM PEAK</v>
      </c>
      <c r="Q1532">
        <f t="shared" si="66"/>
        <v>1</v>
      </c>
      <c r="R1532" s="195" t="str">
        <f t="shared" si="67"/>
        <v>2018LIGHT VEHICLES</v>
      </c>
    </row>
    <row r="1533" spans="3:18" x14ac:dyDescent="0.25">
      <c r="C1533" s="294" t="s">
        <v>869</v>
      </c>
      <c r="D1533" s="317">
        <v>68025</v>
      </c>
      <c r="E1533" s="122" t="s">
        <v>870</v>
      </c>
      <c r="F1533" s="122" t="s">
        <v>871</v>
      </c>
      <c r="G1533" s="122" t="s">
        <v>786</v>
      </c>
      <c r="H1533" s="122" t="s">
        <v>777</v>
      </c>
      <c r="I1533" s="312">
        <v>2018</v>
      </c>
      <c r="J1533" s="122" t="s">
        <v>711</v>
      </c>
      <c r="K1533" s="283">
        <v>6283</v>
      </c>
      <c r="L1533" s="318">
        <v>-33.816696</v>
      </c>
      <c r="M1533" s="318">
        <v>150.97662299999999</v>
      </c>
      <c r="O1533">
        <f>INDEX('MEC - traffic congestion'!$M$145:$M$249,MATCH($D1533,'MEC - traffic congestion'!$C$145:$C$249,0))</f>
        <v>1</v>
      </c>
      <c r="P1533" t="str">
        <f t="shared" si="65"/>
        <v>2018PM PEAK</v>
      </c>
      <c r="Q1533">
        <f t="shared" si="66"/>
        <v>1</v>
      </c>
      <c r="R1533" s="195" t="str">
        <f t="shared" si="67"/>
        <v>2018LIGHT VEHICLES</v>
      </c>
    </row>
    <row r="1534" spans="3:18" x14ac:dyDescent="0.25">
      <c r="C1534" s="294" t="s">
        <v>869</v>
      </c>
      <c r="D1534" s="317">
        <v>68025</v>
      </c>
      <c r="E1534" s="122" t="s">
        <v>870</v>
      </c>
      <c r="F1534" s="122" t="s">
        <v>871</v>
      </c>
      <c r="G1534" s="122" t="s">
        <v>785</v>
      </c>
      <c r="H1534" s="122" t="s">
        <v>777</v>
      </c>
      <c r="I1534" s="312">
        <v>2018</v>
      </c>
      <c r="J1534" s="122" t="s">
        <v>712</v>
      </c>
      <c r="K1534" s="283">
        <v>10857</v>
      </c>
      <c r="L1534" s="318">
        <v>-33.816696</v>
      </c>
      <c r="M1534" s="318">
        <v>150.97662299999999</v>
      </c>
      <c r="O1534">
        <f>INDEX('MEC - traffic congestion'!$M$145:$M$249,MATCH($D1534,'MEC - traffic congestion'!$C$145:$C$249,0))</f>
        <v>1</v>
      </c>
      <c r="P1534" t="str">
        <f t="shared" si="65"/>
        <v>2018PUBLIC HOLIDAYS</v>
      </c>
      <c r="Q1534">
        <f t="shared" si="66"/>
        <v>1</v>
      </c>
      <c r="R1534" s="195" t="str">
        <f t="shared" si="67"/>
        <v>2018LIGHT VEHICLES</v>
      </c>
    </row>
    <row r="1535" spans="3:18" x14ac:dyDescent="0.25">
      <c r="C1535" s="294" t="s">
        <v>869</v>
      </c>
      <c r="D1535" s="317">
        <v>68025</v>
      </c>
      <c r="E1535" s="122" t="s">
        <v>870</v>
      </c>
      <c r="F1535" s="122" t="s">
        <v>871</v>
      </c>
      <c r="G1535" s="122" t="s">
        <v>786</v>
      </c>
      <c r="H1535" s="122" t="s">
        <v>777</v>
      </c>
      <c r="I1535" s="312">
        <v>2018</v>
      </c>
      <c r="J1535" s="122" t="s">
        <v>712</v>
      </c>
      <c r="K1535" s="283">
        <v>11844</v>
      </c>
      <c r="L1535" s="318">
        <v>-33.816696</v>
      </c>
      <c r="M1535" s="318">
        <v>150.97662299999999</v>
      </c>
      <c r="O1535">
        <f>INDEX('MEC - traffic congestion'!$M$145:$M$249,MATCH($D1535,'MEC - traffic congestion'!$C$145:$C$249,0))</f>
        <v>1</v>
      </c>
      <c r="P1535" t="str">
        <f t="shared" si="65"/>
        <v>2018PUBLIC HOLIDAYS</v>
      </c>
      <c r="Q1535">
        <f t="shared" si="66"/>
        <v>1</v>
      </c>
      <c r="R1535" s="195" t="str">
        <f t="shared" si="67"/>
        <v>2018LIGHT VEHICLES</v>
      </c>
    </row>
    <row r="1536" spans="3:18" x14ac:dyDescent="0.25">
      <c r="C1536" s="294" t="s">
        <v>869</v>
      </c>
      <c r="D1536" s="317">
        <v>68025</v>
      </c>
      <c r="E1536" s="122" t="s">
        <v>870</v>
      </c>
      <c r="F1536" s="122" t="s">
        <v>871</v>
      </c>
      <c r="G1536" s="122" t="s">
        <v>785</v>
      </c>
      <c r="H1536" s="122" t="s">
        <v>777</v>
      </c>
      <c r="I1536" s="312">
        <v>2018</v>
      </c>
      <c r="J1536" s="122" t="s">
        <v>713</v>
      </c>
      <c r="K1536" s="283">
        <v>14086</v>
      </c>
      <c r="L1536" s="318">
        <v>-33.816696</v>
      </c>
      <c r="M1536" s="318">
        <v>150.97662299999999</v>
      </c>
      <c r="O1536">
        <f>INDEX('MEC - traffic congestion'!$M$145:$M$249,MATCH($D1536,'MEC - traffic congestion'!$C$145:$C$249,0))</f>
        <v>1</v>
      </c>
      <c r="P1536" t="str">
        <f t="shared" si="65"/>
        <v>2018WEEKENDS</v>
      </c>
      <c r="Q1536">
        <f t="shared" si="66"/>
        <v>1</v>
      </c>
      <c r="R1536" s="195" t="str">
        <f t="shared" si="67"/>
        <v>2018LIGHT VEHICLES</v>
      </c>
    </row>
    <row r="1537" spans="3:18" x14ac:dyDescent="0.25">
      <c r="C1537" s="294" t="s">
        <v>869</v>
      </c>
      <c r="D1537" s="317">
        <v>68025</v>
      </c>
      <c r="E1537" s="122" t="s">
        <v>870</v>
      </c>
      <c r="F1537" s="122" t="s">
        <v>871</v>
      </c>
      <c r="G1537" s="122" t="s">
        <v>786</v>
      </c>
      <c r="H1537" s="122" t="s">
        <v>777</v>
      </c>
      <c r="I1537" s="312">
        <v>2018</v>
      </c>
      <c r="J1537" s="122" t="s">
        <v>713</v>
      </c>
      <c r="K1537" s="283">
        <v>16831</v>
      </c>
      <c r="L1537" s="318">
        <v>-33.816696</v>
      </c>
      <c r="M1537" s="318">
        <v>150.97662299999999</v>
      </c>
      <c r="O1537">
        <f>INDEX('MEC - traffic congestion'!$M$145:$M$249,MATCH($D1537,'MEC - traffic congestion'!$C$145:$C$249,0))</f>
        <v>1</v>
      </c>
      <c r="P1537" t="str">
        <f t="shared" si="65"/>
        <v>2018WEEKENDS</v>
      </c>
      <c r="Q1537">
        <f t="shared" si="66"/>
        <v>1</v>
      </c>
      <c r="R1537" s="195" t="str">
        <f t="shared" si="67"/>
        <v>2018LIGHT VEHICLES</v>
      </c>
    </row>
    <row r="1538" spans="3:18" x14ac:dyDescent="0.25">
      <c r="C1538" s="294" t="s">
        <v>869</v>
      </c>
      <c r="D1538" s="317">
        <v>68025</v>
      </c>
      <c r="E1538" s="122" t="s">
        <v>870</v>
      </c>
      <c r="F1538" s="122" t="s">
        <v>871</v>
      </c>
      <c r="G1538" s="122" t="s">
        <v>785</v>
      </c>
      <c r="H1538" s="122" t="s">
        <v>777</v>
      </c>
      <c r="I1538" s="312">
        <v>2019</v>
      </c>
      <c r="J1538" s="122" t="s">
        <v>709</v>
      </c>
      <c r="K1538" s="283">
        <v>4641</v>
      </c>
      <c r="L1538" s="318">
        <v>-33.816696</v>
      </c>
      <c r="M1538" s="318">
        <v>150.97662299999999</v>
      </c>
      <c r="O1538">
        <f>INDEX('MEC - traffic congestion'!$M$145:$M$249,MATCH($D1538,'MEC - traffic congestion'!$C$145:$C$249,0))</f>
        <v>1</v>
      </c>
      <c r="P1538" t="str">
        <f t="shared" si="65"/>
        <v>2019AM PEAK</v>
      </c>
      <c r="Q1538">
        <f t="shared" si="66"/>
        <v>1</v>
      </c>
      <c r="R1538" s="195" t="str">
        <f t="shared" si="67"/>
        <v>2019LIGHT VEHICLES</v>
      </c>
    </row>
    <row r="1539" spans="3:18" x14ac:dyDescent="0.25">
      <c r="C1539" s="294" t="s">
        <v>869</v>
      </c>
      <c r="D1539" s="317">
        <v>68025</v>
      </c>
      <c r="E1539" s="122" t="s">
        <v>870</v>
      </c>
      <c r="F1539" s="122" t="s">
        <v>871</v>
      </c>
      <c r="G1539" s="122" t="s">
        <v>786</v>
      </c>
      <c r="H1539" s="122" t="s">
        <v>777</v>
      </c>
      <c r="I1539" s="312">
        <v>2019</v>
      </c>
      <c r="J1539" s="122" t="s">
        <v>709</v>
      </c>
      <c r="K1539" s="283">
        <v>2815</v>
      </c>
      <c r="L1539" s="318">
        <v>-33.816696</v>
      </c>
      <c r="M1539" s="318">
        <v>150.97662299999999</v>
      </c>
      <c r="O1539">
        <f>INDEX('MEC - traffic congestion'!$M$145:$M$249,MATCH($D1539,'MEC - traffic congestion'!$C$145:$C$249,0))</f>
        <v>1</v>
      </c>
      <c r="P1539" t="str">
        <f t="shared" si="65"/>
        <v>2019AM PEAK</v>
      </c>
      <c r="Q1539">
        <f t="shared" si="66"/>
        <v>1</v>
      </c>
      <c r="R1539" s="195" t="str">
        <f t="shared" si="67"/>
        <v>2019LIGHT VEHICLES</v>
      </c>
    </row>
    <row r="1540" spans="3:18" x14ac:dyDescent="0.25">
      <c r="C1540" s="294" t="s">
        <v>869</v>
      </c>
      <c r="D1540" s="317">
        <v>68025</v>
      </c>
      <c r="E1540" s="122" t="s">
        <v>870</v>
      </c>
      <c r="F1540" s="122" t="s">
        <v>871</v>
      </c>
      <c r="G1540" s="122" t="s">
        <v>785</v>
      </c>
      <c r="H1540" s="122" t="s">
        <v>777</v>
      </c>
      <c r="I1540" s="312">
        <v>2019</v>
      </c>
      <c r="J1540" s="122" t="s">
        <v>710</v>
      </c>
      <c r="K1540" s="283">
        <v>7817</v>
      </c>
      <c r="L1540" s="318">
        <v>-33.816696</v>
      </c>
      <c r="M1540" s="318">
        <v>150.97662299999999</v>
      </c>
      <c r="O1540">
        <f>INDEX('MEC - traffic congestion'!$M$145:$M$249,MATCH($D1540,'MEC - traffic congestion'!$C$145:$C$249,0))</f>
        <v>1</v>
      </c>
      <c r="P1540" t="str">
        <f t="shared" si="65"/>
        <v>2019OFF PEAK</v>
      </c>
      <c r="Q1540">
        <f t="shared" si="66"/>
        <v>1</v>
      </c>
      <c r="R1540" s="195" t="str">
        <f t="shared" si="67"/>
        <v>2019LIGHT VEHICLES</v>
      </c>
    </row>
    <row r="1541" spans="3:18" x14ac:dyDescent="0.25">
      <c r="C1541" s="294" t="s">
        <v>869</v>
      </c>
      <c r="D1541" s="317">
        <v>68025</v>
      </c>
      <c r="E1541" s="122" t="s">
        <v>870</v>
      </c>
      <c r="F1541" s="122" t="s">
        <v>871</v>
      </c>
      <c r="G1541" s="122" t="s">
        <v>786</v>
      </c>
      <c r="H1541" s="122" t="s">
        <v>777</v>
      </c>
      <c r="I1541" s="312">
        <v>2019</v>
      </c>
      <c r="J1541" s="122" t="s">
        <v>710</v>
      </c>
      <c r="K1541" s="283">
        <v>9109</v>
      </c>
      <c r="L1541" s="318">
        <v>-33.816696</v>
      </c>
      <c r="M1541" s="318">
        <v>150.97662299999999</v>
      </c>
      <c r="O1541">
        <f>INDEX('MEC - traffic congestion'!$M$145:$M$249,MATCH($D1541,'MEC - traffic congestion'!$C$145:$C$249,0))</f>
        <v>1</v>
      </c>
      <c r="P1541" t="str">
        <f t="shared" si="65"/>
        <v>2019OFF PEAK</v>
      </c>
      <c r="Q1541">
        <f t="shared" si="66"/>
        <v>1</v>
      </c>
      <c r="R1541" s="195" t="str">
        <f t="shared" si="67"/>
        <v>2019LIGHT VEHICLES</v>
      </c>
    </row>
    <row r="1542" spans="3:18" x14ac:dyDescent="0.25">
      <c r="C1542" s="294" t="s">
        <v>869</v>
      </c>
      <c r="D1542" s="317">
        <v>68025</v>
      </c>
      <c r="E1542" s="122" t="s">
        <v>870</v>
      </c>
      <c r="F1542" s="122" t="s">
        <v>871</v>
      </c>
      <c r="G1542" s="122" t="s">
        <v>785</v>
      </c>
      <c r="H1542" s="122" t="s">
        <v>777</v>
      </c>
      <c r="I1542" s="312">
        <v>2019</v>
      </c>
      <c r="J1542" s="122" t="s">
        <v>711</v>
      </c>
      <c r="K1542" s="283">
        <v>3818</v>
      </c>
      <c r="L1542" s="318">
        <v>-33.816696</v>
      </c>
      <c r="M1542" s="318">
        <v>150.97662299999999</v>
      </c>
      <c r="O1542">
        <f>INDEX('MEC - traffic congestion'!$M$145:$M$249,MATCH($D1542,'MEC - traffic congestion'!$C$145:$C$249,0))</f>
        <v>1</v>
      </c>
      <c r="P1542" t="str">
        <f t="shared" si="65"/>
        <v>2019PM PEAK</v>
      </c>
      <c r="Q1542">
        <f t="shared" si="66"/>
        <v>1</v>
      </c>
      <c r="R1542" s="195" t="str">
        <f t="shared" si="67"/>
        <v>2019LIGHT VEHICLES</v>
      </c>
    </row>
    <row r="1543" spans="3:18" x14ac:dyDescent="0.25">
      <c r="C1543" s="294" t="s">
        <v>869</v>
      </c>
      <c r="D1543" s="317">
        <v>68025</v>
      </c>
      <c r="E1543" s="122" t="s">
        <v>870</v>
      </c>
      <c r="F1543" s="122" t="s">
        <v>871</v>
      </c>
      <c r="G1543" s="122" t="s">
        <v>786</v>
      </c>
      <c r="H1543" s="122" t="s">
        <v>777</v>
      </c>
      <c r="I1543" s="312">
        <v>2019</v>
      </c>
      <c r="J1543" s="122" t="s">
        <v>711</v>
      </c>
      <c r="K1543" s="283">
        <v>5721</v>
      </c>
      <c r="L1543" s="318">
        <v>-33.816696</v>
      </c>
      <c r="M1543" s="318">
        <v>150.97662299999999</v>
      </c>
      <c r="O1543">
        <f>INDEX('MEC - traffic congestion'!$M$145:$M$249,MATCH($D1543,'MEC - traffic congestion'!$C$145:$C$249,0))</f>
        <v>1</v>
      </c>
      <c r="P1543" t="str">
        <f t="shared" si="65"/>
        <v>2019PM PEAK</v>
      </c>
      <c r="Q1543">
        <f t="shared" si="66"/>
        <v>1</v>
      </c>
      <c r="R1543" s="195" t="str">
        <f t="shared" si="67"/>
        <v>2019LIGHT VEHICLES</v>
      </c>
    </row>
    <row r="1544" spans="3:18" x14ac:dyDescent="0.25">
      <c r="C1544" s="294" t="s">
        <v>869</v>
      </c>
      <c r="D1544" s="317">
        <v>68025</v>
      </c>
      <c r="E1544" s="122" t="s">
        <v>870</v>
      </c>
      <c r="F1544" s="122" t="s">
        <v>871</v>
      </c>
      <c r="G1544" s="122" t="s">
        <v>785</v>
      </c>
      <c r="H1544" s="122" t="s">
        <v>777</v>
      </c>
      <c r="I1544" s="312">
        <v>2019</v>
      </c>
      <c r="J1544" s="122" t="s">
        <v>712</v>
      </c>
      <c r="K1544" s="283">
        <v>10897</v>
      </c>
      <c r="L1544" s="318">
        <v>-33.816696</v>
      </c>
      <c r="M1544" s="318">
        <v>150.97662299999999</v>
      </c>
      <c r="O1544">
        <f>INDEX('MEC - traffic congestion'!$M$145:$M$249,MATCH($D1544,'MEC - traffic congestion'!$C$145:$C$249,0))</f>
        <v>1</v>
      </c>
      <c r="P1544" t="str">
        <f t="shared" si="65"/>
        <v>2019PUBLIC HOLIDAYS</v>
      </c>
      <c r="Q1544">
        <f t="shared" si="66"/>
        <v>1</v>
      </c>
      <c r="R1544" s="195" t="str">
        <f t="shared" si="67"/>
        <v>2019LIGHT VEHICLES</v>
      </c>
    </row>
    <row r="1545" spans="3:18" x14ac:dyDescent="0.25">
      <c r="C1545" s="294" t="s">
        <v>869</v>
      </c>
      <c r="D1545" s="317">
        <v>68025</v>
      </c>
      <c r="E1545" s="122" t="s">
        <v>870</v>
      </c>
      <c r="F1545" s="122" t="s">
        <v>871</v>
      </c>
      <c r="G1545" s="122" t="s">
        <v>786</v>
      </c>
      <c r="H1545" s="122" t="s">
        <v>777</v>
      </c>
      <c r="I1545" s="312">
        <v>2019</v>
      </c>
      <c r="J1545" s="122" t="s">
        <v>712</v>
      </c>
      <c r="K1545" s="283">
        <v>12617</v>
      </c>
      <c r="L1545" s="318">
        <v>-33.816696</v>
      </c>
      <c r="M1545" s="318">
        <v>150.97662299999999</v>
      </c>
      <c r="O1545">
        <f>INDEX('MEC - traffic congestion'!$M$145:$M$249,MATCH($D1545,'MEC - traffic congestion'!$C$145:$C$249,0))</f>
        <v>1</v>
      </c>
      <c r="P1545" t="str">
        <f t="shared" si="65"/>
        <v>2019PUBLIC HOLIDAYS</v>
      </c>
      <c r="Q1545">
        <f t="shared" si="66"/>
        <v>1</v>
      </c>
      <c r="R1545" s="195" t="str">
        <f t="shared" si="67"/>
        <v>2019LIGHT VEHICLES</v>
      </c>
    </row>
    <row r="1546" spans="3:18" x14ac:dyDescent="0.25">
      <c r="C1546" s="294" t="s">
        <v>869</v>
      </c>
      <c r="D1546" s="317">
        <v>68025</v>
      </c>
      <c r="E1546" s="122" t="s">
        <v>870</v>
      </c>
      <c r="F1546" s="122" t="s">
        <v>871</v>
      </c>
      <c r="G1546" s="122" t="s">
        <v>785</v>
      </c>
      <c r="H1546" s="122" t="s">
        <v>777</v>
      </c>
      <c r="I1546" s="312">
        <v>2019</v>
      </c>
      <c r="J1546" s="122" t="s">
        <v>713</v>
      </c>
      <c r="K1546" s="283">
        <v>14151</v>
      </c>
      <c r="L1546" s="318">
        <v>-33.816696</v>
      </c>
      <c r="M1546" s="318">
        <v>150.97662299999999</v>
      </c>
      <c r="O1546">
        <f>INDEX('MEC - traffic congestion'!$M$145:$M$249,MATCH($D1546,'MEC - traffic congestion'!$C$145:$C$249,0))</f>
        <v>1</v>
      </c>
      <c r="P1546" t="str">
        <f t="shared" si="65"/>
        <v>2019WEEKENDS</v>
      </c>
      <c r="Q1546">
        <f t="shared" si="66"/>
        <v>1</v>
      </c>
      <c r="R1546" s="195" t="str">
        <f t="shared" si="67"/>
        <v>2019LIGHT VEHICLES</v>
      </c>
    </row>
    <row r="1547" spans="3:18" x14ac:dyDescent="0.25">
      <c r="C1547" s="294" t="s">
        <v>869</v>
      </c>
      <c r="D1547" s="317">
        <v>68025</v>
      </c>
      <c r="E1547" s="122" t="s">
        <v>870</v>
      </c>
      <c r="F1547" s="122" t="s">
        <v>871</v>
      </c>
      <c r="G1547" s="122" t="s">
        <v>786</v>
      </c>
      <c r="H1547" s="122" t="s">
        <v>777</v>
      </c>
      <c r="I1547" s="312">
        <v>2019</v>
      </c>
      <c r="J1547" s="122" t="s">
        <v>713</v>
      </c>
      <c r="K1547" s="283">
        <v>16651</v>
      </c>
      <c r="L1547" s="318">
        <v>-33.816696</v>
      </c>
      <c r="M1547" s="318">
        <v>150.97662299999999</v>
      </c>
      <c r="O1547">
        <f>INDEX('MEC - traffic congestion'!$M$145:$M$249,MATCH($D1547,'MEC - traffic congestion'!$C$145:$C$249,0))</f>
        <v>1</v>
      </c>
      <c r="P1547" t="str">
        <f t="shared" si="65"/>
        <v>2019WEEKENDS</v>
      </c>
      <c r="Q1547">
        <f t="shared" si="66"/>
        <v>1</v>
      </c>
      <c r="R1547" s="195" t="str">
        <f t="shared" si="67"/>
        <v>2019LIGHT VEHICLES</v>
      </c>
    </row>
    <row r="1548" spans="3:18" x14ac:dyDescent="0.25">
      <c r="C1548" s="294" t="s">
        <v>869</v>
      </c>
      <c r="D1548" s="317">
        <v>68025</v>
      </c>
      <c r="E1548" s="122" t="s">
        <v>870</v>
      </c>
      <c r="F1548" s="122" t="s">
        <v>871</v>
      </c>
      <c r="G1548" s="122" t="s">
        <v>785</v>
      </c>
      <c r="H1548" s="122" t="s">
        <v>777</v>
      </c>
      <c r="I1548" s="312">
        <v>2020</v>
      </c>
      <c r="J1548" s="122" t="s">
        <v>709</v>
      </c>
      <c r="K1548" s="283">
        <v>3991</v>
      </c>
      <c r="L1548" s="318">
        <v>-33.816696</v>
      </c>
      <c r="M1548" s="318">
        <v>150.97662299999999</v>
      </c>
      <c r="O1548">
        <f>INDEX('MEC - traffic congestion'!$M$145:$M$249,MATCH($D1548,'MEC - traffic congestion'!$C$145:$C$249,0))</f>
        <v>1</v>
      </c>
      <c r="P1548" t="str">
        <f t="shared" si="65"/>
        <v>2020AM PEAK</v>
      </c>
      <c r="Q1548">
        <f t="shared" si="66"/>
        <v>1</v>
      </c>
      <c r="R1548" s="195" t="str">
        <f t="shared" si="67"/>
        <v>2020LIGHT VEHICLES</v>
      </c>
    </row>
    <row r="1549" spans="3:18" x14ac:dyDescent="0.25">
      <c r="C1549" s="294" t="s">
        <v>869</v>
      </c>
      <c r="D1549" s="317">
        <v>68025</v>
      </c>
      <c r="E1549" s="122" t="s">
        <v>870</v>
      </c>
      <c r="F1549" s="122" t="s">
        <v>871</v>
      </c>
      <c r="G1549" s="122" t="s">
        <v>786</v>
      </c>
      <c r="H1549" s="122" t="s">
        <v>777</v>
      </c>
      <c r="I1549" s="312">
        <v>2020</v>
      </c>
      <c r="J1549" s="122" t="s">
        <v>709</v>
      </c>
      <c r="K1549" s="283">
        <v>2774</v>
      </c>
      <c r="L1549" s="318">
        <v>-33.816696</v>
      </c>
      <c r="M1549" s="318">
        <v>150.97662299999999</v>
      </c>
      <c r="O1549">
        <f>INDEX('MEC - traffic congestion'!$M$145:$M$249,MATCH($D1549,'MEC - traffic congestion'!$C$145:$C$249,0))</f>
        <v>1</v>
      </c>
      <c r="P1549" t="str">
        <f t="shared" si="65"/>
        <v>2020AM PEAK</v>
      </c>
      <c r="Q1549">
        <f t="shared" si="66"/>
        <v>1</v>
      </c>
      <c r="R1549" s="195" t="str">
        <f t="shared" si="67"/>
        <v>2020LIGHT VEHICLES</v>
      </c>
    </row>
    <row r="1550" spans="3:18" x14ac:dyDescent="0.25">
      <c r="C1550" s="294" t="s">
        <v>869</v>
      </c>
      <c r="D1550" s="317">
        <v>68025</v>
      </c>
      <c r="E1550" s="122" t="s">
        <v>870</v>
      </c>
      <c r="F1550" s="122" t="s">
        <v>871</v>
      </c>
      <c r="G1550" s="122" t="s">
        <v>785</v>
      </c>
      <c r="H1550" s="122" t="s">
        <v>777</v>
      </c>
      <c r="I1550" s="312">
        <v>2020</v>
      </c>
      <c r="J1550" s="122" t="s">
        <v>710</v>
      </c>
      <c r="K1550" s="283">
        <v>6995</v>
      </c>
      <c r="L1550" s="318">
        <v>-33.816696</v>
      </c>
      <c r="M1550" s="318">
        <v>150.97662299999999</v>
      </c>
      <c r="O1550">
        <f>INDEX('MEC - traffic congestion'!$M$145:$M$249,MATCH($D1550,'MEC - traffic congestion'!$C$145:$C$249,0))</f>
        <v>1</v>
      </c>
      <c r="P1550" t="str">
        <f t="shared" si="65"/>
        <v>2020OFF PEAK</v>
      </c>
      <c r="Q1550">
        <f t="shared" si="66"/>
        <v>1</v>
      </c>
      <c r="R1550" s="195" t="str">
        <f t="shared" si="67"/>
        <v>2020LIGHT VEHICLES</v>
      </c>
    </row>
    <row r="1551" spans="3:18" x14ac:dyDescent="0.25">
      <c r="C1551" s="294" t="s">
        <v>869</v>
      </c>
      <c r="D1551" s="317">
        <v>68025</v>
      </c>
      <c r="E1551" s="122" t="s">
        <v>870</v>
      </c>
      <c r="F1551" s="122" t="s">
        <v>871</v>
      </c>
      <c r="G1551" s="122" t="s">
        <v>786</v>
      </c>
      <c r="H1551" s="122" t="s">
        <v>777</v>
      </c>
      <c r="I1551" s="312">
        <v>2020</v>
      </c>
      <c r="J1551" s="122" t="s">
        <v>710</v>
      </c>
      <c r="K1551" s="283">
        <v>8404</v>
      </c>
      <c r="L1551" s="318">
        <v>-33.816696</v>
      </c>
      <c r="M1551" s="318">
        <v>150.97662299999999</v>
      </c>
      <c r="O1551">
        <f>INDEX('MEC - traffic congestion'!$M$145:$M$249,MATCH($D1551,'MEC - traffic congestion'!$C$145:$C$249,0))</f>
        <v>1</v>
      </c>
      <c r="P1551" t="str">
        <f t="shared" si="65"/>
        <v>2020OFF PEAK</v>
      </c>
      <c r="Q1551">
        <f t="shared" si="66"/>
        <v>1</v>
      </c>
      <c r="R1551" s="195" t="str">
        <f t="shared" si="67"/>
        <v>2020LIGHT VEHICLES</v>
      </c>
    </row>
    <row r="1552" spans="3:18" x14ac:dyDescent="0.25">
      <c r="C1552" s="294" t="s">
        <v>869</v>
      </c>
      <c r="D1552" s="317">
        <v>68025</v>
      </c>
      <c r="E1552" s="122" t="s">
        <v>870</v>
      </c>
      <c r="F1552" s="122" t="s">
        <v>871</v>
      </c>
      <c r="G1552" s="122" t="s">
        <v>785</v>
      </c>
      <c r="H1552" s="122" t="s">
        <v>777</v>
      </c>
      <c r="I1552" s="312">
        <v>2020</v>
      </c>
      <c r="J1552" s="122" t="s">
        <v>711</v>
      </c>
      <c r="K1552" s="283">
        <v>3583</v>
      </c>
      <c r="L1552" s="318">
        <v>-33.816696</v>
      </c>
      <c r="M1552" s="318">
        <v>150.97662299999999</v>
      </c>
      <c r="O1552">
        <f>INDEX('MEC - traffic congestion'!$M$145:$M$249,MATCH($D1552,'MEC - traffic congestion'!$C$145:$C$249,0))</f>
        <v>1</v>
      </c>
      <c r="P1552" t="str">
        <f t="shared" si="65"/>
        <v>2020PM PEAK</v>
      </c>
      <c r="Q1552">
        <f t="shared" si="66"/>
        <v>1</v>
      </c>
      <c r="R1552" s="195" t="str">
        <f t="shared" si="67"/>
        <v>2020LIGHT VEHICLES</v>
      </c>
    </row>
    <row r="1553" spans="3:18" x14ac:dyDescent="0.25">
      <c r="C1553" s="294" t="s">
        <v>869</v>
      </c>
      <c r="D1553" s="317">
        <v>68025</v>
      </c>
      <c r="E1553" s="122" t="s">
        <v>870</v>
      </c>
      <c r="F1553" s="122" t="s">
        <v>871</v>
      </c>
      <c r="G1553" s="122" t="s">
        <v>786</v>
      </c>
      <c r="H1553" s="122" t="s">
        <v>777</v>
      </c>
      <c r="I1553" s="312">
        <v>2020</v>
      </c>
      <c r="J1553" s="122" t="s">
        <v>711</v>
      </c>
      <c r="K1553" s="283">
        <v>5755</v>
      </c>
      <c r="L1553" s="318">
        <v>-33.816696</v>
      </c>
      <c r="M1553" s="318">
        <v>150.97662299999999</v>
      </c>
      <c r="O1553">
        <f>INDEX('MEC - traffic congestion'!$M$145:$M$249,MATCH($D1553,'MEC - traffic congestion'!$C$145:$C$249,0))</f>
        <v>1</v>
      </c>
      <c r="P1553" t="str">
        <f t="shared" si="65"/>
        <v>2020PM PEAK</v>
      </c>
      <c r="Q1553">
        <f t="shared" si="66"/>
        <v>1</v>
      </c>
      <c r="R1553" s="195" t="str">
        <f t="shared" si="67"/>
        <v>2020LIGHT VEHICLES</v>
      </c>
    </row>
    <row r="1554" spans="3:18" x14ac:dyDescent="0.25">
      <c r="C1554" s="294" t="s">
        <v>869</v>
      </c>
      <c r="D1554" s="317">
        <v>68025</v>
      </c>
      <c r="E1554" s="122" t="s">
        <v>870</v>
      </c>
      <c r="F1554" s="122" t="s">
        <v>871</v>
      </c>
      <c r="G1554" s="122" t="s">
        <v>785</v>
      </c>
      <c r="H1554" s="122" t="s">
        <v>777</v>
      </c>
      <c r="I1554" s="312">
        <v>2020</v>
      </c>
      <c r="J1554" s="122" t="s">
        <v>712</v>
      </c>
      <c r="K1554" s="283">
        <v>8919</v>
      </c>
      <c r="L1554" s="318">
        <v>-33.816696</v>
      </c>
      <c r="M1554" s="318">
        <v>150.97662299999999</v>
      </c>
      <c r="O1554">
        <f>INDEX('MEC - traffic congestion'!$M$145:$M$249,MATCH($D1554,'MEC - traffic congestion'!$C$145:$C$249,0))</f>
        <v>1</v>
      </c>
      <c r="P1554" t="str">
        <f t="shared" si="65"/>
        <v>2020PUBLIC HOLIDAYS</v>
      </c>
      <c r="Q1554">
        <f t="shared" si="66"/>
        <v>1</v>
      </c>
      <c r="R1554" s="195" t="str">
        <f t="shared" si="67"/>
        <v>2020LIGHT VEHICLES</v>
      </c>
    </row>
    <row r="1555" spans="3:18" x14ac:dyDescent="0.25">
      <c r="C1555" s="294" t="s">
        <v>869</v>
      </c>
      <c r="D1555" s="317">
        <v>68025</v>
      </c>
      <c r="E1555" s="122" t="s">
        <v>870</v>
      </c>
      <c r="F1555" s="122" t="s">
        <v>871</v>
      </c>
      <c r="G1555" s="122" t="s">
        <v>786</v>
      </c>
      <c r="H1555" s="122" t="s">
        <v>777</v>
      </c>
      <c r="I1555" s="312">
        <v>2020</v>
      </c>
      <c r="J1555" s="122" t="s">
        <v>712</v>
      </c>
      <c r="K1555" s="283">
        <v>10288</v>
      </c>
      <c r="L1555" s="318">
        <v>-33.816696</v>
      </c>
      <c r="M1555" s="318">
        <v>150.97662299999999</v>
      </c>
      <c r="O1555">
        <f>INDEX('MEC - traffic congestion'!$M$145:$M$249,MATCH($D1555,'MEC - traffic congestion'!$C$145:$C$249,0))</f>
        <v>1</v>
      </c>
      <c r="P1555" t="str">
        <f t="shared" si="65"/>
        <v>2020PUBLIC HOLIDAYS</v>
      </c>
      <c r="Q1555">
        <f t="shared" si="66"/>
        <v>1</v>
      </c>
      <c r="R1555" s="195" t="str">
        <f t="shared" si="67"/>
        <v>2020LIGHT VEHICLES</v>
      </c>
    </row>
    <row r="1556" spans="3:18" x14ac:dyDescent="0.25">
      <c r="C1556" s="294" t="s">
        <v>869</v>
      </c>
      <c r="D1556" s="317">
        <v>68025</v>
      </c>
      <c r="E1556" s="122" t="s">
        <v>870</v>
      </c>
      <c r="F1556" s="122" t="s">
        <v>871</v>
      </c>
      <c r="G1556" s="122" t="s">
        <v>785</v>
      </c>
      <c r="H1556" s="122" t="s">
        <v>777</v>
      </c>
      <c r="I1556" s="312">
        <v>2020</v>
      </c>
      <c r="J1556" s="122" t="s">
        <v>713</v>
      </c>
      <c r="K1556" s="283">
        <v>12118</v>
      </c>
      <c r="L1556" s="318">
        <v>-33.816696</v>
      </c>
      <c r="M1556" s="318">
        <v>150.97662299999999</v>
      </c>
      <c r="O1556">
        <f>INDEX('MEC - traffic congestion'!$M$145:$M$249,MATCH($D1556,'MEC - traffic congestion'!$C$145:$C$249,0))</f>
        <v>1</v>
      </c>
      <c r="P1556" t="str">
        <f t="shared" si="65"/>
        <v>2020WEEKENDS</v>
      </c>
      <c r="Q1556">
        <f t="shared" si="66"/>
        <v>1</v>
      </c>
      <c r="R1556" s="195" t="str">
        <f t="shared" si="67"/>
        <v>2020LIGHT VEHICLES</v>
      </c>
    </row>
    <row r="1557" spans="3:18" x14ac:dyDescent="0.25">
      <c r="C1557" s="294" t="s">
        <v>869</v>
      </c>
      <c r="D1557" s="317">
        <v>68025</v>
      </c>
      <c r="E1557" s="122" t="s">
        <v>870</v>
      </c>
      <c r="F1557" s="122" t="s">
        <v>871</v>
      </c>
      <c r="G1557" s="122" t="s">
        <v>786</v>
      </c>
      <c r="H1557" s="122" t="s">
        <v>777</v>
      </c>
      <c r="I1557" s="312">
        <v>2020</v>
      </c>
      <c r="J1557" s="122" t="s">
        <v>713</v>
      </c>
      <c r="K1557" s="283">
        <v>14519</v>
      </c>
      <c r="L1557" s="318">
        <v>-33.816696</v>
      </c>
      <c r="M1557" s="318">
        <v>150.97662299999999</v>
      </c>
      <c r="O1557">
        <f>INDEX('MEC - traffic congestion'!$M$145:$M$249,MATCH($D1557,'MEC - traffic congestion'!$C$145:$C$249,0))</f>
        <v>1</v>
      </c>
      <c r="P1557" t="str">
        <f t="shared" ref="P1557:P1620" si="68">IF($O1557=1,$I1557&amp;$J1557,"")</f>
        <v>2020WEEKENDS</v>
      </c>
      <c r="Q1557">
        <f t="shared" ref="Q1557:Q1620" si="69">IF(AND($M1557&gt;150.246,AND($L1557&gt;-34.397,$L1557&lt;-32.662)),1,0)</f>
        <v>1</v>
      </c>
      <c r="R1557" s="195" t="str">
        <f t="shared" ref="R1557:R1620" si="70">IF($O1557=1,$I1557&amp;$H1557,"")</f>
        <v>2020LIGHT VEHICLES</v>
      </c>
    </row>
    <row r="1558" spans="3:18" x14ac:dyDescent="0.25">
      <c r="C1558" s="294" t="s">
        <v>869</v>
      </c>
      <c r="D1558" s="317">
        <v>68025</v>
      </c>
      <c r="E1558" s="122" t="s">
        <v>870</v>
      </c>
      <c r="F1558" s="122" t="s">
        <v>871</v>
      </c>
      <c r="G1558" s="122" t="s">
        <v>785</v>
      </c>
      <c r="H1558" s="122" t="s">
        <v>777</v>
      </c>
      <c r="I1558" s="312">
        <v>2021</v>
      </c>
      <c r="J1558" s="122" t="s">
        <v>709</v>
      </c>
      <c r="K1558" s="283">
        <v>3543</v>
      </c>
      <c r="L1558" s="318">
        <v>-33.816696</v>
      </c>
      <c r="M1558" s="318">
        <v>150.97662299999999</v>
      </c>
      <c r="O1558">
        <f>INDEX('MEC - traffic congestion'!$M$145:$M$249,MATCH($D1558,'MEC - traffic congestion'!$C$145:$C$249,0))</f>
        <v>1</v>
      </c>
      <c r="P1558" t="str">
        <f t="shared" si="68"/>
        <v>2021AM PEAK</v>
      </c>
      <c r="Q1558">
        <f t="shared" si="69"/>
        <v>1</v>
      </c>
      <c r="R1558" s="195" t="str">
        <f t="shared" si="70"/>
        <v>2021LIGHT VEHICLES</v>
      </c>
    </row>
    <row r="1559" spans="3:18" x14ac:dyDescent="0.25">
      <c r="C1559" s="294" t="s">
        <v>869</v>
      </c>
      <c r="D1559" s="317">
        <v>68025</v>
      </c>
      <c r="E1559" s="122" t="s">
        <v>870</v>
      </c>
      <c r="F1559" s="122" t="s">
        <v>871</v>
      </c>
      <c r="G1559" s="122" t="s">
        <v>786</v>
      </c>
      <c r="H1559" s="122" t="s">
        <v>777</v>
      </c>
      <c r="I1559" s="312">
        <v>2021</v>
      </c>
      <c r="J1559" s="122" t="s">
        <v>709</v>
      </c>
      <c r="K1559" s="283">
        <v>2548</v>
      </c>
      <c r="L1559" s="318">
        <v>-33.816696</v>
      </c>
      <c r="M1559" s="318">
        <v>150.97662299999999</v>
      </c>
      <c r="O1559">
        <f>INDEX('MEC - traffic congestion'!$M$145:$M$249,MATCH($D1559,'MEC - traffic congestion'!$C$145:$C$249,0))</f>
        <v>1</v>
      </c>
      <c r="P1559" t="str">
        <f t="shared" si="68"/>
        <v>2021AM PEAK</v>
      </c>
      <c r="Q1559">
        <f t="shared" si="69"/>
        <v>1</v>
      </c>
      <c r="R1559" s="195" t="str">
        <f t="shared" si="70"/>
        <v>2021LIGHT VEHICLES</v>
      </c>
    </row>
    <row r="1560" spans="3:18" x14ac:dyDescent="0.25">
      <c r="C1560" s="294" t="s">
        <v>869</v>
      </c>
      <c r="D1560" s="317">
        <v>68025</v>
      </c>
      <c r="E1560" s="122" t="s">
        <v>870</v>
      </c>
      <c r="F1560" s="122" t="s">
        <v>871</v>
      </c>
      <c r="G1560" s="122" t="s">
        <v>785</v>
      </c>
      <c r="H1560" s="122" t="s">
        <v>777</v>
      </c>
      <c r="I1560" s="312">
        <v>2021</v>
      </c>
      <c r="J1560" s="122" t="s">
        <v>710</v>
      </c>
      <c r="K1560" s="283">
        <v>6477</v>
      </c>
      <c r="L1560" s="318">
        <v>-33.816696</v>
      </c>
      <c r="M1560" s="318">
        <v>150.97662299999999</v>
      </c>
      <c r="O1560">
        <f>INDEX('MEC - traffic congestion'!$M$145:$M$249,MATCH($D1560,'MEC - traffic congestion'!$C$145:$C$249,0))</f>
        <v>1</v>
      </c>
      <c r="P1560" t="str">
        <f t="shared" si="68"/>
        <v>2021OFF PEAK</v>
      </c>
      <c r="Q1560">
        <f t="shared" si="69"/>
        <v>1</v>
      </c>
      <c r="R1560" s="195" t="str">
        <f t="shared" si="70"/>
        <v>2021LIGHT VEHICLES</v>
      </c>
    </row>
    <row r="1561" spans="3:18" x14ac:dyDescent="0.25">
      <c r="C1561" s="294" t="s">
        <v>869</v>
      </c>
      <c r="D1561" s="317">
        <v>68025</v>
      </c>
      <c r="E1561" s="122" t="s">
        <v>870</v>
      </c>
      <c r="F1561" s="122" t="s">
        <v>871</v>
      </c>
      <c r="G1561" s="122" t="s">
        <v>786</v>
      </c>
      <c r="H1561" s="122" t="s">
        <v>777</v>
      </c>
      <c r="I1561" s="312">
        <v>2021</v>
      </c>
      <c r="J1561" s="122" t="s">
        <v>710</v>
      </c>
      <c r="K1561" s="283">
        <v>7567</v>
      </c>
      <c r="L1561" s="318">
        <v>-33.816696</v>
      </c>
      <c r="M1561" s="318">
        <v>150.97662299999999</v>
      </c>
      <c r="O1561">
        <f>INDEX('MEC - traffic congestion'!$M$145:$M$249,MATCH($D1561,'MEC - traffic congestion'!$C$145:$C$249,0))</f>
        <v>1</v>
      </c>
      <c r="P1561" t="str">
        <f t="shared" si="68"/>
        <v>2021OFF PEAK</v>
      </c>
      <c r="Q1561">
        <f t="shared" si="69"/>
        <v>1</v>
      </c>
      <c r="R1561" s="195" t="str">
        <f t="shared" si="70"/>
        <v>2021LIGHT VEHICLES</v>
      </c>
    </row>
    <row r="1562" spans="3:18" x14ac:dyDescent="0.25">
      <c r="C1562" s="294" t="s">
        <v>869</v>
      </c>
      <c r="D1562" s="317">
        <v>68025</v>
      </c>
      <c r="E1562" s="122" t="s">
        <v>870</v>
      </c>
      <c r="F1562" s="122" t="s">
        <v>871</v>
      </c>
      <c r="G1562" s="122" t="s">
        <v>785</v>
      </c>
      <c r="H1562" s="122" t="s">
        <v>777</v>
      </c>
      <c r="I1562" s="312">
        <v>2021</v>
      </c>
      <c r="J1562" s="122" t="s">
        <v>711</v>
      </c>
      <c r="K1562" s="283">
        <v>3320</v>
      </c>
      <c r="L1562" s="318">
        <v>-33.816696</v>
      </c>
      <c r="M1562" s="318">
        <v>150.97662299999999</v>
      </c>
      <c r="O1562">
        <f>INDEX('MEC - traffic congestion'!$M$145:$M$249,MATCH($D1562,'MEC - traffic congestion'!$C$145:$C$249,0))</f>
        <v>1</v>
      </c>
      <c r="P1562" t="str">
        <f t="shared" si="68"/>
        <v>2021PM PEAK</v>
      </c>
      <c r="Q1562">
        <f t="shared" si="69"/>
        <v>1</v>
      </c>
      <c r="R1562" s="195" t="str">
        <f t="shared" si="70"/>
        <v>2021LIGHT VEHICLES</v>
      </c>
    </row>
    <row r="1563" spans="3:18" x14ac:dyDescent="0.25">
      <c r="C1563" s="294" t="s">
        <v>869</v>
      </c>
      <c r="D1563" s="317">
        <v>68025</v>
      </c>
      <c r="E1563" s="122" t="s">
        <v>870</v>
      </c>
      <c r="F1563" s="122" t="s">
        <v>871</v>
      </c>
      <c r="G1563" s="122" t="s">
        <v>786</v>
      </c>
      <c r="H1563" s="122" t="s">
        <v>777</v>
      </c>
      <c r="I1563" s="312">
        <v>2021</v>
      </c>
      <c r="J1563" s="122" t="s">
        <v>711</v>
      </c>
      <c r="K1563" s="283">
        <v>4820</v>
      </c>
      <c r="L1563" s="318">
        <v>-33.816696</v>
      </c>
      <c r="M1563" s="318">
        <v>150.97662299999999</v>
      </c>
      <c r="O1563">
        <f>INDEX('MEC - traffic congestion'!$M$145:$M$249,MATCH($D1563,'MEC - traffic congestion'!$C$145:$C$249,0))</f>
        <v>1</v>
      </c>
      <c r="P1563" t="str">
        <f t="shared" si="68"/>
        <v>2021PM PEAK</v>
      </c>
      <c r="Q1563">
        <f t="shared" si="69"/>
        <v>1</v>
      </c>
      <c r="R1563" s="195" t="str">
        <f t="shared" si="70"/>
        <v>2021LIGHT VEHICLES</v>
      </c>
    </row>
    <row r="1564" spans="3:18" x14ac:dyDescent="0.25">
      <c r="C1564" s="294" t="s">
        <v>869</v>
      </c>
      <c r="D1564" s="317">
        <v>68025</v>
      </c>
      <c r="E1564" s="122" t="s">
        <v>870</v>
      </c>
      <c r="F1564" s="122" t="s">
        <v>871</v>
      </c>
      <c r="G1564" s="122" t="s">
        <v>785</v>
      </c>
      <c r="H1564" s="122" t="s">
        <v>777</v>
      </c>
      <c r="I1564" s="312">
        <v>2021</v>
      </c>
      <c r="J1564" s="122" t="s">
        <v>713</v>
      </c>
      <c r="K1564" s="283">
        <v>11239</v>
      </c>
      <c r="L1564" s="318">
        <v>-33.816696</v>
      </c>
      <c r="M1564" s="318">
        <v>150.97662299999999</v>
      </c>
      <c r="O1564">
        <f>INDEX('MEC - traffic congestion'!$M$145:$M$249,MATCH($D1564,'MEC - traffic congestion'!$C$145:$C$249,0))</f>
        <v>1</v>
      </c>
      <c r="P1564" t="str">
        <f t="shared" si="68"/>
        <v>2021WEEKENDS</v>
      </c>
      <c r="Q1564">
        <f t="shared" si="69"/>
        <v>1</v>
      </c>
      <c r="R1564" s="195" t="str">
        <f t="shared" si="70"/>
        <v>2021LIGHT VEHICLES</v>
      </c>
    </row>
    <row r="1565" spans="3:18" x14ac:dyDescent="0.25">
      <c r="C1565" s="294" t="s">
        <v>869</v>
      </c>
      <c r="D1565" s="317">
        <v>68025</v>
      </c>
      <c r="E1565" s="122" t="s">
        <v>870</v>
      </c>
      <c r="F1565" s="122" t="s">
        <v>871</v>
      </c>
      <c r="G1565" s="122" t="s">
        <v>786</v>
      </c>
      <c r="H1565" s="122" t="s">
        <v>777</v>
      </c>
      <c r="I1565" s="312">
        <v>2021</v>
      </c>
      <c r="J1565" s="122" t="s">
        <v>713</v>
      </c>
      <c r="K1565" s="283">
        <v>12914</v>
      </c>
      <c r="L1565" s="318">
        <v>-33.816696</v>
      </c>
      <c r="M1565" s="318">
        <v>150.97662299999999</v>
      </c>
      <c r="O1565">
        <f>INDEX('MEC - traffic congestion'!$M$145:$M$249,MATCH($D1565,'MEC - traffic congestion'!$C$145:$C$249,0))</f>
        <v>1</v>
      </c>
      <c r="P1565" t="str">
        <f t="shared" si="68"/>
        <v>2021WEEKENDS</v>
      </c>
      <c r="Q1565">
        <f t="shared" si="69"/>
        <v>1</v>
      </c>
      <c r="R1565" s="195" t="str">
        <f t="shared" si="70"/>
        <v>2021LIGHT VEHICLES</v>
      </c>
    </row>
    <row r="1566" spans="3:18" x14ac:dyDescent="0.25">
      <c r="C1566" s="294" t="s">
        <v>869</v>
      </c>
      <c r="D1566" s="317">
        <v>68025</v>
      </c>
      <c r="E1566" s="122" t="s">
        <v>870</v>
      </c>
      <c r="F1566" s="122" t="s">
        <v>871</v>
      </c>
      <c r="G1566" s="122" t="s">
        <v>785</v>
      </c>
      <c r="H1566" s="122" t="s">
        <v>777</v>
      </c>
      <c r="I1566" s="312">
        <v>2022</v>
      </c>
      <c r="J1566" s="122" t="s">
        <v>709</v>
      </c>
      <c r="K1566" s="283">
        <v>4002</v>
      </c>
      <c r="L1566" s="318">
        <v>-33.816696</v>
      </c>
      <c r="M1566" s="318">
        <v>150.97662299999999</v>
      </c>
      <c r="O1566">
        <f>INDEX('MEC - traffic congestion'!$M$145:$M$249,MATCH($D1566,'MEC - traffic congestion'!$C$145:$C$249,0))</f>
        <v>1</v>
      </c>
      <c r="P1566" t="str">
        <f t="shared" si="68"/>
        <v>2022AM PEAK</v>
      </c>
      <c r="Q1566">
        <f t="shared" si="69"/>
        <v>1</v>
      </c>
      <c r="R1566" s="195" t="str">
        <f t="shared" si="70"/>
        <v>2022LIGHT VEHICLES</v>
      </c>
    </row>
    <row r="1567" spans="3:18" x14ac:dyDescent="0.25">
      <c r="C1567" s="294" t="s">
        <v>869</v>
      </c>
      <c r="D1567" s="317">
        <v>68025</v>
      </c>
      <c r="E1567" s="122" t="s">
        <v>870</v>
      </c>
      <c r="F1567" s="122" t="s">
        <v>871</v>
      </c>
      <c r="G1567" s="122" t="s">
        <v>786</v>
      </c>
      <c r="H1567" s="122" t="s">
        <v>777</v>
      </c>
      <c r="I1567" s="312">
        <v>2022</v>
      </c>
      <c r="J1567" s="122" t="s">
        <v>709</v>
      </c>
      <c r="K1567" s="283">
        <v>2703</v>
      </c>
      <c r="L1567" s="318">
        <v>-33.816696</v>
      </c>
      <c r="M1567" s="318">
        <v>150.97662299999999</v>
      </c>
      <c r="O1567">
        <f>INDEX('MEC - traffic congestion'!$M$145:$M$249,MATCH($D1567,'MEC - traffic congestion'!$C$145:$C$249,0))</f>
        <v>1</v>
      </c>
      <c r="P1567" t="str">
        <f t="shared" si="68"/>
        <v>2022AM PEAK</v>
      </c>
      <c r="Q1567">
        <f t="shared" si="69"/>
        <v>1</v>
      </c>
      <c r="R1567" s="195" t="str">
        <f t="shared" si="70"/>
        <v>2022LIGHT VEHICLES</v>
      </c>
    </row>
    <row r="1568" spans="3:18" x14ac:dyDescent="0.25">
      <c r="C1568" s="294" t="s">
        <v>869</v>
      </c>
      <c r="D1568" s="317">
        <v>68025</v>
      </c>
      <c r="E1568" s="122" t="s">
        <v>870</v>
      </c>
      <c r="F1568" s="122" t="s">
        <v>871</v>
      </c>
      <c r="G1568" s="122" t="s">
        <v>785</v>
      </c>
      <c r="H1568" s="122" t="s">
        <v>777</v>
      </c>
      <c r="I1568" s="312">
        <v>2022</v>
      </c>
      <c r="J1568" s="122" t="s">
        <v>710</v>
      </c>
      <c r="K1568" s="283">
        <v>6993</v>
      </c>
      <c r="L1568" s="318">
        <v>-33.816696</v>
      </c>
      <c r="M1568" s="318">
        <v>150.97662299999999</v>
      </c>
      <c r="O1568">
        <f>INDEX('MEC - traffic congestion'!$M$145:$M$249,MATCH($D1568,'MEC - traffic congestion'!$C$145:$C$249,0))</f>
        <v>1</v>
      </c>
      <c r="P1568" t="str">
        <f t="shared" si="68"/>
        <v>2022OFF PEAK</v>
      </c>
      <c r="Q1568">
        <f t="shared" si="69"/>
        <v>1</v>
      </c>
      <c r="R1568" s="195" t="str">
        <f t="shared" si="70"/>
        <v>2022LIGHT VEHICLES</v>
      </c>
    </row>
    <row r="1569" spans="3:18" x14ac:dyDescent="0.25">
      <c r="C1569" s="294" t="s">
        <v>869</v>
      </c>
      <c r="D1569" s="317">
        <v>68025</v>
      </c>
      <c r="E1569" s="122" t="s">
        <v>870</v>
      </c>
      <c r="F1569" s="122" t="s">
        <v>871</v>
      </c>
      <c r="G1569" s="122" t="s">
        <v>786</v>
      </c>
      <c r="H1569" s="122" t="s">
        <v>777</v>
      </c>
      <c r="I1569" s="312">
        <v>2022</v>
      </c>
      <c r="J1569" s="122" t="s">
        <v>710</v>
      </c>
      <c r="K1569" s="283">
        <v>8061</v>
      </c>
      <c r="L1569" s="318">
        <v>-33.816696</v>
      </c>
      <c r="M1569" s="318">
        <v>150.97662299999999</v>
      </c>
      <c r="O1569">
        <f>INDEX('MEC - traffic congestion'!$M$145:$M$249,MATCH($D1569,'MEC - traffic congestion'!$C$145:$C$249,0))</f>
        <v>1</v>
      </c>
      <c r="P1569" t="str">
        <f t="shared" si="68"/>
        <v>2022OFF PEAK</v>
      </c>
      <c r="Q1569">
        <f t="shared" si="69"/>
        <v>1</v>
      </c>
      <c r="R1569" s="195" t="str">
        <f t="shared" si="70"/>
        <v>2022LIGHT VEHICLES</v>
      </c>
    </row>
    <row r="1570" spans="3:18" x14ac:dyDescent="0.25">
      <c r="C1570" s="294" t="s">
        <v>869</v>
      </c>
      <c r="D1570" s="317">
        <v>68025</v>
      </c>
      <c r="E1570" s="122" t="s">
        <v>870</v>
      </c>
      <c r="F1570" s="122" t="s">
        <v>871</v>
      </c>
      <c r="G1570" s="122" t="s">
        <v>785</v>
      </c>
      <c r="H1570" s="122" t="s">
        <v>777</v>
      </c>
      <c r="I1570" s="312">
        <v>2022</v>
      </c>
      <c r="J1570" s="122" t="s">
        <v>711</v>
      </c>
      <c r="K1570" s="283">
        <v>3591</v>
      </c>
      <c r="L1570" s="318">
        <v>-33.816696</v>
      </c>
      <c r="M1570" s="318">
        <v>150.97662299999999</v>
      </c>
      <c r="O1570">
        <f>INDEX('MEC - traffic congestion'!$M$145:$M$249,MATCH($D1570,'MEC - traffic congestion'!$C$145:$C$249,0))</f>
        <v>1</v>
      </c>
      <c r="P1570" t="str">
        <f t="shared" si="68"/>
        <v>2022PM PEAK</v>
      </c>
      <c r="Q1570">
        <f t="shared" si="69"/>
        <v>1</v>
      </c>
      <c r="R1570" s="195" t="str">
        <f t="shared" si="70"/>
        <v>2022LIGHT VEHICLES</v>
      </c>
    </row>
    <row r="1571" spans="3:18" x14ac:dyDescent="0.25">
      <c r="C1571" s="294" t="s">
        <v>869</v>
      </c>
      <c r="D1571" s="317">
        <v>68025</v>
      </c>
      <c r="E1571" s="122" t="s">
        <v>870</v>
      </c>
      <c r="F1571" s="122" t="s">
        <v>871</v>
      </c>
      <c r="G1571" s="122" t="s">
        <v>786</v>
      </c>
      <c r="H1571" s="122" t="s">
        <v>777</v>
      </c>
      <c r="I1571" s="312">
        <v>2022</v>
      </c>
      <c r="J1571" s="122" t="s">
        <v>711</v>
      </c>
      <c r="K1571" s="283">
        <v>4874</v>
      </c>
      <c r="L1571" s="318">
        <v>-33.816696</v>
      </c>
      <c r="M1571" s="318">
        <v>150.97662299999999</v>
      </c>
      <c r="O1571">
        <f>INDEX('MEC - traffic congestion'!$M$145:$M$249,MATCH($D1571,'MEC - traffic congestion'!$C$145:$C$249,0))</f>
        <v>1</v>
      </c>
      <c r="P1571" t="str">
        <f t="shared" si="68"/>
        <v>2022PM PEAK</v>
      </c>
      <c r="Q1571">
        <f t="shared" si="69"/>
        <v>1</v>
      </c>
      <c r="R1571" s="195" t="str">
        <f t="shared" si="70"/>
        <v>2022LIGHT VEHICLES</v>
      </c>
    </row>
    <row r="1572" spans="3:18" x14ac:dyDescent="0.25">
      <c r="C1572" s="294" t="s">
        <v>869</v>
      </c>
      <c r="D1572" s="317">
        <v>68025</v>
      </c>
      <c r="E1572" s="122" t="s">
        <v>870</v>
      </c>
      <c r="F1572" s="122" t="s">
        <v>871</v>
      </c>
      <c r="G1572" s="122" t="s">
        <v>785</v>
      </c>
      <c r="H1572" s="122" t="s">
        <v>777</v>
      </c>
      <c r="I1572" s="312">
        <v>2022</v>
      </c>
      <c r="J1572" s="122" t="s">
        <v>713</v>
      </c>
      <c r="K1572" s="283">
        <v>13083</v>
      </c>
      <c r="L1572" s="318">
        <v>-33.816696</v>
      </c>
      <c r="M1572" s="318">
        <v>150.97662299999999</v>
      </c>
      <c r="O1572">
        <f>INDEX('MEC - traffic congestion'!$M$145:$M$249,MATCH($D1572,'MEC - traffic congestion'!$C$145:$C$249,0))</f>
        <v>1</v>
      </c>
      <c r="P1572" t="str">
        <f t="shared" si="68"/>
        <v>2022WEEKENDS</v>
      </c>
      <c r="Q1572">
        <f t="shared" si="69"/>
        <v>1</v>
      </c>
      <c r="R1572" s="195" t="str">
        <f t="shared" si="70"/>
        <v>2022LIGHT VEHICLES</v>
      </c>
    </row>
    <row r="1573" spans="3:18" x14ac:dyDescent="0.25">
      <c r="C1573" s="294" t="s">
        <v>869</v>
      </c>
      <c r="D1573" s="317">
        <v>68025</v>
      </c>
      <c r="E1573" s="122" t="s">
        <v>870</v>
      </c>
      <c r="F1573" s="122" t="s">
        <v>871</v>
      </c>
      <c r="G1573" s="122" t="s">
        <v>786</v>
      </c>
      <c r="H1573" s="122" t="s">
        <v>777</v>
      </c>
      <c r="I1573" s="312">
        <v>2022</v>
      </c>
      <c r="J1573" s="122" t="s">
        <v>713</v>
      </c>
      <c r="K1573" s="283">
        <v>14947</v>
      </c>
      <c r="L1573" s="318">
        <v>-33.816696</v>
      </c>
      <c r="M1573" s="318">
        <v>150.97662299999999</v>
      </c>
      <c r="O1573">
        <f>INDEX('MEC - traffic congestion'!$M$145:$M$249,MATCH($D1573,'MEC - traffic congestion'!$C$145:$C$249,0))</f>
        <v>1</v>
      </c>
      <c r="P1573" t="str">
        <f t="shared" si="68"/>
        <v>2022WEEKENDS</v>
      </c>
      <c r="Q1573">
        <f t="shared" si="69"/>
        <v>1</v>
      </c>
      <c r="R1573" s="195" t="str">
        <f t="shared" si="70"/>
        <v>2022LIGHT VEHICLES</v>
      </c>
    </row>
    <row r="1574" spans="3:18" x14ac:dyDescent="0.25">
      <c r="C1574" s="294" t="s">
        <v>869</v>
      </c>
      <c r="D1574" s="317">
        <v>68025</v>
      </c>
      <c r="E1574" s="122" t="s">
        <v>870</v>
      </c>
      <c r="F1574" s="122" t="s">
        <v>871</v>
      </c>
      <c r="G1574" s="122" t="s">
        <v>785</v>
      </c>
      <c r="H1574" s="122" t="s">
        <v>777</v>
      </c>
      <c r="I1574" s="312">
        <v>2023</v>
      </c>
      <c r="J1574" s="122" t="s">
        <v>709</v>
      </c>
      <c r="K1574" s="283">
        <v>4385</v>
      </c>
      <c r="L1574" s="318">
        <v>-33.816696</v>
      </c>
      <c r="M1574" s="318">
        <v>150.97662299999999</v>
      </c>
      <c r="O1574">
        <f>INDEX('MEC - traffic congestion'!$M$145:$M$249,MATCH($D1574,'MEC - traffic congestion'!$C$145:$C$249,0))</f>
        <v>1</v>
      </c>
      <c r="P1574" t="str">
        <f t="shared" si="68"/>
        <v>2023AM PEAK</v>
      </c>
      <c r="Q1574">
        <f t="shared" si="69"/>
        <v>1</v>
      </c>
      <c r="R1574" s="195" t="str">
        <f t="shared" si="70"/>
        <v>2023LIGHT VEHICLES</v>
      </c>
    </row>
    <row r="1575" spans="3:18" x14ac:dyDescent="0.25">
      <c r="C1575" s="294" t="s">
        <v>869</v>
      </c>
      <c r="D1575" s="317">
        <v>68025</v>
      </c>
      <c r="E1575" s="122" t="s">
        <v>870</v>
      </c>
      <c r="F1575" s="122" t="s">
        <v>871</v>
      </c>
      <c r="G1575" s="122" t="s">
        <v>786</v>
      </c>
      <c r="H1575" s="122" t="s">
        <v>777</v>
      </c>
      <c r="I1575" s="312">
        <v>2023</v>
      </c>
      <c r="J1575" s="122" t="s">
        <v>709</v>
      </c>
      <c r="K1575" s="283">
        <v>2641</v>
      </c>
      <c r="L1575" s="318">
        <v>-33.816696</v>
      </c>
      <c r="M1575" s="318">
        <v>150.97662299999999</v>
      </c>
      <c r="O1575">
        <f>INDEX('MEC - traffic congestion'!$M$145:$M$249,MATCH($D1575,'MEC - traffic congestion'!$C$145:$C$249,0))</f>
        <v>1</v>
      </c>
      <c r="P1575" t="str">
        <f t="shared" si="68"/>
        <v>2023AM PEAK</v>
      </c>
      <c r="Q1575">
        <f t="shared" si="69"/>
        <v>1</v>
      </c>
      <c r="R1575" s="195" t="str">
        <f t="shared" si="70"/>
        <v>2023LIGHT VEHICLES</v>
      </c>
    </row>
    <row r="1576" spans="3:18" x14ac:dyDescent="0.25">
      <c r="C1576" s="294" t="s">
        <v>869</v>
      </c>
      <c r="D1576" s="317">
        <v>68025</v>
      </c>
      <c r="E1576" s="122" t="s">
        <v>870</v>
      </c>
      <c r="F1576" s="122" t="s">
        <v>871</v>
      </c>
      <c r="G1576" s="122" t="s">
        <v>785</v>
      </c>
      <c r="H1576" s="122" t="s">
        <v>777</v>
      </c>
      <c r="I1576" s="312">
        <v>2023</v>
      </c>
      <c r="J1576" s="122" t="s">
        <v>710</v>
      </c>
      <c r="K1576" s="283">
        <v>7215</v>
      </c>
      <c r="L1576" s="318">
        <v>-33.816696</v>
      </c>
      <c r="M1576" s="318">
        <v>150.97662299999999</v>
      </c>
      <c r="O1576">
        <f>INDEX('MEC - traffic congestion'!$M$145:$M$249,MATCH($D1576,'MEC - traffic congestion'!$C$145:$C$249,0))</f>
        <v>1</v>
      </c>
      <c r="P1576" t="str">
        <f t="shared" si="68"/>
        <v>2023OFF PEAK</v>
      </c>
      <c r="Q1576">
        <f t="shared" si="69"/>
        <v>1</v>
      </c>
      <c r="R1576" s="195" t="str">
        <f t="shared" si="70"/>
        <v>2023LIGHT VEHICLES</v>
      </c>
    </row>
    <row r="1577" spans="3:18" x14ac:dyDescent="0.25">
      <c r="C1577" s="294" t="s">
        <v>869</v>
      </c>
      <c r="D1577" s="317">
        <v>68025</v>
      </c>
      <c r="E1577" s="122" t="s">
        <v>870</v>
      </c>
      <c r="F1577" s="122" t="s">
        <v>871</v>
      </c>
      <c r="G1577" s="122" t="s">
        <v>786</v>
      </c>
      <c r="H1577" s="122" t="s">
        <v>777</v>
      </c>
      <c r="I1577" s="312">
        <v>2023</v>
      </c>
      <c r="J1577" s="122" t="s">
        <v>710</v>
      </c>
      <c r="K1577" s="283">
        <v>8581</v>
      </c>
      <c r="L1577" s="318">
        <v>-33.816696</v>
      </c>
      <c r="M1577" s="318">
        <v>150.97662299999999</v>
      </c>
      <c r="O1577">
        <f>INDEX('MEC - traffic congestion'!$M$145:$M$249,MATCH($D1577,'MEC - traffic congestion'!$C$145:$C$249,0))</f>
        <v>1</v>
      </c>
      <c r="P1577" t="str">
        <f t="shared" si="68"/>
        <v>2023OFF PEAK</v>
      </c>
      <c r="Q1577">
        <f t="shared" si="69"/>
        <v>1</v>
      </c>
      <c r="R1577" s="195" t="str">
        <f t="shared" si="70"/>
        <v>2023LIGHT VEHICLES</v>
      </c>
    </row>
    <row r="1578" spans="3:18" x14ac:dyDescent="0.25">
      <c r="C1578" s="294" t="s">
        <v>869</v>
      </c>
      <c r="D1578" s="317">
        <v>68025</v>
      </c>
      <c r="E1578" s="122" t="s">
        <v>870</v>
      </c>
      <c r="F1578" s="122" t="s">
        <v>871</v>
      </c>
      <c r="G1578" s="122" t="s">
        <v>785</v>
      </c>
      <c r="H1578" s="122" t="s">
        <v>777</v>
      </c>
      <c r="I1578" s="312">
        <v>2023</v>
      </c>
      <c r="J1578" s="122" t="s">
        <v>711</v>
      </c>
      <c r="K1578" s="283">
        <v>3868</v>
      </c>
      <c r="L1578" s="318">
        <v>-33.816696</v>
      </c>
      <c r="M1578" s="318">
        <v>150.97662299999999</v>
      </c>
      <c r="O1578">
        <f>INDEX('MEC - traffic congestion'!$M$145:$M$249,MATCH($D1578,'MEC - traffic congestion'!$C$145:$C$249,0))</f>
        <v>1</v>
      </c>
      <c r="P1578" t="str">
        <f t="shared" si="68"/>
        <v>2023PM PEAK</v>
      </c>
      <c r="Q1578">
        <f t="shared" si="69"/>
        <v>1</v>
      </c>
      <c r="R1578" s="195" t="str">
        <f t="shared" si="70"/>
        <v>2023LIGHT VEHICLES</v>
      </c>
    </row>
    <row r="1579" spans="3:18" x14ac:dyDescent="0.25">
      <c r="C1579" s="294" t="s">
        <v>869</v>
      </c>
      <c r="D1579" s="317">
        <v>68025</v>
      </c>
      <c r="E1579" s="122" t="s">
        <v>870</v>
      </c>
      <c r="F1579" s="122" t="s">
        <v>871</v>
      </c>
      <c r="G1579" s="122" t="s">
        <v>786</v>
      </c>
      <c r="H1579" s="122" t="s">
        <v>777</v>
      </c>
      <c r="I1579" s="312">
        <v>2023</v>
      </c>
      <c r="J1579" s="122" t="s">
        <v>711</v>
      </c>
      <c r="K1579" s="283">
        <v>5527</v>
      </c>
      <c r="L1579" s="318">
        <v>-33.816696</v>
      </c>
      <c r="M1579" s="318">
        <v>150.97662299999999</v>
      </c>
      <c r="O1579">
        <f>INDEX('MEC - traffic congestion'!$M$145:$M$249,MATCH($D1579,'MEC - traffic congestion'!$C$145:$C$249,0))</f>
        <v>1</v>
      </c>
      <c r="P1579" t="str">
        <f t="shared" si="68"/>
        <v>2023PM PEAK</v>
      </c>
      <c r="Q1579">
        <f t="shared" si="69"/>
        <v>1</v>
      </c>
      <c r="R1579" s="195" t="str">
        <f t="shared" si="70"/>
        <v>2023LIGHT VEHICLES</v>
      </c>
    </row>
    <row r="1580" spans="3:18" x14ac:dyDescent="0.25">
      <c r="C1580" s="294" t="s">
        <v>869</v>
      </c>
      <c r="D1580" s="317">
        <v>68025</v>
      </c>
      <c r="E1580" s="122" t="s">
        <v>870</v>
      </c>
      <c r="F1580" s="122" t="s">
        <v>871</v>
      </c>
      <c r="G1580" s="122" t="s">
        <v>785</v>
      </c>
      <c r="H1580" s="122" t="s">
        <v>777</v>
      </c>
      <c r="I1580" s="312">
        <v>2023</v>
      </c>
      <c r="J1580" s="122" t="s">
        <v>713</v>
      </c>
      <c r="K1580" s="283">
        <v>13157</v>
      </c>
      <c r="L1580" s="318">
        <v>-33.816696</v>
      </c>
      <c r="M1580" s="318">
        <v>150.97662299999999</v>
      </c>
      <c r="O1580">
        <f>INDEX('MEC - traffic congestion'!$M$145:$M$249,MATCH($D1580,'MEC - traffic congestion'!$C$145:$C$249,0))</f>
        <v>1</v>
      </c>
      <c r="P1580" t="str">
        <f t="shared" si="68"/>
        <v>2023WEEKENDS</v>
      </c>
      <c r="Q1580">
        <f t="shared" si="69"/>
        <v>1</v>
      </c>
      <c r="R1580" s="195" t="str">
        <f t="shared" si="70"/>
        <v>2023LIGHT VEHICLES</v>
      </c>
    </row>
    <row r="1581" spans="3:18" x14ac:dyDescent="0.25">
      <c r="C1581" s="294" t="s">
        <v>869</v>
      </c>
      <c r="D1581" s="317">
        <v>68025</v>
      </c>
      <c r="E1581" s="122" t="s">
        <v>870</v>
      </c>
      <c r="F1581" s="122" t="s">
        <v>871</v>
      </c>
      <c r="G1581" s="122" t="s">
        <v>786</v>
      </c>
      <c r="H1581" s="122" t="s">
        <v>777</v>
      </c>
      <c r="I1581" s="312">
        <v>2023</v>
      </c>
      <c r="J1581" s="122" t="s">
        <v>713</v>
      </c>
      <c r="K1581" s="283">
        <v>15237</v>
      </c>
      <c r="L1581" s="318">
        <v>-33.816696</v>
      </c>
      <c r="M1581" s="318">
        <v>150.97662299999999</v>
      </c>
      <c r="O1581">
        <f>INDEX('MEC - traffic congestion'!$M$145:$M$249,MATCH($D1581,'MEC - traffic congestion'!$C$145:$C$249,0))</f>
        <v>1</v>
      </c>
      <c r="P1581" t="str">
        <f t="shared" si="68"/>
        <v>2023WEEKENDS</v>
      </c>
      <c r="Q1581">
        <f t="shared" si="69"/>
        <v>1</v>
      </c>
      <c r="R1581" s="195" t="str">
        <f t="shared" si="70"/>
        <v>2023LIGHT VEHICLES</v>
      </c>
    </row>
    <row r="1582" spans="3:18" x14ac:dyDescent="0.25">
      <c r="C1582" s="294" t="s">
        <v>869</v>
      </c>
      <c r="D1582" s="317">
        <v>68025</v>
      </c>
      <c r="E1582" s="122" t="s">
        <v>870</v>
      </c>
      <c r="F1582" s="122" t="s">
        <v>871</v>
      </c>
      <c r="G1582" s="122" t="s">
        <v>785</v>
      </c>
      <c r="H1582" s="122" t="s">
        <v>777</v>
      </c>
      <c r="I1582" s="312">
        <v>2024</v>
      </c>
      <c r="J1582" s="122" t="s">
        <v>709</v>
      </c>
      <c r="K1582" s="283">
        <v>4195</v>
      </c>
      <c r="L1582" s="318">
        <v>-33.816696</v>
      </c>
      <c r="M1582" s="318">
        <v>150.97662299999999</v>
      </c>
      <c r="O1582">
        <f>INDEX('MEC - traffic congestion'!$M$145:$M$249,MATCH($D1582,'MEC - traffic congestion'!$C$145:$C$249,0))</f>
        <v>1</v>
      </c>
      <c r="P1582" t="str">
        <f t="shared" si="68"/>
        <v>2024AM PEAK</v>
      </c>
      <c r="Q1582">
        <f t="shared" si="69"/>
        <v>1</v>
      </c>
      <c r="R1582" s="195" t="str">
        <f t="shared" si="70"/>
        <v>2024LIGHT VEHICLES</v>
      </c>
    </row>
    <row r="1583" spans="3:18" x14ac:dyDescent="0.25">
      <c r="C1583" s="294" t="s">
        <v>869</v>
      </c>
      <c r="D1583" s="317">
        <v>68025</v>
      </c>
      <c r="E1583" s="122" t="s">
        <v>870</v>
      </c>
      <c r="F1583" s="122" t="s">
        <v>871</v>
      </c>
      <c r="G1583" s="122" t="s">
        <v>786</v>
      </c>
      <c r="H1583" s="122" t="s">
        <v>777</v>
      </c>
      <c r="I1583" s="312">
        <v>2024</v>
      </c>
      <c r="J1583" s="122" t="s">
        <v>709</v>
      </c>
      <c r="K1583" s="283">
        <v>2556</v>
      </c>
      <c r="L1583" s="318">
        <v>-33.816696</v>
      </c>
      <c r="M1583" s="318">
        <v>150.97662299999999</v>
      </c>
      <c r="O1583">
        <f>INDEX('MEC - traffic congestion'!$M$145:$M$249,MATCH($D1583,'MEC - traffic congestion'!$C$145:$C$249,0))</f>
        <v>1</v>
      </c>
      <c r="P1583" t="str">
        <f t="shared" si="68"/>
        <v>2024AM PEAK</v>
      </c>
      <c r="Q1583">
        <f t="shared" si="69"/>
        <v>1</v>
      </c>
      <c r="R1583" s="195" t="str">
        <f t="shared" si="70"/>
        <v>2024LIGHT VEHICLES</v>
      </c>
    </row>
    <row r="1584" spans="3:18" x14ac:dyDescent="0.25">
      <c r="C1584" s="294" t="s">
        <v>869</v>
      </c>
      <c r="D1584" s="317">
        <v>68025</v>
      </c>
      <c r="E1584" s="122" t="s">
        <v>870</v>
      </c>
      <c r="F1584" s="122" t="s">
        <v>871</v>
      </c>
      <c r="G1584" s="122" t="s">
        <v>785</v>
      </c>
      <c r="H1584" s="122" t="s">
        <v>777</v>
      </c>
      <c r="I1584" s="312">
        <v>2024</v>
      </c>
      <c r="J1584" s="122" t="s">
        <v>710</v>
      </c>
      <c r="K1584" s="283">
        <v>7214</v>
      </c>
      <c r="L1584" s="318">
        <v>-33.816696</v>
      </c>
      <c r="M1584" s="318">
        <v>150.97662299999999</v>
      </c>
      <c r="O1584">
        <f>INDEX('MEC - traffic congestion'!$M$145:$M$249,MATCH($D1584,'MEC - traffic congestion'!$C$145:$C$249,0))</f>
        <v>1</v>
      </c>
      <c r="P1584" t="str">
        <f t="shared" si="68"/>
        <v>2024OFF PEAK</v>
      </c>
      <c r="Q1584">
        <f t="shared" si="69"/>
        <v>1</v>
      </c>
      <c r="R1584" s="195" t="str">
        <f t="shared" si="70"/>
        <v>2024LIGHT VEHICLES</v>
      </c>
    </row>
    <row r="1585" spans="3:18" x14ac:dyDescent="0.25">
      <c r="C1585" s="294" t="s">
        <v>869</v>
      </c>
      <c r="D1585" s="317">
        <v>68025</v>
      </c>
      <c r="E1585" s="122" t="s">
        <v>870</v>
      </c>
      <c r="F1585" s="122" t="s">
        <v>871</v>
      </c>
      <c r="G1585" s="122" t="s">
        <v>786</v>
      </c>
      <c r="H1585" s="122" t="s">
        <v>777</v>
      </c>
      <c r="I1585" s="312">
        <v>2024</v>
      </c>
      <c r="J1585" s="122" t="s">
        <v>710</v>
      </c>
      <c r="K1585" s="283">
        <v>8619</v>
      </c>
      <c r="L1585" s="318">
        <v>-33.816696</v>
      </c>
      <c r="M1585" s="318">
        <v>150.97662299999999</v>
      </c>
      <c r="O1585">
        <f>INDEX('MEC - traffic congestion'!$M$145:$M$249,MATCH($D1585,'MEC - traffic congestion'!$C$145:$C$249,0))</f>
        <v>1</v>
      </c>
      <c r="P1585" t="str">
        <f t="shared" si="68"/>
        <v>2024OFF PEAK</v>
      </c>
      <c r="Q1585">
        <f t="shared" si="69"/>
        <v>1</v>
      </c>
      <c r="R1585" s="195" t="str">
        <f t="shared" si="70"/>
        <v>2024LIGHT VEHICLES</v>
      </c>
    </row>
    <row r="1586" spans="3:18" x14ac:dyDescent="0.25">
      <c r="C1586" s="294" t="s">
        <v>869</v>
      </c>
      <c r="D1586" s="317">
        <v>68025</v>
      </c>
      <c r="E1586" s="122" t="s">
        <v>870</v>
      </c>
      <c r="F1586" s="122" t="s">
        <v>871</v>
      </c>
      <c r="G1586" s="122" t="s">
        <v>785</v>
      </c>
      <c r="H1586" s="122" t="s">
        <v>777</v>
      </c>
      <c r="I1586" s="312">
        <v>2024</v>
      </c>
      <c r="J1586" s="122" t="s">
        <v>711</v>
      </c>
      <c r="K1586" s="283">
        <v>3741</v>
      </c>
      <c r="L1586" s="318">
        <v>-33.816696</v>
      </c>
      <c r="M1586" s="318">
        <v>150.97662299999999</v>
      </c>
      <c r="O1586">
        <f>INDEX('MEC - traffic congestion'!$M$145:$M$249,MATCH($D1586,'MEC - traffic congestion'!$C$145:$C$249,0))</f>
        <v>1</v>
      </c>
      <c r="P1586" t="str">
        <f t="shared" si="68"/>
        <v>2024PM PEAK</v>
      </c>
      <c r="Q1586">
        <f t="shared" si="69"/>
        <v>1</v>
      </c>
      <c r="R1586" s="195" t="str">
        <f t="shared" si="70"/>
        <v>2024LIGHT VEHICLES</v>
      </c>
    </row>
    <row r="1587" spans="3:18" x14ac:dyDescent="0.25">
      <c r="C1587" s="294" t="s">
        <v>869</v>
      </c>
      <c r="D1587" s="317">
        <v>68025</v>
      </c>
      <c r="E1587" s="122" t="s">
        <v>870</v>
      </c>
      <c r="F1587" s="122" t="s">
        <v>871</v>
      </c>
      <c r="G1587" s="122" t="s">
        <v>786</v>
      </c>
      <c r="H1587" s="122" t="s">
        <v>777</v>
      </c>
      <c r="I1587" s="312">
        <v>2024</v>
      </c>
      <c r="J1587" s="122" t="s">
        <v>711</v>
      </c>
      <c r="K1587" s="283">
        <v>5133</v>
      </c>
      <c r="L1587" s="318">
        <v>-33.816696</v>
      </c>
      <c r="M1587" s="318">
        <v>150.97662299999999</v>
      </c>
      <c r="O1587">
        <f>INDEX('MEC - traffic congestion'!$M$145:$M$249,MATCH($D1587,'MEC - traffic congestion'!$C$145:$C$249,0))</f>
        <v>1</v>
      </c>
      <c r="P1587" t="str">
        <f t="shared" si="68"/>
        <v>2024PM PEAK</v>
      </c>
      <c r="Q1587">
        <f t="shared" si="69"/>
        <v>1</v>
      </c>
      <c r="R1587" s="195" t="str">
        <f t="shared" si="70"/>
        <v>2024LIGHT VEHICLES</v>
      </c>
    </row>
    <row r="1588" spans="3:18" x14ac:dyDescent="0.25">
      <c r="C1588" s="294" t="s">
        <v>869</v>
      </c>
      <c r="D1588" s="317">
        <v>68025</v>
      </c>
      <c r="E1588" s="122" t="s">
        <v>870</v>
      </c>
      <c r="F1588" s="122" t="s">
        <v>871</v>
      </c>
      <c r="G1588" s="122" t="s">
        <v>785</v>
      </c>
      <c r="H1588" s="122" t="s">
        <v>777</v>
      </c>
      <c r="I1588" s="312">
        <v>2024</v>
      </c>
      <c r="J1588" s="122" t="s">
        <v>713</v>
      </c>
      <c r="K1588" s="283">
        <v>13462</v>
      </c>
      <c r="L1588" s="318">
        <v>-33.816696</v>
      </c>
      <c r="M1588" s="318">
        <v>150.97662299999999</v>
      </c>
      <c r="O1588">
        <f>INDEX('MEC - traffic congestion'!$M$145:$M$249,MATCH($D1588,'MEC - traffic congestion'!$C$145:$C$249,0))</f>
        <v>1</v>
      </c>
      <c r="P1588" t="str">
        <f t="shared" si="68"/>
        <v>2024WEEKENDS</v>
      </c>
      <c r="Q1588">
        <f t="shared" si="69"/>
        <v>1</v>
      </c>
      <c r="R1588" s="195" t="str">
        <f t="shared" si="70"/>
        <v>2024LIGHT VEHICLES</v>
      </c>
    </row>
    <row r="1589" spans="3:18" x14ac:dyDescent="0.25">
      <c r="C1589" s="294" t="s">
        <v>869</v>
      </c>
      <c r="D1589" s="317">
        <v>68025</v>
      </c>
      <c r="E1589" s="122" t="s">
        <v>870</v>
      </c>
      <c r="F1589" s="122" t="s">
        <v>871</v>
      </c>
      <c r="G1589" s="122" t="s">
        <v>786</v>
      </c>
      <c r="H1589" s="122" t="s">
        <v>777</v>
      </c>
      <c r="I1589" s="312">
        <v>2024</v>
      </c>
      <c r="J1589" s="122" t="s">
        <v>713</v>
      </c>
      <c r="K1589" s="283">
        <v>15186</v>
      </c>
      <c r="L1589" s="318">
        <v>-33.816696</v>
      </c>
      <c r="M1589" s="318">
        <v>150.97662299999999</v>
      </c>
      <c r="O1589">
        <f>INDEX('MEC - traffic congestion'!$M$145:$M$249,MATCH($D1589,'MEC - traffic congestion'!$C$145:$C$249,0))</f>
        <v>1</v>
      </c>
      <c r="P1589" t="str">
        <f t="shared" si="68"/>
        <v>2024WEEKENDS</v>
      </c>
      <c r="Q1589">
        <f t="shared" si="69"/>
        <v>1</v>
      </c>
      <c r="R1589" s="195" t="str">
        <f t="shared" si="70"/>
        <v>2024LIGHT VEHICLES</v>
      </c>
    </row>
    <row r="1590" spans="3:18" x14ac:dyDescent="0.25">
      <c r="C1590" s="294" t="s">
        <v>872</v>
      </c>
      <c r="D1590" s="317">
        <v>71024</v>
      </c>
      <c r="E1590" s="122" t="s">
        <v>873</v>
      </c>
      <c r="F1590" s="122" t="s">
        <v>874</v>
      </c>
      <c r="G1590" s="122" t="s">
        <v>776</v>
      </c>
      <c r="H1590" s="122" t="s">
        <v>777</v>
      </c>
      <c r="I1590" s="312">
        <v>2018</v>
      </c>
      <c r="J1590" s="122" t="s">
        <v>709</v>
      </c>
      <c r="K1590" s="283">
        <v>6059</v>
      </c>
      <c r="L1590" s="318">
        <v>-33.699542999999998</v>
      </c>
      <c r="M1590" s="318">
        <v>150.92849699999999</v>
      </c>
      <c r="O1590">
        <f>INDEX('MEC - traffic congestion'!$M$145:$M$249,MATCH($D1590,'MEC - traffic congestion'!$C$145:$C$249,0))</f>
        <v>0</v>
      </c>
      <c r="P1590" t="str">
        <f t="shared" si="68"/>
        <v/>
      </c>
      <c r="Q1590">
        <f t="shared" si="69"/>
        <v>1</v>
      </c>
      <c r="R1590" s="195" t="str">
        <f t="shared" si="70"/>
        <v/>
      </c>
    </row>
    <row r="1591" spans="3:18" x14ac:dyDescent="0.25">
      <c r="C1591" s="294" t="s">
        <v>872</v>
      </c>
      <c r="D1591" s="317">
        <v>71024</v>
      </c>
      <c r="E1591" s="122" t="s">
        <v>873</v>
      </c>
      <c r="F1591" s="122" t="s">
        <v>874</v>
      </c>
      <c r="G1591" s="122" t="s">
        <v>778</v>
      </c>
      <c r="H1591" s="122" t="s">
        <v>777</v>
      </c>
      <c r="I1591" s="312">
        <v>2018</v>
      </c>
      <c r="J1591" s="122" t="s">
        <v>709</v>
      </c>
      <c r="K1591" s="283">
        <v>7383</v>
      </c>
      <c r="L1591" s="318">
        <v>-33.699542999999998</v>
      </c>
      <c r="M1591" s="318">
        <v>150.92849699999999</v>
      </c>
      <c r="O1591">
        <f>INDEX('MEC - traffic congestion'!$M$145:$M$249,MATCH($D1591,'MEC - traffic congestion'!$C$145:$C$249,0))</f>
        <v>0</v>
      </c>
      <c r="P1591" t="str">
        <f t="shared" si="68"/>
        <v/>
      </c>
      <c r="Q1591">
        <f t="shared" si="69"/>
        <v>1</v>
      </c>
      <c r="R1591" s="195" t="str">
        <f t="shared" si="70"/>
        <v/>
      </c>
    </row>
    <row r="1592" spans="3:18" x14ac:dyDescent="0.25">
      <c r="C1592" s="294" t="s">
        <v>872</v>
      </c>
      <c r="D1592" s="317">
        <v>71024</v>
      </c>
      <c r="E1592" s="122" t="s">
        <v>873</v>
      </c>
      <c r="F1592" s="122" t="s">
        <v>874</v>
      </c>
      <c r="G1592" s="122" t="s">
        <v>776</v>
      </c>
      <c r="H1592" s="122" t="s">
        <v>777</v>
      </c>
      <c r="I1592" s="312">
        <v>2018</v>
      </c>
      <c r="J1592" s="122" t="s">
        <v>710</v>
      </c>
      <c r="K1592" s="283">
        <v>13569</v>
      </c>
      <c r="L1592" s="318">
        <v>-33.699542999999998</v>
      </c>
      <c r="M1592" s="318">
        <v>150.92849699999999</v>
      </c>
      <c r="O1592">
        <f>INDEX('MEC - traffic congestion'!$M$145:$M$249,MATCH($D1592,'MEC - traffic congestion'!$C$145:$C$249,0))</f>
        <v>0</v>
      </c>
      <c r="P1592" t="str">
        <f t="shared" si="68"/>
        <v/>
      </c>
      <c r="Q1592">
        <f t="shared" si="69"/>
        <v>1</v>
      </c>
      <c r="R1592" s="195" t="str">
        <f t="shared" si="70"/>
        <v/>
      </c>
    </row>
    <row r="1593" spans="3:18" x14ac:dyDescent="0.25">
      <c r="C1593" s="294" t="s">
        <v>872</v>
      </c>
      <c r="D1593" s="317">
        <v>71024</v>
      </c>
      <c r="E1593" s="122" t="s">
        <v>873</v>
      </c>
      <c r="F1593" s="122" t="s">
        <v>874</v>
      </c>
      <c r="G1593" s="122" t="s">
        <v>778</v>
      </c>
      <c r="H1593" s="122" t="s">
        <v>777</v>
      </c>
      <c r="I1593" s="312">
        <v>2018</v>
      </c>
      <c r="J1593" s="122" t="s">
        <v>710</v>
      </c>
      <c r="K1593" s="283">
        <v>14521</v>
      </c>
      <c r="L1593" s="318">
        <v>-33.699542999999998</v>
      </c>
      <c r="M1593" s="318">
        <v>150.92849699999999</v>
      </c>
      <c r="O1593">
        <f>INDEX('MEC - traffic congestion'!$M$145:$M$249,MATCH($D1593,'MEC - traffic congestion'!$C$145:$C$249,0))</f>
        <v>0</v>
      </c>
      <c r="P1593" t="str">
        <f t="shared" si="68"/>
        <v/>
      </c>
      <c r="Q1593">
        <f t="shared" si="69"/>
        <v>1</v>
      </c>
      <c r="R1593" s="195" t="str">
        <f t="shared" si="70"/>
        <v/>
      </c>
    </row>
    <row r="1594" spans="3:18" x14ac:dyDescent="0.25">
      <c r="C1594" s="294" t="s">
        <v>872</v>
      </c>
      <c r="D1594" s="317">
        <v>71024</v>
      </c>
      <c r="E1594" s="122" t="s">
        <v>873</v>
      </c>
      <c r="F1594" s="122" t="s">
        <v>874</v>
      </c>
      <c r="G1594" s="122" t="s">
        <v>776</v>
      </c>
      <c r="H1594" s="122" t="s">
        <v>777</v>
      </c>
      <c r="I1594" s="312">
        <v>2018</v>
      </c>
      <c r="J1594" s="122" t="s">
        <v>711</v>
      </c>
      <c r="K1594" s="283">
        <v>7789</v>
      </c>
      <c r="L1594" s="318">
        <v>-33.699542999999998</v>
      </c>
      <c r="M1594" s="318">
        <v>150.92849699999999</v>
      </c>
      <c r="O1594">
        <f>INDEX('MEC - traffic congestion'!$M$145:$M$249,MATCH($D1594,'MEC - traffic congestion'!$C$145:$C$249,0))</f>
        <v>0</v>
      </c>
      <c r="P1594" t="str">
        <f t="shared" si="68"/>
        <v/>
      </c>
      <c r="Q1594">
        <f t="shared" si="69"/>
        <v>1</v>
      </c>
      <c r="R1594" s="195" t="str">
        <f t="shared" si="70"/>
        <v/>
      </c>
    </row>
    <row r="1595" spans="3:18" x14ac:dyDescent="0.25">
      <c r="C1595" s="294" t="s">
        <v>872</v>
      </c>
      <c r="D1595" s="317">
        <v>71024</v>
      </c>
      <c r="E1595" s="122" t="s">
        <v>873</v>
      </c>
      <c r="F1595" s="122" t="s">
        <v>874</v>
      </c>
      <c r="G1595" s="122" t="s">
        <v>778</v>
      </c>
      <c r="H1595" s="122" t="s">
        <v>777</v>
      </c>
      <c r="I1595" s="312">
        <v>2018</v>
      </c>
      <c r="J1595" s="122" t="s">
        <v>711</v>
      </c>
      <c r="K1595" s="283">
        <v>6846</v>
      </c>
      <c r="L1595" s="318">
        <v>-33.699542999999998</v>
      </c>
      <c r="M1595" s="318">
        <v>150.92849699999999</v>
      </c>
      <c r="O1595">
        <f>INDEX('MEC - traffic congestion'!$M$145:$M$249,MATCH($D1595,'MEC - traffic congestion'!$C$145:$C$249,0))</f>
        <v>0</v>
      </c>
      <c r="P1595" t="str">
        <f t="shared" si="68"/>
        <v/>
      </c>
      <c r="Q1595">
        <f t="shared" si="69"/>
        <v>1</v>
      </c>
      <c r="R1595" s="195" t="str">
        <f t="shared" si="70"/>
        <v/>
      </c>
    </row>
    <row r="1596" spans="3:18" x14ac:dyDescent="0.25">
      <c r="C1596" s="294" t="s">
        <v>872</v>
      </c>
      <c r="D1596" s="317">
        <v>71024</v>
      </c>
      <c r="E1596" s="122" t="s">
        <v>873</v>
      </c>
      <c r="F1596" s="122" t="s">
        <v>874</v>
      </c>
      <c r="G1596" s="122" t="s">
        <v>776</v>
      </c>
      <c r="H1596" s="122" t="s">
        <v>777</v>
      </c>
      <c r="I1596" s="312">
        <v>2018</v>
      </c>
      <c r="J1596" s="122" t="s">
        <v>712</v>
      </c>
      <c r="K1596" s="283">
        <v>17649</v>
      </c>
      <c r="L1596" s="318">
        <v>-33.699542999999998</v>
      </c>
      <c r="M1596" s="318">
        <v>150.92849699999999</v>
      </c>
      <c r="O1596">
        <f>INDEX('MEC - traffic congestion'!$M$145:$M$249,MATCH($D1596,'MEC - traffic congestion'!$C$145:$C$249,0))</f>
        <v>0</v>
      </c>
      <c r="P1596" t="str">
        <f t="shared" si="68"/>
        <v/>
      </c>
      <c r="Q1596">
        <f t="shared" si="69"/>
        <v>1</v>
      </c>
      <c r="R1596" s="195" t="str">
        <f t="shared" si="70"/>
        <v/>
      </c>
    </row>
    <row r="1597" spans="3:18" x14ac:dyDescent="0.25">
      <c r="C1597" s="294" t="s">
        <v>872</v>
      </c>
      <c r="D1597" s="317">
        <v>71024</v>
      </c>
      <c r="E1597" s="122" t="s">
        <v>873</v>
      </c>
      <c r="F1597" s="122" t="s">
        <v>874</v>
      </c>
      <c r="G1597" s="122" t="s">
        <v>778</v>
      </c>
      <c r="H1597" s="122" t="s">
        <v>777</v>
      </c>
      <c r="I1597" s="312">
        <v>2018</v>
      </c>
      <c r="J1597" s="122" t="s">
        <v>712</v>
      </c>
      <c r="K1597" s="283">
        <v>18183</v>
      </c>
      <c r="L1597" s="318">
        <v>-33.699542999999998</v>
      </c>
      <c r="M1597" s="318">
        <v>150.92849699999999</v>
      </c>
      <c r="O1597">
        <f>INDEX('MEC - traffic congestion'!$M$145:$M$249,MATCH($D1597,'MEC - traffic congestion'!$C$145:$C$249,0))</f>
        <v>0</v>
      </c>
      <c r="P1597" t="str">
        <f t="shared" si="68"/>
        <v/>
      </c>
      <c r="Q1597">
        <f t="shared" si="69"/>
        <v>1</v>
      </c>
      <c r="R1597" s="195" t="str">
        <f t="shared" si="70"/>
        <v/>
      </c>
    </row>
    <row r="1598" spans="3:18" x14ac:dyDescent="0.25">
      <c r="C1598" s="294" t="s">
        <v>872</v>
      </c>
      <c r="D1598" s="317">
        <v>71024</v>
      </c>
      <c r="E1598" s="122" t="s">
        <v>873</v>
      </c>
      <c r="F1598" s="122" t="s">
        <v>874</v>
      </c>
      <c r="G1598" s="122" t="s">
        <v>776</v>
      </c>
      <c r="H1598" s="122" t="s">
        <v>777</v>
      </c>
      <c r="I1598" s="312">
        <v>2018</v>
      </c>
      <c r="J1598" s="122" t="s">
        <v>713</v>
      </c>
      <c r="K1598" s="283">
        <v>24698</v>
      </c>
      <c r="L1598" s="318">
        <v>-33.699542999999998</v>
      </c>
      <c r="M1598" s="318">
        <v>150.92849699999999</v>
      </c>
      <c r="O1598">
        <f>INDEX('MEC - traffic congestion'!$M$145:$M$249,MATCH($D1598,'MEC - traffic congestion'!$C$145:$C$249,0))</f>
        <v>0</v>
      </c>
      <c r="P1598" t="str">
        <f t="shared" si="68"/>
        <v/>
      </c>
      <c r="Q1598">
        <f t="shared" si="69"/>
        <v>1</v>
      </c>
      <c r="R1598" s="195" t="str">
        <f t="shared" si="70"/>
        <v/>
      </c>
    </row>
    <row r="1599" spans="3:18" x14ac:dyDescent="0.25">
      <c r="C1599" s="294" t="s">
        <v>872</v>
      </c>
      <c r="D1599" s="317">
        <v>71024</v>
      </c>
      <c r="E1599" s="122" t="s">
        <v>873</v>
      </c>
      <c r="F1599" s="122" t="s">
        <v>874</v>
      </c>
      <c r="G1599" s="122" t="s">
        <v>778</v>
      </c>
      <c r="H1599" s="122" t="s">
        <v>777</v>
      </c>
      <c r="I1599" s="312">
        <v>2018</v>
      </c>
      <c r="J1599" s="122" t="s">
        <v>713</v>
      </c>
      <c r="K1599" s="283">
        <v>25272</v>
      </c>
      <c r="L1599" s="318">
        <v>-33.699542999999998</v>
      </c>
      <c r="M1599" s="318">
        <v>150.92849699999999</v>
      </c>
      <c r="O1599">
        <f>INDEX('MEC - traffic congestion'!$M$145:$M$249,MATCH($D1599,'MEC - traffic congestion'!$C$145:$C$249,0))</f>
        <v>0</v>
      </c>
      <c r="P1599" t="str">
        <f t="shared" si="68"/>
        <v/>
      </c>
      <c r="Q1599">
        <f t="shared" si="69"/>
        <v>1</v>
      </c>
      <c r="R1599" s="195" t="str">
        <f t="shared" si="70"/>
        <v/>
      </c>
    </row>
    <row r="1600" spans="3:18" x14ac:dyDescent="0.25">
      <c r="C1600" s="294" t="s">
        <v>872</v>
      </c>
      <c r="D1600" s="317">
        <v>71024</v>
      </c>
      <c r="E1600" s="122" t="s">
        <v>873</v>
      </c>
      <c r="F1600" s="122" t="s">
        <v>874</v>
      </c>
      <c r="G1600" s="122" t="s">
        <v>776</v>
      </c>
      <c r="H1600" s="122" t="s">
        <v>777</v>
      </c>
      <c r="I1600" s="312">
        <v>2019</v>
      </c>
      <c r="J1600" s="122" t="s">
        <v>709</v>
      </c>
      <c r="K1600" s="283">
        <v>5497</v>
      </c>
      <c r="L1600" s="318">
        <v>-33.699542999999998</v>
      </c>
      <c r="M1600" s="318">
        <v>150.92849699999999</v>
      </c>
      <c r="O1600">
        <f>INDEX('MEC - traffic congestion'!$M$145:$M$249,MATCH($D1600,'MEC - traffic congestion'!$C$145:$C$249,0))</f>
        <v>0</v>
      </c>
      <c r="P1600" t="str">
        <f t="shared" si="68"/>
        <v/>
      </c>
      <c r="Q1600">
        <f t="shared" si="69"/>
        <v>1</v>
      </c>
      <c r="R1600" s="195" t="str">
        <f t="shared" si="70"/>
        <v/>
      </c>
    </row>
    <row r="1601" spans="3:18" x14ac:dyDescent="0.25">
      <c r="C1601" s="294" t="s">
        <v>872</v>
      </c>
      <c r="D1601" s="317">
        <v>71024</v>
      </c>
      <c r="E1601" s="122" t="s">
        <v>873</v>
      </c>
      <c r="F1601" s="122" t="s">
        <v>874</v>
      </c>
      <c r="G1601" s="122" t="s">
        <v>778</v>
      </c>
      <c r="H1601" s="122" t="s">
        <v>777</v>
      </c>
      <c r="I1601" s="312">
        <v>2019</v>
      </c>
      <c r="J1601" s="122" t="s">
        <v>709</v>
      </c>
      <c r="K1601" s="283">
        <v>7084</v>
      </c>
      <c r="L1601" s="318">
        <v>-33.699542999999998</v>
      </c>
      <c r="M1601" s="318">
        <v>150.92849699999999</v>
      </c>
      <c r="O1601">
        <f>INDEX('MEC - traffic congestion'!$M$145:$M$249,MATCH($D1601,'MEC - traffic congestion'!$C$145:$C$249,0))</f>
        <v>0</v>
      </c>
      <c r="P1601" t="str">
        <f t="shared" si="68"/>
        <v/>
      </c>
      <c r="Q1601">
        <f t="shared" si="69"/>
        <v>1</v>
      </c>
      <c r="R1601" s="195" t="str">
        <f t="shared" si="70"/>
        <v/>
      </c>
    </row>
    <row r="1602" spans="3:18" x14ac:dyDescent="0.25">
      <c r="C1602" s="294" t="s">
        <v>872</v>
      </c>
      <c r="D1602" s="317">
        <v>71024</v>
      </c>
      <c r="E1602" s="122" t="s">
        <v>873</v>
      </c>
      <c r="F1602" s="122" t="s">
        <v>874</v>
      </c>
      <c r="G1602" s="122" t="s">
        <v>776</v>
      </c>
      <c r="H1602" s="122" t="s">
        <v>777</v>
      </c>
      <c r="I1602" s="312">
        <v>2019</v>
      </c>
      <c r="J1602" s="122" t="s">
        <v>710</v>
      </c>
      <c r="K1602" s="283">
        <v>12610</v>
      </c>
      <c r="L1602" s="318">
        <v>-33.699542999999998</v>
      </c>
      <c r="M1602" s="318">
        <v>150.92849699999999</v>
      </c>
      <c r="O1602">
        <f>INDEX('MEC - traffic congestion'!$M$145:$M$249,MATCH($D1602,'MEC - traffic congestion'!$C$145:$C$249,0))</f>
        <v>0</v>
      </c>
      <c r="P1602" t="str">
        <f t="shared" si="68"/>
        <v/>
      </c>
      <c r="Q1602">
        <f t="shared" si="69"/>
        <v>1</v>
      </c>
      <c r="R1602" s="195" t="str">
        <f t="shared" si="70"/>
        <v/>
      </c>
    </row>
    <row r="1603" spans="3:18" x14ac:dyDescent="0.25">
      <c r="C1603" s="294" t="s">
        <v>872</v>
      </c>
      <c r="D1603" s="317">
        <v>71024</v>
      </c>
      <c r="E1603" s="122" t="s">
        <v>873</v>
      </c>
      <c r="F1603" s="122" t="s">
        <v>874</v>
      </c>
      <c r="G1603" s="122" t="s">
        <v>778</v>
      </c>
      <c r="H1603" s="122" t="s">
        <v>777</v>
      </c>
      <c r="I1603" s="312">
        <v>2019</v>
      </c>
      <c r="J1603" s="122" t="s">
        <v>710</v>
      </c>
      <c r="K1603" s="283">
        <v>13155</v>
      </c>
      <c r="L1603" s="318">
        <v>-33.699542999999998</v>
      </c>
      <c r="M1603" s="318">
        <v>150.92849699999999</v>
      </c>
      <c r="O1603">
        <f>INDEX('MEC - traffic congestion'!$M$145:$M$249,MATCH($D1603,'MEC - traffic congestion'!$C$145:$C$249,0))</f>
        <v>0</v>
      </c>
      <c r="P1603" t="str">
        <f t="shared" si="68"/>
        <v/>
      </c>
      <c r="Q1603">
        <f t="shared" si="69"/>
        <v>1</v>
      </c>
      <c r="R1603" s="195" t="str">
        <f t="shared" si="70"/>
        <v/>
      </c>
    </row>
    <row r="1604" spans="3:18" x14ac:dyDescent="0.25">
      <c r="C1604" s="294" t="s">
        <v>872</v>
      </c>
      <c r="D1604" s="317">
        <v>71024</v>
      </c>
      <c r="E1604" s="122" t="s">
        <v>873</v>
      </c>
      <c r="F1604" s="122" t="s">
        <v>874</v>
      </c>
      <c r="G1604" s="122" t="s">
        <v>776</v>
      </c>
      <c r="H1604" s="122" t="s">
        <v>777</v>
      </c>
      <c r="I1604" s="312">
        <v>2019</v>
      </c>
      <c r="J1604" s="122" t="s">
        <v>711</v>
      </c>
      <c r="K1604" s="283">
        <v>7590</v>
      </c>
      <c r="L1604" s="318">
        <v>-33.699542999999998</v>
      </c>
      <c r="M1604" s="318">
        <v>150.92849699999999</v>
      </c>
      <c r="O1604">
        <f>INDEX('MEC - traffic congestion'!$M$145:$M$249,MATCH($D1604,'MEC - traffic congestion'!$C$145:$C$249,0))</f>
        <v>0</v>
      </c>
      <c r="P1604" t="str">
        <f t="shared" si="68"/>
        <v/>
      </c>
      <c r="Q1604">
        <f t="shared" si="69"/>
        <v>1</v>
      </c>
      <c r="R1604" s="195" t="str">
        <f t="shared" si="70"/>
        <v/>
      </c>
    </row>
    <row r="1605" spans="3:18" x14ac:dyDescent="0.25">
      <c r="C1605" s="294" t="s">
        <v>872</v>
      </c>
      <c r="D1605" s="317">
        <v>71024</v>
      </c>
      <c r="E1605" s="122" t="s">
        <v>873</v>
      </c>
      <c r="F1605" s="122" t="s">
        <v>874</v>
      </c>
      <c r="G1605" s="122" t="s">
        <v>778</v>
      </c>
      <c r="H1605" s="122" t="s">
        <v>777</v>
      </c>
      <c r="I1605" s="312">
        <v>2019</v>
      </c>
      <c r="J1605" s="122" t="s">
        <v>711</v>
      </c>
      <c r="K1605" s="283">
        <v>6479</v>
      </c>
      <c r="L1605" s="318">
        <v>-33.699542999999998</v>
      </c>
      <c r="M1605" s="318">
        <v>150.92849699999999</v>
      </c>
      <c r="O1605">
        <f>INDEX('MEC - traffic congestion'!$M$145:$M$249,MATCH($D1605,'MEC - traffic congestion'!$C$145:$C$249,0))</f>
        <v>0</v>
      </c>
      <c r="P1605" t="str">
        <f t="shared" si="68"/>
        <v/>
      </c>
      <c r="Q1605">
        <f t="shared" si="69"/>
        <v>1</v>
      </c>
      <c r="R1605" s="195" t="str">
        <f t="shared" si="70"/>
        <v/>
      </c>
    </row>
    <row r="1606" spans="3:18" x14ac:dyDescent="0.25">
      <c r="C1606" s="294" t="s">
        <v>872</v>
      </c>
      <c r="D1606" s="317">
        <v>71024</v>
      </c>
      <c r="E1606" s="122" t="s">
        <v>873</v>
      </c>
      <c r="F1606" s="122" t="s">
        <v>874</v>
      </c>
      <c r="G1606" s="122" t="s">
        <v>776</v>
      </c>
      <c r="H1606" s="122" t="s">
        <v>777</v>
      </c>
      <c r="I1606" s="312">
        <v>2019</v>
      </c>
      <c r="J1606" s="122" t="s">
        <v>712</v>
      </c>
      <c r="K1606" s="283">
        <v>18383</v>
      </c>
      <c r="L1606" s="318">
        <v>-33.699542999999998</v>
      </c>
      <c r="M1606" s="318">
        <v>150.92849699999999</v>
      </c>
      <c r="O1606">
        <f>INDEX('MEC - traffic congestion'!$M$145:$M$249,MATCH($D1606,'MEC - traffic congestion'!$C$145:$C$249,0))</f>
        <v>0</v>
      </c>
      <c r="P1606" t="str">
        <f t="shared" si="68"/>
        <v/>
      </c>
      <c r="Q1606">
        <f t="shared" si="69"/>
        <v>1</v>
      </c>
      <c r="R1606" s="195" t="str">
        <f t="shared" si="70"/>
        <v/>
      </c>
    </row>
    <row r="1607" spans="3:18" x14ac:dyDescent="0.25">
      <c r="C1607" s="294" t="s">
        <v>872</v>
      </c>
      <c r="D1607" s="317">
        <v>71024</v>
      </c>
      <c r="E1607" s="122" t="s">
        <v>873</v>
      </c>
      <c r="F1607" s="122" t="s">
        <v>874</v>
      </c>
      <c r="G1607" s="122" t="s">
        <v>778</v>
      </c>
      <c r="H1607" s="122" t="s">
        <v>777</v>
      </c>
      <c r="I1607" s="312">
        <v>2019</v>
      </c>
      <c r="J1607" s="122" t="s">
        <v>712</v>
      </c>
      <c r="K1607" s="283">
        <v>18905</v>
      </c>
      <c r="L1607" s="318">
        <v>-33.699542999999998</v>
      </c>
      <c r="M1607" s="318">
        <v>150.92849699999999</v>
      </c>
      <c r="O1607">
        <f>INDEX('MEC - traffic congestion'!$M$145:$M$249,MATCH($D1607,'MEC - traffic congestion'!$C$145:$C$249,0))</f>
        <v>0</v>
      </c>
      <c r="P1607" t="str">
        <f t="shared" si="68"/>
        <v/>
      </c>
      <c r="Q1607">
        <f t="shared" si="69"/>
        <v>1</v>
      </c>
      <c r="R1607" s="195" t="str">
        <f t="shared" si="70"/>
        <v/>
      </c>
    </row>
    <row r="1608" spans="3:18" x14ac:dyDescent="0.25">
      <c r="C1608" s="294" t="s">
        <v>872</v>
      </c>
      <c r="D1608" s="317">
        <v>71024</v>
      </c>
      <c r="E1608" s="122" t="s">
        <v>873</v>
      </c>
      <c r="F1608" s="122" t="s">
        <v>874</v>
      </c>
      <c r="G1608" s="122" t="s">
        <v>776</v>
      </c>
      <c r="H1608" s="122" t="s">
        <v>777</v>
      </c>
      <c r="I1608" s="312">
        <v>2019</v>
      </c>
      <c r="J1608" s="122" t="s">
        <v>713</v>
      </c>
      <c r="K1608" s="283">
        <v>23835</v>
      </c>
      <c r="L1608" s="318">
        <v>-33.699542999999998</v>
      </c>
      <c r="M1608" s="318">
        <v>150.92849699999999</v>
      </c>
      <c r="O1608">
        <f>INDEX('MEC - traffic congestion'!$M$145:$M$249,MATCH($D1608,'MEC - traffic congestion'!$C$145:$C$249,0))</f>
        <v>0</v>
      </c>
      <c r="P1608" t="str">
        <f t="shared" si="68"/>
        <v/>
      </c>
      <c r="Q1608">
        <f t="shared" si="69"/>
        <v>1</v>
      </c>
      <c r="R1608" s="195" t="str">
        <f t="shared" si="70"/>
        <v/>
      </c>
    </row>
    <row r="1609" spans="3:18" x14ac:dyDescent="0.25">
      <c r="C1609" s="294" t="s">
        <v>872</v>
      </c>
      <c r="D1609" s="317">
        <v>71024</v>
      </c>
      <c r="E1609" s="122" t="s">
        <v>873</v>
      </c>
      <c r="F1609" s="122" t="s">
        <v>874</v>
      </c>
      <c r="G1609" s="122" t="s">
        <v>778</v>
      </c>
      <c r="H1609" s="122" t="s">
        <v>777</v>
      </c>
      <c r="I1609" s="312">
        <v>2019</v>
      </c>
      <c r="J1609" s="122" t="s">
        <v>713</v>
      </c>
      <c r="K1609" s="283">
        <v>24270</v>
      </c>
      <c r="L1609" s="318">
        <v>-33.699542999999998</v>
      </c>
      <c r="M1609" s="318">
        <v>150.92849699999999</v>
      </c>
      <c r="O1609">
        <f>INDEX('MEC - traffic congestion'!$M$145:$M$249,MATCH($D1609,'MEC - traffic congestion'!$C$145:$C$249,0))</f>
        <v>0</v>
      </c>
      <c r="P1609" t="str">
        <f t="shared" si="68"/>
        <v/>
      </c>
      <c r="Q1609">
        <f t="shared" si="69"/>
        <v>1</v>
      </c>
      <c r="R1609" s="195" t="str">
        <f t="shared" si="70"/>
        <v/>
      </c>
    </row>
    <row r="1610" spans="3:18" x14ac:dyDescent="0.25">
      <c r="C1610" s="294" t="s">
        <v>872</v>
      </c>
      <c r="D1610" s="317">
        <v>71024</v>
      </c>
      <c r="E1610" s="122" t="s">
        <v>873</v>
      </c>
      <c r="F1610" s="122" t="s">
        <v>874</v>
      </c>
      <c r="G1610" s="122" t="s">
        <v>776</v>
      </c>
      <c r="H1610" s="122" t="s">
        <v>777</v>
      </c>
      <c r="I1610" s="312">
        <v>2020</v>
      </c>
      <c r="J1610" s="122" t="s">
        <v>709</v>
      </c>
      <c r="K1610" s="283">
        <v>5422</v>
      </c>
      <c r="L1610" s="318">
        <v>-33.699542999999998</v>
      </c>
      <c r="M1610" s="318">
        <v>150.92849699999999</v>
      </c>
      <c r="O1610">
        <f>INDEX('MEC - traffic congestion'!$M$145:$M$249,MATCH($D1610,'MEC - traffic congestion'!$C$145:$C$249,0))</f>
        <v>0</v>
      </c>
      <c r="P1610" t="str">
        <f t="shared" si="68"/>
        <v/>
      </c>
      <c r="Q1610">
        <f t="shared" si="69"/>
        <v>1</v>
      </c>
      <c r="R1610" s="195" t="str">
        <f t="shared" si="70"/>
        <v/>
      </c>
    </row>
    <row r="1611" spans="3:18" x14ac:dyDescent="0.25">
      <c r="C1611" s="294" t="s">
        <v>872</v>
      </c>
      <c r="D1611" s="317">
        <v>71024</v>
      </c>
      <c r="E1611" s="122" t="s">
        <v>873</v>
      </c>
      <c r="F1611" s="122" t="s">
        <v>874</v>
      </c>
      <c r="G1611" s="122" t="s">
        <v>778</v>
      </c>
      <c r="H1611" s="122" t="s">
        <v>777</v>
      </c>
      <c r="I1611" s="312">
        <v>2020</v>
      </c>
      <c r="J1611" s="122" t="s">
        <v>709</v>
      </c>
      <c r="K1611" s="283">
        <v>6855</v>
      </c>
      <c r="L1611" s="318">
        <v>-33.699542999999998</v>
      </c>
      <c r="M1611" s="318">
        <v>150.92849699999999</v>
      </c>
      <c r="O1611">
        <f>INDEX('MEC - traffic congestion'!$M$145:$M$249,MATCH($D1611,'MEC - traffic congestion'!$C$145:$C$249,0))</f>
        <v>0</v>
      </c>
      <c r="P1611" t="str">
        <f t="shared" si="68"/>
        <v/>
      </c>
      <c r="Q1611">
        <f t="shared" si="69"/>
        <v>1</v>
      </c>
      <c r="R1611" s="195" t="str">
        <f t="shared" si="70"/>
        <v/>
      </c>
    </row>
    <row r="1612" spans="3:18" x14ac:dyDescent="0.25">
      <c r="C1612" s="294" t="s">
        <v>872</v>
      </c>
      <c r="D1612" s="317">
        <v>71024</v>
      </c>
      <c r="E1612" s="122" t="s">
        <v>873</v>
      </c>
      <c r="F1612" s="122" t="s">
        <v>874</v>
      </c>
      <c r="G1612" s="122" t="s">
        <v>776</v>
      </c>
      <c r="H1612" s="122" t="s">
        <v>777</v>
      </c>
      <c r="I1612" s="312">
        <v>2020</v>
      </c>
      <c r="J1612" s="122" t="s">
        <v>710</v>
      </c>
      <c r="K1612" s="283">
        <v>12212</v>
      </c>
      <c r="L1612" s="318">
        <v>-33.699542999999998</v>
      </c>
      <c r="M1612" s="318">
        <v>150.92849699999999</v>
      </c>
      <c r="O1612">
        <f>INDEX('MEC - traffic congestion'!$M$145:$M$249,MATCH($D1612,'MEC - traffic congestion'!$C$145:$C$249,0))</f>
        <v>0</v>
      </c>
      <c r="P1612" t="str">
        <f t="shared" si="68"/>
        <v/>
      </c>
      <c r="Q1612">
        <f t="shared" si="69"/>
        <v>1</v>
      </c>
      <c r="R1612" s="195" t="str">
        <f t="shared" si="70"/>
        <v/>
      </c>
    </row>
    <row r="1613" spans="3:18" x14ac:dyDescent="0.25">
      <c r="C1613" s="294" t="s">
        <v>872</v>
      </c>
      <c r="D1613" s="317">
        <v>71024</v>
      </c>
      <c r="E1613" s="122" t="s">
        <v>873</v>
      </c>
      <c r="F1613" s="122" t="s">
        <v>874</v>
      </c>
      <c r="G1613" s="122" t="s">
        <v>778</v>
      </c>
      <c r="H1613" s="122" t="s">
        <v>777</v>
      </c>
      <c r="I1613" s="312">
        <v>2020</v>
      </c>
      <c r="J1613" s="122" t="s">
        <v>710</v>
      </c>
      <c r="K1613" s="283">
        <v>12760</v>
      </c>
      <c r="L1613" s="318">
        <v>-33.699542999999998</v>
      </c>
      <c r="M1613" s="318">
        <v>150.92849699999999</v>
      </c>
      <c r="O1613">
        <f>INDEX('MEC - traffic congestion'!$M$145:$M$249,MATCH($D1613,'MEC - traffic congestion'!$C$145:$C$249,0))</f>
        <v>0</v>
      </c>
      <c r="P1613" t="str">
        <f t="shared" si="68"/>
        <v/>
      </c>
      <c r="Q1613">
        <f t="shared" si="69"/>
        <v>1</v>
      </c>
      <c r="R1613" s="195" t="str">
        <f t="shared" si="70"/>
        <v/>
      </c>
    </row>
    <row r="1614" spans="3:18" x14ac:dyDescent="0.25">
      <c r="C1614" s="294" t="s">
        <v>872</v>
      </c>
      <c r="D1614" s="317">
        <v>71024</v>
      </c>
      <c r="E1614" s="122" t="s">
        <v>873</v>
      </c>
      <c r="F1614" s="122" t="s">
        <v>874</v>
      </c>
      <c r="G1614" s="122" t="s">
        <v>776</v>
      </c>
      <c r="H1614" s="122" t="s">
        <v>777</v>
      </c>
      <c r="I1614" s="312">
        <v>2020</v>
      </c>
      <c r="J1614" s="122" t="s">
        <v>711</v>
      </c>
      <c r="K1614" s="283">
        <v>7399</v>
      </c>
      <c r="L1614" s="318">
        <v>-33.699542999999998</v>
      </c>
      <c r="M1614" s="318">
        <v>150.92849699999999</v>
      </c>
      <c r="O1614">
        <f>INDEX('MEC - traffic congestion'!$M$145:$M$249,MATCH($D1614,'MEC - traffic congestion'!$C$145:$C$249,0))</f>
        <v>0</v>
      </c>
      <c r="P1614" t="str">
        <f t="shared" si="68"/>
        <v/>
      </c>
      <c r="Q1614">
        <f t="shared" si="69"/>
        <v>1</v>
      </c>
      <c r="R1614" s="195" t="str">
        <f t="shared" si="70"/>
        <v/>
      </c>
    </row>
    <row r="1615" spans="3:18" x14ac:dyDescent="0.25">
      <c r="C1615" s="294" t="s">
        <v>872</v>
      </c>
      <c r="D1615" s="317">
        <v>71024</v>
      </c>
      <c r="E1615" s="122" t="s">
        <v>873</v>
      </c>
      <c r="F1615" s="122" t="s">
        <v>874</v>
      </c>
      <c r="G1615" s="122" t="s">
        <v>778</v>
      </c>
      <c r="H1615" s="122" t="s">
        <v>777</v>
      </c>
      <c r="I1615" s="312">
        <v>2020</v>
      </c>
      <c r="J1615" s="122" t="s">
        <v>711</v>
      </c>
      <c r="K1615" s="283">
        <v>6015</v>
      </c>
      <c r="L1615" s="318">
        <v>-33.699542999999998</v>
      </c>
      <c r="M1615" s="318">
        <v>150.92849699999999</v>
      </c>
      <c r="O1615">
        <f>INDEX('MEC - traffic congestion'!$M$145:$M$249,MATCH($D1615,'MEC - traffic congestion'!$C$145:$C$249,0))</f>
        <v>0</v>
      </c>
      <c r="P1615" t="str">
        <f t="shared" si="68"/>
        <v/>
      </c>
      <c r="Q1615">
        <f t="shared" si="69"/>
        <v>1</v>
      </c>
      <c r="R1615" s="195" t="str">
        <f t="shared" si="70"/>
        <v/>
      </c>
    </row>
    <row r="1616" spans="3:18" x14ac:dyDescent="0.25">
      <c r="C1616" s="294" t="s">
        <v>872</v>
      </c>
      <c r="D1616" s="317">
        <v>71024</v>
      </c>
      <c r="E1616" s="122" t="s">
        <v>873</v>
      </c>
      <c r="F1616" s="122" t="s">
        <v>874</v>
      </c>
      <c r="G1616" s="122" t="s">
        <v>776</v>
      </c>
      <c r="H1616" s="122" t="s">
        <v>777</v>
      </c>
      <c r="I1616" s="312">
        <v>2020</v>
      </c>
      <c r="J1616" s="122" t="s">
        <v>712</v>
      </c>
      <c r="K1616" s="283">
        <v>14493</v>
      </c>
      <c r="L1616" s="318">
        <v>-33.699542999999998</v>
      </c>
      <c r="M1616" s="318">
        <v>150.92849699999999</v>
      </c>
      <c r="O1616">
        <f>INDEX('MEC - traffic congestion'!$M$145:$M$249,MATCH($D1616,'MEC - traffic congestion'!$C$145:$C$249,0))</f>
        <v>0</v>
      </c>
      <c r="P1616" t="str">
        <f t="shared" si="68"/>
        <v/>
      </c>
      <c r="Q1616">
        <f t="shared" si="69"/>
        <v>1</v>
      </c>
      <c r="R1616" s="195" t="str">
        <f t="shared" si="70"/>
        <v/>
      </c>
    </row>
    <row r="1617" spans="3:18" x14ac:dyDescent="0.25">
      <c r="C1617" s="294" t="s">
        <v>872</v>
      </c>
      <c r="D1617" s="317">
        <v>71024</v>
      </c>
      <c r="E1617" s="122" t="s">
        <v>873</v>
      </c>
      <c r="F1617" s="122" t="s">
        <v>874</v>
      </c>
      <c r="G1617" s="122" t="s">
        <v>778</v>
      </c>
      <c r="H1617" s="122" t="s">
        <v>777</v>
      </c>
      <c r="I1617" s="312">
        <v>2020</v>
      </c>
      <c r="J1617" s="122" t="s">
        <v>712</v>
      </c>
      <c r="K1617" s="283">
        <v>14394</v>
      </c>
      <c r="L1617" s="318">
        <v>-33.699542999999998</v>
      </c>
      <c r="M1617" s="318">
        <v>150.92849699999999</v>
      </c>
      <c r="O1617">
        <f>INDEX('MEC - traffic congestion'!$M$145:$M$249,MATCH($D1617,'MEC - traffic congestion'!$C$145:$C$249,0))</f>
        <v>0</v>
      </c>
      <c r="P1617" t="str">
        <f t="shared" si="68"/>
        <v/>
      </c>
      <c r="Q1617">
        <f t="shared" si="69"/>
        <v>1</v>
      </c>
      <c r="R1617" s="195" t="str">
        <f t="shared" si="70"/>
        <v/>
      </c>
    </row>
    <row r="1618" spans="3:18" x14ac:dyDescent="0.25">
      <c r="C1618" s="294" t="s">
        <v>872</v>
      </c>
      <c r="D1618" s="317">
        <v>71024</v>
      </c>
      <c r="E1618" s="122" t="s">
        <v>873</v>
      </c>
      <c r="F1618" s="122" t="s">
        <v>874</v>
      </c>
      <c r="G1618" s="122" t="s">
        <v>776</v>
      </c>
      <c r="H1618" s="122" t="s">
        <v>777</v>
      </c>
      <c r="I1618" s="312">
        <v>2020</v>
      </c>
      <c r="J1618" s="122" t="s">
        <v>713</v>
      </c>
      <c r="K1618" s="283">
        <v>21618</v>
      </c>
      <c r="L1618" s="318">
        <v>-33.699542999999998</v>
      </c>
      <c r="M1618" s="318">
        <v>150.92849699999999</v>
      </c>
      <c r="O1618">
        <f>INDEX('MEC - traffic congestion'!$M$145:$M$249,MATCH($D1618,'MEC - traffic congestion'!$C$145:$C$249,0))</f>
        <v>0</v>
      </c>
      <c r="P1618" t="str">
        <f t="shared" si="68"/>
        <v/>
      </c>
      <c r="Q1618">
        <f t="shared" si="69"/>
        <v>1</v>
      </c>
      <c r="R1618" s="195" t="str">
        <f t="shared" si="70"/>
        <v/>
      </c>
    </row>
    <row r="1619" spans="3:18" x14ac:dyDescent="0.25">
      <c r="C1619" s="294" t="s">
        <v>872</v>
      </c>
      <c r="D1619" s="317">
        <v>71024</v>
      </c>
      <c r="E1619" s="122" t="s">
        <v>873</v>
      </c>
      <c r="F1619" s="122" t="s">
        <v>874</v>
      </c>
      <c r="G1619" s="122" t="s">
        <v>778</v>
      </c>
      <c r="H1619" s="122" t="s">
        <v>777</v>
      </c>
      <c r="I1619" s="312">
        <v>2020</v>
      </c>
      <c r="J1619" s="122" t="s">
        <v>713</v>
      </c>
      <c r="K1619" s="283">
        <v>21593</v>
      </c>
      <c r="L1619" s="318">
        <v>-33.699542999999998</v>
      </c>
      <c r="M1619" s="318">
        <v>150.92849699999999</v>
      </c>
      <c r="O1619">
        <f>INDEX('MEC - traffic congestion'!$M$145:$M$249,MATCH($D1619,'MEC - traffic congestion'!$C$145:$C$249,0))</f>
        <v>0</v>
      </c>
      <c r="P1619" t="str">
        <f t="shared" si="68"/>
        <v/>
      </c>
      <c r="Q1619">
        <f t="shared" si="69"/>
        <v>1</v>
      </c>
      <c r="R1619" s="195" t="str">
        <f t="shared" si="70"/>
        <v/>
      </c>
    </row>
    <row r="1620" spans="3:18" x14ac:dyDescent="0.25">
      <c r="C1620" s="294" t="s">
        <v>875</v>
      </c>
      <c r="D1620" s="317" t="s">
        <v>727</v>
      </c>
      <c r="E1620" s="122" t="s">
        <v>876</v>
      </c>
      <c r="F1620" s="122" t="s">
        <v>877</v>
      </c>
      <c r="G1620" s="122" t="s">
        <v>785</v>
      </c>
      <c r="H1620" s="122" t="s">
        <v>777</v>
      </c>
      <c r="I1620" s="312">
        <v>2018</v>
      </c>
      <c r="J1620" s="122" t="s">
        <v>709</v>
      </c>
      <c r="K1620" s="283">
        <v>3170</v>
      </c>
      <c r="L1620" s="318">
        <v>-34.066611999999999</v>
      </c>
      <c r="M1620" s="318">
        <v>150.81958</v>
      </c>
      <c r="O1620">
        <f>INDEX('MEC - traffic congestion'!$M$145:$M$249,MATCH($D1620,'MEC - traffic congestion'!$C$145:$C$249,0))</f>
        <v>1</v>
      </c>
      <c r="P1620" t="str">
        <f t="shared" si="68"/>
        <v>2018AM PEAK</v>
      </c>
      <c r="Q1620">
        <f t="shared" si="69"/>
        <v>1</v>
      </c>
      <c r="R1620" s="195" t="str">
        <f t="shared" si="70"/>
        <v>2018LIGHT VEHICLES</v>
      </c>
    </row>
    <row r="1621" spans="3:18" x14ac:dyDescent="0.25">
      <c r="C1621" s="294" t="s">
        <v>875</v>
      </c>
      <c r="D1621" s="317" t="s">
        <v>727</v>
      </c>
      <c r="E1621" s="122" t="s">
        <v>876</v>
      </c>
      <c r="F1621" s="122" t="s">
        <v>877</v>
      </c>
      <c r="G1621" s="122" t="s">
        <v>786</v>
      </c>
      <c r="H1621" s="122" t="s">
        <v>777</v>
      </c>
      <c r="I1621" s="312">
        <v>2018</v>
      </c>
      <c r="J1621" s="122" t="s">
        <v>709</v>
      </c>
      <c r="K1621" s="283">
        <v>2735</v>
      </c>
      <c r="L1621" s="318">
        <v>-34.066611999999999</v>
      </c>
      <c r="M1621" s="318">
        <v>150.81958</v>
      </c>
      <c r="O1621">
        <f>INDEX('MEC - traffic congestion'!$M$145:$M$249,MATCH($D1621,'MEC - traffic congestion'!$C$145:$C$249,0))</f>
        <v>1</v>
      </c>
      <c r="P1621" t="str">
        <f t="shared" ref="P1621:P1684" si="71">IF($O1621=1,$I1621&amp;$J1621,"")</f>
        <v>2018AM PEAK</v>
      </c>
      <c r="Q1621">
        <f t="shared" ref="Q1621:Q1684" si="72">IF(AND($M1621&gt;150.246,AND($L1621&gt;-34.397,$L1621&lt;-32.662)),1,0)</f>
        <v>1</v>
      </c>
      <c r="R1621" s="195" t="str">
        <f t="shared" ref="R1621:R1684" si="73">IF($O1621=1,$I1621&amp;$H1621,"")</f>
        <v>2018LIGHT VEHICLES</v>
      </c>
    </row>
    <row r="1622" spans="3:18" x14ac:dyDescent="0.25">
      <c r="C1622" s="294" t="s">
        <v>875</v>
      </c>
      <c r="D1622" s="317" t="s">
        <v>727</v>
      </c>
      <c r="E1622" s="122" t="s">
        <v>876</v>
      </c>
      <c r="F1622" s="122" t="s">
        <v>877</v>
      </c>
      <c r="G1622" s="122" t="s">
        <v>785</v>
      </c>
      <c r="H1622" s="122" t="s">
        <v>777</v>
      </c>
      <c r="I1622" s="312">
        <v>2018</v>
      </c>
      <c r="J1622" s="122" t="s">
        <v>710</v>
      </c>
      <c r="K1622" s="283">
        <v>6290</v>
      </c>
      <c r="L1622" s="318">
        <v>-34.066611999999999</v>
      </c>
      <c r="M1622" s="318">
        <v>150.81958</v>
      </c>
      <c r="O1622">
        <f>INDEX('MEC - traffic congestion'!$M$145:$M$249,MATCH($D1622,'MEC - traffic congestion'!$C$145:$C$249,0))</f>
        <v>1</v>
      </c>
      <c r="P1622" t="str">
        <f t="shared" si="71"/>
        <v>2018OFF PEAK</v>
      </c>
      <c r="Q1622">
        <f t="shared" si="72"/>
        <v>1</v>
      </c>
      <c r="R1622" s="195" t="str">
        <f t="shared" si="73"/>
        <v>2018LIGHT VEHICLES</v>
      </c>
    </row>
    <row r="1623" spans="3:18" x14ac:dyDescent="0.25">
      <c r="C1623" s="294" t="s">
        <v>875</v>
      </c>
      <c r="D1623" s="317" t="s">
        <v>727</v>
      </c>
      <c r="E1623" s="122" t="s">
        <v>876</v>
      </c>
      <c r="F1623" s="122" t="s">
        <v>877</v>
      </c>
      <c r="G1623" s="122" t="s">
        <v>786</v>
      </c>
      <c r="H1623" s="122" t="s">
        <v>777</v>
      </c>
      <c r="I1623" s="312">
        <v>2018</v>
      </c>
      <c r="J1623" s="122" t="s">
        <v>710</v>
      </c>
      <c r="K1623" s="283">
        <v>6274</v>
      </c>
      <c r="L1623" s="318">
        <v>-34.066611999999999</v>
      </c>
      <c r="M1623" s="318">
        <v>150.81958</v>
      </c>
      <c r="O1623">
        <f>INDEX('MEC - traffic congestion'!$M$145:$M$249,MATCH($D1623,'MEC - traffic congestion'!$C$145:$C$249,0))</f>
        <v>1</v>
      </c>
      <c r="P1623" t="str">
        <f t="shared" si="71"/>
        <v>2018OFF PEAK</v>
      </c>
      <c r="Q1623">
        <f t="shared" si="72"/>
        <v>1</v>
      </c>
      <c r="R1623" s="195" t="str">
        <f t="shared" si="73"/>
        <v>2018LIGHT VEHICLES</v>
      </c>
    </row>
    <row r="1624" spans="3:18" x14ac:dyDescent="0.25">
      <c r="C1624" s="294" t="s">
        <v>875</v>
      </c>
      <c r="D1624" s="317" t="s">
        <v>727</v>
      </c>
      <c r="E1624" s="122" t="s">
        <v>876</v>
      </c>
      <c r="F1624" s="122" t="s">
        <v>877</v>
      </c>
      <c r="G1624" s="122" t="s">
        <v>785</v>
      </c>
      <c r="H1624" s="122" t="s">
        <v>777</v>
      </c>
      <c r="I1624" s="312">
        <v>2018</v>
      </c>
      <c r="J1624" s="122" t="s">
        <v>711</v>
      </c>
      <c r="K1624" s="283">
        <v>3314</v>
      </c>
      <c r="L1624" s="318">
        <v>-34.066611999999999</v>
      </c>
      <c r="M1624" s="318">
        <v>150.81958</v>
      </c>
      <c r="O1624">
        <f>INDEX('MEC - traffic congestion'!$M$145:$M$249,MATCH($D1624,'MEC - traffic congestion'!$C$145:$C$249,0))</f>
        <v>1</v>
      </c>
      <c r="P1624" t="str">
        <f t="shared" si="71"/>
        <v>2018PM PEAK</v>
      </c>
      <c r="Q1624">
        <f t="shared" si="72"/>
        <v>1</v>
      </c>
      <c r="R1624" s="195" t="str">
        <f t="shared" si="73"/>
        <v>2018LIGHT VEHICLES</v>
      </c>
    </row>
    <row r="1625" spans="3:18" x14ac:dyDescent="0.25">
      <c r="C1625" s="294" t="s">
        <v>875</v>
      </c>
      <c r="D1625" s="317" t="s">
        <v>727</v>
      </c>
      <c r="E1625" s="122" t="s">
        <v>876</v>
      </c>
      <c r="F1625" s="122" t="s">
        <v>877</v>
      </c>
      <c r="G1625" s="122" t="s">
        <v>786</v>
      </c>
      <c r="H1625" s="122" t="s">
        <v>777</v>
      </c>
      <c r="I1625" s="312">
        <v>2018</v>
      </c>
      <c r="J1625" s="122" t="s">
        <v>711</v>
      </c>
      <c r="K1625" s="283">
        <v>5123</v>
      </c>
      <c r="L1625" s="318">
        <v>-34.066611999999999</v>
      </c>
      <c r="M1625" s="318">
        <v>150.81958</v>
      </c>
      <c r="O1625">
        <f>INDEX('MEC - traffic congestion'!$M$145:$M$249,MATCH($D1625,'MEC - traffic congestion'!$C$145:$C$249,0))</f>
        <v>1</v>
      </c>
      <c r="P1625" t="str">
        <f t="shared" si="71"/>
        <v>2018PM PEAK</v>
      </c>
      <c r="Q1625">
        <f t="shared" si="72"/>
        <v>1</v>
      </c>
      <c r="R1625" s="195" t="str">
        <f t="shared" si="73"/>
        <v>2018LIGHT VEHICLES</v>
      </c>
    </row>
    <row r="1626" spans="3:18" x14ac:dyDescent="0.25">
      <c r="C1626" s="294" t="s">
        <v>875</v>
      </c>
      <c r="D1626" s="317" t="s">
        <v>727</v>
      </c>
      <c r="E1626" s="122" t="s">
        <v>876</v>
      </c>
      <c r="F1626" s="122" t="s">
        <v>877</v>
      </c>
      <c r="G1626" s="122" t="s">
        <v>785</v>
      </c>
      <c r="H1626" s="122" t="s">
        <v>777</v>
      </c>
      <c r="I1626" s="312">
        <v>2018</v>
      </c>
      <c r="J1626" s="122" t="s">
        <v>712</v>
      </c>
      <c r="K1626" s="283">
        <v>8770</v>
      </c>
      <c r="L1626" s="318">
        <v>-34.066611999999999</v>
      </c>
      <c r="M1626" s="318">
        <v>150.81958</v>
      </c>
      <c r="O1626">
        <f>INDEX('MEC - traffic congestion'!$M$145:$M$249,MATCH($D1626,'MEC - traffic congestion'!$C$145:$C$249,0))</f>
        <v>1</v>
      </c>
      <c r="P1626" t="str">
        <f t="shared" si="71"/>
        <v>2018PUBLIC HOLIDAYS</v>
      </c>
      <c r="Q1626">
        <f t="shared" si="72"/>
        <v>1</v>
      </c>
      <c r="R1626" s="195" t="str">
        <f t="shared" si="73"/>
        <v>2018LIGHT VEHICLES</v>
      </c>
    </row>
    <row r="1627" spans="3:18" x14ac:dyDescent="0.25">
      <c r="C1627" s="294" t="s">
        <v>875</v>
      </c>
      <c r="D1627" s="317" t="s">
        <v>727</v>
      </c>
      <c r="E1627" s="122" t="s">
        <v>876</v>
      </c>
      <c r="F1627" s="122" t="s">
        <v>877</v>
      </c>
      <c r="G1627" s="122" t="s">
        <v>786</v>
      </c>
      <c r="H1627" s="122" t="s">
        <v>777</v>
      </c>
      <c r="I1627" s="312">
        <v>2018</v>
      </c>
      <c r="J1627" s="122" t="s">
        <v>712</v>
      </c>
      <c r="K1627" s="283">
        <v>9363</v>
      </c>
      <c r="L1627" s="318">
        <v>-34.066611999999999</v>
      </c>
      <c r="M1627" s="318">
        <v>150.81958</v>
      </c>
      <c r="O1627">
        <f>INDEX('MEC - traffic congestion'!$M$145:$M$249,MATCH($D1627,'MEC - traffic congestion'!$C$145:$C$249,0))</f>
        <v>1</v>
      </c>
      <c r="P1627" t="str">
        <f t="shared" si="71"/>
        <v>2018PUBLIC HOLIDAYS</v>
      </c>
      <c r="Q1627">
        <f t="shared" si="72"/>
        <v>1</v>
      </c>
      <c r="R1627" s="195" t="str">
        <f t="shared" si="73"/>
        <v>2018LIGHT VEHICLES</v>
      </c>
    </row>
    <row r="1628" spans="3:18" x14ac:dyDescent="0.25">
      <c r="C1628" s="294" t="s">
        <v>875</v>
      </c>
      <c r="D1628" s="317" t="s">
        <v>727</v>
      </c>
      <c r="E1628" s="122" t="s">
        <v>876</v>
      </c>
      <c r="F1628" s="122" t="s">
        <v>877</v>
      </c>
      <c r="G1628" s="122" t="s">
        <v>785</v>
      </c>
      <c r="H1628" s="122" t="s">
        <v>777</v>
      </c>
      <c r="I1628" s="312">
        <v>2018</v>
      </c>
      <c r="J1628" s="122" t="s">
        <v>713</v>
      </c>
      <c r="K1628" s="283">
        <v>10385</v>
      </c>
      <c r="L1628" s="318">
        <v>-34.066611999999999</v>
      </c>
      <c r="M1628" s="318">
        <v>150.81958</v>
      </c>
      <c r="O1628">
        <f>INDEX('MEC - traffic congestion'!$M$145:$M$249,MATCH($D1628,'MEC - traffic congestion'!$C$145:$C$249,0))</f>
        <v>1</v>
      </c>
      <c r="P1628" t="str">
        <f t="shared" si="71"/>
        <v>2018WEEKENDS</v>
      </c>
      <c r="Q1628">
        <f t="shared" si="72"/>
        <v>1</v>
      </c>
      <c r="R1628" s="195" t="str">
        <f t="shared" si="73"/>
        <v>2018LIGHT VEHICLES</v>
      </c>
    </row>
    <row r="1629" spans="3:18" x14ac:dyDescent="0.25">
      <c r="C1629" s="294" t="s">
        <v>875</v>
      </c>
      <c r="D1629" s="317" t="s">
        <v>727</v>
      </c>
      <c r="E1629" s="122" t="s">
        <v>876</v>
      </c>
      <c r="F1629" s="122" t="s">
        <v>877</v>
      </c>
      <c r="G1629" s="122" t="s">
        <v>786</v>
      </c>
      <c r="H1629" s="122" t="s">
        <v>777</v>
      </c>
      <c r="I1629" s="312">
        <v>2018</v>
      </c>
      <c r="J1629" s="122" t="s">
        <v>713</v>
      </c>
      <c r="K1629" s="283">
        <v>11280</v>
      </c>
      <c r="L1629" s="318">
        <v>-34.066611999999999</v>
      </c>
      <c r="M1629" s="318">
        <v>150.81958</v>
      </c>
      <c r="O1629">
        <f>INDEX('MEC - traffic congestion'!$M$145:$M$249,MATCH($D1629,'MEC - traffic congestion'!$C$145:$C$249,0))</f>
        <v>1</v>
      </c>
      <c r="P1629" t="str">
        <f t="shared" si="71"/>
        <v>2018WEEKENDS</v>
      </c>
      <c r="Q1629">
        <f t="shared" si="72"/>
        <v>1</v>
      </c>
      <c r="R1629" s="195" t="str">
        <f t="shared" si="73"/>
        <v>2018LIGHT VEHICLES</v>
      </c>
    </row>
    <row r="1630" spans="3:18" x14ac:dyDescent="0.25">
      <c r="C1630" s="294" t="s">
        <v>875</v>
      </c>
      <c r="D1630" s="317" t="s">
        <v>727</v>
      </c>
      <c r="E1630" s="122" t="s">
        <v>876</v>
      </c>
      <c r="F1630" s="122" t="s">
        <v>877</v>
      </c>
      <c r="G1630" s="122" t="s">
        <v>785</v>
      </c>
      <c r="H1630" s="122" t="s">
        <v>777</v>
      </c>
      <c r="I1630" s="312">
        <v>2019</v>
      </c>
      <c r="J1630" s="122" t="s">
        <v>709</v>
      </c>
      <c r="K1630" s="283">
        <v>3086</v>
      </c>
      <c r="L1630" s="318">
        <v>-34.066611999999999</v>
      </c>
      <c r="M1630" s="318">
        <v>150.81958</v>
      </c>
      <c r="O1630">
        <f>INDEX('MEC - traffic congestion'!$M$145:$M$249,MATCH($D1630,'MEC - traffic congestion'!$C$145:$C$249,0))</f>
        <v>1</v>
      </c>
      <c r="P1630" t="str">
        <f t="shared" si="71"/>
        <v>2019AM PEAK</v>
      </c>
      <c r="Q1630">
        <f t="shared" si="72"/>
        <v>1</v>
      </c>
      <c r="R1630" s="195" t="str">
        <f t="shared" si="73"/>
        <v>2019LIGHT VEHICLES</v>
      </c>
    </row>
    <row r="1631" spans="3:18" x14ac:dyDescent="0.25">
      <c r="C1631" s="294" t="s">
        <v>875</v>
      </c>
      <c r="D1631" s="317" t="s">
        <v>727</v>
      </c>
      <c r="E1631" s="122" t="s">
        <v>876</v>
      </c>
      <c r="F1631" s="122" t="s">
        <v>877</v>
      </c>
      <c r="G1631" s="122" t="s">
        <v>786</v>
      </c>
      <c r="H1631" s="122" t="s">
        <v>777</v>
      </c>
      <c r="I1631" s="312">
        <v>2019</v>
      </c>
      <c r="J1631" s="122" t="s">
        <v>709</v>
      </c>
      <c r="K1631" s="283">
        <v>2640</v>
      </c>
      <c r="L1631" s="318">
        <v>-34.066611999999999</v>
      </c>
      <c r="M1631" s="318">
        <v>150.81958</v>
      </c>
      <c r="O1631">
        <f>INDEX('MEC - traffic congestion'!$M$145:$M$249,MATCH($D1631,'MEC - traffic congestion'!$C$145:$C$249,0))</f>
        <v>1</v>
      </c>
      <c r="P1631" t="str">
        <f t="shared" si="71"/>
        <v>2019AM PEAK</v>
      </c>
      <c r="Q1631">
        <f t="shared" si="72"/>
        <v>1</v>
      </c>
      <c r="R1631" s="195" t="str">
        <f t="shared" si="73"/>
        <v>2019LIGHT VEHICLES</v>
      </c>
    </row>
    <row r="1632" spans="3:18" x14ac:dyDescent="0.25">
      <c r="C1632" s="294" t="s">
        <v>875</v>
      </c>
      <c r="D1632" s="317" t="s">
        <v>727</v>
      </c>
      <c r="E1632" s="122" t="s">
        <v>876</v>
      </c>
      <c r="F1632" s="122" t="s">
        <v>877</v>
      </c>
      <c r="G1632" s="122" t="s">
        <v>785</v>
      </c>
      <c r="H1632" s="122" t="s">
        <v>777</v>
      </c>
      <c r="I1632" s="312">
        <v>2019</v>
      </c>
      <c r="J1632" s="122" t="s">
        <v>710</v>
      </c>
      <c r="K1632" s="283">
        <v>6206</v>
      </c>
      <c r="L1632" s="318">
        <v>-34.066611999999999</v>
      </c>
      <c r="M1632" s="318">
        <v>150.81958</v>
      </c>
      <c r="O1632">
        <f>INDEX('MEC - traffic congestion'!$M$145:$M$249,MATCH($D1632,'MEC - traffic congestion'!$C$145:$C$249,0))</f>
        <v>1</v>
      </c>
      <c r="P1632" t="str">
        <f t="shared" si="71"/>
        <v>2019OFF PEAK</v>
      </c>
      <c r="Q1632">
        <f t="shared" si="72"/>
        <v>1</v>
      </c>
      <c r="R1632" s="195" t="str">
        <f t="shared" si="73"/>
        <v>2019LIGHT VEHICLES</v>
      </c>
    </row>
    <row r="1633" spans="3:18" x14ac:dyDescent="0.25">
      <c r="C1633" s="294" t="s">
        <v>875</v>
      </c>
      <c r="D1633" s="317" t="s">
        <v>727</v>
      </c>
      <c r="E1633" s="122" t="s">
        <v>876</v>
      </c>
      <c r="F1633" s="122" t="s">
        <v>877</v>
      </c>
      <c r="G1633" s="122" t="s">
        <v>786</v>
      </c>
      <c r="H1633" s="122" t="s">
        <v>777</v>
      </c>
      <c r="I1633" s="312">
        <v>2019</v>
      </c>
      <c r="J1633" s="122" t="s">
        <v>710</v>
      </c>
      <c r="K1633" s="283">
        <v>6023</v>
      </c>
      <c r="L1633" s="318">
        <v>-34.066611999999999</v>
      </c>
      <c r="M1633" s="318">
        <v>150.81958</v>
      </c>
      <c r="O1633">
        <f>INDEX('MEC - traffic congestion'!$M$145:$M$249,MATCH($D1633,'MEC - traffic congestion'!$C$145:$C$249,0))</f>
        <v>1</v>
      </c>
      <c r="P1633" t="str">
        <f t="shared" si="71"/>
        <v>2019OFF PEAK</v>
      </c>
      <c r="Q1633">
        <f t="shared" si="72"/>
        <v>1</v>
      </c>
      <c r="R1633" s="195" t="str">
        <f t="shared" si="73"/>
        <v>2019LIGHT VEHICLES</v>
      </c>
    </row>
    <row r="1634" spans="3:18" x14ac:dyDescent="0.25">
      <c r="C1634" s="294" t="s">
        <v>875</v>
      </c>
      <c r="D1634" s="317" t="s">
        <v>727</v>
      </c>
      <c r="E1634" s="122" t="s">
        <v>876</v>
      </c>
      <c r="F1634" s="122" t="s">
        <v>877</v>
      </c>
      <c r="G1634" s="122" t="s">
        <v>785</v>
      </c>
      <c r="H1634" s="122" t="s">
        <v>777</v>
      </c>
      <c r="I1634" s="312">
        <v>2019</v>
      </c>
      <c r="J1634" s="122" t="s">
        <v>711</v>
      </c>
      <c r="K1634" s="283">
        <v>3303</v>
      </c>
      <c r="L1634" s="318">
        <v>-34.066611999999999</v>
      </c>
      <c r="M1634" s="318">
        <v>150.81958</v>
      </c>
      <c r="O1634">
        <f>INDEX('MEC - traffic congestion'!$M$145:$M$249,MATCH($D1634,'MEC - traffic congestion'!$C$145:$C$249,0))</f>
        <v>1</v>
      </c>
      <c r="P1634" t="str">
        <f t="shared" si="71"/>
        <v>2019PM PEAK</v>
      </c>
      <c r="Q1634">
        <f t="shared" si="72"/>
        <v>1</v>
      </c>
      <c r="R1634" s="195" t="str">
        <f t="shared" si="73"/>
        <v>2019LIGHT VEHICLES</v>
      </c>
    </row>
    <row r="1635" spans="3:18" x14ac:dyDescent="0.25">
      <c r="C1635" s="294" t="s">
        <v>875</v>
      </c>
      <c r="D1635" s="317" t="s">
        <v>727</v>
      </c>
      <c r="E1635" s="122" t="s">
        <v>876</v>
      </c>
      <c r="F1635" s="122" t="s">
        <v>877</v>
      </c>
      <c r="G1635" s="122" t="s">
        <v>786</v>
      </c>
      <c r="H1635" s="122" t="s">
        <v>777</v>
      </c>
      <c r="I1635" s="312">
        <v>2019</v>
      </c>
      <c r="J1635" s="122" t="s">
        <v>711</v>
      </c>
      <c r="K1635" s="283">
        <v>4893</v>
      </c>
      <c r="L1635" s="318">
        <v>-34.066611999999999</v>
      </c>
      <c r="M1635" s="318">
        <v>150.81958</v>
      </c>
      <c r="O1635">
        <f>INDEX('MEC - traffic congestion'!$M$145:$M$249,MATCH($D1635,'MEC - traffic congestion'!$C$145:$C$249,0))</f>
        <v>1</v>
      </c>
      <c r="P1635" t="str">
        <f t="shared" si="71"/>
        <v>2019PM PEAK</v>
      </c>
      <c r="Q1635">
        <f t="shared" si="72"/>
        <v>1</v>
      </c>
      <c r="R1635" s="195" t="str">
        <f t="shared" si="73"/>
        <v>2019LIGHT VEHICLES</v>
      </c>
    </row>
    <row r="1636" spans="3:18" x14ac:dyDescent="0.25">
      <c r="C1636" s="294" t="s">
        <v>875</v>
      </c>
      <c r="D1636" s="317" t="s">
        <v>727</v>
      </c>
      <c r="E1636" s="122" t="s">
        <v>876</v>
      </c>
      <c r="F1636" s="122" t="s">
        <v>877</v>
      </c>
      <c r="G1636" s="122" t="s">
        <v>785</v>
      </c>
      <c r="H1636" s="122" t="s">
        <v>777</v>
      </c>
      <c r="I1636" s="312">
        <v>2019</v>
      </c>
      <c r="J1636" s="122" t="s">
        <v>712</v>
      </c>
      <c r="K1636" s="283">
        <v>8815</v>
      </c>
      <c r="L1636" s="318">
        <v>-34.066611999999999</v>
      </c>
      <c r="M1636" s="318">
        <v>150.81958</v>
      </c>
      <c r="O1636">
        <f>INDEX('MEC - traffic congestion'!$M$145:$M$249,MATCH($D1636,'MEC - traffic congestion'!$C$145:$C$249,0))</f>
        <v>1</v>
      </c>
      <c r="P1636" t="str">
        <f t="shared" si="71"/>
        <v>2019PUBLIC HOLIDAYS</v>
      </c>
      <c r="Q1636">
        <f t="shared" si="72"/>
        <v>1</v>
      </c>
      <c r="R1636" s="195" t="str">
        <f t="shared" si="73"/>
        <v>2019LIGHT VEHICLES</v>
      </c>
    </row>
    <row r="1637" spans="3:18" x14ac:dyDescent="0.25">
      <c r="C1637" s="294" t="s">
        <v>875</v>
      </c>
      <c r="D1637" s="317" t="s">
        <v>727</v>
      </c>
      <c r="E1637" s="122" t="s">
        <v>876</v>
      </c>
      <c r="F1637" s="122" t="s">
        <v>877</v>
      </c>
      <c r="G1637" s="122" t="s">
        <v>786</v>
      </c>
      <c r="H1637" s="122" t="s">
        <v>777</v>
      </c>
      <c r="I1637" s="312">
        <v>2019</v>
      </c>
      <c r="J1637" s="122" t="s">
        <v>712</v>
      </c>
      <c r="K1637" s="283">
        <v>9092</v>
      </c>
      <c r="L1637" s="318">
        <v>-34.066611999999999</v>
      </c>
      <c r="M1637" s="318">
        <v>150.81958</v>
      </c>
      <c r="O1637">
        <f>INDEX('MEC - traffic congestion'!$M$145:$M$249,MATCH($D1637,'MEC - traffic congestion'!$C$145:$C$249,0))</f>
        <v>1</v>
      </c>
      <c r="P1637" t="str">
        <f t="shared" si="71"/>
        <v>2019PUBLIC HOLIDAYS</v>
      </c>
      <c r="Q1637">
        <f t="shared" si="72"/>
        <v>1</v>
      </c>
      <c r="R1637" s="195" t="str">
        <f t="shared" si="73"/>
        <v>2019LIGHT VEHICLES</v>
      </c>
    </row>
    <row r="1638" spans="3:18" x14ac:dyDescent="0.25">
      <c r="C1638" s="294" t="s">
        <v>875</v>
      </c>
      <c r="D1638" s="317" t="s">
        <v>727</v>
      </c>
      <c r="E1638" s="122" t="s">
        <v>876</v>
      </c>
      <c r="F1638" s="122" t="s">
        <v>877</v>
      </c>
      <c r="G1638" s="122" t="s">
        <v>785</v>
      </c>
      <c r="H1638" s="122" t="s">
        <v>777</v>
      </c>
      <c r="I1638" s="312">
        <v>2019</v>
      </c>
      <c r="J1638" s="122" t="s">
        <v>713</v>
      </c>
      <c r="K1638" s="283">
        <v>10056</v>
      </c>
      <c r="L1638" s="318">
        <v>-34.066611999999999</v>
      </c>
      <c r="M1638" s="318">
        <v>150.81958</v>
      </c>
      <c r="O1638">
        <f>INDEX('MEC - traffic congestion'!$M$145:$M$249,MATCH($D1638,'MEC - traffic congestion'!$C$145:$C$249,0))</f>
        <v>1</v>
      </c>
      <c r="P1638" t="str">
        <f t="shared" si="71"/>
        <v>2019WEEKENDS</v>
      </c>
      <c r="Q1638">
        <f t="shared" si="72"/>
        <v>1</v>
      </c>
      <c r="R1638" s="195" t="str">
        <f t="shared" si="73"/>
        <v>2019LIGHT VEHICLES</v>
      </c>
    </row>
    <row r="1639" spans="3:18" x14ac:dyDescent="0.25">
      <c r="C1639" s="294" t="s">
        <v>875</v>
      </c>
      <c r="D1639" s="317" t="s">
        <v>727</v>
      </c>
      <c r="E1639" s="122" t="s">
        <v>876</v>
      </c>
      <c r="F1639" s="122" t="s">
        <v>877</v>
      </c>
      <c r="G1639" s="122" t="s">
        <v>786</v>
      </c>
      <c r="H1639" s="122" t="s">
        <v>777</v>
      </c>
      <c r="I1639" s="312">
        <v>2019</v>
      </c>
      <c r="J1639" s="122" t="s">
        <v>713</v>
      </c>
      <c r="K1639" s="283">
        <v>10531</v>
      </c>
      <c r="L1639" s="318">
        <v>-34.066611999999999</v>
      </c>
      <c r="M1639" s="318">
        <v>150.81958</v>
      </c>
      <c r="O1639">
        <f>INDEX('MEC - traffic congestion'!$M$145:$M$249,MATCH($D1639,'MEC - traffic congestion'!$C$145:$C$249,0))</f>
        <v>1</v>
      </c>
      <c r="P1639" t="str">
        <f t="shared" si="71"/>
        <v>2019WEEKENDS</v>
      </c>
      <c r="Q1639">
        <f t="shared" si="72"/>
        <v>1</v>
      </c>
      <c r="R1639" s="195" t="str">
        <f t="shared" si="73"/>
        <v>2019LIGHT VEHICLES</v>
      </c>
    </row>
    <row r="1640" spans="3:18" x14ac:dyDescent="0.25">
      <c r="C1640" s="294" t="s">
        <v>875</v>
      </c>
      <c r="D1640" s="317" t="s">
        <v>727</v>
      </c>
      <c r="E1640" s="122" t="s">
        <v>876</v>
      </c>
      <c r="F1640" s="122" t="s">
        <v>877</v>
      </c>
      <c r="G1640" s="122" t="s">
        <v>785</v>
      </c>
      <c r="H1640" s="122" t="s">
        <v>777</v>
      </c>
      <c r="I1640" s="312">
        <v>2020</v>
      </c>
      <c r="J1640" s="122" t="s">
        <v>709</v>
      </c>
      <c r="K1640" s="283">
        <v>2768</v>
      </c>
      <c r="L1640" s="318">
        <v>-34.066611999999999</v>
      </c>
      <c r="M1640" s="318">
        <v>150.81958</v>
      </c>
      <c r="O1640">
        <f>INDEX('MEC - traffic congestion'!$M$145:$M$249,MATCH($D1640,'MEC - traffic congestion'!$C$145:$C$249,0))</f>
        <v>1</v>
      </c>
      <c r="P1640" t="str">
        <f t="shared" si="71"/>
        <v>2020AM PEAK</v>
      </c>
      <c r="Q1640">
        <f t="shared" si="72"/>
        <v>1</v>
      </c>
      <c r="R1640" s="195" t="str">
        <f t="shared" si="73"/>
        <v>2020LIGHT VEHICLES</v>
      </c>
    </row>
    <row r="1641" spans="3:18" x14ac:dyDescent="0.25">
      <c r="C1641" s="294" t="s">
        <v>875</v>
      </c>
      <c r="D1641" s="317" t="s">
        <v>727</v>
      </c>
      <c r="E1641" s="122" t="s">
        <v>876</v>
      </c>
      <c r="F1641" s="122" t="s">
        <v>877</v>
      </c>
      <c r="G1641" s="122" t="s">
        <v>786</v>
      </c>
      <c r="H1641" s="122" t="s">
        <v>777</v>
      </c>
      <c r="I1641" s="312">
        <v>2020</v>
      </c>
      <c r="J1641" s="122" t="s">
        <v>709</v>
      </c>
      <c r="K1641" s="283">
        <v>2450</v>
      </c>
      <c r="L1641" s="318">
        <v>-34.066611999999999</v>
      </c>
      <c r="M1641" s="318">
        <v>150.81958</v>
      </c>
      <c r="O1641">
        <f>INDEX('MEC - traffic congestion'!$M$145:$M$249,MATCH($D1641,'MEC - traffic congestion'!$C$145:$C$249,0))</f>
        <v>1</v>
      </c>
      <c r="P1641" t="str">
        <f t="shared" si="71"/>
        <v>2020AM PEAK</v>
      </c>
      <c r="Q1641">
        <f t="shared" si="72"/>
        <v>1</v>
      </c>
      <c r="R1641" s="195" t="str">
        <f t="shared" si="73"/>
        <v>2020LIGHT VEHICLES</v>
      </c>
    </row>
    <row r="1642" spans="3:18" x14ac:dyDescent="0.25">
      <c r="C1642" s="294" t="s">
        <v>875</v>
      </c>
      <c r="D1642" s="317" t="s">
        <v>727</v>
      </c>
      <c r="E1642" s="122" t="s">
        <v>876</v>
      </c>
      <c r="F1642" s="122" t="s">
        <v>877</v>
      </c>
      <c r="G1642" s="122" t="s">
        <v>785</v>
      </c>
      <c r="H1642" s="122" t="s">
        <v>777</v>
      </c>
      <c r="I1642" s="312">
        <v>2020</v>
      </c>
      <c r="J1642" s="122" t="s">
        <v>710</v>
      </c>
      <c r="K1642" s="283">
        <v>5753</v>
      </c>
      <c r="L1642" s="318">
        <v>-34.066611999999999</v>
      </c>
      <c r="M1642" s="318">
        <v>150.81958</v>
      </c>
      <c r="O1642">
        <f>INDEX('MEC - traffic congestion'!$M$145:$M$249,MATCH($D1642,'MEC - traffic congestion'!$C$145:$C$249,0))</f>
        <v>1</v>
      </c>
      <c r="P1642" t="str">
        <f t="shared" si="71"/>
        <v>2020OFF PEAK</v>
      </c>
      <c r="Q1642">
        <f t="shared" si="72"/>
        <v>1</v>
      </c>
      <c r="R1642" s="195" t="str">
        <f t="shared" si="73"/>
        <v>2020LIGHT VEHICLES</v>
      </c>
    </row>
    <row r="1643" spans="3:18" x14ac:dyDescent="0.25">
      <c r="C1643" s="294" t="s">
        <v>875</v>
      </c>
      <c r="D1643" s="317" t="s">
        <v>727</v>
      </c>
      <c r="E1643" s="122" t="s">
        <v>876</v>
      </c>
      <c r="F1643" s="122" t="s">
        <v>877</v>
      </c>
      <c r="G1643" s="122" t="s">
        <v>786</v>
      </c>
      <c r="H1643" s="122" t="s">
        <v>777</v>
      </c>
      <c r="I1643" s="312">
        <v>2020</v>
      </c>
      <c r="J1643" s="122" t="s">
        <v>710</v>
      </c>
      <c r="K1643" s="283">
        <v>5677</v>
      </c>
      <c r="L1643" s="318">
        <v>-34.066611999999999</v>
      </c>
      <c r="M1643" s="318">
        <v>150.81958</v>
      </c>
      <c r="O1643">
        <f>INDEX('MEC - traffic congestion'!$M$145:$M$249,MATCH($D1643,'MEC - traffic congestion'!$C$145:$C$249,0))</f>
        <v>1</v>
      </c>
      <c r="P1643" t="str">
        <f t="shared" si="71"/>
        <v>2020OFF PEAK</v>
      </c>
      <c r="Q1643">
        <f t="shared" si="72"/>
        <v>1</v>
      </c>
      <c r="R1643" s="195" t="str">
        <f t="shared" si="73"/>
        <v>2020LIGHT VEHICLES</v>
      </c>
    </row>
    <row r="1644" spans="3:18" x14ac:dyDescent="0.25">
      <c r="C1644" s="294" t="s">
        <v>875</v>
      </c>
      <c r="D1644" s="317" t="s">
        <v>727</v>
      </c>
      <c r="E1644" s="122" t="s">
        <v>876</v>
      </c>
      <c r="F1644" s="122" t="s">
        <v>877</v>
      </c>
      <c r="G1644" s="122" t="s">
        <v>785</v>
      </c>
      <c r="H1644" s="122" t="s">
        <v>777</v>
      </c>
      <c r="I1644" s="312">
        <v>2020</v>
      </c>
      <c r="J1644" s="122" t="s">
        <v>711</v>
      </c>
      <c r="K1644" s="283">
        <v>3098</v>
      </c>
      <c r="L1644" s="318">
        <v>-34.066611999999999</v>
      </c>
      <c r="M1644" s="318">
        <v>150.81958</v>
      </c>
      <c r="O1644">
        <f>INDEX('MEC - traffic congestion'!$M$145:$M$249,MATCH($D1644,'MEC - traffic congestion'!$C$145:$C$249,0))</f>
        <v>1</v>
      </c>
      <c r="P1644" t="str">
        <f t="shared" si="71"/>
        <v>2020PM PEAK</v>
      </c>
      <c r="Q1644">
        <f t="shared" si="72"/>
        <v>1</v>
      </c>
      <c r="R1644" s="195" t="str">
        <f t="shared" si="73"/>
        <v>2020LIGHT VEHICLES</v>
      </c>
    </row>
    <row r="1645" spans="3:18" x14ac:dyDescent="0.25">
      <c r="C1645" s="294" t="s">
        <v>875</v>
      </c>
      <c r="D1645" s="317" t="s">
        <v>727</v>
      </c>
      <c r="E1645" s="122" t="s">
        <v>876</v>
      </c>
      <c r="F1645" s="122" t="s">
        <v>877</v>
      </c>
      <c r="G1645" s="122" t="s">
        <v>786</v>
      </c>
      <c r="H1645" s="122" t="s">
        <v>777</v>
      </c>
      <c r="I1645" s="312">
        <v>2020</v>
      </c>
      <c r="J1645" s="122" t="s">
        <v>711</v>
      </c>
      <c r="K1645" s="283">
        <v>4425</v>
      </c>
      <c r="L1645" s="318">
        <v>-34.066611999999999</v>
      </c>
      <c r="M1645" s="318">
        <v>150.81958</v>
      </c>
      <c r="O1645">
        <f>INDEX('MEC - traffic congestion'!$M$145:$M$249,MATCH($D1645,'MEC - traffic congestion'!$C$145:$C$249,0))</f>
        <v>1</v>
      </c>
      <c r="P1645" t="str">
        <f t="shared" si="71"/>
        <v>2020PM PEAK</v>
      </c>
      <c r="Q1645">
        <f t="shared" si="72"/>
        <v>1</v>
      </c>
      <c r="R1645" s="195" t="str">
        <f t="shared" si="73"/>
        <v>2020LIGHT VEHICLES</v>
      </c>
    </row>
    <row r="1646" spans="3:18" x14ac:dyDescent="0.25">
      <c r="C1646" s="294" t="s">
        <v>875</v>
      </c>
      <c r="D1646" s="317" t="s">
        <v>727</v>
      </c>
      <c r="E1646" s="122" t="s">
        <v>876</v>
      </c>
      <c r="F1646" s="122" t="s">
        <v>877</v>
      </c>
      <c r="G1646" s="122" t="s">
        <v>785</v>
      </c>
      <c r="H1646" s="122" t="s">
        <v>777</v>
      </c>
      <c r="I1646" s="312">
        <v>2020</v>
      </c>
      <c r="J1646" s="122" t="s">
        <v>712</v>
      </c>
      <c r="K1646" s="283">
        <v>6937</v>
      </c>
      <c r="L1646" s="318">
        <v>-34.066611999999999</v>
      </c>
      <c r="M1646" s="318">
        <v>150.81958</v>
      </c>
      <c r="O1646">
        <f>INDEX('MEC - traffic congestion'!$M$145:$M$249,MATCH($D1646,'MEC - traffic congestion'!$C$145:$C$249,0))</f>
        <v>1</v>
      </c>
      <c r="P1646" t="str">
        <f t="shared" si="71"/>
        <v>2020PUBLIC HOLIDAYS</v>
      </c>
      <c r="Q1646">
        <f t="shared" si="72"/>
        <v>1</v>
      </c>
      <c r="R1646" s="195" t="str">
        <f t="shared" si="73"/>
        <v>2020LIGHT VEHICLES</v>
      </c>
    </row>
    <row r="1647" spans="3:18" x14ac:dyDescent="0.25">
      <c r="C1647" s="294" t="s">
        <v>875</v>
      </c>
      <c r="D1647" s="317" t="s">
        <v>727</v>
      </c>
      <c r="E1647" s="122" t="s">
        <v>876</v>
      </c>
      <c r="F1647" s="122" t="s">
        <v>877</v>
      </c>
      <c r="G1647" s="122" t="s">
        <v>786</v>
      </c>
      <c r="H1647" s="122" t="s">
        <v>777</v>
      </c>
      <c r="I1647" s="312">
        <v>2020</v>
      </c>
      <c r="J1647" s="122" t="s">
        <v>712</v>
      </c>
      <c r="K1647" s="283">
        <v>6869</v>
      </c>
      <c r="L1647" s="318">
        <v>-34.066611999999999</v>
      </c>
      <c r="M1647" s="318">
        <v>150.81958</v>
      </c>
      <c r="O1647">
        <f>INDEX('MEC - traffic congestion'!$M$145:$M$249,MATCH($D1647,'MEC - traffic congestion'!$C$145:$C$249,0))</f>
        <v>1</v>
      </c>
      <c r="P1647" t="str">
        <f t="shared" si="71"/>
        <v>2020PUBLIC HOLIDAYS</v>
      </c>
      <c r="Q1647">
        <f t="shared" si="72"/>
        <v>1</v>
      </c>
      <c r="R1647" s="195" t="str">
        <f t="shared" si="73"/>
        <v>2020LIGHT VEHICLES</v>
      </c>
    </row>
    <row r="1648" spans="3:18" x14ac:dyDescent="0.25">
      <c r="C1648" s="294" t="s">
        <v>875</v>
      </c>
      <c r="D1648" s="317" t="s">
        <v>727</v>
      </c>
      <c r="E1648" s="122" t="s">
        <v>876</v>
      </c>
      <c r="F1648" s="122" t="s">
        <v>877</v>
      </c>
      <c r="G1648" s="122" t="s">
        <v>785</v>
      </c>
      <c r="H1648" s="122" t="s">
        <v>777</v>
      </c>
      <c r="I1648" s="312">
        <v>2020</v>
      </c>
      <c r="J1648" s="122" t="s">
        <v>713</v>
      </c>
      <c r="K1648" s="283">
        <v>8991</v>
      </c>
      <c r="L1648" s="318">
        <v>-34.066611999999999</v>
      </c>
      <c r="M1648" s="318">
        <v>150.81958</v>
      </c>
      <c r="O1648">
        <f>INDEX('MEC - traffic congestion'!$M$145:$M$249,MATCH($D1648,'MEC - traffic congestion'!$C$145:$C$249,0))</f>
        <v>1</v>
      </c>
      <c r="P1648" t="str">
        <f t="shared" si="71"/>
        <v>2020WEEKENDS</v>
      </c>
      <c r="Q1648">
        <f t="shared" si="72"/>
        <v>1</v>
      </c>
      <c r="R1648" s="195" t="str">
        <f t="shared" si="73"/>
        <v>2020LIGHT VEHICLES</v>
      </c>
    </row>
    <row r="1649" spans="3:18" x14ac:dyDescent="0.25">
      <c r="C1649" s="294" t="s">
        <v>875</v>
      </c>
      <c r="D1649" s="317" t="s">
        <v>727</v>
      </c>
      <c r="E1649" s="122" t="s">
        <v>876</v>
      </c>
      <c r="F1649" s="122" t="s">
        <v>877</v>
      </c>
      <c r="G1649" s="122" t="s">
        <v>786</v>
      </c>
      <c r="H1649" s="122" t="s">
        <v>777</v>
      </c>
      <c r="I1649" s="312">
        <v>2020</v>
      </c>
      <c r="J1649" s="122" t="s">
        <v>713</v>
      </c>
      <c r="K1649" s="283">
        <v>9449</v>
      </c>
      <c r="L1649" s="318">
        <v>-34.066611999999999</v>
      </c>
      <c r="M1649" s="318">
        <v>150.81958</v>
      </c>
      <c r="O1649">
        <f>INDEX('MEC - traffic congestion'!$M$145:$M$249,MATCH($D1649,'MEC - traffic congestion'!$C$145:$C$249,0))</f>
        <v>1</v>
      </c>
      <c r="P1649" t="str">
        <f t="shared" si="71"/>
        <v>2020WEEKENDS</v>
      </c>
      <c r="Q1649">
        <f t="shared" si="72"/>
        <v>1</v>
      </c>
      <c r="R1649" s="195" t="str">
        <f t="shared" si="73"/>
        <v>2020LIGHT VEHICLES</v>
      </c>
    </row>
    <row r="1650" spans="3:18" x14ac:dyDescent="0.25">
      <c r="C1650" s="294" t="s">
        <v>875</v>
      </c>
      <c r="D1650" s="317" t="s">
        <v>727</v>
      </c>
      <c r="E1650" s="122" t="s">
        <v>876</v>
      </c>
      <c r="F1650" s="122" t="s">
        <v>877</v>
      </c>
      <c r="G1650" s="122" t="s">
        <v>785</v>
      </c>
      <c r="H1650" s="122" t="s">
        <v>777</v>
      </c>
      <c r="I1650" s="312">
        <v>2021</v>
      </c>
      <c r="J1650" s="122" t="s">
        <v>709</v>
      </c>
      <c r="K1650" s="283">
        <v>2526</v>
      </c>
      <c r="L1650" s="318">
        <v>-34.066611999999999</v>
      </c>
      <c r="M1650" s="318">
        <v>150.81958</v>
      </c>
      <c r="O1650">
        <f>INDEX('MEC - traffic congestion'!$M$145:$M$249,MATCH($D1650,'MEC - traffic congestion'!$C$145:$C$249,0))</f>
        <v>1</v>
      </c>
      <c r="P1650" t="str">
        <f t="shared" si="71"/>
        <v>2021AM PEAK</v>
      </c>
      <c r="Q1650">
        <f t="shared" si="72"/>
        <v>1</v>
      </c>
      <c r="R1650" s="195" t="str">
        <f t="shared" si="73"/>
        <v>2021LIGHT VEHICLES</v>
      </c>
    </row>
    <row r="1651" spans="3:18" x14ac:dyDescent="0.25">
      <c r="C1651" s="294" t="s">
        <v>875</v>
      </c>
      <c r="D1651" s="317" t="s">
        <v>727</v>
      </c>
      <c r="E1651" s="122" t="s">
        <v>876</v>
      </c>
      <c r="F1651" s="122" t="s">
        <v>877</v>
      </c>
      <c r="G1651" s="122" t="s">
        <v>786</v>
      </c>
      <c r="H1651" s="122" t="s">
        <v>777</v>
      </c>
      <c r="I1651" s="312">
        <v>2021</v>
      </c>
      <c r="J1651" s="122" t="s">
        <v>709</v>
      </c>
      <c r="K1651" s="283">
        <v>2233</v>
      </c>
      <c r="L1651" s="318">
        <v>-34.066611999999999</v>
      </c>
      <c r="M1651" s="318">
        <v>150.81958</v>
      </c>
      <c r="O1651">
        <f>INDEX('MEC - traffic congestion'!$M$145:$M$249,MATCH($D1651,'MEC - traffic congestion'!$C$145:$C$249,0))</f>
        <v>1</v>
      </c>
      <c r="P1651" t="str">
        <f t="shared" si="71"/>
        <v>2021AM PEAK</v>
      </c>
      <c r="Q1651">
        <f t="shared" si="72"/>
        <v>1</v>
      </c>
      <c r="R1651" s="195" t="str">
        <f t="shared" si="73"/>
        <v>2021LIGHT VEHICLES</v>
      </c>
    </row>
    <row r="1652" spans="3:18" x14ac:dyDescent="0.25">
      <c r="C1652" s="294" t="s">
        <v>875</v>
      </c>
      <c r="D1652" s="317" t="s">
        <v>727</v>
      </c>
      <c r="E1652" s="122" t="s">
        <v>876</v>
      </c>
      <c r="F1652" s="122" t="s">
        <v>877</v>
      </c>
      <c r="G1652" s="122" t="s">
        <v>785</v>
      </c>
      <c r="H1652" s="122" t="s">
        <v>777</v>
      </c>
      <c r="I1652" s="312">
        <v>2021</v>
      </c>
      <c r="J1652" s="122" t="s">
        <v>710</v>
      </c>
      <c r="K1652" s="283">
        <v>5324</v>
      </c>
      <c r="L1652" s="318">
        <v>-34.066611999999999</v>
      </c>
      <c r="M1652" s="318">
        <v>150.81958</v>
      </c>
      <c r="O1652">
        <f>INDEX('MEC - traffic congestion'!$M$145:$M$249,MATCH($D1652,'MEC - traffic congestion'!$C$145:$C$249,0))</f>
        <v>1</v>
      </c>
      <c r="P1652" t="str">
        <f t="shared" si="71"/>
        <v>2021OFF PEAK</v>
      </c>
      <c r="Q1652">
        <f t="shared" si="72"/>
        <v>1</v>
      </c>
      <c r="R1652" s="195" t="str">
        <f t="shared" si="73"/>
        <v>2021LIGHT VEHICLES</v>
      </c>
    </row>
    <row r="1653" spans="3:18" x14ac:dyDescent="0.25">
      <c r="C1653" s="294" t="s">
        <v>875</v>
      </c>
      <c r="D1653" s="317" t="s">
        <v>727</v>
      </c>
      <c r="E1653" s="122" t="s">
        <v>876</v>
      </c>
      <c r="F1653" s="122" t="s">
        <v>877</v>
      </c>
      <c r="G1653" s="122" t="s">
        <v>786</v>
      </c>
      <c r="H1653" s="122" t="s">
        <v>777</v>
      </c>
      <c r="I1653" s="312">
        <v>2021</v>
      </c>
      <c r="J1653" s="122" t="s">
        <v>710</v>
      </c>
      <c r="K1653" s="283">
        <v>5272</v>
      </c>
      <c r="L1653" s="318">
        <v>-34.066611999999999</v>
      </c>
      <c r="M1653" s="318">
        <v>150.81958</v>
      </c>
      <c r="O1653">
        <f>INDEX('MEC - traffic congestion'!$M$145:$M$249,MATCH($D1653,'MEC - traffic congestion'!$C$145:$C$249,0))</f>
        <v>1</v>
      </c>
      <c r="P1653" t="str">
        <f t="shared" si="71"/>
        <v>2021OFF PEAK</v>
      </c>
      <c r="Q1653">
        <f t="shared" si="72"/>
        <v>1</v>
      </c>
      <c r="R1653" s="195" t="str">
        <f t="shared" si="73"/>
        <v>2021LIGHT VEHICLES</v>
      </c>
    </row>
    <row r="1654" spans="3:18" x14ac:dyDescent="0.25">
      <c r="C1654" s="294" t="s">
        <v>875</v>
      </c>
      <c r="D1654" s="317" t="s">
        <v>727</v>
      </c>
      <c r="E1654" s="122" t="s">
        <v>876</v>
      </c>
      <c r="F1654" s="122" t="s">
        <v>877</v>
      </c>
      <c r="G1654" s="122" t="s">
        <v>785</v>
      </c>
      <c r="H1654" s="122" t="s">
        <v>777</v>
      </c>
      <c r="I1654" s="312">
        <v>2021</v>
      </c>
      <c r="J1654" s="122" t="s">
        <v>711</v>
      </c>
      <c r="K1654" s="283">
        <v>2781</v>
      </c>
      <c r="L1654" s="318">
        <v>-34.066611999999999</v>
      </c>
      <c r="M1654" s="318">
        <v>150.81958</v>
      </c>
      <c r="O1654">
        <f>INDEX('MEC - traffic congestion'!$M$145:$M$249,MATCH($D1654,'MEC - traffic congestion'!$C$145:$C$249,0))</f>
        <v>1</v>
      </c>
      <c r="P1654" t="str">
        <f t="shared" si="71"/>
        <v>2021PM PEAK</v>
      </c>
      <c r="Q1654">
        <f t="shared" si="72"/>
        <v>1</v>
      </c>
      <c r="R1654" s="195" t="str">
        <f t="shared" si="73"/>
        <v>2021LIGHT VEHICLES</v>
      </c>
    </row>
    <row r="1655" spans="3:18" x14ac:dyDescent="0.25">
      <c r="C1655" s="294" t="s">
        <v>875</v>
      </c>
      <c r="D1655" s="317" t="s">
        <v>727</v>
      </c>
      <c r="E1655" s="122" t="s">
        <v>876</v>
      </c>
      <c r="F1655" s="122" t="s">
        <v>877</v>
      </c>
      <c r="G1655" s="122" t="s">
        <v>786</v>
      </c>
      <c r="H1655" s="122" t="s">
        <v>777</v>
      </c>
      <c r="I1655" s="312">
        <v>2021</v>
      </c>
      <c r="J1655" s="122" t="s">
        <v>711</v>
      </c>
      <c r="K1655" s="283">
        <v>3904</v>
      </c>
      <c r="L1655" s="318">
        <v>-34.066611999999999</v>
      </c>
      <c r="M1655" s="318">
        <v>150.81958</v>
      </c>
      <c r="O1655">
        <f>INDEX('MEC - traffic congestion'!$M$145:$M$249,MATCH($D1655,'MEC - traffic congestion'!$C$145:$C$249,0))</f>
        <v>1</v>
      </c>
      <c r="P1655" t="str">
        <f t="shared" si="71"/>
        <v>2021PM PEAK</v>
      </c>
      <c r="Q1655">
        <f t="shared" si="72"/>
        <v>1</v>
      </c>
      <c r="R1655" s="195" t="str">
        <f t="shared" si="73"/>
        <v>2021LIGHT VEHICLES</v>
      </c>
    </row>
    <row r="1656" spans="3:18" x14ac:dyDescent="0.25">
      <c r="C1656" s="294" t="s">
        <v>875</v>
      </c>
      <c r="D1656" s="317" t="s">
        <v>727</v>
      </c>
      <c r="E1656" s="122" t="s">
        <v>876</v>
      </c>
      <c r="F1656" s="122" t="s">
        <v>877</v>
      </c>
      <c r="G1656" s="122" t="s">
        <v>785</v>
      </c>
      <c r="H1656" s="122" t="s">
        <v>777</v>
      </c>
      <c r="I1656" s="312">
        <v>2021</v>
      </c>
      <c r="J1656" s="122" t="s">
        <v>713</v>
      </c>
      <c r="K1656" s="283">
        <v>7972</v>
      </c>
      <c r="L1656" s="318">
        <v>-34.066611999999999</v>
      </c>
      <c r="M1656" s="318">
        <v>150.81958</v>
      </c>
      <c r="O1656">
        <f>INDEX('MEC - traffic congestion'!$M$145:$M$249,MATCH($D1656,'MEC - traffic congestion'!$C$145:$C$249,0))</f>
        <v>1</v>
      </c>
      <c r="P1656" t="str">
        <f t="shared" si="71"/>
        <v>2021WEEKENDS</v>
      </c>
      <c r="Q1656">
        <f t="shared" si="72"/>
        <v>1</v>
      </c>
      <c r="R1656" s="195" t="str">
        <f t="shared" si="73"/>
        <v>2021LIGHT VEHICLES</v>
      </c>
    </row>
    <row r="1657" spans="3:18" x14ac:dyDescent="0.25">
      <c r="C1657" s="294" t="s">
        <v>875</v>
      </c>
      <c r="D1657" s="317" t="s">
        <v>727</v>
      </c>
      <c r="E1657" s="122" t="s">
        <v>876</v>
      </c>
      <c r="F1657" s="122" t="s">
        <v>877</v>
      </c>
      <c r="G1657" s="122" t="s">
        <v>786</v>
      </c>
      <c r="H1657" s="122" t="s">
        <v>777</v>
      </c>
      <c r="I1657" s="312">
        <v>2021</v>
      </c>
      <c r="J1657" s="122" t="s">
        <v>713</v>
      </c>
      <c r="K1657" s="283">
        <v>8543</v>
      </c>
      <c r="L1657" s="318">
        <v>-34.066611999999999</v>
      </c>
      <c r="M1657" s="318">
        <v>150.81958</v>
      </c>
      <c r="O1657">
        <f>INDEX('MEC - traffic congestion'!$M$145:$M$249,MATCH($D1657,'MEC - traffic congestion'!$C$145:$C$249,0))</f>
        <v>1</v>
      </c>
      <c r="P1657" t="str">
        <f t="shared" si="71"/>
        <v>2021WEEKENDS</v>
      </c>
      <c r="Q1657">
        <f t="shared" si="72"/>
        <v>1</v>
      </c>
      <c r="R1657" s="195" t="str">
        <f t="shared" si="73"/>
        <v>2021LIGHT VEHICLES</v>
      </c>
    </row>
    <row r="1658" spans="3:18" x14ac:dyDescent="0.25">
      <c r="C1658" s="294" t="s">
        <v>875</v>
      </c>
      <c r="D1658" s="317" t="s">
        <v>727</v>
      </c>
      <c r="E1658" s="122" t="s">
        <v>876</v>
      </c>
      <c r="F1658" s="122" t="s">
        <v>877</v>
      </c>
      <c r="G1658" s="122" t="s">
        <v>785</v>
      </c>
      <c r="H1658" s="122" t="s">
        <v>777</v>
      </c>
      <c r="I1658" s="312">
        <v>2022</v>
      </c>
      <c r="J1658" s="122" t="s">
        <v>709</v>
      </c>
      <c r="K1658" s="283">
        <v>2568</v>
      </c>
      <c r="L1658" s="318">
        <v>-34.066611999999999</v>
      </c>
      <c r="M1658" s="318">
        <v>150.81958</v>
      </c>
      <c r="O1658">
        <f>INDEX('MEC - traffic congestion'!$M$145:$M$249,MATCH($D1658,'MEC - traffic congestion'!$C$145:$C$249,0))</f>
        <v>1</v>
      </c>
      <c r="P1658" t="str">
        <f t="shared" si="71"/>
        <v>2022AM PEAK</v>
      </c>
      <c r="Q1658">
        <f t="shared" si="72"/>
        <v>1</v>
      </c>
      <c r="R1658" s="195" t="str">
        <f t="shared" si="73"/>
        <v>2022LIGHT VEHICLES</v>
      </c>
    </row>
    <row r="1659" spans="3:18" x14ac:dyDescent="0.25">
      <c r="C1659" s="294" t="s">
        <v>875</v>
      </c>
      <c r="D1659" s="317" t="s">
        <v>727</v>
      </c>
      <c r="E1659" s="122" t="s">
        <v>876</v>
      </c>
      <c r="F1659" s="122" t="s">
        <v>877</v>
      </c>
      <c r="G1659" s="122" t="s">
        <v>786</v>
      </c>
      <c r="H1659" s="122" t="s">
        <v>777</v>
      </c>
      <c r="I1659" s="312">
        <v>2022</v>
      </c>
      <c r="J1659" s="122" t="s">
        <v>709</v>
      </c>
      <c r="K1659" s="283">
        <v>2400</v>
      </c>
      <c r="L1659" s="318">
        <v>-34.066611999999999</v>
      </c>
      <c r="M1659" s="318">
        <v>150.81958</v>
      </c>
      <c r="O1659">
        <f>INDEX('MEC - traffic congestion'!$M$145:$M$249,MATCH($D1659,'MEC - traffic congestion'!$C$145:$C$249,0))</f>
        <v>1</v>
      </c>
      <c r="P1659" t="str">
        <f t="shared" si="71"/>
        <v>2022AM PEAK</v>
      </c>
      <c r="Q1659">
        <f t="shared" si="72"/>
        <v>1</v>
      </c>
      <c r="R1659" s="195" t="str">
        <f t="shared" si="73"/>
        <v>2022LIGHT VEHICLES</v>
      </c>
    </row>
    <row r="1660" spans="3:18" x14ac:dyDescent="0.25">
      <c r="C1660" s="294" t="s">
        <v>875</v>
      </c>
      <c r="D1660" s="317" t="s">
        <v>727</v>
      </c>
      <c r="E1660" s="122" t="s">
        <v>876</v>
      </c>
      <c r="F1660" s="122" t="s">
        <v>877</v>
      </c>
      <c r="G1660" s="122" t="s">
        <v>785</v>
      </c>
      <c r="H1660" s="122" t="s">
        <v>777</v>
      </c>
      <c r="I1660" s="312">
        <v>2022</v>
      </c>
      <c r="J1660" s="122" t="s">
        <v>710</v>
      </c>
      <c r="K1660" s="283">
        <v>5423</v>
      </c>
      <c r="L1660" s="318">
        <v>-34.066611999999999</v>
      </c>
      <c r="M1660" s="318">
        <v>150.81958</v>
      </c>
      <c r="O1660">
        <f>INDEX('MEC - traffic congestion'!$M$145:$M$249,MATCH($D1660,'MEC - traffic congestion'!$C$145:$C$249,0))</f>
        <v>1</v>
      </c>
      <c r="P1660" t="str">
        <f t="shared" si="71"/>
        <v>2022OFF PEAK</v>
      </c>
      <c r="Q1660">
        <f t="shared" si="72"/>
        <v>1</v>
      </c>
      <c r="R1660" s="195" t="str">
        <f t="shared" si="73"/>
        <v>2022LIGHT VEHICLES</v>
      </c>
    </row>
    <row r="1661" spans="3:18" x14ac:dyDescent="0.25">
      <c r="C1661" s="294" t="s">
        <v>875</v>
      </c>
      <c r="D1661" s="317" t="s">
        <v>727</v>
      </c>
      <c r="E1661" s="122" t="s">
        <v>876</v>
      </c>
      <c r="F1661" s="122" t="s">
        <v>877</v>
      </c>
      <c r="G1661" s="122" t="s">
        <v>786</v>
      </c>
      <c r="H1661" s="122" t="s">
        <v>777</v>
      </c>
      <c r="I1661" s="312">
        <v>2022</v>
      </c>
      <c r="J1661" s="122" t="s">
        <v>710</v>
      </c>
      <c r="K1661" s="283">
        <v>5655</v>
      </c>
      <c r="L1661" s="318">
        <v>-34.066611999999999</v>
      </c>
      <c r="M1661" s="318">
        <v>150.81958</v>
      </c>
      <c r="O1661">
        <f>INDEX('MEC - traffic congestion'!$M$145:$M$249,MATCH($D1661,'MEC - traffic congestion'!$C$145:$C$249,0))</f>
        <v>1</v>
      </c>
      <c r="P1661" t="str">
        <f t="shared" si="71"/>
        <v>2022OFF PEAK</v>
      </c>
      <c r="Q1661">
        <f t="shared" si="72"/>
        <v>1</v>
      </c>
      <c r="R1661" s="195" t="str">
        <f t="shared" si="73"/>
        <v>2022LIGHT VEHICLES</v>
      </c>
    </row>
    <row r="1662" spans="3:18" x14ac:dyDescent="0.25">
      <c r="C1662" s="294" t="s">
        <v>875</v>
      </c>
      <c r="D1662" s="317" t="s">
        <v>727</v>
      </c>
      <c r="E1662" s="122" t="s">
        <v>876</v>
      </c>
      <c r="F1662" s="122" t="s">
        <v>877</v>
      </c>
      <c r="G1662" s="122" t="s">
        <v>785</v>
      </c>
      <c r="H1662" s="122" t="s">
        <v>777</v>
      </c>
      <c r="I1662" s="312">
        <v>2022</v>
      </c>
      <c r="J1662" s="122" t="s">
        <v>711</v>
      </c>
      <c r="K1662" s="283">
        <v>2933</v>
      </c>
      <c r="L1662" s="318">
        <v>-34.066611999999999</v>
      </c>
      <c r="M1662" s="318">
        <v>150.81958</v>
      </c>
      <c r="O1662">
        <f>INDEX('MEC - traffic congestion'!$M$145:$M$249,MATCH($D1662,'MEC - traffic congestion'!$C$145:$C$249,0))</f>
        <v>1</v>
      </c>
      <c r="P1662" t="str">
        <f t="shared" si="71"/>
        <v>2022PM PEAK</v>
      </c>
      <c r="Q1662">
        <f t="shared" si="72"/>
        <v>1</v>
      </c>
      <c r="R1662" s="195" t="str">
        <f t="shared" si="73"/>
        <v>2022LIGHT VEHICLES</v>
      </c>
    </row>
    <row r="1663" spans="3:18" x14ac:dyDescent="0.25">
      <c r="C1663" s="294" t="s">
        <v>875</v>
      </c>
      <c r="D1663" s="317" t="s">
        <v>727</v>
      </c>
      <c r="E1663" s="122" t="s">
        <v>876</v>
      </c>
      <c r="F1663" s="122" t="s">
        <v>877</v>
      </c>
      <c r="G1663" s="122" t="s">
        <v>786</v>
      </c>
      <c r="H1663" s="122" t="s">
        <v>777</v>
      </c>
      <c r="I1663" s="312">
        <v>2022</v>
      </c>
      <c r="J1663" s="122" t="s">
        <v>711</v>
      </c>
      <c r="K1663" s="283">
        <v>4261</v>
      </c>
      <c r="L1663" s="318">
        <v>-34.066611999999999</v>
      </c>
      <c r="M1663" s="318">
        <v>150.81958</v>
      </c>
      <c r="O1663">
        <f>INDEX('MEC - traffic congestion'!$M$145:$M$249,MATCH($D1663,'MEC - traffic congestion'!$C$145:$C$249,0))</f>
        <v>1</v>
      </c>
      <c r="P1663" t="str">
        <f t="shared" si="71"/>
        <v>2022PM PEAK</v>
      </c>
      <c r="Q1663">
        <f t="shared" si="72"/>
        <v>1</v>
      </c>
      <c r="R1663" s="195" t="str">
        <f t="shared" si="73"/>
        <v>2022LIGHT VEHICLES</v>
      </c>
    </row>
    <row r="1664" spans="3:18" x14ac:dyDescent="0.25">
      <c r="C1664" s="294" t="s">
        <v>875</v>
      </c>
      <c r="D1664" s="317" t="s">
        <v>727</v>
      </c>
      <c r="E1664" s="122" t="s">
        <v>876</v>
      </c>
      <c r="F1664" s="122" t="s">
        <v>877</v>
      </c>
      <c r="G1664" s="122" t="s">
        <v>785</v>
      </c>
      <c r="H1664" s="122" t="s">
        <v>777</v>
      </c>
      <c r="I1664" s="312">
        <v>2022</v>
      </c>
      <c r="J1664" s="122" t="s">
        <v>713</v>
      </c>
      <c r="K1664" s="283">
        <v>8670</v>
      </c>
      <c r="L1664" s="318">
        <v>-34.066611999999999</v>
      </c>
      <c r="M1664" s="318">
        <v>150.81958</v>
      </c>
      <c r="O1664">
        <f>INDEX('MEC - traffic congestion'!$M$145:$M$249,MATCH($D1664,'MEC - traffic congestion'!$C$145:$C$249,0))</f>
        <v>1</v>
      </c>
      <c r="P1664" t="str">
        <f t="shared" si="71"/>
        <v>2022WEEKENDS</v>
      </c>
      <c r="Q1664">
        <f t="shared" si="72"/>
        <v>1</v>
      </c>
      <c r="R1664" s="195" t="str">
        <f t="shared" si="73"/>
        <v>2022LIGHT VEHICLES</v>
      </c>
    </row>
    <row r="1665" spans="3:18" x14ac:dyDescent="0.25">
      <c r="C1665" s="294" t="s">
        <v>875</v>
      </c>
      <c r="D1665" s="317" t="s">
        <v>727</v>
      </c>
      <c r="E1665" s="122" t="s">
        <v>876</v>
      </c>
      <c r="F1665" s="122" t="s">
        <v>877</v>
      </c>
      <c r="G1665" s="122" t="s">
        <v>786</v>
      </c>
      <c r="H1665" s="122" t="s">
        <v>777</v>
      </c>
      <c r="I1665" s="312">
        <v>2022</v>
      </c>
      <c r="J1665" s="122" t="s">
        <v>713</v>
      </c>
      <c r="K1665" s="283">
        <v>9708</v>
      </c>
      <c r="L1665" s="318">
        <v>-34.066611999999999</v>
      </c>
      <c r="M1665" s="318">
        <v>150.81958</v>
      </c>
      <c r="O1665">
        <f>INDEX('MEC - traffic congestion'!$M$145:$M$249,MATCH($D1665,'MEC - traffic congestion'!$C$145:$C$249,0))</f>
        <v>1</v>
      </c>
      <c r="P1665" t="str">
        <f t="shared" si="71"/>
        <v>2022WEEKENDS</v>
      </c>
      <c r="Q1665">
        <f t="shared" si="72"/>
        <v>1</v>
      </c>
      <c r="R1665" s="195" t="str">
        <f t="shared" si="73"/>
        <v>2022LIGHT VEHICLES</v>
      </c>
    </row>
    <row r="1666" spans="3:18" x14ac:dyDescent="0.25">
      <c r="C1666" s="294" t="s">
        <v>875</v>
      </c>
      <c r="D1666" s="317" t="s">
        <v>727</v>
      </c>
      <c r="E1666" s="122" t="s">
        <v>876</v>
      </c>
      <c r="F1666" s="122" t="s">
        <v>877</v>
      </c>
      <c r="G1666" s="122" t="s">
        <v>785</v>
      </c>
      <c r="H1666" s="122" t="s">
        <v>777</v>
      </c>
      <c r="I1666" s="312">
        <v>2023</v>
      </c>
      <c r="J1666" s="122" t="s">
        <v>709</v>
      </c>
      <c r="K1666" s="283">
        <v>2709</v>
      </c>
      <c r="L1666" s="318">
        <v>-34.066611999999999</v>
      </c>
      <c r="M1666" s="318">
        <v>150.81958</v>
      </c>
      <c r="O1666">
        <f>INDEX('MEC - traffic congestion'!$M$145:$M$249,MATCH($D1666,'MEC - traffic congestion'!$C$145:$C$249,0))</f>
        <v>1</v>
      </c>
      <c r="P1666" t="str">
        <f t="shared" si="71"/>
        <v>2023AM PEAK</v>
      </c>
      <c r="Q1666">
        <f t="shared" si="72"/>
        <v>1</v>
      </c>
      <c r="R1666" s="195" t="str">
        <f t="shared" si="73"/>
        <v>2023LIGHT VEHICLES</v>
      </c>
    </row>
    <row r="1667" spans="3:18" x14ac:dyDescent="0.25">
      <c r="C1667" s="294" t="s">
        <v>875</v>
      </c>
      <c r="D1667" s="317" t="s">
        <v>727</v>
      </c>
      <c r="E1667" s="122" t="s">
        <v>876</v>
      </c>
      <c r="F1667" s="122" t="s">
        <v>877</v>
      </c>
      <c r="G1667" s="122" t="s">
        <v>786</v>
      </c>
      <c r="H1667" s="122" t="s">
        <v>777</v>
      </c>
      <c r="I1667" s="312">
        <v>2023</v>
      </c>
      <c r="J1667" s="122" t="s">
        <v>709</v>
      </c>
      <c r="K1667" s="283">
        <v>2662</v>
      </c>
      <c r="L1667" s="318">
        <v>-34.066611999999999</v>
      </c>
      <c r="M1667" s="318">
        <v>150.81958</v>
      </c>
      <c r="O1667">
        <f>INDEX('MEC - traffic congestion'!$M$145:$M$249,MATCH($D1667,'MEC - traffic congestion'!$C$145:$C$249,0))</f>
        <v>1</v>
      </c>
      <c r="P1667" t="str">
        <f t="shared" si="71"/>
        <v>2023AM PEAK</v>
      </c>
      <c r="Q1667">
        <f t="shared" si="72"/>
        <v>1</v>
      </c>
      <c r="R1667" s="195" t="str">
        <f t="shared" si="73"/>
        <v>2023LIGHT VEHICLES</v>
      </c>
    </row>
    <row r="1668" spans="3:18" x14ac:dyDescent="0.25">
      <c r="C1668" s="294" t="s">
        <v>875</v>
      </c>
      <c r="D1668" s="317" t="s">
        <v>727</v>
      </c>
      <c r="E1668" s="122" t="s">
        <v>876</v>
      </c>
      <c r="F1668" s="122" t="s">
        <v>877</v>
      </c>
      <c r="G1668" s="122" t="s">
        <v>785</v>
      </c>
      <c r="H1668" s="122" t="s">
        <v>777</v>
      </c>
      <c r="I1668" s="312">
        <v>2023</v>
      </c>
      <c r="J1668" s="122" t="s">
        <v>710</v>
      </c>
      <c r="K1668" s="283">
        <v>5697</v>
      </c>
      <c r="L1668" s="318">
        <v>-34.066611999999999</v>
      </c>
      <c r="M1668" s="318">
        <v>150.81958</v>
      </c>
      <c r="O1668">
        <f>INDEX('MEC - traffic congestion'!$M$145:$M$249,MATCH($D1668,'MEC - traffic congestion'!$C$145:$C$249,0))</f>
        <v>1</v>
      </c>
      <c r="P1668" t="str">
        <f t="shared" si="71"/>
        <v>2023OFF PEAK</v>
      </c>
      <c r="Q1668">
        <f t="shared" si="72"/>
        <v>1</v>
      </c>
      <c r="R1668" s="195" t="str">
        <f t="shared" si="73"/>
        <v>2023LIGHT VEHICLES</v>
      </c>
    </row>
    <row r="1669" spans="3:18" x14ac:dyDescent="0.25">
      <c r="C1669" s="294" t="s">
        <v>875</v>
      </c>
      <c r="D1669" s="317" t="s">
        <v>727</v>
      </c>
      <c r="E1669" s="122" t="s">
        <v>876</v>
      </c>
      <c r="F1669" s="122" t="s">
        <v>877</v>
      </c>
      <c r="G1669" s="122" t="s">
        <v>786</v>
      </c>
      <c r="H1669" s="122" t="s">
        <v>777</v>
      </c>
      <c r="I1669" s="312">
        <v>2023</v>
      </c>
      <c r="J1669" s="122" t="s">
        <v>710</v>
      </c>
      <c r="K1669" s="283">
        <v>5937</v>
      </c>
      <c r="L1669" s="318">
        <v>-34.066611999999999</v>
      </c>
      <c r="M1669" s="318">
        <v>150.81958</v>
      </c>
      <c r="O1669">
        <f>INDEX('MEC - traffic congestion'!$M$145:$M$249,MATCH($D1669,'MEC - traffic congestion'!$C$145:$C$249,0))</f>
        <v>1</v>
      </c>
      <c r="P1669" t="str">
        <f t="shared" si="71"/>
        <v>2023OFF PEAK</v>
      </c>
      <c r="Q1669">
        <f t="shared" si="72"/>
        <v>1</v>
      </c>
      <c r="R1669" s="195" t="str">
        <f t="shared" si="73"/>
        <v>2023LIGHT VEHICLES</v>
      </c>
    </row>
    <row r="1670" spans="3:18" x14ac:dyDescent="0.25">
      <c r="C1670" s="294" t="s">
        <v>875</v>
      </c>
      <c r="D1670" s="317" t="s">
        <v>727</v>
      </c>
      <c r="E1670" s="122" t="s">
        <v>876</v>
      </c>
      <c r="F1670" s="122" t="s">
        <v>877</v>
      </c>
      <c r="G1670" s="122" t="s">
        <v>785</v>
      </c>
      <c r="H1670" s="122" t="s">
        <v>777</v>
      </c>
      <c r="I1670" s="312">
        <v>2023</v>
      </c>
      <c r="J1670" s="122" t="s">
        <v>711</v>
      </c>
      <c r="K1670" s="283">
        <v>3327</v>
      </c>
      <c r="L1670" s="318">
        <v>-34.066611999999999</v>
      </c>
      <c r="M1670" s="318">
        <v>150.81958</v>
      </c>
      <c r="O1670">
        <f>INDEX('MEC - traffic congestion'!$M$145:$M$249,MATCH($D1670,'MEC - traffic congestion'!$C$145:$C$249,0))</f>
        <v>1</v>
      </c>
      <c r="P1670" t="str">
        <f t="shared" si="71"/>
        <v>2023PM PEAK</v>
      </c>
      <c r="Q1670">
        <f t="shared" si="72"/>
        <v>1</v>
      </c>
      <c r="R1670" s="195" t="str">
        <f t="shared" si="73"/>
        <v>2023LIGHT VEHICLES</v>
      </c>
    </row>
    <row r="1671" spans="3:18" x14ac:dyDescent="0.25">
      <c r="C1671" s="294" t="s">
        <v>875</v>
      </c>
      <c r="D1671" s="317" t="s">
        <v>727</v>
      </c>
      <c r="E1671" s="122" t="s">
        <v>876</v>
      </c>
      <c r="F1671" s="122" t="s">
        <v>877</v>
      </c>
      <c r="G1671" s="122" t="s">
        <v>786</v>
      </c>
      <c r="H1671" s="122" t="s">
        <v>777</v>
      </c>
      <c r="I1671" s="312">
        <v>2023</v>
      </c>
      <c r="J1671" s="122" t="s">
        <v>711</v>
      </c>
      <c r="K1671" s="283">
        <v>4564</v>
      </c>
      <c r="L1671" s="318">
        <v>-34.066611999999999</v>
      </c>
      <c r="M1671" s="318">
        <v>150.81958</v>
      </c>
      <c r="O1671">
        <f>INDEX('MEC - traffic congestion'!$M$145:$M$249,MATCH($D1671,'MEC - traffic congestion'!$C$145:$C$249,0))</f>
        <v>1</v>
      </c>
      <c r="P1671" t="str">
        <f t="shared" si="71"/>
        <v>2023PM PEAK</v>
      </c>
      <c r="Q1671">
        <f t="shared" si="72"/>
        <v>1</v>
      </c>
      <c r="R1671" s="195" t="str">
        <f t="shared" si="73"/>
        <v>2023LIGHT VEHICLES</v>
      </c>
    </row>
    <row r="1672" spans="3:18" x14ac:dyDescent="0.25">
      <c r="C1672" s="294" t="s">
        <v>875</v>
      </c>
      <c r="D1672" s="317" t="s">
        <v>727</v>
      </c>
      <c r="E1672" s="122" t="s">
        <v>876</v>
      </c>
      <c r="F1672" s="122" t="s">
        <v>877</v>
      </c>
      <c r="G1672" s="122" t="s">
        <v>785</v>
      </c>
      <c r="H1672" s="122" t="s">
        <v>777</v>
      </c>
      <c r="I1672" s="312">
        <v>2023</v>
      </c>
      <c r="J1672" s="122" t="s">
        <v>713</v>
      </c>
      <c r="K1672" s="283">
        <v>9133</v>
      </c>
      <c r="L1672" s="318">
        <v>-34.066611999999999</v>
      </c>
      <c r="M1672" s="318">
        <v>150.81958</v>
      </c>
      <c r="O1672">
        <f>INDEX('MEC - traffic congestion'!$M$145:$M$249,MATCH($D1672,'MEC - traffic congestion'!$C$145:$C$249,0))</f>
        <v>1</v>
      </c>
      <c r="P1672" t="str">
        <f t="shared" si="71"/>
        <v>2023WEEKENDS</v>
      </c>
      <c r="Q1672">
        <f t="shared" si="72"/>
        <v>1</v>
      </c>
      <c r="R1672" s="195" t="str">
        <f t="shared" si="73"/>
        <v>2023LIGHT VEHICLES</v>
      </c>
    </row>
    <row r="1673" spans="3:18" x14ac:dyDescent="0.25">
      <c r="C1673" s="294" t="s">
        <v>875</v>
      </c>
      <c r="D1673" s="317" t="s">
        <v>727</v>
      </c>
      <c r="E1673" s="122" t="s">
        <v>876</v>
      </c>
      <c r="F1673" s="122" t="s">
        <v>877</v>
      </c>
      <c r="G1673" s="122" t="s">
        <v>786</v>
      </c>
      <c r="H1673" s="122" t="s">
        <v>777</v>
      </c>
      <c r="I1673" s="312">
        <v>2023</v>
      </c>
      <c r="J1673" s="122" t="s">
        <v>713</v>
      </c>
      <c r="K1673" s="283">
        <v>10201</v>
      </c>
      <c r="L1673" s="318">
        <v>-34.066611999999999</v>
      </c>
      <c r="M1673" s="318">
        <v>150.81958</v>
      </c>
      <c r="O1673">
        <f>INDEX('MEC - traffic congestion'!$M$145:$M$249,MATCH($D1673,'MEC - traffic congestion'!$C$145:$C$249,0))</f>
        <v>1</v>
      </c>
      <c r="P1673" t="str">
        <f t="shared" si="71"/>
        <v>2023WEEKENDS</v>
      </c>
      <c r="Q1673">
        <f t="shared" si="72"/>
        <v>1</v>
      </c>
      <c r="R1673" s="195" t="str">
        <f t="shared" si="73"/>
        <v>2023LIGHT VEHICLES</v>
      </c>
    </row>
    <row r="1674" spans="3:18" x14ac:dyDescent="0.25">
      <c r="C1674" s="294" t="s">
        <v>878</v>
      </c>
      <c r="D1674" s="317">
        <v>7112</v>
      </c>
      <c r="E1674" s="122" t="s">
        <v>830</v>
      </c>
      <c r="F1674" s="122" t="s">
        <v>879</v>
      </c>
      <c r="G1674" s="122" t="s">
        <v>776</v>
      </c>
      <c r="H1674" s="122" t="s">
        <v>777</v>
      </c>
      <c r="I1674" s="312">
        <v>2018</v>
      </c>
      <c r="J1674" s="122" t="s">
        <v>709</v>
      </c>
      <c r="K1674" s="283">
        <v>5668</v>
      </c>
      <c r="L1674" s="318">
        <v>-33.843338000000003</v>
      </c>
      <c r="M1674" s="318">
        <v>151.04341099999999</v>
      </c>
      <c r="O1674">
        <f>INDEX('MEC - traffic congestion'!$M$145:$M$249,MATCH($D1674,'MEC - traffic congestion'!$C$145:$C$249,0))</f>
        <v>1</v>
      </c>
      <c r="P1674" t="str">
        <f t="shared" si="71"/>
        <v>2018AM PEAK</v>
      </c>
      <c r="Q1674">
        <f t="shared" si="72"/>
        <v>1</v>
      </c>
      <c r="R1674" s="195" t="str">
        <f t="shared" si="73"/>
        <v>2018LIGHT VEHICLES</v>
      </c>
    </row>
    <row r="1675" spans="3:18" x14ac:dyDescent="0.25">
      <c r="C1675" s="294" t="s">
        <v>878</v>
      </c>
      <c r="D1675" s="317">
        <v>7112</v>
      </c>
      <c r="E1675" s="122" t="s">
        <v>830</v>
      </c>
      <c r="F1675" s="122" t="s">
        <v>879</v>
      </c>
      <c r="G1675" s="122" t="s">
        <v>776</v>
      </c>
      <c r="H1675" s="122" t="s">
        <v>777</v>
      </c>
      <c r="I1675" s="312">
        <v>2018</v>
      </c>
      <c r="J1675" s="122" t="s">
        <v>710</v>
      </c>
      <c r="K1675" s="283">
        <v>10160</v>
      </c>
      <c r="L1675" s="318">
        <v>-33.843338000000003</v>
      </c>
      <c r="M1675" s="318">
        <v>151.04341099999999</v>
      </c>
      <c r="O1675">
        <f>INDEX('MEC - traffic congestion'!$M$145:$M$249,MATCH($D1675,'MEC - traffic congestion'!$C$145:$C$249,0))</f>
        <v>1</v>
      </c>
      <c r="P1675" t="str">
        <f t="shared" si="71"/>
        <v>2018OFF PEAK</v>
      </c>
      <c r="Q1675">
        <f t="shared" si="72"/>
        <v>1</v>
      </c>
      <c r="R1675" s="195" t="str">
        <f t="shared" si="73"/>
        <v>2018LIGHT VEHICLES</v>
      </c>
    </row>
    <row r="1676" spans="3:18" x14ac:dyDescent="0.25">
      <c r="C1676" s="294" t="s">
        <v>878</v>
      </c>
      <c r="D1676" s="317">
        <v>7112</v>
      </c>
      <c r="E1676" s="122" t="s">
        <v>830</v>
      </c>
      <c r="F1676" s="122" t="s">
        <v>879</v>
      </c>
      <c r="G1676" s="122" t="s">
        <v>776</v>
      </c>
      <c r="H1676" s="122" t="s">
        <v>777</v>
      </c>
      <c r="I1676" s="312">
        <v>2018</v>
      </c>
      <c r="J1676" s="122" t="s">
        <v>711</v>
      </c>
      <c r="K1676" s="283">
        <v>5453</v>
      </c>
      <c r="L1676" s="318">
        <v>-33.843338000000003</v>
      </c>
      <c r="M1676" s="318">
        <v>151.04341099999999</v>
      </c>
      <c r="O1676">
        <f>INDEX('MEC - traffic congestion'!$M$145:$M$249,MATCH($D1676,'MEC - traffic congestion'!$C$145:$C$249,0))</f>
        <v>1</v>
      </c>
      <c r="P1676" t="str">
        <f t="shared" si="71"/>
        <v>2018PM PEAK</v>
      </c>
      <c r="Q1676">
        <f t="shared" si="72"/>
        <v>1</v>
      </c>
      <c r="R1676" s="195" t="str">
        <f t="shared" si="73"/>
        <v>2018LIGHT VEHICLES</v>
      </c>
    </row>
    <row r="1677" spans="3:18" x14ac:dyDescent="0.25">
      <c r="C1677" s="294" t="s">
        <v>878</v>
      </c>
      <c r="D1677" s="317">
        <v>7112</v>
      </c>
      <c r="E1677" s="122" t="s">
        <v>830</v>
      </c>
      <c r="F1677" s="122" t="s">
        <v>879</v>
      </c>
      <c r="G1677" s="122" t="s">
        <v>776</v>
      </c>
      <c r="H1677" s="122" t="s">
        <v>777</v>
      </c>
      <c r="I1677" s="312">
        <v>2018</v>
      </c>
      <c r="J1677" s="122" t="s">
        <v>712</v>
      </c>
      <c r="K1677" s="283">
        <v>14679</v>
      </c>
      <c r="L1677" s="318">
        <v>-33.843338000000003</v>
      </c>
      <c r="M1677" s="318">
        <v>151.04341099999999</v>
      </c>
      <c r="O1677">
        <f>INDEX('MEC - traffic congestion'!$M$145:$M$249,MATCH($D1677,'MEC - traffic congestion'!$C$145:$C$249,0))</f>
        <v>1</v>
      </c>
      <c r="P1677" t="str">
        <f t="shared" si="71"/>
        <v>2018PUBLIC HOLIDAYS</v>
      </c>
      <c r="Q1677">
        <f t="shared" si="72"/>
        <v>1</v>
      </c>
      <c r="R1677" s="195" t="str">
        <f t="shared" si="73"/>
        <v>2018LIGHT VEHICLES</v>
      </c>
    </row>
    <row r="1678" spans="3:18" x14ac:dyDescent="0.25">
      <c r="C1678" s="294" t="s">
        <v>878</v>
      </c>
      <c r="D1678" s="317">
        <v>7112</v>
      </c>
      <c r="E1678" s="122" t="s">
        <v>830</v>
      </c>
      <c r="F1678" s="122" t="s">
        <v>879</v>
      </c>
      <c r="G1678" s="122" t="s">
        <v>776</v>
      </c>
      <c r="H1678" s="122" t="s">
        <v>777</v>
      </c>
      <c r="I1678" s="312">
        <v>2018</v>
      </c>
      <c r="J1678" s="122" t="s">
        <v>713</v>
      </c>
      <c r="K1678" s="283">
        <v>18768</v>
      </c>
      <c r="L1678" s="318">
        <v>-33.843338000000003</v>
      </c>
      <c r="M1678" s="318">
        <v>151.04341099999999</v>
      </c>
      <c r="O1678">
        <f>INDEX('MEC - traffic congestion'!$M$145:$M$249,MATCH($D1678,'MEC - traffic congestion'!$C$145:$C$249,0))</f>
        <v>1</v>
      </c>
      <c r="P1678" t="str">
        <f t="shared" si="71"/>
        <v>2018WEEKENDS</v>
      </c>
      <c r="Q1678">
        <f t="shared" si="72"/>
        <v>1</v>
      </c>
      <c r="R1678" s="195" t="str">
        <f t="shared" si="73"/>
        <v>2018LIGHT VEHICLES</v>
      </c>
    </row>
    <row r="1679" spans="3:18" x14ac:dyDescent="0.25">
      <c r="C1679" s="294" t="s">
        <v>878</v>
      </c>
      <c r="D1679" s="317">
        <v>7112</v>
      </c>
      <c r="E1679" s="122" t="s">
        <v>830</v>
      </c>
      <c r="F1679" s="122" t="s">
        <v>879</v>
      </c>
      <c r="G1679" s="122" t="s">
        <v>776</v>
      </c>
      <c r="H1679" s="122" t="s">
        <v>777</v>
      </c>
      <c r="I1679" s="312">
        <v>2019</v>
      </c>
      <c r="J1679" s="122" t="s">
        <v>709</v>
      </c>
      <c r="K1679" s="283">
        <v>5724</v>
      </c>
      <c r="L1679" s="318">
        <v>-33.843338000000003</v>
      </c>
      <c r="M1679" s="318">
        <v>151.04341099999999</v>
      </c>
      <c r="O1679">
        <f>INDEX('MEC - traffic congestion'!$M$145:$M$249,MATCH($D1679,'MEC - traffic congestion'!$C$145:$C$249,0))</f>
        <v>1</v>
      </c>
      <c r="P1679" t="str">
        <f t="shared" si="71"/>
        <v>2019AM PEAK</v>
      </c>
      <c r="Q1679">
        <f t="shared" si="72"/>
        <v>1</v>
      </c>
      <c r="R1679" s="195" t="str">
        <f t="shared" si="73"/>
        <v>2019LIGHT VEHICLES</v>
      </c>
    </row>
    <row r="1680" spans="3:18" x14ac:dyDescent="0.25">
      <c r="C1680" s="294" t="s">
        <v>878</v>
      </c>
      <c r="D1680" s="317">
        <v>7112</v>
      </c>
      <c r="E1680" s="122" t="s">
        <v>830</v>
      </c>
      <c r="F1680" s="122" t="s">
        <v>879</v>
      </c>
      <c r="G1680" s="122" t="s">
        <v>776</v>
      </c>
      <c r="H1680" s="122" t="s">
        <v>777</v>
      </c>
      <c r="I1680" s="312">
        <v>2019</v>
      </c>
      <c r="J1680" s="122" t="s">
        <v>710</v>
      </c>
      <c r="K1680" s="283">
        <v>10131</v>
      </c>
      <c r="L1680" s="318">
        <v>-33.843338000000003</v>
      </c>
      <c r="M1680" s="318">
        <v>151.04341099999999</v>
      </c>
      <c r="O1680">
        <f>INDEX('MEC - traffic congestion'!$M$145:$M$249,MATCH($D1680,'MEC - traffic congestion'!$C$145:$C$249,0))</f>
        <v>1</v>
      </c>
      <c r="P1680" t="str">
        <f t="shared" si="71"/>
        <v>2019OFF PEAK</v>
      </c>
      <c r="Q1680">
        <f t="shared" si="72"/>
        <v>1</v>
      </c>
      <c r="R1680" s="195" t="str">
        <f t="shared" si="73"/>
        <v>2019LIGHT VEHICLES</v>
      </c>
    </row>
    <row r="1681" spans="3:18" x14ac:dyDescent="0.25">
      <c r="C1681" s="294" t="s">
        <v>878</v>
      </c>
      <c r="D1681" s="317">
        <v>7112</v>
      </c>
      <c r="E1681" s="122" t="s">
        <v>830</v>
      </c>
      <c r="F1681" s="122" t="s">
        <v>879</v>
      </c>
      <c r="G1681" s="122" t="s">
        <v>776</v>
      </c>
      <c r="H1681" s="122" t="s">
        <v>777</v>
      </c>
      <c r="I1681" s="312">
        <v>2019</v>
      </c>
      <c r="J1681" s="122" t="s">
        <v>711</v>
      </c>
      <c r="K1681" s="283">
        <v>5474</v>
      </c>
      <c r="L1681" s="318">
        <v>-33.843338000000003</v>
      </c>
      <c r="M1681" s="318">
        <v>151.04341099999999</v>
      </c>
      <c r="O1681">
        <f>INDEX('MEC - traffic congestion'!$M$145:$M$249,MATCH($D1681,'MEC - traffic congestion'!$C$145:$C$249,0))</f>
        <v>1</v>
      </c>
      <c r="P1681" t="str">
        <f t="shared" si="71"/>
        <v>2019PM PEAK</v>
      </c>
      <c r="Q1681">
        <f t="shared" si="72"/>
        <v>1</v>
      </c>
      <c r="R1681" s="195" t="str">
        <f t="shared" si="73"/>
        <v>2019LIGHT VEHICLES</v>
      </c>
    </row>
    <row r="1682" spans="3:18" x14ac:dyDescent="0.25">
      <c r="C1682" s="294" t="s">
        <v>878</v>
      </c>
      <c r="D1682" s="317">
        <v>7112</v>
      </c>
      <c r="E1682" s="122" t="s">
        <v>830</v>
      </c>
      <c r="F1682" s="122" t="s">
        <v>879</v>
      </c>
      <c r="G1682" s="122" t="s">
        <v>776</v>
      </c>
      <c r="H1682" s="122" t="s">
        <v>777</v>
      </c>
      <c r="I1682" s="312">
        <v>2019</v>
      </c>
      <c r="J1682" s="122" t="s">
        <v>712</v>
      </c>
      <c r="K1682" s="283">
        <v>14839</v>
      </c>
      <c r="L1682" s="318">
        <v>-33.843338000000003</v>
      </c>
      <c r="M1682" s="318">
        <v>151.04341099999999</v>
      </c>
      <c r="O1682">
        <f>INDEX('MEC - traffic congestion'!$M$145:$M$249,MATCH($D1682,'MEC - traffic congestion'!$C$145:$C$249,0))</f>
        <v>1</v>
      </c>
      <c r="P1682" t="str">
        <f t="shared" si="71"/>
        <v>2019PUBLIC HOLIDAYS</v>
      </c>
      <c r="Q1682">
        <f t="shared" si="72"/>
        <v>1</v>
      </c>
      <c r="R1682" s="195" t="str">
        <f t="shared" si="73"/>
        <v>2019LIGHT VEHICLES</v>
      </c>
    </row>
    <row r="1683" spans="3:18" x14ac:dyDescent="0.25">
      <c r="C1683" s="294" t="s">
        <v>878</v>
      </c>
      <c r="D1683" s="317">
        <v>7112</v>
      </c>
      <c r="E1683" s="122" t="s">
        <v>830</v>
      </c>
      <c r="F1683" s="122" t="s">
        <v>879</v>
      </c>
      <c r="G1683" s="122" t="s">
        <v>776</v>
      </c>
      <c r="H1683" s="122" t="s">
        <v>777</v>
      </c>
      <c r="I1683" s="312">
        <v>2019</v>
      </c>
      <c r="J1683" s="122" t="s">
        <v>713</v>
      </c>
      <c r="K1683" s="283">
        <v>18684</v>
      </c>
      <c r="L1683" s="318">
        <v>-33.843338000000003</v>
      </c>
      <c r="M1683" s="318">
        <v>151.04341099999999</v>
      </c>
      <c r="O1683">
        <f>INDEX('MEC - traffic congestion'!$M$145:$M$249,MATCH($D1683,'MEC - traffic congestion'!$C$145:$C$249,0))</f>
        <v>1</v>
      </c>
      <c r="P1683" t="str">
        <f t="shared" si="71"/>
        <v>2019WEEKENDS</v>
      </c>
      <c r="Q1683">
        <f t="shared" si="72"/>
        <v>1</v>
      </c>
      <c r="R1683" s="195" t="str">
        <f t="shared" si="73"/>
        <v>2019LIGHT VEHICLES</v>
      </c>
    </row>
    <row r="1684" spans="3:18" x14ac:dyDescent="0.25">
      <c r="C1684" s="294" t="s">
        <v>878</v>
      </c>
      <c r="D1684" s="317">
        <v>7112</v>
      </c>
      <c r="E1684" s="122" t="s">
        <v>830</v>
      </c>
      <c r="F1684" s="122" t="s">
        <v>879</v>
      </c>
      <c r="G1684" s="122" t="s">
        <v>776</v>
      </c>
      <c r="H1684" s="122" t="s">
        <v>777</v>
      </c>
      <c r="I1684" s="312">
        <v>2020</v>
      </c>
      <c r="J1684" s="122" t="s">
        <v>709</v>
      </c>
      <c r="K1684" s="283">
        <v>5142</v>
      </c>
      <c r="L1684" s="318">
        <v>-33.843338000000003</v>
      </c>
      <c r="M1684" s="318">
        <v>151.04341099999999</v>
      </c>
      <c r="O1684">
        <f>INDEX('MEC - traffic congestion'!$M$145:$M$249,MATCH($D1684,'MEC - traffic congestion'!$C$145:$C$249,0))</f>
        <v>1</v>
      </c>
      <c r="P1684" t="str">
        <f t="shared" si="71"/>
        <v>2020AM PEAK</v>
      </c>
      <c r="Q1684">
        <f t="shared" si="72"/>
        <v>1</v>
      </c>
      <c r="R1684" s="195" t="str">
        <f t="shared" si="73"/>
        <v>2020LIGHT VEHICLES</v>
      </c>
    </row>
    <row r="1685" spans="3:18" x14ac:dyDescent="0.25">
      <c r="C1685" s="294" t="s">
        <v>878</v>
      </c>
      <c r="D1685" s="317">
        <v>7112</v>
      </c>
      <c r="E1685" s="122" t="s">
        <v>830</v>
      </c>
      <c r="F1685" s="122" t="s">
        <v>879</v>
      </c>
      <c r="G1685" s="122" t="s">
        <v>776</v>
      </c>
      <c r="H1685" s="122" t="s">
        <v>777</v>
      </c>
      <c r="I1685" s="312">
        <v>2020</v>
      </c>
      <c r="J1685" s="122" t="s">
        <v>710</v>
      </c>
      <c r="K1685" s="283">
        <v>9558</v>
      </c>
      <c r="L1685" s="318">
        <v>-33.843338000000003</v>
      </c>
      <c r="M1685" s="318">
        <v>151.04341099999999</v>
      </c>
      <c r="O1685">
        <f>INDEX('MEC - traffic congestion'!$M$145:$M$249,MATCH($D1685,'MEC - traffic congestion'!$C$145:$C$249,0))</f>
        <v>1</v>
      </c>
      <c r="P1685" t="str">
        <f t="shared" ref="P1685:P1748" si="74">IF($O1685=1,$I1685&amp;$J1685,"")</f>
        <v>2020OFF PEAK</v>
      </c>
      <c r="Q1685">
        <f t="shared" ref="Q1685:Q1748" si="75">IF(AND($M1685&gt;150.246,AND($L1685&gt;-34.397,$L1685&lt;-32.662)),1,0)</f>
        <v>1</v>
      </c>
      <c r="R1685" s="195" t="str">
        <f t="shared" ref="R1685:R1748" si="76">IF($O1685=1,$I1685&amp;$H1685,"")</f>
        <v>2020LIGHT VEHICLES</v>
      </c>
    </row>
    <row r="1686" spans="3:18" x14ac:dyDescent="0.25">
      <c r="C1686" s="294" t="s">
        <v>878</v>
      </c>
      <c r="D1686" s="317">
        <v>7112</v>
      </c>
      <c r="E1686" s="122" t="s">
        <v>830</v>
      </c>
      <c r="F1686" s="122" t="s">
        <v>879</v>
      </c>
      <c r="G1686" s="122" t="s">
        <v>776</v>
      </c>
      <c r="H1686" s="122" t="s">
        <v>777</v>
      </c>
      <c r="I1686" s="312">
        <v>2020</v>
      </c>
      <c r="J1686" s="122" t="s">
        <v>711</v>
      </c>
      <c r="K1686" s="283">
        <v>5384</v>
      </c>
      <c r="L1686" s="318">
        <v>-33.843338000000003</v>
      </c>
      <c r="M1686" s="318">
        <v>151.04341099999999</v>
      </c>
      <c r="O1686">
        <f>INDEX('MEC - traffic congestion'!$M$145:$M$249,MATCH($D1686,'MEC - traffic congestion'!$C$145:$C$249,0))</f>
        <v>1</v>
      </c>
      <c r="P1686" t="str">
        <f t="shared" si="74"/>
        <v>2020PM PEAK</v>
      </c>
      <c r="Q1686">
        <f t="shared" si="75"/>
        <v>1</v>
      </c>
      <c r="R1686" s="195" t="str">
        <f t="shared" si="76"/>
        <v>2020LIGHT VEHICLES</v>
      </c>
    </row>
    <row r="1687" spans="3:18" x14ac:dyDescent="0.25">
      <c r="C1687" s="294" t="s">
        <v>878</v>
      </c>
      <c r="D1687" s="317">
        <v>7112</v>
      </c>
      <c r="E1687" s="122" t="s">
        <v>830</v>
      </c>
      <c r="F1687" s="122" t="s">
        <v>879</v>
      </c>
      <c r="G1687" s="122" t="s">
        <v>776</v>
      </c>
      <c r="H1687" s="122" t="s">
        <v>777</v>
      </c>
      <c r="I1687" s="312">
        <v>2020</v>
      </c>
      <c r="J1687" s="122" t="s">
        <v>712</v>
      </c>
      <c r="K1687" s="283">
        <v>11936</v>
      </c>
      <c r="L1687" s="318">
        <v>-33.843338000000003</v>
      </c>
      <c r="M1687" s="318">
        <v>151.04341099999999</v>
      </c>
      <c r="O1687">
        <f>INDEX('MEC - traffic congestion'!$M$145:$M$249,MATCH($D1687,'MEC - traffic congestion'!$C$145:$C$249,0))</f>
        <v>1</v>
      </c>
      <c r="P1687" t="str">
        <f t="shared" si="74"/>
        <v>2020PUBLIC HOLIDAYS</v>
      </c>
      <c r="Q1687">
        <f t="shared" si="75"/>
        <v>1</v>
      </c>
      <c r="R1687" s="195" t="str">
        <f t="shared" si="76"/>
        <v>2020LIGHT VEHICLES</v>
      </c>
    </row>
    <row r="1688" spans="3:18" x14ac:dyDescent="0.25">
      <c r="C1688" s="294" t="s">
        <v>878</v>
      </c>
      <c r="D1688" s="317">
        <v>7112</v>
      </c>
      <c r="E1688" s="122" t="s">
        <v>830</v>
      </c>
      <c r="F1688" s="122" t="s">
        <v>879</v>
      </c>
      <c r="G1688" s="122" t="s">
        <v>776</v>
      </c>
      <c r="H1688" s="122" t="s">
        <v>777</v>
      </c>
      <c r="I1688" s="312">
        <v>2020</v>
      </c>
      <c r="J1688" s="122" t="s">
        <v>713</v>
      </c>
      <c r="K1688" s="283">
        <v>16806</v>
      </c>
      <c r="L1688" s="318">
        <v>-33.843338000000003</v>
      </c>
      <c r="M1688" s="318">
        <v>151.04341099999999</v>
      </c>
      <c r="O1688">
        <f>INDEX('MEC - traffic congestion'!$M$145:$M$249,MATCH($D1688,'MEC - traffic congestion'!$C$145:$C$249,0))</f>
        <v>1</v>
      </c>
      <c r="P1688" t="str">
        <f t="shared" si="74"/>
        <v>2020WEEKENDS</v>
      </c>
      <c r="Q1688">
        <f t="shared" si="75"/>
        <v>1</v>
      </c>
      <c r="R1688" s="195" t="str">
        <f t="shared" si="76"/>
        <v>2020LIGHT VEHICLES</v>
      </c>
    </row>
    <row r="1689" spans="3:18" x14ac:dyDescent="0.25">
      <c r="C1689" s="294" t="s">
        <v>878</v>
      </c>
      <c r="D1689" s="317">
        <v>7112</v>
      </c>
      <c r="E1689" s="122" t="s">
        <v>830</v>
      </c>
      <c r="F1689" s="122" t="s">
        <v>879</v>
      </c>
      <c r="G1689" s="122" t="s">
        <v>776</v>
      </c>
      <c r="H1689" s="122" t="s">
        <v>777</v>
      </c>
      <c r="I1689" s="312">
        <v>2021</v>
      </c>
      <c r="J1689" s="122" t="s">
        <v>709</v>
      </c>
      <c r="K1689" s="283">
        <v>4694</v>
      </c>
      <c r="L1689" s="318">
        <v>-33.843338000000003</v>
      </c>
      <c r="M1689" s="318">
        <v>151.04341099999999</v>
      </c>
      <c r="O1689">
        <f>INDEX('MEC - traffic congestion'!$M$145:$M$249,MATCH($D1689,'MEC - traffic congestion'!$C$145:$C$249,0))</f>
        <v>1</v>
      </c>
      <c r="P1689" t="str">
        <f t="shared" si="74"/>
        <v>2021AM PEAK</v>
      </c>
      <c r="Q1689">
        <f t="shared" si="75"/>
        <v>1</v>
      </c>
      <c r="R1689" s="195" t="str">
        <f t="shared" si="76"/>
        <v>2021LIGHT VEHICLES</v>
      </c>
    </row>
    <row r="1690" spans="3:18" x14ac:dyDescent="0.25">
      <c r="C1690" s="294" t="s">
        <v>878</v>
      </c>
      <c r="D1690" s="317">
        <v>7112</v>
      </c>
      <c r="E1690" s="122" t="s">
        <v>830</v>
      </c>
      <c r="F1690" s="122" t="s">
        <v>879</v>
      </c>
      <c r="G1690" s="122" t="s">
        <v>776</v>
      </c>
      <c r="H1690" s="122" t="s">
        <v>777</v>
      </c>
      <c r="I1690" s="312">
        <v>2021</v>
      </c>
      <c r="J1690" s="122" t="s">
        <v>710</v>
      </c>
      <c r="K1690" s="283">
        <v>8558</v>
      </c>
      <c r="L1690" s="318">
        <v>-33.843338000000003</v>
      </c>
      <c r="M1690" s="318">
        <v>151.04341099999999</v>
      </c>
      <c r="O1690">
        <f>INDEX('MEC - traffic congestion'!$M$145:$M$249,MATCH($D1690,'MEC - traffic congestion'!$C$145:$C$249,0))</f>
        <v>1</v>
      </c>
      <c r="P1690" t="str">
        <f t="shared" si="74"/>
        <v>2021OFF PEAK</v>
      </c>
      <c r="Q1690">
        <f t="shared" si="75"/>
        <v>1</v>
      </c>
      <c r="R1690" s="195" t="str">
        <f t="shared" si="76"/>
        <v>2021LIGHT VEHICLES</v>
      </c>
    </row>
    <row r="1691" spans="3:18" x14ac:dyDescent="0.25">
      <c r="C1691" s="294" t="s">
        <v>878</v>
      </c>
      <c r="D1691" s="317">
        <v>7112</v>
      </c>
      <c r="E1691" s="122" t="s">
        <v>830</v>
      </c>
      <c r="F1691" s="122" t="s">
        <v>879</v>
      </c>
      <c r="G1691" s="122" t="s">
        <v>776</v>
      </c>
      <c r="H1691" s="122" t="s">
        <v>777</v>
      </c>
      <c r="I1691" s="312">
        <v>2021</v>
      </c>
      <c r="J1691" s="122" t="s">
        <v>711</v>
      </c>
      <c r="K1691" s="283">
        <v>4622</v>
      </c>
      <c r="L1691" s="318">
        <v>-33.843338000000003</v>
      </c>
      <c r="M1691" s="318">
        <v>151.04341099999999</v>
      </c>
      <c r="O1691">
        <f>INDEX('MEC - traffic congestion'!$M$145:$M$249,MATCH($D1691,'MEC - traffic congestion'!$C$145:$C$249,0))</f>
        <v>1</v>
      </c>
      <c r="P1691" t="str">
        <f t="shared" si="74"/>
        <v>2021PM PEAK</v>
      </c>
      <c r="Q1691">
        <f t="shared" si="75"/>
        <v>1</v>
      </c>
      <c r="R1691" s="195" t="str">
        <f t="shared" si="76"/>
        <v>2021LIGHT VEHICLES</v>
      </c>
    </row>
    <row r="1692" spans="3:18" x14ac:dyDescent="0.25">
      <c r="C1692" s="294" t="s">
        <v>878</v>
      </c>
      <c r="D1692" s="317">
        <v>7112</v>
      </c>
      <c r="E1692" s="122" t="s">
        <v>830</v>
      </c>
      <c r="F1692" s="122" t="s">
        <v>879</v>
      </c>
      <c r="G1692" s="122" t="s">
        <v>776</v>
      </c>
      <c r="H1692" s="122" t="s">
        <v>777</v>
      </c>
      <c r="I1692" s="312">
        <v>2021</v>
      </c>
      <c r="J1692" s="122" t="s">
        <v>713</v>
      </c>
      <c r="K1692" s="283">
        <v>14726</v>
      </c>
      <c r="L1692" s="318">
        <v>-33.843338000000003</v>
      </c>
      <c r="M1692" s="318">
        <v>151.04341099999999</v>
      </c>
      <c r="O1692">
        <f>INDEX('MEC - traffic congestion'!$M$145:$M$249,MATCH($D1692,'MEC - traffic congestion'!$C$145:$C$249,0))</f>
        <v>1</v>
      </c>
      <c r="P1692" t="str">
        <f t="shared" si="74"/>
        <v>2021WEEKENDS</v>
      </c>
      <c r="Q1692">
        <f t="shared" si="75"/>
        <v>1</v>
      </c>
      <c r="R1692" s="195" t="str">
        <f t="shared" si="76"/>
        <v>2021LIGHT VEHICLES</v>
      </c>
    </row>
    <row r="1693" spans="3:18" x14ac:dyDescent="0.25">
      <c r="C1693" s="294" t="s">
        <v>878</v>
      </c>
      <c r="D1693" s="317">
        <v>7112</v>
      </c>
      <c r="E1693" s="122" t="s">
        <v>830</v>
      </c>
      <c r="F1693" s="122" t="s">
        <v>879</v>
      </c>
      <c r="G1693" s="122" t="s">
        <v>776</v>
      </c>
      <c r="H1693" s="122" t="s">
        <v>777</v>
      </c>
      <c r="I1693" s="312">
        <v>2022</v>
      </c>
      <c r="J1693" s="122" t="s">
        <v>709</v>
      </c>
      <c r="K1693" s="283">
        <v>4926</v>
      </c>
      <c r="L1693" s="318">
        <v>-33.843338000000003</v>
      </c>
      <c r="M1693" s="318">
        <v>151.04341099999999</v>
      </c>
      <c r="O1693">
        <f>INDEX('MEC - traffic congestion'!$M$145:$M$249,MATCH($D1693,'MEC - traffic congestion'!$C$145:$C$249,0))</f>
        <v>1</v>
      </c>
      <c r="P1693" t="str">
        <f t="shared" si="74"/>
        <v>2022AM PEAK</v>
      </c>
      <c r="Q1693">
        <f t="shared" si="75"/>
        <v>1</v>
      </c>
      <c r="R1693" s="195" t="str">
        <f t="shared" si="76"/>
        <v>2022LIGHT VEHICLES</v>
      </c>
    </row>
    <row r="1694" spans="3:18" x14ac:dyDescent="0.25">
      <c r="C1694" s="294" t="s">
        <v>878</v>
      </c>
      <c r="D1694" s="317">
        <v>7112</v>
      </c>
      <c r="E1694" s="122" t="s">
        <v>830</v>
      </c>
      <c r="F1694" s="122" t="s">
        <v>879</v>
      </c>
      <c r="G1694" s="122" t="s">
        <v>776</v>
      </c>
      <c r="H1694" s="122" t="s">
        <v>777</v>
      </c>
      <c r="I1694" s="312">
        <v>2022</v>
      </c>
      <c r="J1694" s="122" t="s">
        <v>710</v>
      </c>
      <c r="K1694" s="283">
        <v>9045</v>
      </c>
      <c r="L1694" s="318">
        <v>-33.843338000000003</v>
      </c>
      <c r="M1694" s="318">
        <v>151.04341099999999</v>
      </c>
      <c r="O1694">
        <f>INDEX('MEC - traffic congestion'!$M$145:$M$249,MATCH($D1694,'MEC - traffic congestion'!$C$145:$C$249,0))</f>
        <v>1</v>
      </c>
      <c r="P1694" t="str">
        <f t="shared" si="74"/>
        <v>2022OFF PEAK</v>
      </c>
      <c r="Q1694">
        <f t="shared" si="75"/>
        <v>1</v>
      </c>
      <c r="R1694" s="195" t="str">
        <f t="shared" si="76"/>
        <v>2022LIGHT VEHICLES</v>
      </c>
    </row>
    <row r="1695" spans="3:18" x14ac:dyDescent="0.25">
      <c r="C1695" s="294" t="s">
        <v>878</v>
      </c>
      <c r="D1695" s="317">
        <v>7112</v>
      </c>
      <c r="E1695" s="122" t="s">
        <v>830</v>
      </c>
      <c r="F1695" s="122" t="s">
        <v>879</v>
      </c>
      <c r="G1695" s="122" t="s">
        <v>776</v>
      </c>
      <c r="H1695" s="122" t="s">
        <v>777</v>
      </c>
      <c r="I1695" s="312">
        <v>2022</v>
      </c>
      <c r="J1695" s="122" t="s">
        <v>711</v>
      </c>
      <c r="K1695" s="283">
        <v>4870</v>
      </c>
      <c r="L1695" s="318">
        <v>-33.843338000000003</v>
      </c>
      <c r="M1695" s="318">
        <v>151.04341099999999</v>
      </c>
      <c r="O1695">
        <f>INDEX('MEC - traffic congestion'!$M$145:$M$249,MATCH($D1695,'MEC - traffic congestion'!$C$145:$C$249,0))</f>
        <v>1</v>
      </c>
      <c r="P1695" t="str">
        <f t="shared" si="74"/>
        <v>2022PM PEAK</v>
      </c>
      <c r="Q1695">
        <f t="shared" si="75"/>
        <v>1</v>
      </c>
      <c r="R1695" s="195" t="str">
        <f t="shared" si="76"/>
        <v>2022LIGHT VEHICLES</v>
      </c>
    </row>
    <row r="1696" spans="3:18" x14ac:dyDescent="0.25">
      <c r="C1696" s="294" t="s">
        <v>878</v>
      </c>
      <c r="D1696" s="317">
        <v>7112</v>
      </c>
      <c r="E1696" s="122" t="s">
        <v>830</v>
      </c>
      <c r="F1696" s="122" t="s">
        <v>879</v>
      </c>
      <c r="G1696" s="122" t="s">
        <v>776</v>
      </c>
      <c r="H1696" s="122" t="s">
        <v>777</v>
      </c>
      <c r="I1696" s="312">
        <v>2022</v>
      </c>
      <c r="J1696" s="122" t="s">
        <v>713</v>
      </c>
      <c r="K1696" s="283">
        <v>16605</v>
      </c>
      <c r="L1696" s="318">
        <v>-33.843338000000003</v>
      </c>
      <c r="M1696" s="318">
        <v>151.04341099999999</v>
      </c>
      <c r="O1696">
        <f>INDEX('MEC - traffic congestion'!$M$145:$M$249,MATCH($D1696,'MEC - traffic congestion'!$C$145:$C$249,0))</f>
        <v>1</v>
      </c>
      <c r="P1696" t="str">
        <f t="shared" si="74"/>
        <v>2022WEEKENDS</v>
      </c>
      <c r="Q1696">
        <f t="shared" si="75"/>
        <v>1</v>
      </c>
      <c r="R1696" s="195" t="str">
        <f t="shared" si="76"/>
        <v>2022LIGHT VEHICLES</v>
      </c>
    </row>
    <row r="1697" spans="3:18" x14ac:dyDescent="0.25">
      <c r="C1697" s="294" t="s">
        <v>878</v>
      </c>
      <c r="D1697" s="317">
        <v>7112</v>
      </c>
      <c r="E1697" s="122" t="s">
        <v>830</v>
      </c>
      <c r="F1697" s="122" t="s">
        <v>879</v>
      </c>
      <c r="G1697" s="122" t="s">
        <v>776</v>
      </c>
      <c r="H1697" s="122" t="s">
        <v>777</v>
      </c>
      <c r="I1697" s="312">
        <v>2023</v>
      </c>
      <c r="J1697" s="122" t="s">
        <v>709</v>
      </c>
      <c r="K1697" s="283">
        <v>5031</v>
      </c>
      <c r="L1697" s="318">
        <v>-33.843338000000003</v>
      </c>
      <c r="M1697" s="318">
        <v>151.04341099999999</v>
      </c>
      <c r="O1697">
        <f>INDEX('MEC - traffic congestion'!$M$145:$M$249,MATCH($D1697,'MEC - traffic congestion'!$C$145:$C$249,0))</f>
        <v>1</v>
      </c>
      <c r="P1697" t="str">
        <f t="shared" si="74"/>
        <v>2023AM PEAK</v>
      </c>
      <c r="Q1697">
        <f t="shared" si="75"/>
        <v>1</v>
      </c>
      <c r="R1697" s="195" t="str">
        <f t="shared" si="76"/>
        <v>2023LIGHT VEHICLES</v>
      </c>
    </row>
    <row r="1698" spans="3:18" x14ac:dyDescent="0.25">
      <c r="C1698" s="294" t="s">
        <v>878</v>
      </c>
      <c r="D1698" s="317">
        <v>7112</v>
      </c>
      <c r="E1698" s="122" t="s">
        <v>830</v>
      </c>
      <c r="F1698" s="122" t="s">
        <v>879</v>
      </c>
      <c r="G1698" s="122" t="s">
        <v>776</v>
      </c>
      <c r="H1698" s="122" t="s">
        <v>777</v>
      </c>
      <c r="I1698" s="312">
        <v>2023</v>
      </c>
      <c r="J1698" s="122" t="s">
        <v>710</v>
      </c>
      <c r="K1698" s="283">
        <v>9435</v>
      </c>
      <c r="L1698" s="318">
        <v>-33.843338000000003</v>
      </c>
      <c r="M1698" s="318">
        <v>151.04341099999999</v>
      </c>
      <c r="O1698">
        <f>INDEX('MEC - traffic congestion'!$M$145:$M$249,MATCH($D1698,'MEC - traffic congestion'!$C$145:$C$249,0))</f>
        <v>1</v>
      </c>
      <c r="P1698" t="str">
        <f t="shared" si="74"/>
        <v>2023OFF PEAK</v>
      </c>
      <c r="Q1698">
        <f t="shared" si="75"/>
        <v>1</v>
      </c>
      <c r="R1698" s="195" t="str">
        <f t="shared" si="76"/>
        <v>2023LIGHT VEHICLES</v>
      </c>
    </row>
    <row r="1699" spans="3:18" x14ac:dyDescent="0.25">
      <c r="C1699" s="294" t="s">
        <v>878</v>
      </c>
      <c r="D1699" s="317">
        <v>7112</v>
      </c>
      <c r="E1699" s="122" t="s">
        <v>830</v>
      </c>
      <c r="F1699" s="122" t="s">
        <v>879</v>
      </c>
      <c r="G1699" s="122" t="s">
        <v>776</v>
      </c>
      <c r="H1699" s="122" t="s">
        <v>777</v>
      </c>
      <c r="I1699" s="312">
        <v>2023</v>
      </c>
      <c r="J1699" s="122" t="s">
        <v>711</v>
      </c>
      <c r="K1699" s="283">
        <v>5054</v>
      </c>
      <c r="L1699" s="318">
        <v>-33.843338000000003</v>
      </c>
      <c r="M1699" s="318">
        <v>151.04341099999999</v>
      </c>
      <c r="O1699">
        <f>INDEX('MEC - traffic congestion'!$M$145:$M$249,MATCH($D1699,'MEC - traffic congestion'!$C$145:$C$249,0))</f>
        <v>1</v>
      </c>
      <c r="P1699" t="str">
        <f t="shared" si="74"/>
        <v>2023PM PEAK</v>
      </c>
      <c r="Q1699">
        <f t="shared" si="75"/>
        <v>1</v>
      </c>
      <c r="R1699" s="195" t="str">
        <f t="shared" si="76"/>
        <v>2023LIGHT VEHICLES</v>
      </c>
    </row>
    <row r="1700" spans="3:18" x14ac:dyDescent="0.25">
      <c r="C1700" s="294" t="s">
        <v>878</v>
      </c>
      <c r="D1700" s="317">
        <v>7112</v>
      </c>
      <c r="E1700" s="122" t="s">
        <v>830</v>
      </c>
      <c r="F1700" s="122" t="s">
        <v>879</v>
      </c>
      <c r="G1700" s="122" t="s">
        <v>776</v>
      </c>
      <c r="H1700" s="122" t="s">
        <v>777</v>
      </c>
      <c r="I1700" s="312">
        <v>2023</v>
      </c>
      <c r="J1700" s="122" t="s">
        <v>713</v>
      </c>
      <c r="K1700" s="283">
        <v>17713</v>
      </c>
      <c r="L1700" s="318">
        <v>-33.843338000000003</v>
      </c>
      <c r="M1700" s="318">
        <v>151.04341099999999</v>
      </c>
      <c r="O1700">
        <f>INDEX('MEC - traffic congestion'!$M$145:$M$249,MATCH($D1700,'MEC - traffic congestion'!$C$145:$C$249,0))</f>
        <v>1</v>
      </c>
      <c r="P1700" t="str">
        <f t="shared" si="74"/>
        <v>2023WEEKENDS</v>
      </c>
      <c r="Q1700">
        <f t="shared" si="75"/>
        <v>1</v>
      </c>
      <c r="R1700" s="195" t="str">
        <f t="shared" si="76"/>
        <v>2023LIGHT VEHICLES</v>
      </c>
    </row>
    <row r="1701" spans="3:18" x14ac:dyDescent="0.25">
      <c r="C1701" s="294" t="s">
        <v>878</v>
      </c>
      <c r="D1701" s="317">
        <v>7112</v>
      </c>
      <c r="E1701" s="122" t="s">
        <v>830</v>
      </c>
      <c r="F1701" s="122" t="s">
        <v>879</v>
      </c>
      <c r="G1701" s="122" t="s">
        <v>776</v>
      </c>
      <c r="H1701" s="122" t="s">
        <v>777</v>
      </c>
      <c r="I1701" s="312">
        <v>2024</v>
      </c>
      <c r="J1701" s="122" t="s">
        <v>709</v>
      </c>
      <c r="K1701" s="283">
        <v>4880</v>
      </c>
      <c r="L1701" s="318">
        <v>-33.843338000000003</v>
      </c>
      <c r="M1701" s="318">
        <v>151.04341099999999</v>
      </c>
      <c r="O1701">
        <f>INDEX('MEC - traffic congestion'!$M$145:$M$249,MATCH($D1701,'MEC - traffic congestion'!$C$145:$C$249,0))</f>
        <v>1</v>
      </c>
      <c r="P1701" t="str">
        <f t="shared" si="74"/>
        <v>2024AM PEAK</v>
      </c>
      <c r="Q1701">
        <f t="shared" si="75"/>
        <v>1</v>
      </c>
      <c r="R1701" s="195" t="str">
        <f t="shared" si="76"/>
        <v>2024LIGHT VEHICLES</v>
      </c>
    </row>
    <row r="1702" spans="3:18" x14ac:dyDescent="0.25">
      <c r="C1702" s="294" t="s">
        <v>878</v>
      </c>
      <c r="D1702" s="317">
        <v>7112</v>
      </c>
      <c r="E1702" s="122" t="s">
        <v>830</v>
      </c>
      <c r="F1702" s="122" t="s">
        <v>879</v>
      </c>
      <c r="G1702" s="122" t="s">
        <v>776</v>
      </c>
      <c r="H1702" s="122" t="s">
        <v>777</v>
      </c>
      <c r="I1702" s="312">
        <v>2024</v>
      </c>
      <c r="J1702" s="122" t="s">
        <v>710</v>
      </c>
      <c r="K1702" s="283">
        <v>9702</v>
      </c>
      <c r="L1702" s="318">
        <v>-33.843338000000003</v>
      </c>
      <c r="M1702" s="318">
        <v>151.04341099999999</v>
      </c>
      <c r="O1702">
        <f>INDEX('MEC - traffic congestion'!$M$145:$M$249,MATCH($D1702,'MEC - traffic congestion'!$C$145:$C$249,0))</f>
        <v>1</v>
      </c>
      <c r="P1702" t="str">
        <f t="shared" si="74"/>
        <v>2024OFF PEAK</v>
      </c>
      <c r="Q1702">
        <f t="shared" si="75"/>
        <v>1</v>
      </c>
      <c r="R1702" s="195" t="str">
        <f t="shared" si="76"/>
        <v>2024LIGHT VEHICLES</v>
      </c>
    </row>
    <row r="1703" spans="3:18" x14ac:dyDescent="0.25">
      <c r="C1703" s="294" t="s">
        <v>878</v>
      </c>
      <c r="D1703" s="317">
        <v>7112</v>
      </c>
      <c r="E1703" s="122" t="s">
        <v>830</v>
      </c>
      <c r="F1703" s="122" t="s">
        <v>879</v>
      </c>
      <c r="G1703" s="122" t="s">
        <v>776</v>
      </c>
      <c r="H1703" s="122" t="s">
        <v>777</v>
      </c>
      <c r="I1703" s="312">
        <v>2024</v>
      </c>
      <c r="J1703" s="122" t="s">
        <v>711</v>
      </c>
      <c r="K1703" s="283">
        <v>4998</v>
      </c>
      <c r="L1703" s="318">
        <v>-33.843338000000003</v>
      </c>
      <c r="M1703" s="318">
        <v>151.04341099999999</v>
      </c>
      <c r="O1703">
        <f>INDEX('MEC - traffic congestion'!$M$145:$M$249,MATCH($D1703,'MEC - traffic congestion'!$C$145:$C$249,0))</f>
        <v>1</v>
      </c>
      <c r="P1703" t="str">
        <f t="shared" si="74"/>
        <v>2024PM PEAK</v>
      </c>
      <c r="Q1703">
        <f t="shared" si="75"/>
        <v>1</v>
      </c>
      <c r="R1703" s="195" t="str">
        <f t="shared" si="76"/>
        <v>2024LIGHT VEHICLES</v>
      </c>
    </row>
    <row r="1704" spans="3:18" x14ac:dyDescent="0.25">
      <c r="C1704" s="294" t="s">
        <v>878</v>
      </c>
      <c r="D1704" s="317">
        <v>7112</v>
      </c>
      <c r="E1704" s="122" t="s">
        <v>830</v>
      </c>
      <c r="F1704" s="122" t="s">
        <v>879</v>
      </c>
      <c r="G1704" s="122" t="s">
        <v>776</v>
      </c>
      <c r="H1704" s="122" t="s">
        <v>777</v>
      </c>
      <c r="I1704" s="312">
        <v>2024</v>
      </c>
      <c r="J1704" s="122" t="s">
        <v>713</v>
      </c>
      <c r="K1704" s="283">
        <v>17982</v>
      </c>
      <c r="L1704" s="318">
        <v>-33.843338000000003</v>
      </c>
      <c r="M1704" s="318">
        <v>151.04341099999999</v>
      </c>
      <c r="O1704">
        <f>INDEX('MEC - traffic congestion'!$M$145:$M$249,MATCH($D1704,'MEC - traffic congestion'!$C$145:$C$249,0))</f>
        <v>1</v>
      </c>
      <c r="P1704" t="str">
        <f t="shared" si="74"/>
        <v>2024WEEKENDS</v>
      </c>
      <c r="Q1704">
        <f t="shared" si="75"/>
        <v>1</v>
      </c>
      <c r="R1704" s="195" t="str">
        <f t="shared" si="76"/>
        <v>2024LIGHT VEHICLES</v>
      </c>
    </row>
    <row r="1705" spans="3:18" x14ac:dyDescent="0.25">
      <c r="C1705" s="294" t="s">
        <v>880</v>
      </c>
      <c r="D1705" s="317">
        <v>7115</v>
      </c>
      <c r="E1705" s="122" t="s">
        <v>881</v>
      </c>
      <c r="F1705" s="122" t="s">
        <v>882</v>
      </c>
      <c r="G1705" s="122" t="s">
        <v>785</v>
      </c>
      <c r="H1705" s="122" t="s">
        <v>777</v>
      </c>
      <c r="I1705" s="312">
        <v>2018</v>
      </c>
      <c r="J1705" s="122" t="s">
        <v>709</v>
      </c>
      <c r="K1705" s="283">
        <v>3265</v>
      </c>
      <c r="L1705" s="318">
        <v>-33.929409</v>
      </c>
      <c r="M1705" s="318">
        <v>151.07247899999999</v>
      </c>
      <c r="O1705">
        <f>INDEX('MEC - traffic congestion'!$M$145:$M$249,MATCH($D1705,'MEC - traffic congestion'!$C$145:$C$249,0))</f>
        <v>0</v>
      </c>
      <c r="P1705" t="str">
        <f t="shared" si="74"/>
        <v/>
      </c>
      <c r="Q1705">
        <f t="shared" si="75"/>
        <v>1</v>
      </c>
      <c r="R1705" s="195" t="str">
        <f t="shared" si="76"/>
        <v/>
      </c>
    </row>
    <row r="1706" spans="3:18" x14ac:dyDescent="0.25">
      <c r="C1706" s="294" t="s">
        <v>880</v>
      </c>
      <c r="D1706" s="317">
        <v>7115</v>
      </c>
      <c r="E1706" s="122" t="s">
        <v>881</v>
      </c>
      <c r="F1706" s="122" t="s">
        <v>882</v>
      </c>
      <c r="G1706" s="122" t="s">
        <v>786</v>
      </c>
      <c r="H1706" s="122" t="s">
        <v>777</v>
      </c>
      <c r="I1706" s="312">
        <v>2018</v>
      </c>
      <c r="J1706" s="122" t="s">
        <v>709</v>
      </c>
      <c r="K1706" s="283">
        <v>2457</v>
      </c>
      <c r="L1706" s="318">
        <v>-33.929409</v>
      </c>
      <c r="M1706" s="318">
        <v>151.07247899999999</v>
      </c>
      <c r="O1706">
        <f>INDEX('MEC - traffic congestion'!$M$145:$M$249,MATCH($D1706,'MEC - traffic congestion'!$C$145:$C$249,0))</f>
        <v>0</v>
      </c>
      <c r="P1706" t="str">
        <f t="shared" si="74"/>
        <v/>
      </c>
      <c r="Q1706">
        <f t="shared" si="75"/>
        <v>1</v>
      </c>
      <c r="R1706" s="195" t="str">
        <f t="shared" si="76"/>
        <v/>
      </c>
    </row>
    <row r="1707" spans="3:18" x14ac:dyDescent="0.25">
      <c r="C1707" s="294" t="s">
        <v>880</v>
      </c>
      <c r="D1707" s="317">
        <v>7115</v>
      </c>
      <c r="E1707" s="122" t="s">
        <v>881</v>
      </c>
      <c r="F1707" s="122" t="s">
        <v>882</v>
      </c>
      <c r="G1707" s="122" t="s">
        <v>785</v>
      </c>
      <c r="H1707" s="122" t="s">
        <v>777</v>
      </c>
      <c r="I1707" s="312">
        <v>2018</v>
      </c>
      <c r="J1707" s="122" t="s">
        <v>710</v>
      </c>
      <c r="K1707" s="283">
        <v>7069</v>
      </c>
      <c r="L1707" s="318">
        <v>-33.929409</v>
      </c>
      <c r="M1707" s="318">
        <v>151.07247899999999</v>
      </c>
      <c r="O1707">
        <f>INDEX('MEC - traffic congestion'!$M$145:$M$249,MATCH($D1707,'MEC - traffic congestion'!$C$145:$C$249,0))</f>
        <v>0</v>
      </c>
      <c r="P1707" t="str">
        <f t="shared" si="74"/>
        <v/>
      </c>
      <c r="Q1707">
        <f t="shared" si="75"/>
        <v>1</v>
      </c>
      <c r="R1707" s="195" t="str">
        <f t="shared" si="76"/>
        <v/>
      </c>
    </row>
    <row r="1708" spans="3:18" x14ac:dyDescent="0.25">
      <c r="C1708" s="294" t="s">
        <v>880</v>
      </c>
      <c r="D1708" s="317">
        <v>7115</v>
      </c>
      <c r="E1708" s="122" t="s">
        <v>881</v>
      </c>
      <c r="F1708" s="122" t="s">
        <v>882</v>
      </c>
      <c r="G1708" s="122" t="s">
        <v>786</v>
      </c>
      <c r="H1708" s="122" t="s">
        <v>777</v>
      </c>
      <c r="I1708" s="312">
        <v>2018</v>
      </c>
      <c r="J1708" s="122" t="s">
        <v>710</v>
      </c>
      <c r="K1708" s="283">
        <v>7931</v>
      </c>
      <c r="L1708" s="318">
        <v>-33.929409</v>
      </c>
      <c r="M1708" s="318">
        <v>151.07247899999999</v>
      </c>
      <c r="O1708">
        <f>INDEX('MEC - traffic congestion'!$M$145:$M$249,MATCH($D1708,'MEC - traffic congestion'!$C$145:$C$249,0))</f>
        <v>0</v>
      </c>
      <c r="P1708" t="str">
        <f t="shared" si="74"/>
        <v/>
      </c>
      <c r="Q1708">
        <f t="shared" si="75"/>
        <v>1</v>
      </c>
      <c r="R1708" s="195" t="str">
        <f t="shared" si="76"/>
        <v/>
      </c>
    </row>
    <row r="1709" spans="3:18" x14ac:dyDescent="0.25">
      <c r="C1709" s="294" t="s">
        <v>880</v>
      </c>
      <c r="D1709" s="317">
        <v>7115</v>
      </c>
      <c r="E1709" s="122" t="s">
        <v>881</v>
      </c>
      <c r="F1709" s="122" t="s">
        <v>882</v>
      </c>
      <c r="G1709" s="122" t="s">
        <v>785</v>
      </c>
      <c r="H1709" s="122" t="s">
        <v>777</v>
      </c>
      <c r="I1709" s="312">
        <v>2018</v>
      </c>
      <c r="J1709" s="122" t="s">
        <v>711</v>
      </c>
      <c r="K1709" s="283">
        <v>3223</v>
      </c>
      <c r="L1709" s="318">
        <v>-33.929409</v>
      </c>
      <c r="M1709" s="318">
        <v>151.07247899999999</v>
      </c>
      <c r="O1709">
        <f>INDEX('MEC - traffic congestion'!$M$145:$M$249,MATCH($D1709,'MEC - traffic congestion'!$C$145:$C$249,0))</f>
        <v>0</v>
      </c>
      <c r="P1709" t="str">
        <f t="shared" si="74"/>
        <v/>
      </c>
      <c r="Q1709">
        <f t="shared" si="75"/>
        <v>1</v>
      </c>
      <c r="R1709" s="195" t="str">
        <f t="shared" si="76"/>
        <v/>
      </c>
    </row>
    <row r="1710" spans="3:18" x14ac:dyDescent="0.25">
      <c r="C1710" s="294" t="s">
        <v>880</v>
      </c>
      <c r="D1710" s="317">
        <v>7115</v>
      </c>
      <c r="E1710" s="122" t="s">
        <v>881</v>
      </c>
      <c r="F1710" s="122" t="s">
        <v>882</v>
      </c>
      <c r="G1710" s="122" t="s">
        <v>786</v>
      </c>
      <c r="H1710" s="122" t="s">
        <v>777</v>
      </c>
      <c r="I1710" s="312">
        <v>2018</v>
      </c>
      <c r="J1710" s="122" t="s">
        <v>711</v>
      </c>
      <c r="K1710" s="283">
        <v>3552</v>
      </c>
      <c r="L1710" s="318">
        <v>-33.929409</v>
      </c>
      <c r="M1710" s="318">
        <v>151.07247899999999</v>
      </c>
      <c r="O1710">
        <f>INDEX('MEC - traffic congestion'!$M$145:$M$249,MATCH($D1710,'MEC - traffic congestion'!$C$145:$C$249,0))</f>
        <v>0</v>
      </c>
      <c r="P1710" t="str">
        <f t="shared" si="74"/>
        <v/>
      </c>
      <c r="Q1710">
        <f t="shared" si="75"/>
        <v>1</v>
      </c>
      <c r="R1710" s="195" t="str">
        <f t="shared" si="76"/>
        <v/>
      </c>
    </row>
    <row r="1711" spans="3:18" x14ac:dyDescent="0.25">
      <c r="C1711" s="294" t="s">
        <v>880</v>
      </c>
      <c r="D1711" s="317">
        <v>7115</v>
      </c>
      <c r="E1711" s="122" t="s">
        <v>881</v>
      </c>
      <c r="F1711" s="122" t="s">
        <v>882</v>
      </c>
      <c r="G1711" s="122" t="s">
        <v>785</v>
      </c>
      <c r="H1711" s="122" t="s">
        <v>777</v>
      </c>
      <c r="I1711" s="312">
        <v>2018</v>
      </c>
      <c r="J1711" s="122" t="s">
        <v>712</v>
      </c>
      <c r="K1711" s="283">
        <v>10919</v>
      </c>
      <c r="L1711" s="318">
        <v>-33.929409</v>
      </c>
      <c r="M1711" s="318">
        <v>151.07247899999999</v>
      </c>
      <c r="O1711">
        <f>INDEX('MEC - traffic congestion'!$M$145:$M$249,MATCH($D1711,'MEC - traffic congestion'!$C$145:$C$249,0))</f>
        <v>0</v>
      </c>
      <c r="P1711" t="str">
        <f t="shared" si="74"/>
        <v/>
      </c>
      <c r="Q1711">
        <f t="shared" si="75"/>
        <v>1</v>
      </c>
      <c r="R1711" s="195" t="str">
        <f t="shared" si="76"/>
        <v/>
      </c>
    </row>
    <row r="1712" spans="3:18" x14ac:dyDescent="0.25">
      <c r="C1712" s="294" t="s">
        <v>880</v>
      </c>
      <c r="D1712" s="317">
        <v>7115</v>
      </c>
      <c r="E1712" s="122" t="s">
        <v>881</v>
      </c>
      <c r="F1712" s="122" t="s">
        <v>882</v>
      </c>
      <c r="G1712" s="122" t="s">
        <v>786</v>
      </c>
      <c r="H1712" s="122" t="s">
        <v>777</v>
      </c>
      <c r="I1712" s="312">
        <v>2018</v>
      </c>
      <c r="J1712" s="122" t="s">
        <v>712</v>
      </c>
      <c r="K1712" s="283">
        <v>11612</v>
      </c>
      <c r="L1712" s="318">
        <v>-33.929409</v>
      </c>
      <c r="M1712" s="318">
        <v>151.07247899999999</v>
      </c>
      <c r="O1712">
        <f>INDEX('MEC - traffic congestion'!$M$145:$M$249,MATCH($D1712,'MEC - traffic congestion'!$C$145:$C$249,0))</f>
        <v>0</v>
      </c>
      <c r="P1712" t="str">
        <f t="shared" si="74"/>
        <v/>
      </c>
      <c r="Q1712">
        <f t="shared" si="75"/>
        <v>1</v>
      </c>
      <c r="R1712" s="195" t="str">
        <f t="shared" si="76"/>
        <v/>
      </c>
    </row>
    <row r="1713" spans="3:18" x14ac:dyDescent="0.25">
      <c r="C1713" s="294" t="s">
        <v>880</v>
      </c>
      <c r="D1713" s="317">
        <v>7115</v>
      </c>
      <c r="E1713" s="122" t="s">
        <v>881</v>
      </c>
      <c r="F1713" s="122" t="s">
        <v>882</v>
      </c>
      <c r="G1713" s="122" t="s">
        <v>785</v>
      </c>
      <c r="H1713" s="122" t="s">
        <v>777</v>
      </c>
      <c r="I1713" s="312">
        <v>2018</v>
      </c>
      <c r="J1713" s="122" t="s">
        <v>713</v>
      </c>
      <c r="K1713" s="283">
        <v>13016</v>
      </c>
      <c r="L1713" s="318">
        <v>-33.929409</v>
      </c>
      <c r="M1713" s="318">
        <v>151.07247899999999</v>
      </c>
      <c r="O1713">
        <f>INDEX('MEC - traffic congestion'!$M$145:$M$249,MATCH($D1713,'MEC - traffic congestion'!$C$145:$C$249,0))</f>
        <v>0</v>
      </c>
      <c r="P1713" t="str">
        <f t="shared" si="74"/>
        <v/>
      </c>
      <c r="Q1713">
        <f t="shared" si="75"/>
        <v>1</v>
      </c>
      <c r="R1713" s="195" t="str">
        <f t="shared" si="76"/>
        <v/>
      </c>
    </row>
    <row r="1714" spans="3:18" x14ac:dyDescent="0.25">
      <c r="C1714" s="294" t="s">
        <v>880</v>
      </c>
      <c r="D1714" s="317">
        <v>7115</v>
      </c>
      <c r="E1714" s="122" t="s">
        <v>881</v>
      </c>
      <c r="F1714" s="122" t="s">
        <v>882</v>
      </c>
      <c r="G1714" s="122" t="s">
        <v>786</v>
      </c>
      <c r="H1714" s="122" t="s">
        <v>777</v>
      </c>
      <c r="I1714" s="312">
        <v>2018</v>
      </c>
      <c r="J1714" s="122" t="s">
        <v>713</v>
      </c>
      <c r="K1714" s="283">
        <v>14026</v>
      </c>
      <c r="L1714" s="318">
        <v>-33.929409</v>
      </c>
      <c r="M1714" s="318">
        <v>151.07247899999999</v>
      </c>
      <c r="O1714">
        <f>INDEX('MEC - traffic congestion'!$M$145:$M$249,MATCH($D1714,'MEC - traffic congestion'!$C$145:$C$249,0))</f>
        <v>0</v>
      </c>
      <c r="P1714" t="str">
        <f t="shared" si="74"/>
        <v/>
      </c>
      <c r="Q1714">
        <f t="shared" si="75"/>
        <v>1</v>
      </c>
      <c r="R1714" s="195" t="str">
        <f t="shared" si="76"/>
        <v/>
      </c>
    </row>
    <row r="1715" spans="3:18" x14ac:dyDescent="0.25">
      <c r="C1715" s="294" t="s">
        <v>880</v>
      </c>
      <c r="D1715" s="317">
        <v>7115</v>
      </c>
      <c r="E1715" s="122" t="s">
        <v>881</v>
      </c>
      <c r="F1715" s="122" t="s">
        <v>882</v>
      </c>
      <c r="G1715" s="122" t="s">
        <v>785</v>
      </c>
      <c r="H1715" s="122" t="s">
        <v>777</v>
      </c>
      <c r="I1715" s="312">
        <v>2019</v>
      </c>
      <c r="J1715" s="122" t="s">
        <v>709</v>
      </c>
      <c r="K1715" s="283">
        <v>3242</v>
      </c>
      <c r="L1715" s="318">
        <v>-33.929409</v>
      </c>
      <c r="M1715" s="318">
        <v>151.07247899999999</v>
      </c>
      <c r="O1715">
        <f>INDEX('MEC - traffic congestion'!$M$145:$M$249,MATCH($D1715,'MEC - traffic congestion'!$C$145:$C$249,0))</f>
        <v>0</v>
      </c>
      <c r="P1715" t="str">
        <f t="shared" si="74"/>
        <v/>
      </c>
      <c r="Q1715">
        <f t="shared" si="75"/>
        <v>1</v>
      </c>
      <c r="R1715" s="195" t="str">
        <f t="shared" si="76"/>
        <v/>
      </c>
    </row>
    <row r="1716" spans="3:18" x14ac:dyDescent="0.25">
      <c r="C1716" s="294" t="s">
        <v>880</v>
      </c>
      <c r="D1716" s="317">
        <v>7115</v>
      </c>
      <c r="E1716" s="122" t="s">
        <v>881</v>
      </c>
      <c r="F1716" s="122" t="s">
        <v>882</v>
      </c>
      <c r="G1716" s="122" t="s">
        <v>786</v>
      </c>
      <c r="H1716" s="122" t="s">
        <v>777</v>
      </c>
      <c r="I1716" s="312">
        <v>2019</v>
      </c>
      <c r="J1716" s="122" t="s">
        <v>709</v>
      </c>
      <c r="K1716" s="283">
        <v>2464</v>
      </c>
      <c r="L1716" s="318">
        <v>-33.929409</v>
      </c>
      <c r="M1716" s="318">
        <v>151.07247899999999</v>
      </c>
      <c r="O1716">
        <f>INDEX('MEC - traffic congestion'!$M$145:$M$249,MATCH($D1716,'MEC - traffic congestion'!$C$145:$C$249,0))</f>
        <v>0</v>
      </c>
      <c r="P1716" t="str">
        <f t="shared" si="74"/>
        <v/>
      </c>
      <c r="Q1716">
        <f t="shared" si="75"/>
        <v>1</v>
      </c>
      <c r="R1716" s="195" t="str">
        <f t="shared" si="76"/>
        <v/>
      </c>
    </row>
    <row r="1717" spans="3:18" x14ac:dyDescent="0.25">
      <c r="C1717" s="294" t="s">
        <v>880</v>
      </c>
      <c r="D1717" s="317">
        <v>7115</v>
      </c>
      <c r="E1717" s="122" t="s">
        <v>881</v>
      </c>
      <c r="F1717" s="122" t="s">
        <v>882</v>
      </c>
      <c r="G1717" s="122" t="s">
        <v>785</v>
      </c>
      <c r="H1717" s="122" t="s">
        <v>777</v>
      </c>
      <c r="I1717" s="312">
        <v>2019</v>
      </c>
      <c r="J1717" s="122" t="s">
        <v>710</v>
      </c>
      <c r="K1717" s="283">
        <v>7406</v>
      </c>
      <c r="L1717" s="318">
        <v>-33.929409</v>
      </c>
      <c r="M1717" s="318">
        <v>151.07247899999999</v>
      </c>
      <c r="O1717">
        <f>INDEX('MEC - traffic congestion'!$M$145:$M$249,MATCH($D1717,'MEC - traffic congestion'!$C$145:$C$249,0))</f>
        <v>0</v>
      </c>
      <c r="P1717" t="str">
        <f t="shared" si="74"/>
        <v/>
      </c>
      <c r="Q1717">
        <f t="shared" si="75"/>
        <v>1</v>
      </c>
      <c r="R1717" s="195" t="str">
        <f t="shared" si="76"/>
        <v/>
      </c>
    </row>
    <row r="1718" spans="3:18" x14ac:dyDescent="0.25">
      <c r="C1718" s="294" t="s">
        <v>880</v>
      </c>
      <c r="D1718" s="317">
        <v>7115</v>
      </c>
      <c r="E1718" s="122" t="s">
        <v>881</v>
      </c>
      <c r="F1718" s="122" t="s">
        <v>882</v>
      </c>
      <c r="G1718" s="122" t="s">
        <v>786</v>
      </c>
      <c r="H1718" s="122" t="s">
        <v>777</v>
      </c>
      <c r="I1718" s="312">
        <v>2019</v>
      </c>
      <c r="J1718" s="122" t="s">
        <v>710</v>
      </c>
      <c r="K1718" s="283">
        <v>8152</v>
      </c>
      <c r="L1718" s="318">
        <v>-33.929409</v>
      </c>
      <c r="M1718" s="318">
        <v>151.07247899999999</v>
      </c>
      <c r="O1718">
        <f>INDEX('MEC - traffic congestion'!$M$145:$M$249,MATCH($D1718,'MEC - traffic congestion'!$C$145:$C$249,0))</f>
        <v>0</v>
      </c>
      <c r="P1718" t="str">
        <f t="shared" si="74"/>
        <v/>
      </c>
      <c r="Q1718">
        <f t="shared" si="75"/>
        <v>1</v>
      </c>
      <c r="R1718" s="195" t="str">
        <f t="shared" si="76"/>
        <v/>
      </c>
    </row>
    <row r="1719" spans="3:18" x14ac:dyDescent="0.25">
      <c r="C1719" s="294" t="s">
        <v>880</v>
      </c>
      <c r="D1719" s="317">
        <v>7115</v>
      </c>
      <c r="E1719" s="122" t="s">
        <v>881</v>
      </c>
      <c r="F1719" s="122" t="s">
        <v>882</v>
      </c>
      <c r="G1719" s="122" t="s">
        <v>785</v>
      </c>
      <c r="H1719" s="122" t="s">
        <v>777</v>
      </c>
      <c r="I1719" s="312">
        <v>2019</v>
      </c>
      <c r="J1719" s="122" t="s">
        <v>711</v>
      </c>
      <c r="K1719" s="283">
        <v>3318</v>
      </c>
      <c r="L1719" s="318">
        <v>-33.929409</v>
      </c>
      <c r="M1719" s="318">
        <v>151.07247899999999</v>
      </c>
      <c r="O1719">
        <f>INDEX('MEC - traffic congestion'!$M$145:$M$249,MATCH($D1719,'MEC - traffic congestion'!$C$145:$C$249,0))</f>
        <v>0</v>
      </c>
      <c r="P1719" t="str">
        <f t="shared" si="74"/>
        <v/>
      </c>
      <c r="Q1719">
        <f t="shared" si="75"/>
        <v>1</v>
      </c>
      <c r="R1719" s="195" t="str">
        <f t="shared" si="76"/>
        <v/>
      </c>
    </row>
    <row r="1720" spans="3:18" x14ac:dyDescent="0.25">
      <c r="C1720" s="294" t="s">
        <v>880</v>
      </c>
      <c r="D1720" s="317">
        <v>7115</v>
      </c>
      <c r="E1720" s="122" t="s">
        <v>881</v>
      </c>
      <c r="F1720" s="122" t="s">
        <v>882</v>
      </c>
      <c r="G1720" s="122" t="s">
        <v>786</v>
      </c>
      <c r="H1720" s="122" t="s">
        <v>777</v>
      </c>
      <c r="I1720" s="312">
        <v>2019</v>
      </c>
      <c r="J1720" s="122" t="s">
        <v>711</v>
      </c>
      <c r="K1720" s="283">
        <v>3534</v>
      </c>
      <c r="L1720" s="318">
        <v>-33.929409</v>
      </c>
      <c r="M1720" s="318">
        <v>151.07247899999999</v>
      </c>
      <c r="O1720">
        <f>INDEX('MEC - traffic congestion'!$M$145:$M$249,MATCH($D1720,'MEC - traffic congestion'!$C$145:$C$249,0))</f>
        <v>0</v>
      </c>
      <c r="P1720" t="str">
        <f t="shared" si="74"/>
        <v/>
      </c>
      <c r="Q1720">
        <f t="shared" si="75"/>
        <v>1</v>
      </c>
      <c r="R1720" s="195" t="str">
        <f t="shared" si="76"/>
        <v/>
      </c>
    </row>
    <row r="1721" spans="3:18" x14ac:dyDescent="0.25">
      <c r="C1721" s="294" t="s">
        <v>880</v>
      </c>
      <c r="D1721" s="317">
        <v>7115</v>
      </c>
      <c r="E1721" s="122" t="s">
        <v>881</v>
      </c>
      <c r="F1721" s="122" t="s">
        <v>882</v>
      </c>
      <c r="G1721" s="122" t="s">
        <v>785</v>
      </c>
      <c r="H1721" s="122" t="s">
        <v>777</v>
      </c>
      <c r="I1721" s="312">
        <v>2019</v>
      </c>
      <c r="J1721" s="122" t="s">
        <v>712</v>
      </c>
      <c r="K1721" s="283">
        <v>11319</v>
      </c>
      <c r="L1721" s="318">
        <v>-33.929409</v>
      </c>
      <c r="M1721" s="318">
        <v>151.07247899999999</v>
      </c>
      <c r="O1721">
        <f>INDEX('MEC - traffic congestion'!$M$145:$M$249,MATCH($D1721,'MEC - traffic congestion'!$C$145:$C$249,0))</f>
        <v>0</v>
      </c>
      <c r="P1721" t="str">
        <f t="shared" si="74"/>
        <v/>
      </c>
      <c r="Q1721">
        <f t="shared" si="75"/>
        <v>1</v>
      </c>
      <c r="R1721" s="195" t="str">
        <f t="shared" si="76"/>
        <v/>
      </c>
    </row>
    <row r="1722" spans="3:18" x14ac:dyDescent="0.25">
      <c r="C1722" s="294" t="s">
        <v>880</v>
      </c>
      <c r="D1722" s="317">
        <v>7115</v>
      </c>
      <c r="E1722" s="122" t="s">
        <v>881</v>
      </c>
      <c r="F1722" s="122" t="s">
        <v>882</v>
      </c>
      <c r="G1722" s="122" t="s">
        <v>786</v>
      </c>
      <c r="H1722" s="122" t="s">
        <v>777</v>
      </c>
      <c r="I1722" s="312">
        <v>2019</v>
      </c>
      <c r="J1722" s="122" t="s">
        <v>712</v>
      </c>
      <c r="K1722" s="283">
        <v>12099</v>
      </c>
      <c r="L1722" s="318">
        <v>-33.929409</v>
      </c>
      <c r="M1722" s="318">
        <v>151.07247899999999</v>
      </c>
      <c r="O1722">
        <f>INDEX('MEC - traffic congestion'!$M$145:$M$249,MATCH($D1722,'MEC - traffic congestion'!$C$145:$C$249,0))</f>
        <v>0</v>
      </c>
      <c r="P1722" t="str">
        <f t="shared" si="74"/>
        <v/>
      </c>
      <c r="Q1722">
        <f t="shared" si="75"/>
        <v>1</v>
      </c>
      <c r="R1722" s="195" t="str">
        <f t="shared" si="76"/>
        <v/>
      </c>
    </row>
    <row r="1723" spans="3:18" x14ac:dyDescent="0.25">
      <c r="C1723" s="294" t="s">
        <v>880</v>
      </c>
      <c r="D1723" s="317">
        <v>7115</v>
      </c>
      <c r="E1723" s="122" t="s">
        <v>881</v>
      </c>
      <c r="F1723" s="122" t="s">
        <v>882</v>
      </c>
      <c r="G1723" s="122" t="s">
        <v>785</v>
      </c>
      <c r="H1723" s="122" t="s">
        <v>777</v>
      </c>
      <c r="I1723" s="312">
        <v>2019</v>
      </c>
      <c r="J1723" s="122" t="s">
        <v>713</v>
      </c>
      <c r="K1723" s="283">
        <v>13549</v>
      </c>
      <c r="L1723" s="318">
        <v>-33.929409</v>
      </c>
      <c r="M1723" s="318">
        <v>151.07247899999999</v>
      </c>
      <c r="O1723">
        <f>INDEX('MEC - traffic congestion'!$M$145:$M$249,MATCH($D1723,'MEC - traffic congestion'!$C$145:$C$249,0))</f>
        <v>0</v>
      </c>
      <c r="P1723" t="str">
        <f t="shared" si="74"/>
        <v/>
      </c>
      <c r="Q1723">
        <f t="shared" si="75"/>
        <v>1</v>
      </c>
      <c r="R1723" s="195" t="str">
        <f t="shared" si="76"/>
        <v/>
      </c>
    </row>
    <row r="1724" spans="3:18" x14ac:dyDescent="0.25">
      <c r="C1724" s="294" t="s">
        <v>880</v>
      </c>
      <c r="D1724" s="317">
        <v>7115</v>
      </c>
      <c r="E1724" s="122" t="s">
        <v>881</v>
      </c>
      <c r="F1724" s="122" t="s">
        <v>882</v>
      </c>
      <c r="G1724" s="122" t="s">
        <v>786</v>
      </c>
      <c r="H1724" s="122" t="s">
        <v>777</v>
      </c>
      <c r="I1724" s="312">
        <v>2019</v>
      </c>
      <c r="J1724" s="122" t="s">
        <v>713</v>
      </c>
      <c r="K1724" s="283">
        <v>14161</v>
      </c>
      <c r="L1724" s="318">
        <v>-33.929409</v>
      </c>
      <c r="M1724" s="318">
        <v>151.07247899999999</v>
      </c>
      <c r="O1724">
        <f>INDEX('MEC - traffic congestion'!$M$145:$M$249,MATCH($D1724,'MEC - traffic congestion'!$C$145:$C$249,0))</f>
        <v>0</v>
      </c>
      <c r="P1724" t="str">
        <f t="shared" si="74"/>
        <v/>
      </c>
      <c r="Q1724">
        <f t="shared" si="75"/>
        <v>1</v>
      </c>
      <c r="R1724" s="195" t="str">
        <f t="shared" si="76"/>
        <v/>
      </c>
    </row>
    <row r="1725" spans="3:18" x14ac:dyDescent="0.25">
      <c r="C1725" s="294" t="s">
        <v>880</v>
      </c>
      <c r="D1725" s="317">
        <v>7115</v>
      </c>
      <c r="E1725" s="122" t="s">
        <v>881</v>
      </c>
      <c r="F1725" s="122" t="s">
        <v>882</v>
      </c>
      <c r="G1725" s="122" t="s">
        <v>785</v>
      </c>
      <c r="H1725" s="122" t="s">
        <v>777</v>
      </c>
      <c r="I1725" s="312">
        <v>2020</v>
      </c>
      <c r="J1725" s="122" t="s">
        <v>709</v>
      </c>
      <c r="K1725" s="283">
        <v>3032</v>
      </c>
      <c r="L1725" s="318">
        <v>-33.929409</v>
      </c>
      <c r="M1725" s="318">
        <v>151.07247899999999</v>
      </c>
      <c r="O1725">
        <f>INDEX('MEC - traffic congestion'!$M$145:$M$249,MATCH($D1725,'MEC - traffic congestion'!$C$145:$C$249,0))</f>
        <v>0</v>
      </c>
      <c r="P1725" t="str">
        <f t="shared" si="74"/>
        <v/>
      </c>
      <c r="Q1725">
        <f t="shared" si="75"/>
        <v>1</v>
      </c>
      <c r="R1725" s="195" t="str">
        <f t="shared" si="76"/>
        <v/>
      </c>
    </row>
    <row r="1726" spans="3:18" x14ac:dyDescent="0.25">
      <c r="C1726" s="294" t="s">
        <v>880</v>
      </c>
      <c r="D1726" s="317">
        <v>7115</v>
      </c>
      <c r="E1726" s="122" t="s">
        <v>881</v>
      </c>
      <c r="F1726" s="122" t="s">
        <v>882</v>
      </c>
      <c r="G1726" s="122" t="s">
        <v>786</v>
      </c>
      <c r="H1726" s="122" t="s">
        <v>777</v>
      </c>
      <c r="I1726" s="312">
        <v>2020</v>
      </c>
      <c r="J1726" s="122" t="s">
        <v>709</v>
      </c>
      <c r="K1726" s="283">
        <v>2532</v>
      </c>
      <c r="L1726" s="318">
        <v>-33.929409</v>
      </c>
      <c r="M1726" s="318">
        <v>151.07247899999999</v>
      </c>
      <c r="O1726">
        <f>INDEX('MEC - traffic congestion'!$M$145:$M$249,MATCH($D1726,'MEC - traffic congestion'!$C$145:$C$249,0))</f>
        <v>0</v>
      </c>
      <c r="P1726" t="str">
        <f t="shared" si="74"/>
        <v/>
      </c>
      <c r="Q1726">
        <f t="shared" si="75"/>
        <v>1</v>
      </c>
      <c r="R1726" s="195" t="str">
        <f t="shared" si="76"/>
        <v/>
      </c>
    </row>
    <row r="1727" spans="3:18" x14ac:dyDescent="0.25">
      <c r="C1727" s="294" t="s">
        <v>880</v>
      </c>
      <c r="D1727" s="317">
        <v>7115</v>
      </c>
      <c r="E1727" s="122" t="s">
        <v>881</v>
      </c>
      <c r="F1727" s="122" t="s">
        <v>882</v>
      </c>
      <c r="G1727" s="122" t="s">
        <v>785</v>
      </c>
      <c r="H1727" s="122" t="s">
        <v>777</v>
      </c>
      <c r="I1727" s="312">
        <v>2020</v>
      </c>
      <c r="J1727" s="122" t="s">
        <v>710</v>
      </c>
      <c r="K1727" s="283">
        <v>7119</v>
      </c>
      <c r="L1727" s="318">
        <v>-33.929409</v>
      </c>
      <c r="M1727" s="318">
        <v>151.07247899999999</v>
      </c>
      <c r="O1727">
        <f>INDEX('MEC - traffic congestion'!$M$145:$M$249,MATCH($D1727,'MEC - traffic congestion'!$C$145:$C$249,0))</f>
        <v>0</v>
      </c>
      <c r="P1727" t="str">
        <f t="shared" si="74"/>
        <v/>
      </c>
      <c r="Q1727">
        <f t="shared" si="75"/>
        <v>1</v>
      </c>
      <c r="R1727" s="195" t="str">
        <f t="shared" si="76"/>
        <v/>
      </c>
    </row>
    <row r="1728" spans="3:18" x14ac:dyDescent="0.25">
      <c r="C1728" s="294" t="s">
        <v>880</v>
      </c>
      <c r="D1728" s="317">
        <v>7115</v>
      </c>
      <c r="E1728" s="122" t="s">
        <v>881</v>
      </c>
      <c r="F1728" s="122" t="s">
        <v>882</v>
      </c>
      <c r="G1728" s="122" t="s">
        <v>786</v>
      </c>
      <c r="H1728" s="122" t="s">
        <v>777</v>
      </c>
      <c r="I1728" s="312">
        <v>2020</v>
      </c>
      <c r="J1728" s="122" t="s">
        <v>710</v>
      </c>
      <c r="K1728" s="283">
        <v>7648</v>
      </c>
      <c r="L1728" s="318">
        <v>-33.929409</v>
      </c>
      <c r="M1728" s="318">
        <v>151.07247899999999</v>
      </c>
      <c r="O1728">
        <f>INDEX('MEC - traffic congestion'!$M$145:$M$249,MATCH($D1728,'MEC - traffic congestion'!$C$145:$C$249,0))</f>
        <v>0</v>
      </c>
      <c r="P1728" t="str">
        <f t="shared" si="74"/>
        <v/>
      </c>
      <c r="Q1728">
        <f t="shared" si="75"/>
        <v>1</v>
      </c>
      <c r="R1728" s="195" t="str">
        <f t="shared" si="76"/>
        <v/>
      </c>
    </row>
    <row r="1729" spans="3:18" x14ac:dyDescent="0.25">
      <c r="C1729" s="294" t="s">
        <v>880</v>
      </c>
      <c r="D1729" s="317">
        <v>7115</v>
      </c>
      <c r="E1729" s="122" t="s">
        <v>881</v>
      </c>
      <c r="F1729" s="122" t="s">
        <v>882</v>
      </c>
      <c r="G1729" s="122" t="s">
        <v>785</v>
      </c>
      <c r="H1729" s="122" t="s">
        <v>777</v>
      </c>
      <c r="I1729" s="312">
        <v>2020</v>
      </c>
      <c r="J1729" s="122" t="s">
        <v>711</v>
      </c>
      <c r="K1729" s="283">
        <v>3284</v>
      </c>
      <c r="L1729" s="318">
        <v>-33.929409</v>
      </c>
      <c r="M1729" s="318">
        <v>151.07247899999999</v>
      </c>
      <c r="O1729">
        <f>INDEX('MEC - traffic congestion'!$M$145:$M$249,MATCH($D1729,'MEC - traffic congestion'!$C$145:$C$249,0))</f>
        <v>0</v>
      </c>
      <c r="P1729" t="str">
        <f t="shared" si="74"/>
        <v/>
      </c>
      <c r="Q1729">
        <f t="shared" si="75"/>
        <v>1</v>
      </c>
      <c r="R1729" s="195" t="str">
        <f t="shared" si="76"/>
        <v/>
      </c>
    </row>
    <row r="1730" spans="3:18" x14ac:dyDescent="0.25">
      <c r="C1730" s="294" t="s">
        <v>880</v>
      </c>
      <c r="D1730" s="317">
        <v>7115</v>
      </c>
      <c r="E1730" s="122" t="s">
        <v>881</v>
      </c>
      <c r="F1730" s="122" t="s">
        <v>882</v>
      </c>
      <c r="G1730" s="122" t="s">
        <v>786</v>
      </c>
      <c r="H1730" s="122" t="s">
        <v>777</v>
      </c>
      <c r="I1730" s="312">
        <v>2020</v>
      </c>
      <c r="J1730" s="122" t="s">
        <v>711</v>
      </c>
      <c r="K1730" s="283">
        <v>3156</v>
      </c>
      <c r="L1730" s="318">
        <v>-33.929409</v>
      </c>
      <c r="M1730" s="318">
        <v>151.07247899999999</v>
      </c>
      <c r="O1730">
        <f>INDEX('MEC - traffic congestion'!$M$145:$M$249,MATCH($D1730,'MEC - traffic congestion'!$C$145:$C$249,0))</f>
        <v>0</v>
      </c>
      <c r="P1730" t="str">
        <f t="shared" si="74"/>
        <v/>
      </c>
      <c r="Q1730">
        <f t="shared" si="75"/>
        <v>1</v>
      </c>
      <c r="R1730" s="195" t="str">
        <f t="shared" si="76"/>
        <v/>
      </c>
    </row>
    <row r="1731" spans="3:18" x14ac:dyDescent="0.25">
      <c r="C1731" s="294" t="s">
        <v>880</v>
      </c>
      <c r="D1731" s="317">
        <v>7115</v>
      </c>
      <c r="E1731" s="122" t="s">
        <v>881</v>
      </c>
      <c r="F1731" s="122" t="s">
        <v>882</v>
      </c>
      <c r="G1731" s="122" t="s">
        <v>785</v>
      </c>
      <c r="H1731" s="122" t="s">
        <v>777</v>
      </c>
      <c r="I1731" s="312">
        <v>2020</v>
      </c>
      <c r="J1731" s="122" t="s">
        <v>712</v>
      </c>
      <c r="K1731" s="283">
        <v>10311</v>
      </c>
      <c r="L1731" s="318">
        <v>-33.929409</v>
      </c>
      <c r="M1731" s="318">
        <v>151.07247899999999</v>
      </c>
      <c r="O1731">
        <f>INDEX('MEC - traffic congestion'!$M$145:$M$249,MATCH($D1731,'MEC - traffic congestion'!$C$145:$C$249,0))</f>
        <v>0</v>
      </c>
      <c r="P1731" t="str">
        <f t="shared" si="74"/>
        <v/>
      </c>
      <c r="Q1731">
        <f t="shared" si="75"/>
        <v>1</v>
      </c>
      <c r="R1731" s="195" t="str">
        <f t="shared" si="76"/>
        <v/>
      </c>
    </row>
    <row r="1732" spans="3:18" x14ac:dyDescent="0.25">
      <c r="C1732" s="294" t="s">
        <v>880</v>
      </c>
      <c r="D1732" s="317">
        <v>7115</v>
      </c>
      <c r="E1732" s="122" t="s">
        <v>881</v>
      </c>
      <c r="F1732" s="122" t="s">
        <v>882</v>
      </c>
      <c r="G1732" s="122" t="s">
        <v>786</v>
      </c>
      <c r="H1732" s="122" t="s">
        <v>777</v>
      </c>
      <c r="I1732" s="312">
        <v>2020</v>
      </c>
      <c r="J1732" s="122" t="s">
        <v>712</v>
      </c>
      <c r="K1732" s="283">
        <v>10800</v>
      </c>
      <c r="L1732" s="318">
        <v>-33.929409</v>
      </c>
      <c r="M1732" s="318">
        <v>151.07247899999999</v>
      </c>
      <c r="O1732">
        <f>INDEX('MEC - traffic congestion'!$M$145:$M$249,MATCH($D1732,'MEC - traffic congestion'!$C$145:$C$249,0))</f>
        <v>0</v>
      </c>
      <c r="P1732" t="str">
        <f t="shared" si="74"/>
        <v/>
      </c>
      <c r="Q1732">
        <f t="shared" si="75"/>
        <v>1</v>
      </c>
      <c r="R1732" s="195" t="str">
        <f t="shared" si="76"/>
        <v/>
      </c>
    </row>
    <row r="1733" spans="3:18" x14ac:dyDescent="0.25">
      <c r="C1733" s="294" t="s">
        <v>880</v>
      </c>
      <c r="D1733" s="317">
        <v>7115</v>
      </c>
      <c r="E1733" s="122" t="s">
        <v>881</v>
      </c>
      <c r="F1733" s="122" t="s">
        <v>882</v>
      </c>
      <c r="G1733" s="122" t="s">
        <v>785</v>
      </c>
      <c r="H1733" s="122" t="s">
        <v>777</v>
      </c>
      <c r="I1733" s="312">
        <v>2020</v>
      </c>
      <c r="J1733" s="122" t="s">
        <v>713</v>
      </c>
      <c r="K1733" s="283">
        <v>12736</v>
      </c>
      <c r="L1733" s="318">
        <v>-33.929409</v>
      </c>
      <c r="M1733" s="318">
        <v>151.07247899999999</v>
      </c>
      <c r="O1733">
        <f>INDEX('MEC - traffic congestion'!$M$145:$M$249,MATCH($D1733,'MEC - traffic congestion'!$C$145:$C$249,0))</f>
        <v>0</v>
      </c>
      <c r="P1733" t="str">
        <f t="shared" si="74"/>
        <v/>
      </c>
      <c r="Q1733">
        <f t="shared" si="75"/>
        <v>1</v>
      </c>
      <c r="R1733" s="195" t="str">
        <f t="shared" si="76"/>
        <v/>
      </c>
    </row>
    <row r="1734" spans="3:18" x14ac:dyDescent="0.25">
      <c r="C1734" s="294" t="s">
        <v>880</v>
      </c>
      <c r="D1734" s="317">
        <v>7115</v>
      </c>
      <c r="E1734" s="122" t="s">
        <v>881</v>
      </c>
      <c r="F1734" s="122" t="s">
        <v>882</v>
      </c>
      <c r="G1734" s="122" t="s">
        <v>786</v>
      </c>
      <c r="H1734" s="122" t="s">
        <v>777</v>
      </c>
      <c r="I1734" s="312">
        <v>2020</v>
      </c>
      <c r="J1734" s="122" t="s">
        <v>713</v>
      </c>
      <c r="K1734" s="283">
        <v>13135</v>
      </c>
      <c r="L1734" s="318">
        <v>-33.929409</v>
      </c>
      <c r="M1734" s="318">
        <v>151.07247899999999</v>
      </c>
      <c r="O1734">
        <f>INDEX('MEC - traffic congestion'!$M$145:$M$249,MATCH($D1734,'MEC - traffic congestion'!$C$145:$C$249,0))</f>
        <v>0</v>
      </c>
      <c r="P1734" t="str">
        <f t="shared" si="74"/>
        <v/>
      </c>
      <c r="Q1734">
        <f t="shared" si="75"/>
        <v>1</v>
      </c>
      <c r="R1734" s="195" t="str">
        <f t="shared" si="76"/>
        <v/>
      </c>
    </row>
    <row r="1735" spans="3:18" x14ac:dyDescent="0.25">
      <c r="C1735" s="294" t="s">
        <v>880</v>
      </c>
      <c r="D1735" s="317">
        <v>7115</v>
      </c>
      <c r="E1735" s="122" t="s">
        <v>881</v>
      </c>
      <c r="F1735" s="122" t="s">
        <v>882</v>
      </c>
      <c r="G1735" s="122" t="s">
        <v>785</v>
      </c>
      <c r="H1735" s="122" t="s">
        <v>777</v>
      </c>
      <c r="I1735" s="312">
        <v>2021</v>
      </c>
      <c r="J1735" s="122" t="s">
        <v>709</v>
      </c>
      <c r="K1735" s="283">
        <v>2697</v>
      </c>
      <c r="L1735" s="318">
        <v>-33.929409</v>
      </c>
      <c r="M1735" s="318">
        <v>151.07247899999999</v>
      </c>
      <c r="O1735">
        <f>INDEX('MEC - traffic congestion'!$M$145:$M$249,MATCH($D1735,'MEC - traffic congestion'!$C$145:$C$249,0))</f>
        <v>0</v>
      </c>
      <c r="P1735" t="str">
        <f t="shared" si="74"/>
        <v/>
      </c>
      <c r="Q1735">
        <f t="shared" si="75"/>
        <v>1</v>
      </c>
      <c r="R1735" s="195" t="str">
        <f t="shared" si="76"/>
        <v/>
      </c>
    </row>
    <row r="1736" spans="3:18" x14ac:dyDescent="0.25">
      <c r="C1736" s="294" t="s">
        <v>880</v>
      </c>
      <c r="D1736" s="317">
        <v>7115</v>
      </c>
      <c r="E1736" s="122" t="s">
        <v>881</v>
      </c>
      <c r="F1736" s="122" t="s">
        <v>882</v>
      </c>
      <c r="G1736" s="122" t="s">
        <v>786</v>
      </c>
      <c r="H1736" s="122" t="s">
        <v>777</v>
      </c>
      <c r="I1736" s="312">
        <v>2021</v>
      </c>
      <c r="J1736" s="122" t="s">
        <v>709</v>
      </c>
      <c r="K1736" s="283">
        <v>2336</v>
      </c>
      <c r="L1736" s="318">
        <v>-33.929409</v>
      </c>
      <c r="M1736" s="318">
        <v>151.07247899999999</v>
      </c>
      <c r="O1736">
        <f>INDEX('MEC - traffic congestion'!$M$145:$M$249,MATCH($D1736,'MEC - traffic congestion'!$C$145:$C$249,0))</f>
        <v>0</v>
      </c>
      <c r="P1736" t="str">
        <f t="shared" si="74"/>
        <v/>
      </c>
      <c r="Q1736">
        <f t="shared" si="75"/>
        <v>1</v>
      </c>
      <c r="R1736" s="195" t="str">
        <f t="shared" si="76"/>
        <v/>
      </c>
    </row>
    <row r="1737" spans="3:18" x14ac:dyDescent="0.25">
      <c r="C1737" s="294" t="s">
        <v>880</v>
      </c>
      <c r="D1737" s="317">
        <v>7115</v>
      </c>
      <c r="E1737" s="122" t="s">
        <v>881</v>
      </c>
      <c r="F1737" s="122" t="s">
        <v>882</v>
      </c>
      <c r="G1737" s="122" t="s">
        <v>785</v>
      </c>
      <c r="H1737" s="122" t="s">
        <v>777</v>
      </c>
      <c r="I1737" s="312">
        <v>2021</v>
      </c>
      <c r="J1737" s="122" t="s">
        <v>710</v>
      </c>
      <c r="K1737" s="283">
        <v>7642</v>
      </c>
      <c r="L1737" s="318">
        <v>-33.929409</v>
      </c>
      <c r="M1737" s="318">
        <v>151.07247899999999</v>
      </c>
      <c r="O1737">
        <f>INDEX('MEC - traffic congestion'!$M$145:$M$249,MATCH($D1737,'MEC - traffic congestion'!$C$145:$C$249,0))</f>
        <v>0</v>
      </c>
      <c r="P1737" t="str">
        <f t="shared" si="74"/>
        <v/>
      </c>
      <c r="Q1737">
        <f t="shared" si="75"/>
        <v>1</v>
      </c>
      <c r="R1737" s="195" t="str">
        <f t="shared" si="76"/>
        <v/>
      </c>
    </row>
    <row r="1738" spans="3:18" x14ac:dyDescent="0.25">
      <c r="C1738" s="294" t="s">
        <v>880</v>
      </c>
      <c r="D1738" s="317">
        <v>7115</v>
      </c>
      <c r="E1738" s="122" t="s">
        <v>881</v>
      </c>
      <c r="F1738" s="122" t="s">
        <v>882</v>
      </c>
      <c r="G1738" s="122" t="s">
        <v>786</v>
      </c>
      <c r="H1738" s="122" t="s">
        <v>777</v>
      </c>
      <c r="I1738" s="312">
        <v>2021</v>
      </c>
      <c r="J1738" s="122" t="s">
        <v>710</v>
      </c>
      <c r="K1738" s="283">
        <v>8212</v>
      </c>
      <c r="L1738" s="318">
        <v>-33.929409</v>
      </c>
      <c r="M1738" s="318">
        <v>151.07247899999999</v>
      </c>
      <c r="O1738">
        <f>INDEX('MEC - traffic congestion'!$M$145:$M$249,MATCH($D1738,'MEC - traffic congestion'!$C$145:$C$249,0))</f>
        <v>0</v>
      </c>
      <c r="P1738" t="str">
        <f t="shared" si="74"/>
        <v/>
      </c>
      <c r="Q1738">
        <f t="shared" si="75"/>
        <v>1</v>
      </c>
      <c r="R1738" s="195" t="str">
        <f t="shared" si="76"/>
        <v/>
      </c>
    </row>
    <row r="1739" spans="3:18" x14ac:dyDescent="0.25">
      <c r="C1739" s="294" t="s">
        <v>880</v>
      </c>
      <c r="D1739" s="317">
        <v>7115</v>
      </c>
      <c r="E1739" s="122" t="s">
        <v>881</v>
      </c>
      <c r="F1739" s="122" t="s">
        <v>882</v>
      </c>
      <c r="G1739" s="122" t="s">
        <v>785</v>
      </c>
      <c r="H1739" s="122" t="s">
        <v>777</v>
      </c>
      <c r="I1739" s="312">
        <v>2021</v>
      </c>
      <c r="J1739" s="122" t="s">
        <v>711</v>
      </c>
      <c r="K1739" s="283">
        <v>3456</v>
      </c>
      <c r="L1739" s="318">
        <v>-33.929409</v>
      </c>
      <c r="M1739" s="318">
        <v>151.07247899999999</v>
      </c>
      <c r="O1739">
        <f>INDEX('MEC - traffic congestion'!$M$145:$M$249,MATCH($D1739,'MEC - traffic congestion'!$C$145:$C$249,0))</f>
        <v>0</v>
      </c>
      <c r="P1739" t="str">
        <f t="shared" si="74"/>
        <v/>
      </c>
      <c r="Q1739">
        <f t="shared" si="75"/>
        <v>1</v>
      </c>
      <c r="R1739" s="195" t="str">
        <f t="shared" si="76"/>
        <v/>
      </c>
    </row>
    <row r="1740" spans="3:18" x14ac:dyDescent="0.25">
      <c r="C1740" s="294" t="s">
        <v>880</v>
      </c>
      <c r="D1740" s="317">
        <v>7115</v>
      </c>
      <c r="E1740" s="122" t="s">
        <v>881</v>
      </c>
      <c r="F1740" s="122" t="s">
        <v>882</v>
      </c>
      <c r="G1740" s="122" t="s">
        <v>786</v>
      </c>
      <c r="H1740" s="122" t="s">
        <v>777</v>
      </c>
      <c r="I1740" s="312">
        <v>2021</v>
      </c>
      <c r="J1740" s="122" t="s">
        <v>711</v>
      </c>
      <c r="K1740" s="283">
        <v>3190</v>
      </c>
      <c r="L1740" s="318">
        <v>-33.929409</v>
      </c>
      <c r="M1740" s="318">
        <v>151.07247899999999</v>
      </c>
      <c r="O1740">
        <f>INDEX('MEC - traffic congestion'!$M$145:$M$249,MATCH($D1740,'MEC - traffic congestion'!$C$145:$C$249,0))</f>
        <v>0</v>
      </c>
      <c r="P1740" t="str">
        <f t="shared" si="74"/>
        <v/>
      </c>
      <c r="Q1740">
        <f t="shared" si="75"/>
        <v>1</v>
      </c>
      <c r="R1740" s="195" t="str">
        <f t="shared" si="76"/>
        <v/>
      </c>
    </row>
    <row r="1741" spans="3:18" x14ac:dyDescent="0.25">
      <c r="C1741" s="294" t="s">
        <v>880</v>
      </c>
      <c r="D1741" s="317">
        <v>7115</v>
      </c>
      <c r="E1741" s="122" t="s">
        <v>881</v>
      </c>
      <c r="F1741" s="122" t="s">
        <v>882</v>
      </c>
      <c r="G1741" s="122" t="s">
        <v>785</v>
      </c>
      <c r="H1741" s="122" t="s">
        <v>777</v>
      </c>
      <c r="I1741" s="312">
        <v>2021</v>
      </c>
      <c r="J1741" s="122" t="s">
        <v>713</v>
      </c>
      <c r="K1741" s="283">
        <v>12997</v>
      </c>
      <c r="L1741" s="318">
        <v>-33.929409</v>
      </c>
      <c r="M1741" s="318">
        <v>151.07247899999999</v>
      </c>
      <c r="O1741">
        <f>INDEX('MEC - traffic congestion'!$M$145:$M$249,MATCH($D1741,'MEC - traffic congestion'!$C$145:$C$249,0))</f>
        <v>0</v>
      </c>
      <c r="P1741" t="str">
        <f t="shared" si="74"/>
        <v/>
      </c>
      <c r="Q1741">
        <f t="shared" si="75"/>
        <v>1</v>
      </c>
      <c r="R1741" s="195" t="str">
        <f t="shared" si="76"/>
        <v/>
      </c>
    </row>
    <row r="1742" spans="3:18" x14ac:dyDescent="0.25">
      <c r="C1742" s="294" t="s">
        <v>880</v>
      </c>
      <c r="D1742" s="317">
        <v>7115</v>
      </c>
      <c r="E1742" s="122" t="s">
        <v>881</v>
      </c>
      <c r="F1742" s="122" t="s">
        <v>882</v>
      </c>
      <c r="G1742" s="122" t="s">
        <v>786</v>
      </c>
      <c r="H1742" s="122" t="s">
        <v>777</v>
      </c>
      <c r="I1742" s="312">
        <v>2021</v>
      </c>
      <c r="J1742" s="122" t="s">
        <v>713</v>
      </c>
      <c r="K1742" s="283">
        <v>13457</v>
      </c>
      <c r="L1742" s="318">
        <v>-33.929409</v>
      </c>
      <c r="M1742" s="318">
        <v>151.07247899999999</v>
      </c>
      <c r="O1742">
        <f>INDEX('MEC - traffic congestion'!$M$145:$M$249,MATCH($D1742,'MEC - traffic congestion'!$C$145:$C$249,0))</f>
        <v>0</v>
      </c>
      <c r="P1742" t="str">
        <f t="shared" si="74"/>
        <v/>
      </c>
      <c r="Q1742">
        <f t="shared" si="75"/>
        <v>1</v>
      </c>
      <c r="R1742" s="195" t="str">
        <f t="shared" si="76"/>
        <v/>
      </c>
    </row>
    <row r="1743" spans="3:18" x14ac:dyDescent="0.25">
      <c r="C1743" s="294" t="s">
        <v>883</v>
      </c>
      <c r="D1743" s="317" t="s">
        <v>728</v>
      </c>
      <c r="E1743" s="122" t="s">
        <v>884</v>
      </c>
      <c r="F1743" s="122" t="s">
        <v>885</v>
      </c>
      <c r="G1743" s="122" t="s">
        <v>785</v>
      </c>
      <c r="H1743" s="122" t="s">
        <v>777</v>
      </c>
      <c r="I1743" s="312">
        <v>2018</v>
      </c>
      <c r="J1743" s="122" t="s">
        <v>709</v>
      </c>
      <c r="K1743" s="283">
        <v>4720</v>
      </c>
      <c r="L1743" s="318">
        <v>-33.817974</v>
      </c>
      <c r="M1743" s="318">
        <v>150.98182700000001</v>
      </c>
      <c r="O1743">
        <f>INDEX('MEC - traffic congestion'!$M$145:$M$249,MATCH($D1743,'MEC - traffic congestion'!$C$145:$C$249,0))</f>
        <v>1</v>
      </c>
      <c r="P1743" t="str">
        <f t="shared" si="74"/>
        <v>2018AM PEAK</v>
      </c>
      <c r="Q1743">
        <f t="shared" si="75"/>
        <v>1</v>
      </c>
      <c r="R1743" s="195" t="str">
        <f t="shared" si="76"/>
        <v>2018LIGHT VEHICLES</v>
      </c>
    </row>
    <row r="1744" spans="3:18" x14ac:dyDescent="0.25">
      <c r="C1744" s="294" t="s">
        <v>883</v>
      </c>
      <c r="D1744" s="317" t="s">
        <v>728</v>
      </c>
      <c r="E1744" s="122" t="s">
        <v>884</v>
      </c>
      <c r="F1744" s="122" t="s">
        <v>885</v>
      </c>
      <c r="G1744" s="122" t="s">
        <v>786</v>
      </c>
      <c r="H1744" s="122" t="s">
        <v>777</v>
      </c>
      <c r="I1744" s="312">
        <v>2018</v>
      </c>
      <c r="J1744" s="122" t="s">
        <v>709</v>
      </c>
      <c r="K1744" s="283">
        <v>2252</v>
      </c>
      <c r="L1744" s="318">
        <v>-33.817974</v>
      </c>
      <c r="M1744" s="318">
        <v>150.98182700000001</v>
      </c>
      <c r="O1744">
        <f>INDEX('MEC - traffic congestion'!$M$145:$M$249,MATCH($D1744,'MEC - traffic congestion'!$C$145:$C$249,0))</f>
        <v>1</v>
      </c>
      <c r="P1744" t="str">
        <f t="shared" si="74"/>
        <v>2018AM PEAK</v>
      </c>
      <c r="Q1744">
        <f t="shared" si="75"/>
        <v>1</v>
      </c>
      <c r="R1744" s="195" t="str">
        <f t="shared" si="76"/>
        <v>2018LIGHT VEHICLES</v>
      </c>
    </row>
    <row r="1745" spans="3:18" x14ac:dyDescent="0.25">
      <c r="C1745" s="294" t="s">
        <v>883</v>
      </c>
      <c r="D1745" s="317" t="s">
        <v>728</v>
      </c>
      <c r="E1745" s="122" t="s">
        <v>884</v>
      </c>
      <c r="F1745" s="122" t="s">
        <v>885</v>
      </c>
      <c r="G1745" s="122" t="s">
        <v>785</v>
      </c>
      <c r="H1745" s="122" t="s">
        <v>777</v>
      </c>
      <c r="I1745" s="312">
        <v>2018</v>
      </c>
      <c r="J1745" s="122" t="s">
        <v>710</v>
      </c>
      <c r="K1745" s="283">
        <v>7639</v>
      </c>
      <c r="L1745" s="318">
        <v>-33.817974</v>
      </c>
      <c r="M1745" s="318">
        <v>150.98182700000001</v>
      </c>
      <c r="O1745">
        <f>INDEX('MEC - traffic congestion'!$M$145:$M$249,MATCH($D1745,'MEC - traffic congestion'!$C$145:$C$249,0))</f>
        <v>1</v>
      </c>
      <c r="P1745" t="str">
        <f t="shared" si="74"/>
        <v>2018OFF PEAK</v>
      </c>
      <c r="Q1745">
        <f t="shared" si="75"/>
        <v>1</v>
      </c>
      <c r="R1745" s="195" t="str">
        <f t="shared" si="76"/>
        <v>2018LIGHT VEHICLES</v>
      </c>
    </row>
    <row r="1746" spans="3:18" x14ac:dyDescent="0.25">
      <c r="C1746" s="294" t="s">
        <v>883</v>
      </c>
      <c r="D1746" s="317" t="s">
        <v>728</v>
      </c>
      <c r="E1746" s="122" t="s">
        <v>884</v>
      </c>
      <c r="F1746" s="122" t="s">
        <v>885</v>
      </c>
      <c r="G1746" s="122" t="s">
        <v>786</v>
      </c>
      <c r="H1746" s="122" t="s">
        <v>777</v>
      </c>
      <c r="I1746" s="312">
        <v>2018</v>
      </c>
      <c r="J1746" s="122" t="s">
        <v>710</v>
      </c>
      <c r="K1746" s="283">
        <v>7682</v>
      </c>
      <c r="L1746" s="318">
        <v>-33.817974</v>
      </c>
      <c r="M1746" s="318">
        <v>150.98182700000001</v>
      </c>
      <c r="O1746">
        <f>INDEX('MEC - traffic congestion'!$M$145:$M$249,MATCH($D1746,'MEC - traffic congestion'!$C$145:$C$249,0))</f>
        <v>1</v>
      </c>
      <c r="P1746" t="str">
        <f t="shared" si="74"/>
        <v>2018OFF PEAK</v>
      </c>
      <c r="Q1746">
        <f t="shared" si="75"/>
        <v>1</v>
      </c>
      <c r="R1746" s="195" t="str">
        <f t="shared" si="76"/>
        <v>2018LIGHT VEHICLES</v>
      </c>
    </row>
    <row r="1747" spans="3:18" x14ac:dyDescent="0.25">
      <c r="C1747" s="294" t="s">
        <v>883</v>
      </c>
      <c r="D1747" s="317" t="s">
        <v>728</v>
      </c>
      <c r="E1747" s="122" t="s">
        <v>884</v>
      </c>
      <c r="F1747" s="122" t="s">
        <v>885</v>
      </c>
      <c r="G1747" s="122" t="s">
        <v>785</v>
      </c>
      <c r="H1747" s="122" t="s">
        <v>777</v>
      </c>
      <c r="I1747" s="312">
        <v>2018</v>
      </c>
      <c r="J1747" s="122" t="s">
        <v>711</v>
      </c>
      <c r="K1747" s="283">
        <v>3847</v>
      </c>
      <c r="L1747" s="318">
        <v>-33.817974</v>
      </c>
      <c r="M1747" s="318">
        <v>150.98182700000001</v>
      </c>
      <c r="O1747">
        <f>INDEX('MEC - traffic congestion'!$M$145:$M$249,MATCH($D1747,'MEC - traffic congestion'!$C$145:$C$249,0))</f>
        <v>1</v>
      </c>
      <c r="P1747" t="str">
        <f t="shared" si="74"/>
        <v>2018PM PEAK</v>
      </c>
      <c r="Q1747">
        <f t="shared" si="75"/>
        <v>1</v>
      </c>
      <c r="R1747" s="195" t="str">
        <f t="shared" si="76"/>
        <v>2018LIGHT VEHICLES</v>
      </c>
    </row>
    <row r="1748" spans="3:18" x14ac:dyDescent="0.25">
      <c r="C1748" s="294" t="s">
        <v>883</v>
      </c>
      <c r="D1748" s="317" t="s">
        <v>728</v>
      </c>
      <c r="E1748" s="122" t="s">
        <v>884</v>
      </c>
      <c r="F1748" s="122" t="s">
        <v>885</v>
      </c>
      <c r="G1748" s="122" t="s">
        <v>786</v>
      </c>
      <c r="H1748" s="122" t="s">
        <v>777</v>
      </c>
      <c r="I1748" s="312">
        <v>2018</v>
      </c>
      <c r="J1748" s="122" t="s">
        <v>711</v>
      </c>
      <c r="K1748" s="283">
        <v>4228</v>
      </c>
      <c r="L1748" s="318">
        <v>-33.817974</v>
      </c>
      <c r="M1748" s="318">
        <v>150.98182700000001</v>
      </c>
      <c r="O1748">
        <f>INDEX('MEC - traffic congestion'!$M$145:$M$249,MATCH($D1748,'MEC - traffic congestion'!$C$145:$C$249,0))</f>
        <v>1</v>
      </c>
      <c r="P1748" t="str">
        <f t="shared" si="74"/>
        <v>2018PM PEAK</v>
      </c>
      <c r="Q1748">
        <f t="shared" si="75"/>
        <v>1</v>
      </c>
      <c r="R1748" s="195" t="str">
        <f t="shared" si="76"/>
        <v>2018LIGHT VEHICLES</v>
      </c>
    </row>
    <row r="1749" spans="3:18" x14ac:dyDescent="0.25">
      <c r="C1749" s="294" t="s">
        <v>883</v>
      </c>
      <c r="D1749" s="317" t="s">
        <v>728</v>
      </c>
      <c r="E1749" s="122" t="s">
        <v>884</v>
      </c>
      <c r="F1749" s="122" t="s">
        <v>885</v>
      </c>
      <c r="G1749" s="122" t="s">
        <v>785</v>
      </c>
      <c r="H1749" s="122" t="s">
        <v>777</v>
      </c>
      <c r="I1749" s="312">
        <v>2018</v>
      </c>
      <c r="J1749" s="122" t="s">
        <v>712</v>
      </c>
      <c r="K1749" s="283">
        <v>10694</v>
      </c>
      <c r="L1749" s="318">
        <v>-33.817974</v>
      </c>
      <c r="M1749" s="318">
        <v>150.98182700000001</v>
      </c>
      <c r="O1749">
        <f>INDEX('MEC - traffic congestion'!$M$145:$M$249,MATCH($D1749,'MEC - traffic congestion'!$C$145:$C$249,0))</f>
        <v>1</v>
      </c>
      <c r="P1749" t="str">
        <f t="shared" ref="P1749:P1812" si="77">IF($O1749=1,$I1749&amp;$J1749,"")</f>
        <v>2018PUBLIC HOLIDAYS</v>
      </c>
      <c r="Q1749">
        <f t="shared" ref="Q1749:Q1812" si="78">IF(AND($M1749&gt;150.246,AND($L1749&gt;-34.397,$L1749&lt;-32.662)),1,0)</f>
        <v>1</v>
      </c>
      <c r="R1749" s="195" t="str">
        <f t="shared" ref="R1749:R1812" si="79">IF($O1749=1,$I1749&amp;$H1749,"")</f>
        <v>2018LIGHT VEHICLES</v>
      </c>
    </row>
    <row r="1750" spans="3:18" x14ac:dyDescent="0.25">
      <c r="C1750" s="294" t="s">
        <v>883</v>
      </c>
      <c r="D1750" s="317" t="s">
        <v>728</v>
      </c>
      <c r="E1750" s="122" t="s">
        <v>884</v>
      </c>
      <c r="F1750" s="122" t="s">
        <v>885</v>
      </c>
      <c r="G1750" s="122" t="s">
        <v>786</v>
      </c>
      <c r="H1750" s="122" t="s">
        <v>777</v>
      </c>
      <c r="I1750" s="312">
        <v>2018</v>
      </c>
      <c r="J1750" s="122" t="s">
        <v>712</v>
      </c>
      <c r="K1750" s="283">
        <v>10356</v>
      </c>
      <c r="L1750" s="318">
        <v>-33.817974</v>
      </c>
      <c r="M1750" s="318">
        <v>150.98182700000001</v>
      </c>
      <c r="O1750">
        <f>INDEX('MEC - traffic congestion'!$M$145:$M$249,MATCH($D1750,'MEC - traffic congestion'!$C$145:$C$249,0))</f>
        <v>1</v>
      </c>
      <c r="P1750" t="str">
        <f t="shared" si="77"/>
        <v>2018PUBLIC HOLIDAYS</v>
      </c>
      <c r="Q1750">
        <f t="shared" si="78"/>
        <v>1</v>
      </c>
      <c r="R1750" s="195" t="str">
        <f t="shared" si="79"/>
        <v>2018LIGHT VEHICLES</v>
      </c>
    </row>
    <row r="1751" spans="3:18" x14ac:dyDescent="0.25">
      <c r="C1751" s="294" t="s">
        <v>883</v>
      </c>
      <c r="D1751" s="317" t="s">
        <v>728</v>
      </c>
      <c r="E1751" s="122" t="s">
        <v>884</v>
      </c>
      <c r="F1751" s="122" t="s">
        <v>885</v>
      </c>
      <c r="G1751" s="122" t="s">
        <v>785</v>
      </c>
      <c r="H1751" s="122" t="s">
        <v>777</v>
      </c>
      <c r="I1751" s="312">
        <v>2018</v>
      </c>
      <c r="J1751" s="122" t="s">
        <v>713</v>
      </c>
      <c r="K1751" s="283">
        <v>13728</v>
      </c>
      <c r="L1751" s="318">
        <v>-33.817974</v>
      </c>
      <c r="M1751" s="318">
        <v>150.98182700000001</v>
      </c>
      <c r="O1751">
        <f>INDEX('MEC - traffic congestion'!$M$145:$M$249,MATCH($D1751,'MEC - traffic congestion'!$C$145:$C$249,0))</f>
        <v>1</v>
      </c>
      <c r="P1751" t="str">
        <f t="shared" si="77"/>
        <v>2018WEEKENDS</v>
      </c>
      <c r="Q1751">
        <f t="shared" si="78"/>
        <v>1</v>
      </c>
      <c r="R1751" s="195" t="str">
        <f t="shared" si="79"/>
        <v>2018LIGHT VEHICLES</v>
      </c>
    </row>
    <row r="1752" spans="3:18" x14ac:dyDescent="0.25">
      <c r="C1752" s="294" t="s">
        <v>883</v>
      </c>
      <c r="D1752" s="317" t="s">
        <v>728</v>
      </c>
      <c r="E1752" s="122" t="s">
        <v>884</v>
      </c>
      <c r="F1752" s="122" t="s">
        <v>885</v>
      </c>
      <c r="G1752" s="122" t="s">
        <v>786</v>
      </c>
      <c r="H1752" s="122" t="s">
        <v>777</v>
      </c>
      <c r="I1752" s="312">
        <v>2018</v>
      </c>
      <c r="J1752" s="122" t="s">
        <v>713</v>
      </c>
      <c r="K1752" s="283">
        <v>13792</v>
      </c>
      <c r="L1752" s="318">
        <v>-33.817974</v>
      </c>
      <c r="M1752" s="318">
        <v>150.98182700000001</v>
      </c>
      <c r="O1752">
        <f>INDEX('MEC - traffic congestion'!$M$145:$M$249,MATCH($D1752,'MEC - traffic congestion'!$C$145:$C$249,0))</f>
        <v>1</v>
      </c>
      <c r="P1752" t="str">
        <f t="shared" si="77"/>
        <v>2018WEEKENDS</v>
      </c>
      <c r="Q1752">
        <f t="shared" si="78"/>
        <v>1</v>
      </c>
      <c r="R1752" s="195" t="str">
        <f t="shared" si="79"/>
        <v>2018LIGHT VEHICLES</v>
      </c>
    </row>
    <row r="1753" spans="3:18" x14ac:dyDescent="0.25">
      <c r="C1753" s="294" t="s">
        <v>883</v>
      </c>
      <c r="D1753" s="317" t="s">
        <v>728</v>
      </c>
      <c r="E1753" s="122" t="s">
        <v>884</v>
      </c>
      <c r="F1753" s="122" t="s">
        <v>885</v>
      </c>
      <c r="G1753" s="122" t="s">
        <v>785</v>
      </c>
      <c r="H1753" s="122" t="s">
        <v>777</v>
      </c>
      <c r="I1753" s="312">
        <v>2019</v>
      </c>
      <c r="J1753" s="122" t="s">
        <v>709</v>
      </c>
      <c r="K1753" s="283">
        <v>4487</v>
      </c>
      <c r="L1753" s="318">
        <v>-33.817974</v>
      </c>
      <c r="M1753" s="318">
        <v>150.98182700000001</v>
      </c>
      <c r="O1753">
        <f>INDEX('MEC - traffic congestion'!$M$145:$M$249,MATCH($D1753,'MEC - traffic congestion'!$C$145:$C$249,0))</f>
        <v>1</v>
      </c>
      <c r="P1753" t="str">
        <f t="shared" si="77"/>
        <v>2019AM PEAK</v>
      </c>
      <c r="Q1753">
        <f t="shared" si="78"/>
        <v>1</v>
      </c>
      <c r="R1753" s="195" t="str">
        <f t="shared" si="79"/>
        <v>2019LIGHT VEHICLES</v>
      </c>
    </row>
    <row r="1754" spans="3:18" x14ac:dyDescent="0.25">
      <c r="C1754" s="294" t="s">
        <v>883</v>
      </c>
      <c r="D1754" s="317" t="s">
        <v>728</v>
      </c>
      <c r="E1754" s="122" t="s">
        <v>884</v>
      </c>
      <c r="F1754" s="122" t="s">
        <v>885</v>
      </c>
      <c r="G1754" s="122" t="s">
        <v>786</v>
      </c>
      <c r="H1754" s="122" t="s">
        <v>777</v>
      </c>
      <c r="I1754" s="312">
        <v>2019</v>
      </c>
      <c r="J1754" s="122" t="s">
        <v>709</v>
      </c>
      <c r="K1754" s="283">
        <v>2139</v>
      </c>
      <c r="L1754" s="318">
        <v>-33.817974</v>
      </c>
      <c r="M1754" s="318">
        <v>150.98182700000001</v>
      </c>
      <c r="O1754">
        <f>INDEX('MEC - traffic congestion'!$M$145:$M$249,MATCH($D1754,'MEC - traffic congestion'!$C$145:$C$249,0))</f>
        <v>1</v>
      </c>
      <c r="P1754" t="str">
        <f t="shared" si="77"/>
        <v>2019AM PEAK</v>
      </c>
      <c r="Q1754">
        <f t="shared" si="78"/>
        <v>1</v>
      </c>
      <c r="R1754" s="195" t="str">
        <f t="shared" si="79"/>
        <v>2019LIGHT VEHICLES</v>
      </c>
    </row>
    <row r="1755" spans="3:18" x14ac:dyDescent="0.25">
      <c r="C1755" s="294" t="s">
        <v>883</v>
      </c>
      <c r="D1755" s="317" t="s">
        <v>728</v>
      </c>
      <c r="E1755" s="122" t="s">
        <v>884</v>
      </c>
      <c r="F1755" s="122" t="s">
        <v>885</v>
      </c>
      <c r="G1755" s="122" t="s">
        <v>785</v>
      </c>
      <c r="H1755" s="122" t="s">
        <v>777</v>
      </c>
      <c r="I1755" s="312">
        <v>2019</v>
      </c>
      <c r="J1755" s="122" t="s">
        <v>710</v>
      </c>
      <c r="K1755" s="283">
        <v>7691</v>
      </c>
      <c r="L1755" s="318">
        <v>-33.817974</v>
      </c>
      <c r="M1755" s="318">
        <v>150.98182700000001</v>
      </c>
      <c r="O1755">
        <f>INDEX('MEC - traffic congestion'!$M$145:$M$249,MATCH($D1755,'MEC - traffic congestion'!$C$145:$C$249,0))</f>
        <v>1</v>
      </c>
      <c r="P1755" t="str">
        <f t="shared" si="77"/>
        <v>2019OFF PEAK</v>
      </c>
      <c r="Q1755">
        <f t="shared" si="78"/>
        <v>1</v>
      </c>
      <c r="R1755" s="195" t="str">
        <f t="shared" si="79"/>
        <v>2019LIGHT VEHICLES</v>
      </c>
    </row>
    <row r="1756" spans="3:18" x14ac:dyDescent="0.25">
      <c r="C1756" s="294" t="s">
        <v>883</v>
      </c>
      <c r="D1756" s="317" t="s">
        <v>728</v>
      </c>
      <c r="E1756" s="122" t="s">
        <v>884</v>
      </c>
      <c r="F1756" s="122" t="s">
        <v>885</v>
      </c>
      <c r="G1756" s="122" t="s">
        <v>786</v>
      </c>
      <c r="H1756" s="122" t="s">
        <v>777</v>
      </c>
      <c r="I1756" s="312">
        <v>2019</v>
      </c>
      <c r="J1756" s="122" t="s">
        <v>710</v>
      </c>
      <c r="K1756" s="283">
        <v>7676</v>
      </c>
      <c r="L1756" s="318">
        <v>-33.817974</v>
      </c>
      <c r="M1756" s="318">
        <v>150.98182700000001</v>
      </c>
      <c r="O1756">
        <f>INDEX('MEC - traffic congestion'!$M$145:$M$249,MATCH($D1756,'MEC - traffic congestion'!$C$145:$C$249,0))</f>
        <v>1</v>
      </c>
      <c r="P1756" t="str">
        <f t="shared" si="77"/>
        <v>2019OFF PEAK</v>
      </c>
      <c r="Q1756">
        <f t="shared" si="78"/>
        <v>1</v>
      </c>
      <c r="R1756" s="195" t="str">
        <f t="shared" si="79"/>
        <v>2019LIGHT VEHICLES</v>
      </c>
    </row>
    <row r="1757" spans="3:18" x14ac:dyDescent="0.25">
      <c r="C1757" s="294" t="s">
        <v>883</v>
      </c>
      <c r="D1757" s="317" t="s">
        <v>728</v>
      </c>
      <c r="E1757" s="122" t="s">
        <v>884</v>
      </c>
      <c r="F1757" s="122" t="s">
        <v>885</v>
      </c>
      <c r="G1757" s="122" t="s">
        <v>785</v>
      </c>
      <c r="H1757" s="122" t="s">
        <v>777</v>
      </c>
      <c r="I1757" s="312">
        <v>2019</v>
      </c>
      <c r="J1757" s="122" t="s">
        <v>711</v>
      </c>
      <c r="K1757" s="283">
        <v>3849</v>
      </c>
      <c r="L1757" s="318">
        <v>-33.817974</v>
      </c>
      <c r="M1757" s="318">
        <v>150.98182700000001</v>
      </c>
      <c r="O1757">
        <f>INDEX('MEC - traffic congestion'!$M$145:$M$249,MATCH($D1757,'MEC - traffic congestion'!$C$145:$C$249,0))</f>
        <v>1</v>
      </c>
      <c r="P1757" t="str">
        <f t="shared" si="77"/>
        <v>2019PM PEAK</v>
      </c>
      <c r="Q1757">
        <f t="shared" si="78"/>
        <v>1</v>
      </c>
      <c r="R1757" s="195" t="str">
        <f t="shared" si="79"/>
        <v>2019LIGHT VEHICLES</v>
      </c>
    </row>
    <row r="1758" spans="3:18" x14ac:dyDescent="0.25">
      <c r="C1758" s="294" t="s">
        <v>883</v>
      </c>
      <c r="D1758" s="317" t="s">
        <v>728</v>
      </c>
      <c r="E1758" s="122" t="s">
        <v>884</v>
      </c>
      <c r="F1758" s="122" t="s">
        <v>885</v>
      </c>
      <c r="G1758" s="122" t="s">
        <v>786</v>
      </c>
      <c r="H1758" s="122" t="s">
        <v>777</v>
      </c>
      <c r="I1758" s="312">
        <v>2019</v>
      </c>
      <c r="J1758" s="122" t="s">
        <v>711</v>
      </c>
      <c r="K1758" s="283">
        <v>4133</v>
      </c>
      <c r="L1758" s="318">
        <v>-33.817974</v>
      </c>
      <c r="M1758" s="318">
        <v>150.98182700000001</v>
      </c>
      <c r="O1758">
        <f>INDEX('MEC - traffic congestion'!$M$145:$M$249,MATCH($D1758,'MEC - traffic congestion'!$C$145:$C$249,0))</f>
        <v>1</v>
      </c>
      <c r="P1758" t="str">
        <f t="shared" si="77"/>
        <v>2019PM PEAK</v>
      </c>
      <c r="Q1758">
        <f t="shared" si="78"/>
        <v>1</v>
      </c>
      <c r="R1758" s="195" t="str">
        <f t="shared" si="79"/>
        <v>2019LIGHT VEHICLES</v>
      </c>
    </row>
    <row r="1759" spans="3:18" x14ac:dyDescent="0.25">
      <c r="C1759" s="294" t="s">
        <v>883</v>
      </c>
      <c r="D1759" s="317" t="s">
        <v>728</v>
      </c>
      <c r="E1759" s="122" t="s">
        <v>884</v>
      </c>
      <c r="F1759" s="122" t="s">
        <v>885</v>
      </c>
      <c r="G1759" s="122" t="s">
        <v>785</v>
      </c>
      <c r="H1759" s="122" t="s">
        <v>777</v>
      </c>
      <c r="I1759" s="312">
        <v>2019</v>
      </c>
      <c r="J1759" s="122" t="s">
        <v>712</v>
      </c>
      <c r="K1759" s="283">
        <v>10951</v>
      </c>
      <c r="L1759" s="318">
        <v>-33.817974</v>
      </c>
      <c r="M1759" s="318">
        <v>150.98182700000001</v>
      </c>
      <c r="O1759">
        <f>INDEX('MEC - traffic congestion'!$M$145:$M$249,MATCH($D1759,'MEC - traffic congestion'!$C$145:$C$249,0))</f>
        <v>1</v>
      </c>
      <c r="P1759" t="str">
        <f t="shared" si="77"/>
        <v>2019PUBLIC HOLIDAYS</v>
      </c>
      <c r="Q1759">
        <f t="shared" si="78"/>
        <v>1</v>
      </c>
      <c r="R1759" s="195" t="str">
        <f t="shared" si="79"/>
        <v>2019LIGHT VEHICLES</v>
      </c>
    </row>
    <row r="1760" spans="3:18" x14ac:dyDescent="0.25">
      <c r="C1760" s="294" t="s">
        <v>883</v>
      </c>
      <c r="D1760" s="317" t="s">
        <v>728</v>
      </c>
      <c r="E1760" s="122" t="s">
        <v>884</v>
      </c>
      <c r="F1760" s="122" t="s">
        <v>885</v>
      </c>
      <c r="G1760" s="122" t="s">
        <v>786</v>
      </c>
      <c r="H1760" s="122" t="s">
        <v>777</v>
      </c>
      <c r="I1760" s="312">
        <v>2019</v>
      </c>
      <c r="J1760" s="122" t="s">
        <v>712</v>
      </c>
      <c r="K1760" s="283">
        <v>10598</v>
      </c>
      <c r="L1760" s="318">
        <v>-33.817974</v>
      </c>
      <c r="M1760" s="318">
        <v>150.98182700000001</v>
      </c>
      <c r="O1760">
        <f>INDEX('MEC - traffic congestion'!$M$145:$M$249,MATCH($D1760,'MEC - traffic congestion'!$C$145:$C$249,0))</f>
        <v>1</v>
      </c>
      <c r="P1760" t="str">
        <f t="shared" si="77"/>
        <v>2019PUBLIC HOLIDAYS</v>
      </c>
      <c r="Q1760">
        <f t="shared" si="78"/>
        <v>1</v>
      </c>
      <c r="R1760" s="195" t="str">
        <f t="shared" si="79"/>
        <v>2019LIGHT VEHICLES</v>
      </c>
    </row>
    <row r="1761" spans="3:18" x14ac:dyDescent="0.25">
      <c r="C1761" s="294" t="s">
        <v>883</v>
      </c>
      <c r="D1761" s="317" t="s">
        <v>728</v>
      </c>
      <c r="E1761" s="122" t="s">
        <v>884</v>
      </c>
      <c r="F1761" s="122" t="s">
        <v>885</v>
      </c>
      <c r="G1761" s="122" t="s">
        <v>785</v>
      </c>
      <c r="H1761" s="122" t="s">
        <v>777</v>
      </c>
      <c r="I1761" s="312">
        <v>2019</v>
      </c>
      <c r="J1761" s="122" t="s">
        <v>713</v>
      </c>
      <c r="K1761" s="283">
        <v>13960</v>
      </c>
      <c r="L1761" s="318">
        <v>-33.817974</v>
      </c>
      <c r="M1761" s="318">
        <v>150.98182700000001</v>
      </c>
      <c r="O1761">
        <f>INDEX('MEC - traffic congestion'!$M$145:$M$249,MATCH($D1761,'MEC - traffic congestion'!$C$145:$C$249,0))</f>
        <v>1</v>
      </c>
      <c r="P1761" t="str">
        <f t="shared" si="77"/>
        <v>2019WEEKENDS</v>
      </c>
      <c r="Q1761">
        <f t="shared" si="78"/>
        <v>1</v>
      </c>
      <c r="R1761" s="195" t="str">
        <f t="shared" si="79"/>
        <v>2019LIGHT VEHICLES</v>
      </c>
    </row>
    <row r="1762" spans="3:18" x14ac:dyDescent="0.25">
      <c r="C1762" s="294" t="s">
        <v>883</v>
      </c>
      <c r="D1762" s="317" t="s">
        <v>728</v>
      </c>
      <c r="E1762" s="122" t="s">
        <v>884</v>
      </c>
      <c r="F1762" s="122" t="s">
        <v>885</v>
      </c>
      <c r="G1762" s="122" t="s">
        <v>786</v>
      </c>
      <c r="H1762" s="122" t="s">
        <v>777</v>
      </c>
      <c r="I1762" s="312">
        <v>2019</v>
      </c>
      <c r="J1762" s="122" t="s">
        <v>713</v>
      </c>
      <c r="K1762" s="283">
        <v>13691</v>
      </c>
      <c r="L1762" s="318">
        <v>-33.817974</v>
      </c>
      <c r="M1762" s="318">
        <v>150.98182700000001</v>
      </c>
      <c r="O1762">
        <f>INDEX('MEC - traffic congestion'!$M$145:$M$249,MATCH($D1762,'MEC - traffic congestion'!$C$145:$C$249,0))</f>
        <v>1</v>
      </c>
      <c r="P1762" t="str">
        <f t="shared" si="77"/>
        <v>2019WEEKENDS</v>
      </c>
      <c r="Q1762">
        <f t="shared" si="78"/>
        <v>1</v>
      </c>
      <c r="R1762" s="195" t="str">
        <f t="shared" si="79"/>
        <v>2019LIGHT VEHICLES</v>
      </c>
    </row>
    <row r="1763" spans="3:18" x14ac:dyDescent="0.25">
      <c r="C1763" s="294" t="s">
        <v>883</v>
      </c>
      <c r="D1763" s="317" t="s">
        <v>728</v>
      </c>
      <c r="E1763" s="122" t="s">
        <v>884</v>
      </c>
      <c r="F1763" s="122" t="s">
        <v>885</v>
      </c>
      <c r="G1763" s="122" t="s">
        <v>785</v>
      </c>
      <c r="H1763" s="122" t="s">
        <v>777</v>
      </c>
      <c r="I1763" s="312">
        <v>2020</v>
      </c>
      <c r="J1763" s="122" t="s">
        <v>709</v>
      </c>
      <c r="K1763" s="283">
        <v>3867</v>
      </c>
      <c r="L1763" s="318">
        <v>-33.817974</v>
      </c>
      <c r="M1763" s="318">
        <v>150.98182700000001</v>
      </c>
      <c r="O1763">
        <f>INDEX('MEC - traffic congestion'!$M$145:$M$249,MATCH($D1763,'MEC - traffic congestion'!$C$145:$C$249,0))</f>
        <v>1</v>
      </c>
      <c r="P1763" t="str">
        <f t="shared" si="77"/>
        <v>2020AM PEAK</v>
      </c>
      <c r="Q1763">
        <f t="shared" si="78"/>
        <v>1</v>
      </c>
      <c r="R1763" s="195" t="str">
        <f t="shared" si="79"/>
        <v>2020LIGHT VEHICLES</v>
      </c>
    </row>
    <row r="1764" spans="3:18" x14ac:dyDescent="0.25">
      <c r="C1764" s="294" t="s">
        <v>883</v>
      </c>
      <c r="D1764" s="317" t="s">
        <v>728</v>
      </c>
      <c r="E1764" s="122" t="s">
        <v>884</v>
      </c>
      <c r="F1764" s="122" t="s">
        <v>885</v>
      </c>
      <c r="G1764" s="122" t="s">
        <v>786</v>
      </c>
      <c r="H1764" s="122" t="s">
        <v>777</v>
      </c>
      <c r="I1764" s="312">
        <v>2020</v>
      </c>
      <c r="J1764" s="122" t="s">
        <v>709</v>
      </c>
      <c r="K1764" s="283">
        <v>2067</v>
      </c>
      <c r="L1764" s="318">
        <v>-33.817974</v>
      </c>
      <c r="M1764" s="318">
        <v>150.98182700000001</v>
      </c>
      <c r="O1764">
        <f>INDEX('MEC - traffic congestion'!$M$145:$M$249,MATCH($D1764,'MEC - traffic congestion'!$C$145:$C$249,0))</f>
        <v>1</v>
      </c>
      <c r="P1764" t="str">
        <f t="shared" si="77"/>
        <v>2020AM PEAK</v>
      </c>
      <c r="Q1764">
        <f t="shared" si="78"/>
        <v>1</v>
      </c>
      <c r="R1764" s="195" t="str">
        <f t="shared" si="79"/>
        <v>2020LIGHT VEHICLES</v>
      </c>
    </row>
    <row r="1765" spans="3:18" x14ac:dyDescent="0.25">
      <c r="C1765" s="294" t="s">
        <v>883</v>
      </c>
      <c r="D1765" s="317" t="s">
        <v>728</v>
      </c>
      <c r="E1765" s="122" t="s">
        <v>884</v>
      </c>
      <c r="F1765" s="122" t="s">
        <v>885</v>
      </c>
      <c r="G1765" s="122" t="s">
        <v>785</v>
      </c>
      <c r="H1765" s="122" t="s">
        <v>777</v>
      </c>
      <c r="I1765" s="312">
        <v>2020</v>
      </c>
      <c r="J1765" s="122" t="s">
        <v>710</v>
      </c>
      <c r="K1765" s="283">
        <v>6960</v>
      </c>
      <c r="L1765" s="318">
        <v>-33.817974</v>
      </c>
      <c r="M1765" s="318">
        <v>150.98182700000001</v>
      </c>
      <c r="O1765">
        <f>INDEX('MEC - traffic congestion'!$M$145:$M$249,MATCH($D1765,'MEC - traffic congestion'!$C$145:$C$249,0))</f>
        <v>1</v>
      </c>
      <c r="P1765" t="str">
        <f t="shared" si="77"/>
        <v>2020OFF PEAK</v>
      </c>
      <c r="Q1765">
        <f t="shared" si="78"/>
        <v>1</v>
      </c>
      <c r="R1765" s="195" t="str">
        <f t="shared" si="79"/>
        <v>2020LIGHT VEHICLES</v>
      </c>
    </row>
    <row r="1766" spans="3:18" x14ac:dyDescent="0.25">
      <c r="C1766" s="294" t="s">
        <v>883</v>
      </c>
      <c r="D1766" s="317" t="s">
        <v>728</v>
      </c>
      <c r="E1766" s="122" t="s">
        <v>884</v>
      </c>
      <c r="F1766" s="122" t="s">
        <v>885</v>
      </c>
      <c r="G1766" s="122" t="s">
        <v>786</v>
      </c>
      <c r="H1766" s="122" t="s">
        <v>777</v>
      </c>
      <c r="I1766" s="312">
        <v>2020</v>
      </c>
      <c r="J1766" s="122" t="s">
        <v>710</v>
      </c>
      <c r="K1766" s="283">
        <v>6884</v>
      </c>
      <c r="L1766" s="318">
        <v>-33.817974</v>
      </c>
      <c r="M1766" s="318">
        <v>150.98182700000001</v>
      </c>
      <c r="O1766">
        <f>INDEX('MEC - traffic congestion'!$M$145:$M$249,MATCH($D1766,'MEC - traffic congestion'!$C$145:$C$249,0))</f>
        <v>1</v>
      </c>
      <c r="P1766" t="str">
        <f t="shared" si="77"/>
        <v>2020OFF PEAK</v>
      </c>
      <c r="Q1766">
        <f t="shared" si="78"/>
        <v>1</v>
      </c>
      <c r="R1766" s="195" t="str">
        <f t="shared" si="79"/>
        <v>2020LIGHT VEHICLES</v>
      </c>
    </row>
    <row r="1767" spans="3:18" x14ac:dyDescent="0.25">
      <c r="C1767" s="294" t="s">
        <v>883</v>
      </c>
      <c r="D1767" s="317" t="s">
        <v>728</v>
      </c>
      <c r="E1767" s="122" t="s">
        <v>884</v>
      </c>
      <c r="F1767" s="122" t="s">
        <v>885</v>
      </c>
      <c r="G1767" s="122" t="s">
        <v>785</v>
      </c>
      <c r="H1767" s="122" t="s">
        <v>777</v>
      </c>
      <c r="I1767" s="312">
        <v>2020</v>
      </c>
      <c r="J1767" s="122" t="s">
        <v>711</v>
      </c>
      <c r="K1767" s="283">
        <v>3624</v>
      </c>
      <c r="L1767" s="318">
        <v>-33.817974</v>
      </c>
      <c r="M1767" s="318">
        <v>150.98182700000001</v>
      </c>
      <c r="O1767">
        <f>INDEX('MEC - traffic congestion'!$M$145:$M$249,MATCH($D1767,'MEC - traffic congestion'!$C$145:$C$249,0))</f>
        <v>1</v>
      </c>
      <c r="P1767" t="str">
        <f t="shared" si="77"/>
        <v>2020PM PEAK</v>
      </c>
      <c r="Q1767">
        <f t="shared" si="78"/>
        <v>1</v>
      </c>
      <c r="R1767" s="195" t="str">
        <f t="shared" si="79"/>
        <v>2020LIGHT VEHICLES</v>
      </c>
    </row>
    <row r="1768" spans="3:18" x14ac:dyDescent="0.25">
      <c r="C1768" s="294" t="s">
        <v>883</v>
      </c>
      <c r="D1768" s="317" t="s">
        <v>728</v>
      </c>
      <c r="E1768" s="122" t="s">
        <v>884</v>
      </c>
      <c r="F1768" s="122" t="s">
        <v>885</v>
      </c>
      <c r="G1768" s="122" t="s">
        <v>786</v>
      </c>
      <c r="H1768" s="122" t="s">
        <v>777</v>
      </c>
      <c r="I1768" s="312">
        <v>2020</v>
      </c>
      <c r="J1768" s="122" t="s">
        <v>711</v>
      </c>
      <c r="K1768" s="283">
        <v>4152</v>
      </c>
      <c r="L1768" s="318">
        <v>-33.817974</v>
      </c>
      <c r="M1768" s="318">
        <v>150.98182700000001</v>
      </c>
      <c r="O1768">
        <f>INDEX('MEC - traffic congestion'!$M$145:$M$249,MATCH($D1768,'MEC - traffic congestion'!$C$145:$C$249,0))</f>
        <v>1</v>
      </c>
      <c r="P1768" t="str">
        <f t="shared" si="77"/>
        <v>2020PM PEAK</v>
      </c>
      <c r="Q1768">
        <f t="shared" si="78"/>
        <v>1</v>
      </c>
      <c r="R1768" s="195" t="str">
        <f t="shared" si="79"/>
        <v>2020LIGHT VEHICLES</v>
      </c>
    </row>
    <row r="1769" spans="3:18" x14ac:dyDescent="0.25">
      <c r="C1769" s="294" t="s">
        <v>883</v>
      </c>
      <c r="D1769" s="317" t="s">
        <v>728</v>
      </c>
      <c r="E1769" s="122" t="s">
        <v>884</v>
      </c>
      <c r="F1769" s="122" t="s">
        <v>885</v>
      </c>
      <c r="G1769" s="122" t="s">
        <v>785</v>
      </c>
      <c r="H1769" s="122" t="s">
        <v>777</v>
      </c>
      <c r="I1769" s="312">
        <v>2020</v>
      </c>
      <c r="J1769" s="122" t="s">
        <v>712</v>
      </c>
      <c r="K1769" s="283">
        <v>8988</v>
      </c>
      <c r="L1769" s="318">
        <v>-33.817974</v>
      </c>
      <c r="M1769" s="318">
        <v>150.98182700000001</v>
      </c>
      <c r="O1769">
        <f>INDEX('MEC - traffic congestion'!$M$145:$M$249,MATCH($D1769,'MEC - traffic congestion'!$C$145:$C$249,0))</f>
        <v>1</v>
      </c>
      <c r="P1769" t="str">
        <f t="shared" si="77"/>
        <v>2020PUBLIC HOLIDAYS</v>
      </c>
      <c r="Q1769">
        <f t="shared" si="78"/>
        <v>1</v>
      </c>
      <c r="R1769" s="195" t="str">
        <f t="shared" si="79"/>
        <v>2020LIGHT VEHICLES</v>
      </c>
    </row>
    <row r="1770" spans="3:18" x14ac:dyDescent="0.25">
      <c r="C1770" s="294" t="s">
        <v>883</v>
      </c>
      <c r="D1770" s="317" t="s">
        <v>728</v>
      </c>
      <c r="E1770" s="122" t="s">
        <v>884</v>
      </c>
      <c r="F1770" s="122" t="s">
        <v>885</v>
      </c>
      <c r="G1770" s="122" t="s">
        <v>786</v>
      </c>
      <c r="H1770" s="122" t="s">
        <v>777</v>
      </c>
      <c r="I1770" s="312">
        <v>2020</v>
      </c>
      <c r="J1770" s="122" t="s">
        <v>712</v>
      </c>
      <c r="K1770" s="283">
        <v>8614</v>
      </c>
      <c r="L1770" s="318">
        <v>-33.817974</v>
      </c>
      <c r="M1770" s="318">
        <v>150.98182700000001</v>
      </c>
      <c r="O1770">
        <f>INDEX('MEC - traffic congestion'!$M$145:$M$249,MATCH($D1770,'MEC - traffic congestion'!$C$145:$C$249,0))</f>
        <v>1</v>
      </c>
      <c r="P1770" t="str">
        <f t="shared" si="77"/>
        <v>2020PUBLIC HOLIDAYS</v>
      </c>
      <c r="Q1770">
        <f t="shared" si="78"/>
        <v>1</v>
      </c>
      <c r="R1770" s="195" t="str">
        <f t="shared" si="79"/>
        <v>2020LIGHT VEHICLES</v>
      </c>
    </row>
    <row r="1771" spans="3:18" x14ac:dyDescent="0.25">
      <c r="C1771" s="294" t="s">
        <v>883</v>
      </c>
      <c r="D1771" s="317" t="s">
        <v>728</v>
      </c>
      <c r="E1771" s="122" t="s">
        <v>884</v>
      </c>
      <c r="F1771" s="122" t="s">
        <v>885</v>
      </c>
      <c r="G1771" s="122" t="s">
        <v>785</v>
      </c>
      <c r="H1771" s="122" t="s">
        <v>777</v>
      </c>
      <c r="I1771" s="312">
        <v>2020</v>
      </c>
      <c r="J1771" s="122" t="s">
        <v>713</v>
      </c>
      <c r="K1771" s="283">
        <v>12091</v>
      </c>
      <c r="L1771" s="318">
        <v>-33.817974</v>
      </c>
      <c r="M1771" s="318">
        <v>150.98182700000001</v>
      </c>
      <c r="O1771">
        <f>INDEX('MEC - traffic congestion'!$M$145:$M$249,MATCH($D1771,'MEC - traffic congestion'!$C$145:$C$249,0))</f>
        <v>1</v>
      </c>
      <c r="P1771" t="str">
        <f t="shared" si="77"/>
        <v>2020WEEKENDS</v>
      </c>
      <c r="Q1771">
        <f t="shared" si="78"/>
        <v>1</v>
      </c>
      <c r="R1771" s="195" t="str">
        <f t="shared" si="79"/>
        <v>2020LIGHT VEHICLES</v>
      </c>
    </row>
    <row r="1772" spans="3:18" x14ac:dyDescent="0.25">
      <c r="C1772" s="294" t="s">
        <v>883</v>
      </c>
      <c r="D1772" s="317" t="s">
        <v>728</v>
      </c>
      <c r="E1772" s="122" t="s">
        <v>884</v>
      </c>
      <c r="F1772" s="122" t="s">
        <v>885</v>
      </c>
      <c r="G1772" s="122" t="s">
        <v>786</v>
      </c>
      <c r="H1772" s="122" t="s">
        <v>777</v>
      </c>
      <c r="I1772" s="312">
        <v>2020</v>
      </c>
      <c r="J1772" s="122" t="s">
        <v>713</v>
      </c>
      <c r="K1772" s="283">
        <v>11942</v>
      </c>
      <c r="L1772" s="318">
        <v>-33.817974</v>
      </c>
      <c r="M1772" s="318">
        <v>150.98182700000001</v>
      </c>
      <c r="O1772">
        <f>INDEX('MEC - traffic congestion'!$M$145:$M$249,MATCH($D1772,'MEC - traffic congestion'!$C$145:$C$249,0))</f>
        <v>1</v>
      </c>
      <c r="P1772" t="str">
        <f t="shared" si="77"/>
        <v>2020WEEKENDS</v>
      </c>
      <c r="Q1772">
        <f t="shared" si="78"/>
        <v>1</v>
      </c>
      <c r="R1772" s="195" t="str">
        <f t="shared" si="79"/>
        <v>2020LIGHT VEHICLES</v>
      </c>
    </row>
    <row r="1773" spans="3:18" x14ac:dyDescent="0.25">
      <c r="C1773" s="294" t="s">
        <v>883</v>
      </c>
      <c r="D1773" s="317" t="s">
        <v>728</v>
      </c>
      <c r="E1773" s="122" t="s">
        <v>884</v>
      </c>
      <c r="F1773" s="122" t="s">
        <v>885</v>
      </c>
      <c r="G1773" s="122" t="s">
        <v>785</v>
      </c>
      <c r="H1773" s="122" t="s">
        <v>777</v>
      </c>
      <c r="I1773" s="312">
        <v>2021</v>
      </c>
      <c r="J1773" s="122" t="s">
        <v>709</v>
      </c>
      <c r="K1773" s="283">
        <v>3334</v>
      </c>
      <c r="L1773" s="318">
        <v>-33.817974</v>
      </c>
      <c r="M1773" s="318">
        <v>150.98182700000001</v>
      </c>
      <c r="O1773">
        <f>INDEX('MEC - traffic congestion'!$M$145:$M$249,MATCH($D1773,'MEC - traffic congestion'!$C$145:$C$249,0))</f>
        <v>1</v>
      </c>
      <c r="P1773" t="str">
        <f t="shared" si="77"/>
        <v>2021AM PEAK</v>
      </c>
      <c r="Q1773">
        <f t="shared" si="78"/>
        <v>1</v>
      </c>
      <c r="R1773" s="195" t="str">
        <f t="shared" si="79"/>
        <v>2021LIGHT VEHICLES</v>
      </c>
    </row>
    <row r="1774" spans="3:18" x14ac:dyDescent="0.25">
      <c r="C1774" s="294" t="s">
        <v>883</v>
      </c>
      <c r="D1774" s="317" t="s">
        <v>728</v>
      </c>
      <c r="E1774" s="122" t="s">
        <v>884</v>
      </c>
      <c r="F1774" s="122" t="s">
        <v>885</v>
      </c>
      <c r="G1774" s="122" t="s">
        <v>786</v>
      </c>
      <c r="H1774" s="122" t="s">
        <v>777</v>
      </c>
      <c r="I1774" s="312">
        <v>2021</v>
      </c>
      <c r="J1774" s="122" t="s">
        <v>709</v>
      </c>
      <c r="K1774" s="283">
        <v>1907</v>
      </c>
      <c r="L1774" s="318">
        <v>-33.817974</v>
      </c>
      <c r="M1774" s="318">
        <v>150.98182700000001</v>
      </c>
      <c r="O1774">
        <f>INDEX('MEC - traffic congestion'!$M$145:$M$249,MATCH($D1774,'MEC - traffic congestion'!$C$145:$C$249,0))</f>
        <v>1</v>
      </c>
      <c r="P1774" t="str">
        <f t="shared" si="77"/>
        <v>2021AM PEAK</v>
      </c>
      <c r="Q1774">
        <f t="shared" si="78"/>
        <v>1</v>
      </c>
      <c r="R1774" s="195" t="str">
        <f t="shared" si="79"/>
        <v>2021LIGHT VEHICLES</v>
      </c>
    </row>
    <row r="1775" spans="3:18" x14ac:dyDescent="0.25">
      <c r="C1775" s="294" t="s">
        <v>883</v>
      </c>
      <c r="D1775" s="317" t="s">
        <v>728</v>
      </c>
      <c r="E1775" s="122" t="s">
        <v>884</v>
      </c>
      <c r="F1775" s="122" t="s">
        <v>885</v>
      </c>
      <c r="G1775" s="122" t="s">
        <v>785</v>
      </c>
      <c r="H1775" s="122" t="s">
        <v>777</v>
      </c>
      <c r="I1775" s="312">
        <v>2021</v>
      </c>
      <c r="J1775" s="122" t="s">
        <v>710</v>
      </c>
      <c r="K1775" s="283">
        <v>6327</v>
      </c>
      <c r="L1775" s="318">
        <v>-33.817974</v>
      </c>
      <c r="M1775" s="318">
        <v>150.98182700000001</v>
      </c>
      <c r="O1775">
        <f>INDEX('MEC - traffic congestion'!$M$145:$M$249,MATCH($D1775,'MEC - traffic congestion'!$C$145:$C$249,0))</f>
        <v>1</v>
      </c>
      <c r="P1775" t="str">
        <f t="shared" si="77"/>
        <v>2021OFF PEAK</v>
      </c>
      <c r="Q1775">
        <f t="shared" si="78"/>
        <v>1</v>
      </c>
      <c r="R1775" s="195" t="str">
        <f t="shared" si="79"/>
        <v>2021LIGHT VEHICLES</v>
      </c>
    </row>
    <row r="1776" spans="3:18" x14ac:dyDescent="0.25">
      <c r="C1776" s="294" t="s">
        <v>883</v>
      </c>
      <c r="D1776" s="317" t="s">
        <v>728</v>
      </c>
      <c r="E1776" s="122" t="s">
        <v>884</v>
      </c>
      <c r="F1776" s="122" t="s">
        <v>885</v>
      </c>
      <c r="G1776" s="122" t="s">
        <v>786</v>
      </c>
      <c r="H1776" s="122" t="s">
        <v>777</v>
      </c>
      <c r="I1776" s="312">
        <v>2021</v>
      </c>
      <c r="J1776" s="122" t="s">
        <v>710</v>
      </c>
      <c r="K1776" s="283">
        <v>6270</v>
      </c>
      <c r="L1776" s="318">
        <v>-33.817974</v>
      </c>
      <c r="M1776" s="318">
        <v>150.98182700000001</v>
      </c>
      <c r="O1776">
        <f>INDEX('MEC - traffic congestion'!$M$145:$M$249,MATCH($D1776,'MEC - traffic congestion'!$C$145:$C$249,0))</f>
        <v>1</v>
      </c>
      <c r="P1776" t="str">
        <f t="shared" si="77"/>
        <v>2021OFF PEAK</v>
      </c>
      <c r="Q1776">
        <f t="shared" si="78"/>
        <v>1</v>
      </c>
      <c r="R1776" s="195" t="str">
        <f t="shared" si="79"/>
        <v>2021LIGHT VEHICLES</v>
      </c>
    </row>
    <row r="1777" spans="3:18" x14ac:dyDescent="0.25">
      <c r="C1777" s="294" t="s">
        <v>883</v>
      </c>
      <c r="D1777" s="317" t="s">
        <v>728</v>
      </c>
      <c r="E1777" s="122" t="s">
        <v>884</v>
      </c>
      <c r="F1777" s="122" t="s">
        <v>885</v>
      </c>
      <c r="G1777" s="122" t="s">
        <v>785</v>
      </c>
      <c r="H1777" s="122" t="s">
        <v>777</v>
      </c>
      <c r="I1777" s="312">
        <v>2021</v>
      </c>
      <c r="J1777" s="122" t="s">
        <v>711</v>
      </c>
      <c r="K1777" s="283">
        <v>3319</v>
      </c>
      <c r="L1777" s="318">
        <v>-33.817974</v>
      </c>
      <c r="M1777" s="318">
        <v>150.98182700000001</v>
      </c>
      <c r="O1777">
        <f>INDEX('MEC - traffic congestion'!$M$145:$M$249,MATCH($D1777,'MEC - traffic congestion'!$C$145:$C$249,0))</f>
        <v>1</v>
      </c>
      <c r="P1777" t="str">
        <f t="shared" si="77"/>
        <v>2021PM PEAK</v>
      </c>
      <c r="Q1777">
        <f t="shared" si="78"/>
        <v>1</v>
      </c>
      <c r="R1777" s="195" t="str">
        <f t="shared" si="79"/>
        <v>2021LIGHT VEHICLES</v>
      </c>
    </row>
    <row r="1778" spans="3:18" x14ac:dyDescent="0.25">
      <c r="C1778" s="294" t="s">
        <v>883</v>
      </c>
      <c r="D1778" s="317" t="s">
        <v>728</v>
      </c>
      <c r="E1778" s="122" t="s">
        <v>884</v>
      </c>
      <c r="F1778" s="122" t="s">
        <v>885</v>
      </c>
      <c r="G1778" s="122" t="s">
        <v>786</v>
      </c>
      <c r="H1778" s="122" t="s">
        <v>777</v>
      </c>
      <c r="I1778" s="312">
        <v>2021</v>
      </c>
      <c r="J1778" s="122" t="s">
        <v>711</v>
      </c>
      <c r="K1778" s="283">
        <v>3562</v>
      </c>
      <c r="L1778" s="318">
        <v>-33.817974</v>
      </c>
      <c r="M1778" s="318">
        <v>150.98182700000001</v>
      </c>
      <c r="O1778">
        <f>INDEX('MEC - traffic congestion'!$M$145:$M$249,MATCH($D1778,'MEC - traffic congestion'!$C$145:$C$249,0))</f>
        <v>1</v>
      </c>
      <c r="P1778" t="str">
        <f t="shared" si="77"/>
        <v>2021PM PEAK</v>
      </c>
      <c r="Q1778">
        <f t="shared" si="78"/>
        <v>1</v>
      </c>
      <c r="R1778" s="195" t="str">
        <f t="shared" si="79"/>
        <v>2021LIGHT VEHICLES</v>
      </c>
    </row>
    <row r="1779" spans="3:18" x14ac:dyDescent="0.25">
      <c r="C1779" s="294" t="s">
        <v>883</v>
      </c>
      <c r="D1779" s="317" t="s">
        <v>728</v>
      </c>
      <c r="E1779" s="122" t="s">
        <v>884</v>
      </c>
      <c r="F1779" s="122" t="s">
        <v>885</v>
      </c>
      <c r="G1779" s="122" t="s">
        <v>785</v>
      </c>
      <c r="H1779" s="122" t="s">
        <v>777</v>
      </c>
      <c r="I1779" s="312">
        <v>2021</v>
      </c>
      <c r="J1779" s="122" t="s">
        <v>713</v>
      </c>
      <c r="K1779" s="283">
        <v>10913</v>
      </c>
      <c r="L1779" s="318">
        <v>-33.817974</v>
      </c>
      <c r="M1779" s="318">
        <v>150.98182700000001</v>
      </c>
      <c r="O1779">
        <f>INDEX('MEC - traffic congestion'!$M$145:$M$249,MATCH($D1779,'MEC - traffic congestion'!$C$145:$C$249,0))</f>
        <v>1</v>
      </c>
      <c r="P1779" t="str">
        <f t="shared" si="77"/>
        <v>2021WEEKENDS</v>
      </c>
      <c r="Q1779">
        <f t="shared" si="78"/>
        <v>1</v>
      </c>
      <c r="R1779" s="195" t="str">
        <f t="shared" si="79"/>
        <v>2021LIGHT VEHICLES</v>
      </c>
    </row>
    <row r="1780" spans="3:18" x14ac:dyDescent="0.25">
      <c r="C1780" s="294" t="s">
        <v>883</v>
      </c>
      <c r="D1780" s="317" t="s">
        <v>728</v>
      </c>
      <c r="E1780" s="122" t="s">
        <v>884</v>
      </c>
      <c r="F1780" s="122" t="s">
        <v>885</v>
      </c>
      <c r="G1780" s="122" t="s">
        <v>786</v>
      </c>
      <c r="H1780" s="122" t="s">
        <v>777</v>
      </c>
      <c r="I1780" s="312">
        <v>2021</v>
      </c>
      <c r="J1780" s="122" t="s">
        <v>713</v>
      </c>
      <c r="K1780" s="283">
        <v>10481</v>
      </c>
      <c r="L1780" s="318">
        <v>-33.817974</v>
      </c>
      <c r="M1780" s="318">
        <v>150.98182700000001</v>
      </c>
      <c r="O1780">
        <f>INDEX('MEC - traffic congestion'!$M$145:$M$249,MATCH($D1780,'MEC - traffic congestion'!$C$145:$C$249,0))</f>
        <v>1</v>
      </c>
      <c r="P1780" t="str">
        <f t="shared" si="77"/>
        <v>2021WEEKENDS</v>
      </c>
      <c r="Q1780">
        <f t="shared" si="78"/>
        <v>1</v>
      </c>
      <c r="R1780" s="195" t="str">
        <f t="shared" si="79"/>
        <v>2021LIGHT VEHICLES</v>
      </c>
    </row>
    <row r="1781" spans="3:18" x14ac:dyDescent="0.25">
      <c r="C1781" s="294" t="s">
        <v>883</v>
      </c>
      <c r="D1781" s="317" t="s">
        <v>728</v>
      </c>
      <c r="E1781" s="122" t="s">
        <v>884</v>
      </c>
      <c r="F1781" s="122" t="s">
        <v>885</v>
      </c>
      <c r="G1781" s="122" t="s">
        <v>785</v>
      </c>
      <c r="H1781" s="122" t="s">
        <v>777</v>
      </c>
      <c r="I1781" s="312">
        <v>2022</v>
      </c>
      <c r="J1781" s="122" t="s">
        <v>709</v>
      </c>
      <c r="K1781" s="283">
        <v>3608</v>
      </c>
      <c r="L1781" s="318">
        <v>-33.817974</v>
      </c>
      <c r="M1781" s="318">
        <v>150.98182700000001</v>
      </c>
      <c r="O1781">
        <f>INDEX('MEC - traffic congestion'!$M$145:$M$249,MATCH($D1781,'MEC - traffic congestion'!$C$145:$C$249,0))</f>
        <v>1</v>
      </c>
      <c r="P1781" t="str">
        <f t="shared" si="77"/>
        <v>2022AM PEAK</v>
      </c>
      <c r="Q1781">
        <f t="shared" si="78"/>
        <v>1</v>
      </c>
      <c r="R1781" s="195" t="str">
        <f t="shared" si="79"/>
        <v>2022LIGHT VEHICLES</v>
      </c>
    </row>
    <row r="1782" spans="3:18" x14ac:dyDescent="0.25">
      <c r="C1782" s="294" t="s">
        <v>883</v>
      </c>
      <c r="D1782" s="317" t="s">
        <v>728</v>
      </c>
      <c r="E1782" s="122" t="s">
        <v>884</v>
      </c>
      <c r="F1782" s="122" t="s">
        <v>885</v>
      </c>
      <c r="G1782" s="122" t="s">
        <v>786</v>
      </c>
      <c r="H1782" s="122" t="s">
        <v>777</v>
      </c>
      <c r="I1782" s="312">
        <v>2022</v>
      </c>
      <c r="J1782" s="122" t="s">
        <v>709</v>
      </c>
      <c r="K1782" s="283">
        <v>2047</v>
      </c>
      <c r="L1782" s="318">
        <v>-33.817974</v>
      </c>
      <c r="M1782" s="318">
        <v>150.98182700000001</v>
      </c>
      <c r="O1782">
        <f>INDEX('MEC - traffic congestion'!$M$145:$M$249,MATCH($D1782,'MEC - traffic congestion'!$C$145:$C$249,0))</f>
        <v>1</v>
      </c>
      <c r="P1782" t="str">
        <f t="shared" si="77"/>
        <v>2022AM PEAK</v>
      </c>
      <c r="Q1782">
        <f t="shared" si="78"/>
        <v>1</v>
      </c>
      <c r="R1782" s="195" t="str">
        <f t="shared" si="79"/>
        <v>2022LIGHT VEHICLES</v>
      </c>
    </row>
    <row r="1783" spans="3:18" x14ac:dyDescent="0.25">
      <c r="C1783" s="294" t="s">
        <v>883</v>
      </c>
      <c r="D1783" s="317" t="s">
        <v>728</v>
      </c>
      <c r="E1783" s="122" t="s">
        <v>884</v>
      </c>
      <c r="F1783" s="122" t="s">
        <v>885</v>
      </c>
      <c r="G1783" s="122" t="s">
        <v>785</v>
      </c>
      <c r="H1783" s="122" t="s">
        <v>777</v>
      </c>
      <c r="I1783" s="312">
        <v>2022</v>
      </c>
      <c r="J1783" s="122" t="s">
        <v>710</v>
      </c>
      <c r="K1783" s="283">
        <v>6754</v>
      </c>
      <c r="L1783" s="318">
        <v>-33.817974</v>
      </c>
      <c r="M1783" s="318">
        <v>150.98182700000001</v>
      </c>
      <c r="O1783">
        <f>INDEX('MEC - traffic congestion'!$M$145:$M$249,MATCH($D1783,'MEC - traffic congestion'!$C$145:$C$249,0))</f>
        <v>1</v>
      </c>
      <c r="P1783" t="str">
        <f t="shared" si="77"/>
        <v>2022OFF PEAK</v>
      </c>
      <c r="Q1783">
        <f t="shared" si="78"/>
        <v>1</v>
      </c>
      <c r="R1783" s="195" t="str">
        <f t="shared" si="79"/>
        <v>2022LIGHT VEHICLES</v>
      </c>
    </row>
    <row r="1784" spans="3:18" x14ac:dyDescent="0.25">
      <c r="C1784" s="294" t="s">
        <v>883</v>
      </c>
      <c r="D1784" s="317" t="s">
        <v>728</v>
      </c>
      <c r="E1784" s="122" t="s">
        <v>884</v>
      </c>
      <c r="F1784" s="122" t="s">
        <v>885</v>
      </c>
      <c r="G1784" s="122" t="s">
        <v>786</v>
      </c>
      <c r="H1784" s="122" t="s">
        <v>777</v>
      </c>
      <c r="I1784" s="312">
        <v>2022</v>
      </c>
      <c r="J1784" s="122" t="s">
        <v>710</v>
      </c>
      <c r="K1784" s="283">
        <v>7400</v>
      </c>
      <c r="L1784" s="318">
        <v>-33.817974</v>
      </c>
      <c r="M1784" s="318">
        <v>150.98182700000001</v>
      </c>
      <c r="O1784">
        <f>INDEX('MEC - traffic congestion'!$M$145:$M$249,MATCH($D1784,'MEC - traffic congestion'!$C$145:$C$249,0))</f>
        <v>1</v>
      </c>
      <c r="P1784" t="str">
        <f t="shared" si="77"/>
        <v>2022OFF PEAK</v>
      </c>
      <c r="Q1784">
        <f t="shared" si="78"/>
        <v>1</v>
      </c>
      <c r="R1784" s="195" t="str">
        <f t="shared" si="79"/>
        <v>2022LIGHT VEHICLES</v>
      </c>
    </row>
    <row r="1785" spans="3:18" x14ac:dyDescent="0.25">
      <c r="C1785" s="294" t="s">
        <v>883</v>
      </c>
      <c r="D1785" s="317" t="s">
        <v>728</v>
      </c>
      <c r="E1785" s="122" t="s">
        <v>884</v>
      </c>
      <c r="F1785" s="122" t="s">
        <v>885</v>
      </c>
      <c r="G1785" s="122" t="s">
        <v>785</v>
      </c>
      <c r="H1785" s="122" t="s">
        <v>777</v>
      </c>
      <c r="I1785" s="312">
        <v>2022</v>
      </c>
      <c r="J1785" s="122" t="s">
        <v>711</v>
      </c>
      <c r="K1785" s="283">
        <v>3505</v>
      </c>
      <c r="L1785" s="318">
        <v>-33.817974</v>
      </c>
      <c r="M1785" s="318">
        <v>150.98182700000001</v>
      </c>
      <c r="O1785">
        <f>INDEX('MEC - traffic congestion'!$M$145:$M$249,MATCH($D1785,'MEC - traffic congestion'!$C$145:$C$249,0))</f>
        <v>1</v>
      </c>
      <c r="P1785" t="str">
        <f t="shared" si="77"/>
        <v>2022PM PEAK</v>
      </c>
      <c r="Q1785">
        <f t="shared" si="78"/>
        <v>1</v>
      </c>
      <c r="R1785" s="195" t="str">
        <f t="shared" si="79"/>
        <v>2022LIGHT VEHICLES</v>
      </c>
    </row>
    <row r="1786" spans="3:18" x14ac:dyDescent="0.25">
      <c r="C1786" s="294" t="s">
        <v>883</v>
      </c>
      <c r="D1786" s="317" t="s">
        <v>728</v>
      </c>
      <c r="E1786" s="122" t="s">
        <v>884</v>
      </c>
      <c r="F1786" s="122" t="s">
        <v>885</v>
      </c>
      <c r="G1786" s="122" t="s">
        <v>786</v>
      </c>
      <c r="H1786" s="122" t="s">
        <v>777</v>
      </c>
      <c r="I1786" s="312">
        <v>2022</v>
      </c>
      <c r="J1786" s="122" t="s">
        <v>711</v>
      </c>
      <c r="K1786" s="283">
        <v>3820</v>
      </c>
      <c r="L1786" s="318">
        <v>-33.817974</v>
      </c>
      <c r="M1786" s="318">
        <v>150.98182700000001</v>
      </c>
      <c r="O1786">
        <f>INDEX('MEC - traffic congestion'!$M$145:$M$249,MATCH($D1786,'MEC - traffic congestion'!$C$145:$C$249,0))</f>
        <v>1</v>
      </c>
      <c r="P1786" t="str">
        <f t="shared" si="77"/>
        <v>2022PM PEAK</v>
      </c>
      <c r="Q1786">
        <f t="shared" si="78"/>
        <v>1</v>
      </c>
      <c r="R1786" s="195" t="str">
        <f t="shared" si="79"/>
        <v>2022LIGHT VEHICLES</v>
      </c>
    </row>
    <row r="1787" spans="3:18" x14ac:dyDescent="0.25">
      <c r="C1787" s="294" t="s">
        <v>883</v>
      </c>
      <c r="D1787" s="317" t="s">
        <v>728</v>
      </c>
      <c r="E1787" s="122" t="s">
        <v>884</v>
      </c>
      <c r="F1787" s="122" t="s">
        <v>885</v>
      </c>
      <c r="G1787" s="122" t="s">
        <v>785</v>
      </c>
      <c r="H1787" s="122" t="s">
        <v>777</v>
      </c>
      <c r="I1787" s="312">
        <v>2022</v>
      </c>
      <c r="J1787" s="122" t="s">
        <v>713</v>
      </c>
      <c r="K1787" s="283">
        <v>12281</v>
      </c>
      <c r="L1787" s="318">
        <v>-33.817974</v>
      </c>
      <c r="M1787" s="318">
        <v>150.98182700000001</v>
      </c>
      <c r="O1787">
        <f>INDEX('MEC - traffic congestion'!$M$145:$M$249,MATCH($D1787,'MEC - traffic congestion'!$C$145:$C$249,0))</f>
        <v>1</v>
      </c>
      <c r="P1787" t="str">
        <f t="shared" si="77"/>
        <v>2022WEEKENDS</v>
      </c>
      <c r="Q1787">
        <f t="shared" si="78"/>
        <v>1</v>
      </c>
      <c r="R1787" s="195" t="str">
        <f t="shared" si="79"/>
        <v>2022LIGHT VEHICLES</v>
      </c>
    </row>
    <row r="1788" spans="3:18" x14ac:dyDescent="0.25">
      <c r="C1788" s="294" t="s">
        <v>883</v>
      </c>
      <c r="D1788" s="317" t="s">
        <v>728</v>
      </c>
      <c r="E1788" s="122" t="s">
        <v>884</v>
      </c>
      <c r="F1788" s="122" t="s">
        <v>885</v>
      </c>
      <c r="G1788" s="122" t="s">
        <v>786</v>
      </c>
      <c r="H1788" s="122" t="s">
        <v>777</v>
      </c>
      <c r="I1788" s="312">
        <v>2022</v>
      </c>
      <c r="J1788" s="122" t="s">
        <v>713</v>
      </c>
      <c r="K1788" s="283">
        <v>12670</v>
      </c>
      <c r="L1788" s="318">
        <v>-33.817974</v>
      </c>
      <c r="M1788" s="318">
        <v>150.98182700000001</v>
      </c>
      <c r="O1788">
        <f>INDEX('MEC - traffic congestion'!$M$145:$M$249,MATCH($D1788,'MEC - traffic congestion'!$C$145:$C$249,0))</f>
        <v>1</v>
      </c>
      <c r="P1788" t="str">
        <f t="shared" si="77"/>
        <v>2022WEEKENDS</v>
      </c>
      <c r="Q1788">
        <f t="shared" si="78"/>
        <v>1</v>
      </c>
      <c r="R1788" s="195" t="str">
        <f t="shared" si="79"/>
        <v>2022LIGHT VEHICLES</v>
      </c>
    </row>
    <row r="1789" spans="3:18" x14ac:dyDescent="0.25">
      <c r="C1789" s="294" t="s">
        <v>883</v>
      </c>
      <c r="D1789" s="317" t="s">
        <v>728</v>
      </c>
      <c r="E1789" s="122" t="s">
        <v>884</v>
      </c>
      <c r="F1789" s="122" t="s">
        <v>885</v>
      </c>
      <c r="G1789" s="122" t="s">
        <v>785</v>
      </c>
      <c r="H1789" s="122" t="s">
        <v>777</v>
      </c>
      <c r="I1789" s="312">
        <v>2023</v>
      </c>
      <c r="J1789" s="122" t="s">
        <v>709</v>
      </c>
      <c r="K1789" s="283">
        <v>3833</v>
      </c>
      <c r="L1789" s="318">
        <v>-33.817974</v>
      </c>
      <c r="M1789" s="318">
        <v>150.98182700000001</v>
      </c>
      <c r="O1789">
        <f>INDEX('MEC - traffic congestion'!$M$145:$M$249,MATCH($D1789,'MEC - traffic congestion'!$C$145:$C$249,0))</f>
        <v>1</v>
      </c>
      <c r="P1789" t="str">
        <f t="shared" si="77"/>
        <v>2023AM PEAK</v>
      </c>
      <c r="Q1789">
        <f t="shared" si="78"/>
        <v>1</v>
      </c>
      <c r="R1789" s="195" t="str">
        <f t="shared" si="79"/>
        <v>2023LIGHT VEHICLES</v>
      </c>
    </row>
    <row r="1790" spans="3:18" x14ac:dyDescent="0.25">
      <c r="C1790" s="294" t="s">
        <v>883</v>
      </c>
      <c r="D1790" s="317" t="s">
        <v>728</v>
      </c>
      <c r="E1790" s="122" t="s">
        <v>884</v>
      </c>
      <c r="F1790" s="122" t="s">
        <v>885</v>
      </c>
      <c r="G1790" s="122" t="s">
        <v>786</v>
      </c>
      <c r="H1790" s="122" t="s">
        <v>777</v>
      </c>
      <c r="I1790" s="312">
        <v>2023</v>
      </c>
      <c r="J1790" s="122" t="s">
        <v>709</v>
      </c>
      <c r="K1790" s="283">
        <v>2126</v>
      </c>
      <c r="L1790" s="318">
        <v>-33.817974</v>
      </c>
      <c r="M1790" s="318">
        <v>150.98182700000001</v>
      </c>
      <c r="O1790">
        <f>INDEX('MEC - traffic congestion'!$M$145:$M$249,MATCH($D1790,'MEC - traffic congestion'!$C$145:$C$249,0))</f>
        <v>1</v>
      </c>
      <c r="P1790" t="str">
        <f t="shared" si="77"/>
        <v>2023AM PEAK</v>
      </c>
      <c r="Q1790">
        <f t="shared" si="78"/>
        <v>1</v>
      </c>
      <c r="R1790" s="195" t="str">
        <f t="shared" si="79"/>
        <v>2023LIGHT VEHICLES</v>
      </c>
    </row>
    <row r="1791" spans="3:18" x14ac:dyDescent="0.25">
      <c r="C1791" s="294" t="s">
        <v>883</v>
      </c>
      <c r="D1791" s="317" t="s">
        <v>728</v>
      </c>
      <c r="E1791" s="122" t="s">
        <v>884</v>
      </c>
      <c r="F1791" s="122" t="s">
        <v>885</v>
      </c>
      <c r="G1791" s="122" t="s">
        <v>785</v>
      </c>
      <c r="H1791" s="122" t="s">
        <v>777</v>
      </c>
      <c r="I1791" s="312">
        <v>2023</v>
      </c>
      <c r="J1791" s="122" t="s">
        <v>710</v>
      </c>
      <c r="K1791" s="283">
        <v>6942</v>
      </c>
      <c r="L1791" s="318">
        <v>-33.817974</v>
      </c>
      <c r="M1791" s="318">
        <v>150.98182700000001</v>
      </c>
      <c r="O1791">
        <f>INDEX('MEC - traffic congestion'!$M$145:$M$249,MATCH($D1791,'MEC - traffic congestion'!$C$145:$C$249,0))</f>
        <v>1</v>
      </c>
      <c r="P1791" t="str">
        <f t="shared" si="77"/>
        <v>2023OFF PEAK</v>
      </c>
      <c r="Q1791">
        <f t="shared" si="78"/>
        <v>1</v>
      </c>
      <c r="R1791" s="195" t="str">
        <f t="shared" si="79"/>
        <v>2023LIGHT VEHICLES</v>
      </c>
    </row>
    <row r="1792" spans="3:18" x14ac:dyDescent="0.25">
      <c r="C1792" s="294" t="s">
        <v>883</v>
      </c>
      <c r="D1792" s="317" t="s">
        <v>728</v>
      </c>
      <c r="E1792" s="122" t="s">
        <v>884</v>
      </c>
      <c r="F1792" s="122" t="s">
        <v>885</v>
      </c>
      <c r="G1792" s="122" t="s">
        <v>786</v>
      </c>
      <c r="H1792" s="122" t="s">
        <v>777</v>
      </c>
      <c r="I1792" s="312">
        <v>2023</v>
      </c>
      <c r="J1792" s="122" t="s">
        <v>710</v>
      </c>
      <c r="K1792" s="283">
        <v>7169</v>
      </c>
      <c r="L1792" s="318">
        <v>-33.817974</v>
      </c>
      <c r="M1792" s="318">
        <v>150.98182700000001</v>
      </c>
      <c r="O1792">
        <f>INDEX('MEC - traffic congestion'!$M$145:$M$249,MATCH($D1792,'MEC - traffic congestion'!$C$145:$C$249,0))</f>
        <v>1</v>
      </c>
      <c r="P1792" t="str">
        <f t="shared" si="77"/>
        <v>2023OFF PEAK</v>
      </c>
      <c r="Q1792">
        <f t="shared" si="78"/>
        <v>1</v>
      </c>
      <c r="R1792" s="195" t="str">
        <f t="shared" si="79"/>
        <v>2023LIGHT VEHICLES</v>
      </c>
    </row>
    <row r="1793" spans="3:18" x14ac:dyDescent="0.25">
      <c r="C1793" s="294" t="s">
        <v>883</v>
      </c>
      <c r="D1793" s="317" t="s">
        <v>728</v>
      </c>
      <c r="E1793" s="122" t="s">
        <v>884</v>
      </c>
      <c r="F1793" s="122" t="s">
        <v>885</v>
      </c>
      <c r="G1793" s="122" t="s">
        <v>785</v>
      </c>
      <c r="H1793" s="122" t="s">
        <v>777</v>
      </c>
      <c r="I1793" s="312">
        <v>2023</v>
      </c>
      <c r="J1793" s="122" t="s">
        <v>711</v>
      </c>
      <c r="K1793" s="283">
        <v>3700</v>
      </c>
      <c r="L1793" s="318">
        <v>-33.817974</v>
      </c>
      <c r="M1793" s="318">
        <v>150.98182700000001</v>
      </c>
      <c r="O1793">
        <f>INDEX('MEC - traffic congestion'!$M$145:$M$249,MATCH($D1793,'MEC - traffic congestion'!$C$145:$C$249,0))</f>
        <v>1</v>
      </c>
      <c r="P1793" t="str">
        <f t="shared" si="77"/>
        <v>2023PM PEAK</v>
      </c>
      <c r="Q1793">
        <f t="shared" si="78"/>
        <v>1</v>
      </c>
      <c r="R1793" s="195" t="str">
        <f t="shared" si="79"/>
        <v>2023LIGHT VEHICLES</v>
      </c>
    </row>
    <row r="1794" spans="3:18" x14ac:dyDescent="0.25">
      <c r="C1794" s="294" t="s">
        <v>883</v>
      </c>
      <c r="D1794" s="317" t="s">
        <v>728</v>
      </c>
      <c r="E1794" s="122" t="s">
        <v>884</v>
      </c>
      <c r="F1794" s="122" t="s">
        <v>885</v>
      </c>
      <c r="G1794" s="122" t="s">
        <v>786</v>
      </c>
      <c r="H1794" s="122" t="s">
        <v>777</v>
      </c>
      <c r="I1794" s="312">
        <v>2023</v>
      </c>
      <c r="J1794" s="122" t="s">
        <v>711</v>
      </c>
      <c r="K1794" s="283">
        <v>4144</v>
      </c>
      <c r="L1794" s="318">
        <v>-33.817974</v>
      </c>
      <c r="M1794" s="318">
        <v>150.98182700000001</v>
      </c>
      <c r="O1794">
        <f>INDEX('MEC - traffic congestion'!$M$145:$M$249,MATCH($D1794,'MEC - traffic congestion'!$C$145:$C$249,0))</f>
        <v>1</v>
      </c>
      <c r="P1794" t="str">
        <f t="shared" si="77"/>
        <v>2023PM PEAK</v>
      </c>
      <c r="Q1794">
        <f t="shared" si="78"/>
        <v>1</v>
      </c>
      <c r="R1794" s="195" t="str">
        <f t="shared" si="79"/>
        <v>2023LIGHT VEHICLES</v>
      </c>
    </row>
    <row r="1795" spans="3:18" x14ac:dyDescent="0.25">
      <c r="C1795" s="294" t="s">
        <v>883</v>
      </c>
      <c r="D1795" s="317" t="s">
        <v>728</v>
      </c>
      <c r="E1795" s="122" t="s">
        <v>884</v>
      </c>
      <c r="F1795" s="122" t="s">
        <v>885</v>
      </c>
      <c r="G1795" s="122" t="s">
        <v>785</v>
      </c>
      <c r="H1795" s="122" t="s">
        <v>777</v>
      </c>
      <c r="I1795" s="312">
        <v>2023</v>
      </c>
      <c r="J1795" s="122" t="s">
        <v>713</v>
      </c>
      <c r="K1795" s="283">
        <v>12933</v>
      </c>
      <c r="L1795" s="318">
        <v>-33.817974</v>
      </c>
      <c r="M1795" s="318">
        <v>150.98182700000001</v>
      </c>
      <c r="O1795">
        <f>INDEX('MEC - traffic congestion'!$M$145:$M$249,MATCH($D1795,'MEC - traffic congestion'!$C$145:$C$249,0))</f>
        <v>1</v>
      </c>
      <c r="P1795" t="str">
        <f t="shared" si="77"/>
        <v>2023WEEKENDS</v>
      </c>
      <c r="Q1795">
        <f t="shared" si="78"/>
        <v>1</v>
      </c>
      <c r="R1795" s="195" t="str">
        <f t="shared" si="79"/>
        <v>2023LIGHT VEHICLES</v>
      </c>
    </row>
    <row r="1796" spans="3:18" x14ac:dyDescent="0.25">
      <c r="C1796" s="294" t="s">
        <v>883</v>
      </c>
      <c r="D1796" s="317" t="s">
        <v>728</v>
      </c>
      <c r="E1796" s="122" t="s">
        <v>884</v>
      </c>
      <c r="F1796" s="122" t="s">
        <v>885</v>
      </c>
      <c r="G1796" s="122" t="s">
        <v>786</v>
      </c>
      <c r="H1796" s="122" t="s">
        <v>777</v>
      </c>
      <c r="I1796" s="312">
        <v>2023</v>
      </c>
      <c r="J1796" s="122" t="s">
        <v>713</v>
      </c>
      <c r="K1796" s="283">
        <v>13226</v>
      </c>
      <c r="L1796" s="318">
        <v>-33.817974</v>
      </c>
      <c r="M1796" s="318">
        <v>150.98182700000001</v>
      </c>
      <c r="O1796">
        <f>INDEX('MEC - traffic congestion'!$M$145:$M$249,MATCH($D1796,'MEC - traffic congestion'!$C$145:$C$249,0))</f>
        <v>1</v>
      </c>
      <c r="P1796" t="str">
        <f t="shared" si="77"/>
        <v>2023WEEKENDS</v>
      </c>
      <c r="Q1796">
        <f t="shared" si="78"/>
        <v>1</v>
      </c>
      <c r="R1796" s="195" t="str">
        <f t="shared" si="79"/>
        <v>2023LIGHT VEHICLES</v>
      </c>
    </row>
    <row r="1797" spans="3:18" x14ac:dyDescent="0.25">
      <c r="C1797" s="294" t="s">
        <v>883</v>
      </c>
      <c r="D1797" s="317" t="s">
        <v>728</v>
      </c>
      <c r="E1797" s="122" t="s">
        <v>884</v>
      </c>
      <c r="F1797" s="122" t="s">
        <v>885</v>
      </c>
      <c r="G1797" s="122" t="s">
        <v>785</v>
      </c>
      <c r="H1797" s="122" t="s">
        <v>777</v>
      </c>
      <c r="I1797" s="312">
        <v>2024</v>
      </c>
      <c r="J1797" s="122" t="s">
        <v>709</v>
      </c>
      <c r="K1797" s="283">
        <v>3519</v>
      </c>
      <c r="L1797" s="318">
        <v>-33.817974</v>
      </c>
      <c r="M1797" s="318">
        <v>150.98182700000001</v>
      </c>
      <c r="O1797">
        <f>INDEX('MEC - traffic congestion'!$M$145:$M$249,MATCH($D1797,'MEC - traffic congestion'!$C$145:$C$249,0))</f>
        <v>1</v>
      </c>
      <c r="P1797" t="str">
        <f t="shared" si="77"/>
        <v>2024AM PEAK</v>
      </c>
      <c r="Q1797">
        <f t="shared" si="78"/>
        <v>1</v>
      </c>
      <c r="R1797" s="195" t="str">
        <f t="shared" si="79"/>
        <v>2024LIGHT VEHICLES</v>
      </c>
    </row>
    <row r="1798" spans="3:18" x14ac:dyDescent="0.25">
      <c r="C1798" s="294" t="s">
        <v>883</v>
      </c>
      <c r="D1798" s="317" t="s">
        <v>728</v>
      </c>
      <c r="E1798" s="122" t="s">
        <v>884</v>
      </c>
      <c r="F1798" s="122" t="s">
        <v>885</v>
      </c>
      <c r="G1798" s="122" t="s">
        <v>786</v>
      </c>
      <c r="H1798" s="122" t="s">
        <v>777</v>
      </c>
      <c r="I1798" s="312">
        <v>2024</v>
      </c>
      <c r="J1798" s="122" t="s">
        <v>709</v>
      </c>
      <c r="K1798" s="283">
        <v>1999</v>
      </c>
      <c r="L1798" s="318">
        <v>-33.817974</v>
      </c>
      <c r="M1798" s="318">
        <v>150.98182700000001</v>
      </c>
      <c r="O1798">
        <f>INDEX('MEC - traffic congestion'!$M$145:$M$249,MATCH($D1798,'MEC - traffic congestion'!$C$145:$C$249,0))</f>
        <v>1</v>
      </c>
      <c r="P1798" t="str">
        <f t="shared" si="77"/>
        <v>2024AM PEAK</v>
      </c>
      <c r="Q1798">
        <f t="shared" si="78"/>
        <v>1</v>
      </c>
      <c r="R1798" s="195" t="str">
        <f t="shared" si="79"/>
        <v>2024LIGHT VEHICLES</v>
      </c>
    </row>
    <row r="1799" spans="3:18" x14ac:dyDescent="0.25">
      <c r="C1799" s="294" t="s">
        <v>883</v>
      </c>
      <c r="D1799" s="317" t="s">
        <v>728</v>
      </c>
      <c r="E1799" s="122" t="s">
        <v>884</v>
      </c>
      <c r="F1799" s="122" t="s">
        <v>885</v>
      </c>
      <c r="G1799" s="122" t="s">
        <v>785</v>
      </c>
      <c r="H1799" s="122" t="s">
        <v>777</v>
      </c>
      <c r="I1799" s="312">
        <v>2024</v>
      </c>
      <c r="J1799" s="122" t="s">
        <v>710</v>
      </c>
      <c r="K1799" s="283">
        <v>6916</v>
      </c>
      <c r="L1799" s="318">
        <v>-33.817974</v>
      </c>
      <c r="M1799" s="318">
        <v>150.98182700000001</v>
      </c>
      <c r="O1799">
        <f>INDEX('MEC - traffic congestion'!$M$145:$M$249,MATCH($D1799,'MEC - traffic congestion'!$C$145:$C$249,0))</f>
        <v>1</v>
      </c>
      <c r="P1799" t="str">
        <f t="shared" si="77"/>
        <v>2024OFF PEAK</v>
      </c>
      <c r="Q1799">
        <f t="shared" si="78"/>
        <v>1</v>
      </c>
      <c r="R1799" s="195" t="str">
        <f t="shared" si="79"/>
        <v>2024LIGHT VEHICLES</v>
      </c>
    </row>
    <row r="1800" spans="3:18" x14ac:dyDescent="0.25">
      <c r="C1800" s="294" t="s">
        <v>883</v>
      </c>
      <c r="D1800" s="317" t="s">
        <v>728</v>
      </c>
      <c r="E1800" s="122" t="s">
        <v>884</v>
      </c>
      <c r="F1800" s="122" t="s">
        <v>885</v>
      </c>
      <c r="G1800" s="122" t="s">
        <v>786</v>
      </c>
      <c r="H1800" s="122" t="s">
        <v>777</v>
      </c>
      <c r="I1800" s="312">
        <v>2024</v>
      </c>
      <c r="J1800" s="122" t="s">
        <v>710</v>
      </c>
      <c r="K1800" s="283">
        <v>7050</v>
      </c>
      <c r="L1800" s="318">
        <v>-33.817974</v>
      </c>
      <c r="M1800" s="318">
        <v>150.98182700000001</v>
      </c>
      <c r="O1800">
        <f>INDEX('MEC - traffic congestion'!$M$145:$M$249,MATCH($D1800,'MEC - traffic congestion'!$C$145:$C$249,0))</f>
        <v>1</v>
      </c>
      <c r="P1800" t="str">
        <f t="shared" si="77"/>
        <v>2024OFF PEAK</v>
      </c>
      <c r="Q1800">
        <f t="shared" si="78"/>
        <v>1</v>
      </c>
      <c r="R1800" s="195" t="str">
        <f t="shared" si="79"/>
        <v>2024LIGHT VEHICLES</v>
      </c>
    </row>
    <row r="1801" spans="3:18" x14ac:dyDescent="0.25">
      <c r="C1801" s="294" t="s">
        <v>883</v>
      </c>
      <c r="D1801" s="317" t="s">
        <v>728</v>
      </c>
      <c r="E1801" s="122" t="s">
        <v>884</v>
      </c>
      <c r="F1801" s="122" t="s">
        <v>885</v>
      </c>
      <c r="G1801" s="122" t="s">
        <v>785</v>
      </c>
      <c r="H1801" s="122" t="s">
        <v>777</v>
      </c>
      <c r="I1801" s="312">
        <v>2024</v>
      </c>
      <c r="J1801" s="122" t="s">
        <v>711</v>
      </c>
      <c r="K1801" s="283">
        <v>3539</v>
      </c>
      <c r="L1801" s="318">
        <v>-33.817974</v>
      </c>
      <c r="M1801" s="318">
        <v>150.98182700000001</v>
      </c>
      <c r="O1801">
        <f>INDEX('MEC - traffic congestion'!$M$145:$M$249,MATCH($D1801,'MEC - traffic congestion'!$C$145:$C$249,0))</f>
        <v>1</v>
      </c>
      <c r="P1801" t="str">
        <f t="shared" si="77"/>
        <v>2024PM PEAK</v>
      </c>
      <c r="Q1801">
        <f t="shared" si="78"/>
        <v>1</v>
      </c>
      <c r="R1801" s="195" t="str">
        <f t="shared" si="79"/>
        <v>2024LIGHT VEHICLES</v>
      </c>
    </row>
    <row r="1802" spans="3:18" x14ac:dyDescent="0.25">
      <c r="C1802" s="294" t="s">
        <v>883</v>
      </c>
      <c r="D1802" s="317" t="s">
        <v>728</v>
      </c>
      <c r="E1802" s="122" t="s">
        <v>884</v>
      </c>
      <c r="F1802" s="122" t="s">
        <v>885</v>
      </c>
      <c r="G1802" s="122" t="s">
        <v>786</v>
      </c>
      <c r="H1802" s="122" t="s">
        <v>777</v>
      </c>
      <c r="I1802" s="312">
        <v>2024</v>
      </c>
      <c r="J1802" s="122" t="s">
        <v>711</v>
      </c>
      <c r="K1802" s="283">
        <v>3816</v>
      </c>
      <c r="L1802" s="318">
        <v>-33.817974</v>
      </c>
      <c r="M1802" s="318">
        <v>150.98182700000001</v>
      </c>
      <c r="O1802">
        <f>INDEX('MEC - traffic congestion'!$M$145:$M$249,MATCH($D1802,'MEC - traffic congestion'!$C$145:$C$249,0))</f>
        <v>1</v>
      </c>
      <c r="P1802" t="str">
        <f t="shared" si="77"/>
        <v>2024PM PEAK</v>
      </c>
      <c r="Q1802">
        <f t="shared" si="78"/>
        <v>1</v>
      </c>
      <c r="R1802" s="195" t="str">
        <f t="shared" si="79"/>
        <v>2024LIGHT VEHICLES</v>
      </c>
    </row>
    <row r="1803" spans="3:18" x14ac:dyDescent="0.25">
      <c r="C1803" s="294" t="s">
        <v>883</v>
      </c>
      <c r="D1803" s="317" t="s">
        <v>728</v>
      </c>
      <c r="E1803" s="122" t="s">
        <v>884</v>
      </c>
      <c r="F1803" s="122" t="s">
        <v>885</v>
      </c>
      <c r="G1803" s="122" t="s">
        <v>785</v>
      </c>
      <c r="H1803" s="122" t="s">
        <v>777</v>
      </c>
      <c r="I1803" s="312">
        <v>2024</v>
      </c>
      <c r="J1803" s="122" t="s">
        <v>713</v>
      </c>
      <c r="K1803" s="283">
        <v>12992</v>
      </c>
      <c r="L1803" s="318">
        <v>-33.817974</v>
      </c>
      <c r="M1803" s="318">
        <v>150.98182700000001</v>
      </c>
      <c r="O1803">
        <f>INDEX('MEC - traffic congestion'!$M$145:$M$249,MATCH($D1803,'MEC - traffic congestion'!$C$145:$C$249,0))</f>
        <v>1</v>
      </c>
      <c r="P1803" t="str">
        <f t="shared" si="77"/>
        <v>2024WEEKENDS</v>
      </c>
      <c r="Q1803">
        <f t="shared" si="78"/>
        <v>1</v>
      </c>
      <c r="R1803" s="195" t="str">
        <f t="shared" si="79"/>
        <v>2024LIGHT VEHICLES</v>
      </c>
    </row>
    <row r="1804" spans="3:18" x14ac:dyDescent="0.25">
      <c r="C1804" s="294" t="s">
        <v>883</v>
      </c>
      <c r="D1804" s="317" t="s">
        <v>728</v>
      </c>
      <c r="E1804" s="122" t="s">
        <v>884</v>
      </c>
      <c r="F1804" s="122" t="s">
        <v>885</v>
      </c>
      <c r="G1804" s="122" t="s">
        <v>786</v>
      </c>
      <c r="H1804" s="122" t="s">
        <v>777</v>
      </c>
      <c r="I1804" s="312">
        <v>2024</v>
      </c>
      <c r="J1804" s="122" t="s">
        <v>713</v>
      </c>
      <c r="K1804" s="283">
        <v>13244</v>
      </c>
      <c r="L1804" s="318">
        <v>-33.817974</v>
      </c>
      <c r="M1804" s="318">
        <v>150.98182700000001</v>
      </c>
      <c r="O1804">
        <f>INDEX('MEC - traffic congestion'!$M$145:$M$249,MATCH($D1804,'MEC - traffic congestion'!$C$145:$C$249,0))</f>
        <v>1</v>
      </c>
      <c r="P1804" t="str">
        <f t="shared" si="77"/>
        <v>2024WEEKENDS</v>
      </c>
      <c r="Q1804">
        <f t="shared" si="78"/>
        <v>1</v>
      </c>
      <c r="R1804" s="195" t="str">
        <f t="shared" si="79"/>
        <v>2024LIGHT VEHICLES</v>
      </c>
    </row>
    <row r="1805" spans="3:18" x14ac:dyDescent="0.25">
      <c r="C1805" s="294" t="s">
        <v>886</v>
      </c>
      <c r="D1805" s="317">
        <v>7120</v>
      </c>
      <c r="E1805" s="122" t="s">
        <v>887</v>
      </c>
      <c r="F1805" s="122" t="s">
        <v>888</v>
      </c>
      <c r="G1805" s="122" t="s">
        <v>776</v>
      </c>
      <c r="H1805" s="122" t="s">
        <v>777</v>
      </c>
      <c r="I1805" s="312">
        <v>2018</v>
      </c>
      <c r="J1805" s="122" t="s">
        <v>709</v>
      </c>
      <c r="K1805" s="283">
        <v>2900</v>
      </c>
      <c r="L1805" s="318">
        <v>-33.886310999999999</v>
      </c>
      <c r="M1805" s="318">
        <v>151.21791099999999</v>
      </c>
      <c r="O1805">
        <f>INDEX('MEC - traffic congestion'!$M$145:$M$249,MATCH($D1805,'MEC - traffic congestion'!$C$145:$C$249,0))</f>
        <v>1</v>
      </c>
      <c r="P1805" t="str">
        <f t="shared" si="77"/>
        <v>2018AM PEAK</v>
      </c>
      <c r="Q1805">
        <f t="shared" si="78"/>
        <v>1</v>
      </c>
      <c r="R1805" s="195" t="str">
        <f t="shared" si="79"/>
        <v>2018LIGHT VEHICLES</v>
      </c>
    </row>
    <row r="1806" spans="3:18" x14ac:dyDescent="0.25">
      <c r="C1806" s="294" t="s">
        <v>886</v>
      </c>
      <c r="D1806" s="317">
        <v>7120</v>
      </c>
      <c r="E1806" s="122" t="s">
        <v>887</v>
      </c>
      <c r="F1806" s="122" t="s">
        <v>888</v>
      </c>
      <c r="G1806" s="122" t="s">
        <v>776</v>
      </c>
      <c r="H1806" s="122" t="s">
        <v>777</v>
      </c>
      <c r="I1806" s="312">
        <v>2018</v>
      </c>
      <c r="J1806" s="122" t="s">
        <v>710</v>
      </c>
      <c r="K1806" s="283">
        <v>7549</v>
      </c>
      <c r="L1806" s="318">
        <v>-33.886310999999999</v>
      </c>
      <c r="M1806" s="318">
        <v>151.21791099999999</v>
      </c>
      <c r="O1806">
        <f>INDEX('MEC - traffic congestion'!$M$145:$M$249,MATCH($D1806,'MEC - traffic congestion'!$C$145:$C$249,0))</f>
        <v>1</v>
      </c>
      <c r="P1806" t="str">
        <f t="shared" si="77"/>
        <v>2018OFF PEAK</v>
      </c>
      <c r="Q1806">
        <f t="shared" si="78"/>
        <v>1</v>
      </c>
      <c r="R1806" s="195" t="str">
        <f t="shared" si="79"/>
        <v>2018LIGHT VEHICLES</v>
      </c>
    </row>
    <row r="1807" spans="3:18" x14ac:dyDescent="0.25">
      <c r="C1807" s="294" t="s">
        <v>886</v>
      </c>
      <c r="D1807" s="317">
        <v>7120</v>
      </c>
      <c r="E1807" s="122" t="s">
        <v>887</v>
      </c>
      <c r="F1807" s="122" t="s">
        <v>888</v>
      </c>
      <c r="G1807" s="122" t="s">
        <v>776</v>
      </c>
      <c r="H1807" s="122" t="s">
        <v>777</v>
      </c>
      <c r="I1807" s="312">
        <v>2018</v>
      </c>
      <c r="J1807" s="122" t="s">
        <v>711</v>
      </c>
      <c r="K1807" s="283">
        <v>2900</v>
      </c>
      <c r="L1807" s="318">
        <v>-33.886310999999999</v>
      </c>
      <c r="M1807" s="318">
        <v>151.21791099999999</v>
      </c>
      <c r="O1807">
        <f>INDEX('MEC - traffic congestion'!$M$145:$M$249,MATCH($D1807,'MEC - traffic congestion'!$C$145:$C$249,0))</f>
        <v>1</v>
      </c>
      <c r="P1807" t="str">
        <f t="shared" si="77"/>
        <v>2018PM PEAK</v>
      </c>
      <c r="Q1807">
        <f t="shared" si="78"/>
        <v>1</v>
      </c>
      <c r="R1807" s="195" t="str">
        <f t="shared" si="79"/>
        <v>2018LIGHT VEHICLES</v>
      </c>
    </row>
    <row r="1808" spans="3:18" x14ac:dyDescent="0.25">
      <c r="C1808" s="294" t="s">
        <v>886</v>
      </c>
      <c r="D1808" s="317">
        <v>7120</v>
      </c>
      <c r="E1808" s="122" t="s">
        <v>887</v>
      </c>
      <c r="F1808" s="122" t="s">
        <v>888</v>
      </c>
      <c r="G1808" s="122" t="s">
        <v>776</v>
      </c>
      <c r="H1808" s="122" t="s">
        <v>777</v>
      </c>
      <c r="I1808" s="312">
        <v>2018</v>
      </c>
      <c r="J1808" s="122" t="s">
        <v>712</v>
      </c>
      <c r="K1808" s="283">
        <v>11812</v>
      </c>
      <c r="L1808" s="318">
        <v>-33.886310999999999</v>
      </c>
      <c r="M1808" s="318">
        <v>151.21791099999999</v>
      </c>
      <c r="O1808">
        <f>INDEX('MEC - traffic congestion'!$M$145:$M$249,MATCH($D1808,'MEC - traffic congestion'!$C$145:$C$249,0))</f>
        <v>1</v>
      </c>
      <c r="P1808" t="str">
        <f t="shared" si="77"/>
        <v>2018PUBLIC HOLIDAYS</v>
      </c>
      <c r="Q1808">
        <f t="shared" si="78"/>
        <v>1</v>
      </c>
      <c r="R1808" s="195" t="str">
        <f t="shared" si="79"/>
        <v>2018LIGHT VEHICLES</v>
      </c>
    </row>
    <row r="1809" spans="3:18" x14ac:dyDescent="0.25">
      <c r="C1809" s="294" t="s">
        <v>886</v>
      </c>
      <c r="D1809" s="317">
        <v>7120</v>
      </c>
      <c r="E1809" s="122" t="s">
        <v>887</v>
      </c>
      <c r="F1809" s="122" t="s">
        <v>888</v>
      </c>
      <c r="G1809" s="122" t="s">
        <v>776</v>
      </c>
      <c r="H1809" s="122" t="s">
        <v>777</v>
      </c>
      <c r="I1809" s="312">
        <v>2018</v>
      </c>
      <c r="J1809" s="122" t="s">
        <v>713</v>
      </c>
      <c r="K1809" s="283">
        <v>14289</v>
      </c>
      <c r="L1809" s="318">
        <v>-33.886310999999999</v>
      </c>
      <c r="M1809" s="318">
        <v>151.21791099999999</v>
      </c>
      <c r="O1809">
        <f>INDEX('MEC - traffic congestion'!$M$145:$M$249,MATCH($D1809,'MEC - traffic congestion'!$C$145:$C$249,0))</f>
        <v>1</v>
      </c>
      <c r="P1809" t="str">
        <f t="shared" si="77"/>
        <v>2018WEEKENDS</v>
      </c>
      <c r="Q1809">
        <f t="shared" si="78"/>
        <v>1</v>
      </c>
      <c r="R1809" s="195" t="str">
        <f t="shared" si="79"/>
        <v>2018LIGHT VEHICLES</v>
      </c>
    </row>
    <row r="1810" spans="3:18" x14ac:dyDescent="0.25">
      <c r="C1810" s="294" t="s">
        <v>886</v>
      </c>
      <c r="D1810" s="317">
        <v>7120</v>
      </c>
      <c r="E1810" s="122" t="s">
        <v>887</v>
      </c>
      <c r="F1810" s="122" t="s">
        <v>888</v>
      </c>
      <c r="G1810" s="122" t="s">
        <v>776</v>
      </c>
      <c r="H1810" s="122" t="s">
        <v>777</v>
      </c>
      <c r="I1810" s="312">
        <v>2019</v>
      </c>
      <c r="J1810" s="122" t="s">
        <v>709</v>
      </c>
      <c r="K1810" s="283">
        <v>2900</v>
      </c>
      <c r="L1810" s="318">
        <v>-33.886310999999999</v>
      </c>
      <c r="M1810" s="318">
        <v>151.21791099999999</v>
      </c>
      <c r="O1810">
        <f>INDEX('MEC - traffic congestion'!$M$145:$M$249,MATCH($D1810,'MEC - traffic congestion'!$C$145:$C$249,0))</f>
        <v>1</v>
      </c>
      <c r="P1810" t="str">
        <f t="shared" si="77"/>
        <v>2019AM PEAK</v>
      </c>
      <c r="Q1810">
        <f t="shared" si="78"/>
        <v>1</v>
      </c>
      <c r="R1810" s="195" t="str">
        <f t="shared" si="79"/>
        <v>2019LIGHT VEHICLES</v>
      </c>
    </row>
    <row r="1811" spans="3:18" x14ac:dyDescent="0.25">
      <c r="C1811" s="294" t="s">
        <v>886</v>
      </c>
      <c r="D1811" s="317">
        <v>7120</v>
      </c>
      <c r="E1811" s="122" t="s">
        <v>887</v>
      </c>
      <c r="F1811" s="122" t="s">
        <v>888</v>
      </c>
      <c r="G1811" s="122" t="s">
        <v>776</v>
      </c>
      <c r="H1811" s="122" t="s">
        <v>777</v>
      </c>
      <c r="I1811" s="312">
        <v>2019</v>
      </c>
      <c r="J1811" s="122" t="s">
        <v>710</v>
      </c>
      <c r="K1811" s="283">
        <v>7657</v>
      </c>
      <c r="L1811" s="318">
        <v>-33.886310999999999</v>
      </c>
      <c r="M1811" s="318">
        <v>151.21791099999999</v>
      </c>
      <c r="O1811">
        <f>INDEX('MEC - traffic congestion'!$M$145:$M$249,MATCH($D1811,'MEC - traffic congestion'!$C$145:$C$249,0))</f>
        <v>1</v>
      </c>
      <c r="P1811" t="str">
        <f t="shared" si="77"/>
        <v>2019OFF PEAK</v>
      </c>
      <c r="Q1811">
        <f t="shared" si="78"/>
        <v>1</v>
      </c>
      <c r="R1811" s="195" t="str">
        <f t="shared" si="79"/>
        <v>2019LIGHT VEHICLES</v>
      </c>
    </row>
    <row r="1812" spans="3:18" x14ac:dyDescent="0.25">
      <c r="C1812" s="294" t="s">
        <v>886</v>
      </c>
      <c r="D1812" s="317">
        <v>7120</v>
      </c>
      <c r="E1812" s="122" t="s">
        <v>887</v>
      </c>
      <c r="F1812" s="122" t="s">
        <v>888</v>
      </c>
      <c r="G1812" s="122" t="s">
        <v>776</v>
      </c>
      <c r="H1812" s="122" t="s">
        <v>777</v>
      </c>
      <c r="I1812" s="312">
        <v>2019</v>
      </c>
      <c r="J1812" s="122" t="s">
        <v>711</v>
      </c>
      <c r="K1812" s="283">
        <v>2869</v>
      </c>
      <c r="L1812" s="318">
        <v>-33.886310999999999</v>
      </c>
      <c r="M1812" s="318">
        <v>151.21791099999999</v>
      </c>
      <c r="O1812">
        <f>INDEX('MEC - traffic congestion'!$M$145:$M$249,MATCH($D1812,'MEC - traffic congestion'!$C$145:$C$249,0))</f>
        <v>1</v>
      </c>
      <c r="P1812" t="str">
        <f t="shared" si="77"/>
        <v>2019PM PEAK</v>
      </c>
      <c r="Q1812">
        <f t="shared" si="78"/>
        <v>1</v>
      </c>
      <c r="R1812" s="195" t="str">
        <f t="shared" si="79"/>
        <v>2019LIGHT VEHICLES</v>
      </c>
    </row>
    <row r="1813" spans="3:18" x14ac:dyDescent="0.25">
      <c r="C1813" s="294" t="s">
        <v>886</v>
      </c>
      <c r="D1813" s="317">
        <v>7120</v>
      </c>
      <c r="E1813" s="122" t="s">
        <v>887</v>
      </c>
      <c r="F1813" s="122" t="s">
        <v>888</v>
      </c>
      <c r="G1813" s="122" t="s">
        <v>776</v>
      </c>
      <c r="H1813" s="122" t="s">
        <v>777</v>
      </c>
      <c r="I1813" s="312">
        <v>2019</v>
      </c>
      <c r="J1813" s="122" t="s">
        <v>712</v>
      </c>
      <c r="K1813" s="283">
        <v>12620</v>
      </c>
      <c r="L1813" s="318">
        <v>-33.886310999999999</v>
      </c>
      <c r="M1813" s="318">
        <v>151.21791099999999</v>
      </c>
      <c r="O1813">
        <f>INDEX('MEC - traffic congestion'!$M$145:$M$249,MATCH($D1813,'MEC - traffic congestion'!$C$145:$C$249,0))</f>
        <v>1</v>
      </c>
      <c r="P1813" t="str">
        <f t="shared" ref="P1813:P1876" si="80">IF($O1813=1,$I1813&amp;$J1813,"")</f>
        <v>2019PUBLIC HOLIDAYS</v>
      </c>
      <c r="Q1813">
        <f t="shared" ref="Q1813:Q1876" si="81">IF(AND($M1813&gt;150.246,AND($L1813&gt;-34.397,$L1813&lt;-32.662)),1,0)</f>
        <v>1</v>
      </c>
      <c r="R1813" s="195" t="str">
        <f t="shared" ref="R1813:R1876" si="82">IF($O1813=1,$I1813&amp;$H1813,"")</f>
        <v>2019LIGHT VEHICLES</v>
      </c>
    </row>
    <row r="1814" spans="3:18" x14ac:dyDescent="0.25">
      <c r="C1814" s="294" t="s">
        <v>886</v>
      </c>
      <c r="D1814" s="317">
        <v>7120</v>
      </c>
      <c r="E1814" s="122" t="s">
        <v>887</v>
      </c>
      <c r="F1814" s="122" t="s">
        <v>888</v>
      </c>
      <c r="G1814" s="122" t="s">
        <v>776</v>
      </c>
      <c r="H1814" s="122" t="s">
        <v>777</v>
      </c>
      <c r="I1814" s="312">
        <v>2019</v>
      </c>
      <c r="J1814" s="122" t="s">
        <v>713</v>
      </c>
      <c r="K1814" s="283">
        <v>14386</v>
      </c>
      <c r="L1814" s="318">
        <v>-33.886310999999999</v>
      </c>
      <c r="M1814" s="318">
        <v>151.21791099999999</v>
      </c>
      <c r="O1814">
        <f>INDEX('MEC - traffic congestion'!$M$145:$M$249,MATCH($D1814,'MEC - traffic congestion'!$C$145:$C$249,0))</f>
        <v>1</v>
      </c>
      <c r="P1814" t="str">
        <f t="shared" si="80"/>
        <v>2019WEEKENDS</v>
      </c>
      <c r="Q1814">
        <f t="shared" si="81"/>
        <v>1</v>
      </c>
      <c r="R1814" s="195" t="str">
        <f t="shared" si="82"/>
        <v>2019LIGHT VEHICLES</v>
      </c>
    </row>
    <row r="1815" spans="3:18" x14ac:dyDescent="0.25">
      <c r="C1815" s="294" t="s">
        <v>886</v>
      </c>
      <c r="D1815" s="317">
        <v>7120</v>
      </c>
      <c r="E1815" s="122" t="s">
        <v>887</v>
      </c>
      <c r="F1815" s="122" t="s">
        <v>888</v>
      </c>
      <c r="G1815" s="122" t="s">
        <v>776</v>
      </c>
      <c r="H1815" s="122" t="s">
        <v>777</v>
      </c>
      <c r="I1815" s="312">
        <v>2020</v>
      </c>
      <c r="J1815" s="122" t="s">
        <v>709</v>
      </c>
      <c r="K1815" s="283">
        <v>3067</v>
      </c>
      <c r="L1815" s="318">
        <v>-33.886310999999999</v>
      </c>
      <c r="M1815" s="318">
        <v>151.21791099999999</v>
      </c>
      <c r="O1815">
        <f>INDEX('MEC - traffic congestion'!$M$145:$M$249,MATCH($D1815,'MEC - traffic congestion'!$C$145:$C$249,0))</f>
        <v>1</v>
      </c>
      <c r="P1815" t="str">
        <f t="shared" si="80"/>
        <v>2020AM PEAK</v>
      </c>
      <c r="Q1815">
        <f t="shared" si="81"/>
        <v>1</v>
      </c>
      <c r="R1815" s="195" t="str">
        <f t="shared" si="82"/>
        <v>2020LIGHT VEHICLES</v>
      </c>
    </row>
    <row r="1816" spans="3:18" x14ac:dyDescent="0.25">
      <c r="C1816" s="294" t="s">
        <v>886</v>
      </c>
      <c r="D1816" s="317">
        <v>7120</v>
      </c>
      <c r="E1816" s="122" t="s">
        <v>887</v>
      </c>
      <c r="F1816" s="122" t="s">
        <v>888</v>
      </c>
      <c r="G1816" s="122" t="s">
        <v>776</v>
      </c>
      <c r="H1816" s="122" t="s">
        <v>777</v>
      </c>
      <c r="I1816" s="312">
        <v>2020</v>
      </c>
      <c r="J1816" s="122" t="s">
        <v>710</v>
      </c>
      <c r="K1816" s="283">
        <v>6488</v>
      </c>
      <c r="L1816" s="318">
        <v>-33.886310999999999</v>
      </c>
      <c r="M1816" s="318">
        <v>151.21791099999999</v>
      </c>
      <c r="O1816">
        <f>INDEX('MEC - traffic congestion'!$M$145:$M$249,MATCH($D1816,'MEC - traffic congestion'!$C$145:$C$249,0))</f>
        <v>1</v>
      </c>
      <c r="P1816" t="str">
        <f t="shared" si="80"/>
        <v>2020OFF PEAK</v>
      </c>
      <c r="Q1816">
        <f t="shared" si="81"/>
        <v>1</v>
      </c>
      <c r="R1816" s="195" t="str">
        <f t="shared" si="82"/>
        <v>2020LIGHT VEHICLES</v>
      </c>
    </row>
    <row r="1817" spans="3:18" x14ac:dyDescent="0.25">
      <c r="C1817" s="294" t="s">
        <v>886</v>
      </c>
      <c r="D1817" s="317">
        <v>7120</v>
      </c>
      <c r="E1817" s="122" t="s">
        <v>887</v>
      </c>
      <c r="F1817" s="122" t="s">
        <v>888</v>
      </c>
      <c r="G1817" s="122" t="s">
        <v>776</v>
      </c>
      <c r="H1817" s="122" t="s">
        <v>777</v>
      </c>
      <c r="I1817" s="312">
        <v>2020</v>
      </c>
      <c r="J1817" s="122" t="s">
        <v>711</v>
      </c>
      <c r="K1817" s="283">
        <v>2766</v>
      </c>
      <c r="L1817" s="318">
        <v>-33.886310999999999</v>
      </c>
      <c r="M1817" s="318">
        <v>151.21791099999999</v>
      </c>
      <c r="O1817">
        <f>INDEX('MEC - traffic congestion'!$M$145:$M$249,MATCH($D1817,'MEC - traffic congestion'!$C$145:$C$249,0))</f>
        <v>1</v>
      </c>
      <c r="P1817" t="str">
        <f t="shared" si="80"/>
        <v>2020PM PEAK</v>
      </c>
      <c r="Q1817">
        <f t="shared" si="81"/>
        <v>1</v>
      </c>
      <c r="R1817" s="195" t="str">
        <f t="shared" si="82"/>
        <v>2020LIGHT VEHICLES</v>
      </c>
    </row>
    <row r="1818" spans="3:18" x14ac:dyDescent="0.25">
      <c r="C1818" s="294" t="s">
        <v>886</v>
      </c>
      <c r="D1818" s="317">
        <v>7120</v>
      </c>
      <c r="E1818" s="122" t="s">
        <v>887</v>
      </c>
      <c r="F1818" s="122" t="s">
        <v>888</v>
      </c>
      <c r="G1818" s="122" t="s">
        <v>776</v>
      </c>
      <c r="H1818" s="122" t="s">
        <v>777</v>
      </c>
      <c r="I1818" s="312">
        <v>2020</v>
      </c>
      <c r="J1818" s="122" t="s">
        <v>712</v>
      </c>
      <c r="K1818" s="283">
        <v>8805</v>
      </c>
      <c r="L1818" s="318">
        <v>-33.886310999999999</v>
      </c>
      <c r="M1818" s="318">
        <v>151.21791099999999</v>
      </c>
      <c r="O1818">
        <f>INDEX('MEC - traffic congestion'!$M$145:$M$249,MATCH($D1818,'MEC - traffic congestion'!$C$145:$C$249,0))</f>
        <v>1</v>
      </c>
      <c r="P1818" t="str">
        <f t="shared" si="80"/>
        <v>2020PUBLIC HOLIDAYS</v>
      </c>
      <c r="Q1818">
        <f t="shared" si="81"/>
        <v>1</v>
      </c>
      <c r="R1818" s="195" t="str">
        <f t="shared" si="82"/>
        <v>2020LIGHT VEHICLES</v>
      </c>
    </row>
    <row r="1819" spans="3:18" x14ac:dyDescent="0.25">
      <c r="C1819" s="294" t="s">
        <v>886</v>
      </c>
      <c r="D1819" s="317">
        <v>7120</v>
      </c>
      <c r="E1819" s="122" t="s">
        <v>887</v>
      </c>
      <c r="F1819" s="122" t="s">
        <v>888</v>
      </c>
      <c r="G1819" s="122" t="s">
        <v>776</v>
      </c>
      <c r="H1819" s="122" t="s">
        <v>777</v>
      </c>
      <c r="I1819" s="312">
        <v>2020</v>
      </c>
      <c r="J1819" s="122" t="s">
        <v>713</v>
      </c>
      <c r="K1819" s="283">
        <v>11910</v>
      </c>
      <c r="L1819" s="318">
        <v>-33.886310999999999</v>
      </c>
      <c r="M1819" s="318">
        <v>151.21791099999999</v>
      </c>
      <c r="O1819">
        <f>INDEX('MEC - traffic congestion'!$M$145:$M$249,MATCH($D1819,'MEC - traffic congestion'!$C$145:$C$249,0))</f>
        <v>1</v>
      </c>
      <c r="P1819" t="str">
        <f t="shared" si="80"/>
        <v>2020WEEKENDS</v>
      </c>
      <c r="Q1819">
        <f t="shared" si="81"/>
        <v>1</v>
      </c>
      <c r="R1819" s="195" t="str">
        <f t="shared" si="82"/>
        <v>2020LIGHT VEHICLES</v>
      </c>
    </row>
    <row r="1820" spans="3:18" x14ac:dyDescent="0.25">
      <c r="C1820" s="294" t="s">
        <v>886</v>
      </c>
      <c r="D1820" s="317">
        <v>7120</v>
      </c>
      <c r="E1820" s="122" t="s">
        <v>887</v>
      </c>
      <c r="F1820" s="122" t="s">
        <v>888</v>
      </c>
      <c r="G1820" s="122" t="s">
        <v>776</v>
      </c>
      <c r="H1820" s="122" t="s">
        <v>777</v>
      </c>
      <c r="I1820" s="312">
        <v>2021</v>
      </c>
      <c r="J1820" s="122" t="s">
        <v>709</v>
      </c>
      <c r="K1820" s="283">
        <v>2874</v>
      </c>
      <c r="L1820" s="318">
        <v>-33.886310999999999</v>
      </c>
      <c r="M1820" s="318">
        <v>151.21791099999999</v>
      </c>
      <c r="O1820">
        <f>INDEX('MEC - traffic congestion'!$M$145:$M$249,MATCH($D1820,'MEC - traffic congestion'!$C$145:$C$249,0))</f>
        <v>1</v>
      </c>
      <c r="P1820" t="str">
        <f t="shared" si="80"/>
        <v>2021AM PEAK</v>
      </c>
      <c r="Q1820">
        <f t="shared" si="81"/>
        <v>1</v>
      </c>
      <c r="R1820" s="195" t="str">
        <f t="shared" si="82"/>
        <v>2021LIGHT VEHICLES</v>
      </c>
    </row>
    <row r="1821" spans="3:18" x14ac:dyDescent="0.25">
      <c r="C1821" s="294" t="s">
        <v>886</v>
      </c>
      <c r="D1821" s="317">
        <v>7120</v>
      </c>
      <c r="E1821" s="122" t="s">
        <v>887</v>
      </c>
      <c r="F1821" s="122" t="s">
        <v>888</v>
      </c>
      <c r="G1821" s="122" t="s">
        <v>776</v>
      </c>
      <c r="H1821" s="122" t="s">
        <v>777</v>
      </c>
      <c r="I1821" s="312">
        <v>2021</v>
      </c>
      <c r="J1821" s="122" t="s">
        <v>710</v>
      </c>
      <c r="K1821" s="283">
        <v>5937</v>
      </c>
      <c r="L1821" s="318">
        <v>-33.886310999999999</v>
      </c>
      <c r="M1821" s="318">
        <v>151.21791099999999</v>
      </c>
      <c r="O1821">
        <f>INDEX('MEC - traffic congestion'!$M$145:$M$249,MATCH($D1821,'MEC - traffic congestion'!$C$145:$C$249,0))</f>
        <v>1</v>
      </c>
      <c r="P1821" t="str">
        <f t="shared" si="80"/>
        <v>2021OFF PEAK</v>
      </c>
      <c r="Q1821">
        <f t="shared" si="81"/>
        <v>1</v>
      </c>
      <c r="R1821" s="195" t="str">
        <f t="shared" si="82"/>
        <v>2021LIGHT VEHICLES</v>
      </c>
    </row>
    <row r="1822" spans="3:18" x14ac:dyDescent="0.25">
      <c r="C1822" s="294" t="s">
        <v>886</v>
      </c>
      <c r="D1822" s="317">
        <v>7120</v>
      </c>
      <c r="E1822" s="122" t="s">
        <v>887</v>
      </c>
      <c r="F1822" s="122" t="s">
        <v>888</v>
      </c>
      <c r="G1822" s="122" t="s">
        <v>776</v>
      </c>
      <c r="H1822" s="122" t="s">
        <v>777</v>
      </c>
      <c r="I1822" s="312">
        <v>2021</v>
      </c>
      <c r="J1822" s="122" t="s">
        <v>711</v>
      </c>
      <c r="K1822" s="283">
        <v>2470</v>
      </c>
      <c r="L1822" s="318">
        <v>-33.886310999999999</v>
      </c>
      <c r="M1822" s="318">
        <v>151.21791099999999</v>
      </c>
      <c r="O1822">
        <f>INDEX('MEC - traffic congestion'!$M$145:$M$249,MATCH($D1822,'MEC - traffic congestion'!$C$145:$C$249,0))</f>
        <v>1</v>
      </c>
      <c r="P1822" t="str">
        <f t="shared" si="80"/>
        <v>2021PM PEAK</v>
      </c>
      <c r="Q1822">
        <f t="shared" si="81"/>
        <v>1</v>
      </c>
      <c r="R1822" s="195" t="str">
        <f t="shared" si="82"/>
        <v>2021LIGHT VEHICLES</v>
      </c>
    </row>
    <row r="1823" spans="3:18" x14ac:dyDescent="0.25">
      <c r="C1823" s="294" t="s">
        <v>886</v>
      </c>
      <c r="D1823" s="317">
        <v>7120</v>
      </c>
      <c r="E1823" s="122" t="s">
        <v>887</v>
      </c>
      <c r="F1823" s="122" t="s">
        <v>888</v>
      </c>
      <c r="G1823" s="122" t="s">
        <v>776</v>
      </c>
      <c r="H1823" s="122" t="s">
        <v>777</v>
      </c>
      <c r="I1823" s="312">
        <v>2021</v>
      </c>
      <c r="J1823" s="122" t="s">
        <v>713</v>
      </c>
      <c r="K1823" s="283">
        <v>10358</v>
      </c>
      <c r="L1823" s="318">
        <v>-33.886310999999999</v>
      </c>
      <c r="M1823" s="318">
        <v>151.21791099999999</v>
      </c>
      <c r="O1823">
        <f>INDEX('MEC - traffic congestion'!$M$145:$M$249,MATCH($D1823,'MEC - traffic congestion'!$C$145:$C$249,0))</f>
        <v>1</v>
      </c>
      <c r="P1823" t="str">
        <f t="shared" si="80"/>
        <v>2021WEEKENDS</v>
      </c>
      <c r="Q1823">
        <f t="shared" si="81"/>
        <v>1</v>
      </c>
      <c r="R1823" s="195" t="str">
        <f t="shared" si="82"/>
        <v>2021LIGHT VEHICLES</v>
      </c>
    </row>
    <row r="1824" spans="3:18" x14ac:dyDescent="0.25">
      <c r="C1824" s="294" t="s">
        <v>886</v>
      </c>
      <c r="D1824" s="317">
        <v>7120</v>
      </c>
      <c r="E1824" s="122" t="s">
        <v>887</v>
      </c>
      <c r="F1824" s="122" t="s">
        <v>888</v>
      </c>
      <c r="G1824" s="122" t="s">
        <v>776</v>
      </c>
      <c r="H1824" s="122" t="s">
        <v>777</v>
      </c>
      <c r="I1824" s="312">
        <v>2022</v>
      </c>
      <c r="J1824" s="122" t="s">
        <v>709</v>
      </c>
      <c r="K1824" s="283">
        <v>2861</v>
      </c>
      <c r="L1824" s="318">
        <v>-33.886310999999999</v>
      </c>
      <c r="M1824" s="318">
        <v>151.21791099999999</v>
      </c>
      <c r="O1824">
        <f>INDEX('MEC - traffic congestion'!$M$145:$M$249,MATCH($D1824,'MEC - traffic congestion'!$C$145:$C$249,0))</f>
        <v>1</v>
      </c>
      <c r="P1824" t="str">
        <f t="shared" si="80"/>
        <v>2022AM PEAK</v>
      </c>
      <c r="Q1824">
        <f t="shared" si="81"/>
        <v>1</v>
      </c>
      <c r="R1824" s="195" t="str">
        <f t="shared" si="82"/>
        <v>2022LIGHT VEHICLES</v>
      </c>
    </row>
    <row r="1825" spans="3:18" x14ac:dyDescent="0.25">
      <c r="C1825" s="294" t="s">
        <v>886</v>
      </c>
      <c r="D1825" s="317">
        <v>7120</v>
      </c>
      <c r="E1825" s="122" t="s">
        <v>887</v>
      </c>
      <c r="F1825" s="122" t="s">
        <v>888</v>
      </c>
      <c r="G1825" s="122" t="s">
        <v>776</v>
      </c>
      <c r="H1825" s="122" t="s">
        <v>777</v>
      </c>
      <c r="I1825" s="312">
        <v>2022</v>
      </c>
      <c r="J1825" s="122" t="s">
        <v>710</v>
      </c>
      <c r="K1825" s="283">
        <v>6723</v>
      </c>
      <c r="L1825" s="318">
        <v>-33.886310999999999</v>
      </c>
      <c r="M1825" s="318">
        <v>151.21791099999999</v>
      </c>
      <c r="O1825">
        <f>INDEX('MEC - traffic congestion'!$M$145:$M$249,MATCH($D1825,'MEC - traffic congestion'!$C$145:$C$249,0))</f>
        <v>1</v>
      </c>
      <c r="P1825" t="str">
        <f t="shared" si="80"/>
        <v>2022OFF PEAK</v>
      </c>
      <c r="Q1825">
        <f t="shared" si="81"/>
        <v>1</v>
      </c>
      <c r="R1825" s="195" t="str">
        <f t="shared" si="82"/>
        <v>2022LIGHT VEHICLES</v>
      </c>
    </row>
    <row r="1826" spans="3:18" x14ac:dyDescent="0.25">
      <c r="C1826" s="294" t="s">
        <v>886</v>
      </c>
      <c r="D1826" s="317">
        <v>7120</v>
      </c>
      <c r="E1826" s="122" t="s">
        <v>887</v>
      </c>
      <c r="F1826" s="122" t="s">
        <v>888</v>
      </c>
      <c r="G1826" s="122" t="s">
        <v>776</v>
      </c>
      <c r="H1826" s="122" t="s">
        <v>777</v>
      </c>
      <c r="I1826" s="312">
        <v>2022</v>
      </c>
      <c r="J1826" s="122" t="s">
        <v>711</v>
      </c>
      <c r="K1826" s="283">
        <v>2701</v>
      </c>
      <c r="L1826" s="318">
        <v>-33.886310999999999</v>
      </c>
      <c r="M1826" s="318">
        <v>151.21791099999999</v>
      </c>
      <c r="O1826">
        <f>INDEX('MEC - traffic congestion'!$M$145:$M$249,MATCH($D1826,'MEC - traffic congestion'!$C$145:$C$249,0))</f>
        <v>1</v>
      </c>
      <c r="P1826" t="str">
        <f t="shared" si="80"/>
        <v>2022PM PEAK</v>
      </c>
      <c r="Q1826">
        <f t="shared" si="81"/>
        <v>1</v>
      </c>
      <c r="R1826" s="195" t="str">
        <f t="shared" si="82"/>
        <v>2022LIGHT VEHICLES</v>
      </c>
    </row>
    <row r="1827" spans="3:18" x14ac:dyDescent="0.25">
      <c r="C1827" s="294" t="s">
        <v>886</v>
      </c>
      <c r="D1827" s="317">
        <v>7120</v>
      </c>
      <c r="E1827" s="122" t="s">
        <v>887</v>
      </c>
      <c r="F1827" s="122" t="s">
        <v>888</v>
      </c>
      <c r="G1827" s="122" t="s">
        <v>776</v>
      </c>
      <c r="H1827" s="122" t="s">
        <v>777</v>
      </c>
      <c r="I1827" s="312">
        <v>2022</v>
      </c>
      <c r="J1827" s="122" t="s">
        <v>713</v>
      </c>
      <c r="K1827" s="283">
        <v>12350</v>
      </c>
      <c r="L1827" s="318">
        <v>-33.886310999999999</v>
      </c>
      <c r="M1827" s="318">
        <v>151.21791099999999</v>
      </c>
      <c r="O1827">
        <f>INDEX('MEC - traffic congestion'!$M$145:$M$249,MATCH($D1827,'MEC - traffic congestion'!$C$145:$C$249,0))</f>
        <v>1</v>
      </c>
      <c r="P1827" t="str">
        <f t="shared" si="80"/>
        <v>2022WEEKENDS</v>
      </c>
      <c r="Q1827">
        <f t="shared" si="81"/>
        <v>1</v>
      </c>
      <c r="R1827" s="195" t="str">
        <f t="shared" si="82"/>
        <v>2022LIGHT VEHICLES</v>
      </c>
    </row>
    <row r="1828" spans="3:18" x14ac:dyDescent="0.25">
      <c r="C1828" s="294" t="s">
        <v>886</v>
      </c>
      <c r="D1828" s="317">
        <v>7120</v>
      </c>
      <c r="E1828" s="122" t="s">
        <v>887</v>
      </c>
      <c r="F1828" s="122" t="s">
        <v>888</v>
      </c>
      <c r="G1828" s="122" t="s">
        <v>776</v>
      </c>
      <c r="H1828" s="122" t="s">
        <v>777</v>
      </c>
      <c r="I1828" s="312">
        <v>2023</v>
      </c>
      <c r="J1828" s="122" t="s">
        <v>709</v>
      </c>
      <c r="K1828" s="283">
        <v>3111</v>
      </c>
      <c r="L1828" s="318">
        <v>-33.886310999999999</v>
      </c>
      <c r="M1828" s="318">
        <v>151.21791099999999</v>
      </c>
      <c r="O1828">
        <f>INDEX('MEC - traffic congestion'!$M$145:$M$249,MATCH($D1828,'MEC - traffic congestion'!$C$145:$C$249,0))</f>
        <v>1</v>
      </c>
      <c r="P1828" t="str">
        <f t="shared" si="80"/>
        <v>2023AM PEAK</v>
      </c>
      <c r="Q1828">
        <f t="shared" si="81"/>
        <v>1</v>
      </c>
      <c r="R1828" s="195" t="str">
        <f t="shared" si="82"/>
        <v>2023LIGHT VEHICLES</v>
      </c>
    </row>
    <row r="1829" spans="3:18" x14ac:dyDescent="0.25">
      <c r="C1829" s="294" t="s">
        <v>886</v>
      </c>
      <c r="D1829" s="317">
        <v>7120</v>
      </c>
      <c r="E1829" s="122" t="s">
        <v>887</v>
      </c>
      <c r="F1829" s="122" t="s">
        <v>888</v>
      </c>
      <c r="G1829" s="122" t="s">
        <v>776</v>
      </c>
      <c r="H1829" s="122" t="s">
        <v>777</v>
      </c>
      <c r="I1829" s="312">
        <v>2023</v>
      </c>
      <c r="J1829" s="122" t="s">
        <v>710</v>
      </c>
      <c r="K1829" s="283">
        <v>7186</v>
      </c>
      <c r="L1829" s="318">
        <v>-33.886310999999999</v>
      </c>
      <c r="M1829" s="318">
        <v>151.21791099999999</v>
      </c>
      <c r="O1829">
        <f>INDEX('MEC - traffic congestion'!$M$145:$M$249,MATCH($D1829,'MEC - traffic congestion'!$C$145:$C$249,0))</f>
        <v>1</v>
      </c>
      <c r="P1829" t="str">
        <f t="shared" si="80"/>
        <v>2023OFF PEAK</v>
      </c>
      <c r="Q1829">
        <f t="shared" si="81"/>
        <v>1</v>
      </c>
      <c r="R1829" s="195" t="str">
        <f t="shared" si="82"/>
        <v>2023LIGHT VEHICLES</v>
      </c>
    </row>
    <row r="1830" spans="3:18" x14ac:dyDescent="0.25">
      <c r="C1830" s="294" t="s">
        <v>886</v>
      </c>
      <c r="D1830" s="317">
        <v>7120</v>
      </c>
      <c r="E1830" s="122" t="s">
        <v>887</v>
      </c>
      <c r="F1830" s="122" t="s">
        <v>888</v>
      </c>
      <c r="G1830" s="122" t="s">
        <v>776</v>
      </c>
      <c r="H1830" s="122" t="s">
        <v>777</v>
      </c>
      <c r="I1830" s="312">
        <v>2023</v>
      </c>
      <c r="J1830" s="122" t="s">
        <v>711</v>
      </c>
      <c r="K1830" s="283">
        <v>2874</v>
      </c>
      <c r="L1830" s="318">
        <v>-33.886310999999999</v>
      </c>
      <c r="M1830" s="318">
        <v>151.21791099999999</v>
      </c>
      <c r="O1830">
        <f>INDEX('MEC - traffic congestion'!$M$145:$M$249,MATCH($D1830,'MEC - traffic congestion'!$C$145:$C$249,0))</f>
        <v>1</v>
      </c>
      <c r="P1830" t="str">
        <f t="shared" si="80"/>
        <v>2023PM PEAK</v>
      </c>
      <c r="Q1830">
        <f t="shared" si="81"/>
        <v>1</v>
      </c>
      <c r="R1830" s="195" t="str">
        <f t="shared" si="82"/>
        <v>2023LIGHT VEHICLES</v>
      </c>
    </row>
    <row r="1831" spans="3:18" x14ac:dyDescent="0.25">
      <c r="C1831" s="294" t="s">
        <v>886</v>
      </c>
      <c r="D1831" s="317">
        <v>7120</v>
      </c>
      <c r="E1831" s="122" t="s">
        <v>887</v>
      </c>
      <c r="F1831" s="122" t="s">
        <v>888</v>
      </c>
      <c r="G1831" s="122" t="s">
        <v>776</v>
      </c>
      <c r="H1831" s="122" t="s">
        <v>777</v>
      </c>
      <c r="I1831" s="312">
        <v>2023</v>
      </c>
      <c r="J1831" s="122" t="s">
        <v>713</v>
      </c>
      <c r="K1831" s="283">
        <v>13431</v>
      </c>
      <c r="L1831" s="318">
        <v>-33.886310999999999</v>
      </c>
      <c r="M1831" s="318">
        <v>151.21791099999999</v>
      </c>
      <c r="O1831">
        <f>INDEX('MEC - traffic congestion'!$M$145:$M$249,MATCH($D1831,'MEC - traffic congestion'!$C$145:$C$249,0))</f>
        <v>1</v>
      </c>
      <c r="P1831" t="str">
        <f t="shared" si="80"/>
        <v>2023WEEKENDS</v>
      </c>
      <c r="Q1831">
        <f t="shared" si="81"/>
        <v>1</v>
      </c>
      <c r="R1831" s="195" t="str">
        <f t="shared" si="82"/>
        <v>2023LIGHT VEHICLES</v>
      </c>
    </row>
    <row r="1832" spans="3:18" x14ac:dyDescent="0.25">
      <c r="C1832" s="294" t="s">
        <v>886</v>
      </c>
      <c r="D1832" s="317">
        <v>7120</v>
      </c>
      <c r="E1832" s="122" t="s">
        <v>887</v>
      </c>
      <c r="F1832" s="122" t="s">
        <v>888</v>
      </c>
      <c r="G1832" s="122" t="s">
        <v>776</v>
      </c>
      <c r="H1832" s="122" t="s">
        <v>777</v>
      </c>
      <c r="I1832" s="312">
        <v>2024</v>
      </c>
      <c r="J1832" s="122" t="s">
        <v>709</v>
      </c>
      <c r="K1832" s="283">
        <v>3086</v>
      </c>
      <c r="L1832" s="318">
        <v>-33.886310999999999</v>
      </c>
      <c r="M1832" s="318">
        <v>151.21791099999999</v>
      </c>
      <c r="O1832">
        <f>INDEX('MEC - traffic congestion'!$M$145:$M$249,MATCH($D1832,'MEC - traffic congestion'!$C$145:$C$249,0))</f>
        <v>1</v>
      </c>
      <c r="P1832" t="str">
        <f t="shared" si="80"/>
        <v>2024AM PEAK</v>
      </c>
      <c r="Q1832">
        <f t="shared" si="81"/>
        <v>1</v>
      </c>
      <c r="R1832" s="195" t="str">
        <f t="shared" si="82"/>
        <v>2024LIGHT VEHICLES</v>
      </c>
    </row>
    <row r="1833" spans="3:18" x14ac:dyDescent="0.25">
      <c r="C1833" s="294" t="s">
        <v>886</v>
      </c>
      <c r="D1833" s="317">
        <v>7120</v>
      </c>
      <c r="E1833" s="122" t="s">
        <v>887</v>
      </c>
      <c r="F1833" s="122" t="s">
        <v>888</v>
      </c>
      <c r="G1833" s="122" t="s">
        <v>776</v>
      </c>
      <c r="H1833" s="122" t="s">
        <v>777</v>
      </c>
      <c r="I1833" s="312">
        <v>2024</v>
      </c>
      <c r="J1833" s="122" t="s">
        <v>710</v>
      </c>
      <c r="K1833" s="283">
        <v>7241</v>
      </c>
      <c r="L1833" s="318">
        <v>-33.886310999999999</v>
      </c>
      <c r="M1833" s="318">
        <v>151.21791099999999</v>
      </c>
      <c r="O1833">
        <f>INDEX('MEC - traffic congestion'!$M$145:$M$249,MATCH($D1833,'MEC - traffic congestion'!$C$145:$C$249,0))</f>
        <v>1</v>
      </c>
      <c r="P1833" t="str">
        <f t="shared" si="80"/>
        <v>2024OFF PEAK</v>
      </c>
      <c r="Q1833">
        <f t="shared" si="81"/>
        <v>1</v>
      </c>
      <c r="R1833" s="195" t="str">
        <f t="shared" si="82"/>
        <v>2024LIGHT VEHICLES</v>
      </c>
    </row>
    <row r="1834" spans="3:18" x14ac:dyDescent="0.25">
      <c r="C1834" s="294" t="s">
        <v>886</v>
      </c>
      <c r="D1834" s="317">
        <v>7120</v>
      </c>
      <c r="E1834" s="122" t="s">
        <v>887</v>
      </c>
      <c r="F1834" s="122" t="s">
        <v>888</v>
      </c>
      <c r="G1834" s="122" t="s">
        <v>776</v>
      </c>
      <c r="H1834" s="122" t="s">
        <v>777</v>
      </c>
      <c r="I1834" s="312">
        <v>2024</v>
      </c>
      <c r="J1834" s="122" t="s">
        <v>711</v>
      </c>
      <c r="K1834" s="283">
        <v>2846</v>
      </c>
      <c r="L1834" s="318">
        <v>-33.886310999999999</v>
      </c>
      <c r="M1834" s="318">
        <v>151.21791099999999</v>
      </c>
      <c r="O1834">
        <f>INDEX('MEC - traffic congestion'!$M$145:$M$249,MATCH($D1834,'MEC - traffic congestion'!$C$145:$C$249,0))</f>
        <v>1</v>
      </c>
      <c r="P1834" t="str">
        <f t="shared" si="80"/>
        <v>2024PM PEAK</v>
      </c>
      <c r="Q1834">
        <f t="shared" si="81"/>
        <v>1</v>
      </c>
      <c r="R1834" s="195" t="str">
        <f t="shared" si="82"/>
        <v>2024LIGHT VEHICLES</v>
      </c>
    </row>
    <row r="1835" spans="3:18" x14ac:dyDescent="0.25">
      <c r="C1835" s="294" t="s">
        <v>886</v>
      </c>
      <c r="D1835" s="317">
        <v>7120</v>
      </c>
      <c r="E1835" s="122" t="s">
        <v>887</v>
      </c>
      <c r="F1835" s="122" t="s">
        <v>888</v>
      </c>
      <c r="G1835" s="122" t="s">
        <v>776</v>
      </c>
      <c r="H1835" s="122" t="s">
        <v>777</v>
      </c>
      <c r="I1835" s="312">
        <v>2024</v>
      </c>
      <c r="J1835" s="122" t="s">
        <v>713</v>
      </c>
      <c r="K1835" s="283">
        <v>13306</v>
      </c>
      <c r="L1835" s="318">
        <v>-33.886310999999999</v>
      </c>
      <c r="M1835" s="318">
        <v>151.21791099999999</v>
      </c>
      <c r="O1835">
        <f>INDEX('MEC - traffic congestion'!$M$145:$M$249,MATCH($D1835,'MEC - traffic congestion'!$C$145:$C$249,0))</f>
        <v>1</v>
      </c>
      <c r="P1835" t="str">
        <f t="shared" si="80"/>
        <v>2024WEEKENDS</v>
      </c>
      <c r="Q1835">
        <f t="shared" si="81"/>
        <v>1</v>
      </c>
      <c r="R1835" s="195" t="str">
        <f t="shared" si="82"/>
        <v>2024LIGHT VEHICLES</v>
      </c>
    </row>
    <row r="1836" spans="3:18" x14ac:dyDescent="0.25">
      <c r="C1836" s="294" t="s">
        <v>889</v>
      </c>
      <c r="D1836" s="317">
        <v>7121</v>
      </c>
      <c r="E1836" s="122" t="s">
        <v>887</v>
      </c>
      <c r="F1836" s="122" t="s">
        <v>888</v>
      </c>
      <c r="G1836" s="122" t="s">
        <v>778</v>
      </c>
      <c r="H1836" s="122" t="s">
        <v>777</v>
      </c>
      <c r="I1836" s="312">
        <v>2018</v>
      </c>
      <c r="J1836" s="122" t="s">
        <v>709</v>
      </c>
      <c r="K1836" s="283">
        <v>1614</v>
      </c>
      <c r="L1836" s="318">
        <v>-33.886032</v>
      </c>
      <c r="M1836" s="318">
        <v>151.21807899999999</v>
      </c>
      <c r="O1836">
        <f>INDEX('MEC - traffic congestion'!$M$145:$M$249,MATCH($D1836,'MEC - traffic congestion'!$C$145:$C$249,0))</f>
        <v>1</v>
      </c>
      <c r="P1836" t="str">
        <f t="shared" si="80"/>
        <v>2018AM PEAK</v>
      </c>
      <c r="Q1836">
        <f t="shared" si="81"/>
        <v>1</v>
      </c>
      <c r="R1836" s="195" t="str">
        <f t="shared" si="82"/>
        <v>2018LIGHT VEHICLES</v>
      </c>
    </row>
    <row r="1837" spans="3:18" x14ac:dyDescent="0.25">
      <c r="C1837" s="294" t="s">
        <v>889</v>
      </c>
      <c r="D1837" s="317">
        <v>7121</v>
      </c>
      <c r="E1837" s="122" t="s">
        <v>887</v>
      </c>
      <c r="F1837" s="122" t="s">
        <v>888</v>
      </c>
      <c r="G1837" s="122" t="s">
        <v>778</v>
      </c>
      <c r="H1837" s="122" t="s">
        <v>777</v>
      </c>
      <c r="I1837" s="312">
        <v>2018</v>
      </c>
      <c r="J1837" s="122" t="s">
        <v>710</v>
      </c>
      <c r="K1837" s="283">
        <v>4707</v>
      </c>
      <c r="L1837" s="318">
        <v>-33.886032</v>
      </c>
      <c r="M1837" s="318">
        <v>151.21807899999999</v>
      </c>
      <c r="O1837">
        <f>INDEX('MEC - traffic congestion'!$M$145:$M$249,MATCH($D1837,'MEC - traffic congestion'!$C$145:$C$249,0))</f>
        <v>1</v>
      </c>
      <c r="P1837" t="str">
        <f t="shared" si="80"/>
        <v>2018OFF PEAK</v>
      </c>
      <c r="Q1837">
        <f t="shared" si="81"/>
        <v>1</v>
      </c>
      <c r="R1837" s="195" t="str">
        <f t="shared" si="82"/>
        <v>2018LIGHT VEHICLES</v>
      </c>
    </row>
    <row r="1838" spans="3:18" x14ac:dyDescent="0.25">
      <c r="C1838" s="294" t="s">
        <v>889</v>
      </c>
      <c r="D1838" s="317">
        <v>7121</v>
      </c>
      <c r="E1838" s="122" t="s">
        <v>887</v>
      </c>
      <c r="F1838" s="122" t="s">
        <v>888</v>
      </c>
      <c r="G1838" s="122" t="s">
        <v>778</v>
      </c>
      <c r="H1838" s="122" t="s">
        <v>777</v>
      </c>
      <c r="I1838" s="312">
        <v>2018</v>
      </c>
      <c r="J1838" s="122" t="s">
        <v>711</v>
      </c>
      <c r="K1838" s="283">
        <v>2286</v>
      </c>
      <c r="L1838" s="318">
        <v>-33.886032</v>
      </c>
      <c r="M1838" s="318">
        <v>151.21807899999999</v>
      </c>
      <c r="O1838">
        <f>INDEX('MEC - traffic congestion'!$M$145:$M$249,MATCH($D1838,'MEC - traffic congestion'!$C$145:$C$249,0))</f>
        <v>1</v>
      </c>
      <c r="P1838" t="str">
        <f t="shared" si="80"/>
        <v>2018PM PEAK</v>
      </c>
      <c r="Q1838">
        <f t="shared" si="81"/>
        <v>1</v>
      </c>
      <c r="R1838" s="195" t="str">
        <f t="shared" si="82"/>
        <v>2018LIGHT VEHICLES</v>
      </c>
    </row>
    <row r="1839" spans="3:18" x14ac:dyDescent="0.25">
      <c r="C1839" s="294" t="s">
        <v>889</v>
      </c>
      <c r="D1839" s="317">
        <v>7121</v>
      </c>
      <c r="E1839" s="122" t="s">
        <v>887</v>
      </c>
      <c r="F1839" s="122" t="s">
        <v>888</v>
      </c>
      <c r="G1839" s="122" t="s">
        <v>778</v>
      </c>
      <c r="H1839" s="122" t="s">
        <v>777</v>
      </c>
      <c r="I1839" s="312">
        <v>2018</v>
      </c>
      <c r="J1839" s="122" t="s">
        <v>712</v>
      </c>
      <c r="K1839" s="283">
        <v>6343</v>
      </c>
      <c r="L1839" s="318">
        <v>-33.886032</v>
      </c>
      <c r="M1839" s="318">
        <v>151.21807899999999</v>
      </c>
      <c r="O1839">
        <f>INDEX('MEC - traffic congestion'!$M$145:$M$249,MATCH($D1839,'MEC - traffic congestion'!$C$145:$C$249,0))</f>
        <v>1</v>
      </c>
      <c r="P1839" t="str">
        <f t="shared" si="80"/>
        <v>2018PUBLIC HOLIDAYS</v>
      </c>
      <c r="Q1839">
        <f t="shared" si="81"/>
        <v>1</v>
      </c>
      <c r="R1839" s="195" t="str">
        <f t="shared" si="82"/>
        <v>2018LIGHT VEHICLES</v>
      </c>
    </row>
    <row r="1840" spans="3:18" x14ac:dyDescent="0.25">
      <c r="C1840" s="294" t="s">
        <v>889</v>
      </c>
      <c r="D1840" s="317">
        <v>7121</v>
      </c>
      <c r="E1840" s="122" t="s">
        <v>887</v>
      </c>
      <c r="F1840" s="122" t="s">
        <v>888</v>
      </c>
      <c r="G1840" s="122" t="s">
        <v>778</v>
      </c>
      <c r="H1840" s="122" t="s">
        <v>777</v>
      </c>
      <c r="I1840" s="312">
        <v>2018</v>
      </c>
      <c r="J1840" s="122" t="s">
        <v>713</v>
      </c>
      <c r="K1840" s="283">
        <v>8886</v>
      </c>
      <c r="L1840" s="318">
        <v>-33.886032</v>
      </c>
      <c r="M1840" s="318">
        <v>151.21807899999999</v>
      </c>
      <c r="O1840">
        <f>INDEX('MEC - traffic congestion'!$M$145:$M$249,MATCH($D1840,'MEC - traffic congestion'!$C$145:$C$249,0))</f>
        <v>1</v>
      </c>
      <c r="P1840" t="str">
        <f t="shared" si="80"/>
        <v>2018WEEKENDS</v>
      </c>
      <c r="Q1840">
        <f t="shared" si="81"/>
        <v>1</v>
      </c>
      <c r="R1840" s="195" t="str">
        <f t="shared" si="82"/>
        <v>2018LIGHT VEHICLES</v>
      </c>
    </row>
    <row r="1841" spans="3:18" x14ac:dyDescent="0.25">
      <c r="C1841" s="294" t="s">
        <v>889</v>
      </c>
      <c r="D1841" s="317">
        <v>7121</v>
      </c>
      <c r="E1841" s="122" t="s">
        <v>887</v>
      </c>
      <c r="F1841" s="122" t="s">
        <v>888</v>
      </c>
      <c r="G1841" s="122" t="s">
        <v>778</v>
      </c>
      <c r="H1841" s="122" t="s">
        <v>777</v>
      </c>
      <c r="I1841" s="312">
        <v>2019</v>
      </c>
      <c r="J1841" s="122" t="s">
        <v>709</v>
      </c>
      <c r="K1841" s="283">
        <v>1548</v>
      </c>
      <c r="L1841" s="318">
        <v>-33.886032</v>
      </c>
      <c r="M1841" s="318">
        <v>151.21807899999999</v>
      </c>
      <c r="O1841">
        <f>INDEX('MEC - traffic congestion'!$M$145:$M$249,MATCH($D1841,'MEC - traffic congestion'!$C$145:$C$249,0))</f>
        <v>1</v>
      </c>
      <c r="P1841" t="str">
        <f t="shared" si="80"/>
        <v>2019AM PEAK</v>
      </c>
      <c r="Q1841">
        <f t="shared" si="81"/>
        <v>1</v>
      </c>
      <c r="R1841" s="195" t="str">
        <f t="shared" si="82"/>
        <v>2019LIGHT VEHICLES</v>
      </c>
    </row>
    <row r="1842" spans="3:18" x14ac:dyDescent="0.25">
      <c r="C1842" s="294" t="s">
        <v>889</v>
      </c>
      <c r="D1842" s="317">
        <v>7121</v>
      </c>
      <c r="E1842" s="122" t="s">
        <v>887</v>
      </c>
      <c r="F1842" s="122" t="s">
        <v>888</v>
      </c>
      <c r="G1842" s="122" t="s">
        <v>778</v>
      </c>
      <c r="H1842" s="122" t="s">
        <v>777</v>
      </c>
      <c r="I1842" s="312">
        <v>2019</v>
      </c>
      <c r="J1842" s="122" t="s">
        <v>710</v>
      </c>
      <c r="K1842" s="283">
        <v>4515</v>
      </c>
      <c r="L1842" s="318">
        <v>-33.886032</v>
      </c>
      <c r="M1842" s="318">
        <v>151.21807899999999</v>
      </c>
      <c r="O1842">
        <f>INDEX('MEC - traffic congestion'!$M$145:$M$249,MATCH($D1842,'MEC - traffic congestion'!$C$145:$C$249,0))</f>
        <v>1</v>
      </c>
      <c r="P1842" t="str">
        <f t="shared" si="80"/>
        <v>2019OFF PEAK</v>
      </c>
      <c r="Q1842">
        <f t="shared" si="81"/>
        <v>1</v>
      </c>
      <c r="R1842" s="195" t="str">
        <f t="shared" si="82"/>
        <v>2019LIGHT VEHICLES</v>
      </c>
    </row>
    <row r="1843" spans="3:18" x14ac:dyDescent="0.25">
      <c r="C1843" s="294" t="s">
        <v>889</v>
      </c>
      <c r="D1843" s="317">
        <v>7121</v>
      </c>
      <c r="E1843" s="122" t="s">
        <v>887</v>
      </c>
      <c r="F1843" s="122" t="s">
        <v>888</v>
      </c>
      <c r="G1843" s="122" t="s">
        <v>778</v>
      </c>
      <c r="H1843" s="122" t="s">
        <v>777</v>
      </c>
      <c r="I1843" s="312">
        <v>2019</v>
      </c>
      <c r="J1843" s="122" t="s">
        <v>711</v>
      </c>
      <c r="K1843" s="283">
        <v>2244</v>
      </c>
      <c r="L1843" s="318">
        <v>-33.886032</v>
      </c>
      <c r="M1843" s="318">
        <v>151.21807899999999</v>
      </c>
      <c r="O1843">
        <f>INDEX('MEC - traffic congestion'!$M$145:$M$249,MATCH($D1843,'MEC - traffic congestion'!$C$145:$C$249,0))</f>
        <v>1</v>
      </c>
      <c r="P1843" t="str">
        <f t="shared" si="80"/>
        <v>2019PM PEAK</v>
      </c>
      <c r="Q1843">
        <f t="shared" si="81"/>
        <v>1</v>
      </c>
      <c r="R1843" s="195" t="str">
        <f t="shared" si="82"/>
        <v>2019LIGHT VEHICLES</v>
      </c>
    </row>
    <row r="1844" spans="3:18" x14ac:dyDescent="0.25">
      <c r="C1844" s="294" t="s">
        <v>889</v>
      </c>
      <c r="D1844" s="317">
        <v>7121</v>
      </c>
      <c r="E1844" s="122" t="s">
        <v>887</v>
      </c>
      <c r="F1844" s="122" t="s">
        <v>888</v>
      </c>
      <c r="G1844" s="122" t="s">
        <v>778</v>
      </c>
      <c r="H1844" s="122" t="s">
        <v>777</v>
      </c>
      <c r="I1844" s="312">
        <v>2019</v>
      </c>
      <c r="J1844" s="122" t="s">
        <v>712</v>
      </c>
      <c r="K1844" s="283">
        <v>6609</v>
      </c>
      <c r="L1844" s="318">
        <v>-33.886032</v>
      </c>
      <c r="M1844" s="318">
        <v>151.21807899999999</v>
      </c>
      <c r="O1844">
        <f>INDEX('MEC - traffic congestion'!$M$145:$M$249,MATCH($D1844,'MEC - traffic congestion'!$C$145:$C$249,0))</f>
        <v>1</v>
      </c>
      <c r="P1844" t="str">
        <f t="shared" si="80"/>
        <v>2019PUBLIC HOLIDAYS</v>
      </c>
      <c r="Q1844">
        <f t="shared" si="81"/>
        <v>1</v>
      </c>
      <c r="R1844" s="195" t="str">
        <f t="shared" si="82"/>
        <v>2019LIGHT VEHICLES</v>
      </c>
    </row>
    <row r="1845" spans="3:18" x14ac:dyDescent="0.25">
      <c r="C1845" s="294" t="s">
        <v>889</v>
      </c>
      <c r="D1845" s="317">
        <v>7121</v>
      </c>
      <c r="E1845" s="122" t="s">
        <v>887</v>
      </c>
      <c r="F1845" s="122" t="s">
        <v>888</v>
      </c>
      <c r="G1845" s="122" t="s">
        <v>778</v>
      </c>
      <c r="H1845" s="122" t="s">
        <v>777</v>
      </c>
      <c r="I1845" s="312">
        <v>2019</v>
      </c>
      <c r="J1845" s="122" t="s">
        <v>713</v>
      </c>
      <c r="K1845" s="283">
        <v>8108</v>
      </c>
      <c r="L1845" s="318">
        <v>-33.886032</v>
      </c>
      <c r="M1845" s="318">
        <v>151.21807899999999</v>
      </c>
      <c r="O1845">
        <f>INDEX('MEC - traffic congestion'!$M$145:$M$249,MATCH($D1845,'MEC - traffic congestion'!$C$145:$C$249,0))</f>
        <v>1</v>
      </c>
      <c r="P1845" t="str">
        <f t="shared" si="80"/>
        <v>2019WEEKENDS</v>
      </c>
      <c r="Q1845">
        <f t="shared" si="81"/>
        <v>1</v>
      </c>
      <c r="R1845" s="195" t="str">
        <f t="shared" si="82"/>
        <v>2019LIGHT VEHICLES</v>
      </c>
    </row>
    <row r="1846" spans="3:18" x14ac:dyDescent="0.25">
      <c r="C1846" s="294" t="s">
        <v>889</v>
      </c>
      <c r="D1846" s="317">
        <v>7121</v>
      </c>
      <c r="E1846" s="122" t="s">
        <v>887</v>
      </c>
      <c r="F1846" s="122" t="s">
        <v>888</v>
      </c>
      <c r="G1846" s="122" t="s">
        <v>778</v>
      </c>
      <c r="H1846" s="122" t="s">
        <v>777</v>
      </c>
      <c r="I1846" s="312">
        <v>2020</v>
      </c>
      <c r="J1846" s="122" t="s">
        <v>709</v>
      </c>
      <c r="K1846" s="283">
        <v>1347</v>
      </c>
      <c r="L1846" s="318">
        <v>-33.886032</v>
      </c>
      <c r="M1846" s="318">
        <v>151.21807899999999</v>
      </c>
      <c r="O1846">
        <f>INDEX('MEC - traffic congestion'!$M$145:$M$249,MATCH($D1846,'MEC - traffic congestion'!$C$145:$C$249,0))</f>
        <v>1</v>
      </c>
      <c r="P1846" t="str">
        <f t="shared" si="80"/>
        <v>2020AM PEAK</v>
      </c>
      <c r="Q1846">
        <f t="shared" si="81"/>
        <v>1</v>
      </c>
      <c r="R1846" s="195" t="str">
        <f t="shared" si="82"/>
        <v>2020LIGHT VEHICLES</v>
      </c>
    </row>
    <row r="1847" spans="3:18" x14ac:dyDescent="0.25">
      <c r="C1847" s="294" t="s">
        <v>889</v>
      </c>
      <c r="D1847" s="317">
        <v>7121</v>
      </c>
      <c r="E1847" s="122" t="s">
        <v>887</v>
      </c>
      <c r="F1847" s="122" t="s">
        <v>888</v>
      </c>
      <c r="G1847" s="122" t="s">
        <v>778</v>
      </c>
      <c r="H1847" s="122" t="s">
        <v>777</v>
      </c>
      <c r="I1847" s="312">
        <v>2020</v>
      </c>
      <c r="J1847" s="122" t="s">
        <v>710</v>
      </c>
      <c r="K1847" s="283">
        <v>3863</v>
      </c>
      <c r="L1847" s="318">
        <v>-33.886032</v>
      </c>
      <c r="M1847" s="318">
        <v>151.21807899999999</v>
      </c>
      <c r="O1847">
        <f>INDEX('MEC - traffic congestion'!$M$145:$M$249,MATCH($D1847,'MEC - traffic congestion'!$C$145:$C$249,0))</f>
        <v>1</v>
      </c>
      <c r="P1847" t="str">
        <f t="shared" si="80"/>
        <v>2020OFF PEAK</v>
      </c>
      <c r="Q1847">
        <f t="shared" si="81"/>
        <v>1</v>
      </c>
      <c r="R1847" s="195" t="str">
        <f t="shared" si="82"/>
        <v>2020LIGHT VEHICLES</v>
      </c>
    </row>
    <row r="1848" spans="3:18" x14ac:dyDescent="0.25">
      <c r="C1848" s="294" t="s">
        <v>889</v>
      </c>
      <c r="D1848" s="317">
        <v>7121</v>
      </c>
      <c r="E1848" s="122" t="s">
        <v>887</v>
      </c>
      <c r="F1848" s="122" t="s">
        <v>888</v>
      </c>
      <c r="G1848" s="122" t="s">
        <v>778</v>
      </c>
      <c r="H1848" s="122" t="s">
        <v>777</v>
      </c>
      <c r="I1848" s="312">
        <v>2020</v>
      </c>
      <c r="J1848" s="122" t="s">
        <v>711</v>
      </c>
      <c r="K1848" s="283">
        <v>2187</v>
      </c>
      <c r="L1848" s="318">
        <v>-33.886032</v>
      </c>
      <c r="M1848" s="318">
        <v>151.21807899999999</v>
      </c>
      <c r="O1848">
        <f>INDEX('MEC - traffic congestion'!$M$145:$M$249,MATCH($D1848,'MEC - traffic congestion'!$C$145:$C$249,0))</f>
        <v>1</v>
      </c>
      <c r="P1848" t="str">
        <f t="shared" si="80"/>
        <v>2020PM PEAK</v>
      </c>
      <c r="Q1848">
        <f t="shared" si="81"/>
        <v>1</v>
      </c>
      <c r="R1848" s="195" t="str">
        <f t="shared" si="82"/>
        <v>2020LIGHT VEHICLES</v>
      </c>
    </row>
    <row r="1849" spans="3:18" x14ac:dyDescent="0.25">
      <c r="C1849" s="294" t="s">
        <v>889</v>
      </c>
      <c r="D1849" s="317">
        <v>7121</v>
      </c>
      <c r="E1849" s="122" t="s">
        <v>887</v>
      </c>
      <c r="F1849" s="122" t="s">
        <v>888</v>
      </c>
      <c r="G1849" s="122" t="s">
        <v>778</v>
      </c>
      <c r="H1849" s="122" t="s">
        <v>777</v>
      </c>
      <c r="I1849" s="312">
        <v>2020</v>
      </c>
      <c r="J1849" s="122" t="s">
        <v>712</v>
      </c>
      <c r="K1849" s="283">
        <v>4673</v>
      </c>
      <c r="L1849" s="318">
        <v>-33.886032</v>
      </c>
      <c r="M1849" s="318">
        <v>151.21807899999999</v>
      </c>
      <c r="O1849">
        <f>INDEX('MEC - traffic congestion'!$M$145:$M$249,MATCH($D1849,'MEC - traffic congestion'!$C$145:$C$249,0))</f>
        <v>1</v>
      </c>
      <c r="P1849" t="str">
        <f t="shared" si="80"/>
        <v>2020PUBLIC HOLIDAYS</v>
      </c>
      <c r="Q1849">
        <f t="shared" si="81"/>
        <v>1</v>
      </c>
      <c r="R1849" s="195" t="str">
        <f t="shared" si="82"/>
        <v>2020LIGHT VEHICLES</v>
      </c>
    </row>
    <row r="1850" spans="3:18" x14ac:dyDescent="0.25">
      <c r="C1850" s="294" t="s">
        <v>889</v>
      </c>
      <c r="D1850" s="317">
        <v>7121</v>
      </c>
      <c r="E1850" s="122" t="s">
        <v>887</v>
      </c>
      <c r="F1850" s="122" t="s">
        <v>888</v>
      </c>
      <c r="G1850" s="122" t="s">
        <v>778</v>
      </c>
      <c r="H1850" s="122" t="s">
        <v>777</v>
      </c>
      <c r="I1850" s="312">
        <v>2020</v>
      </c>
      <c r="J1850" s="122" t="s">
        <v>713</v>
      </c>
      <c r="K1850" s="283">
        <v>6679</v>
      </c>
      <c r="L1850" s="318">
        <v>-33.886032</v>
      </c>
      <c r="M1850" s="318">
        <v>151.21807899999999</v>
      </c>
      <c r="O1850">
        <f>INDEX('MEC - traffic congestion'!$M$145:$M$249,MATCH($D1850,'MEC - traffic congestion'!$C$145:$C$249,0))</f>
        <v>1</v>
      </c>
      <c r="P1850" t="str">
        <f t="shared" si="80"/>
        <v>2020WEEKENDS</v>
      </c>
      <c r="Q1850">
        <f t="shared" si="81"/>
        <v>1</v>
      </c>
      <c r="R1850" s="195" t="str">
        <f t="shared" si="82"/>
        <v>2020LIGHT VEHICLES</v>
      </c>
    </row>
    <row r="1851" spans="3:18" x14ac:dyDescent="0.25">
      <c r="C1851" s="294" t="s">
        <v>889</v>
      </c>
      <c r="D1851" s="317">
        <v>7121</v>
      </c>
      <c r="E1851" s="122" t="s">
        <v>887</v>
      </c>
      <c r="F1851" s="122" t="s">
        <v>888</v>
      </c>
      <c r="G1851" s="122" t="s">
        <v>778</v>
      </c>
      <c r="H1851" s="122" t="s">
        <v>777</v>
      </c>
      <c r="I1851" s="312">
        <v>2021</v>
      </c>
      <c r="J1851" s="122" t="s">
        <v>709</v>
      </c>
      <c r="K1851" s="283">
        <v>1238</v>
      </c>
      <c r="L1851" s="318">
        <v>-33.886032</v>
      </c>
      <c r="M1851" s="318">
        <v>151.21807899999999</v>
      </c>
      <c r="O1851">
        <f>INDEX('MEC - traffic congestion'!$M$145:$M$249,MATCH($D1851,'MEC - traffic congestion'!$C$145:$C$249,0))</f>
        <v>1</v>
      </c>
      <c r="P1851" t="str">
        <f t="shared" si="80"/>
        <v>2021AM PEAK</v>
      </c>
      <c r="Q1851">
        <f t="shared" si="81"/>
        <v>1</v>
      </c>
      <c r="R1851" s="195" t="str">
        <f t="shared" si="82"/>
        <v>2021LIGHT VEHICLES</v>
      </c>
    </row>
    <row r="1852" spans="3:18" x14ac:dyDescent="0.25">
      <c r="C1852" s="294" t="s">
        <v>889</v>
      </c>
      <c r="D1852" s="317">
        <v>7121</v>
      </c>
      <c r="E1852" s="122" t="s">
        <v>887</v>
      </c>
      <c r="F1852" s="122" t="s">
        <v>888</v>
      </c>
      <c r="G1852" s="122" t="s">
        <v>778</v>
      </c>
      <c r="H1852" s="122" t="s">
        <v>777</v>
      </c>
      <c r="I1852" s="312">
        <v>2021</v>
      </c>
      <c r="J1852" s="122" t="s">
        <v>710</v>
      </c>
      <c r="K1852" s="283">
        <v>3542</v>
      </c>
      <c r="L1852" s="318">
        <v>-33.886032</v>
      </c>
      <c r="M1852" s="318">
        <v>151.21807899999999</v>
      </c>
      <c r="O1852">
        <f>INDEX('MEC - traffic congestion'!$M$145:$M$249,MATCH($D1852,'MEC - traffic congestion'!$C$145:$C$249,0))</f>
        <v>1</v>
      </c>
      <c r="P1852" t="str">
        <f t="shared" si="80"/>
        <v>2021OFF PEAK</v>
      </c>
      <c r="Q1852">
        <f t="shared" si="81"/>
        <v>1</v>
      </c>
      <c r="R1852" s="195" t="str">
        <f t="shared" si="82"/>
        <v>2021LIGHT VEHICLES</v>
      </c>
    </row>
    <row r="1853" spans="3:18" x14ac:dyDescent="0.25">
      <c r="C1853" s="294" t="s">
        <v>889</v>
      </c>
      <c r="D1853" s="317">
        <v>7121</v>
      </c>
      <c r="E1853" s="122" t="s">
        <v>887</v>
      </c>
      <c r="F1853" s="122" t="s">
        <v>888</v>
      </c>
      <c r="G1853" s="122" t="s">
        <v>778</v>
      </c>
      <c r="H1853" s="122" t="s">
        <v>777</v>
      </c>
      <c r="I1853" s="312">
        <v>2021</v>
      </c>
      <c r="J1853" s="122" t="s">
        <v>711</v>
      </c>
      <c r="K1853" s="283">
        <v>2057</v>
      </c>
      <c r="L1853" s="318">
        <v>-33.886032</v>
      </c>
      <c r="M1853" s="318">
        <v>151.21807899999999</v>
      </c>
      <c r="O1853">
        <f>INDEX('MEC - traffic congestion'!$M$145:$M$249,MATCH($D1853,'MEC - traffic congestion'!$C$145:$C$249,0))</f>
        <v>1</v>
      </c>
      <c r="P1853" t="str">
        <f t="shared" si="80"/>
        <v>2021PM PEAK</v>
      </c>
      <c r="Q1853">
        <f t="shared" si="81"/>
        <v>1</v>
      </c>
      <c r="R1853" s="195" t="str">
        <f t="shared" si="82"/>
        <v>2021LIGHT VEHICLES</v>
      </c>
    </row>
    <row r="1854" spans="3:18" x14ac:dyDescent="0.25">
      <c r="C1854" s="294" t="s">
        <v>889</v>
      </c>
      <c r="D1854" s="317">
        <v>7121</v>
      </c>
      <c r="E1854" s="122" t="s">
        <v>887</v>
      </c>
      <c r="F1854" s="122" t="s">
        <v>888</v>
      </c>
      <c r="G1854" s="122" t="s">
        <v>778</v>
      </c>
      <c r="H1854" s="122" t="s">
        <v>777</v>
      </c>
      <c r="I1854" s="312">
        <v>2021</v>
      </c>
      <c r="J1854" s="122" t="s">
        <v>713</v>
      </c>
      <c r="K1854" s="283">
        <v>6028</v>
      </c>
      <c r="L1854" s="318">
        <v>-33.886032</v>
      </c>
      <c r="M1854" s="318">
        <v>151.21807899999999</v>
      </c>
      <c r="O1854">
        <f>INDEX('MEC - traffic congestion'!$M$145:$M$249,MATCH($D1854,'MEC - traffic congestion'!$C$145:$C$249,0))</f>
        <v>1</v>
      </c>
      <c r="P1854" t="str">
        <f t="shared" si="80"/>
        <v>2021WEEKENDS</v>
      </c>
      <c r="Q1854">
        <f t="shared" si="81"/>
        <v>1</v>
      </c>
      <c r="R1854" s="195" t="str">
        <f t="shared" si="82"/>
        <v>2021LIGHT VEHICLES</v>
      </c>
    </row>
    <row r="1855" spans="3:18" x14ac:dyDescent="0.25">
      <c r="C1855" s="294" t="s">
        <v>889</v>
      </c>
      <c r="D1855" s="317">
        <v>7121</v>
      </c>
      <c r="E1855" s="122" t="s">
        <v>887</v>
      </c>
      <c r="F1855" s="122" t="s">
        <v>888</v>
      </c>
      <c r="G1855" s="122" t="s">
        <v>778</v>
      </c>
      <c r="H1855" s="122" t="s">
        <v>777</v>
      </c>
      <c r="I1855" s="312">
        <v>2022</v>
      </c>
      <c r="J1855" s="122" t="s">
        <v>709</v>
      </c>
      <c r="K1855" s="283">
        <v>1237</v>
      </c>
      <c r="L1855" s="318">
        <v>-33.886032</v>
      </c>
      <c r="M1855" s="318">
        <v>151.21807899999999</v>
      </c>
      <c r="O1855">
        <f>INDEX('MEC - traffic congestion'!$M$145:$M$249,MATCH($D1855,'MEC - traffic congestion'!$C$145:$C$249,0))</f>
        <v>1</v>
      </c>
      <c r="P1855" t="str">
        <f t="shared" si="80"/>
        <v>2022AM PEAK</v>
      </c>
      <c r="Q1855">
        <f t="shared" si="81"/>
        <v>1</v>
      </c>
      <c r="R1855" s="195" t="str">
        <f t="shared" si="82"/>
        <v>2022LIGHT VEHICLES</v>
      </c>
    </row>
    <row r="1856" spans="3:18" x14ac:dyDescent="0.25">
      <c r="C1856" s="294" t="s">
        <v>889</v>
      </c>
      <c r="D1856" s="317">
        <v>7121</v>
      </c>
      <c r="E1856" s="122" t="s">
        <v>887</v>
      </c>
      <c r="F1856" s="122" t="s">
        <v>888</v>
      </c>
      <c r="G1856" s="122" t="s">
        <v>778</v>
      </c>
      <c r="H1856" s="122" t="s">
        <v>777</v>
      </c>
      <c r="I1856" s="312">
        <v>2022</v>
      </c>
      <c r="J1856" s="122" t="s">
        <v>710</v>
      </c>
      <c r="K1856" s="283">
        <v>3742</v>
      </c>
      <c r="L1856" s="318">
        <v>-33.886032</v>
      </c>
      <c r="M1856" s="318">
        <v>151.21807899999999</v>
      </c>
      <c r="O1856">
        <f>INDEX('MEC - traffic congestion'!$M$145:$M$249,MATCH($D1856,'MEC - traffic congestion'!$C$145:$C$249,0))</f>
        <v>1</v>
      </c>
      <c r="P1856" t="str">
        <f t="shared" si="80"/>
        <v>2022OFF PEAK</v>
      </c>
      <c r="Q1856">
        <f t="shared" si="81"/>
        <v>1</v>
      </c>
      <c r="R1856" s="195" t="str">
        <f t="shared" si="82"/>
        <v>2022LIGHT VEHICLES</v>
      </c>
    </row>
    <row r="1857" spans="3:18" x14ac:dyDescent="0.25">
      <c r="C1857" s="294" t="s">
        <v>889</v>
      </c>
      <c r="D1857" s="317">
        <v>7121</v>
      </c>
      <c r="E1857" s="122" t="s">
        <v>887</v>
      </c>
      <c r="F1857" s="122" t="s">
        <v>888</v>
      </c>
      <c r="G1857" s="122" t="s">
        <v>778</v>
      </c>
      <c r="H1857" s="122" t="s">
        <v>777</v>
      </c>
      <c r="I1857" s="312">
        <v>2022</v>
      </c>
      <c r="J1857" s="122" t="s">
        <v>711</v>
      </c>
      <c r="K1857" s="283">
        <v>2234</v>
      </c>
      <c r="L1857" s="318">
        <v>-33.886032</v>
      </c>
      <c r="M1857" s="318">
        <v>151.21807899999999</v>
      </c>
      <c r="O1857">
        <f>INDEX('MEC - traffic congestion'!$M$145:$M$249,MATCH($D1857,'MEC - traffic congestion'!$C$145:$C$249,0))</f>
        <v>1</v>
      </c>
      <c r="P1857" t="str">
        <f t="shared" si="80"/>
        <v>2022PM PEAK</v>
      </c>
      <c r="Q1857">
        <f t="shared" si="81"/>
        <v>1</v>
      </c>
      <c r="R1857" s="195" t="str">
        <f t="shared" si="82"/>
        <v>2022LIGHT VEHICLES</v>
      </c>
    </row>
    <row r="1858" spans="3:18" x14ac:dyDescent="0.25">
      <c r="C1858" s="294" t="s">
        <v>889</v>
      </c>
      <c r="D1858" s="317">
        <v>7121</v>
      </c>
      <c r="E1858" s="122" t="s">
        <v>887</v>
      </c>
      <c r="F1858" s="122" t="s">
        <v>888</v>
      </c>
      <c r="G1858" s="122" t="s">
        <v>778</v>
      </c>
      <c r="H1858" s="122" t="s">
        <v>777</v>
      </c>
      <c r="I1858" s="312">
        <v>2022</v>
      </c>
      <c r="J1858" s="122" t="s">
        <v>713</v>
      </c>
      <c r="K1858" s="283">
        <v>6772</v>
      </c>
      <c r="L1858" s="318">
        <v>-33.886032</v>
      </c>
      <c r="M1858" s="318">
        <v>151.21807899999999</v>
      </c>
      <c r="O1858">
        <f>INDEX('MEC - traffic congestion'!$M$145:$M$249,MATCH($D1858,'MEC - traffic congestion'!$C$145:$C$249,0))</f>
        <v>1</v>
      </c>
      <c r="P1858" t="str">
        <f t="shared" si="80"/>
        <v>2022WEEKENDS</v>
      </c>
      <c r="Q1858">
        <f t="shared" si="81"/>
        <v>1</v>
      </c>
      <c r="R1858" s="195" t="str">
        <f t="shared" si="82"/>
        <v>2022LIGHT VEHICLES</v>
      </c>
    </row>
    <row r="1859" spans="3:18" x14ac:dyDescent="0.25">
      <c r="C1859" s="294" t="s">
        <v>889</v>
      </c>
      <c r="D1859" s="317">
        <v>7121</v>
      </c>
      <c r="E1859" s="122" t="s">
        <v>887</v>
      </c>
      <c r="F1859" s="122" t="s">
        <v>888</v>
      </c>
      <c r="G1859" s="122" t="s">
        <v>778</v>
      </c>
      <c r="H1859" s="122" t="s">
        <v>777</v>
      </c>
      <c r="I1859" s="312">
        <v>2023</v>
      </c>
      <c r="J1859" s="122" t="s">
        <v>709</v>
      </c>
      <c r="K1859" s="283">
        <v>1398</v>
      </c>
      <c r="L1859" s="318">
        <v>-33.886032</v>
      </c>
      <c r="M1859" s="318">
        <v>151.21807899999999</v>
      </c>
      <c r="O1859">
        <f>INDEX('MEC - traffic congestion'!$M$145:$M$249,MATCH($D1859,'MEC - traffic congestion'!$C$145:$C$249,0))</f>
        <v>1</v>
      </c>
      <c r="P1859" t="str">
        <f t="shared" si="80"/>
        <v>2023AM PEAK</v>
      </c>
      <c r="Q1859">
        <f t="shared" si="81"/>
        <v>1</v>
      </c>
      <c r="R1859" s="195" t="str">
        <f t="shared" si="82"/>
        <v>2023LIGHT VEHICLES</v>
      </c>
    </row>
    <row r="1860" spans="3:18" x14ac:dyDescent="0.25">
      <c r="C1860" s="294" t="s">
        <v>889</v>
      </c>
      <c r="D1860" s="317">
        <v>7121</v>
      </c>
      <c r="E1860" s="122" t="s">
        <v>887</v>
      </c>
      <c r="F1860" s="122" t="s">
        <v>888</v>
      </c>
      <c r="G1860" s="122" t="s">
        <v>778</v>
      </c>
      <c r="H1860" s="122" t="s">
        <v>777</v>
      </c>
      <c r="I1860" s="312">
        <v>2023</v>
      </c>
      <c r="J1860" s="122" t="s">
        <v>710</v>
      </c>
      <c r="K1860" s="283">
        <v>4291</v>
      </c>
      <c r="L1860" s="318">
        <v>-33.886032</v>
      </c>
      <c r="M1860" s="318">
        <v>151.21807899999999</v>
      </c>
      <c r="O1860">
        <f>INDEX('MEC - traffic congestion'!$M$145:$M$249,MATCH($D1860,'MEC - traffic congestion'!$C$145:$C$249,0))</f>
        <v>1</v>
      </c>
      <c r="P1860" t="str">
        <f t="shared" si="80"/>
        <v>2023OFF PEAK</v>
      </c>
      <c r="Q1860">
        <f t="shared" si="81"/>
        <v>1</v>
      </c>
      <c r="R1860" s="195" t="str">
        <f t="shared" si="82"/>
        <v>2023LIGHT VEHICLES</v>
      </c>
    </row>
    <row r="1861" spans="3:18" x14ac:dyDescent="0.25">
      <c r="C1861" s="294" t="s">
        <v>889</v>
      </c>
      <c r="D1861" s="317">
        <v>7121</v>
      </c>
      <c r="E1861" s="122" t="s">
        <v>887</v>
      </c>
      <c r="F1861" s="122" t="s">
        <v>888</v>
      </c>
      <c r="G1861" s="122" t="s">
        <v>778</v>
      </c>
      <c r="H1861" s="122" t="s">
        <v>777</v>
      </c>
      <c r="I1861" s="312">
        <v>2023</v>
      </c>
      <c r="J1861" s="122" t="s">
        <v>711</v>
      </c>
      <c r="K1861" s="283">
        <v>2407</v>
      </c>
      <c r="L1861" s="318">
        <v>-33.886032</v>
      </c>
      <c r="M1861" s="318">
        <v>151.21807899999999</v>
      </c>
      <c r="O1861">
        <f>INDEX('MEC - traffic congestion'!$M$145:$M$249,MATCH($D1861,'MEC - traffic congestion'!$C$145:$C$249,0))</f>
        <v>1</v>
      </c>
      <c r="P1861" t="str">
        <f t="shared" si="80"/>
        <v>2023PM PEAK</v>
      </c>
      <c r="Q1861">
        <f t="shared" si="81"/>
        <v>1</v>
      </c>
      <c r="R1861" s="195" t="str">
        <f t="shared" si="82"/>
        <v>2023LIGHT VEHICLES</v>
      </c>
    </row>
    <row r="1862" spans="3:18" x14ac:dyDescent="0.25">
      <c r="C1862" s="294" t="s">
        <v>889</v>
      </c>
      <c r="D1862" s="317">
        <v>7121</v>
      </c>
      <c r="E1862" s="122" t="s">
        <v>887</v>
      </c>
      <c r="F1862" s="122" t="s">
        <v>888</v>
      </c>
      <c r="G1862" s="122" t="s">
        <v>778</v>
      </c>
      <c r="H1862" s="122" t="s">
        <v>777</v>
      </c>
      <c r="I1862" s="312">
        <v>2023</v>
      </c>
      <c r="J1862" s="122" t="s">
        <v>713</v>
      </c>
      <c r="K1862" s="283">
        <v>7790</v>
      </c>
      <c r="L1862" s="318">
        <v>-33.886032</v>
      </c>
      <c r="M1862" s="318">
        <v>151.21807899999999</v>
      </c>
      <c r="O1862">
        <f>INDEX('MEC - traffic congestion'!$M$145:$M$249,MATCH($D1862,'MEC - traffic congestion'!$C$145:$C$249,0))</f>
        <v>1</v>
      </c>
      <c r="P1862" t="str">
        <f t="shared" si="80"/>
        <v>2023WEEKENDS</v>
      </c>
      <c r="Q1862">
        <f t="shared" si="81"/>
        <v>1</v>
      </c>
      <c r="R1862" s="195" t="str">
        <f t="shared" si="82"/>
        <v>2023LIGHT VEHICLES</v>
      </c>
    </row>
    <row r="1863" spans="3:18" x14ac:dyDescent="0.25">
      <c r="C1863" s="294" t="s">
        <v>889</v>
      </c>
      <c r="D1863" s="317">
        <v>7121</v>
      </c>
      <c r="E1863" s="122" t="s">
        <v>887</v>
      </c>
      <c r="F1863" s="122" t="s">
        <v>888</v>
      </c>
      <c r="G1863" s="122" t="s">
        <v>778</v>
      </c>
      <c r="H1863" s="122" t="s">
        <v>777</v>
      </c>
      <c r="I1863" s="312">
        <v>2024</v>
      </c>
      <c r="J1863" s="122" t="s">
        <v>709</v>
      </c>
      <c r="K1863" s="283">
        <v>1499</v>
      </c>
      <c r="L1863" s="318">
        <v>-33.886032</v>
      </c>
      <c r="M1863" s="318">
        <v>151.21807899999999</v>
      </c>
      <c r="O1863">
        <f>INDEX('MEC - traffic congestion'!$M$145:$M$249,MATCH($D1863,'MEC - traffic congestion'!$C$145:$C$249,0))</f>
        <v>1</v>
      </c>
      <c r="P1863" t="str">
        <f t="shared" si="80"/>
        <v>2024AM PEAK</v>
      </c>
      <c r="Q1863">
        <f t="shared" si="81"/>
        <v>1</v>
      </c>
      <c r="R1863" s="195" t="str">
        <f t="shared" si="82"/>
        <v>2024LIGHT VEHICLES</v>
      </c>
    </row>
    <row r="1864" spans="3:18" x14ac:dyDescent="0.25">
      <c r="C1864" s="294" t="s">
        <v>889</v>
      </c>
      <c r="D1864" s="317">
        <v>7121</v>
      </c>
      <c r="E1864" s="122" t="s">
        <v>887</v>
      </c>
      <c r="F1864" s="122" t="s">
        <v>888</v>
      </c>
      <c r="G1864" s="122" t="s">
        <v>778</v>
      </c>
      <c r="H1864" s="122" t="s">
        <v>777</v>
      </c>
      <c r="I1864" s="312">
        <v>2024</v>
      </c>
      <c r="J1864" s="122" t="s">
        <v>710</v>
      </c>
      <c r="K1864" s="283">
        <v>4376</v>
      </c>
      <c r="L1864" s="318">
        <v>-33.886032</v>
      </c>
      <c r="M1864" s="318">
        <v>151.21807899999999</v>
      </c>
      <c r="O1864">
        <f>INDEX('MEC - traffic congestion'!$M$145:$M$249,MATCH($D1864,'MEC - traffic congestion'!$C$145:$C$249,0))</f>
        <v>1</v>
      </c>
      <c r="P1864" t="str">
        <f t="shared" si="80"/>
        <v>2024OFF PEAK</v>
      </c>
      <c r="Q1864">
        <f t="shared" si="81"/>
        <v>1</v>
      </c>
      <c r="R1864" s="195" t="str">
        <f t="shared" si="82"/>
        <v>2024LIGHT VEHICLES</v>
      </c>
    </row>
    <row r="1865" spans="3:18" x14ac:dyDescent="0.25">
      <c r="C1865" s="294" t="s">
        <v>889</v>
      </c>
      <c r="D1865" s="317">
        <v>7121</v>
      </c>
      <c r="E1865" s="122" t="s">
        <v>887</v>
      </c>
      <c r="F1865" s="122" t="s">
        <v>888</v>
      </c>
      <c r="G1865" s="122" t="s">
        <v>778</v>
      </c>
      <c r="H1865" s="122" t="s">
        <v>777</v>
      </c>
      <c r="I1865" s="312">
        <v>2024</v>
      </c>
      <c r="J1865" s="122" t="s">
        <v>711</v>
      </c>
      <c r="K1865" s="283">
        <v>2212</v>
      </c>
      <c r="L1865" s="318">
        <v>-33.886032</v>
      </c>
      <c r="M1865" s="318">
        <v>151.21807899999999</v>
      </c>
      <c r="O1865">
        <f>INDEX('MEC - traffic congestion'!$M$145:$M$249,MATCH($D1865,'MEC - traffic congestion'!$C$145:$C$249,0))</f>
        <v>1</v>
      </c>
      <c r="P1865" t="str">
        <f t="shared" si="80"/>
        <v>2024PM PEAK</v>
      </c>
      <c r="Q1865">
        <f t="shared" si="81"/>
        <v>1</v>
      </c>
      <c r="R1865" s="195" t="str">
        <f t="shared" si="82"/>
        <v>2024LIGHT VEHICLES</v>
      </c>
    </row>
    <row r="1866" spans="3:18" x14ac:dyDescent="0.25">
      <c r="C1866" s="294" t="s">
        <v>889</v>
      </c>
      <c r="D1866" s="317">
        <v>7121</v>
      </c>
      <c r="E1866" s="122" t="s">
        <v>887</v>
      </c>
      <c r="F1866" s="122" t="s">
        <v>888</v>
      </c>
      <c r="G1866" s="122" t="s">
        <v>778</v>
      </c>
      <c r="H1866" s="122" t="s">
        <v>777</v>
      </c>
      <c r="I1866" s="312">
        <v>2024</v>
      </c>
      <c r="J1866" s="122" t="s">
        <v>713</v>
      </c>
      <c r="K1866" s="283">
        <v>7969</v>
      </c>
      <c r="L1866" s="318">
        <v>-33.886032</v>
      </c>
      <c r="M1866" s="318">
        <v>151.21807899999999</v>
      </c>
      <c r="O1866">
        <f>INDEX('MEC - traffic congestion'!$M$145:$M$249,MATCH($D1866,'MEC - traffic congestion'!$C$145:$C$249,0))</f>
        <v>1</v>
      </c>
      <c r="P1866" t="str">
        <f t="shared" si="80"/>
        <v>2024WEEKENDS</v>
      </c>
      <c r="Q1866">
        <f t="shared" si="81"/>
        <v>1</v>
      </c>
      <c r="R1866" s="195" t="str">
        <f t="shared" si="82"/>
        <v>2024LIGHT VEHICLES</v>
      </c>
    </row>
    <row r="1867" spans="3:18" x14ac:dyDescent="0.25">
      <c r="C1867" s="294" t="s">
        <v>890</v>
      </c>
      <c r="D1867" s="317" t="s">
        <v>729</v>
      </c>
      <c r="E1867" s="122" t="s">
        <v>891</v>
      </c>
      <c r="F1867" s="122" t="s">
        <v>892</v>
      </c>
      <c r="G1867" s="122" t="s">
        <v>785</v>
      </c>
      <c r="H1867" s="122" t="s">
        <v>777</v>
      </c>
      <c r="I1867" s="312">
        <v>2018</v>
      </c>
      <c r="J1867" s="122" t="s">
        <v>709</v>
      </c>
      <c r="K1867" s="283">
        <v>2973</v>
      </c>
      <c r="L1867" s="318">
        <v>-33.769587999999999</v>
      </c>
      <c r="M1867" s="318">
        <v>150.76873800000001</v>
      </c>
      <c r="O1867">
        <f>INDEX('MEC - traffic congestion'!$M$145:$M$249,MATCH($D1867,'MEC - traffic congestion'!$C$145:$C$249,0))</f>
        <v>1</v>
      </c>
      <c r="P1867" t="str">
        <f t="shared" si="80"/>
        <v>2018AM PEAK</v>
      </c>
      <c r="Q1867">
        <f t="shared" si="81"/>
        <v>1</v>
      </c>
      <c r="R1867" s="195" t="str">
        <f t="shared" si="82"/>
        <v>2018LIGHT VEHICLES</v>
      </c>
    </row>
    <row r="1868" spans="3:18" x14ac:dyDescent="0.25">
      <c r="C1868" s="294" t="s">
        <v>890</v>
      </c>
      <c r="D1868" s="317" t="s">
        <v>729</v>
      </c>
      <c r="E1868" s="122" t="s">
        <v>891</v>
      </c>
      <c r="F1868" s="122" t="s">
        <v>892</v>
      </c>
      <c r="G1868" s="122" t="s">
        <v>786</v>
      </c>
      <c r="H1868" s="122" t="s">
        <v>777</v>
      </c>
      <c r="I1868" s="312">
        <v>2018</v>
      </c>
      <c r="J1868" s="122" t="s">
        <v>709</v>
      </c>
      <c r="K1868" s="283">
        <v>2268</v>
      </c>
      <c r="L1868" s="318">
        <v>-33.769587999999999</v>
      </c>
      <c r="M1868" s="318">
        <v>150.76873800000001</v>
      </c>
      <c r="O1868">
        <f>INDEX('MEC - traffic congestion'!$M$145:$M$249,MATCH($D1868,'MEC - traffic congestion'!$C$145:$C$249,0))</f>
        <v>1</v>
      </c>
      <c r="P1868" t="str">
        <f t="shared" si="80"/>
        <v>2018AM PEAK</v>
      </c>
      <c r="Q1868">
        <f t="shared" si="81"/>
        <v>1</v>
      </c>
      <c r="R1868" s="195" t="str">
        <f t="shared" si="82"/>
        <v>2018LIGHT VEHICLES</v>
      </c>
    </row>
    <row r="1869" spans="3:18" x14ac:dyDescent="0.25">
      <c r="C1869" s="294" t="s">
        <v>890</v>
      </c>
      <c r="D1869" s="317" t="s">
        <v>729</v>
      </c>
      <c r="E1869" s="122" t="s">
        <v>891</v>
      </c>
      <c r="F1869" s="122" t="s">
        <v>892</v>
      </c>
      <c r="G1869" s="122" t="s">
        <v>785</v>
      </c>
      <c r="H1869" s="122" t="s">
        <v>777</v>
      </c>
      <c r="I1869" s="312">
        <v>2018</v>
      </c>
      <c r="J1869" s="122" t="s">
        <v>710</v>
      </c>
      <c r="K1869" s="283">
        <v>5443</v>
      </c>
      <c r="L1869" s="318">
        <v>-33.769587999999999</v>
      </c>
      <c r="M1869" s="318">
        <v>150.76873800000001</v>
      </c>
      <c r="O1869">
        <f>INDEX('MEC - traffic congestion'!$M$145:$M$249,MATCH($D1869,'MEC - traffic congestion'!$C$145:$C$249,0))</f>
        <v>1</v>
      </c>
      <c r="P1869" t="str">
        <f t="shared" si="80"/>
        <v>2018OFF PEAK</v>
      </c>
      <c r="Q1869">
        <f t="shared" si="81"/>
        <v>1</v>
      </c>
      <c r="R1869" s="195" t="str">
        <f t="shared" si="82"/>
        <v>2018LIGHT VEHICLES</v>
      </c>
    </row>
    <row r="1870" spans="3:18" x14ac:dyDescent="0.25">
      <c r="C1870" s="294" t="s">
        <v>890</v>
      </c>
      <c r="D1870" s="317" t="s">
        <v>729</v>
      </c>
      <c r="E1870" s="122" t="s">
        <v>891</v>
      </c>
      <c r="F1870" s="122" t="s">
        <v>892</v>
      </c>
      <c r="G1870" s="122" t="s">
        <v>786</v>
      </c>
      <c r="H1870" s="122" t="s">
        <v>777</v>
      </c>
      <c r="I1870" s="312">
        <v>2018</v>
      </c>
      <c r="J1870" s="122" t="s">
        <v>710</v>
      </c>
      <c r="K1870" s="283">
        <v>5118</v>
      </c>
      <c r="L1870" s="318">
        <v>-33.769587999999999</v>
      </c>
      <c r="M1870" s="318">
        <v>150.76873800000001</v>
      </c>
      <c r="O1870">
        <f>INDEX('MEC - traffic congestion'!$M$145:$M$249,MATCH($D1870,'MEC - traffic congestion'!$C$145:$C$249,0))</f>
        <v>1</v>
      </c>
      <c r="P1870" t="str">
        <f t="shared" si="80"/>
        <v>2018OFF PEAK</v>
      </c>
      <c r="Q1870">
        <f t="shared" si="81"/>
        <v>1</v>
      </c>
      <c r="R1870" s="195" t="str">
        <f t="shared" si="82"/>
        <v>2018LIGHT VEHICLES</v>
      </c>
    </row>
    <row r="1871" spans="3:18" x14ac:dyDescent="0.25">
      <c r="C1871" s="294" t="s">
        <v>890</v>
      </c>
      <c r="D1871" s="317" t="s">
        <v>729</v>
      </c>
      <c r="E1871" s="122" t="s">
        <v>891</v>
      </c>
      <c r="F1871" s="122" t="s">
        <v>892</v>
      </c>
      <c r="G1871" s="122" t="s">
        <v>785</v>
      </c>
      <c r="H1871" s="122" t="s">
        <v>777</v>
      </c>
      <c r="I1871" s="312">
        <v>2018</v>
      </c>
      <c r="J1871" s="122" t="s">
        <v>711</v>
      </c>
      <c r="K1871" s="283">
        <v>2895</v>
      </c>
      <c r="L1871" s="318">
        <v>-33.769587999999999</v>
      </c>
      <c r="M1871" s="318">
        <v>150.76873800000001</v>
      </c>
      <c r="O1871">
        <f>INDEX('MEC - traffic congestion'!$M$145:$M$249,MATCH($D1871,'MEC - traffic congestion'!$C$145:$C$249,0))</f>
        <v>1</v>
      </c>
      <c r="P1871" t="str">
        <f t="shared" si="80"/>
        <v>2018PM PEAK</v>
      </c>
      <c r="Q1871">
        <f t="shared" si="81"/>
        <v>1</v>
      </c>
      <c r="R1871" s="195" t="str">
        <f t="shared" si="82"/>
        <v>2018LIGHT VEHICLES</v>
      </c>
    </row>
    <row r="1872" spans="3:18" x14ac:dyDescent="0.25">
      <c r="C1872" s="294" t="s">
        <v>890</v>
      </c>
      <c r="D1872" s="317" t="s">
        <v>729</v>
      </c>
      <c r="E1872" s="122" t="s">
        <v>891</v>
      </c>
      <c r="F1872" s="122" t="s">
        <v>892</v>
      </c>
      <c r="G1872" s="122" t="s">
        <v>786</v>
      </c>
      <c r="H1872" s="122" t="s">
        <v>777</v>
      </c>
      <c r="I1872" s="312">
        <v>2018</v>
      </c>
      <c r="J1872" s="122" t="s">
        <v>711</v>
      </c>
      <c r="K1872" s="283">
        <v>3461</v>
      </c>
      <c r="L1872" s="318">
        <v>-33.769587999999999</v>
      </c>
      <c r="M1872" s="318">
        <v>150.76873800000001</v>
      </c>
      <c r="O1872">
        <f>INDEX('MEC - traffic congestion'!$M$145:$M$249,MATCH($D1872,'MEC - traffic congestion'!$C$145:$C$249,0))</f>
        <v>1</v>
      </c>
      <c r="P1872" t="str">
        <f t="shared" si="80"/>
        <v>2018PM PEAK</v>
      </c>
      <c r="Q1872">
        <f t="shared" si="81"/>
        <v>1</v>
      </c>
      <c r="R1872" s="195" t="str">
        <f t="shared" si="82"/>
        <v>2018LIGHT VEHICLES</v>
      </c>
    </row>
    <row r="1873" spans="3:18" x14ac:dyDescent="0.25">
      <c r="C1873" s="294" t="s">
        <v>890</v>
      </c>
      <c r="D1873" s="317" t="s">
        <v>729</v>
      </c>
      <c r="E1873" s="122" t="s">
        <v>891</v>
      </c>
      <c r="F1873" s="122" t="s">
        <v>892</v>
      </c>
      <c r="G1873" s="122" t="s">
        <v>785</v>
      </c>
      <c r="H1873" s="122" t="s">
        <v>777</v>
      </c>
      <c r="I1873" s="312">
        <v>2018</v>
      </c>
      <c r="J1873" s="122" t="s">
        <v>712</v>
      </c>
      <c r="K1873" s="283">
        <v>6617</v>
      </c>
      <c r="L1873" s="318">
        <v>-33.769587999999999</v>
      </c>
      <c r="M1873" s="318">
        <v>150.76873800000001</v>
      </c>
      <c r="O1873">
        <f>INDEX('MEC - traffic congestion'!$M$145:$M$249,MATCH($D1873,'MEC - traffic congestion'!$C$145:$C$249,0))</f>
        <v>1</v>
      </c>
      <c r="P1873" t="str">
        <f t="shared" si="80"/>
        <v>2018PUBLIC HOLIDAYS</v>
      </c>
      <c r="Q1873">
        <f t="shared" si="81"/>
        <v>1</v>
      </c>
      <c r="R1873" s="195" t="str">
        <f t="shared" si="82"/>
        <v>2018LIGHT VEHICLES</v>
      </c>
    </row>
    <row r="1874" spans="3:18" x14ac:dyDescent="0.25">
      <c r="C1874" s="294" t="s">
        <v>890</v>
      </c>
      <c r="D1874" s="317" t="s">
        <v>729</v>
      </c>
      <c r="E1874" s="122" t="s">
        <v>891</v>
      </c>
      <c r="F1874" s="122" t="s">
        <v>892</v>
      </c>
      <c r="G1874" s="122" t="s">
        <v>786</v>
      </c>
      <c r="H1874" s="122" t="s">
        <v>777</v>
      </c>
      <c r="I1874" s="312">
        <v>2018</v>
      </c>
      <c r="J1874" s="122" t="s">
        <v>712</v>
      </c>
      <c r="K1874" s="283">
        <v>6401</v>
      </c>
      <c r="L1874" s="318">
        <v>-33.769587999999999</v>
      </c>
      <c r="M1874" s="318">
        <v>150.76873800000001</v>
      </c>
      <c r="O1874">
        <f>INDEX('MEC - traffic congestion'!$M$145:$M$249,MATCH($D1874,'MEC - traffic congestion'!$C$145:$C$249,0))</f>
        <v>1</v>
      </c>
      <c r="P1874" t="str">
        <f t="shared" si="80"/>
        <v>2018PUBLIC HOLIDAYS</v>
      </c>
      <c r="Q1874">
        <f t="shared" si="81"/>
        <v>1</v>
      </c>
      <c r="R1874" s="195" t="str">
        <f t="shared" si="82"/>
        <v>2018LIGHT VEHICLES</v>
      </c>
    </row>
    <row r="1875" spans="3:18" x14ac:dyDescent="0.25">
      <c r="C1875" s="294" t="s">
        <v>890</v>
      </c>
      <c r="D1875" s="317" t="s">
        <v>729</v>
      </c>
      <c r="E1875" s="122" t="s">
        <v>891</v>
      </c>
      <c r="F1875" s="122" t="s">
        <v>892</v>
      </c>
      <c r="G1875" s="122" t="s">
        <v>785</v>
      </c>
      <c r="H1875" s="122" t="s">
        <v>777</v>
      </c>
      <c r="I1875" s="312">
        <v>2018</v>
      </c>
      <c r="J1875" s="122" t="s">
        <v>713</v>
      </c>
      <c r="K1875" s="283">
        <v>9063</v>
      </c>
      <c r="L1875" s="318">
        <v>-33.769587999999999</v>
      </c>
      <c r="M1875" s="318">
        <v>150.76873800000001</v>
      </c>
      <c r="O1875">
        <f>INDEX('MEC - traffic congestion'!$M$145:$M$249,MATCH($D1875,'MEC - traffic congestion'!$C$145:$C$249,0))</f>
        <v>1</v>
      </c>
      <c r="P1875" t="str">
        <f t="shared" si="80"/>
        <v>2018WEEKENDS</v>
      </c>
      <c r="Q1875">
        <f t="shared" si="81"/>
        <v>1</v>
      </c>
      <c r="R1875" s="195" t="str">
        <f t="shared" si="82"/>
        <v>2018LIGHT VEHICLES</v>
      </c>
    </row>
    <row r="1876" spans="3:18" x14ac:dyDescent="0.25">
      <c r="C1876" s="294" t="s">
        <v>890</v>
      </c>
      <c r="D1876" s="317" t="s">
        <v>729</v>
      </c>
      <c r="E1876" s="122" t="s">
        <v>891</v>
      </c>
      <c r="F1876" s="122" t="s">
        <v>892</v>
      </c>
      <c r="G1876" s="122" t="s">
        <v>786</v>
      </c>
      <c r="H1876" s="122" t="s">
        <v>777</v>
      </c>
      <c r="I1876" s="312">
        <v>2018</v>
      </c>
      <c r="J1876" s="122" t="s">
        <v>713</v>
      </c>
      <c r="K1876" s="283">
        <v>9143</v>
      </c>
      <c r="L1876" s="318">
        <v>-33.769587999999999</v>
      </c>
      <c r="M1876" s="318">
        <v>150.76873800000001</v>
      </c>
      <c r="O1876">
        <f>INDEX('MEC - traffic congestion'!$M$145:$M$249,MATCH($D1876,'MEC - traffic congestion'!$C$145:$C$249,0))</f>
        <v>1</v>
      </c>
      <c r="P1876" t="str">
        <f t="shared" si="80"/>
        <v>2018WEEKENDS</v>
      </c>
      <c r="Q1876">
        <f t="shared" si="81"/>
        <v>1</v>
      </c>
      <c r="R1876" s="195" t="str">
        <f t="shared" si="82"/>
        <v>2018LIGHT VEHICLES</v>
      </c>
    </row>
    <row r="1877" spans="3:18" x14ac:dyDescent="0.25">
      <c r="C1877" s="294" t="s">
        <v>890</v>
      </c>
      <c r="D1877" s="317" t="s">
        <v>729</v>
      </c>
      <c r="E1877" s="122" t="s">
        <v>891</v>
      </c>
      <c r="F1877" s="122" t="s">
        <v>892</v>
      </c>
      <c r="G1877" s="122" t="s">
        <v>785</v>
      </c>
      <c r="H1877" s="122" t="s">
        <v>777</v>
      </c>
      <c r="I1877" s="312">
        <v>2019</v>
      </c>
      <c r="J1877" s="122" t="s">
        <v>709</v>
      </c>
      <c r="K1877" s="283">
        <v>2673</v>
      </c>
      <c r="L1877" s="318">
        <v>-33.769587999999999</v>
      </c>
      <c r="M1877" s="318">
        <v>150.76873800000001</v>
      </c>
      <c r="O1877">
        <f>INDEX('MEC - traffic congestion'!$M$145:$M$249,MATCH($D1877,'MEC - traffic congestion'!$C$145:$C$249,0))</f>
        <v>1</v>
      </c>
      <c r="P1877" t="str">
        <f t="shared" ref="P1877:P1940" si="83">IF($O1877=1,$I1877&amp;$J1877,"")</f>
        <v>2019AM PEAK</v>
      </c>
      <c r="Q1877">
        <f t="shared" ref="Q1877:Q1940" si="84">IF(AND($M1877&gt;150.246,AND($L1877&gt;-34.397,$L1877&lt;-32.662)),1,0)</f>
        <v>1</v>
      </c>
      <c r="R1877" s="195" t="str">
        <f t="shared" ref="R1877:R1940" si="85">IF($O1877=1,$I1877&amp;$H1877,"")</f>
        <v>2019LIGHT VEHICLES</v>
      </c>
    </row>
    <row r="1878" spans="3:18" x14ac:dyDescent="0.25">
      <c r="C1878" s="294" t="s">
        <v>890</v>
      </c>
      <c r="D1878" s="317" t="s">
        <v>729</v>
      </c>
      <c r="E1878" s="122" t="s">
        <v>891</v>
      </c>
      <c r="F1878" s="122" t="s">
        <v>892</v>
      </c>
      <c r="G1878" s="122" t="s">
        <v>786</v>
      </c>
      <c r="H1878" s="122" t="s">
        <v>777</v>
      </c>
      <c r="I1878" s="312">
        <v>2019</v>
      </c>
      <c r="J1878" s="122" t="s">
        <v>709</v>
      </c>
      <c r="K1878" s="283">
        <v>2267</v>
      </c>
      <c r="L1878" s="318">
        <v>-33.769587999999999</v>
      </c>
      <c r="M1878" s="318">
        <v>150.76873800000001</v>
      </c>
      <c r="O1878">
        <f>INDEX('MEC - traffic congestion'!$M$145:$M$249,MATCH($D1878,'MEC - traffic congestion'!$C$145:$C$249,0))</f>
        <v>1</v>
      </c>
      <c r="P1878" t="str">
        <f t="shared" si="83"/>
        <v>2019AM PEAK</v>
      </c>
      <c r="Q1878">
        <f t="shared" si="84"/>
        <v>1</v>
      </c>
      <c r="R1878" s="195" t="str">
        <f t="shared" si="85"/>
        <v>2019LIGHT VEHICLES</v>
      </c>
    </row>
    <row r="1879" spans="3:18" x14ac:dyDescent="0.25">
      <c r="C1879" s="294" t="s">
        <v>890</v>
      </c>
      <c r="D1879" s="317" t="s">
        <v>729</v>
      </c>
      <c r="E1879" s="122" t="s">
        <v>891</v>
      </c>
      <c r="F1879" s="122" t="s">
        <v>892</v>
      </c>
      <c r="G1879" s="122" t="s">
        <v>785</v>
      </c>
      <c r="H1879" s="122" t="s">
        <v>777</v>
      </c>
      <c r="I1879" s="312">
        <v>2019</v>
      </c>
      <c r="J1879" s="122" t="s">
        <v>710</v>
      </c>
      <c r="K1879" s="283">
        <v>5277</v>
      </c>
      <c r="L1879" s="318">
        <v>-33.769587999999999</v>
      </c>
      <c r="M1879" s="318">
        <v>150.76873800000001</v>
      </c>
      <c r="O1879">
        <f>INDEX('MEC - traffic congestion'!$M$145:$M$249,MATCH($D1879,'MEC - traffic congestion'!$C$145:$C$249,0))</f>
        <v>1</v>
      </c>
      <c r="P1879" t="str">
        <f t="shared" si="83"/>
        <v>2019OFF PEAK</v>
      </c>
      <c r="Q1879">
        <f t="shared" si="84"/>
        <v>1</v>
      </c>
      <c r="R1879" s="195" t="str">
        <f t="shared" si="85"/>
        <v>2019LIGHT VEHICLES</v>
      </c>
    </row>
    <row r="1880" spans="3:18" x14ac:dyDescent="0.25">
      <c r="C1880" s="294" t="s">
        <v>890</v>
      </c>
      <c r="D1880" s="317" t="s">
        <v>729</v>
      </c>
      <c r="E1880" s="122" t="s">
        <v>891</v>
      </c>
      <c r="F1880" s="122" t="s">
        <v>892</v>
      </c>
      <c r="G1880" s="122" t="s">
        <v>786</v>
      </c>
      <c r="H1880" s="122" t="s">
        <v>777</v>
      </c>
      <c r="I1880" s="312">
        <v>2019</v>
      </c>
      <c r="J1880" s="122" t="s">
        <v>710</v>
      </c>
      <c r="K1880" s="283">
        <v>5170</v>
      </c>
      <c r="L1880" s="318">
        <v>-33.769587999999999</v>
      </c>
      <c r="M1880" s="318">
        <v>150.76873800000001</v>
      </c>
      <c r="O1880">
        <f>INDEX('MEC - traffic congestion'!$M$145:$M$249,MATCH($D1880,'MEC - traffic congestion'!$C$145:$C$249,0))</f>
        <v>1</v>
      </c>
      <c r="P1880" t="str">
        <f t="shared" si="83"/>
        <v>2019OFF PEAK</v>
      </c>
      <c r="Q1880">
        <f t="shared" si="84"/>
        <v>1</v>
      </c>
      <c r="R1880" s="195" t="str">
        <f t="shared" si="85"/>
        <v>2019LIGHT VEHICLES</v>
      </c>
    </row>
    <row r="1881" spans="3:18" x14ac:dyDescent="0.25">
      <c r="C1881" s="294" t="s">
        <v>890</v>
      </c>
      <c r="D1881" s="317" t="s">
        <v>729</v>
      </c>
      <c r="E1881" s="122" t="s">
        <v>891</v>
      </c>
      <c r="F1881" s="122" t="s">
        <v>892</v>
      </c>
      <c r="G1881" s="122" t="s">
        <v>785</v>
      </c>
      <c r="H1881" s="122" t="s">
        <v>777</v>
      </c>
      <c r="I1881" s="312">
        <v>2019</v>
      </c>
      <c r="J1881" s="122" t="s">
        <v>711</v>
      </c>
      <c r="K1881" s="283">
        <v>2782</v>
      </c>
      <c r="L1881" s="318">
        <v>-33.769587999999999</v>
      </c>
      <c r="M1881" s="318">
        <v>150.76873800000001</v>
      </c>
      <c r="O1881">
        <f>INDEX('MEC - traffic congestion'!$M$145:$M$249,MATCH($D1881,'MEC - traffic congestion'!$C$145:$C$249,0))</f>
        <v>1</v>
      </c>
      <c r="P1881" t="str">
        <f t="shared" si="83"/>
        <v>2019PM PEAK</v>
      </c>
      <c r="Q1881">
        <f t="shared" si="84"/>
        <v>1</v>
      </c>
      <c r="R1881" s="195" t="str">
        <f t="shared" si="85"/>
        <v>2019LIGHT VEHICLES</v>
      </c>
    </row>
    <row r="1882" spans="3:18" x14ac:dyDescent="0.25">
      <c r="C1882" s="294" t="s">
        <v>890</v>
      </c>
      <c r="D1882" s="317" t="s">
        <v>729</v>
      </c>
      <c r="E1882" s="122" t="s">
        <v>891</v>
      </c>
      <c r="F1882" s="122" t="s">
        <v>892</v>
      </c>
      <c r="G1882" s="122" t="s">
        <v>786</v>
      </c>
      <c r="H1882" s="122" t="s">
        <v>777</v>
      </c>
      <c r="I1882" s="312">
        <v>2019</v>
      </c>
      <c r="J1882" s="122" t="s">
        <v>711</v>
      </c>
      <c r="K1882" s="283">
        <v>3422</v>
      </c>
      <c r="L1882" s="318">
        <v>-33.769587999999999</v>
      </c>
      <c r="M1882" s="318">
        <v>150.76873800000001</v>
      </c>
      <c r="O1882">
        <f>INDEX('MEC - traffic congestion'!$M$145:$M$249,MATCH($D1882,'MEC - traffic congestion'!$C$145:$C$249,0))</f>
        <v>1</v>
      </c>
      <c r="P1882" t="str">
        <f t="shared" si="83"/>
        <v>2019PM PEAK</v>
      </c>
      <c r="Q1882">
        <f t="shared" si="84"/>
        <v>1</v>
      </c>
      <c r="R1882" s="195" t="str">
        <f t="shared" si="85"/>
        <v>2019LIGHT VEHICLES</v>
      </c>
    </row>
    <row r="1883" spans="3:18" x14ac:dyDescent="0.25">
      <c r="C1883" s="294" t="s">
        <v>890</v>
      </c>
      <c r="D1883" s="317" t="s">
        <v>729</v>
      </c>
      <c r="E1883" s="122" t="s">
        <v>891</v>
      </c>
      <c r="F1883" s="122" t="s">
        <v>892</v>
      </c>
      <c r="G1883" s="122" t="s">
        <v>785</v>
      </c>
      <c r="H1883" s="122" t="s">
        <v>777</v>
      </c>
      <c r="I1883" s="312">
        <v>2019</v>
      </c>
      <c r="J1883" s="122" t="s">
        <v>712</v>
      </c>
      <c r="K1883" s="283">
        <v>6231</v>
      </c>
      <c r="L1883" s="318">
        <v>-33.769587999999999</v>
      </c>
      <c r="M1883" s="318">
        <v>150.76873800000001</v>
      </c>
      <c r="O1883">
        <f>INDEX('MEC - traffic congestion'!$M$145:$M$249,MATCH($D1883,'MEC - traffic congestion'!$C$145:$C$249,0))</f>
        <v>1</v>
      </c>
      <c r="P1883" t="str">
        <f t="shared" si="83"/>
        <v>2019PUBLIC HOLIDAYS</v>
      </c>
      <c r="Q1883">
        <f t="shared" si="84"/>
        <v>1</v>
      </c>
      <c r="R1883" s="195" t="str">
        <f t="shared" si="85"/>
        <v>2019LIGHT VEHICLES</v>
      </c>
    </row>
    <row r="1884" spans="3:18" x14ac:dyDescent="0.25">
      <c r="C1884" s="294" t="s">
        <v>890</v>
      </c>
      <c r="D1884" s="317" t="s">
        <v>729</v>
      </c>
      <c r="E1884" s="122" t="s">
        <v>891</v>
      </c>
      <c r="F1884" s="122" t="s">
        <v>892</v>
      </c>
      <c r="G1884" s="122" t="s">
        <v>786</v>
      </c>
      <c r="H1884" s="122" t="s">
        <v>777</v>
      </c>
      <c r="I1884" s="312">
        <v>2019</v>
      </c>
      <c r="J1884" s="122" t="s">
        <v>712</v>
      </c>
      <c r="K1884" s="283">
        <v>6245</v>
      </c>
      <c r="L1884" s="318">
        <v>-33.769587999999999</v>
      </c>
      <c r="M1884" s="318">
        <v>150.76873800000001</v>
      </c>
      <c r="O1884">
        <f>INDEX('MEC - traffic congestion'!$M$145:$M$249,MATCH($D1884,'MEC - traffic congestion'!$C$145:$C$249,0))</f>
        <v>1</v>
      </c>
      <c r="P1884" t="str">
        <f t="shared" si="83"/>
        <v>2019PUBLIC HOLIDAYS</v>
      </c>
      <c r="Q1884">
        <f t="shared" si="84"/>
        <v>1</v>
      </c>
      <c r="R1884" s="195" t="str">
        <f t="shared" si="85"/>
        <v>2019LIGHT VEHICLES</v>
      </c>
    </row>
    <row r="1885" spans="3:18" x14ac:dyDescent="0.25">
      <c r="C1885" s="294" t="s">
        <v>890</v>
      </c>
      <c r="D1885" s="317" t="s">
        <v>729</v>
      </c>
      <c r="E1885" s="122" t="s">
        <v>891</v>
      </c>
      <c r="F1885" s="122" t="s">
        <v>892</v>
      </c>
      <c r="G1885" s="122" t="s">
        <v>785</v>
      </c>
      <c r="H1885" s="122" t="s">
        <v>777</v>
      </c>
      <c r="I1885" s="312">
        <v>2019</v>
      </c>
      <c r="J1885" s="122" t="s">
        <v>713</v>
      </c>
      <c r="K1885" s="283">
        <v>8348</v>
      </c>
      <c r="L1885" s="318">
        <v>-33.769587999999999</v>
      </c>
      <c r="M1885" s="318">
        <v>150.76873800000001</v>
      </c>
      <c r="O1885">
        <f>INDEX('MEC - traffic congestion'!$M$145:$M$249,MATCH($D1885,'MEC - traffic congestion'!$C$145:$C$249,0))</f>
        <v>1</v>
      </c>
      <c r="P1885" t="str">
        <f t="shared" si="83"/>
        <v>2019WEEKENDS</v>
      </c>
      <c r="Q1885">
        <f t="shared" si="84"/>
        <v>1</v>
      </c>
      <c r="R1885" s="195" t="str">
        <f t="shared" si="85"/>
        <v>2019LIGHT VEHICLES</v>
      </c>
    </row>
    <row r="1886" spans="3:18" x14ac:dyDescent="0.25">
      <c r="C1886" s="294" t="s">
        <v>890</v>
      </c>
      <c r="D1886" s="317" t="s">
        <v>729</v>
      </c>
      <c r="E1886" s="122" t="s">
        <v>891</v>
      </c>
      <c r="F1886" s="122" t="s">
        <v>892</v>
      </c>
      <c r="G1886" s="122" t="s">
        <v>786</v>
      </c>
      <c r="H1886" s="122" t="s">
        <v>777</v>
      </c>
      <c r="I1886" s="312">
        <v>2019</v>
      </c>
      <c r="J1886" s="122" t="s">
        <v>713</v>
      </c>
      <c r="K1886" s="283">
        <v>8618</v>
      </c>
      <c r="L1886" s="318">
        <v>-33.769587999999999</v>
      </c>
      <c r="M1886" s="318">
        <v>150.76873800000001</v>
      </c>
      <c r="O1886">
        <f>INDEX('MEC - traffic congestion'!$M$145:$M$249,MATCH($D1886,'MEC - traffic congestion'!$C$145:$C$249,0))</f>
        <v>1</v>
      </c>
      <c r="P1886" t="str">
        <f t="shared" si="83"/>
        <v>2019WEEKENDS</v>
      </c>
      <c r="Q1886">
        <f t="shared" si="84"/>
        <v>1</v>
      </c>
      <c r="R1886" s="195" t="str">
        <f t="shared" si="85"/>
        <v>2019LIGHT VEHICLES</v>
      </c>
    </row>
    <row r="1887" spans="3:18" x14ac:dyDescent="0.25">
      <c r="C1887" s="294" t="s">
        <v>890</v>
      </c>
      <c r="D1887" s="317" t="s">
        <v>729</v>
      </c>
      <c r="E1887" s="122" t="s">
        <v>891</v>
      </c>
      <c r="F1887" s="122" t="s">
        <v>892</v>
      </c>
      <c r="G1887" s="122" t="s">
        <v>785</v>
      </c>
      <c r="H1887" s="122" t="s">
        <v>777</v>
      </c>
      <c r="I1887" s="312">
        <v>2020</v>
      </c>
      <c r="J1887" s="122" t="s">
        <v>709</v>
      </c>
      <c r="K1887" s="283">
        <v>2312</v>
      </c>
      <c r="L1887" s="318">
        <v>-33.769587999999999</v>
      </c>
      <c r="M1887" s="318">
        <v>150.76873800000001</v>
      </c>
      <c r="O1887">
        <f>INDEX('MEC - traffic congestion'!$M$145:$M$249,MATCH($D1887,'MEC - traffic congestion'!$C$145:$C$249,0))</f>
        <v>1</v>
      </c>
      <c r="P1887" t="str">
        <f t="shared" si="83"/>
        <v>2020AM PEAK</v>
      </c>
      <c r="Q1887">
        <f t="shared" si="84"/>
        <v>1</v>
      </c>
      <c r="R1887" s="195" t="str">
        <f t="shared" si="85"/>
        <v>2020LIGHT VEHICLES</v>
      </c>
    </row>
    <row r="1888" spans="3:18" x14ac:dyDescent="0.25">
      <c r="C1888" s="294" t="s">
        <v>890</v>
      </c>
      <c r="D1888" s="317" t="s">
        <v>729</v>
      </c>
      <c r="E1888" s="122" t="s">
        <v>891</v>
      </c>
      <c r="F1888" s="122" t="s">
        <v>892</v>
      </c>
      <c r="G1888" s="122" t="s">
        <v>786</v>
      </c>
      <c r="H1888" s="122" t="s">
        <v>777</v>
      </c>
      <c r="I1888" s="312">
        <v>2020</v>
      </c>
      <c r="J1888" s="122" t="s">
        <v>709</v>
      </c>
      <c r="K1888" s="283">
        <v>2069</v>
      </c>
      <c r="L1888" s="318">
        <v>-33.769587999999999</v>
      </c>
      <c r="M1888" s="318">
        <v>150.76873800000001</v>
      </c>
      <c r="O1888">
        <f>INDEX('MEC - traffic congestion'!$M$145:$M$249,MATCH($D1888,'MEC - traffic congestion'!$C$145:$C$249,0))</f>
        <v>1</v>
      </c>
      <c r="P1888" t="str">
        <f t="shared" si="83"/>
        <v>2020AM PEAK</v>
      </c>
      <c r="Q1888">
        <f t="shared" si="84"/>
        <v>1</v>
      </c>
      <c r="R1888" s="195" t="str">
        <f t="shared" si="85"/>
        <v>2020LIGHT VEHICLES</v>
      </c>
    </row>
    <row r="1889" spans="3:18" x14ac:dyDescent="0.25">
      <c r="C1889" s="294" t="s">
        <v>890</v>
      </c>
      <c r="D1889" s="317" t="s">
        <v>729</v>
      </c>
      <c r="E1889" s="122" t="s">
        <v>891</v>
      </c>
      <c r="F1889" s="122" t="s">
        <v>892</v>
      </c>
      <c r="G1889" s="122" t="s">
        <v>785</v>
      </c>
      <c r="H1889" s="122" t="s">
        <v>777</v>
      </c>
      <c r="I1889" s="312">
        <v>2020</v>
      </c>
      <c r="J1889" s="122" t="s">
        <v>710</v>
      </c>
      <c r="K1889" s="283">
        <v>4819</v>
      </c>
      <c r="L1889" s="318">
        <v>-33.769587999999999</v>
      </c>
      <c r="M1889" s="318">
        <v>150.76873800000001</v>
      </c>
      <c r="O1889">
        <f>INDEX('MEC - traffic congestion'!$M$145:$M$249,MATCH($D1889,'MEC - traffic congestion'!$C$145:$C$249,0))</f>
        <v>1</v>
      </c>
      <c r="P1889" t="str">
        <f t="shared" si="83"/>
        <v>2020OFF PEAK</v>
      </c>
      <c r="Q1889">
        <f t="shared" si="84"/>
        <v>1</v>
      </c>
      <c r="R1889" s="195" t="str">
        <f t="shared" si="85"/>
        <v>2020LIGHT VEHICLES</v>
      </c>
    </row>
    <row r="1890" spans="3:18" x14ac:dyDescent="0.25">
      <c r="C1890" s="294" t="s">
        <v>890</v>
      </c>
      <c r="D1890" s="317" t="s">
        <v>729</v>
      </c>
      <c r="E1890" s="122" t="s">
        <v>891</v>
      </c>
      <c r="F1890" s="122" t="s">
        <v>892</v>
      </c>
      <c r="G1890" s="122" t="s">
        <v>786</v>
      </c>
      <c r="H1890" s="122" t="s">
        <v>777</v>
      </c>
      <c r="I1890" s="312">
        <v>2020</v>
      </c>
      <c r="J1890" s="122" t="s">
        <v>710</v>
      </c>
      <c r="K1890" s="283">
        <v>4827</v>
      </c>
      <c r="L1890" s="318">
        <v>-33.769587999999999</v>
      </c>
      <c r="M1890" s="318">
        <v>150.76873800000001</v>
      </c>
      <c r="O1890">
        <f>INDEX('MEC - traffic congestion'!$M$145:$M$249,MATCH($D1890,'MEC - traffic congestion'!$C$145:$C$249,0))</f>
        <v>1</v>
      </c>
      <c r="P1890" t="str">
        <f t="shared" si="83"/>
        <v>2020OFF PEAK</v>
      </c>
      <c r="Q1890">
        <f t="shared" si="84"/>
        <v>1</v>
      </c>
      <c r="R1890" s="195" t="str">
        <f t="shared" si="85"/>
        <v>2020LIGHT VEHICLES</v>
      </c>
    </row>
    <row r="1891" spans="3:18" x14ac:dyDescent="0.25">
      <c r="C1891" s="294" t="s">
        <v>890</v>
      </c>
      <c r="D1891" s="317" t="s">
        <v>729</v>
      </c>
      <c r="E1891" s="122" t="s">
        <v>891</v>
      </c>
      <c r="F1891" s="122" t="s">
        <v>892</v>
      </c>
      <c r="G1891" s="122" t="s">
        <v>785</v>
      </c>
      <c r="H1891" s="122" t="s">
        <v>777</v>
      </c>
      <c r="I1891" s="312">
        <v>2020</v>
      </c>
      <c r="J1891" s="122" t="s">
        <v>711</v>
      </c>
      <c r="K1891" s="283">
        <v>2591</v>
      </c>
      <c r="L1891" s="318">
        <v>-33.769587999999999</v>
      </c>
      <c r="M1891" s="318">
        <v>150.76873800000001</v>
      </c>
      <c r="O1891">
        <f>INDEX('MEC - traffic congestion'!$M$145:$M$249,MATCH($D1891,'MEC - traffic congestion'!$C$145:$C$249,0))</f>
        <v>1</v>
      </c>
      <c r="P1891" t="str">
        <f t="shared" si="83"/>
        <v>2020PM PEAK</v>
      </c>
      <c r="Q1891">
        <f t="shared" si="84"/>
        <v>1</v>
      </c>
      <c r="R1891" s="195" t="str">
        <f t="shared" si="85"/>
        <v>2020LIGHT VEHICLES</v>
      </c>
    </row>
    <row r="1892" spans="3:18" x14ac:dyDescent="0.25">
      <c r="C1892" s="294" t="s">
        <v>890</v>
      </c>
      <c r="D1892" s="317" t="s">
        <v>729</v>
      </c>
      <c r="E1892" s="122" t="s">
        <v>891</v>
      </c>
      <c r="F1892" s="122" t="s">
        <v>892</v>
      </c>
      <c r="G1892" s="122" t="s">
        <v>786</v>
      </c>
      <c r="H1892" s="122" t="s">
        <v>777</v>
      </c>
      <c r="I1892" s="312">
        <v>2020</v>
      </c>
      <c r="J1892" s="122" t="s">
        <v>711</v>
      </c>
      <c r="K1892" s="283">
        <v>3158</v>
      </c>
      <c r="L1892" s="318">
        <v>-33.769587999999999</v>
      </c>
      <c r="M1892" s="318">
        <v>150.76873800000001</v>
      </c>
      <c r="O1892">
        <f>INDEX('MEC - traffic congestion'!$M$145:$M$249,MATCH($D1892,'MEC - traffic congestion'!$C$145:$C$249,0))</f>
        <v>1</v>
      </c>
      <c r="P1892" t="str">
        <f t="shared" si="83"/>
        <v>2020PM PEAK</v>
      </c>
      <c r="Q1892">
        <f t="shared" si="84"/>
        <v>1</v>
      </c>
      <c r="R1892" s="195" t="str">
        <f t="shared" si="85"/>
        <v>2020LIGHT VEHICLES</v>
      </c>
    </row>
    <row r="1893" spans="3:18" x14ac:dyDescent="0.25">
      <c r="C1893" s="294" t="s">
        <v>890</v>
      </c>
      <c r="D1893" s="317" t="s">
        <v>729</v>
      </c>
      <c r="E1893" s="122" t="s">
        <v>891</v>
      </c>
      <c r="F1893" s="122" t="s">
        <v>892</v>
      </c>
      <c r="G1893" s="122" t="s">
        <v>785</v>
      </c>
      <c r="H1893" s="122" t="s">
        <v>777</v>
      </c>
      <c r="I1893" s="312">
        <v>2020</v>
      </c>
      <c r="J1893" s="122" t="s">
        <v>712</v>
      </c>
      <c r="K1893" s="283">
        <v>5223</v>
      </c>
      <c r="L1893" s="318">
        <v>-33.769587999999999</v>
      </c>
      <c r="M1893" s="318">
        <v>150.76873800000001</v>
      </c>
      <c r="O1893">
        <f>INDEX('MEC - traffic congestion'!$M$145:$M$249,MATCH($D1893,'MEC - traffic congestion'!$C$145:$C$249,0))</f>
        <v>1</v>
      </c>
      <c r="P1893" t="str">
        <f t="shared" si="83"/>
        <v>2020PUBLIC HOLIDAYS</v>
      </c>
      <c r="Q1893">
        <f t="shared" si="84"/>
        <v>1</v>
      </c>
      <c r="R1893" s="195" t="str">
        <f t="shared" si="85"/>
        <v>2020LIGHT VEHICLES</v>
      </c>
    </row>
    <row r="1894" spans="3:18" x14ac:dyDescent="0.25">
      <c r="C1894" s="294" t="s">
        <v>890</v>
      </c>
      <c r="D1894" s="317" t="s">
        <v>729</v>
      </c>
      <c r="E1894" s="122" t="s">
        <v>891</v>
      </c>
      <c r="F1894" s="122" t="s">
        <v>892</v>
      </c>
      <c r="G1894" s="122" t="s">
        <v>786</v>
      </c>
      <c r="H1894" s="122" t="s">
        <v>777</v>
      </c>
      <c r="I1894" s="312">
        <v>2020</v>
      </c>
      <c r="J1894" s="122" t="s">
        <v>712</v>
      </c>
      <c r="K1894" s="283">
        <v>5222</v>
      </c>
      <c r="L1894" s="318">
        <v>-33.769587999999999</v>
      </c>
      <c r="M1894" s="318">
        <v>150.76873800000001</v>
      </c>
      <c r="O1894">
        <f>INDEX('MEC - traffic congestion'!$M$145:$M$249,MATCH($D1894,'MEC - traffic congestion'!$C$145:$C$249,0))</f>
        <v>1</v>
      </c>
      <c r="P1894" t="str">
        <f t="shared" si="83"/>
        <v>2020PUBLIC HOLIDAYS</v>
      </c>
      <c r="Q1894">
        <f t="shared" si="84"/>
        <v>1</v>
      </c>
      <c r="R1894" s="195" t="str">
        <f t="shared" si="85"/>
        <v>2020LIGHT VEHICLES</v>
      </c>
    </row>
    <row r="1895" spans="3:18" x14ac:dyDescent="0.25">
      <c r="C1895" s="294" t="s">
        <v>890</v>
      </c>
      <c r="D1895" s="317" t="s">
        <v>729</v>
      </c>
      <c r="E1895" s="122" t="s">
        <v>891</v>
      </c>
      <c r="F1895" s="122" t="s">
        <v>892</v>
      </c>
      <c r="G1895" s="122" t="s">
        <v>785</v>
      </c>
      <c r="H1895" s="122" t="s">
        <v>777</v>
      </c>
      <c r="I1895" s="312">
        <v>2020</v>
      </c>
      <c r="J1895" s="122" t="s">
        <v>713</v>
      </c>
      <c r="K1895" s="283">
        <v>7475</v>
      </c>
      <c r="L1895" s="318">
        <v>-33.769587999999999</v>
      </c>
      <c r="M1895" s="318">
        <v>150.76873800000001</v>
      </c>
      <c r="O1895">
        <f>INDEX('MEC - traffic congestion'!$M$145:$M$249,MATCH($D1895,'MEC - traffic congestion'!$C$145:$C$249,0))</f>
        <v>1</v>
      </c>
      <c r="P1895" t="str">
        <f t="shared" si="83"/>
        <v>2020WEEKENDS</v>
      </c>
      <c r="Q1895">
        <f t="shared" si="84"/>
        <v>1</v>
      </c>
      <c r="R1895" s="195" t="str">
        <f t="shared" si="85"/>
        <v>2020LIGHT VEHICLES</v>
      </c>
    </row>
    <row r="1896" spans="3:18" x14ac:dyDescent="0.25">
      <c r="C1896" s="294" t="s">
        <v>890</v>
      </c>
      <c r="D1896" s="317" t="s">
        <v>729</v>
      </c>
      <c r="E1896" s="122" t="s">
        <v>891</v>
      </c>
      <c r="F1896" s="122" t="s">
        <v>892</v>
      </c>
      <c r="G1896" s="122" t="s">
        <v>786</v>
      </c>
      <c r="H1896" s="122" t="s">
        <v>777</v>
      </c>
      <c r="I1896" s="312">
        <v>2020</v>
      </c>
      <c r="J1896" s="122" t="s">
        <v>713</v>
      </c>
      <c r="K1896" s="283">
        <v>7878</v>
      </c>
      <c r="L1896" s="318">
        <v>-33.769587999999999</v>
      </c>
      <c r="M1896" s="318">
        <v>150.76873800000001</v>
      </c>
      <c r="O1896">
        <f>INDEX('MEC - traffic congestion'!$M$145:$M$249,MATCH($D1896,'MEC - traffic congestion'!$C$145:$C$249,0))</f>
        <v>1</v>
      </c>
      <c r="P1896" t="str">
        <f t="shared" si="83"/>
        <v>2020WEEKENDS</v>
      </c>
      <c r="Q1896">
        <f t="shared" si="84"/>
        <v>1</v>
      </c>
      <c r="R1896" s="195" t="str">
        <f t="shared" si="85"/>
        <v>2020LIGHT VEHICLES</v>
      </c>
    </row>
    <row r="1897" spans="3:18" x14ac:dyDescent="0.25">
      <c r="C1897" s="294" t="s">
        <v>890</v>
      </c>
      <c r="D1897" s="317" t="s">
        <v>729</v>
      </c>
      <c r="E1897" s="122" t="s">
        <v>891</v>
      </c>
      <c r="F1897" s="122" t="s">
        <v>892</v>
      </c>
      <c r="G1897" s="122" t="s">
        <v>785</v>
      </c>
      <c r="H1897" s="122" t="s">
        <v>777</v>
      </c>
      <c r="I1897" s="312">
        <v>2021</v>
      </c>
      <c r="J1897" s="122" t="s">
        <v>709</v>
      </c>
      <c r="K1897" s="283">
        <v>2075</v>
      </c>
      <c r="L1897" s="318">
        <v>-33.769587999999999</v>
      </c>
      <c r="M1897" s="318">
        <v>150.76873800000001</v>
      </c>
      <c r="O1897">
        <f>INDEX('MEC - traffic congestion'!$M$145:$M$249,MATCH($D1897,'MEC - traffic congestion'!$C$145:$C$249,0))</f>
        <v>1</v>
      </c>
      <c r="P1897" t="str">
        <f t="shared" si="83"/>
        <v>2021AM PEAK</v>
      </c>
      <c r="Q1897">
        <f t="shared" si="84"/>
        <v>1</v>
      </c>
      <c r="R1897" s="195" t="str">
        <f t="shared" si="85"/>
        <v>2021LIGHT VEHICLES</v>
      </c>
    </row>
    <row r="1898" spans="3:18" x14ac:dyDescent="0.25">
      <c r="C1898" s="294" t="s">
        <v>890</v>
      </c>
      <c r="D1898" s="317" t="s">
        <v>729</v>
      </c>
      <c r="E1898" s="122" t="s">
        <v>891</v>
      </c>
      <c r="F1898" s="122" t="s">
        <v>892</v>
      </c>
      <c r="G1898" s="122" t="s">
        <v>786</v>
      </c>
      <c r="H1898" s="122" t="s">
        <v>777</v>
      </c>
      <c r="I1898" s="312">
        <v>2021</v>
      </c>
      <c r="J1898" s="122" t="s">
        <v>709</v>
      </c>
      <c r="K1898" s="283">
        <v>1970</v>
      </c>
      <c r="L1898" s="318">
        <v>-33.769587999999999</v>
      </c>
      <c r="M1898" s="318">
        <v>150.76873800000001</v>
      </c>
      <c r="O1898">
        <f>INDEX('MEC - traffic congestion'!$M$145:$M$249,MATCH($D1898,'MEC - traffic congestion'!$C$145:$C$249,0))</f>
        <v>1</v>
      </c>
      <c r="P1898" t="str">
        <f t="shared" si="83"/>
        <v>2021AM PEAK</v>
      </c>
      <c r="Q1898">
        <f t="shared" si="84"/>
        <v>1</v>
      </c>
      <c r="R1898" s="195" t="str">
        <f t="shared" si="85"/>
        <v>2021LIGHT VEHICLES</v>
      </c>
    </row>
    <row r="1899" spans="3:18" x14ac:dyDescent="0.25">
      <c r="C1899" s="294" t="s">
        <v>890</v>
      </c>
      <c r="D1899" s="317" t="s">
        <v>729</v>
      </c>
      <c r="E1899" s="122" t="s">
        <v>891</v>
      </c>
      <c r="F1899" s="122" t="s">
        <v>892</v>
      </c>
      <c r="G1899" s="122" t="s">
        <v>785</v>
      </c>
      <c r="H1899" s="122" t="s">
        <v>777</v>
      </c>
      <c r="I1899" s="312">
        <v>2021</v>
      </c>
      <c r="J1899" s="122" t="s">
        <v>710</v>
      </c>
      <c r="K1899" s="283">
        <v>4416</v>
      </c>
      <c r="L1899" s="318">
        <v>-33.769587999999999</v>
      </c>
      <c r="M1899" s="318">
        <v>150.76873800000001</v>
      </c>
      <c r="O1899">
        <f>INDEX('MEC - traffic congestion'!$M$145:$M$249,MATCH($D1899,'MEC - traffic congestion'!$C$145:$C$249,0))</f>
        <v>1</v>
      </c>
      <c r="P1899" t="str">
        <f t="shared" si="83"/>
        <v>2021OFF PEAK</v>
      </c>
      <c r="Q1899">
        <f t="shared" si="84"/>
        <v>1</v>
      </c>
      <c r="R1899" s="195" t="str">
        <f t="shared" si="85"/>
        <v>2021LIGHT VEHICLES</v>
      </c>
    </row>
    <row r="1900" spans="3:18" x14ac:dyDescent="0.25">
      <c r="C1900" s="294" t="s">
        <v>890</v>
      </c>
      <c r="D1900" s="317" t="s">
        <v>729</v>
      </c>
      <c r="E1900" s="122" t="s">
        <v>891</v>
      </c>
      <c r="F1900" s="122" t="s">
        <v>892</v>
      </c>
      <c r="G1900" s="122" t="s">
        <v>786</v>
      </c>
      <c r="H1900" s="122" t="s">
        <v>777</v>
      </c>
      <c r="I1900" s="312">
        <v>2021</v>
      </c>
      <c r="J1900" s="122" t="s">
        <v>710</v>
      </c>
      <c r="K1900" s="283">
        <v>4561</v>
      </c>
      <c r="L1900" s="318">
        <v>-33.769587999999999</v>
      </c>
      <c r="M1900" s="318">
        <v>150.76873800000001</v>
      </c>
      <c r="O1900">
        <f>INDEX('MEC - traffic congestion'!$M$145:$M$249,MATCH($D1900,'MEC - traffic congestion'!$C$145:$C$249,0))</f>
        <v>1</v>
      </c>
      <c r="P1900" t="str">
        <f t="shared" si="83"/>
        <v>2021OFF PEAK</v>
      </c>
      <c r="Q1900">
        <f t="shared" si="84"/>
        <v>1</v>
      </c>
      <c r="R1900" s="195" t="str">
        <f t="shared" si="85"/>
        <v>2021LIGHT VEHICLES</v>
      </c>
    </row>
    <row r="1901" spans="3:18" x14ac:dyDescent="0.25">
      <c r="C1901" s="294" t="s">
        <v>890</v>
      </c>
      <c r="D1901" s="317" t="s">
        <v>729</v>
      </c>
      <c r="E1901" s="122" t="s">
        <v>891</v>
      </c>
      <c r="F1901" s="122" t="s">
        <v>892</v>
      </c>
      <c r="G1901" s="122" t="s">
        <v>785</v>
      </c>
      <c r="H1901" s="122" t="s">
        <v>777</v>
      </c>
      <c r="I1901" s="312">
        <v>2021</v>
      </c>
      <c r="J1901" s="122" t="s">
        <v>711</v>
      </c>
      <c r="K1901" s="283">
        <v>2288</v>
      </c>
      <c r="L1901" s="318">
        <v>-33.769587999999999</v>
      </c>
      <c r="M1901" s="318">
        <v>150.76873800000001</v>
      </c>
      <c r="O1901">
        <f>INDEX('MEC - traffic congestion'!$M$145:$M$249,MATCH($D1901,'MEC - traffic congestion'!$C$145:$C$249,0))</f>
        <v>1</v>
      </c>
      <c r="P1901" t="str">
        <f t="shared" si="83"/>
        <v>2021PM PEAK</v>
      </c>
      <c r="Q1901">
        <f t="shared" si="84"/>
        <v>1</v>
      </c>
      <c r="R1901" s="195" t="str">
        <f t="shared" si="85"/>
        <v>2021LIGHT VEHICLES</v>
      </c>
    </row>
    <row r="1902" spans="3:18" x14ac:dyDescent="0.25">
      <c r="C1902" s="294" t="s">
        <v>890</v>
      </c>
      <c r="D1902" s="317" t="s">
        <v>729</v>
      </c>
      <c r="E1902" s="122" t="s">
        <v>891</v>
      </c>
      <c r="F1902" s="122" t="s">
        <v>892</v>
      </c>
      <c r="G1902" s="122" t="s">
        <v>786</v>
      </c>
      <c r="H1902" s="122" t="s">
        <v>777</v>
      </c>
      <c r="I1902" s="312">
        <v>2021</v>
      </c>
      <c r="J1902" s="122" t="s">
        <v>711</v>
      </c>
      <c r="K1902" s="283">
        <v>2919</v>
      </c>
      <c r="L1902" s="318">
        <v>-33.769587999999999</v>
      </c>
      <c r="M1902" s="318">
        <v>150.76873800000001</v>
      </c>
      <c r="O1902">
        <f>INDEX('MEC - traffic congestion'!$M$145:$M$249,MATCH($D1902,'MEC - traffic congestion'!$C$145:$C$249,0))</f>
        <v>1</v>
      </c>
      <c r="P1902" t="str">
        <f t="shared" si="83"/>
        <v>2021PM PEAK</v>
      </c>
      <c r="Q1902">
        <f t="shared" si="84"/>
        <v>1</v>
      </c>
      <c r="R1902" s="195" t="str">
        <f t="shared" si="85"/>
        <v>2021LIGHT VEHICLES</v>
      </c>
    </row>
    <row r="1903" spans="3:18" x14ac:dyDescent="0.25">
      <c r="C1903" s="294" t="s">
        <v>890</v>
      </c>
      <c r="D1903" s="317" t="s">
        <v>729</v>
      </c>
      <c r="E1903" s="122" t="s">
        <v>891</v>
      </c>
      <c r="F1903" s="122" t="s">
        <v>892</v>
      </c>
      <c r="G1903" s="122" t="s">
        <v>785</v>
      </c>
      <c r="H1903" s="122" t="s">
        <v>777</v>
      </c>
      <c r="I1903" s="312">
        <v>2021</v>
      </c>
      <c r="J1903" s="122" t="s">
        <v>713</v>
      </c>
      <c r="K1903" s="283">
        <v>6546</v>
      </c>
      <c r="L1903" s="318">
        <v>-33.769587999999999</v>
      </c>
      <c r="M1903" s="318">
        <v>150.76873800000001</v>
      </c>
      <c r="O1903">
        <f>INDEX('MEC - traffic congestion'!$M$145:$M$249,MATCH($D1903,'MEC - traffic congestion'!$C$145:$C$249,0))</f>
        <v>1</v>
      </c>
      <c r="P1903" t="str">
        <f t="shared" si="83"/>
        <v>2021WEEKENDS</v>
      </c>
      <c r="Q1903">
        <f t="shared" si="84"/>
        <v>1</v>
      </c>
      <c r="R1903" s="195" t="str">
        <f t="shared" si="85"/>
        <v>2021LIGHT VEHICLES</v>
      </c>
    </row>
    <row r="1904" spans="3:18" x14ac:dyDescent="0.25">
      <c r="C1904" s="294" t="s">
        <v>890</v>
      </c>
      <c r="D1904" s="317" t="s">
        <v>729</v>
      </c>
      <c r="E1904" s="122" t="s">
        <v>891</v>
      </c>
      <c r="F1904" s="122" t="s">
        <v>892</v>
      </c>
      <c r="G1904" s="122" t="s">
        <v>786</v>
      </c>
      <c r="H1904" s="122" t="s">
        <v>777</v>
      </c>
      <c r="I1904" s="312">
        <v>2021</v>
      </c>
      <c r="J1904" s="122" t="s">
        <v>713</v>
      </c>
      <c r="K1904" s="283">
        <v>7226</v>
      </c>
      <c r="L1904" s="318">
        <v>-33.769587999999999</v>
      </c>
      <c r="M1904" s="318">
        <v>150.76873800000001</v>
      </c>
      <c r="O1904">
        <f>INDEX('MEC - traffic congestion'!$M$145:$M$249,MATCH($D1904,'MEC - traffic congestion'!$C$145:$C$249,0))</f>
        <v>1</v>
      </c>
      <c r="P1904" t="str">
        <f t="shared" si="83"/>
        <v>2021WEEKENDS</v>
      </c>
      <c r="Q1904">
        <f t="shared" si="84"/>
        <v>1</v>
      </c>
      <c r="R1904" s="195" t="str">
        <f t="shared" si="85"/>
        <v>2021LIGHT VEHICLES</v>
      </c>
    </row>
    <row r="1905" spans="3:18" x14ac:dyDescent="0.25">
      <c r="C1905" s="294" t="s">
        <v>890</v>
      </c>
      <c r="D1905" s="317" t="s">
        <v>729</v>
      </c>
      <c r="E1905" s="122" t="s">
        <v>891</v>
      </c>
      <c r="F1905" s="122" t="s">
        <v>892</v>
      </c>
      <c r="G1905" s="122" t="s">
        <v>785</v>
      </c>
      <c r="H1905" s="122" t="s">
        <v>777</v>
      </c>
      <c r="I1905" s="312">
        <v>2022</v>
      </c>
      <c r="J1905" s="122" t="s">
        <v>709</v>
      </c>
      <c r="K1905" s="283">
        <v>2258</v>
      </c>
      <c r="L1905" s="318">
        <v>-33.769587999999999</v>
      </c>
      <c r="M1905" s="318">
        <v>150.76873800000001</v>
      </c>
      <c r="O1905">
        <f>INDEX('MEC - traffic congestion'!$M$145:$M$249,MATCH($D1905,'MEC - traffic congestion'!$C$145:$C$249,0))</f>
        <v>1</v>
      </c>
      <c r="P1905" t="str">
        <f t="shared" si="83"/>
        <v>2022AM PEAK</v>
      </c>
      <c r="Q1905">
        <f t="shared" si="84"/>
        <v>1</v>
      </c>
      <c r="R1905" s="195" t="str">
        <f t="shared" si="85"/>
        <v>2022LIGHT VEHICLES</v>
      </c>
    </row>
    <row r="1906" spans="3:18" x14ac:dyDescent="0.25">
      <c r="C1906" s="294" t="s">
        <v>890</v>
      </c>
      <c r="D1906" s="317" t="s">
        <v>729</v>
      </c>
      <c r="E1906" s="122" t="s">
        <v>891</v>
      </c>
      <c r="F1906" s="122" t="s">
        <v>892</v>
      </c>
      <c r="G1906" s="122" t="s">
        <v>786</v>
      </c>
      <c r="H1906" s="122" t="s">
        <v>777</v>
      </c>
      <c r="I1906" s="312">
        <v>2022</v>
      </c>
      <c r="J1906" s="122" t="s">
        <v>709</v>
      </c>
      <c r="K1906" s="283">
        <v>2205</v>
      </c>
      <c r="L1906" s="318">
        <v>-33.769587999999999</v>
      </c>
      <c r="M1906" s="318">
        <v>150.76873800000001</v>
      </c>
      <c r="O1906">
        <f>INDEX('MEC - traffic congestion'!$M$145:$M$249,MATCH($D1906,'MEC - traffic congestion'!$C$145:$C$249,0))</f>
        <v>1</v>
      </c>
      <c r="P1906" t="str">
        <f t="shared" si="83"/>
        <v>2022AM PEAK</v>
      </c>
      <c r="Q1906">
        <f t="shared" si="84"/>
        <v>1</v>
      </c>
      <c r="R1906" s="195" t="str">
        <f t="shared" si="85"/>
        <v>2022LIGHT VEHICLES</v>
      </c>
    </row>
    <row r="1907" spans="3:18" x14ac:dyDescent="0.25">
      <c r="C1907" s="294" t="s">
        <v>890</v>
      </c>
      <c r="D1907" s="317" t="s">
        <v>729</v>
      </c>
      <c r="E1907" s="122" t="s">
        <v>891</v>
      </c>
      <c r="F1907" s="122" t="s">
        <v>892</v>
      </c>
      <c r="G1907" s="122" t="s">
        <v>785</v>
      </c>
      <c r="H1907" s="122" t="s">
        <v>777</v>
      </c>
      <c r="I1907" s="312">
        <v>2022</v>
      </c>
      <c r="J1907" s="122" t="s">
        <v>710</v>
      </c>
      <c r="K1907" s="283">
        <v>4639</v>
      </c>
      <c r="L1907" s="318">
        <v>-33.769587999999999</v>
      </c>
      <c r="M1907" s="318">
        <v>150.76873800000001</v>
      </c>
      <c r="O1907">
        <f>INDEX('MEC - traffic congestion'!$M$145:$M$249,MATCH($D1907,'MEC - traffic congestion'!$C$145:$C$249,0))</f>
        <v>1</v>
      </c>
      <c r="P1907" t="str">
        <f t="shared" si="83"/>
        <v>2022OFF PEAK</v>
      </c>
      <c r="Q1907">
        <f t="shared" si="84"/>
        <v>1</v>
      </c>
      <c r="R1907" s="195" t="str">
        <f t="shared" si="85"/>
        <v>2022LIGHT VEHICLES</v>
      </c>
    </row>
    <row r="1908" spans="3:18" x14ac:dyDescent="0.25">
      <c r="C1908" s="294" t="s">
        <v>890</v>
      </c>
      <c r="D1908" s="317" t="s">
        <v>729</v>
      </c>
      <c r="E1908" s="122" t="s">
        <v>891</v>
      </c>
      <c r="F1908" s="122" t="s">
        <v>892</v>
      </c>
      <c r="G1908" s="122" t="s">
        <v>786</v>
      </c>
      <c r="H1908" s="122" t="s">
        <v>777</v>
      </c>
      <c r="I1908" s="312">
        <v>2022</v>
      </c>
      <c r="J1908" s="122" t="s">
        <v>710</v>
      </c>
      <c r="K1908" s="283">
        <v>4911</v>
      </c>
      <c r="L1908" s="318">
        <v>-33.769587999999999</v>
      </c>
      <c r="M1908" s="318">
        <v>150.76873800000001</v>
      </c>
      <c r="O1908">
        <f>INDEX('MEC - traffic congestion'!$M$145:$M$249,MATCH($D1908,'MEC - traffic congestion'!$C$145:$C$249,0))</f>
        <v>1</v>
      </c>
      <c r="P1908" t="str">
        <f t="shared" si="83"/>
        <v>2022OFF PEAK</v>
      </c>
      <c r="Q1908">
        <f t="shared" si="84"/>
        <v>1</v>
      </c>
      <c r="R1908" s="195" t="str">
        <f t="shared" si="85"/>
        <v>2022LIGHT VEHICLES</v>
      </c>
    </row>
    <row r="1909" spans="3:18" x14ac:dyDescent="0.25">
      <c r="C1909" s="294" t="s">
        <v>890</v>
      </c>
      <c r="D1909" s="317" t="s">
        <v>729</v>
      </c>
      <c r="E1909" s="122" t="s">
        <v>891</v>
      </c>
      <c r="F1909" s="122" t="s">
        <v>892</v>
      </c>
      <c r="G1909" s="122" t="s">
        <v>785</v>
      </c>
      <c r="H1909" s="122" t="s">
        <v>777</v>
      </c>
      <c r="I1909" s="312">
        <v>2022</v>
      </c>
      <c r="J1909" s="122" t="s">
        <v>711</v>
      </c>
      <c r="K1909" s="283">
        <v>2443</v>
      </c>
      <c r="L1909" s="318">
        <v>-33.769587999999999</v>
      </c>
      <c r="M1909" s="318">
        <v>150.76873800000001</v>
      </c>
      <c r="O1909">
        <f>INDEX('MEC - traffic congestion'!$M$145:$M$249,MATCH($D1909,'MEC - traffic congestion'!$C$145:$C$249,0))</f>
        <v>1</v>
      </c>
      <c r="P1909" t="str">
        <f t="shared" si="83"/>
        <v>2022PM PEAK</v>
      </c>
      <c r="Q1909">
        <f t="shared" si="84"/>
        <v>1</v>
      </c>
      <c r="R1909" s="195" t="str">
        <f t="shared" si="85"/>
        <v>2022LIGHT VEHICLES</v>
      </c>
    </row>
    <row r="1910" spans="3:18" x14ac:dyDescent="0.25">
      <c r="C1910" s="294" t="s">
        <v>890</v>
      </c>
      <c r="D1910" s="317" t="s">
        <v>729</v>
      </c>
      <c r="E1910" s="122" t="s">
        <v>891</v>
      </c>
      <c r="F1910" s="122" t="s">
        <v>892</v>
      </c>
      <c r="G1910" s="122" t="s">
        <v>786</v>
      </c>
      <c r="H1910" s="122" t="s">
        <v>777</v>
      </c>
      <c r="I1910" s="312">
        <v>2022</v>
      </c>
      <c r="J1910" s="122" t="s">
        <v>711</v>
      </c>
      <c r="K1910" s="283">
        <v>3208</v>
      </c>
      <c r="L1910" s="318">
        <v>-33.769587999999999</v>
      </c>
      <c r="M1910" s="318">
        <v>150.76873800000001</v>
      </c>
      <c r="O1910">
        <f>INDEX('MEC - traffic congestion'!$M$145:$M$249,MATCH($D1910,'MEC - traffic congestion'!$C$145:$C$249,0))</f>
        <v>1</v>
      </c>
      <c r="P1910" t="str">
        <f t="shared" si="83"/>
        <v>2022PM PEAK</v>
      </c>
      <c r="Q1910">
        <f t="shared" si="84"/>
        <v>1</v>
      </c>
      <c r="R1910" s="195" t="str">
        <f t="shared" si="85"/>
        <v>2022LIGHT VEHICLES</v>
      </c>
    </row>
    <row r="1911" spans="3:18" x14ac:dyDescent="0.25">
      <c r="C1911" s="294" t="s">
        <v>890</v>
      </c>
      <c r="D1911" s="317" t="s">
        <v>729</v>
      </c>
      <c r="E1911" s="122" t="s">
        <v>891</v>
      </c>
      <c r="F1911" s="122" t="s">
        <v>892</v>
      </c>
      <c r="G1911" s="122" t="s">
        <v>785</v>
      </c>
      <c r="H1911" s="122" t="s">
        <v>777</v>
      </c>
      <c r="I1911" s="312">
        <v>2022</v>
      </c>
      <c r="J1911" s="122" t="s">
        <v>713</v>
      </c>
      <c r="K1911" s="283">
        <v>7313</v>
      </c>
      <c r="L1911" s="318">
        <v>-33.769587999999999</v>
      </c>
      <c r="M1911" s="318">
        <v>150.76873800000001</v>
      </c>
      <c r="O1911">
        <f>INDEX('MEC - traffic congestion'!$M$145:$M$249,MATCH($D1911,'MEC - traffic congestion'!$C$145:$C$249,0))</f>
        <v>1</v>
      </c>
      <c r="P1911" t="str">
        <f t="shared" si="83"/>
        <v>2022WEEKENDS</v>
      </c>
      <c r="Q1911">
        <f t="shared" si="84"/>
        <v>1</v>
      </c>
      <c r="R1911" s="195" t="str">
        <f t="shared" si="85"/>
        <v>2022LIGHT VEHICLES</v>
      </c>
    </row>
    <row r="1912" spans="3:18" x14ac:dyDescent="0.25">
      <c r="C1912" s="294" t="s">
        <v>890</v>
      </c>
      <c r="D1912" s="317" t="s">
        <v>729</v>
      </c>
      <c r="E1912" s="122" t="s">
        <v>891</v>
      </c>
      <c r="F1912" s="122" t="s">
        <v>892</v>
      </c>
      <c r="G1912" s="122" t="s">
        <v>786</v>
      </c>
      <c r="H1912" s="122" t="s">
        <v>777</v>
      </c>
      <c r="I1912" s="312">
        <v>2022</v>
      </c>
      <c r="J1912" s="122" t="s">
        <v>713</v>
      </c>
      <c r="K1912" s="283">
        <v>8302</v>
      </c>
      <c r="L1912" s="318">
        <v>-33.769587999999999</v>
      </c>
      <c r="M1912" s="318">
        <v>150.76873800000001</v>
      </c>
      <c r="O1912">
        <f>INDEX('MEC - traffic congestion'!$M$145:$M$249,MATCH($D1912,'MEC - traffic congestion'!$C$145:$C$249,0))</f>
        <v>1</v>
      </c>
      <c r="P1912" t="str">
        <f t="shared" si="83"/>
        <v>2022WEEKENDS</v>
      </c>
      <c r="Q1912">
        <f t="shared" si="84"/>
        <v>1</v>
      </c>
      <c r="R1912" s="195" t="str">
        <f t="shared" si="85"/>
        <v>2022LIGHT VEHICLES</v>
      </c>
    </row>
    <row r="1913" spans="3:18" x14ac:dyDescent="0.25">
      <c r="C1913" s="294" t="s">
        <v>890</v>
      </c>
      <c r="D1913" s="317" t="s">
        <v>729</v>
      </c>
      <c r="E1913" s="122" t="s">
        <v>891</v>
      </c>
      <c r="F1913" s="122" t="s">
        <v>892</v>
      </c>
      <c r="G1913" s="122" t="s">
        <v>785</v>
      </c>
      <c r="H1913" s="122" t="s">
        <v>777</v>
      </c>
      <c r="I1913" s="312">
        <v>2023</v>
      </c>
      <c r="J1913" s="122" t="s">
        <v>709</v>
      </c>
      <c r="K1913" s="283">
        <v>2443</v>
      </c>
      <c r="L1913" s="318">
        <v>-33.769587999999999</v>
      </c>
      <c r="M1913" s="318">
        <v>150.76873800000001</v>
      </c>
      <c r="O1913">
        <f>INDEX('MEC - traffic congestion'!$M$145:$M$249,MATCH($D1913,'MEC - traffic congestion'!$C$145:$C$249,0))</f>
        <v>1</v>
      </c>
      <c r="P1913" t="str">
        <f t="shared" si="83"/>
        <v>2023AM PEAK</v>
      </c>
      <c r="Q1913">
        <f t="shared" si="84"/>
        <v>1</v>
      </c>
      <c r="R1913" s="195" t="str">
        <f t="shared" si="85"/>
        <v>2023LIGHT VEHICLES</v>
      </c>
    </row>
    <row r="1914" spans="3:18" x14ac:dyDescent="0.25">
      <c r="C1914" s="294" t="s">
        <v>890</v>
      </c>
      <c r="D1914" s="317" t="s">
        <v>729</v>
      </c>
      <c r="E1914" s="122" t="s">
        <v>891</v>
      </c>
      <c r="F1914" s="122" t="s">
        <v>892</v>
      </c>
      <c r="G1914" s="122" t="s">
        <v>786</v>
      </c>
      <c r="H1914" s="122" t="s">
        <v>777</v>
      </c>
      <c r="I1914" s="312">
        <v>2023</v>
      </c>
      <c r="J1914" s="122" t="s">
        <v>709</v>
      </c>
      <c r="K1914" s="283">
        <v>2238</v>
      </c>
      <c r="L1914" s="318">
        <v>-33.769587999999999</v>
      </c>
      <c r="M1914" s="318">
        <v>150.76873800000001</v>
      </c>
      <c r="O1914">
        <f>INDEX('MEC - traffic congestion'!$M$145:$M$249,MATCH($D1914,'MEC - traffic congestion'!$C$145:$C$249,0))</f>
        <v>1</v>
      </c>
      <c r="P1914" t="str">
        <f t="shared" si="83"/>
        <v>2023AM PEAK</v>
      </c>
      <c r="Q1914">
        <f t="shared" si="84"/>
        <v>1</v>
      </c>
      <c r="R1914" s="195" t="str">
        <f t="shared" si="85"/>
        <v>2023LIGHT VEHICLES</v>
      </c>
    </row>
    <row r="1915" spans="3:18" x14ac:dyDescent="0.25">
      <c r="C1915" s="294" t="s">
        <v>890</v>
      </c>
      <c r="D1915" s="317" t="s">
        <v>729</v>
      </c>
      <c r="E1915" s="122" t="s">
        <v>891</v>
      </c>
      <c r="F1915" s="122" t="s">
        <v>892</v>
      </c>
      <c r="G1915" s="122" t="s">
        <v>785</v>
      </c>
      <c r="H1915" s="122" t="s">
        <v>777</v>
      </c>
      <c r="I1915" s="312">
        <v>2023</v>
      </c>
      <c r="J1915" s="122" t="s">
        <v>710</v>
      </c>
      <c r="K1915" s="283">
        <v>4737</v>
      </c>
      <c r="L1915" s="318">
        <v>-33.769587999999999</v>
      </c>
      <c r="M1915" s="318">
        <v>150.76873800000001</v>
      </c>
      <c r="O1915">
        <f>INDEX('MEC - traffic congestion'!$M$145:$M$249,MATCH($D1915,'MEC - traffic congestion'!$C$145:$C$249,0))</f>
        <v>1</v>
      </c>
      <c r="P1915" t="str">
        <f t="shared" si="83"/>
        <v>2023OFF PEAK</v>
      </c>
      <c r="Q1915">
        <f t="shared" si="84"/>
        <v>1</v>
      </c>
      <c r="R1915" s="195" t="str">
        <f t="shared" si="85"/>
        <v>2023LIGHT VEHICLES</v>
      </c>
    </row>
    <row r="1916" spans="3:18" x14ac:dyDescent="0.25">
      <c r="C1916" s="294" t="s">
        <v>890</v>
      </c>
      <c r="D1916" s="317" t="s">
        <v>729</v>
      </c>
      <c r="E1916" s="122" t="s">
        <v>891</v>
      </c>
      <c r="F1916" s="122" t="s">
        <v>892</v>
      </c>
      <c r="G1916" s="122" t="s">
        <v>786</v>
      </c>
      <c r="H1916" s="122" t="s">
        <v>777</v>
      </c>
      <c r="I1916" s="312">
        <v>2023</v>
      </c>
      <c r="J1916" s="122" t="s">
        <v>710</v>
      </c>
      <c r="K1916" s="283">
        <v>4943</v>
      </c>
      <c r="L1916" s="318">
        <v>-33.769587999999999</v>
      </c>
      <c r="M1916" s="318">
        <v>150.76873800000001</v>
      </c>
      <c r="O1916">
        <f>INDEX('MEC - traffic congestion'!$M$145:$M$249,MATCH($D1916,'MEC - traffic congestion'!$C$145:$C$249,0))</f>
        <v>1</v>
      </c>
      <c r="P1916" t="str">
        <f t="shared" si="83"/>
        <v>2023OFF PEAK</v>
      </c>
      <c r="Q1916">
        <f t="shared" si="84"/>
        <v>1</v>
      </c>
      <c r="R1916" s="195" t="str">
        <f t="shared" si="85"/>
        <v>2023LIGHT VEHICLES</v>
      </c>
    </row>
    <row r="1917" spans="3:18" x14ac:dyDescent="0.25">
      <c r="C1917" s="294" t="s">
        <v>890</v>
      </c>
      <c r="D1917" s="317" t="s">
        <v>729</v>
      </c>
      <c r="E1917" s="122" t="s">
        <v>891</v>
      </c>
      <c r="F1917" s="122" t="s">
        <v>892</v>
      </c>
      <c r="G1917" s="122" t="s">
        <v>785</v>
      </c>
      <c r="H1917" s="122" t="s">
        <v>777</v>
      </c>
      <c r="I1917" s="312">
        <v>2023</v>
      </c>
      <c r="J1917" s="122" t="s">
        <v>711</v>
      </c>
      <c r="K1917" s="283">
        <v>2559</v>
      </c>
      <c r="L1917" s="318">
        <v>-33.769587999999999</v>
      </c>
      <c r="M1917" s="318">
        <v>150.76873800000001</v>
      </c>
      <c r="O1917">
        <f>INDEX('MEC - traffic congestion'!$M$145:$M$249,MATCH($D1917,'MEC - traffic congestion'!$C$145:$C$249,0))</f>
        <v>1</v>
      </c>
      <c r="P1917" t="str">
        <f t="shared" si="83"/>
        <v>2023PM PEAK</v>
      </c>
      <c r="Q1917">
        <f t="shared" si="84"/>
        <v>1</v>
      </c>
      <c r="R1917" s="195" t="str">
        <f t="shared" si="85"/>
        <v>2023LIGHT VEHICLES</v>
      </c>
    </row>
    <row r="1918" spans="3:18" x14ac:dyDescent="0.25">
      <c r="C1918" s="294" t="s">
        <v>890</v>
      </c>
      <c r="D1918" s="317" t="s">
        <v>729</v>
      </c>
      <c r="E1918" s="122" t="s">
        <v>891</v>
      </c>
      <c r="F1918" s="122" t="s">
        <v>892</v>
      </c>
      <c r="G1918" s="122" t="s">
        <v>786</v>
      </c>
      <c r="H1918" s="122" t="s">
        <v>777</v>
      </c>
      <c r="I1918" s="312">
        <v>2023</v>
      </c>
      <c r="J1918" s="122" t="s">
        <v>711</v>
      </c>
      <c r="K1918" s="283">
        <v>3381</v>
      </c>
      <c r="L1918" s="318">
        <v>-33.769587999999999</v>
      </c>
      <c r="M1918" s="318">
        <v>150.76873800000001</v>
      </c>
      <c r="O1918">
        <f>INDEX('MEC - traffic congestion'!$M$145:$M$249,MATCH($D1918,'MEC - traffic congestion'!$C$145:$C$249,0))</f>
        <v>1</v>
      </c>
      <c r="P1918" t="str">
        <f t="shared" si="83"/>
        <v>2023PM PEAK</v>
      </c>
      <c r="Q1918">
        <f t="shared" si="84"/>
        <v>1</v>
      </c>
      <c r="R1918" s="195" t="str">
        <f t="shared" si="85"/>
        <v>2023LIGHT VEHICLES</v>
      </c>
    </row>
    <row r="1919" spans="3:18" x14ac:dyDescent="0.25">
      <c r="C1919" s="294" t="s">
        <v>890</v>
      </c>
      <c r="D1919" s="317" t="s">
        <v>729</v>
      </c>
      <c r="E1919" s="122" t="s">
        <v>891</v>
      </c>
      <c r="F1919" s="122" t="s">
        <v>892</v>
      </c>
      <c r="G1919" s="122" t="s">
        <v>785</v>
      </c>
      <c r="H1919" s="122" t="s">
        <v>777</v>
      </c>
      <c r="I1919" s="312">
        <v>2023</v>
      </c>
      <c r="J1919" s="122" t="s">
        <v>713</v>
      </c>
      <c r="K1919" s="283">
        <v>7454</v>
      </c>
      <c r="L1919" s="318">
        <v>-33.769587999999999</v>
      </c>
      <c r="M1919" s="318">
        <v>150.76873800000001</v>
      </c>
      <c r="O1919">
        <f>INDEX('MEC - traffic congestion'!$M$145:$M$249,MATCH($D1919,'MEC - traffic congestion'!$C$145:$C$249,0))</f>
        <v>1</v>
      </c>
      <c r="P1919" t="str">
        <f t="shared" si="83"/>
        <v>2023WEEKENDS</v>
      </c>
      <c r="Q1919">
        <f t="shared" si="84"/>
        <v>1</v>
      </c>
      <c r="R1919" s="195" t="str">
        <f t="shared" si="85"/>
        <v>2023LIGHT VEHICLES</v>
      </c>
    </row>
    <row r="1920" spans="3:18" x14ac:dyDescent="0.25">
      <c r="C1920" s="294" t="s">
        <v>890</v>
      </c>
      <c r="D1920" s="317" t="s">
        <v>729</v>
      </c>
      <c r="E1920" s="122" t="s">
        <v>891</v>
      </c>
      <c r="F1920" s="122" t="s">
        <v>892</v>
      </c>
      <c r="G1920" s="122" t="s">
        <v>786</v>
      </c>
      <c r="H1920" s="122" t="s">
        <v>777</v>
      </c>
      <c r="I1920" s="312">
        <v>2023</v>
      </c>
      <c r="J1920" s="122" t="s">
        <v>713</v>
      </c>
      <c r="K1920" s="283">
        <v>8377</v>
      </c>
      <c r="L1920" s="318">
        <v>-33.769587999999999</v>
      </c>
      <c r="M1920" s="318">
        <v>150.76873800000001</v>
      </c>
      <c r="O1920">
        <f>INDEX('MEC - traffic congestion'!$M$145:$M$249,MATCH($D1920,'MEC - traffic congestion'!$C$145:$C$249,0))</f>
        <v>1</v>
      </c>
      <c r="P1920" t="str">
        <f t="shared" si="83"/>
        <v>2023WEEKENDS</v>
      </c>
      <c r="Q1920">
        <f t="shared" si="84"/>
        <v>1</v>
      </c>
      <c r="R1920" s="195" t="str">
        <f t="shared" si="85"/>
        <v>2023LIGHT VEHICLES</v>
      </c>
    </row>
    <row r="1921" spans="3:18" x14ac:dyDescent="0.25">
      <c r="C1921" s="294" t="s">
        <v>890</v>
      </c>
      <c r="D1921" s="317" t="s">
        <v>729</v>
      </c>
      <c r="E1921" s="122" t="s">
        <v>891</v>
      </c>
      <c r="F1921" s="122" t="s">
        <v>892</v>
      </c>
      <c r="G1921" s="122" t="s">
        <v>785</v>
      </c>
      <c r="H1921" s="122" t="s">
        <v>777</v>
      </c>
      <c r="I1921" s="312">
        <v>2024</v>
      </c>
      <c r="J1921" s="122" t="s">
        <v>709</v>
      </c>
      <c r="K1921" s="283">
        <v>2423</v>
      </c>
      <c r="L1921" s="318">
        <v>-33.769587999999999</v>
      </c>
      <c r="M1921" s="318">
        <v>150.76873800000001</v>
      </c>
      <c r="O1921">
        <f>INDEX('MEC - traffic congestion'!$M$145:$M$249,MATCH($D1921,'MEC - traffic congestion'!$C$145:$C$249,0))</f>
        <v>1</v>
      </c>
      <c r="P1921" t="str">
        <f t="shared" si="83"/>
        <v>2024AM PEAK</v>
      </c>
      <c r="Q1921">
        <f t="shared" si="84"/>
        <v>1</v>
      </c>
      <c r="R1921" s="195" t="str">
        <f t="shared" si="85"/>
        <v>2024LIGHT VEHICLES</v>
      </c>
    </row>
    <row r="1922" spans="3:18" x14ac:dyDescent="0.25">
      <c r="C1922" s="294" t="s">
        <v>890</v>
      </c>
      <c r="D1922" s="317" t="s">
        <v>729</v>
      </c>
      <c r="E1922" s="122" t="s">
        <v>891</v>
      </c>
      <c r="F1922" s="122" t="s">
        <v>892</v>
      </c>
      <c r="G1922" s="122" t="s">
        <v>786</v>
      </c>
      <c r="H1922" s="122" t="s">
        <v>777</v>
      </c>
      <c r="I1922" s="312">
        <v>2024</v>
      </c>
      <c r="J1922" s="122" t="s">
        <v>709</v>
      </c>
      <c r="K1922" s="283">
        <v>2116</v>
      </c>
      <c r="L1922" s="318">
        <v>-33.769587999999999</v>
      </c>
      <c r="M1922" s="318">
        <v>150.76873800000001</v>
      </c>
      <c r="O1922">
        <f>INDEX('MEC - traffic congestion'!$M$145:$M$249,MATCH($D1922,'MEC - traffic congestion'!$C$145:$C$249,0))</f>
        <v>1</v>
      </c>
      <c r="P1922" t="str">
        <f t="shared" si="83"/>
        <v>2024AM PEAK</v>
      </c>
      <c r="Q1922">
        <f t="shared" si="84"/>
        <v>1</v>
      </c>
      <c r="R1922" s="195" t="str">
        <f t="shared" si="85"/>
        <v>2024LIGHT VEHICLES</v>
      </c>
    </row>
    <row r="1923" spans="3:18" x14ac:dyDescent="0.25">
      <c r="C1923" s="294" t="s">
        <v>890</v>
      </c>
      <c r="D1923" s="317" t="s">
        <v>729</v>
      </c>
      <c r="E1923" s="122" t="s">
        <v>891</v>
      </c>
      <c r="F1923" s="122" t="s">
        <v>892</v>
      </c>
      <c r="G1923" s="122" t="s">
        <v>785</v>
      </c>
      <c r="H1923" s="122" t="s">
        <v>777</v>
      </c>
      <c r="I1923" s="312">
        <v>2024</v>
      </c>
      <c r="J1923" s="122" t="s">
        <v>710</v>
      </c>
      <c r="K1923" s="283">
        <v>4711</v>
      </c>
      <c r="L1923" s="318">
        <v>-33.769587999999999</v>
      </c>
      <c r="M1923" s="318">
        <v>150.76873800000001</v>
      </c>
      <c r="O1923">
        <f>INDEX('MEC - traffic congestion'!$M$145:$M$249,MATCH($D1923,'MEC - traffic congestion'!$C$145:$C$249,0))</f>
        <v>1</v>
      </c>
      <c r="P1923" t="str">
        <f t="shared" si="83"/>
        <v>2024OFF PEAK</v>
      </c>
      <c r="Q1923">
        <f t="shared" si="84"/>
        <v>1</v>
      </c>
      <c r="R1923" s="195" t="str">
        <f t="shared" si="85"/>
        <v>2024LIGHT VEHICLES</v>
      </c>
    </row>
    <row r="1924" spans="3:18" x14ac:dyDescent="0.25">
      <c r="C1924" s="294" t="s">
        <v>890</v>
      </c>
      <c r="D1924" s="317" t="s">
        <v>729</v>
      </c>
      <c r="E1924" s="122" t="s">
        <v>891</v>
      </c>
      <c r="F1924" s="122" t="s">
        <v>892</v>
      </c>
      <c r="G1924" s="122" t="s">
        <v>786</v>
      </c>
      <c r="H1924" s="122" t="s">
        <v>777</v>
      </c>
      <c r="I1924" s="312">
        <v>2024</v>
      </c>
      <c r="J1924" s="122" t="s">
        <v>710</v>
      </c>
      <c r="K1924" s="283">
        <v>4905</v>
      </c>
      <c r="L1924" s="318">
        <v>-33.769587999999999</v>
      </c>
      <c r="M1924" s="318">
        <v>150.76873800000001</v>
      </c>
      <c r="O1924">
        <f>INDEX('MEC - traffic congestion'!$M$145:$M$249,MATCH($D1924,'MEC - traffic congestion'!$C$145:$C$249,0))</f>
        <v>1</v>
      </c>
      <c r="P1924" t="str">
        <f t="shared" si="83"/>
        <v>2024OFF PEAK</v>
      </c>
      <c r="Q1924">
        <f t="shared" si="84"/>
        <v>1</v>
      </c>
      <c r="R1924" s="195" t="str">
        <f t="shared" si="85"/>
        <v>2024LIGHT VEHICLES</v>
      </c>
    </row>
    <row r="1925" spans="3:18" x14ac:dyDescent="0.25">
      <c r="C1925" s="294" t="s">
        <v>890</v>
      </c>
      <c r="D1925" s="317" t="s">
        <v>729</v>
      </c>
      <c r="E1925" s="122" t="s">
        <v>891</v>
      </c>
      <c r="F1925" s="122" t="s">
        <v>892</v>
      </c>
      <c r="G1925" s="122" t="s">
        <v>785</v>
      </c>
      <c r="H1925" s="122" t="s">
        <v>777</v>
      </c>
      <c r="I1925" s="312">
        <v>2024</v>
      </c>
      <c r="J1925" s="122" t="s">
        <v>711</v>
      </c>
      <c r="K1925" s="283">
        <v>2503</v>
      </c>
      <c r="L1925" s="318">
        <v>-33.769587999999999</v>
      </c>
      <c r="M1925" s="318">
        <v>150.76873800000001</v>
      </c>
      <c r="O1925">
        <f>INDEX('MEC - traffic congestion'!$M$145:$M$249,MATCH($D1925,'MEC - traffic congestion'!$C$145:$C$249,0))</f>
        <v>1</v>
      </c>
      <c r="P1925" t="str">
        <f t="shared" si="83"/>
        <v>2024PM PEAK</v>
      </c>
      <c r="Q1925">
        <f t="shared" si="84"/>
        <v>1</v>
      </c>
      <c r="R1925" s="195" t="str">
        <f t="shared" si="85"/>
        <v>2024LIGHT VEHICLES</v>
      </c>
    </row>
    <row r="1926" spans="3:18" x14ac:dyDescent="0.25">
      <c r="C1926" s="294" t="s">
        <v>890</v>
      </c>
      <c r="D1926" s="317" t="s">
        <v>729</v>
      </c>
      <c r="E1926" s="122" t="s">
        <v>891</v>
      </c>
      <c r="F1926" s="122" t="s">
        <v>892</v>
      </c>
      <c r="G1926" s="122" t="s">
        <v>786</v>
      </c>
      <c r="H1926" s="122" t="s">
        <v>777</v>
      </c>
      <c r="I1926" s="312">
        <v>2024</v>
      </c>
      <c r="J1926" s="122" t="s">
        <v>711</v>
      </c>
      <c r="K1926" s="283">
        <v>3095</v>
      </c>
      <c r="L1926" s="318">
        <v>-33.769587999999999</v>
      </c>
      <c r="M1926" s="318">
        <v>150.76873800000001</v>
      </c>
      <c r="O1926">
        <f>INDEX('MEC - traffic congestion'!$M$145:$M$249,MATCH($D1926,'MEC - traffic congestion'!$C$145:$C$249,0))</f>
        <v>1</v>
      </c>
      <c r="P1926" t="str">
        <f t="shared" si="83"/>
        <v>2024PM PEAK</v>
      </c>
      <c r="Q1926">
        <f t="shared" si="84"/>
        <v>1</v>
      </c>
      <c r="R1926" s="195" t="str">
        <f t="shared" si="85"/>
        <v>2024LIGHT VEHICLES</v>
      </c>
    </row>
    <row r="1927" spans="3:18" x14ac:dyDescent="0.25">
      <c r="C1927" s="294" t="s">
        <v>890</v>
      </c>
      <c r="D1927" s="317" t="s">
        <v>729</v>
      </c>
      <c r="E1927" s="122" t="s">
        <v>891</v>
      </c>
      <c r="F1927" s="122" t="s">
        <v>892</v>
      </c>
      <c r="G1927" s="122" t="s">
        <v>785</v>
      </c>
      <c r="H1927" s="122" t="s">
        <v>777</v>
      </c>
      <c r="I1927" s="312">
        <v>2024</v>
      </c>
      <c r="J1927" s="122" t="s">
        <v>713</v>
      </c>
      <c r="K1927" s="283">
        <v>7445</v>
      </c>
      <c r="L1927" s="318">
        <v>-33.769587999999999</v>
      </c>
      <c r="M1927" s="318">
        <v>150.76873800000001</v>
      </c>
      <c r="O1927">
        <f>INDEX('MEC - traffic congestion'!$M$145:$M$249,MATCH($D1927,'MEC - traffic congestion'!$C$145:$C$249,0))</f>
        <v>1</v>
      </c>
      <c r="P1927" t="str">
        <f t="shared" si="83"/>
        <v>2024WEEKENDS</v>
      </c>
      <c r="Q1927">
        <f t="shared" si="84"/>
        <v>1</v>
      </c>
      <c r="R1927" s="195" t="str">
        <f t="shared" si="85"/>
        <v>2024LIGHT VEHICLES</v>
      </c>
    </row>
    <row r="1928" spans="3:18" x14ac:dyDescent="0.25">
      <c r="C1928" s="294" t="s">
        <v>890</v>
      </c>
      <c r="D1928" s="317" t="s">
        <v>729</v>
      </c>
      <c r="E1928" s="122" t="s">
        <v>891</v>
      </c>
      <c r="F1928" s="122" t="s">
        <v>892</v>
      </c>
      <c r="G1928" s="122" t="s">
        <v>786</v>
      </c>
      <c r="H1928" s="122" t="s">
        <v>777</v>
      </c>
      <c r="I1928" s="312">
        <v>2024</v>
      </c>
      <c r="J1928" s="122" t="s">
        <v>713</v>
      </c>
      <c r="K1928" s="283">
        <v>8275</v>
      </c>
      <c r="L1928" s="318">
        <v>-33.769587999999999</v>
      </c>
      <c r="M1928" s="318">
        <v>150.76873800000001</v>
      </c>
      <c r="O1928">
        <f>INDEX('MEC - traffic congestion'!$M$145:$M$249,MATCH($D1928,'MEC - traffic congestion'!$C$145:$C$249,0))</f>
        <v>1</v>
      </c>
      <c r="P1928" t="str">
        <f t="shared" si="83"/>
        <v>2024WEEKENDS</v>
      </c>
      <c r="Q1928">
        <f t="shared" si="84"/>
        <v>1</v>
      </c>
      <c r="R1928" s="195" t="str">
        <f t="shared" si="85"/>
        <v>2024LIGHT VEHICLES</v>
      </c>
    </row>
    <row r="1929" spans="3:18" x14ac:dyDescent="0.25">
      <c r="C1929" s="294" t="s">
        <v>893</v>
      </c>
      <c r="D1929" s="317">
        <v>7126</v>
      </c>
      <c r="E1929" s="122" t="s">
        <v>894</v>
      </c>
      <c r="F1929" s="122" t="s">
        <v>895</v>
      </c>
      <c r="G1929" s="122" t="s">
        <v>785</v>
      </c>
      <c r="H1929" s="122" t="s">
        <v>777</v>
      </c>
      <c r="I1929" s="312">
        <v>2018</v>
      </c>
      <c r="J1929" s="122" t="s">
        <v>709</v>
      </c>
      <c r="K1929" s="283">
        <v>2024</v>
      </c>
      <c r="L1929" s="318">
        <v>-34.035271000000002</v>
      </c>
      <c r="M1929" s="318">
        <v>151.11300700000001</v>
      </c>
      <c r="O1929">
        <f>INDEX('MEC - traffic congestion'!$M$145:$M$249,MATCH($D1929,'MEC - traffic congestion'!$C$145:$C$249,0))</f>
        <v>1</v>
      </c>
      <c r="P1929" t="str">
        <f t="shared" si="83"/>
        <v>2018AM PEAK</v>
      </c>
      <c r="Q1929">
        <f t="shared" si="84"/>
        <v>1</v>
      </c>
      <c r="R1929" s="195" t="str">
        <f t="shared" si="85"/>
        <v>2018LIGHT VEHICLES</v>
      </c>
    </row>
    <row r="1930" spans="3:18" x14ac:dyDescent="0.25">
      <c r="C1930" s="294" t="s">
        <v>893</v>
      </c>
      <c r="D1930" s="317">
        <v>7126</v>
      </c>
      <c r="E1930" s="122" t="s">
        <v>894</v>
      </c>
      <c r="F1930" s="122" t="s">
        <v>895</v>
      </c>
      <c r="G1930" s="122" t="s">
        <v>785</v>
      </c>
      <c r="H1930" s="122" t="s">
        <v>777</v>
      </c>
      <c r="I1930" s="312">
        <v>2018</v>
      </c>
      <c r="J1930" s="122" t="s">
        <v>710</v>
      </c>
      <c r="K1930" s="283">
        <v>4740</v>
      </c>
      <c r="L1930" s="318">
        <v>-34.035271000000002</v>
      </c>
      <c r="M1930" s="318">
        <v>151.11300700000001</v>
      </c>
      <c r="O1930">
        <f>INDEX('MEC - traffic congestion'!$M$145:$M$249,MATCH($D1930,'MEC - traffic congestion'!$C$145:$C$249,0))</f>
        <v>1</v>
      </c>
      <c r="P1930" t="str">
        <f t="shared" si="83"/>
        <v>2018OFF PEAK</v>
      </c>
      <c r="Q1930">
        <f t="shared" si="84"/>
        <v>1</v>
      </c>
      <c r="R1930" s="195" t="str">
        <f t="shared" si="85"/>
        <v>2018LIGHT VEHICLES</v>
      </c>
    </row>
    <row r="1931" spans="3:18" x14ac:dyDescent="0.25">
      <c r="C1931" s="294" t="s">
        <v>893</v>
      </c>
      <c r="D1931" s="317">
        <v>7126</v>
      </c>
      <c r="E1931" s="122" t="s">
        <v>894</v>
      </c>
      <c r="F1931" s="122" t="s">
        <v>895</v>
      </c>
      <c r="G1931" s="122" t="s">
        <v>785</v>
      </c>
      <c r="H1931" s="122" t="s">
        <v>777</v>
      </c>
      <c r="I1931" s="312">
        <v>2018</v>
      </c>
      <c r="J1931" s="122" t="s">
        <v>711</v>
      </c>
      <c r="K1931" s="283">
        <v>2830</v>
      </c>
      <c r="L1931" s="318">
        <v>-34.035271000000002</v>
      </c>
      <c r="M1931" s="318">
        <v>151.11300700000001</v>
      </c>
      <c r="O1931">
        <f>INDEX('MEC - traffic congestion'!$M$145:$M$249,MATCH($D1931,'MEC - traffic congestion'!$C$145:$C$249,0))</f>
        <v>1</v>
      </c>
      <c r="P1931" t="str">
        <f t="shared" si="83"/>
        <v>2018PM PEAK</v>
      </c>
      <c r="Q1931">
        <f t="shared" si="84"/>
        <v>1</v>
      </c>
      <c r="R1931" s="195" t="str">
        <f t="shared" si="85"/>
        <v>2018LIGHT VEHICLES</v>
      </c>
    </row>
    <row r="1932" spans="3:18" x14ac:dyDescent="0.25">
      <c r="C1932" s="294" t="s">
        <v>893</v>
      </c>
      <c r="D1932" s="317">
        <v>7126</v>
      </c>
      <c r="E1932" s="122" t="s">
        <v>894</v>
      </c>
      <c r="F1932" s="122" t="s">
        <v>895</v>
      </c>
      <c r="G1932" s="122" t="s">
        <v>785</v>
      </c>
      <c r="H1932" s="122" t="s">
        <v>777</v>
      </c>
      <c r="I1932" s="312">
        <v>2018</v>
      </c>
      <c r="J1932" s="122" t="s">
        <v>712</v>
      </c>
      <c r="K1932" s="283">
        <v>6737</v>
      </c>
      <c r="L1932" s="318">
        <v>-34.035271000000002</v>
      </c>
      <c r="M1932" s="318">
        <v>151.11300700000001</v>
      </c>
      <c r="O1932">
        <f>INDEX('MEC - traffic congestion'!$M$145:$M$249,MATCH($D1932,'MEC - traffic congestion'!$C$145:$C$249,0))</f>
        <v>1</v>
      </c>
      <c r="P1932" t="str">
        <f t="shared" si="83"/>
        <v>2018PUBLIC HOLIDAYS</v>
      </c>
      <c r="Q1932">
        <f t="shared" si="84"/>
        <v>1</v>
      </c>
      <c r="R1932" s="195" t="str">
        <f t="shared" si="85"/>
        <v>2018LIGHT VEHICLES</v>
      </c>
    </row>
    <row r="1933" spans="3:18" x14ac:dyDescent="0.25">
      <c r="C1933" s="294" t="s">
        <v>893</v>
      </c>
      <c r="D1933" s="317">
        <v>7126</v>
      </c>
      <c r="E1933" s="122" t="s">
        <v>894</v>
      </c>
      <c r="F1933" s="122" t="s">
        <v>895</v>
      </c>
      <c r="G1933" s="122" t="s">
        <v>785</v>
      </c>
      <c r="H1933" s="122" t="s">
        <v>777</v>
      </c>
      <c r="I1933" s="312">
        <v>2018</v>
      </c>
      <c r="J1933" s="122" t="s">
        <v>713</v>
      </c>
      <c r="K1933" s="283">
        <v>9023</v>
      </c>
      <c r="L1933" s="318">
        <v>-34.035271000000002</v>
      </c>
      <c r="M1933" s="318">
        <v>151.11300700000001</v>
      </c>
      <c r="O1933">
        <f>INDEX('MEC - traffic congestion'!$M$145:$M$249,MATCH($D1933,'MEC - traffic congestion'!$C$145:$C$249,0))</f>
        <v>1</v>
      </c>
      <c r="P1933" t="str">
        <f t="shared" si="83"/>
        <v>2018WEEKENDS</v>
      </c>
      <c r="Q1933">
        <f t="shared" si="84"/>
        <v>1</v>
      </c>
      <c r="R1933" s="195" t="str">
        <f t="shared" si="85"/>
        <v>2018LIGHT VEHICLES</v>
      </c>
    </row>
    <row r="1934" spans="3:18" x14ac:dyDescent="0.25">
      <c r="C1934" s="294" t="s">
        <v>893</v>
      </c>
      <c r="D1934" s="317">
        <v>7126</v>
      </c>
      <c r="E1934" s="122" t="s">
        <v>894</v>
      </c>
      <c r="F1934" s="122" t="s">
        <v>895</v>
      </c>
      <c r="G1934" s="122" t="s">
        <v>785</v>
      </c>
      <c r="H1934" s="122" t="s">
        <v>777</v>
      </c>
      <c r="I1934" s="312">
        <v>2019</v>
      </c>
      <c r="J1934" s="122" t="s">
        <v>709</v>
      </c>
      <c r="K1934" s="283">
        <v>1946</v>
      </c>
      <c r="L1934" s="318">
        <v>-34.035271000000002</v>
      </c>
      <c r="M1934" s="318">
        <v>151.11300700000001</v>
      </c>
      <c r="O1934">
        <f>INDEX('MEC - traffic congestion'!$M$145:$M$249,MATCH($D1934,'MEC - traffic congestion'!$C$145:$C$249,0))</f>
        <v>1</v>
      </c>
      <c r="P1934" t="str">
        <f t="shared" si="83"/>
        <v>2019AM PEAK</v>
      </c>
      <c r="Q1934">
        <f t="shared" si="84"/>
        <v>1</v>
      </c>
      <c r="R1934" s="195" t="str">
        <f t="shared" si="85"/>
        <v>2019LIGHT VEHICLES</v>
      </c>
    </row>
    <row r="1935" spans="3:18" x14ac:dyDescent="0.25">
      <c r="C1935" s="294" t="s">
        <v>893</v>
      </c>
      <c r="D1935" s="317">
        <v>7126</v>
      </c>
      <c r="E1935" s="122" t="s">
        <v>894</v>
      </c>
      <c r="F1935" s="122" t="s">
        <v>895</v>
      </c>
      <c r="G1935" s="122" t="s">
        <v>785</v>
      </c>
      <c r="H1935" s="122" t="s">
        <v>777</v>
      </c>
      <c r="I1935" s="312">
        <v>2019</v>
      </c>
      <c r="J1935" s="122" t="s">
        <v>710</v>
      </c>
      <c r="K1935" s="283">
        <v>4711</v>
      </c>
      <c r="L1935" s="318">
        <v>-34.035271000000002</v>
      </c>
      <c r="M1935" s="318">
        <v>151.11300700000001</v>
      </c>
      <c r="O1935">
        <f>INDEX('MEC - traffic congestion'!$M$145:$M$249,MATCH($D1935,'MEC - traffic congestion'!$C$145:$C$249,0))</f>
        <v>1</v>
      </c>
      <c r="P1935" t="str">
        <f t="shared" si="83"/>
        <v>2019OFF PEAK</v>
      </c>
      <c r="Q1935">
        <f t="shared" si="84"/>
        <v>1</v>
      </c>
      <c r="R1935" s="195" t="str">
        <f t="shared" si="85"/>
        <v>2019LIGHT VEHICLES</v>
      </c>
    </row>
    <row r="1936" spans="3:18" x14ac:dyDescent="0.25">
      <c r="C1936" s="294" t="s">
        <v>893</v>
      </c>
      <c r="D1936" s="317">
        <v>7126</v>
      </c>
      <c r="E1936" s="122" t="s">
        <v>894</v>
      </c>
      <c r="F1936" s="122" t="s">
        <v>895</v>
      </c>
      <c r="G1936" s="122" t="s">
        <v>785</v>
      </c>
      <c r="H1936" s="122" t="s">
        <v>777</v>
      </c>
      <c r="I1936" s="312">
        <v>2019</v>
      </c>
      <c r="J1936" s="122" t="s">
        <v>711</v>
      </c>
      <c r="K1936" s="283">
        <v>2826</v>
      </c>
      <c r="L1936" s="318">
        <v>-34.035271000000002</v>
      </c>
      <c r="M1936" s="318">
        <v>151.11300700000001</v>
      </c>
      <c r="O1936">
        <f>INDEX('MEC - traffic congestion'!$M$145:$M$249,MATCH($D1936,'MEC - traffic congestion'!$C$145:$C$249,0))</f>
        <v>1</v>
      </c>
      <c r="P1936" t="str">
        <f t="shared" si="83"/>
        <v>2019PM PEAK</v>
      </c>
      <c r="Q1936">
        <f t="shared" si="84"/>
        <v>1</v>
      </c>
      <c r="R1936" s="195" t="str">
        <f t="shared" si="85"/>
        <v>2019LIGHT VEHICLES</v>
      </c>
    </row>
    <row r="1937" spans="3:18" x14ac:dyDescent="0.25">
      <c r="C1937" s="294" t="s">
        <v>893</v>
      </c>
      <c r="D1937" s="317">
        <v>7126</v>
      </c>
      <c r="E1937" s="122" t="s">
        <v>894</v>
      </c>
      <c r="F1937" s="122" t="s">
        <v>895</v>
      </c>
      <c r="G1937" s="122" t="s">
        <v>785</v>
      </c>
      <c r="H1937" s="122" t="s">
        <v>777</v>
      </c>
      <c r="I1937" s="312">
        <v>2019</v>
      </c>
      <c r="J1937" s="122" t="s">
        <v>712</v>
      </c>
      <c r="K1937" s="283">
        <v>6457</v>
      </c>
      <c r="L1937" s="318">
        <v>-34.035271000000002</v>
      </c>
      <c r="M1937" s="318">
        <v>151.11300700000001</v>
      </c>
      <c r="O1937">
        <f>INDEX('MEC - traffic congestion'!$M$145:$M$249,MATCH($D1937,'MEC - traffic congestion'!$C$145:$C$249,0))</f>
        <v>1</v>
      </c>
      <c r="P1937" t="str">
        <f t="shared" si="83"/>
        <v>2019PUBLIC HOLIDAYS</v>
      </c>
      <c r="Q1937">
        <f t="shared" si="84"/>
        <v>1</v>
      </c>
      <c r="R1937" s="195" t="str">
        <f t="shared" si="85"/>
        <v>2019LIGHT VEHICLES</v>
      </c>
    </row>
    <row r="1938" spans="3:18" x14ac:dyDescent="0.25">
      <c r="C1938" s="294" t="s">
        <v>893</v>
      </c>
      <c r="D1938" s="317">
        <v>7126</v>
      </c>
      <c r="E1938" s="122" t="s">
        <v>894</v>
      </c>
      <c r="F1938" s="122" t="s">
        <v>895</v>
      </c>
      <c r="G1938" s="122" t="s">
        <v>785</v>
      </c>
      <c r="H1938" s="122" t="s">
        <v>777</v>
      </c>
      <c r="I1938" s="312">
        <v>2019</v>
      </c>
      <c r="J1938" s="122" t="s">
        <v>713</v>
      </c>
      <c r="K1938" s="283">
        <v>8918</v>
      </c>
      <c r="L1938" s="318">
        <v>-34.035271000000002</v>
      </c>
      <c r="M1938" s="318">
        <v>151.11300700000001</v>
      </c>
      <c r="O1938">
        <f>INDEX('MEC - traffic congestion'!$M$145:$M$249,MATCH($D1938,'MEC - traffic congestion'!$C$145:$C$249,0))</f>
        <v>1</v>
      </c>
      <c r="P1938" t="str">
        <f t="shared" si="83"/>
        <v>2019WEEKENDS</v>
      </c>
      <c r="Q1938">
        <f t="shared" si="84"/>
        <v>1</v>
      </c>
      <c r="R1938" s="195" t="str">
        <f t="shared" si="85"/>
        <v>2019LIGHT VEHICLES</v>
      </c>
    </row>
    <row r="1939" spans="3:18" x14ac:dyDescent="0.25">
      <c r="C1939" s="294" t="s">
        <v>893</v>
      </c>
      <c r="D1939" s="317">
        <v>7126</v>
      </c>
      <c r="E1939" s="122" t="s">
        <v>894</v>
      </c>
      <c r="F1939" s="122" t="s">
        <v>895</v>
      </c>
      <c r="G1939" s="122" t="s">
        <v>785</v>
      </c>
      <c r="H1939" s="122" t="s">
        <v>777</v>
      </c>
      <c r="I1939" s="312">
        <v>2020</v>
      </c>
      <c r="J1939" s="122" t="s">
        <v>709</v>
      </c>
      <c r="K1939" s="283">
        <v>1950</v>
      </c>
      <c r="L1939" s="318">
        <v>-34.035271000000002</v>
      </c>
      <c r="M1939" s="318">
        <v>151.11300700000001</v>
      </c>
      <c r="O1939">
        <f>INDEX('MEC - traffic congestion'!$M$145:$M$249,MATCH($D1939,'MEC - traffic congestion'!$C$145:$C$249,0))</f>
        <v>1</v>
      </c>
      <c r="P1939" t="str">
        <f t="shared" si="83"/>
        <v>2020AM PEAK</v>
      </c>
      <c r="Q1939">
        <f t="shared" si="84"/>
        <v>1</v>
      </c>
      <c r="R1939" s="195" t="str">
        <f t="shared" si="85"/>
        <v>2020LIGHT VEHICLES</v>
      </c>
    </row>
    <row r="1940" spans="3:18" x14ac:dyDescent="0.25">
      <c r="C1940" s="294" t="s">
        <v>893</v>
      </c>
      <c r="D1940" s="317">
        <v>7126</v>
      </c>
      <c r="E1940" s="122" t="s">
        <v>894</v>
      </c>
      <c r="F1940" s="122" t="s">
        <v>895</v>
      </c>
      <c r="G1940" s="122" t="s">
        <v>785</v>
      </c>
      <c r="H1940" s="122" t="s">
        <v>777</v>
      </c>
      <c r="I1940" s="312">
        <v>2020</v>
      </c>
      <c r="J1940" s="122" t="s">
        <v>710</v>
      </c>
      <c r="K1940" s="283">
        <v>4373</v>
      </c>
      <c r="L1940" s="318">
        <v>-34.035271000000002</v>
      </c>
      <c r="M1940" s="318">
        <v>151.11300700000001</v>
      </c>
      <c r="O1940">
        <f>INDEX('MEC - traffic congestion'!$M$145:$M$249,MATCH($D1940,'MEC - traffic congestion'!$C$145:$C$249,0))</f>
        <v>1</v>
      </c>
      <c r="P1940" t="str">
        <f t="shared" si="83"/>
        <v>2020OFF PEAK</v>
      </c>
      <c r="Q1940">
        <f t="shared" si="84"/>
        <v>1</v>
      </c>
      <c r="R1940" s="195" t="str">
        <f t="shared" si="85"/>
        <v>2020LIGHT VEHICLES</v>
      </c>
    </row>
    <row r="1941" spans="3:18" x14ac:dyDescent="0.25">
      <c r="C1941" s="294" t="s">
        <v>893</v>
      </c>
      <c r="D1941" s="317">
        <v>7126</v>
      </c>
      <c r="E1941" s="122" t="s">
        <v>894</v>
      </c>
      <c r="F1941" s="122" t="s">
        <v>895</v>
      </c>
      <c r="G1941" s="122" t="s">
        <v>785</v>
      </c>
      <c r="H1941" s="122" t="s">
        <v>777</v>
      </c>
      <c r="I1941" s="312">
        <v>2020</v>
      </c>
      <c r="J1941" s="122" t="s">
        <v>711</v>
      </c>
      <c r="K1941" s="283">
        <v>2666</v>
      </c>
      <c r="L1941" s="318">
        <v>-34.035271000000002</v>
      </c>
      <c r="M1941" s="318">
        <v>151.11300700000001</v>
      </c>
      <c r="O1941">
        <f>INDEX('MEC - traffic congestion'!$M$145:$M$249,MATCH($D1941,'MEC - traffic congestion'!$C$145:$C$249,0))</f>
        <v>1</v>
      </c>
      <c r="P1941" t="str">
        <f t="shared" ref="P1941:P2004" si="86">IF($O1941=1,$I1941&amp;$J1941,"")</f>
        <v>2020PM PEAK</v>
      </c>
      <c r="Q1941">
        <f t="shared" ref="Q1941:Q2004" si="87">IF(AND($M1941&gt;150.246,AND($L1941&gt;-34.397,$L1941&lt;-32.662)),1,0)</f>
        <v>1</v>
      </c>
      <c r="R1941" s="195" t="str">
        <f t="shared" ref="R1941:R2004" si="88">IF($O1941=1,$I1941&amp;$H1941,"")</f>
        <v>2020LIGHT VEHICLES</v>
      </c>
    </row>
    <row r="1942" spans="3:18" x14ac:dyDescent="0.25">
      <c r="C1942" s="294" t="s">
        <v>893</v>
      </c>
      <c r="D1942" s="317">
        <v>7126</v>
      </c>
      <c r="E1942" s="122" t="s">
        <v>894</v>
      </c>
      <c r="F1942" s="122" t="s">
        <v>895</v>
      </c>
      <c r="G1942" s="122" t="s">
        <v>785</v>
      </c>
      <c r="H1942" s="122" t="s">
        <v>777</v>
      </c>
      <c r="I1942" s="312">
        <v>2020</v>
      </c>
      <c r="J1942" s="122" t="s">
        <v>712</v>
      </c>
      <c r="K1942" s="283">
        <v>5072</v>
      </c>
      <c r="L1942" s="318">
        <v>-34.035271000000002</v>
      </c>
      <c r="M1942" s="318">
        <v>151.11300700000001</v>
      </c>
      <c r="O1942">
        <f>INDEX('MEC - traffic congestion'!$M$145:$M$249,MATCH($D1942,'MEC - traffic congestion'!$C$145:$C$249,0))</f>
        <v>1</v>
      </c>
      <c r="P1942" t="str">
        <f t="shared" si="86"/>
        <v>2020PUBLIC HOLIDAYS</v>
      </c>
      <c r="Q1942">
        <f t="shared" si="87"/>
        <v>1</v>
      </c>
      <c r="R1942" s="195" t="str">
        <f t="shared" si="88"/>
        <v>2020LIGHT VEHICLES</v>
      </c>
    </row>
    <row r="1943" spans="3:18" x14ac:dyDescent="0.25">
      <c r="C1943" s="294" t="s">
        <v>893</v>
      </c>
      <c r="D1943" s="317">
        <v>7126</v>
      </c>
      <c r="E1943" s="122" t="s">
        <v>894</v>
      </c>
      <c r="F1943" s="122" t="s">
        <v>895</v>
      </c>
      <c r="G1943" s="122" t="s">
        <v>785</v>
      </c>
      <c r="H1943" s="122" t="s">
        <v>777</v>
      </c>
      <c r="I1943" s="312">
        <v>2020</v>
      </c>
      <c r="J1943" s="122" t="s">
        <v>713</v>
      </c>
      <c r="K1943" s="283">
        <v>8032</v>
      </c>
      <c r="L1943" s="318">
        <v>-34.035271000000002</v>
      </c>
      <c r="M1943" s="318">
        <v>151.11300700000001</v>
      </c>
      <c r="O1943">
        <f>INDEX('MEC - traffic congestion'!$M$145:$M$249,MATCH($D1943,'MEC - traffic congestion'!$C$145:$C$249,0))</f>
        <v>1</v>
      </c>
      <c r="P1943" t="str">
        <f t="shared" si="86"/>
        <v>2020WEEKENDS</v>
      </c>
      <c r="Q1943">
        <f t="shared" si="87"/>
        <v>1</v>
      </c>
      <c r="R1943" s="195" t="str">
        <f t="shared" si="88"/>
        <v>2020LIGHT VEHICLES</v>
      </c>
    </row>
    <row r="1944" spans="3:18" x14ac:dyDescent="0.25">
      <c r="C1944" s="294" t="s">
        <v>893</v>
      </c>
      <c r="D1944" s="317">
        <v>7126</v>
      </c>
      <c r="E1944" s="122" t="s">
        <v>894</v>
      </c>
      <c r="F1944" s="122" t="s">
        <v>895</v>
      </c>
      <c r="G1944" s="122" t="s">
        <v>785</v>
      </c>
      <c r="H1944" s="122" t="s">
        <v>777</v>
      </c>
      <c r="I1944" s="312">
        <v>2021</v>
      </c>
      <c r="J1944" s="122" t="s">
        <v>709</v>
      </c>
      <c r="K1944" s="283">
        <v>1959</v>
      </c>
      <c r="L1944" s="318">
        <v>-34.035271000000002</v>
      </c>
      <c r="M1944" s="318">
        <v>151.11300700000001</v>
      </c>
      <c r="O1944">
        <f>INDEX('MEC - traffic congestion'!$M$145:$M$249,MATCH($D1944,'MEC - traffic congestion'!$C$145:$C$249,0))</f>
        <v>1</v>
      </c>
      <c r="P1944" t="str">
        <f t="shared" si="86"/>
        <v>2021AM PEAK</v>
      </c>
      <c r="Q1944">
        <f t="shared" si="87"/>
        <v>1</v>
      </c>
      <c r="R1944" s="195" t="str">
        <f t="shared" si="88"/>
        <v>2021LIGHT VEHICLES</v>
      </c>
    </row>
    <row r="1945" spans="3:18" x14ac:dyDescent="0.25">
      <c r="C1945" s="294" t="s">
        <v>893</v>
      </c>
      <c r="D1945" s="317">
        <v>7126</v>
      </c>
      <c r="E1945" s="122" t="s">
        <v>894</v>
      </c>
      <c r="F1945" s="122" t="s">
        <v>895</v>
      </c>
      <c r="G1945" s="122" t="s">
        <v>785</v>
      </c>
      <c r="H1945" s="122" t="s">
        <v>777</v>
      </c>
      <c r="I1945" s="312">
        <v>2021</v>
      </c>
      <c r="J1945" s="122" t="s">
        <v>710</v>
      </c>
      <c r="K1945" s="283">
        <v>4233</v>
      </c>
      <c r="L1945" s="318">
        <v>-34.035271000000002</v>
      </c>
      <c r="M1945" s="318">
        <v>151.11300700000001</v>
      </c>
      <c r="O1945">
        <f>INDEX('MEC - traffic congestion'!$M$145:$M$249,MATCH($D1945,'MEC - traffic congestion'!$C$145:$C$249,0))</f>
        <v>1</v>
      </c>
      <c r="P1945" t="str">
        <f t="shared" si="86"/>
        <v>2021OFF PEAK</v>
      </c>
      <c r="Q1945">
        <f t="shared" si="87"/>
        <v>1</v>
      </c>
      <c r="R1945" s="195" t="str">
        <f t="shared" si="88"/>
        <v>2021LIGHT VEHICLES</v>
      </c>
    </row>
    <row r="1946" spans="3:18" x14ac:dyDescent="0.25">
      <c r="C1946" s="294" t="s">
        <v>893</v>
      </c>
      <c r="D1946" s="317">
        <v>7126</v>
      </c>
      <c r="E1946" s="122" t="s">
        <v>894</v>
      </c>
      <c r="F1946" s="122" t="s">
        <v>895</v>
      </c>
      <c r="G1946" s="122" t="s">
        <v>785</v>
      </c>
      <c r="H1946" s="122" t="s">
        <v>777</v>
      </c>
      <c r="I1946" s="312">
        <v>2021</v>
      </c>
      <c r="J1946" s="122" t="s">
        <v>711</v>
      </c>
      <c r="K1946" s="283">
        <v>2527</v>
      </c>
      <c r="L1946" s="318">
        <v>-34.035271000000002</v>
      </c>
      <c r="M1946" s="318">
        <v>151.11300700000001</v>
      </c>
      <c r="O1946">
        <f>INDEX('MEC - traffic congestion'!$M$145:$M$249,MATCH($D1946,'MEC - traffic congestion'!$C$145:$C$249,0))</f>
        <v>1</v>
      </c>
      <c r="P1946" t="str">
        <f t="shared" si="86"/>
        <v>2021PM PEAK</v>
      </c>
      <c r="Q1946">
        <f t="shared" si="87"/>
        <v>1</v>
      </c>
      <c r="R1946" s="195" t="str">
        <f t="shared" si="88"/>
        <v>2021LIGHT VEHICLES</v>
      </c>
    </row>
    <row r="1947" spans="3:18" x14ac:dyDescent="0.25">
      <c r="C1947" s="294" t="s">
        <v>893</v>
      </c>
      <c r="D1947" s="317">
        <v>7126</v>
      </c>
      <c r="E1947" s="122" t="s">
        <v>894</v>
      </c>
      <c r="F1947" s="122" t="s">
        <v>895</v>
      </c>
      <c r="G1947" s="122" t="s">
        <v>785</v>
      </c>
      <c r="H1947" s="122" t="s">
        <v>777</v>
      </c>
      <c r="I1947" s="312">
        <v>2021</v>
      </c>
      <c r="J1947" s="122" t="s">
        <v>713</v>
      </c>
      <c r="K1947" s="283">
        <v>7561</v>
      </c>
      <c r="L1947" s="318">
        <v>-34.035271000000002</v>
      </c>
      <c r="M1947" s="318">
        <v>151.11300700000001</v>
      </c>
      <c r="O1947">
        <f>INDEX('MEC - traffic congestion'!$M$145:$M$249,MATCH($D1947,'MEC - traffic congestion'!$C$145:$C$249,0))</f>
        <v>1</v>
      </c>
      <c r="P1947" t="str">
        <f t="shared" si="86"/>
        <v>2021WEEKENDS</v>
      </c>
      <c r="Q1947">
        <f t="shared" si="87"/>
        <v>1</v>
      </c>
      <c r="R1947" s="195" t="str">
        <f t="shared" si="88"/>
        <v>2021LIGHT VEHICLES</v>
      </c>
    </row>
    <row r="1948" spans="3:18" x14ac:dyDescent="0.25">
      <c r="C1948" s="294" t="s">
        <v>893</v>
      </c>
      <c r="D1948" s="317">
        <v>7126</v>
      </c>
      <c r="E1948" s="122" t="s">
        <v>894</v>
      </c>
      <c r="F1948" s="122" t="s">
        <v>895</v>
      </c>
      <c r="G1948" s="122" t="s">
        <v>785</v>
      </c>
      <c r="H1948" s="122" t="s">
        <v>777</v>
      </c>
      <c r="I1948" s="312">
        <v>2022</v>
      </c>
      <c r="J1948" s="122" t="s">
        <v>709</v>
      </c>
      <c r="K1948" s="283">
        <v>1987</v>
      </c>
      <c r="L1948" s="318">
        <v>-34.035271000000002</v>
      </c>
      <c r="M1948" s="318">
        <v>151.11300700000001</v>
      </c>
      <c r="O1948">
        <f>INDEX('MEC - traffic congestion'!$M$145:$M$249,MATCH($D1948,'MEC - traffic congestion'!$C$145:$C$249,0))</f>
        <v>1</v>
      </c>
      <c r="P1948" t="str">
        <f t="shared" si="86"/>
        <v>2022AM PEAK</v>
      </c>
      <c r="Q1948">
        <f t="shared" si="87"/>
        <v>1</v>
      </c>
      <c r="R1948" s="195" t="str">
        <f t="shared" si="88"/>
        <v>2022LIGHT VEHICLES</v>
      </c>
    </row>
    <row r="1949" spans="3:18" x14ac:dyDescent="0.25">
      <c r="C1949" s="294" t="s">
        <v>893</v>
      </c>
      <c r="D1949" s="317">
        <v>7126</v>
      </c>
      <c r="E1949" s="122" t="s">
        <v>894</v>
      </c>
      <c r="F1949" s="122" t="s">
        <v>895</v>
      </c>
      <c r="G1949" s="122" t="s">
        <v>785</v>
      </c>
      <c r="H1949" s="122" t="s">
        <v>777</v>
      </c>
      <c r="I1949" s="312">
        <v>2022</v>
      </c>
      <c r="J1949" s="122" t="s">
        <v>710</v>
      </c>
      <c r="K1949" s="283">
        <v>4381</v>
      </c>
      <c r="L1949" s="318">
        <v>-34.035271000000002</v>
      </c>
      <c r="M1949" s="318">
        <v>151.11300700000001</v>
      </c>
      <c r="O1949">
        <f>INDEX('MEC - traffic congestion'!$M$145:$M$249,MATCH($D1949,'MEC - traffic congestion'!$C$145:$C$249,0))</f>
        <v>1</v>
      </c>
      <c r="P1949" t="str">
        <f t="shared" si="86"/>
        <v>2022OFF PEAK</v>
      </c>
      <c r="Q1949">
        <f t="shared" si="87"/>
        <v>1</v>
      </c>
      <c r="R1949" s="195" t="str">
        <f t="shared" si="88"/>
        <v>2022LIGHT VEHICLES</v>
      </c>
    </row>
    <row r="1950" spans="3:18" x14ac:dyDescent="0.25">
      <c r="C1950" s="294" t="s">
        <v>893</v>
      </c>
      <c r="D1950" s="317">
        <v>7126</v>
      </c>
      <c r="E1950" s="122" t="s">
        <v>894</v>
      </c>
      <c r="F1950" s="122" t="s">
        <v>895</v>
      </c>
      <c r="G1950" s="122" t="s">
        <v>785</v>
      </c>
      <c r="H1950" s="122" t="s">
        <v>777</v>
      </c>
      <c r="I1950" s="312">
        <v>2022</v>
      </c>
      <c r="J1950" s="122" t="s">
        <v>711</v>
      </c>
      <c r="K1950" s="283">
        <v>2670</v>
      </c>
      <c r="L1950" s="318">
        <v>-34.035271000000002</v>
      </c>
      <c r="M1950" s="318">
        <v>151.11300700000001</v>
      </c>
      <c r="O1950">
        <f>INDEX('MEC - traffic congestion'!$M$145:$M$249,MATCH($D1950,'MEC - traffic congestion'!$C$145:$C$249,0))</f>
        <v>1</v>
      </c>
      <c r="P1950" t="str">
        <f t="shared" si="86"/>
        <v>2022PM PEAK</v>
      </c>
      <c r="Q1950">
        <f t="shared" si="87"/>
        <v>1</v>
      </c>
      <c r="R1950" s="195" t="str">
        <f t="shared" si="88"/>
        <v>2022LIGHT VEHICLES</v>
      </c>
    </row>
    <row r="1951" spans="3:18" x14ac:dyDescent="0.25">
      <c r="C1951" s="294" t="s">
        <v>893</v>
      </c>
      <c r="D1951" s="317">
        <v>7126</v>
      </c>
      <c r="E1951" s="122" t="s">
        <v>894</v>
      </c>
      <c r="F1951" s="122" t="s">
        <v>895</v>
      </c>
      <c r="G1951" s="122" t="s">
        <v>785</v>
      </c>
      <c r="H1951" s="122" t="s">
        <v>777</v>
      </c>
      <c r="I1951" s="312">
        <v>2022</v>
      </c>
      <c r="J1951" s="122" t="s">
        <v>713</v>
      </c>
      <c r="K1951" s="283">
        <v>8030</v>
      </c>
      <c r="L1951" s="318">
        <v>-34.035271000000002</v>
      </c>
      <c r="M1951" s="318">
        <v>151.11300700000001</v>
      </c>
      <c r="O1951">
        <f>INDEX('MEC - traffic congestion'!$M$145:$M$249,MATCH($D1951,'MEC - traffic congestion'!$C$145:$C$249,0))</f>
        <v>1</v>
      </c>
      <c r="P1951" t="str">
        <f t="shared" si="86"/>
        <v>2022WEEKENDS</v>
      </c>
      <c r="Q1951">
        <f t="shared" si="87"/>
        <v>1</v>
      </c>
      <c r="R1951" s="195" t="str">
        <f t="shared" si="88"/>
        <v>2022LIGHT VEHICLES</v>
      </c>
    </row>
    <row r="1952" spans="3:18" x14ac:dyDescent="0.25">
      <c r="C1952" s="294" t="s">
        <v>893</v>
      </c>
      <c r="D1952" s="317">
        <v>7126</v>
      </c>
      <c r="E1952" s="122" t="s">
        <v>894</v>
      </c>
      <c r="F1952" s="122" t="s">
        <v>895</v>
      </c>
      <c r="G1952" s="122" t="s">
        <v>785</v>
      </c>
      <c r="H1952" s="122" t="s">
        <v>777</v>
      </c>
      <c r="I1952" s="312">
        <v>2023</v>
      </c>
      <c r="J1952" s="122" t="s">
        <v>709</v>
      </c>
      <c r="K1952" s="283">
        <v>2094</v>
      </c>
      <c r="L1952" s="318">
        <v>-34.035271000000002</v>
      </c>
      <c r="M1952" s="318">
        <v>151.11300700000001</v>
      </c>
      <c r="O1952">
        <f>INDEX('MEC - traffic congestion'!$M$145:$M$249,MATCH($D1952,'MEC - traffic congestion'!$C$145:$C$249,0))</f>
        <v>1</v>
      </c>
      <c r="P1952" t="str">
        <f t="shared" si="86"/>
        <v>2023AM PEAK</v>
      </c>
      <c r="Q1952">
        <f t="shared" si="87"/>
        <v>1</v>
      </c>
      <c r="R1952" s="195" t="str">
        <f t="shared" si="88"/>
        <v>2023LIGHT VEHICLES</v>
      </c>
    </row>
    <row r="1953" spans="3:18" x14ac:dyDescent="0.25">
      <c r="C1953" s="294" t="s">
        <v>893</v>
      </c>
      <c r="D1953" s="317">
        <v>7126</v>
      </c>
      <c r="E1953" s="122" t="s">
        <v>894</v>
      </c>
      <c r="F1953" s="122" t="s">
        <v>895</v>
      </c>
      <c r="G1953" s="122" t="s">
        <v>785</v>
      </c>
      <c r="H1953" s="122" t="s">
        <v>777</v>
      </c>
      <c r="I1953" s="312">
        <v>2023</v>
      </c>
      <c r="J1953" s="122" t="s">
        <v>710</v>
      </c>
      <c r="K1953" s="283">
        <v>4637</v>
      </c>
      <c r="L1953" s="318">
        <v>-34.035271000000002</v>
      </c>
      <c r="M1953" s="318">
        <v>151.11300700000001</v>
      </c>
      <c r="O1953">
        <f>INDEX('MEC - traffic congestion'!$M$145:$M$249,MATCH($D1953,'MEC - traffic congestion'!$C$145:$C$249,0))</f>
        <v>1</v>
      </c>
      <c r="P1953" t="str">
        <f t="shared" si="86"/>
        <v>2023OFF PEAK</v>
      </c>
      <c r="Q1953">
        <f t="shared" si="87"/>
        <v>1</v>
      </c>
      <c r="R1953" s="195" t="str">
        <f t="shared" si="88"/>
        <v>2023LIGHT VEHICLES</v>
      </c>
    </row>
    <row r="1954" spans="3:18" x14ac:dyDescent="0.25">
      <c r="C1954" s="294" t="s">
        <v>893</v>
      </c>
      <c r="D1954" s="317">
        <v>7126</v>
      </c>
      <c r="E1954" s="122" t="s">
        <v>894</v>
      </c>
      <c r="F1954" s="122" t="s">
        <v>895</v>
      </c>
      <c r="G1954" s="122" t="s">
        <v>785</v>
      </c>
      <c r="H1954" s="122" t="s">
        <v>777</v>
      </c>
      <c r="I1954" s="312">
        <v>2023</v>
      </c>
      <c r="J1954" s="122" t="s">
        <v>711</v>
      </c>
      <c r="K1954" s="283">
        <v>2690</v>
      </c>
      <c r="L1954" s="318">
        <v>-34.035271000000002</v>
      </c>
      <c r="M1954" s="318">
        <v>151.11300700000001</v>
      </c>
      <c r="O1954">
        <f>INDEX('MEC - traffic congestion'!$M$145:$M$249,MATCH($D1954,'MEC - traffic congestion'!$C$145:$C$249,0))</f>
        <v>1</v>
      </c>
      <c r="P1954" t="str">
        <f t="shared" si="86"/>
        <v>2023PM PEAK</v>
      </c>
      <c r="Q1954">
        <f t="shared" si="87"/>
        <v>1</v>
      </c>
      <c r="R1954" s="195" t="str">
        <f t="shared" si="88"/>
        <v>2023LIGHT VEHICLES</v>
      </c>
    </row>
    <row r="1955" spans="3:18" x14ac:dyDescent="0.25">
      <c r="C1955" s="294" t="s">
        <v>893</v>
      </c>
      <c r="D1955" s="317">
        <v>7126</v>
      </c>
      <c r="E1955" s="122" t="s">
        <v>894</v>
      </c>
      <c r="F1955" s="122" t="s">
        <v>895</v>
      </c>
      <c r="G1955" s="122" t="s">
        <v>785</v>
      </c>
      <c r="H1955" s="122" t="s">
        <v>777</v>
      </c>
      <c r="I1955" s="312">
        <v>2023</v>
      </c>
      <c r="J1955" s="122" t="s">
        <v>713</v>
      </c>
      <c r="K1955" s="283">
        <v>8642</v>
      </c>
      <c r="L1955" s="318">
        <v>-34.035271000000002</v>
      </c>
      <c r="M1955" s="318">
        <v>151.11300700000001</v>
      </c>
      <c r="O1955">
        <f>INDEX('MEC - traffic congestion'!$M$145:$M$249,MATCH($D1955,'MEC - traffic congestion'!$C$145:$C$249,0))</f>
        <v>1</v>
      </c>
      <c r="P1955" t="str">
        <f t="shared" si="86"/>
        <v>2023WEEKENDS</v>
      </c>
      <c r="Q1955">
        <f t="shared" si="87"/>
        <v>1</v>
      </c>
      <c r="R1955" s="195" t="str">
        <f t="shared" si="88"/>
        <v>2023LIGHT VEHICLES</v>
      </c>
    </row>
    <row r="1956" spans="3:18" x14ac:dyDescent="0.25">
      <c r="C1956" s="294" t="s">
        <v>893</v>
      </c>
      <c r="D1956" s="317">
        <v>7126</v>
      </c>
      <c r="E1956" s="122" t="s">
        <v>894</v>
      </c>
      <c r="F1956" s="122" t="s">
        <v>895</v>
      </c>
      <c r="G1956" s="122" t="s">
        <v>785</v>
      </c>
      <c r="H1956" s="122" t="s">
        <v>777</v>
      </c>
      <c r="I1956" s="312">
        <v>2024</v>
      </c>
      <c r="J1956" s="122" t="s">
        <v>709</v>
      </c>
      <c r="K1956" s="283">
        <v>2094</v>
      </c>
      <c r="L1956" s="318">
        <v>-34.035271000000002</v>
      </c>
      <c r="M1956" s="318">
        <v>151.11300700000001</v>
      </c>
      <c r="O1956">
        <f>INDEX('MEC - traffic congestion'!$M$145:$M$249,MATCH($D1956,'MEC - traffic congestion'!$C$145:$C$249,0))</f>
        <v>1</v>
      </c>
      <c r="P1956" t="str">
        <f t="shared" si="86"/>
        <v>2024AM PEAK</v>
      </c>
      <c r="Q1956">
        <f t="shared" si="87"/>
        <v>1</v>
      </c>
      <c r="R1956" s="195" t="str">
        <f t="shared" si="88"/>
        <v>2024LIGHT VEHICLES</v>
      </c>
    </row>
    <row r="1957" spans="3:18" x14ac:dyDescent="0.25">
      <c r="C1957" s="294" t="s">
        <v>893</v>
      </c>
      <c r="D1957" s="317">
        <v>7126</v>
      </c>
      <c r="E1957" s="122" t="s">
        <v>894</v>
      </c>
      <c r="F1957" s="122" t="s">
        <v>895</v>
      </c>
      <c r="G1957" s="122" t="s">
        <v>785</v>
      </c>
      <c r="H1957" s="122" t="s">
        <v>777</v>
      </c>
      <c r="I1957" s="312">
        <v>2024</v>
      </c>
      <c r="J1957" s="122" t="s">
        <v>710</v>
      </c>
      <c r="K1957" s="283">
        <v>4599</v>
      </c>
      <c r="L1957" s="318">
        <v>-34.035271000000002</v>
      </c>
      <c r="M1957" s="318">
        <v>151.11300700000001</v>
      </c>
      <c r="O1957">
        <f>INDEX('MEC - traffic congestion'!$M$145:$M$249,MATCH($D1957,'MEC - traffic congestion'!$C$145:$C$249,0))</f>
        <v>1</v>
      </c>
      <c r="P1957" t="str">
        <f t="shared" si="86"/>
        <v>2024OFF PEAK</v>
      </c>
      <c r="Q1957">
        <f t="shared" si="87"/>
        <v>1</v>
      </c>
      <c r="R1957" s="195" t="str">
        <f t="shared" si="88"/>
        <v>2024LIGHT VEHICLES</v>
      </c>
    </row>
    <row r="1958" spans="3:18" x14ac:dyDescent="0.25">
      <c r="C1958" s="294" t="s">
        <v>893</v>
      </c>
      <c r="D1958" s="317">
        <v>7126</v>
      </c>
      <c r="E1958" s="122" t="s">
        <v>894</v>
      </c>
      <c r="F1958" s="122" t="s">
        <v>895</v>
      </c>
      <c r="G1958" s="122" t="s">
        <v>785</v>
      </c>
      <c r="H1958" s="122" t="s">
        <v>777</v>
      </c>
      <c r="I1958" s="312">
        <v>2024</v>
      </c>
      <c r="J1958" s="122" t="s">
        <v>711</v>
      </c>
      <c r="K1958" s="283">
        <v>2574</v>
      </c>
      <c r="L1958" s="318">
        <v>-34.035271000000002</v>
      </c>
      <c r="M1958" s="318">
        <v>151.11300700000001</v>
      </c>
      <c r="O1958">
        <f>INDEX('MEC - traffic congestion'!$M$145:$M$249,MATCH($D1958,'MEC - traffic congestion'!$C$145:$C$249,0))</f>
        <v>1</v>
      </c>
      <c r="P1958" t="str">
        <f t="shared" si="86"/>
        <v>2024PM PEAK</v>
      </c>
      <c r="Q1958">
        <f t="shared" si="87"/>
        <v>1</v>
      </c>
      <c r="R1958" s="195" t="str">
        <f t="shared" si="88"/>
        <v>2024LIGHT VEHICLES</v>
      </c>
    </row>
    <row r="1959" spans="3:18" x14ac:dyDescent="0.25">
      <c r="C1959" s="294" t="s">
        <v>893</v>
      </c>
      <c r="D1959" s="317">
        <v>7126</v>
      </c>
      <c r="E1959" s="122" t="s">
        <v>894</v>
      </c>
      <c r="F1959" s="122" t="s">
        <v>895</v>
      </c>
      <c r="G1959" s="122" t="s">
        <v>785</v>
      </c>
      <c r="H1959" s="122" t="s">
        <v>777</v>
      </c>
      <c r="I1959" s="312">
        <v>2024</v>
      </c>
      <c r="J1959" s="122" t="s">
        <v>713</v>
      </c>
      <c r="K1959" s="283">
        <v>8687</v>
      </c>
      <c r="L1959" s="318">
        <v>-34.035271000000002</v>
      </c>
      <c r="M1959" s="318">
        <v>151.11300700000001</v>
      </c>
      <c r="O1959">
        <f>INDEX('MEC - traffic congestion'!$M$145:$M$249,MATCH($D1959,'MEC - traffic congestion'!$C$145:$C$249,0))</f>
        <v>1</v>
      </c>
      <c r="P1959" t="str">
        <f t="shared" si="86"/>
        <v>2024WEEKENDS</v>
      </c>
      <c r="Q1959">
        <f t="shared" si="87"/>
        <v>1</v>
      </c>
      <c r="R1959" s="195" t="str">
        <f t="shared" si="88"/>
        <v>2024LIGHT VEHICLES</v>
      </c>
    </row>
    <row r="1960" spans="3:18" x14ac:dyDescent="0.25">
      <c r="C1960" s="294" t="s">
        <v>896</v>
      </c>
      <c r="D1960" s="317">
        <v>7132</v>
      </c>
      <c r="E1960" s="122" t="s">
        <v>897</v>
      </c>
      <c r="F1960" s="122" t="s">
        <v>898</v>
      </c>
      <c r="G1960" s="122" t="s">
        <v>776</v>
      </c>
      <c r="H1960" s="122" t="s">
        <v>777</v>
      </c>
      <c r="I1960" s="312">
        <v>2018</v>
      </c>
      <c r="J1960" s="122" t="s">
        <v>709</v>
      </c>
      <c r="K1960" s="283">
        <v>7197</v>
      </c>
      <c r="L1960" s="318">
        <v>-33.953055999999997</v>
      </c>
      <c r="M1960" s="318">
        <v>151.13748200000001</v>
      </c>
      <c r="O1960">
        <f>INDEX('MEC - traffic congestion'!$M$145:$M$249,MATCH($D1960,'MEC - traffic congestion'!$C$145:$C$249,0))</f>
        <v>1</v>
      </c>
      <c r="P1960" t="str">
        <f t="shared" si="86"/>
        <v>2018AM PEAK</v>
      </c>
      <c r="Q1960">
        <f t="shared" si="87"/>
        <v>1</v>
      </c>
      <c r="R1960" s="195" t="str">
        <f t="shared" si="88"/>
        <v>2018LIGHT VEHICLES</v>
      </c>
    </row>
    <row r="1961" spans="3:18" x14ac:dyDescent="0.25">
      <c r="C1961" s="294" t="s">
        <v>896</v>
      </c>
      <c r="D1961" s="317">
        <v>7132</v>
      </c>
      <c r="E1961" s="122" t="s">
        <v>897</v>
      </c>
      <c r="F1961" s="122" t="s">
        <v>898</v>
      </c>
      <c r="G1961" s="122" t="s">
        <v>776</v>
      </c>
      <c r="H1961" s="122" t="s">
        <v>777</v>
      </c>
      <c r="I1961" s="312">
        <v>2018</v>
      </c>
      <c r="J1961" s="122" t="s">
        <v>710</v>
      </c>
      <c r="K1961" s="283">
        <v>8374</v>
      </c>
      <c r="L1961" s="318">
        <v>-33.953055999999997</v>
      </c>
      <c r="M1961" s="318">
        <v>151.13748200000001</v>
      </c>
      <c r="O1961">
        <f>INDEX('MEC - traffic congestion'!$M$145:$M$249,MATCH($D1961,'MEC - traffic congestion'!$C$145:$C$249,0))</f>
        <v>1</v>
      </c>
      <c r="P1961" t="str">
        <f t="shared" si="86"/>
        <v>2018OFF PEAK</v>
      </c>
      <c r="Q1961">
        <f t="shared" si="87"/>
        <v>1</v>
      </c>
      <c r="R1961" s="195" t="str">
        <f t="shared" si="88"/>
        <v>2018LIGHT VEHICLES</v>
      </c>
    </row>
    <row r="1962" spans="3:18" x14ac:dyDescent="0.25">
      <c r="C1962" s="294" t="s">
        <v>896</v>
      </c>
      <c r="D1962" s="317">
        <v>7132</v>
      </c>
      <c r="E1962" s="122" t="s">
        <v>897</v>
      </c>
      <c r="F1962" s="122" t="s">
        <v>898</v>
      </c>
      <c r="G1962" s="122" t="s">
        <v>776</v>
      </c>
      <c r="H1962" s="122" t="s">
        <v>777</v>
      </c>
      <c r="I1962" s="312">
        <v>2018</v>
      </c>
      <c r="J1962" s="122" t="s">
        <v>711</v>
      </c>
      <c r="K1962" s="283">
        <v>3546</v>
      </c>
      <c r="L1962" s="318">
        <v>-33.953055999999997</v>
      </c>
      <c r="M1962" s="318">
        <v>151.13748200000001</v>
      </c>
      <c r="O1962">
        <f>INDEX('MEC - traffic congestion'!$M$145:$M$249,MATCH($D1962,'MEC - traffic congestion'!$C$145:$C$249,0))</f>
        <v>1</v>
      </c>
      <c r="P1962" t="str">
        <f t="shared" si="86"/>
        <v>2018PM PEAK</v>
      </c>
      <c r="Q1962">
        <f t="shared" si="87"/>
        <v>1</v>
      </c>
      <c r="R1962" s="195" t="str">
        <f t="shared" si="88"/>
        <v>2018LIGHT VEHICLES</v>
      </c>
    </row>
    <row r="1963" spans="3:18" x14ac:dyDescent="0.25">
      <c r="C1963" s="294" t="s">
        <v>896</v>
      </c>
      <c r="D1963" s="317">
        <v>7132</v>
      </c>
      <c r="E1963" s="122" t="s">
        <v>897</v>
      </c>
      <c r="F1963" s="122" t="s">
        <v>898</v>
      </c>
      <c r="G1963" s="122" t="s">
        <v>776</v>
      </c>
      <c r="H1963" s="122" t="s">
        <v>777</v>
      </c>
      <c r="I1963" s="312">
        <v>2018</v>
      </c>
      <c r="J1963" s="122" t="s">
        <v>712</v>
      </c>
      <c r="K1963" s="283">
        <v>13470</v>
      </c>
      <c r="L1963" s="318">
        <v>-33.953055999999997</v>
      </c>
      <c r="M1963" s="318">
        <v>151.13748200000001</v>
      </c>
      <c r="O1963">
        <f>INDEX('MEC - traffic congestion'!$M$145:$M$249,MATCH($D1963,'MEC - traffic congestion'!$C$145:$C$249,0))</f>
        <v>1</v>
      </c>
      <c r="P1963" t="str">
        <f t="shared" si="86"/>
        <v>2018PUBLIC HOLIDAYS</v>
      </c>
      <c r="Q1963">
        <f t="shared" si="87"/>
        <v>1</v>
      </c>
      <c r="R1963" s="195" t="str">
        <f t="shared" si="88"/>
        <v>2018LIGHT VEHICLES</v>
      </c>
    </row>
    <row r="1964" spans="3:18" x14ac:dyDescent="0.25">
      <c r="C1964" s="294" t="s">
        <v>896</v>
      </c>
      <c r="D1964" s="317">
        <v>7132</v>
      </c>
      <c r="E1964" s="122" t="s">
        <v>897</v>
      </c>
      <c r="F1964" s="122" t="s">
        <v>898</v>
      </c>
      <c r="G1964" s="122" t="s">
        <v>776</v>
      </c>
      <c r="H1964" s="122" t="s">
        <v>777</v>
      </c>
      <c r="I1964" s="312">
        <v>2018</v>
      </c>
      <c r="J1964" s="122" t="s">
        <v>713</v>
      </c>
      <c r="K1964" s="283">
        <v>16594</v>
      </c>
      <c r="L1964" s="318">
        <v>-33.953055999999997</v>
      </c>
      <c r="M1964" s="318">
        <v>151.13748200000001</v>
      </c>
      <c r="O1964">
        <f>INDEX('MEC - traffic congestion'!$M$145:$M$249,MATCH($D1964,'MEC - traffic congestion'!$C$145:$C$249,0))</f>
        <v>1</v>
      </c>
      <c r="P1964" t="str">
        <f t="shared" si="86"/>
        <v>2018WEEKENDS</v>
      </c>
      <c r="Q1964">
        <f t="shared" si="87"/>
        <v>1</v>
      </c>
      <c r="R1964" s="195" t="str">
        <f t="shared" si="88"/>
        <v>2018LIGHT VEHICLES</v>
      </c>
    </row>
    <row r="1965" spans="3:18" x14ac:dyDescent="0.25">
      <c r="C1965" s="294" t="s">
        <v>896</v>
      </c>
      <c r="D1965" s="317">
        <v>7132</v>
      </c>
      <c r="E1965" s="122" t="s">
        <v>897</v>
      </c>
      <c r="F1965" s="122" t="s">
        <v>898</v>
      </c>
      <c r="G1965" s="122" t="s">
        <v>776</v>
      </c>
      <c r="H1965" s="122" t="s">
        <v>777</v>
      </c>
      <c r="I1965" s="312">
        <v>2019</v>
      </c>
      <c r="J1965" s="122" t="s">
        <v>709</v>
      </c>
      <c r="K1965" s="283">
        <v>6988</v>
      </c>
      <c r="L1965" s="318">
        <v>-33.953055999999997</v>
      </c>
      <c r="M1965" s="318">
        <v>151.13748200000001</v>
      </c>
      <c r="O1965">
        <f>INDEX('MEC - traffic congestion'!$M$145:$M$249,MATCH($D1965,'MEC - traffic congestion'!$C$145:$C$249,0))</f>
        <v>1</v>
      </c>
      <c r="P1965" t="str">
        <f t="shared" si="86"/>
        <v>2019AM PEAK</v>
      </c>
      <c r="Q1965">
        <f t="shared" si="87"/>
        <v>1</v>
      </c>
      <c r="R1965" s="195" t="str">
        <f t="shared" si="88"/>
        <v>2019LIGHT VEHICLES</v>
      </c>
    </row>
    <row r="1966" spans="3:18" x14ac:dyDescent="0.25">
      <c r="C1966" s="294" t="s">
        <v>896</v>
      </c>
      <c r="D1966" s="317">
        <v>7132</v>
      </c>
      <c r="E1966" s="122" t="s">
        <v>897</v>
      </c>
      <c r="F1966" s="122" t="s">
        <v>898</v>
      </c>
      <c r="G1966" s="122" t="s">
        <v>776</v>
      </c>
      <c r="H1966" s="122" t="s">
        <v>777</v>
      </c>
      <c r="I1966" s="312">
        <v>2019</v>
      </c>
      <c r="J1966" s="122" t="s">
        <v>710</v>
      </c>
      <c r="K1966" s="283">
        <v>8287</v>
      </c>
      <c r="L1966" s="318">
        <v>-33.953055999999997</v>
      </c>
      <c r="M1966" s="318">
        <v>151.13748200000001</v>
      </c>
      <c r="O1966">
        <f>INDEX('MEC - traffic congestion'!$M$145:$M$249,MATCH($D1966,'MEC - traffic congestion'!$C$145:$C$249,0))</f>
        <v>1</v>
      </c>
      <c r="P1966" t="str">
        <f t="shared" si="86"/>
        <v>2019OFF PEAK</v>
      </c>
      <c r="Q1966">
        <f t="shared" si="87"/>
        <v>1</v>
      </c>
      <c r="R1966" s="195" t="str">
        <f t="shared" si="88"/>
        <v>2019LIGHT VEHICLES</v>
      </c>
    </row>
    <row r="1967" spans="3:18" x14ac:dyDescent="0.25">
      <c r="C1967" s="294" t="s">
        <v>896</v>
      </c>
      <c r="D1967" s="317">
        <v>7132</v>
      </c>
      <c r="E1967" s="122" t="s">
        <v>897</v>
      </c>
      <c r="F1967" s="122" t="s">
        <v>898</v>
      </c>
      <c r="G1967" s="122" t="s">
        <v>776</v>
      </c>
      <c r="H1967" s="122" t="s">
        <v>777</v>
      </c>
      <c r="I1967" s="312">
        <v>2019</v>
      </c>
      <c r="J1967" s="122" t="s">
        <v>711</v>
      </c>
      <c r="K1967" s="283">
        <v>3540</v>
      </c>
      <c r="L1967" s="318">
        <v>-33.953055999999997</v>
      </c>
      <c r="M1967" s="318">
        <v>151.13748200000001</v>
      </c>
      <c r="O1967">
        <f>INDEX('MEC - traffic congestion'!$M$145:$M$249,MATCH($D1967,'MEC - traffic congestion'!$C$145:$C$249,0))</f>
        <v>1</v>
      </c>
      <c r="P1967" t="str">
        <f t="shared" si="86"/>
        <v>2019PM PEAK</v>
      </c>
      <c r="Q1967">
        <f t="shared" si="87"/>
        <v>1</v>
      </c>
      <c r="R1967" s="195" t="str">
        <f t="shared" si="88"/>
        <v>2019LIGHT VEHICLES</v>
      </c>
    </row>
    <row r="1968" spans="3:18" x14ac:dyDescent="0.25">
      <c r="C1968" s="294" t="s">
        <v>896</v>
      </c>
      <c r="D1968" s="317">
        <v>7132</v>
      </c>
      <c r="E1968" s="122" t="s">
        <v>897</v>
      </c>
      <c r="F1968" s="122" t="s">
        <v>898</v>
      </c>
      <c r="G1968" s="122" t="s">
        <v>776</v>
      </c>
      <c r="H1968" s="122" t="s">
        <v>777</v>
      </c>
      <c r="I1968" s="312">
        <v>2019</v>
      </c>
      <c r="J1968" s="122" t="s">
        <v>712</v>
      </c>
      <c r="K1968" s="283">
        <v>13469</v>
      </c>
      <c r="L1968" s="318">
        <v>-33.953055999999997</v>
      </c>
      <c r="M1968" s="318">
        <v>151.13748200000001</v>
      </c>
      <c r="O1968">
        <f>INDEX('MEC - traffic congestion'!$M$145:$M$249,MATCH($D1968,'MEC - traffic congestion'!$C$145:$C$249,0))</f>
        <v>1</v>
      </c>
      <c r="P1968" t="str">
        <f t="shared" si="86"/>
        <v>2019PUBLIC HOLIDAYS</v>
      </c>
      <c r="Q1968">
        <f t="shared" si="87"/>
        <v>1</v>
      </c>
      <c r="R1968" s="195" t="str">
        <f t="shared" si="88"/>
        <v>2019LIGHT VEHICLES</v>
      </c>
    </row>
    <row r="1969" spans="3:18" x14ac:dyDescent="0.25">
      <c r="C1969" s="294" t="s">
        <v>896</v>
      </c>
      <c r="D1969" s="317">
        <v>7132</v>
      </c>
      <c r="E1969" s="122" t="s">
        <v>897</v>
      </c>
      <c r="F1969" s="122" t="s">
        <v>898</v>
      </c>
      <c r="G1969" s="122" t="s">
        <v>776</v>
      </c>
      <c r="H1969" s="122" t="s">
        <v>777</v>
      </c>
      <c r="I1969" s="312">
        <v>2019</v>
      </c>
      <c r="J1969" s="122" t="s">
        <v>713</v>
      </c>
      <c r="K1969" s="283">
        <v>16428</v>
      </c>
      <c r="L1969" s="318">
        <v>-33.953055999999997</v>
      </c>
      <c r="M1969" s="318">
        <v>151.13748200000001</v>
      </c>
      <c r="O1969">
        <f>INDEX('MEC - traffic congestion'!$M$145:$M$249,MATCH($D1969,'MEC - traffic congestion'!$C$145:$C$249,0))</f>
        <v>1</v>
      </c>
      <c r="P1969" t="str">
        <f t="shared" si="86"/>
        <v>2019WEEKENDS</v>
      </c>
      <c r="Q1969">
        <f t="shared" si="87"/>
        <v>1</v>
      </c>
      <c r="R1969" s="195" t="str">
        <f t="shared" si="88"/>
        <v>2019LIGHT VEHICLES</v>
      </c>
    </row>
    <row r="1970" spans="3:18" x14ac:dyDescent="0.25">
      <c r="C1970" s="294" t="s">
        <v>896</v>
      </c>
      <c r="D1970" s="317">
        <v>7132</v>
      </c>
      <c r="E1970" s="122" t="s">
        <v>897</v>
      </c>
      <c r="F1970" s="122" t="s">
        <v>898</v>
      </c>
      <c r="G1970" s="122" t="s">
        <v>776</v>
      </c>
      <c r="H1970" s="122" t="s">
        <v>777</v>
      </c>
      <c r="I1970" s="312">
        <v>2020</v>
      </c>
      <c r="J1970" s="122" t="s">
        <v>709</v>
      </c>
      <c r="K1970" s="283">
        <v>6254</v>
      </c>
      <c r="L1970" s="318">
        <v>-33.953055999999997</v>
      </c>
      <c r="M1970" s="318">
        <v>151.13748200000001</v>
      </c>
      <c r="O1970">
        <f>INDEX('MEC - traffic congestion'!$M$145:$M$249,MATCH($D1970,'MEC - traffic congestion'!$C$145:$C$249,0))</f>
        <v>1</v>
      </c>
      <c r="P1970" t="str">
        <f t="shared" si="86"/>
        <v>2020AM PEAK</v>
      </c>
      <c r="Q1970">
        <f t="shared" si="87"/>
        <v>1</v>
      </c>
      <c r="R1970" s="195" t="str">
        <f t="shared" si="88"/>
        <v>2020LIGHT VEHICLES</v>
      </c>
    </row>
    <row r="1971" spans="3:18" x14ac:dyDescent="0.25">
      <c r="C1971" s="294" t="s">
        <v>896</v>
      </c>
      <c r="D1971" s="317">
        <v>7132</v>
      </c>
      <c r="E1971" s="122" t="s">
        <v>897</v>
      </c>
      <c r="F1971" s="122" t="s">
        <v>898</v>
      </c>
      <c r="G1971" s="122" t="s">
        <v>776</v>
      </c>
      <c r="H1971" s="122" t="s">
        <v>777</v>
      </c>
      <c r="I1971" s="312">
        <v>2020</v>
      </c>
      <c r="J1971" s="122" t="s">
        <v>710</v>
      </c>
      <c r="K1971" s="283">
        <v>7657</v>
      </c>
      <c r="L1971" s="318">
        <v>-33.953055999999997</v>
      </c>
      <c r="M1971" s="318">
        <v>151.13748200000001</v>
      </c>
      <c r="O1971">
        <f>INDEX('MEC - traffic congestion'!$M$145:$M$249,MATCH($D1971,'MEC - traffic congestion'!$C$145:$C$249,0))</f>
        <v>1</v>
      </c>
      <c r="P1971" t="str">
        <f t="shared" si="86"/>
        <v>2020OFF PEAK</v>
      </c>
      <c r="Q1971">
        <f t="shared" si="87"/>
        <v>1</v>
      </c>
      <c r="R1971" s="195" t="str">
        <f t="shared" si="88"/>
        <v>2020LIGHT VEHICLES</v>
      </c>
    </row>
    <row r="1972" spans="3:18" x14ac:dyDescent="0.25">
      <c r="C1972" s="294" t="s">
        <v>896</v>
      </c>
      <c r="D1972" s="317">
        <v>7132</v>
      </c>
      <c r="E1972" s="122" t="s">
        <v>897</v>
      </c>
      <c r="F1972" s="122" t="s">
        <v>898</v>
      </c>
      <c r="G1972" s="122" t="s">
        <v>776</v>
      </c>
      <c r="H1972" s="122" t="s">
        <v>777</v>
      </c>
      <c r="I1972" s="312">
        <v>2020</v>
      </c>
      <c r="J1972" s="122" t="s">
        <v>711</v>
      </c>
      <c r="K1972" s="283">
        <v>3465</v>
      </c>
      <c r="L1972" s="318">
        <v>-33.953055999999997</v>
      </c>
      <c r="M1972" s="318">
        <v>151.13748200000001</v>
      </c>
      <c r="O1972">
        <f>INDEX('MEC - traffic congestion'!$M$145:$M$249,MATCH($D1972,'MEC - traffic congestion'!$C$145:$C$249,0))</f>
        <v>1</v>
      </c>
      <c r="P1972" t="str">
        <f t="shared" si="86"/>
        <v>2020PM PEAK</v>
      </c>
      <c r="Q1972">
        <f t="shared" si="87"/>
        <v>1</v>
      </c>
      <c r="R1972" s="195" t="str">
        <f t="shared" si="88"/>
        <v>2020LIGHT VEHICLES</v>
      </c>
    </row>
    <row r="1973" spans="3:18" x14ac:dyDescent="0.25">
      <c r="C1973" s="294" t="s">
        <v>896</v>
      </c>
      <c r="D1973" s="317">
        <v>7132</v>
      </c>
      <c r="E1973" s="122" t="s">
        <v>897</v>
      </c>
      <c r="F1973" s="122" t="s">
        <v>898</v>
      </c>
      <c r="G1973" s="122" t="s">
        <v>776</v>
      </c>
      <c r="H1973" s="122" t="s">
        <v>777</v>
      </c>
      <c r="I1973" s="312">
        <v>2020</v>
      </c>
      <c r="J1973" s="122" t="s">
        <v>712</v>
      </c>
      <c r="K1973" s="283">
        <v>10692</v>
      </c>
      <c r="L1973" s="318">
        <v>-33.953055999999997</v>
      </c>
      <c r="M1973" s="318">
        <v>151.13748200000001</v>
      </c>
      <c r="O1973">
        <f>INDEX('MEC - traffic congestion'!$M$145:$M$249,MATCH($D1973,'MEC - traffic congestion'!$C$145:$C$249,0))</f>
        <v>1</v>
      </c>
      <c r="P1973" t="str">
        <f t="shared" si="86"/>
        <v>2020PUBLIC HOLIDAYS</v>
      </c>
      <c r="Q1973">
        <f t="shared" si="87"/>
        <v>1</v>
      </c>
      <c r="R1973" s="195" t="str">
        <f t="shared" si="88"/>
        <v>2020LIGHT VEHICLES</v>
      </c>
    </row>
    <row r="1974" spans="3:18" x14ac:dyDescent="0.25">
      <c r="C1974" s="294" t="s">
        <v>896</v>
      </c>
      <c r="D1974" s="317">
        <v>7132</v>
      </c>
      <c r="E1974" s="122" t="s">
        <v>897</v>
      </c>
      <c r="F1974" s="122" t="s">
        <v>898</v>
      </c>
      <c r="G1974" s="122" t="s">
        <v>776</v>
      </c>
      <c r="H1974" s="122" t="s">
        <v>777</v>
      </c>
      <c r="I1974" s="312">
        <v>2020</v>
      </c>
      <c r="J1974" s="122" t="s">
        <v>713</v>
      </c>
      <c r="K1974" s="283">
        <v>14515</v>
      </c>
      <c r="L1974" s="318">
        <v>-33.953055999999997</v>
      </c>
      <c r="M1974" s="318">
        <v>151.13748200000001</v>
      </c>
      <c r="O1974">
        <f>INDEX('MEC - traffic congestion'!$M$145:$M$249,MATCH($D1974,'MEC - traffic congestion'!$C$145:$C$249,0))</f>
        <v>1</v>
      </c>
      <c r="P1974" t="str">
        <f t="shared" si="86"/>
        <v>2020WEEKENDS</v>
      </c>
      <c r="Q1974">
        <f t="shared" si="87"/>
        <v>1</v>
      </c>
      <c r="R1974" s="195" t="str">
        <f t="shared" si="88"/>
        <v>2020LIGHT VEHICLES</v>
      </c>
    </row>
    <row r="1975" spans="3:18" x14ac:dyDescent="0.25">
      <c r="C1975" s="294" t="s">
        <v>896</v>
      </c>
      <c r="D1975" s="317">
        <v>7132</v>
      </c>
      <c r="E1975" s="122" t="s">
        <v>897</v>
      </c>
      <c r="F1975" s="122" t="s">
        <v>898</v>
      </c>
      <c r="G1975" s="122" t="s">
        <v>776</v>
      </c>
      <c r="H1975" s="122" t="s">
        <v>777</v>
      </c>
      <c r="I1975" s="312">
        <v>2021</v>
      </c>
      <c r="J1975" s="122" t="s">
        <v>709</v>
      </c>
      <c r="K1975" s="283">
        <v>5888</v>
      </c>
      <c r="L1975" s="318">
        <v>-33.953055999999997</v>
      </c>
      <c r="M1975" s="318">
        <v>151.13748200000001</v>
      </c>
      <c r="O1975">
        <f>INDEX('MEC - traffic congestion'!$M$145:$M$249,MATCH($D1975,'MEC - traffic congestion'!$C$145:$C$249,0))</f>
        <v>1</v>
      </c>
      <c r="P1975" t="str">
        <f t="shared" si="86"/>
        <v>2021AM PEAK</v>
      </c>
      <c r="Q1975">
        <f t="shared" si="87"/>
        <v>1</v>
      </c>
      <c r="R1975" s="195" t="str">
        <f t="shared" si="88"/>
        <v>2021LIGHT VEHICLES</v>
      </c>
    </row>
    <row r="1976" spans="3:18" x14ac:dyDescent="0.25">
      <c r="C1976" s="294" t="s">
        <v>896</v>
      </c>
      <c r="D1976" s="317">
        <v>7132</v>
      </c>
      <c r="E1976" s="122" t="s">
        <v>897</v>
      </c>
      <c r="F1976" s="122" t="s">
        <v>898</v>
      </c>
      <c r="G1976" s="122" t="s">
        <v>776</v>
      </c>
      <c r="H1976" s="122" t="s">
        <v>777</v>
      </c>
      <c r="I1976" s="312">
        <v>2021</v>
      </c>
      <c r="J1976" s="122" t="s">
        <v>710</v>
      </c>
      <c r="K1976" s="283">
        <v>7163</v>
      </c>
      <c r="L1976" s="318">
        <v>-33.953055999999997</v>
      </c>
      <c r="M1976" s="318">
        <v>151.13748200000001</v>
      </c>
      <c r="O1976">
        <f>INDEX('MEC - traffic congestion'!$M$145:$M$249,MATCH($D1976,'MEC - traffic congestion'!$C$145:$C$249,0))</f>
        <v>1</v>
      </c>
      <c r="P1976" t="str">
        <f t="shared" si="86"/>
        <v>2021OFF PEAK</v>
      </c>
      <c r="Q1976">
        <f t="shared" si="87"/>
        <v>1</v>
      </c>
      <c r="R1976" s="195" t="str">
        <f t="shared" si="88"/>
        <v>2021LIGHT VEHICLES</v>
      </c>
    </row>
    <row r="1977" spans="3:18" x14ac:dyDescent="0.25">
      <c r="C1977" s="294" t="s">
        <v>896</v>
      </c>
      <c r="D1977" s="317">
        <v>7132</v>
      </c>
      <c r="E1977" s="122" t="s">
        <v>897</v>
      </c>
      <c r="F1977" s="122" t="s">
        <v>898</v>
      </c>
      <c r="G1977" s="122" t="s">
        <v>776</v>
      </c>
      <c r="H1977" s="122" t="s">
        <v>777</v>
      </c>
      <c r="I1977" s="312">
        <v>2021</v>
      </c>
      <c r="J1977" s="122" t="s">
        <v>711</v>
      </c>
      <c r="K1977" s="283">
        <v>3263</v>
      </c>
      <c r="L1977" s="318">
        <v>-33.953055999999997</v>
      </c>
      <c r="M1977" s="318">
        <v>151.13748200000001</v>
      </c>
      <c r="O1977">
        <f>INDEX('MEC - traffic congestion'!$M$145:$M$249,MATCH($D1977,'MEC - traffic congestion'!$C$145:$C$249,0))</f>
        <v>1</v>
      </c>
      <c r="P1977" t="str">
        <f t="shared" si="86"/>
        <v>2021PM PEAK</v>
      </c>
      <c r="Q1977">
        <f t="shared" si="87"/>
        <v>1</v>
      </c>
      <c r="R1977" s="195" t="str">
        <f t="shared" si="88"/>
        <v>2021LIGHT VEHICLES</v>
      </c>
    </row>
    <row r="1978" spans="3:18" x14ac:dyDescent="0.25">
      <c r="C1978" s="294" t="s">
        <v>896</v>
      </c>
      <c r="D1978" s="317">
        <v>7132</v>
      </c>
      <c r="E1978" s="122" t="s">
        <v>897</v>
      </c>
      <c r="F1978" s="122" t="s">
        <v>898</v>
      </c>
      <c r="G1978" s="122" t="s">
        <v>776</v>
      </c>
      <c r="H1978" s="122" t="s">
        <v>777</v>
      </c>
      <c r="I1978" s="312">
        <v>2021</v>
      </c>
      <c r="J1978" s="122" t="s">
        <v>713</v>
      </c>
      <c r="K1978" s="283">
        <v>13002</v>
      </c>
      <c r="L1978" s="318">
        <v>-33.953055999999997</v>
      </c>
      <c r="M1978" s="318">
        <v>151.13748200000001</v>
      </c>
      <c r="O1978">
        <f>INDEX('MEC - traffic congestion'!$M$145:$M$249,MATCH($D1978,'MEC - traffic congestion'!$C$145:$C$249,0))</f>
        <v>1</v>
      </c>
      <c r="P1978" t="str">
        <f t="shared" si="86"/>
        <v>2021WEEKENDS</v>
      </c>
      <c r="Q1978">
        <f t="shared" si="87"/>
        <v>1</v>
      </c>
      <c r="R1978" s="195" t="str">
        <f t="shared" si="88"/>
        <v>2021LIGHT VEHICLES</v>
      </c>
    </row>
    <row r="1979" spans="3:18" x14ac:dyDescent="0.25">
      <c r="C1979" s="294" t="s">
        <v>896</v>
      </c>
      <c r="D1979" s="317">
        <v>7132</v>
      </c>
      <c r="E1979" s="122" t="s">
        <v>897</v>
      </c>
      <c r="F1979" s="122" t="s">
        <v>898</v>
      </c>
      <c r="G1979" s="122" t="s">
        <v>776</v>
      </c>
      <c r="H1979" s="122" t="s">
        <v>777</v>
      </c>
      <c r="I1979" s="312">
        <v>2022</v>
      </c>
      <c r="J1979" s="122" t="s">
        <v>709</v>
      </c>
      <c r="K1979" s="283">
        <v>6113</v>
      </c>
      <c r="L1979" s="318">
        <v>-33.953055999999997</v>
      </c>
      <c r="M1979" s="318">
        <v>151.13748200000001</v>
      </c>
      <c r="O1979">
        <f>INDEX('MEC - traffic congestion'!$M$145:$M$249,MATCH($D1979,'MEC - traffic congestion'!$C$145:$C$249,0))</f>
        <v>1</v>
      </c>
      <c r="P1979" t="str">
        <f t="shared" si="86"/>
        <v>2022AM PEAK</v>
      </c>
      <c r="Q1979">
        <f t="shared" si="87"/>
        <v>1</v>
      </c>
      <c r="R1979" s="195" t="str">
        <f t="shared" si="88"/>
        <v>2022LIGHT VEHICLES</v>
      </c>
    </row>
    <row r="1980" spans="3:18" x14ac:dyDescent="0.25">
      <c r="C1980" s="294" t="s">
        <v>896</v>
      </c>
      <c r="D1980" s="317">
        <v>7132</v>
      </c>
      <c r="E1980" s="122" t="s">
        <v>897</v>
      </c>
      <c r="F1980" s="122" t="s">
        <v>898</v>
      </c>
      <c r="G1980" s="122" t="s">
        <v>776</v>
      </c>
      <c r="H1980" s="122" t="s">
        <v>777</v>
      </c>
      <c r="I1980" s="312">
        <v>2022</v>
      </c>
      <c r="J1980" s="122" t="s">
        <v>710</v>
      </c>
      <c r="K1980" s="283">
        <v>7676</v>
      </c>
      <c r="L1980" s="318">
        <v>-33.953055999999997</v>
      </c>
      <c r="M1980" s="318">
        <v>151.13748200000001</v>
      </c>
      <c r="O1980">
        <f>INDEX('MEC - traffic congestion'!$M$145:$M$249,MATCH($D1980,'MEC - traffic congestion'!$C$145:$C$249,0))</f>
        <v>1</v>
      </c>
      <c r="P1980" t="str">
        <f t="shared" si="86"/>
        <v>2022OFF PEAK</v>
      </c>
      <c r="Q1980">
        <f t="shared" si="87"/>
        <v>1</v>
      </c>
      <c r="R1980" s="195" t="str">
        <f t="shared" si="88"/>
        <v>2022LIGHT VEHICLES</v>
      </c>
    </row>
    <row r="1981" spans="3:18" x14ac:dyDescent="0.25">
      <c r="C1981" s="294" t="s">
        <v>896</v>
      </c>
      <c r="D1981" s="317">
        <v>7132</v>
      </c>
      <c r="E1981" s="122" t="s">
        <v>897</v>
      </c>
      <c r="F1981" s="122" t="s">
        <v>898</v>
      </c>
      <c r="G1981" s="122" t="s">
        <v>776</v>
      </c>
      <c r="H1981" s="122" t="s">
        <v>777</v>
      </c>
      <c r="I1981" s="312">
        <v>2022</v>
      </c>
      <c r="J1981" s="122" t="s">
        <v>711</v>
      </c>
      <c r="K1981" s="283">
        <v>3336</v>
      </c>
      <c r="L1981" s="318">
        <v>-33.953055999999997</v>
      </c>
      <c r="M1981" s="318">
        <v>151.13748200000001</v>
      </c>
      <c r="O1981">
        <f>INDEX('MEC - traffic congestion'!$M$145:$M$249,MATCH($D1981,'MEC - traffic congestion'!$C$145:$C$249,0))</f>
        <v>1</v>
      </c>
      <c r="P1981" t="str">
        <f t="shared" si="86"/>
        <v>2022PM PEAK</v>
      </c>
      <c r="Q1981">
        <f t="shared" si="87"/>
        <v>1</v>
      </c>
      <c r="R1981" s="195" t="str">
        <f t="shared" si="88"/>
        <v>2022LIGHT VEHICLES</v>
      </c>
    </row>
    <row r="1982" spans="3:18" x14ac:dyDescent="0.25">
      <c r="C1982" s="294" t="s">
        <v>896</v>
      </c>
      <c r="D1982" s="317">
        <v>7132</v>
      </c>
      <c r="E1982" s="122" t="s">
        <v>897</v>
      </c>
      <c r="F1982" s="122" t="s">
        <v>898</v>
      </c>
      <c r="G1982" s="122" t="s">
        <v>776</v>
      </c>
      <c r="H1982" s="122" t="s">
        <v>777</v>
      </c>
      <c r="I1982" s="312">
        <v>2022</v>
      </c>
      <c r="J1982" s="122" t="s">
        <v>713</v>
      </c>
      <c r="K1982" s="283">
        <v>14525</v>
      </c>
      <c r="L1982" s="318">
        <v>-33.953055999999997</v>
      </c>
      <c r="M1982" s="318">
        <v>151.13748200000001</v>
      </c>
      <c r="O1982">
        <f>INDEX('MEC - traffic congestion'!$M$145:$M$249,MATCH($D1982,'MEC - traffic congestion'!$C$145:$C$249,0))</f>
        <v>1</v>
      </c>
      <c r="P1982" t="str">
        <f t="shared" si="86"/>
        <v>2022WEEKENDS</v>
      </c>
      <c r="Q1982">
        <f t="shared" si="87"/>
        <v>1</v>
      </c>
      <c r="R1982" s="195" t="str">
        <f t="shared" si="88"/>
        <v>2022LIGHT VEHICLES</v>
      </c>
    </row>
    <row r="1983" spans="3:18" x14ac:dyDescent="0.25">
      <c r="C1983" s="294" t="s">
        <v>896</v>
      </c>
      <c r="D1983" s="317">
        <v>7132</v>
      </c>
      <c r="E1983" s="122" t="s">
        <v>897</v>
      </c>
      <c r="F1983" s="122" t="s">
        <v>898</v>
      </c>
      <c r="G1983" s="122" t="s">
        <v>776</v>
      </c>
      <c r="H1983" s="122" t="s">
        <v>777</v>
      </c>
      <c r="I1983" s="312">
        <v>2023</v>
      </c>
      <c r="J1983" s="122" t="s">
        <v>709</v>
      </c>
      <c r="K1983" s="283">
        <v>5348</v>
      </c>
      <c r="L1983" s="318">
        <v>-33.953055999999997</v>
      </c>
      <c r="M1983" s="318">
        <v>151.13748200000001</v>
      </c>
      <c r="O1983">
        <f>INDEX('MEC - traffic congestion'!$M$145:$M$249,MATCH($D1983,'MEC - traffic congestion'!$C$145:$C$249,0))</f>
        <v>1</v>
      </c>
      <c r="P1983" t="str">
        <f t="shared" si="86"/>
        <v>2023AM PEAK</v>
      </c>
      <c r="Q1983">
        <f t="shared" si="87"/>
        <v>1</v>
      </c>
      <c r="R1983" s="195" t="str">
        <f t="shared" si="88"/>
        <v>2023LIGHT VEHICLES</v>
      </c>
    </row>
    <row r="1984" spans="3:18" x14ac:dyDescent="0.25">
      <c r="C1984" s="294" t="s">
        <v>896</v>
      </c>
      <c r="D1984" s="317">
        <v>7132</v>
      </c>
      <c r="E1984" s="122" t="s">
        <v>897</v>
      </c>
      <c r="F1984" s="122" t="s">
        <v>898</v>
      </c>
      <c r="G1984" s="122" t="s">
        <v>776</v>
      </c>
      <c r="H1984" s="122" t="s">
        <v>777</v>
      </c>
      <c r="I1984" s="312">
        <v>2023</v>
      </c>
      <c r="J1984" s="122" t="s">
        <v>710</v>
      </c>
      <c r="K1984" s="283">
        <v>6830</v>
      </c>
      <c r="L1984" s="318">
        <v>-33.953055999999997</v>
      </c>
      <c r="M1984" s="318">
        <v>151.13748200000001</v>
      </c>
      <c r="O1984">
        <f>INDEX('MEC - traffic congestion'!$M$145:$M$249,MATCH($D1984,'MEC - traffic congestion'!$C$145:$C$249,0))</f>
        <v>1</v>
      </c>
      <c r="P1984" t="str">
        <f t="shared" si="86"/>
        <v>2023OFF PEAK</v>
      </c>
      <c r="Q1984">
        <f t="shared" si="87"/>
        <v>1</v>
      </c>
      <c r="R1984" s="195" t="str">
        <f t="shared" si="88"/>
        <v>2023LIGHT VEHICLES</v>
      </c>
    </row>
    <row r="1985" spans="3:18" x14ac:dyDescent="0.25">
      <c r="C1985" s="294" t="s">
        <v>896</v>
      </c>
      <c r="D1985" s="317">
        <v>7132</v>
      </c>
      <c r="E1985" s="122" t="s">
        <v>897</v>
      </c>
      <c r="F1985" s="122" t="s">
        <v>898</v>
      </c>
      <c r="G1985" s="122" t="s">
        <v>776</v>
      </c>
      <c r="H1985" s="122" t="s">
        <v>777</v>
      </c>
      <c r="I1985" s="312">
        <v>2023</v>
      </c>
      <c r="J1985" s="122" t="s">
        <v>711</v>
      </c>
      <c r="K1985" s="283">
        <v>3046</v>
      </c>
      <c r="L1985" s="318">
        <v>-33.953055999999997</v>
      </c>
      <c r="M1985" s="318">
        <v>151.13748200000001</v>
      </c>
      <c r="O1985">
        <f>INDEX('MEC - traffic congestion'!$M$145:$M$249,MATCH($D1985,'MEC - traffic congestion'!$C$145:$C$249,0))</f>
        <v>1</v>
      </c>
      <c r="P1985" t="str">
        <f t="shared" si="86"/>
        <v>2023PM PEAK</v>
      </c>
      <c r="Q1985">
        <f t="shared" si="87"/>
        <v>1</v>
      </c>
      <c r="R1985" s="195" t="str">
        <f t="shared" si="88"/>
        <v>2023LIGHT VEHICLES</v>
      </c>
    </row>
    <row r="1986" spans="3:18" x14ac:dyDescent="0.25">
      <c r="C1986" s="294" t="s">
        <v>896</v>
      </c>
      <c r="D1986" s="317">
        <v>7132</v>
      </c>
      <c r="E1986" s="122" t="s">
        <v>897</v>
      </c>
      <c r="F1986" s="122" t="s">
        <v>898</v>
      </c>
      <c r="G1986" s="122" t="s">
        <v>776</v>
      </c>
      <c r="H1986" s="122" t="s">
        <v>777</v>
      </c>
      <c r="I1986" s="312">
        <v>2023</v>
      </c>
      <c r="J1986" s="122" t="s">
        <v>713</v>
      </c>
      <c r="K1986" s="283">
        <v>13184</v>
      </c>
      <c r="L1986" s="318">
        <v>-33.953055999999997</v>
      </c>
      <c r="M1986" s="318">
        <v>151.13748200000001</v>
      </c>
      <c r="O1986">
        <f>INDEX('MEC - traffic congestion'!$M$145:$M$249,MATCH($D1986,'MEC - traffic congestion'!$C$145:$C$249,0))</f>
        <v>1</v>
      </c>
      <c r="P1986" t="str">
        <f t="shared" si="86"/>
        <v>2023WEEKENDS</v>
      </c>
      <c r="Q1986">
        <f t="shared" si="87"/>
        <v>1</v>
      </c>
      <c r="R1986" s="195" t="str">
        <f t="shared" si="88"/>
        <v>2023LIGHT VEHICLES</v>
      </c>
    </row>
    <row r="1987" spans="3:18" x14ac:dyDescent="0.25">
      <c r="C1987" s="294" t="s">
        <v>896</v>
      </c>
      <c r="D1987" s="317">
        <v>7132</v>
      </c>
      <c r="E1987" s="122" t="s">
        <v>897</v>
      </c>
      <c r="F1987" s="122" t="s">
        <v>898</v>
      </c>
      <c r="G1987" s="122" t="s">
        <v>776</v>
      </c>
      <c r="H1987" s="122" t="s">
        <v>777</v>
      </c>
      <c r="I1987" s="312">
        <v>2024</v>
      </c>
      <c r="J1987" s="122" t="s">
        <v>709</v>
      </c>
      <c r="K1987" s="283">
        <v>6551</v>
      </c>
      <c r="L1987" s="318">
        <v>-33.953055999999997</v>
      </c>
      <c r="M1987" s="318">
        <v>151.13748200000001</v>
      </c>
      <c r="O1987">
        <f>INDEX('MEC - traffic congestion'!$M$145:$M$249,MATCH($D1987,'MEC - traffic congestion'!$C$145:$C$249,0))</f>
        <v>1</v>
      </c>
      <c r="P1987" t="str">
        <f t="shared" si="86"/>
        <v>2024AM PEAK</v>
      </c>
      <c r="Q1987">
        <f t="shared" si="87"/>
        <v>1</v>
      </c>
      <c r="R1987" s="195" t="str">
        <f t="shared" si="88"/>
        <v>2024LIGHT VEHICLES</v>
      </c>
    </row>
    <row r="1988" spans="3:18" x14ac:dyDescent="0.25">
      <c r="C1988" s="294" t="s">
        <v>896</v>
      </c>
      <c r="D1988" s="317">
        <v>7132</v>
      </c>
      <c r="E1988" s="122" t="s">
        <v>897</v>
      </c>
      <c r="F1988" s="122" t="s">
        <v>898</v>
      </c>
      <c r="G1988" s="122" t="s">
        <v>776</v>
      </c>
      <c r="H1988" s="122" t="s">
        <v>777</v>
      </c>
      <c r="I1988" s="312">
        <v>2024</v>
      </c>
      <c r="J1988" s="122" t="s">
        <v>710</v>
      </c>
      <c r="K1988" s="283">
        <v>8228</v>
      </c>
      <c r="L1988" s="318">
        <v>-33.953055999999997</v>
      </c>
      <c r="M1988" s="318">
        <v>151.13748200000001</v>
      </c>
      <c r="O1988">
        <f>INDEX('MEC - traffic congestion'!$M$145:$M$249,MATCH($D1988,'MEC - traffic congestion'!$C$145:$C$249,0))</f>
        <v>1</v>
      </c>
      <c r="P1988" t="str">
        <f t="shared" si="86"/>
        <v>2024OFF PEAK</v>
      </c>
      <c r="Q1988">
        <f t="shared" si="87"/>
        <v>1</v>
      </c>
      <c r="R1988" s="195" t="str">
        <f t="shared" si="88"/>
        <v>2024LIGHT VEHICLES</v>
      </c>
    </row>
    <row r="1989" spans="3:18" x14ac:dyDescent="0.25">
      <c r="C1989" s="294" t="s">
        <v>896</v>
      </c>
      <c r="D1989" s="317">
        <v>7132</v>
      </c>
      <c r="E1989" s="122" t="s">
        <v>897</v>
      </c>
      <c r="F1989" s="122" t="s">
        <v>898</v>
      </c>
      <c r="G1989" s="122" t="s">
        <v>776</v>
      </c>
      <c r="H1989" s="122" t="s">
        <v>777</v>
      </c>
      <c r="I1989" s="312">
        <v>2024</v>
      </c>
      <c r="J1989" s="122" t="s">
        <v>711</v>
      </c>
      <c r="K1989" s="283">
        <v>3679</v>
      </c>
      <c r="L1989" s="318">
        <v>-33.953055999999997</v>
      </c>
      <c r="M1989" s="318">
        <v>151.13748200000001</v>
      </c>
      <c r="O1989">
        <f>INDEX('MEC - traffic congestion'!$M$145:$M$249,MATCH($D1989,'MEC - traffic congestion'!$C$145:$C$249,0))</f>
        <v>1</v>
      </c>
      <c r="P1989" t="str">
        <f t="shared" si="86"/>
        <v>2024PM PEAK</v>
      </c>
      <c r="Q1989">
        <f t="shared" si="87"/>
        <v>1</v>
      </c>
      <c r="R1989" s="195" t="str">
        <f t="shared" si="88"/>
        <v>2024LIGHT VEHICLES</v>
      </c>
    </row>
    <row r="1990" spans="3:18" x14ac:dyDescent="0.25">
      <c r="C1990" s="294" t="s">
        <v>896</v>
      </c>
      <c r="D1990" s="317">
        <v>7132</v>
      </c>
      <c r="E1990" s="122" t="s">
        <v>897</v>
      </c>
      <c r="F1990" s="122" t="s">
        <v>898</v>
      </c>
      <c r="G1990" s="122" t="s">
        <v>776</v>
      </c>
      <c r="H1990" s="122" t="s">
        <v>777</v>
      </c>
      <c r="I1990" s="312">
        <v>2024</v>
      </c>
      <c r="J1990" s="122" t="s">
        <v>713</v>
      </c>
      <c r="K1990" s="283">
        <v>16809</v>
      </c>
      <c r="L1990" s="318">
        <v>-33.953055999999997</v>
      </c>
      <c r="M1990" s="318">
        <v>151.13748200000001</v>
      </c>
      <c r="O1990">
        <f>INDEX('MEC - traffic congestion'!$M$145:$M$249,MATCH($D1990,'MEC - traffic congestion'!$C$145:$C$249,0))</f>
        <v>1</v>
      </c>
      <c r="P1990" t="str">
        <f t="shared" si="86"/>
        <v>2024WEEKENDS</v>
      </c>
      <c r="Q1990">
        <f t="shared" si="87"/>
        <v>1</v>
      </c>
      <c r="R1990" s="195" t="str">
        <f t="shared" si="88"/>
        <v>2024LIGHT VEHICLES</v>
      </c>
    </row>
    <row r="1991" spans="3:18" x14ac:dyDescent="0.25">
      <c r="C1991" s="294" t="s">
        <v>899</v>
      </c>
      <c r="D1991" s="317">
        <v>7139</v>
      </c>
      <c r="E1991" s="122" t="s">
        <v>783</v>
      </c>
      <c r="F1991" s="122" t="s">
        <v>900</v>
      </c>
      <c r="G1991" s="122" t="s">
        <v>786</v>
      </c>
      <c r="H1991" s="122" t="s">
        <v>777</v>
      </c>
      <c r="I1991" s="312">
        <v>2018</v>
      </c>
      <c r="J1991" s="122" t="s">
        <v>709</v>
      </c>
      <c r="K1991" s="283">
        <v>10480</v>
      </c>
      <c r="L1991" s="318">
        <v>-33.876883999999997</v>
      </c>
      <c r="M1991" s="318">
        <v>151.22868299999999</v>
      </c>
      <c r="O1991">
        <f>INDEX('MEC - traffic congestion'!$M$145:$M$249,MATCH($D1991,'MEC - traffic congestion'!$C$145:$C$249,0))</f>
        <v>1</v>
      </c>
      <c r="P1991" t="str">
        <f t="shared" si="86"/>
        <v>2018AM PEAK</v>
      </c>
      <c r="Q1991">
        <f t="shared" si="87"/>
        <v>1</v>
      </c>
      <c r="R1991" s="195" t="str">
        <f t="shared" si="88"/>
        <v>2018LIGHT VEHICLES</v>
      </c>
    </row>
    <row r="1992" spans="3:18" x14ac:dyDescent="0.25">
      <c r="C1992" s="294" t="s">
        <v>899</v>
      </c>
      <c r="D1992" s="317">
        <v>7139</v>
      </c>
      <c r="E1992" s="122" t="s">
        <v>783</v>
      </c>
      <c r="F1992" s="122" t="s">
        <v>900</v>
      </c>
      <c r="G1992" s="122" t="s">
        <v>786</v>
      </c>
      <c r="H1992" s="122" t="s">
        <v>777</v>
      </c>
      <c r="I1992" s="312">
        <v>2018</v>
      </c>
      <c r="J1992" s="122" t="s">
        <v>710</v>
      </c>
      <c r="K1992" s="283">
        <v>18150</v>
      </c>
      <c r="L1992" s="318">
        <v>-33.876883999999997</v>
      </c>
      <c r="M1992" s="318">
        <v>151.22868299999999</v>
      </c>
      <c r="O1992">
        <f>INDEX('MEC - traffic congestion'!$M$145:$M$249,MATCH($D1992,'MEC - traffic congestion'!$C$145:$C$249,0))</f>
        <v>1</v>
      </c>
      <c r="P1992" t="str">
        <f t="shared" si="86"/>
        <v>2018OFF PEAK</v>
      </c>
      <c r="Q1992">
        <f t="shared" si="87"/>
        <v>1</v>
      </c>
      <c r="R1992" s="195" t="str">
        <f t="shared" si="88"/>
        <v>2018LIGHT VEHICLES</v>
      </c>
    </row>
    <row r="1993" spans="3:18" x14ac:dyDescent="0.25">
      <c r="C1993" s="294" t="s">
        <v>899</v>
      </c>
      <c r="D1993" s="317">
        <v>7139</v>
      </c>
      <c r="E1993" s="122" t="s">
        <v>783</v>
      </c>
      <c r="F1993" s="122" t="s">
        <v>900</v>
      </c>
      <c r="G1993" s="122" t="s">
        <v>786</v>
      </c>
      <c r="H1993" s="122" t="s">
        <v>777</v>
      </c>
      <c r="I1993" s="312">
        <v>2018</v>
      </c>
      <c r="J1993" s="122" t="s">
        <v>711</v>
      </c>
      <c r="K1993" s="283">
        <v>9400</v>
      </c>
      <c r="L1993" s="318">
        <v>-33.876883999999997</v>
      </c>
      <c r="M1993" s="318">
        <v>151.22868299999999</v>
      </c>
      <c r="O1993">
        <f>INDEX('MEC - traffic congestion'!$M$145:$M$249,MATCH($D1993,'MEC - traffic congestion'!$C$145:$C$249,0))</f>
        <v>1</v>
      </c>
      <c r="P1993" t="str">
        <f t="shared" si="86"/>
        <v>2018PM PEAK</v>
      </c>
      <c r="Q1993">
        <f t="shared" si="87"/>
        <v>1</v>
      </c>
      <c r="R1993" s="195" t="str">
        <f t="shared" si="88"/>
        <v>2018LIGHT VEHICLES</v>
      </c>
    </row>
    <row r="1994" spans="3:18" x14ac:dyDescent="0.25">
      <c r="C1994" s="294" t="s">
        <v>899</v>
      </c>
      <c r="D1994" s="317">
        <v>7139</v>
      </c>
      <c r="E1994" s="122" t="s">
        <v>783</v>
      </c>
      <c r="F1994" s="122" t="s">
        <v>900</v>
      </c>
      <c r="G1994" s="122" t="s">
        <v>786</v>
      </c>
      <c r="H1994" s="122" t="s">
        <v>777</v>
      </c>
      <c r="I1994" s="312">
        <v>2018</v>
      </c>
      <c r="J1994" s="122" t="s">
        <v>712</v>
      </c>
      <c r="K1994" s="283">
        <v>28705</v>
      </c>
      <c r="L1994" s="318">
        <v>-33.876883999999997</v>
      </c>
      <c r="M1994" s="318">
        <v>151.22868299999999</v>
      </c>
      <c r="O1994">
        <f>INDEX('MEC - traffic congestion'!$M$145:$M$249,MATCH($D1994,'MEC - traffic congestion'!$C$145:$C$249,0))</f>
        <v>1</v>
      </c>
      <c r="P1994" t="str">
        <f t="shared" si="86"/>
        <v>2018PUBLIC HOLIDAYS</v>
      </c>
      <c r="Q1994">
        <f t="shared" si="87"/>
        <v>1</v>
      </c>
      <c r="R1994" s="195" t="str">
        <f t="shared" si="88"/>
        <v>2018LIGHT VEHICLES</v>
      </c>
    </row>
    <row r="1995" spans="3:18" x14ac:dyDescent="0.25">
      <c r="C1995" s="294" t="s">
        <v>899</v>
      </c>
      <c r="D1995" s="317">
        <v>7139</v>
      </c>
      <c r="E1995" s="122" t="s">
        <v>783</v>
      </c>
      <c r="F1995" s="122" t="s">
        <v>900</v>
      </c>
      <c r="G1995" s="122" t="s">
        <v>786</v>
      </c>
      <c r="H1995" s="122" t="s">
        <v>777</v>
      </c>
      <c r="I1995" s="312">
        <v>2018</v>
      </c>
      <c r="J1995" s="122" t="s">
        <v>713</v>
      </c>
      <c r="K1995" s="283">
        <v>35590</v>
      </c>
      <c r="L1995" s="318">
        <v>-33.876883999999997</v>
      </c>
      <c r="M1995" s="318">
        <v>151.22868299999999</v>
      </c>
      <c r="O1995">
        <f>INDEX('MEC - traffic congestion'!$M$145:$M$249,MATCH($D1995,'MEC - traffic congestion'!$C$145:$C$249,0))</f>
        <v>1</v>
      </c>
      <c r="P1995" t="str">
        <f t="shared" si="86"/>
        <v>2018WEEKENDS</v>
      </c>
      <c r="Q1995">
        <f t="shared" si="87"/>
        <v>1</v>
      </c>
      <c r="R1995" s="195" t="str">
        <f t="shared" si="88"/>
        <v>2018LIGHT VEHICLES</v>
      </c>
    </row>
    <row r="1996" spans="3:18" x14ac:dyDescent="0.25">
      <c r="C1996" s="294" t="s">
        <v>899</v>
      </c>
      <c r="D1996" s="317">
        <v>7139</v>
      </c>
      <c r="E1996" s="122" t="s">
        <v>783</v>
      </c>
      <c r="F1996" s="122" t="s">
        <v>900</v>
      </c>
      <c r="G1996" s="122" t="s">
        <v>786</v>
      </c>
      <c r="H1996" s="122" t="s">
        <v>777</v>
      </c>
      <c r="I1996" s="312">
        <v>2019</v>
      </c>
      <c r="J1996" s="122" t="s">
        <v>709</v>
      </c>
      <c r="K1996" s="283">
        <v>10400</v>
      </c>
      <c r="L1996" s="318">
        <v>-33.876883999999997</v>
      </c>
      <c r="M1996" s="318">
        <v>151.22868299999999</v>
      </c>
      <c r="O1996">
        <f>INDEX('MEC - traffic congestion'!$M$145:$M$249,MATCH($D1996,'MEC - traffic congestion'!$C$145:$C$249,0))</f>
        <v>1</v>
      </c>
      <c r="P1996" t="str">
        <f t="shared" si="86"/>
        <v>2019AM PEAK</v>
      </c>
      <c r="Q1996">
        <f t="shared" si="87"/>
        <v>1</v>
      </c>
      <c r="R1996" s="195" t="str">
        <f t="shared" si="88"/>
        <v>2019LIGHT VEHICLES</v>
      </c>
    </row>
    <row r="1997" spans="3:18" x14ac:dyDescent="0.25">
      <c r="C1997" s="294" t="s">
        <v>899</v>
      </c>
      <c r="D1997" s="317">
        <v>7139</v>
      </c>
      <c r="E1997" s="122" t="s">
        <v>783</v>
      </c>
      <c r="F1997" s="122" t="s">
        <v>900</v>
      </c>
      <c r="G1997" s="122" t="s">
        <v>786</v>
      </c>
      <c r="H1997" s="122" t="s">
        <v>777</v>
      </c>
      <c r="I1997" s="312">
        <v>2019</v>
      </c>
      <c r="J1997" s="122" t="s">
        <v>710</v>
      </c>
      <c r="K1997" s="283">
        <v>17952</v>
      </c>
      <c r="L1997" s="318">
        <v>-33.876883999999997</v>
      </c>
      <c r="M1997" s="318">
        <v>151.22868299999999</v>
      </c>
      <c r="O1997">
        <f>INDEX('MEC - traffic congestion'!$M$145:$M$249,MATCH($D1997,'MEC - traffic congestion'!$C$145:$C$249,0))</f>
        <v>1</v>
      </c>
      <c r="P1997" t="str">
        <f t="shared" si="86"/>
        <v>2019OFF PEAK</v>
      </c>
      <c r="Q1997">
        <f t="shared" si="87"/>
        <v>1</v>
      </c>
      <c r="R1997" s="195" t="str">
        <f t="shared" si="88"/>
        <v>2019LIGHT VEHICLES</v>
      </c>
    </row>
    <row r="1998" spans="3:18" x14ac:dyDescent="0.25">
      <c r="C1998" s="294" t="s">
        <v>899</v>
      </c>
      <c r="D1998" s="317">
        <v>7139</v>
      </c>
      <c r="E1998" s="122" t="s">
        <v>783</v>
      </c>
      <c r="F1998" s="122" t="s">
        <v>900</v>
      </c>
      <c r="G1998" s="122" t="s">
        <v>786</v>
      </c>
      <c r="H1998" s="122" t="s">
        <v>777</v>
      </c>
      <c r="I1998" s="312">
        <v>2019</v>
      </c>
      <c r="J1998" s="122" t="s">
        <v>711</v>
      </c>
      <c r="K1998" s="283">
        <v>9502</v>
      </c>
      <c r="L1998" s="318">
        <v>-33.876883999999997</v>
      </c>
      <c r="M1998" s="318">
        <v>151.22868299999999</v>
      </c>
      <c r="O1998">
        <f>INDEX('MEC - traffic congestion'!$M$145:$M$249,MATCH($D1998,'MEC - traffic congestion'!$C$145:$C$249,0))</f>
        <v>1</v>
      </c>
      <c r="P1998" t="str">
        <f t="shared" si="86"/>
        <v>2019PM PEAK</v>
      </c>
      <c r="Q1998">
        <f t="shared" si="87"/>
        <v>1</v>
      </c>
      <c r="R1998" s="195" t="str">
        <f t="shared" si="88"/>
        <v>2019LIGHT VEHICLES</v>
      </c>
    </row>
    <row r="1999" spans="3:18" x14ac:dyDescent="0.25">
      <c r="C1999" s="294" t="s">
        <v>899</v>
      </c>
      <c r="D1999" s="317">
        <v>7139</v>
      </c>
      <c r="E1999" s="122" t="s">
        <v>783</v>
      </c>
      <c r="F1999" s="122" t="s">
        <v>900</v>
      </c>
      <c r="G1999" s="122" t="s">
        <v>786</v>
      </c>
      <c r="H1999" s="122" t="s">
        <v>777</v>
      </c>
      <c r="I1999" s="312">
        <v>2019</v>
      </c>
      <c r="J1999" s="122" t="s">
        <v>712</v>
      </c>
      <c r="K1999" s="283">
        <v>29657</v>
      </c>
      <c r="L1999" s="318">
        <v>-33.876883999999997</v>
      </c>
      <c r="M1999" s="318">
        <v>151.22868299999999</v>
      </c>
      <c r="O1999">
        <f>INDEX('MEC - traffic congestion'!$M$145:$M$249,MATCH($D1999,'MEC - traffic congestion'!$C$145:$C$249,0))</f>
        <v>1</v>
      </c>
      <c r="P1999" t="str">
        <f t="shared" si="86"/>
        <v>2019PUBLIC HOLIDAYS</v>
      </c>
      <c r="Q1999">
        <f t="shared" si="87"/>
        <v>1</v>
      </c>
      <c r="R1999" s="195" t="str">
        <f t="shared" si="88"/>
        <v>2019LIGHT VEHICLES</v>
      </c>
    </row>
    <row r="2000" spans="3:18" x14ac:dyDescent="0.25">
      <c r="C2000" s="294" t="s">
        <v>899</v>
      </c>
      <c r="D2000" s="317">
        <v>7139</v>
      </c>
      <c r="E2000" s="122" t="s">
        <v>783</v>
      </c>
      <c r="F2000" s="122" t="s">
        <v>900</v>
      </c>
      <c r="G2000" s="122" t="s">
        <v>786</v>
      </c>
      <c r="H2000" s="122" t="s">
        <v>777</v>
      </c>
      <c r="I2000" s="312">
        <v>2019</v>
      </c>
      <c r="J2000" s="122" t="s">
        <v>713</v>
      </c>
      <c r="K2000" s="283">
        <v>35463</v>
      </c>
      <c r="L2000" s="318">
        <v>-33.876883999999997</v>
      </c>
      <c r="M2000" s="318">
        <v>151.22868299999999</v>
      </c>
      <c r="O2000">
        <f>INDEX('MEC - traffic congestion'!$M$145:$M$249,MATCH($D2000,'MEC - traffic congestion'!$C$145:$C$249,0))</f>
        <v>1</v>
      </c>
      <c r="P2000" t="str">
        <f t="shared" si="86"/>
        <v>2019WEEKENDS</v>
      </c>
      <c r="Q2000">
        <f t="shared" si="87"/>
        <v>1</v>
      </c>
      <c r="R2000" s="195" t="str">
        <f t="shared" si="88"/>
        <v>2019LIGHT VEHICLES</v>
      </c>
    </row>
    <row r="2001" spans="3:18" x14ac:dyDescent="0.25">
      <c r="C2001" s="294" t="s">
        <v>899</v>
      </c>
      <c r="D2001" s="317">
        <v>7139</v>
      </c>
      <c r="E2001" s="122" t="s">
        <v>783</v>
      </c>
      <c r="F2001" s="122" t="s">
        <v>900</v>
      </c>
      <c r="G2001" s="122" t="s">
        <v>786</v>
      </c>
      <c r="H2001" s="122" t="s">
        <v>777</v>
      </c>
      <c r="I2001" s="312">
        <v>2020</v>
      </c>
      <c r="J2001" s="122" t="s">
        <v>709</v>
      </c>
      <c r="K2001" s="283">
        <v>9201</v>
      </c>
      <c r="L2001" s="318">
        <v>-33.876883999999997</v>
      </c>
      <c r="M2001" s="318">
        <v>151.22868299999999</v>
      </c>
      <c r="O2001">
        <f>INDEX('MEC - traffic congestion'!$M$145:$M$249,MATCH($D2001,'MEC - traffic congestion'!$C$145:$C$249,0))</f>
        <v>1</v>
      </c>
      <c r="P2001" t="str">
        <f t="shared" si="86"/>
        <v>2020AM PEAK</v>
      </c>
      <c r="Q2001">
        <f t="shared" si="87"/>
        <v>1</v>
      </c>
      <c r="R2001" s="195" t="str">
        <f t="shared" si="88"/>
        <v>2020LIGHT VEHICLES</v>
      </c>
    </row>
    <row r="2002" spans="3:18" x14ac:dyDescent="0.25">
      <c r="C2002" s="294" t="s">
        <v>899</v>
      </c>
      <c r="D2002" s="317">
        <v>7139</v>
      </c>
      <c r="E2002" s="122" t="s">
        <v>783</v>
      </c>
      <c r="F2002" s="122" t="s">
        <v>900</v>
      </c>
      <c r="G2002" s="122" t="s">
        <v>786</v>
      </c>
      <c r="H2002" s="122" t="s">
        <v>777</v>
      </c>
      <c r="I2002" s="312">
        <v>2020</v>
      </c>
      <c r="J2002" s="122" t="s">
        <v>710</v>
      </c>
      <c r="K2002" s="283">
        <v>16340</v>
      </c>
      <c r="L2002" s="318">
        <v>-33.876883999999997</v>
      </c>
      <c r="M2002" s="318">
        <v>151.22868299999999</v>
      </c>
      <c r="O2002">
        <f>INDEX('MEC - traffic congestion'!$M$145:$M$249,MATCH($D2002,'MEC - traffic congestion'!$C$145:$C$249,0))</f>
        <v>1</v>
      </c>
      <c r="P2002" t="str">
        <f t="shared" si="86"/>
        <v>2020OFF PEAK</v>
      </c>
      <c r="Q2002">
        <f t="shared" si="87"/>
        <v>1</v>
      </c>
      <c r="R2002" s="195" t="str">
        <f t="shared" si="88"/>
        <v>2020LIGHT VEHICLES</v>
      </c>
    </row>
    <row r="2003" spans="3:18" x14ac:dyDescent="0.25">
      <c r="C2003" s="294" t="s">
        <v>899</v>
      </c>
      <c r="D2003" s="317">
        <v>7139</v>
      </c>
      <c r="E2003" s="122" t="s">
        <v>783</v>
      </c>
      <c r="F2003" s="122" t="s">
        <v>900</v>
      </c>
      <c r="G2003" s="122" t="s">
        <v>786</v>
      </c>
      <c r="H2003" s="122" t="s">
        <v>777</v>
      </c>
      <c r="I2003" s="312">
        <v>2020</v>
      </c>
      <c r="J2003" s="122" t="s">
        <v>711</v>
      </c>
      <c r="K2003" s="283">
        <v>9232</v>
      </c>
      <c r="L2003" s="318">
        <v>-33.876883999999997</v>
      </c>
      <c r="M2003" s="318">
        <v>151.22868299999999</v>
      </c>
      <c r="O2003">
        <f>INDEX('MEC - traffic congestion'!$M$145:$M$249,MATCH($D2003,'MEC - traffic congestion'!$C$145:$C$249,0))</f>
        <v>1</v>
      </c>
      <c r="P2003" t="str">
        <f t="shared" si="86"/>
        <v>2020PM PEAK</v>
      </c>
      <c r="Q2003">
        <f t="shared" si="87"/>
        <v>1</v>
      </c>
      <c r="R2003" s="195" t="str">
        <f t="shared" si="88"/>
        <v>2020LIGHT VEHICLES</v>
      </c>
    </row>
    <row r="2004" spans="3:18" x14ac:dyDescent="0.25">
      <c r="C2004" s="294" t="s">
        <v>899</v>
      </c>
      <c r="D2004" s="317">
        <v>7139</v>
      </c>
      <c r="E2004" s="122" t="s">
        <v>783</v>
      </c>
      <c r="F2004" s="122" t="s">
        <v>900</v>
      </c>
      <c r="G2004" s="122" t="s">
        <v>786</v>
      </c>
      <c r="H2004" s="122" t="s">
        <v>777</v>
      </c>
      <c r="I2004" s="312">
        <v>2020</v>
      </c>
      <c r="J2004" s="122" t="s">
        <v>712</v>
      </c>
      <c r="K2004" s="283">
        <v>22402</v>
      </c>
      <c r="L2004" s="318">
        <v>-33.876883999999997</v>
      </c>
      <c r="M2004" s="318">
        <v>151.22868299999999</v>
      </c>
      <c r="O2004">
        <f>INDEX('MEC - traffic congestion'!$M$145:$M$249,MATCH($D2004,'MEC - traffic congestion'!$C$145:$C$249,0))</f>
        <v>1</v>
      </c>
      <c r="P2004" t="str">
        <f t="shared" si="86"/>
        <v>2020PUBLIC HOLIDAYS</v>
      </c>
      <c r="Q2004">
        <f t="shared" si="87"/>
        <v>1</v>
      </c>
      <c r="R2004" s="195" t="str">
        <f t="shared" si="88"/>
        <v>2020LIGHT VEHICLES</v>
      </c>
    </row>
    <row r="2005" spans="3:18" x14ac:dyDescent="0.25">
      <c r="C2005" s="294" t="s">
        <v>899</v>
      </c>
      <c r="D2005" s="317">
        <v>7139</v>
      </c>
      <c r="E2005" s="122" t="s">
        <v>783</v>
      </c>
      <c r="F2005" s="122" t="s">
        <v>900</v>
      </c>
      <c r="G2005" s="122" t="s">
        <v>786</v>
      </c>
      <c r="H2005" s="122" t="s">
        <v>777</v>
      </c>
      <c r="I2005" s="312">
        <v>2020</v>
      </c>
      <c r="J2005" s="122" t="s">
        <v>713</v>
      </c>
      <c r="K2005" s="283">
        <v>30242</v>
      </c>
      <c r="L2005" s="318">
        <v>-33.876883999999997</v>
      </c>
      <c r="M2005" s="318">
        <v>151.22868299999999</v>
      </c>
      <c r="O2005">
        <f>INDEX('MEC - traffic congestion'!$M$145:$M$249,MATCH($D2005,'MEC - traffic congestion'!$C$145:$C$249,0))</f>
        <v>1</v>
      </c>
      <c r="P2005" t="str">
        <f t="shared" ref="P2005:P2068" si="89">IF($O2005=1,$I2005&amp;$J2005,"")</f>
        <v>2020WEEKENDS</v>
      </c>
      <c r="Q2005">
        <f t="shared" ref="Q2005:Q2068" si="90">IF(AND($M2005&gt;150.246,AND($L2005&gt;-34.397,$L2005&lt;-32.662)),1,0)</f>
        <v>1</v>
      </c>
      <c r="R2005" s="195" t="str">
        <f t="shared" ref="R2005:R2068" si="91">IF($O2005=1,$I2005&amp;$H2005,"")</f>
        <v>2020LIGHT VEHICLES</v>
      </c>
    </row>
    <row r="2006" spans="3:18" x14ac:dyDescent="0.25">
      <c r="C2006" s="294" t="s">
        <v>899</v>
      </c>
      <c r="D2006" s="317">
        <v>7139</v>
      </c>
      <c r="E2006" s="122" t="s">
        <v>783</v>
      </c>
      <c r="F2006" s="122" t="s">
        <v>900</v>
      </c>
      <c r="G2006" s="122" t="s">
        <v>786</v>
      </c>
      <c r="H2006" s="122" t="s">
        <v>777</v>
      </c>
      <c r="I2006" s="312">
        <v>2021</v>
      </c>
      <c r="J2006" s="122" t="s">
        <v>709</v>
      </c>
      <c r="K2006" s="283">
        <v>8663</v>
      </c>
      <c r="L2006" s="318">
        <v>-33.876883999999997</v>
      </c>
      <c r="M2006" s="318">
        <v>151.22868299999999</v>
      </c>
      <c r="O2006">
        <f>INDEX('MEC - traffic congestion'!$M$145:$M$249,MATCH($D2006,'MEC - traffic congestion'!$C$145:$C$249,0))</f>
        <v>1</v>
      </c>
      <c r="P2006" t="str">
        <f t="shared" si="89"/>
        <v>2021AM PEAK</v>
      </c>
      <c r="Q2006">
        <f t="shared" si="90"/>
        <v>1</v>
      </c>
      <c r="R2006" s="195" t="str">
        <f t="shared" si="91"/>
        <v>2021LIGHT VEHICLES</v>
      </c>
    </row>
    <row r="2007" spans="3:18" x14ac:dyDescent="0.25">
      <c r="C2007" s="294" t="s">
        <v>899</v>
      </c>
      <c r="D2007" s="317">
        <v>7139</v>
      </c>
      <c r="E2007" s="122" t="s">
        <v>783</v>
      </c>
      <c r="F2007" s="122" t="s">
        <v>900</v>
      </c>
      <c r="G2007" s="122" t="s">
        <v>786</v>
      </c>
      <c r="H2007" s="122" t="s">
        <v>777</v>
      </c>
      <c r="I2007" s="312">
        <v>2021</v>
      </c>
      <c r="J2007" s="122" t="s">
        <v>710</v>
      </c>
      <c r="K2007" s="283">
        <v>15439</v>
      </c>
      <c r="L2007" s="318">
        <v>-33.876883999999997</v>
      </c>
      <c r="M2007" s="318">
        <v>151.22868299999999</v>
      </c>
      <c r="O2007">
        <f>INDEX('MEC - traffic congestion'!$M$145:$M$249,MATCH($D2007,'MEC - traffic congestion'!$C$145:$C$249,0))</f>
        <v>1</v>
      </c>
      <c r="P2007" t="str">
        <f t="shared" si="89"/>
        <v>2021OFF PEAK</v>
      </c>
      <c r="Q2007">
        <f t="shared" si="90"/>
        <v>1</v>
      </c>
      <c r="R2007" s="195" t="str">
        <f t="shared" si="91"/>
        <v>2021LIGHT VEHICLES</v>
      </c>
    </row>
    <row r="2008" spans="3:18" x14ac:dyDescent="0.25">
      <c r="C2008" s="294" t="s">
        <v>899</v>
      </c>
      <c r="D2008" s="317">
        <v>7139</v>
      </c>
      <c r="E2008" s="122" t="s">
        <v>783</v>
      </c>
      <c r="F2008" s="122" t="s">
        <v>900</v>
      </c>
      <c r="G2008" s="122" t="s">
        <v>786</v>
      </c>
      <c r="H2008" s="122" t="s">
        <v>777</v>
      </c>
      <c r="I2008" s="312">
        <v>2021</v>
      </c>
      <c r="J2008" s="122" t="s">
        <v>711</v>
      </c>
      <c r="K2008" s="283">
        <v>8604</v>
      </c>
      <c r="L2008" s="318">
        <v>-33.876883999999997</v>
      </c>
      <c r="M2008" s="318">
        <v>151.22868299999999</v>
      </c>
      <c r="O2008">
        <f>INDEX('MEC - traffic congestion'!$M$145:$M$249,MATCH($D2008,'MEC - traffic congestion'!$C$145:$C$249,0))</f>
        <v>1</v>
      </c>
      <c r="P2008" t="str">
        <f t="shared" si="89"/>
        <v>2021PM PEAK</v>
      </c>
      <c r="Q2008">
        <f t="shared" si="90"/>
        <v>1</v>
      </c>
      <c r="R2008" s="195" t="str">
        <f t="shared" si="91"/>
        <v>2021LIGHT VEHICLES</v>
      </c>
    </row>
    <row r="2009" spans="3:18" x14ac:dyDescent="0.25">
      <c r="C2009" s="294" t="s">
        <v>899</v>
      </c>
      <c r="D2009" s="317">
        <v>7139</v>
      </c>
      <c r="E2009" s="122" t="s">
        <v>783</v>
      </c>
      <c r="F2009" s="122" t="s">
        <v>900</v>
      </c>
      <c r="G2009" s="122" t="s">
        <v>786</v>
      </c>
      <c r="H2009" s="122" t="s">
        <v>777</v>
      </c>
      <c r="I2009" s="312">
        <v>2021</v>
      </c>
      <c r="J2009" s="122" t="s">
        <v>713</v>
      </c>
      <c r="K2009" s="283">
        <v>28042</v>
      </c>
      <c r="L2009" s="318">
        <v>-33.876883999999997</v>
      </c>
      <c r="M2009" s="318">
        <v>151.22868299999999</v>
      </c>
      <c r="O2009">
        <f>INDEX('MEC - traffic congestion'!$M$145:$M$249,MATCH($D2009,'MEC - traffic congestion'!$C$145:$C$249,0))</f>
        <v>1</v>
      </c>
      <c r="P2009" t="str">
        <f t="shared" si="89"/>
        <v>2021WEEKENDS</v>
      </c>
      <c r="Q2009">
        <f t="shared" si="90"/>
        <v>1</v>
      </c>
      <c r="R2009" s="195" t="str">
        <f t="shared" si="91"/>
        <v>2021LIGHT VEHICLES</v>
      </c>
    </row>
    <row r="2010" spans="3:18" x14ac:dyDescent="0.25">
      <c r="C2010" s="294" t="s">
        <v>899</v>
      </c>
      <c r="D2010" s="317">
        <v>7139</v>
      </c>
      <c r="E2010" s="122" t="s">
        <v>783</v>
      </c>
      <c r="F2010" s="122" t="s">
        <v>900</v>
      </c>
      <c r="G2010" s="122" t="s">
        <v>786</v>
      </c>
      <c r="H2010" s="122" t="s">
        <v>777</v>
      </c>
      <c r="I2010" s="312">
        <v>2022</v>
      </c>
      <c r="J2010" s="122" t="s">
        <v>709</v>
      </c>
      <c r="K2010" s="283">
        <v>9044</v>
      </c>
      <c r="L2010" s="318">
        <v>-33.876883999999997</v>
      </c>
      <c r="M2010" s="318">
        <v>151.22868299999999</v>
      </c>
      <c r="O2010">
        <f>INDEX('MEC - traffic congestion'!$M$145:$M$249,MATCH($D2010,'MEC - traffic congestion'!$C$145:$C$249,0))</f>
        <v>1</v>
      </c>
      <c r="P2010" t="str">
        <f t="shared" si="89"/>
        <v>2022AM PEAK</v>
      </c>
      <c r="Q2010">
        <f t="shared" si="90"/>
        <v>1</v>
      </c>
      <c r="R2010" s="195" t="str">
        <f t="shared" si="91"/>
        <v>2022LIGHT VEHICLES</v>
      </c>
    </row>
    <row r="2011" spans="3:18" x14ac:dyDescent="0.25">
      <c r="C2011" s="294" t="s">
        <v>899</v>
      </c>
      <c r="D2011" s="317">
        <v>7139</v>
      </c>
      <c r="E2011" s="122" t="s">
        <v>783</v>
      </c>
      <c r="F2011" s="122" t="s">
        <v>900</v>
      </c>
      <c r="G2011" s="122" t="s">
        <v>786</v>
      </c>
      <c r="H2011" s="122" t="s">
        <v>777</v>
      </c>
      <c r="I2011" s="312">
        <v>2022</v>
      </c>
      <c r="J2011" s="122" t="s">
        <v>710</v>
      </c>
      <c r="K2011" s="283">
        <v>16304</v>
      </c>
      <c r="L2011" s="318">
        <v>-33.876883999999997</v>
      </c>
      <c r="M2011" s="318">
        <v>151.22868299999999</v>
      </c>
      <c r="O2011">
        <f>INDEX('MEC - traffic congestion'!$M$145:$M$249,MATCH($D2011,'MEC - traffic congestion'!$C$145:$C$249,0))</f>
        <v>1</v>
      </c>
      <c r="P2011" t="str">
        <f t="shared" si="89"/>
        <v>2022OFF PEAK</v>
      </c>
      <c r="Q2011">
        <f t="shared" si="90"/>
        <v>1</v>
      </c>
      <c r="R2011" s="195" t="str">
        <f t="shared" si="91"/>
        <v>2022LIGHT VEHICLES</v>
      </c>
    </row>
    <row r="2012" spans="3:18" x14ac:dyDescent="0.25">
      <c r="C2012" s="294" t="s">
        <v>899</v>
      </c>
      <c r="D2012" s="317">
        <v>7139</v>
      </c>
      <c r="E2012" s="122" t="s">
        <v>783</v>
      </c>
      <c r="F2012" s="122" t="s">
        <v>900</v>
      </c>
      <c r="G2012" s="122" t="s">
        <v>786</v>
      </c>
      <c r="H2012" s="122" t="s">
        <v>777</v>
      </c>
      <c r="I2012" s="312">
        <v>2022</v>
      </c>
      <c r="J2012" s="122" t="s">
        <v>711</v>
      </c>
      <c r="K2012" s="283">
        <v>9104</v>
      </c>
      <c r="L2012" s="318">
        <v>-33.876883999999997</v>
      </c>
      <c r="M2012" s="318">
        <v>151.22868299999999</v>
      </c>
      <c r="O2012">
        <f>INDEX('MEC - traffic congestion'!$M$145:$M$249,MATCH($D2012,'MEC - traffic congestion'!$C$145:$C$249,0))</f>
        <v>1</v>
      </c>
      <c r="P2012" t="str">
        <f t="shared" si="89"/>
        <v>2022PM PEAK</v>
      </c>
      <c r="Q2012">
        <f t="shared" si="90"/>
        <v>1</v>
      </c>
      <c r="R2012" s="195" t="str">
        <f t="shared" si="91"/>
        <v>2022LIGHT VEHICLES</v>
      </c>
    </row>
    <row r="2013" spans="3:18" x14ac:dyDescent="0.25">
      <c r="C2013" s="294" t="s">
        <v>899</v>
      </c>
      <c r="D2013" s="317">
        <v>7139</v>
      </c>
      <c r="E2013" s="122" t="s">
        <v>783</v>
      </c>
      <c r="F2013" s="122" t="s">
        <v>900</v>
      </c>
      <c r="G2013" s="122" t="s">
        <v>786</v>
      </c>
      <c r="H2013" s="122" t="s">
        <v>777</v>
      </c>
      <c r="I2013" s="312">
        <v>2022</v>
      </c>
      <c r="J2013" s="122" t="s">
        <v>713</v>
      </c>
      <c r="K2013" s="283">
        <v>30970</v>
      </c>
      <c r="L2013" s="318">
        <v>-33.876883999999997</v>
      </c>
      <c r="M2013" s="318">
        <v>151.22868299999999</v>
      </c>
      <c r="O2013">
        <f>INDEX('MEC - traffic congestion'!$M$145:$M$249,MATCH($D2013,'MEC - traffic congestion'!$C$145:$C$249,0))</f>
        <v>1</v>
      </c>
      <c r="P2013" t="str">
        <f t="shared" si="89"/>
        <v>2022WEEKENDS</v>
      </c>
      <c r="Q2013">
        <f t="shared" si="90"/>
        <v>1</v>
      </c>
      <c r="R2013" s="195" t="str">
        <f t="shared" si="91"/>
        <v>2022LIGHT VEHICLES</v>
      </c>
    </row>
    <row r="2014" spans="3:18" x14ac:dyDescent="0.25">
      <c r="C2014" s="294" t="s">
        <v>899</v>
      </c>
      <c r="D2014" s="317">
        <v>7139</v>
      </c>
      <c r="E2014" s="122" t="s">
        <v>783</v>
      </c>
      <c r="F2014" s="122" t="s">
        <v>900</v>
      </c>
      <c r="G2014" s="122" t="s">
        <v>786</v>
      </c>
      <c r="H2014" s="122" t="s">
        <v>777</v>
      </c>
      <c r="I2014" s="312">
        <v>2023</v>
      </c>
      <c r="J2014" s="122" t="s">
        <v>709</v>
      </c>
      <c r="K2014" s="283">
        <v>9398</v>
      </c>
      <c r="L2014" s="318">
        <v>-33.876883999999997</v>
      </c>
      <c r="M2014" s="318">
        <v>151.22868299999999</v>
      </c>
      <c r="O2014">
        <f>INDEX('MEC - traffic congestion'!$M$145:$M$249,MATCH($D2014,'MEC - traffic congestion'!$C$145:$C$249,0))</f>
        <v>1</v>
      </c>
      <c r="P2014" t="str">
        <f t="shared" si="89"/>
        <v>2023AM PEAK</v>
      </c>
      <c r="Q2014">
        <f t="shared" si="90"/>
        <v>1</v>
      </c>
      <c r="R2014" s="195" t="str">
        <f t="shared" si="91"/>
        <v>2023LIGHT VEHICLES</v>
      </c>
    </row>
    <row r="2015" spans="3:18" x14ac:dyDescent="0.25">
      <c r="C2015" s="294" t="s">
        <v>899</v>
      </c>
      <c r="D2015" s="317">
        <v>7139</v>
      </c>
      <c r="E2015" s="122" t="s">
        <v>783</v>
      </c>
      <c r="F2015" s="122" t="s">
        <v>900</v>
      </c>
      <c r="G2015" s="122" t="s">
        <v>786</v>
      </c>
      <c r="H2015" s="122" t="s">
        <v>777</v>
      </c>
      <c r="I2015" s="312">
        <v>2023</v>
      </c>
      <c r="J2015" s="122" t="s">
        <v>710</v>
      </c>
      <c r="K2015" s="283">
        <v>17038</v>
      </c>
      <c r="L2015" s="318">
        <v>-33.876883999999997</v>
      </c>
      <c r="M2015" s="318">
        <v>151.22868299999999</v>
      </c>
      <c r="O2015">
        <f>INDEX('MEC - traffic congestion'!$M$145:$M$249,MATCH($D2015,'MEC - traffic congestion'!$C$145:$C$249,0))</f>
        <v>1</v>
      </c>
      <c r="P2015" t="str">
        <f t="shared" si="89"/>
        <v>2023OFF PEAK</v>
      </c>
      <c r="Q2015">
        <f t="shared" si="90"/>
        <v>1</v>
      </c>
      <c r="R2015" s="195" t="str">
        <f t="shared" si="91"/>
        <v>2023LIGHT VEHICLES</v>
      </c>
    </row>
    <row r="2016" spans="3:18" x14ac:dyDescent="0.25">
      <c r="C2016" s="294" t="s">
        <v>899</v>
      </c>
      <c r="D2016" s="317">
        <v>7139</v>
      </c>
      <c r="E2016" s="122" t="s">
        <v>783</v>
      </c>
      <c r="F2016" s="122" t="s">
        <v>900</v>
      </c>
      <c r="G2016" s="122" t="s">
        <v>786</v>
      </c>
      <c r="H2016" s="122" t="s">
        <v>777</v>
      </c>
      <c r="I2016" s="312">
        <v>2023</v>
      </c>
      <c r="J2016" s="122" t="s">
        <v>711</v>
      </c>
      <c r="K2016" s="283">
        <v>9654</v>
      </c>
      <c r="L2016" s="318">
        <v>-33.876883999999997</v>
      </c>
      <c r="M2016" s="318">
        <v>151.22868299999999</v>
      </c>
      <c r="O2016">
        <f>INDEX('MEC - traffic congestion'!$M$145:$M$249,MATCH($D2016,'MEC - traffic congestion'!$C$145:$C$249,0))</f>
        <v>1</v>
      </c>
      <c r="P2016" t="str">
        <f t="shared" si="89"/>
        <v>2023PM PEAK</v>
      </c>
      <c r="Q2016">
        <f t="shared" si="90"/>
        <v>1</v>
      </c>
      <c r="R2016" s="195" t="str">
        <f t="shared" si="91"/>
        <v>2023LIGHT VEHICLES</v>
      </c>
    </row>
    <row r="2017" spans="3:18" x14ac:dyDescent="0.25">
      <c r="C2017" s="294" t="s">
        <v>899</v>
      </c>
      <c r="D2017" s="317">
        <v>7139</v>
      </c>
      <c r="E2017" s="122" t="s">
        <v>783</v>
      </c>
      <c r="F2017" s="122" t="s">
        <v>900</v>
      </c>
      <c r="G2017" s="122" t="s">
        <v>786</v>
      </c>
      <c r="H2017" s="122" t="s">
        <v>777</v>
      </c>
      <c r="I2017" s="312">
        <v>2023</v>
      </c>
      <c r="J2017" s="122" t="s">
        <v>713</v>
      </c>
      <c r="K2017" s="283">
        <v>33742</v>
      </c>
      <c r="L2017" s="318">
        <v>-33.876883999999997</v>
      </c>
      <c r="M2017" s="318">
        <v>151.22868299999999</v>
      </c>
      <c r="O2017">
        <f>INDEX('MEC - traffic congestion'!$M$145:$M$249,MATCH($D2017,'MEC - traffic congestion'!$C$145:$C$249,0))</f>
        <v>1</v>
      </c>
      <c r="P2017" t="str">
        <f t="shared" si="89"/>
        <v>2023WEEKENDS</v>
      </c>
      <c r="Q2017">
        <f t="shared" si="90"/>
        <v>1</v>
      </c>
      <c r="R2017" s="195" t="str">
        <f t="shared" si="91"/>
        <v>2023LIGHT VEHICLES</v>
      </c>
    </row>
    <row r="2018" spans="3:18" x14ac:dyDescent="0.25">
      <c r="C2018" s="294" t="s">
        <v>899</v>
      </c>
      <c r="D2018" s="317">
        <v>7139</v>
      </c>
      <c r="E2018" s="122" t="s">
        <v>783</v>
      </c>
      <c r="F2018" s="122" t="s">
        <v>900</v>
      </c>
      <c r="G2018" s="122" t="s">
        <v>786</v>
      </c>
      <c r="H2018" s="122" t="s">
        <v>777</v>
      </c>
      <c r="I2018" s="312">
        <v>2024</v>
      </c>
      <c r="J2018" s="122" t="s">
        <v>709</v>
      </c>
      <c r="K2018" s="283">
        <v>9184</v>
      </c>
      <c r="L2018" s="318">
        <v>-33.876883999999997</v>
      </c>
      <c r="M2018" s="318">
        <v>151.22868299999999</v>
      </c>
      <c r="O2018">
        <f>INDEX('MEC - traffic congestion'!$M$145:$M$249,MATCH($D2018,'MEC - traffic congestion'!$C$145:$C$249,0))</f>
        <v>1</v>
      </c>
      <c r="P2018" t="str">
        <f t="shared" si="89"/>
        <v>2024AM PEAK</v>
      </c>
      <c r="Q2018">
        <f t="shared" si="90"/>
        <v>1</v>
      </c>
      <c r="R2018" s="195" t="str">
        <f t="shared" si="91"/>
        <v>2024LIGHT VEHICLES</v>
      </c>
    </row>
    <row r="2019" spans="3:18" x14ac:dyDescent="0.25">
      <c r="C2019" s="294" t="s">
        <v>899</v>
      </c>
      <c r="D2019" s="317">
        <v>7139</v>
      </c>
      <c r="E2019" s="122" t="s">
        <v>783</v>
      </c>
      <c r="F2019" s="122" t="s">
        <v>900</v>
      </c>
      <c r="G2019" s="122" t="s">
        <v>786</v>
      </c>
      <c r="H2019" s="122" t="s">
        <v>777</v>
      </c>
      <c r="I2019" s="312">
        <v>2024</v>
      </c>
      <c r="J2019" s="122" t="s">
        <v>710</v>
      </c>
      <c r="K2019" s="283">
        <v>18096</v>
      </c>
      <c r="L2019" s="318">
        <v>-33.876883999999997</v>
      </c>
      <c r="M2019" s="318">
        <v>151.22868299999999</v>
      </c>
      <c r="O2019">
        <f>INDEX('MEC - traffic congestion'!$M$145:$M$249,MATCH($D2019,'MEC - traffic congestion'!$C$145:$C$249,0))</f>
        <v>1</v>
      </c>
      <c r="P2019" t="str">
        <f t="shared" si="89"/>
        <v>2024OFF PEAK</v>
      </c>
      <c r="Q2019">
        <f t="shared" si="90"/>
        <v>1</v>
      </c>
      <c r="R2019" s="195" t="str">
        <f t="shared" si="91"/>
        <v>2024LIGHT VEHICLES</v>
      </c>
    </row>
    <row r="2020" spans="3:18" x14ac:dyDescent="0.25">
      <c r="C2020" s="294" t="s">
        <v>899</v>
      </c>
      <c r="D2020" s="317">
        <v>7139</v>
      </c>
      <c r="E2020" s="122" t="s">
        <v>783</v>
      </c>
      <c r="F2020" s="122" t="s">
        <v>900</v>
      </c>
      <c r="G2020" s="122" t="s">
        <v>786</v>
      </c>
      <c r="H2020" s="122" t="s">
        <v>777</v>
      </c>
      <c r="I2020" s="312">
        <v>2024</v>
      </c>
      <c r="J2020" s="122" t="s">
        <v>711</v>
      </c>
      <c r="K2020" s="283">
        <v>10153</v>
      </c>
      <c r="L2020" s="318">
        <v>-33.876883999999997</v>
      </c>
      <c r="M2020" s="318">
        <v>151.22868299999999</v>
      </c>
      <c r="O2020">
        <f>INDEX('MEC - traffic congestion'!$M$145:$M$249,MATCH($D2020,'MEC - traffic congestion'!$C$145:$C$249,0))</f>
        <v>1</v>
      </c>
      <c r="P2020" t="str">
        <f t="shared" si="89"/>
        <v>2024PM PEAK</v>
      </c>
      <c r="Q2020">
        <f t="shared" si="90"/>
        <v>1</v>
      </c>
      <c r="R2020" s="195" t="str">
        <f t="shared" si="91"/>
        <v>2024LIGHT VEHICLES</v>
      </c>
    </row>
    <row r="2021" spans="3:18" x14ac:dyDescent="0.25">
      <c r="C2021" s="294" t="s">
        <v>899</v>
      </c>
      <c r="D2021" s="317">
        <v>7139</v>
      </c>
      <c r="E2021" s="122" t="s">
        <v>783</v>
      </c>
      <c r="F2021" s="122" t="s">
        <v>900</v>
      </c>
      <c r="G2021" s="122" t="s">
        <v>786</v>
      </c>
      <c r="H2021" s="122" t="s">
        <v>777</v>
      </c>
      <c r="I2021" s="312">
        <v>2024</v>
      </c>
      <c r="J2021" s="122" t="s">
        <v>713</v>
      </c>
      <c r="K2021" s="283">
        <v>36138</v>
      </c>
      <c r="L2021" s="318">
        <v>-33.876883999999997</v>
      </c>
      <c r="M2021" s="318">
        <v>151.22868299999999</v>
      </c>
      <c r="O2021">
        <f>INDEX('MEC - traffic congestion'!$M$145:$M$249,MATCH($D2021,'MEC - traffic congestion'!$C$145:$C$249,0))</f>
        <v>1</v>
      </c>
      <c r="P2021" t="str">
        <f t="shared" si="89"/>
        <v>2024WEEKENDS</v>
      </c>
      <c r="Q2021">
        <f t="shared" si="90"/>
        <v>1</v>
      </c>
      <c r="R2021" s="195" t="str">
        <f t="shared" si="91"/>
        <v>2024LIGHT VEHICLES</v>
      </c>
    </row>
    <row r="2022" spans="3:18" x14ac:dyDescent="0.25">
      <c r="C2022" s="294" t="s">
        <v>901</v>
      </c>
      <c r="D2022" s="317">
        <v>7149</v>
      </c>
      <c r="E2022" s="122" t="s">
        <v>902</v>
      </c>
      <c r="F2022" s="122" t="s">
        <v>903</v>
      </c>
      <c r="G2022" s="122" t="s">
        <v>785</v>
      </c>
      <c r="H2022" s="122" t="s">
        <v>777</v>
      </c>
      <c r="I2022" s="312">
        <v>2018</v>
      </c>
      <c r="J2022" s="122" t="s">
        <v>709</v>
      </c>
      <c r="K2022" s="283">
        <v>5942</v>
      </c>
      <c r="L2022" s="318">
        <v>-33.929492949999997</v>
      </c>
      <c r="M2022" s="318">
        <v>150.9801636</v>
      </c>
      <c r="O2022">
        <f>INDEX('MEC - traffic congestion'!$M$145:$M$249,MATCH($D2022,'MEC - traffic congestion'!$C$145:$C$249,0))</f>
        <v>1</v>
      </c>
      <c r="P2022" t="str">
        <f t="shared" si="89"/>
        <v>2018AM PEAK</v>
      </c>
      <c r="Q2022">
        <f t="shared" si="90"/>
        <v>1</v>
      </c>
      <c r="R2022" s="195" t="str">
        <f t="shared" si="91"/>
        <v>2018LIGHT VEHICLES</v>
      </c>
    </row>
    <row r="2023" spans="3:18" x14ac:dyDescent="0.25">
      <c r="C2023" s="294" t="s">
        <v>901</v>
      </c>
      <c r="D2023" s="317">
        <v>7149</v>
      </c>
      <c r="E2023" s="122" t="s">
        <v>902</v>
      </c>
      <c r="F2023" s="122" t="s">
        <v>903</v>
      </c>
      <c r="G2023" s="122" t="s">
        <v>786</v>
      </c>
      <c r="H2023" s="122" t="s">
        <v>777</v>
      </c>
      <c r="I2023" s="312">
        <v>2018</v>
      </c>
      <c r="J2023" s="122" t="s">
        <v>709</v>
      </c>
      <c r="K2023" s="283">
        <v>3826</v>
      </c>
      <c r="L2023" s="318">
        <v>-33.929492949999997</v>
      </c>
      <c r="M2023" s="318">
        <v>150.9801636</v>
      </c>
      <c r="O2023">
        <f>INDEX('MEC - traffic congestion'!$M$145:$M$249,MATCH($D2023,'MEC - traffic congestion'!$C$145:$C$249,0))</f>
        <v>1</v>
      </c>
      <c r="P2023" t="str">
        <f t="shared" si="89"/>
        <v>2018AM PEAK</v>
      </c>
      <c r="Q2023">
        <f t="shared" si="90"/>
        <v>1</v>
      </c>
      <c r="R2023" s="195" t="str">
        <f t="shared" si="91"/>
        <v>2018LIGHT VEHICLES</v>
      </c>
    </row>
    <row r="2024" spans="3:18" x14ac:dyDescent="0.25">
      <c r="C2024" s="294" t="s">
        <v>901</v>
      </c>
      <c r="D2024" s="317">
        <v>7149</v>
      </c>
      <c r="E2024" s="122" t="s">
        <v>902</v>
      </c>
      <c r="F2024" s="122" t="s">
        <v>903</v>
      </c>
      <c r="G2024" s="122" t="s">
        <v>785</v>
      </c>
      <c r="H2024" s="122" t="s">
        <v>777</v>
      </c>
      <c r="I2024" s="312">
        <v>2018</v>
      </c>
      <c r="J2024" s="122" t="s">
        <v>710</v>
      </c>
      <c r="K2024" s="283">
        <v>9806</v>
      </c>
      <c r="L2024" s="318">
        <v>-33.929492949999997</v>
      </c>
      <c r="M2024" s="318">
        <v>150.9801636</v>
      </c>
      <c r="O2024">
        <f>INDEX('MEC - traffic congestion'!$M$145:$M$249,MATCH($D2024,'MEC - traffic congestion'!$C$145:$C$249,0))</f>
        <v>1</v>
      </c>
      <c r="P2024" t="str">
        <f t="shared" si="89"/>
        <v>2018OFF PEAK</v>
      </c>
      <c r="Q2024">
        <f t="shared" si="90"/>
        <v>1</v>
      </c>
      <c r="R2024" s="195" t="str">
        <f t="shared" si="91"/>
        <v>2018LIGHT VEHICLES</v>
      </c>
    </row>
    <row r="2025" spans="3:18" x14ac:dyDescent="0.25">
      <c r="C2025" s="294" t="s">
        <v>901</v>
      </c>
      <c r="D2025" s="317">
        <v>7149</v>
      </c>
      <c r="E2025" s="122" t="s">
        <v>902</v>
      </c>
      <c r="F2025" s="122" t="s">
        <v>903</v>
      </c>
      <c r="G2025" s="122" t="s">
        <v>786</v>
      </c>
      <c r="H2025" s="122" t="s">
        <v>777</v>
      </c>
      <c r="I2025" s="312">
        <v>2018</v>
      </c>
      <c r="J2025" s="122" t="s">
        <v>710</v>
      </c>
      <c r="K2025" s="283">
        <v>10601</v>
      </c>
      <c r="L2025" s="318">
        <v>-33.929492949999997</v>
      </c>
      <c r="M2025" s="318">
        <v>150.9801636</v>
      </c>
      <c r="O2025">
        <f>INDEX('MEC - traffic congestion'!$M$145:$M$249,MATCH($D2025,'MEC - traffic congestion'!$C$145:$C$249,0))</f>
        <v>1</v>
      </c>
      <c r="P2025" t="str">
        <f t="shared" si="89"/>
        <v>2018OFF PEAK</v>
      </c>
      <c r="Q2025">
        <f t="shared" si="90"/>
        <v>1</v>
      </c>
      <c r="R2025" s="195" t="str">
        <f t="shared" si="91"/>
        <v>2018LIGHT VEHICLES</v>
      </c>
    </row>
    <row r="2026" spans="3:18" x14ac:dyDescent="0.25">
      <c r="C2026" s="294" t="s">
        <v>901</v>
      </c>
      <c r="D2026" s="317">
        <v>7149</v>
      </c>
      <c r="E2026" s="122" t="s">
        <v>902</v>
      </c>
      <c r="F2026" s="122" t="s">
        <v>903</v>
      </c>
      <c r="G2026" s="122" t="s">
        <v>785</v>
      </c>
      <c r="H2026" s="122" t="s">
        <v>777</v>
      </c>
      <c r="I2026" s="312">
        <v>2018</v>
      </c>
      <c r="J2026" s="122" t="s">
        <v>711</v>
      </c>
      <c r="K2026" s="283">
        <v>4677</v>
      </c>
      <c r="L2026" s="318">
        <v>-33.929492949999997</v>
      </c>
      <c r="M2026" s="318">
        <v>150.9801636</v>
      </c>
      <c r="O2026">
        <f>INDEX('MEC - traffic congestion'!$M$145:$M$249,MATCH($D2026,'MEC - traffic congestion'!$C$145:$C$249,0))</f>
        <v>1</v>
      </c>
      <c r="P2026" t="str">
        <f t="shared" si="89"/>
        <v>2018PM PEAK</v>
      </c>
      <c r="Q2026">
        <f t="shared" si="90"/>
        <v>1</v>
      </c>
      <c r="R2026" s="195" t="str">
        <f t="shared" si="91"/>
        <v>2018LIGHT VEHICLES</v>
      </c>
    </row>
    <row r="2027" spans="3:18" x14ac:dyDescent="0.25">
      <c r="C2027" s="294" t="s">
        <v>901</v>
      </c>
      <c r="D2027" s="317">
        <v>7149</v>
      </c>
      <c r="E2027" s="122" t="s">
        <v>902</v>
      </c>
      <c r="F2027" s="122" t="s">
        <v>903</v>
      </c>
      <c r="G2027" s="122" t="s">
        <v>786</v>
      </c>
      <c r="H2027" s="122" t="s">
        <v>777</v>
      </c>
      <c r="I2027" s="312">
        <v>2018</v>
      </c>
      <c r="J2027" s="122" t="s">
        <v>711</v>
      </c>
      <c r="K2027" s="283">
        <v>7258</v>
      </c>
      <c r="L2027" s="318">
        <v>-33.929492949999997</v>
      </c>
      <c r="M2027" s="318">
        <v>150.9801636</v>
      </c>
      <c r="O2027">
        <f>INDEX('MEC - traffic congestion'!$M$145:$M$249,MATCH($D2027,'MEC - traffic congestion'!$C$145:$C$249,0))</f>
        <v>1</v>
      </c>
      <c r="P2027" t="str">
        <f t="shared" si="89"/>
        <v>2018PM PEAK</v>
      </c>
      <c r="Q2027">
        <f t="shared" si="90"/>
        <v>1</v>
      </c>
      <c r="R2027" s="195" t="str">
        <f t="shared" si="91"/>
        <v>2018LIGHT VEHICLES</v>
      </c>
    </row>
    <row r="2028" spans="3:18" x14ac:dyDescent="0.25">
      <c r="C2028" s="294" t="s">
        <v>901</v>
      </c>
      <c r="D2028" s="317">
        <v>7149</v>
      </c>
      <c r="E2028" s="122" t="s">
        <v>902</v>
      </c>
      <c r="F2028" s="122" t="s">
        <v>903</v>
      </c>
      <c r="G2028" s="122" t="s">
        <v>785</v>
      </c>
      <c r="H2028" s="122" t="s">
        <v>777</v>
      </c>
      <c r="I2028" s="312">
        <v>2018</v>
      </c>
      <c r="J2028" s="122" t="s">
        <v>712</v>
      </c>
      <c r="K2028" s="283">
        <v>12893</v>
      </c>
      <c r="L2028" s="318">
        <v>-33.929492949999997</v>
      </c>
      <c r="M2028" s="318">
        <v>150.9801636</v>
      </c>
      <c r="O2028">
        <f>INDEX('MEC - traffic congestion'!$M$145:$M$249,MATCH($D2028,'MEC - traffic congestion'!$C$145:$C$249,0))</f>
        <v>1</v>
      </c>
      <c r="P2028" t="str">
        <f t="shared" si="89"/>
        <v>2018PUBLIC HOLIDAYS</v>
      </c>
      <c r="Q2028">
        <f t="shared" si="90"/>
        <v>1</v>
      </c>
      <c r="R2028" s="195" t="str">
        <f t="shared" si="91"/>
        <v>2018LIGHT VEHICLES</v>
      </c>
    </row>
    <row r="2029" spans="3:18" x14ac:dyDescent="0.25">
      <c r="C2029" s="294" t="s">
        <v>901</v>
      </c>
      <c r="D2029" s="317">
        <v>7149</v>
      </c>
      <c r="E2029" s="122" t="s">
        <v>902</v>
      </c>
      <c r="F2029" s="122" t="s">
        <v>903</v>
      </c>
      <c r="G2029" s="122" t="s">
        <v>786</v>
      </c>
      <c r="H2029" s="122" t="s">
        <v>777</v>
      </c>
      <c r="I2029" s="312">
        <v>2018</v>
      </c>
      <c r="J2029" s="122" t="s">
        <v>712</v>
      </c>
      <c r="K2029" s="283">
        <v>14379</v>
      </c>
      <c r="L2029" s="318">
        <v>-33.929492949999997</v>
      </c>
      <c r="M2029" s="318">
        <v>150.9801636</v>
      </c>
      <c r="O2029">
        <f>INDEX('MEC - traffic congestion'!$M$145:$M$249,MATCH($D2029,'MEC - traffic congestion'!$C$145:$C$249,0))</f>
        <v>1</v>
      </c>
      <c r="P2029" t="str">
        <f t="shared" si="89"/>
        <v>2018PUBLIC HOLIDAYS</v>
      </c>
      <c r="Q2029">
        <f t="shared" si="90"/>
        <v>1</v>
      </c>
      <c r="R2029" s="195" t="str">
        <f t="shared" si="91"/>
        <v>2018LIGHT VEHICLES</v>
      </c>
    </row>
    <row r="2030" spans="3:18" x14ac:dyDescent="0.25">
      <c r="C2030" s="294" t="s">
        <v>901</v>
      </c>
      <c r="D2030" s="317">
        <v>7149</v>
      </c>
      <c r="E2030" s="122" t="s">
        <v>902</v>
      </c>
      <c r="F2030" s="122" t="s">
        <v>903</v>
      </c>
      <c r="G2030" s="122" t="s">
        <v>785</v>
      </c>
      <c r="H2030" s="122" t="s">
        <v>777</v>
      </c>
      <c r="I2030" s="312">
        <v>2018</v>
      </c>
      <c r="J2030" s="122" t="s">
        <v>713</v>
      </c>
      <c r="K2030" s="283">
        <v>15883</v>
      </c>
      <c r="L2030" s="318">
        <v>-33.929492949999997</v>
      </c>
      <c r="M2030" s="318">
        <v>150.9801636</v>
      </c>
      <c r="O2030">
        <f>INDEX('MEC - traffic congestion'!$M$145:$M$249,MATCH($D2030,'MEC - traffic congestion'!$C$145:$C$249,0))</f>
        <v>1</v>
      </c>
      <c r="P2030" t="str">
        <f t="shared" si="89"/>
        <v>2018WEEKENDS</v>
      </c>
      <c r="Q2030">
        <f t="shared" si="90"/>
        <v>1</v>
      </c>
      <c r="R2030" s="195" t="str">
        <f t="shared" si="91"/>
        <v>2018LIGHT VEHICLES</v>
      </c>
    </row>
    <row r="2031" spans="3:18" x14ac:dyDescent="0.25">
      <c r="C2031" s="294" t="s">
        <v>901</v>
      </c>
      <c r="D2031" s="317">
        <v>7149</v>
      </c>
      <c r="E2031" s="122" t="s">
        <v>902</v>
      </c>
      <c r="F2031" s="122" t="s">
        <v>903</v>
      </c>
      <c r="G2031" s="122" t="s">
        <v>786</v>
      </c>
      <c r="H2031" s="122" t="s">
        <v>777</v>
      </c>
      <c r="I2031" s="312">
        <v>2018</v>
      </c>
      <c r="J2031" s="122" t="s">
        <v>713</v>
      </c>
      <c r="K2031" s="283">
        <v>17700</v>
      </c>
      <c r="L2031" s="318">
        <v>-33.929492949999997</v>
      </c>
      <c r="M2031" s="318">
        <v>150.9801636</v>
      </c>
      <c r="O2031">
        <f>INDEX('MEC - traffic congestion'!$M$145:$M$249,MATCH($D2031,'MEC - traffic congestion'!$C$145:$C$249,0))</f>
        <v>1</v>
      </c>
      <c r="P2031" t="str">
        <f t="shared" si="89"/>
        <v>2018WEEKENDS</v>
      </c>
      <c r="Q2031">
        <f t="shared" si="90"/>
        <v>1</v>
      </c>
      <c r="R2031" s="195" t="str">
        <f t="shared" si="91"/>
        <v>2018LIGHT VEHICLES</v>
      </c>
    </row>
    <row r="2032" spans="3:18" x14ac:dyDescent="0.25">
      <c r="C2032" s="294" t="s">
        <v>901</v>
      </c>
      <c r="D2032" s="317">
        <v>7149</v>
      </c>
      <c r="E2032" s="122" t="s">
        <v>902</v>
      </c>
      <c r="F2032" s="122" t="s">
        <v>903</v>
      </c>
      <c r="G2032" s="122" t="s">
        <v>785</v>
      </c>
      <c r="H2032" s="122" t="s">
        <v>777</v>
      </c>
      <c r="I2032" s="312">
        <v>2019</v>
      </c>
      <c r="J2032" s="122" t="s">
        <v>709</v>
      </c>
      <c r="K2032" s="283">
        <v>5814</v>
      </c>
      <c r="L2032" s="318">
        <v>-33.929492949999997</v>
      </c>
      <c r="M2032" s="318">
        <v>150.9801636</v>
      </c>
      <c r="O2032">
        <f>INDEX('MEC - traffic congestion'!$M$145:$M$249,MATCH($D2032,'MEC - traffic congestion'!$C$145:$C$249,0))</f>
        <v>1</v>
      </c>
      <c r="P2032" t="str">
        <f t="shared" si="89"/>
        <v>2019AM PEAK</v>
      </c>
      <c r="Q2032">
        <f t="shared" si="90"/>
        <v>1</v>
      </c>
      <c r="R2032" s="195" t="str">
        <f t="shared" si="91"/>
        <v>2019LIGHT VEHICLES</v>
      </c>
    </row>
    <row r="2033" spans="3:18" x14ac:dyDescent="0.25">
      <c r="C2033" s="294" t="s">
        <v>901</v>
      </c>
      <c r="D2033" s="317">
        <v>7149</v>
      </c>
      <c r="E2033" s="122" t="s">
        <v>902</v>
      </c>
      <c r="F2033" s="122" t="s">
        <v>903</v>
      </c>
      <c r="G2033" s="122" t="s">
        <v>786</v>
      </c>
      <c r="H2033" s="122" t="s">
        <v>777</v>
      </c>
      <c r="I2033" s="312">
        <v>2019</v>
      </c>
      <c r="J2033" s="122" t="s">
        <v>709</v>
      </c>
      <c r="K2033" s="283">
        <v>3856</v>
      </c>
      <c r="L2033" s="318">
        <v>-33.929492949999997</v>
      </c>
      <c r="M2033" s="318">
        <v>150.9801636</v>
      </c>
      <c r="O2033">
        <f>INDEX('MEC - traffic congestion'!$M$145:$M$249,MATCH($D2033,'MEC - traffic congestion'!$C$145:$C$249,0))</f>
        <v>1</v>
      </c>
      <c r="P2033" t="str">
        <f t="shared" si="89"/>
        <v>2019AM PEAK</v>
      </c>
      <c r="Q2033">
        <f t="shared" si="90"/>
        <v>1</v>
      </c>
      <c r="R2033" s="195" t="str">
        <f t="shared" si="91"/>
        <v>2019LIGHT VEHICLES</v>
      </c>
    </row>
    <row r="2034" spans="3:18" x14ac:dyDescent="0.25">
      <c r="C2034" s="294" t="s">
        <v>901</v>
      </c>
      <c r="D2034" s="317">
        <v>7149</v>
      </c>
      <c r="E2034" s="122" t="s">
        <v>902</v>
      </c>
      <c r="F2034" s="122" t="s">
        <v>903</v>
      </c>
      <c r="G2034" s="122" t="s">
        <v>785</v>
      </c>
      <c r="H2034" s="122" t="s">
        <v>777</v>
      </c>
      <c r="I2034" s="312">
        <v>2019</v>
      </c>
      <c r="J2034" s="122" t="s">
        <v>710</v>
      </c>
      <c r="K2034" s="283">
        <v>9951</v>
      </c>
      <c r="L2034" s="318">
        <v>-33.929492949999997</v>
      </c>
      <c r="M2034" s="318">
        <v>150.9801636</v>
      </c>
      <c r="O2034">
        <f>INDEX('MEC - traffic congestion'!$M$145:$M$249,MATCH($D2034,'MEC - traffic congestion'!$C$145:$C$249,0))</f>
        <v>1</v>
      </c>
      <c r="P2034" t="str">
        <f t="shared" si="89"/>
        <v>2019OFF PEAK</v>
      </c>
      <c r="Q2034">
        <f t="shared" si="90"/>
        <v>1</v>
      </c>
      <c r="R2034" s="195" t="str">
        <f t="shared" si="91"/>
        <v>2019LIGHT VEHICLES</v>
      </c>
    </row>
    <row r="2035" spans="3:18" x14ac:dyDescent="0.25">
      <c r="C2035" s="294" t="s">
        <v>901</v>
      </c>
      <c r="D2035" s="317">
        <v>7149</v>
      </c>
      <c r="E2035" s="122" t="s">
        <v>902</v>
      </c>
      <c r="F2035" s="122" t="s">
        <v>903</v>
      </c>
      <c r="G2035" s="122" t="s">
        <v>786</v>
      </c>
      <c r="H2035" s="122" t="s">
        <v>777</v>
      </c>
      <c r="I2035" s="312">
        <v>2019</v>
      </c>
      <c r="J2035" s="122" t="s">
        <v>710</v>
      </c>
      <c r="K2035" s="283">
        <v>10849</v>
      </c>
      <c r="L2035" s="318">
        <v>-33.929492949999997</v>
      </c>
      <c r="M2035" s="318">
        <v>150.9801636</v>
      </c>
      <c r="O2035">
        <f>INDEX('MEC - traffic congestion'!$M$145:$M$249,MATCH($D2035,'MEC - traffic congestion'!$C$145:$C$249,0))</f>
        <v>1</v>
      </c>
      <c r="P2035" t="str">
        <f t="shared" si="89"/>
        <v>2019OFF PEAK</v>
      </c>
      <c r="Q2035">
        <f t="shared" si="90"/>
        <v>1</v>
      </c>
      <c r="R2035" s="195" t="str">
        <f t="shared" si="91"/>
        <v>2019LIGHT VEHICLES</v>
      </c>
    </row>
    <row r="2036" spans="3:18" x14ac:dyDescent="0.25">
      <c r="C2036" s="294" t="s">
        <v>901</v>
      </c>
      <c r="D2036" s="317">
        <v>7149</v>
      </c>
      <c r="E2036" s="122" t="s">
        <v>902</v>
      </c>
      <c r="F2036" s="122" t="s">
        <v>903</v>
      </c>
      <c r="G2036" s="122" t="s">
        <v>785</v>
      </c>
      <c r="H2036" s="122" t="s">
        <v>777</v>
      </c>
      <c r="I2036" s="312">
        <v>2019</v>
      </c>
      <c r="J2036" s="122" t="s">
        <v>711</v>
      </c>
      <c r="K2036" s="283">
        <v>4770</v>
      </c>
      <c r="L2036" s="318">
        <v>-33.929492949999997</v>
      </c>
      <c r="M2036" s="318">
        <v>150.9801636</v>
      </c>
      <c r="O2036">
        <f>INDEX('MEC - traffic congestion'!$M$145:$M$249,MATCH($D2036,'MEC - traffic congestion'!$C$145:$C$249,0))</f>
        <v>1</v>
      </c>
      <c r="P2036" t="str">
        <f t="shared" si="89"/>
        <v>2019PM PEAK</v>
      </c>
      <c r="Q2036">
        <f t="shared" si="90"/>
        <v>1</v>
      </c>
      <c r="R2036" s="195" t="str">
        <f t="shared" si="91"/>
        <v>2019LIGHT VEHICLES</v>
      </c>
    </row>
    <row r="2037" spans="3:18" x14ac:dyDescent="0.25">
      <c r="C2037" s="294" t="s">
        <v>901</v>
      </c>
      <c r="D2037" s="317">
        <v>7149</v>
      </c>
      <c r="E2037" s="122" t="s">
        <v>902</v>
      </c>
      <c r="F2037" s="122" t="s">
        <v>903</v>
      </c>
      <c r="G2037" s="122" t="s">
        <v>786</v>
      </c>
      <c r="H2037" s="122" t="s">
        <v>777</v>
      </c>
      <c r="I2037" s="312">
        <v>2019</v>
      </c>
      <c r="J2037" s="122" t="s">
        <v>711</v>
      </c>
      <c r="K2037" s="283">
        <v>6966</v>
      </c>
      <c r="L2037" s="318">
        <v>-33.929492949999997</v>
      </c>
      <c r="M2037" s="318">
        <v>150.9801636</v>
      </c>
      <c r="O2037">
        <f>INDEX('MEC - traffic congestion'!$M$145:$M$249,MATCH($D2037,'MEC - traffic congestion'!$C$145:$C$249,0))</f>
        <v>1</v>
      </c>
      <c r="P2037" t="str">
        <f t="shared" si="89"/>
        <v>2019PM PEAK</v>
      </c>
      <c r="Q2037">
        <f t="shared" si="90"/>
        <v>1</v>
      </c>
      <c r="R2037" s="195" t="str">
        <f t="shared" si="91"/>
        <v>2019LIGHT VEHICLES</v>
      </c>
    </row>
    <row r="2038" spans="3:18" x14ac:dyDescent="0.25">
      <c r="C2038" s="294" t="s">
        <v>901</v>
      </c>
      <c r="D2038" s="317">
        <v>7149</v>
      </c>
      <c r="E2038" s="122" t="s">
        <v>902</v>
      </c>
      <c r="F2038" s="122" t="s">
        <v>903</v>
      </c>
      <c r="G2038" s="122" t="s">
        <v>785</v>
      </c>
      <c r="H2038" s="122" t="s">
        <v>777</v>
      </c>
      <c r="I2038" s="312">
        <v>2019</v>
      </c>
      <c r="J2038" s="122" t="s">
        <v>712</v>
      </c>
      <c r="K2038" s="283">
        <v>13340</v>
      </c>
      <c r="L2038" s="318">
        <v>-33.929492949999997</v>
      </c>
      <c r="M2038" s="318">
        <v>150.9801636</v>
      </c>
      <c r="O2038">
        <f>INDEX('MEC - traffic congestion'!$M$145:$M$249,MATCH($D2038,'MEC - traffic congestion'!$C$145:$C$249,0))</f>
        <v>1</v>
      </c>
      <c r="P2038" t="str">
        <f t="shared" si="89"/>
        <v>2019PUBLIC HOLIDAYS</v>
      </c>
      <c r="Q2038">
        <f t="shared" si="90"/>
        <v>1</v>
      </c>
      <c r="R2038" s="195" t="str">
        <f t="shared" si="91"/>
        <v>2019LIGHT VEHICLES</v>
      </c>
    </row>
    <row r="2039" spans="3:18" x14ac:dyDescent="0.25">
      <c r="C2039" s="294" t="s">
        <v>901</v>
      </c>
      <c r="D2039" s="317">
        <v>7149</v>
      </c>
      <c r="E2039" s="122" t="s">
        <v>902</v>
      </c>
      <c r="F2039" s="122" t="s">
        <v>903</v>
      </c>
      <c r="G2039" s="122" t="s">
        <v>786</v>
      </c>
      <c r="H2039" s="122" t="s">
        <v>777</v>
      </c>
      <c r="I2039" s="312">
        <v>2019</v>
      </c>
      <c r="J2039" s="122" t="s">
        <v>712</v>
      </c>
      <c r="K2039" s="283">
        <v>15039</v>
      </c>
      <c r="L2039" s="318">
        <v>-33.929492949999997</v>
      </c>
      <c r="M2039" s="318">
        <v>150.9801636</v>
      </c>
      <c r="O2039">
        <f>INDEX('MEC - traffic congestion'!$M$145:$M$249,MATCH($D2039,'MEC - traffic congestion'!$C$145:$C$249,0))</f>
        <v>1</v>
      </c>
      <c r="P2039" t="str">
        <f t="shared" si="89"/>
        <v>2019PUBLIC HOLIDAYS</v>
      </c>
      <c r="Q2039">
        <f t="shared" si="90"/>
        <v>1</v>
      </c>
      <c r="R2039" s="195" t="str">
        <f t="shared" si="91"/>
        <v>2019LIGHT VEHICLES</v>
      </c>
    </row>
    <row r="2040" spans="3:18" x14ac:dyDescent="0.25">
      <c r="C2040" s="294" t="s">
        <v>901</v>
      </c>
      <c r="D2040" s="317">
        <v>7149</v>
      </c>
      <c r="E2040" s="122" t="s">
        <v>902</v>
      </c>
      <c r="F2040" s="122" t="s">
        <v>903</v>
      </c>
      <c r="G2040" s="122" t="s">
        <v>785</v>
      </c>
      <c r="H2040" s="122" t="s">
        <v>777</v>
      </c>
      <c r="I2040" s="312">
        <v>2019</v>
      </c>
      <c r="J2040" s="122" t="s">
        <v>713</v>
      </c>
      <c r="K2040" s="283">
        <v>16436</v>
      </c>
      <c r="L2040" s="318">
        <v>-33.929492949999997</v>
      </c>
      <c r="M2040" s="318">
        <v>150.9801636</v>
      </c>
      <c r="O2040">
        <f>INDEX('MEC - traffic congestion'!$M$145:$M$249,MATCH($D2040,'MEC - traffic congestion'!$C$145:$C$249,0))</f>
        <v>1</v>
      </c>
      <c r="P2040" t="str">
        <f t="shared" si="89"/>
        <v>2019WEEKENDS</v>
      </c>
      <c r="Q2040">
        <f t="shared" si="90"/>
        <v>1</v>
      </c>
      <c r="R2040" s="195" t="str">
        <f t="shared" si="91"/>
        <v>2019LIGHT VEHICLES</v>
      </c>
    </row>
    <row r="2041" spans="3:18" x14ac:dyDescent="0.25">
      <c r="C2041" s="294" t="s">
        <v>901</v>
      </c>
      <c r="D2041" s="317">
        <v>7149</v>
      </c>
      <c r="E2041" s="122" t="s">
        <v>902</v>
      </c>
      <c r="F2041" s="122" t="s">
        <v>903</v>
      </c>
      <c r="G2041" s="122" t="s">
        <v>786</v>
      </c>
      <c r="H2041" s="122" t="s">
        <v>777</v>
      </c>
      <c r="I2041" s="312">
        <v>2019</v>
      </c>
      <c r="J2041" s="122" t="s">
        <v>713</v>
      </c>
      <c r="K2041" s="283">
        <v>18230</v>
      </c>
      <c r="L2041" s="318">
        <v>-33.929492949999997</v>
      </c>
      <c r="M2041" s="318">
        <v>150.9801636</v>
      </c>
      <c r="O2041">
        <f>INDEX('MEC - traffic congestion'!$M$145:$M$249,MATCH($D2041,'MEC - traffic congestion'!$C$145:$C$249,0))</f>
        <v>1</v>
      </c>
      <c r="P2041" t="str">
        <f t="shared" si="89"/>
        <v>2019WEEKENDS</v>
      </c>
      <c r="Q2041">
        <f t="shared" si="90"/>
        <v>1</v>
      </c>
      <c r="R2041" s="195" t="str">
        <f t="shared" si="91"/>
        <v>2019LIGHT VEHICLES</v>
      </c>
    </row>
    <row r="2042" spans="3:18" x14ac:dyDescent="0.25">
      <c r="C2042" s="294" t="s">
        <v>901</v>
      </c>
      <c r="D2042" s="317">
        <v>7149</v>
      </c>
      <c r="E2042" s="122" t="s">
        <v>902</v>
      </c>
      <c r="F2042" s="122" t="s">
        <v>903</v>
      </c>
      <c r="G2042" s="122" t="s">
        <v>785</v>
      </c>
      <c r="H2042" s="122" t="s">
        <v>777</v>
      </c>
      <c r="I2042" s="312">
        <v>2020</v>
      </c>
      <c r="J2042" s="122" t="s">
        <v>709</v>
      </c>
      <c r="K2042" s="283">
        <v>5462</v>
      </c>
      <c r="L2042" s="318">
        <v>-33.929492949999997</v>
      </c>
      <c r="M2042" s="318">
        <v>150.9801636</v>
      </c>
      <c r="O2042">
        <f>INDEX('MEC - traffic congestion'!$M$145:$M$249,MATCH($D2042,'MEC - traffic congestion'!$C$145:$C$249,0))</f>
        <v>1</v>
      </c>
      <c r="P2042" t="str">
        <f t="shared" si="89"/>
        <v>2020AM PEAK</v>
      </c>
      <c r="Q2042">
        <f t="shared" si="90"/>
        <v>1</v>
      </c>
      <c r="R2042" s="195" t="str">
        <f t="shared" si="91"/>
        <v>2020LIGHT VEHICLES</v>
      </c>
    </row>
    <row r="2043" spans="3:18" x14ac:dyDescent="0.25">
      <c r="C2043" s="294" t="s">
        <v>901</v>
      </c>
      <c r="D2043" s="317">
        <v>7149</v>
      </c>
      <c r="E2043" s="122" t="s">
        <v>902</v>
      </c>
      <c r="F2043" s="122" t="s">
        <v>903</v>
      </c>
      <c r="G2043" s="122" t="s">
        <v>786</v>
      </c>
      <c r="H2043" s="122" t="s">
        <v>777</v>
      </c>
      <c r="I2043" s="312">
        <v>2020</v>
      </c>
      <c r="J2043" s="122" t="s">
        <v>709</v>
      </c>
      <c r="K2043" s="283">
        <v>3833</v>
      </c>
      <c r="L2043" s="318">
        <v>-33.929492949999997</v>
      </c>
      <c r="M2043" s="318">
        <v>150.9801636</v>
      </c>
      <c r="O2043">
        <f>INDEX('MEC - traffic congestion'!$M$145:$M$249,MATCH($D2043,'MEC - traffic congestion'!$C$145:$C$249,0))</f>
        <v>1</v>
      </c>
      <c r="P2043" t="str">
        <f t="shared" si="89"/>
        <v>2020AM PEAK</v>
      </c>
      <c r="Q2043">
        <f t="shared" si="90"/>
        <v>1</v>
      </c>
      <c r="R2043" s="195" t="str">
        <f t="shared" si="91"/>
        <v>2020LIGHT VEHICLES</v>
      </c>
    </row>
    <row r="2044" spans="3:18" x14ac:dyDescent="0.25">
      <c r="C2044" s="294" t="s">
        <v>901</v>
      </c>
      <c r="D2044" s="317">
        <v>7149</v>
      </c>
      <c r="E2044" s="122" t="s">
        <v>902</v>
      </c>
      <c r="F2044" s="122" t="s">
        <v>903</v>
      </c>
      <c r="G2044" s="122" t="s">
        <v>785</v>
      </c>
      <c r="H2044" s="122" t="s">
        <v>777</v>
      </c>
      <c r="I2044" s="312">
        <v>2020</v>
      </c>
      <c r="J2044" s="122" t="s">
        <v>710</v>
      </c>
      <c r="K2044" s="283">
        <v>9627</v>
      </c>
      <c r="L2044" s="318">
        <v>-33.929492949999997</v>
      </c>
      <c r="M2044" s="318">
        <v>150.9801636</v>
      </c>
      <c r="O2044">
        <f>INDEX('MEC - traffic congestion'!$M$145:$M$249,MATCH($D2044,'MEC - traffic congestion'!$C$145:$C$249,0))</f>
        <v>1</v>
      </c>
      <c r="P2044" t="str">
        <f t="shared" si="89"/>
        <v>2020OFF PEAK</v>
      </c>
      <c r="Q2044">
        <f t="shared" si="90"/>
        <v>1</v>
      </c>
      <c r="R2044" s="195" t="str">
        <f t="shared" si="91"/>
        <v>2020LIGHT VEHICLES</v>
      </c>
    </row>
    <row r="2045" spans="3:18" x14ac:dyDescent="0.25">
      <c r="C2045" s="294" t="s">
        <v>901</v>
      </c>
      <c r="D2045" s="317">
        <v>7149</v>
      </c>
      <c r="E2045" s="122" t="s">
        <v>902</v>
      </c>
      <c r="F2045" s="122" t="s">
        <v>903</v>
      </c>
      <c r="G2045" s="122" t="s">
        <v>786</v>
      </c>
      <c r="H2045" s="122" t="s">
        <v>777</v>
      </c>
      <c r="I2045" s="312">
        <v>2020</v>
      </c>
      <c r="J2045" s="122" t="s">
        <v>710</v>
      </c>
      <c r="K2045" s="283">
        <v>10366</v>
      </c>
      <c r="L2045" s="318">
        <v>-33.929492949999997</v>
      </c>
      <c r="M2045" s="318">
        <v>150.9801636</v>
      </c>
      <c r="O2045">
        <f>INDEX('MEC - traffic congestion'!$M$145:$M$249,MATCH($D2045,'MEC - traffic congestion'!$C$145:$C$249,0))</f>
        <v>1</v>
      </c>
      <c r="P2045" t="str">
        <f t="shared" si="89"/>
        <v>2020OFF PEAK</v>
      </c>
      <c r="Q2045">
        <f t="shared" si="90"/>
        <v>1</v>
      </c>
      <c r="R2045" s="195" t="str">
        <f t="shared" si="91"/>
        <v>2020LIGHT VEHICLES</v>
      </c>
    </row>
    <row r="2046" spans="3:18" x14ac:dyDescent="0.25">
      <c r="C2046" s="294" t="s">
        <v>901</v>
      </c>
      <c r="D2046" s="317">
        <v>7149</v>
      </c>
      <c r="E2046" s="122" t="s">
        <v>902</v>
      </c>
      <c r="F2046" s="122" t="s">
        <v>903</v>
      </c>
      <c r="G2046" s="122" t="s">
        <v>785</v>
      </c>
      <c r="H2046" s="122" t="s">
        <v>777</v>
      </c>
      <c r="I2046" s="312">
        <v>2020</v>
      </c>
      <c r="J2046" s="122" t="s">
        <v>711</v>
      </c>
      <c r="K2046" s="283">
        <v>4679</v>
      </c>
      <c r="L2046" s="318">
        <v>-33.929492949999997</v>
      </c>
      <c r="M2046" s="318">
        <v>150.9801636</v>
      </c>
      <c r="O2046">
        <f>INDEX('MEC - traffic congestion'!$M$145:$M$249,MATCH($D2046,'MEC - traffic congestion'!$C$145:$C$249,0))</f>
        <v>1</v>
      </c>
      <c r="P2046" t="str">
        <f t="shared" si="89"/>
        <v>2020PM PEAK</v>
      </c>
      <c r="Q2046">
        <f t="shared" si="90"/>
        <v>1</v>
      </c>
      <c r="R2046" s="195" t="str">
        <f t="shared" si="91"/>
        <v>2020LIGHT VEHICLES</v>
      </c>
    </row>
    <row r="2047" spans="3:18" x14ac:dyDescent="0.25">
      <c r="C2047" s="294" t="s">
        <v>901</v>
      </c>
      <c r="D2047" s="317">
        <v>7149</v>
      </c>
      <c r="E2047" s="122" t="s">
        <v>902</v>
      </c>
      <c r="F2047" s="122" t="s">
        <v>903</v>
      </c>
      <c r="G2047" s="122" t="s">
        <v>786</v>
      </c>
      <c r="H2047" s="122" t="s">
        <v>777</v>
      </c>
      <c r="I2047" s="312">
        <v>2020</v>
      </c>
      <c r="J2047" s="122" t="s">
        <v>711</v>
      </c>
      <c r="K2047" s="283">
        <v>6551</v>
      </c>
      <c r="L2047" s="318">
        <v>-33.929492949999997</v>
      </c>
      <c r="M2047" s="318">
        <v>150.9801636</v>
      </c>
      <c r="O2047">
        <f>INDEX('MEC - traffic congestion'!$M$145:$M$249,MATCH($D2047,'MEC - traffic congestion'!$C$145:$C$249,0))</f>
        <v>1</v>
      </c>
      <c r="P2047" t="str">
        <f t="shared" si="89"/>
        <v>2020PM PEAK</v>
      </c>
      <c r="Q2047">
        <f t="shared" si="90"/>
        <v>1</v>
      </c>
      <c r="R2047" s="195" t="str">
        <f t="shared" si="91"/>
        <v>2020LIGHT VEHICLES</v>
      </c>
    </row>
    <row r="2048" spans="3:18" x14ac:dyDescent="0.25">
      <c r="C2048" s="294" t="s">
        <v>901</v>
      </c>
      <c r="D2048" s="317">
        <v>7149</v>
      </c>
      <c r="E2048" s="122" t="s">
        <v>902</v>
      </c>
      <c r="F2048" s="122" t="s">
        <v>903</v>
      </c>
      <c r="G2048" s="122" t="s">
        <v>785</v>
      </c>
      <c r="H2048" s="122" t="s">
        <v>777</v>
      </c>
      <c r="I2048" s="312">
        <v>2020</v>
      </c>
      <c r="J2048" s="122" t="s">
        <v>712</v>
      </c>
      <c r="K2048" s="283">
        <v>11173</v>
      </c>
      <c r="L2048" s="318">
        <v>-33.929492949999997</v>
      </c>
      <c r="M2048" s="318">
        <v>150.9801636</v>
      </c>
      <c r="O2048">
        <f>INDEX('MEC - traffic congestion'!$M$145:$M$249,MATCH($D2048,'MEC - traffic congestion'!$C$145:$C$249,0))</f>
        <v>1</v>
      </c>
      <c r="P2048" t="str">
        <f t="shared" si="89"/>
        <v>2020PUBLIC HOLIDAYS</v>
      </c>
      <c r="Q2048">
        <f t="shared" si="90"/>
        <v>1</v>
      </c>
      <c r="R2048" s="195" t="str">
        <f t="shared" si="91"/>
        <v>2020LIGHT VEHICLES</v>
      </c>
    </row>
    <row r="2049" spans="3:18" x14ac:dyDescent="0.25">
      <c r="C2049" s="294" t="s">
        <v>901</v>
      </c>
      <c r="D2049" s="317">
        <v>7149</v>
      </c>
      <c r="E2049" s="122" t="s">
        <v>902</v>
      </c>
      <c r="F2049" s="122" t="s">
        <v>903</v>
      </c>
      <c r="G2049" s="122" t="s">
        <v>786</v>
      </c>
      <c r="H2049" s="122" t="s">
        <v>777</v>
      </c>
      <c r="I2049" s="312">
        <v>2020</v>
      </c>
      <c r="J2049" s="122" t="s">
        <v>712</v>
      </c>
      <c r="K2049" s="283">
        <v>12556</v>
      </c>
      <c r="L2049" s="318">
        <v>-33.929492949999997</v>
      </c>
      <c r="M2049" s="318">
        <v>150.9801636</v>
      </c>
      <c r="O2049">
        <f>INDEX('MEC - traffic congestion'!$M$145:$M$249,MATCH($D2049,'MEC - traffic congestion'!$C$145:$C$249,0))</f>
        <v>1</v>
      </c>
      <c r="P2049" t="str">
        <f t="shared" si="89"/>
        <v>2020PUBLIC HOLIDAYS</v>
      </c>
      <c r="Q2049">
        <f t="shared" si="90"/>
        <v>1</v>
      </c>
      <c r="R2049" s="195" t="str">
        <f t="shared" si="91"/>
        <v>2020LIGHT VEHICLES</v>
      </c>
    </row>
    <row r="2050" spans="3:18" x14ac:dyDescent="0.25">
      <c r="C2050" s="294" t="s">
        <v>901</v>
      </c>
      <c r="D2050" s="317">
        <v>7149</v>
      </c>
      <c r="E2050" s="122" t="s">
        <v>902</v>
      </c>
      <c r="F2050" s="122" t="s">
        <v>903</v>
      </c>
      <c r="G2050" s="122" t="s">
        <v>785</v>
      </c>
      <c r="H2050" s="122" t="s">
        <v>777</v>
      </c>
      <c r="I2050" s="312">
        <v>2020</v>
      </c>
      <c r="J2050" s="122" t="s">
        <v>713</v>
      </c>
      <c r="K2050" s="283">
        <v>15463</v>
      </c>
      <c r="L2050" s="318">
        <v>-33.929492949999997</v>
      </c>
      <c r="M2050" s="318">
        <v>150.9801636</v>
      </c>
      <c r="O2050">
        <f>INDEX('MEC - traffic congestion'!$M$145:$M$249,MATCH($D2050,'MEC - traffic congestion'!$C$145:$C$249,0))</f>
        <v>1</v>
      </c>
      <c r="P2050" t="str">
        <f t="shared" si="89"/>
        <v>2020WEEKENDS</v>
      </c>
      <c r="Q2050">
        <f t="shared" si="90"/>
        <v>1</v>
      </c>
      <c r="R2050" s="195" t="str">
        <f t="shared" si="91"/>
        <v>2020LIGHT VEHICLES</v>
      </c>
    </row>
    <row r="2051" spans="3:18" x14ac:dyDescent="0.25">
      <c r="C2051" s="294" t="s">
        <v>901</v>
      </c>
      <c r="D2051" s="317">
        <v>7149</v>
      </c>
      <c r="E2051" s="122" t="s">
        <v>902</v>
      </c>
      <c r="F2051" s="122" t="s">
        <v>903</v>
      </c>
      <c r="G2051" s="122" t="s">
        <v>786</v>
      </c>
      <c r="H2051" s="122" t="s">
        <v>777</v>
      </c>
      <c r="I2051" s="312">
        <v>2020</v>
      </c>
      <c r="J2051" s="122" t="s">
        <v>713</v>
      </c>
      <c r="K2051" s="283">
        <v>16843</v>
      </c>
      <c r="L2051" s="318">
        <v>-33.929492949999997</v>
      </c>
      <c r="M2051" s="318">
        <v>150.9801636</v>
      </c>
      <c r="O2051">
        <f>INDEX('MEC - traffic congestion'!$M$145:$M$249,MATCH($D2051,'MEC - traffic congestion'!$C$145:$C$249,0))</f>
        <v>1</v>
      </c>
      <c r="P2051" t="str">
        <f t="shared" si="89"/>
        <v>2020WEEKENDS</v>
      </c>
      <c r="Q2051">
        <f t="shared" si="90"/>
        <v>1</v>
      </c>
      <c r="R2051" s="195" t="str">
        <f t="shared" si="91"/>
        <v>2020LIGHT VEHICLES</v>
      </c>
    </row>
    <row r="2052" spans="3:18" x14ac:dyDescent="0.25">
      <c r="C2052" s="294" t="s">
        <v>901</v>
      </c>
      <c r="D2052" s="317">
        <v>7149</v>
      </c>
      <c r="E2052" s="122" t="s">
        <v>902</v>
      </c>
      <c r="F2052" s="122" t="s">
        <v>903</v>
      </c>
      <c r="G2052" s="122" t="s">
        <v>785</v>
      </c>
      <c r="H2052" s="122" t="s">
        <v>777</v>
      </c>
      <c r="I2052" s="312">
        <v>2021</v>
      </c>
      <c r="J2052" s="122" t="s">
        <v>709</v>
      </c>
      <c r="K2052" s="283">
        <v>5030</v>
      </c>
      <c r="L2052" s="318">
        <v>-33.929492949999997</v>
      </c>
      <c r="M2052" s="318">
        <v>150.9801636</v>
      </c>
      <c r="O2052">
        <f>INDEX('MEC - traffic congestion'!$M$145:$M$249,MATCH($D2052,'MEC - traffic congestion'!$C$145:$C$249,0))</f>
        <v>1</v>
      </c>
      <c r="P2052" t="str">
        <f t="shared" si="89"/>
        <v>2021AM PEAK</v>
      </c>
      <c r="Q2052">
        <f t="shared" si="90"/>
        <v>1</v>
      </c>
      <c r="R2052" s="195" t="str">
        <f t="shared" si="91"/>
        <v>2021LIGHT VEHICLES</v>
      </c>
    </row>
    <row r="2053" spans="3:18" x14ac:dyDescent="0.25">
      <c r="C2053" s="294" t="s">
        <v>901</v>
      </c>
      <c r="D2053" s="317">
        <v>7149</v>
      </c>
      <c r="E2053" s="122" t="s">
        <v>902</v>
      </c>
      <c r="F2053" s="122" t="s">
        <v>903</v>
      </c>
      <c r="G2053" s="122" t="s">
        <v>786</v>
      </c>
      <c r="H2053" s="122" t="s">
        <v>777</v>
      </c>
      <c r="I2053" s="312">
        <v>2021</v>
      </c>
      <c r="J2053" s="122" t="s">
        <v>709</v>
      </c>
      <c r="K2053" s="283">
        <v>3675</v>
      </c>
      <c r="L2053" s="318">
        <v>-33.929492949999997</v>
      </c>
      <c r="M2053" s="318">
        <v>150.9801636</v>
      </c>
      <c r="O2053">
        <f>INDEX('MEC - traffic congestion'!$M$145:$M$249,MATCH($D2053,'MEC - traffic congestion'!$C$145:$C$249,0))</f>
        <v>1</v>
      </c>
      <c r="P2053" t="str">
        <f t="shared" si="89"/>
        <v>2021AM PEAK</v>
      </c>
      <c r="Q2053">
        <f t="shared" si="90"/>
        <v>1</v>
      </c>
      <c r="R2053" s="195" t="str">
        <f t="shared" si="91"/>
        <v>2021LIGHT VEHICLES</v>
      </c>
    </row>
    <row r="2054" spans="3:18" x14ac:dyDescent="0.25">
      <c r="C2054" s="294" t="s">
        <v>901</v>
      </c>
      <c r="D2054" s="317">
        <v>7149</v>
      </c>
      <c r="E2054" s="122" t="s">
        <v>902</v>
      </c>
      <c r="F2054" s="122" t="s">
        <v>903</v>
      </c>
      <c r="G2054" s="122" t="s">
        <v>785</v>
      </c>
      <c r="H2054" s="122" t="s">
        <v>777</v>
      </c>
      <c r="I2054" s="312">
        <v>2021</v>
      </c>
      <c r="J2054" s="122" t="s">
        <v>710</v>
      </c>
      <c r="K2054" s="283">
        <v>8779</v>
      </c>
      <c r="L2054" s="318">
        <v>-33.929492949999997</v>
      </c>
      <c r="M2054" s="318">
        <v>150.9801636</v>
      </c>
      <c r="O2054">
        <f>INDEX('MEC - traffic congestion'!$M$145:$M$249,MATCH($D2054,'MEC - traffic congestion'!$C$145:$C$249,0))</f>
        <v>1</v>
      </c>
      <c r="P2054" t="str">
        <f t="shared" si="89"/>
        <v>2021OFF PEAK</v>
      </c>
      <c r="Q2054">
        <f t="shared" si="90"/>
        <v>1</v>
      </c>
      <c r="R2054" s="195" t="str">
        <f t="shared" si="91"/>
        <v>2021LIGHT VEHICLES</v>
      </c>
    </row>
    <row r="2055" spans="3:18" x14ac:dyDescent="0.25">
      <c r="C2055" s="294" t="s">
        <v>901</v>
      </c>
      <c r="D2055" s="317">
        <v>7149</v>
      </c>
      <c r="E2055" s="122" t="s">
        <v>902</v>
      </c>
      <c r="F2055" s="122" t="s">
        <v>903</v>
      </c>
      <c r="G2055" s="122" t="s">
        <v>786</v>
      </c>
      <c r="H2055" s="122" t="s">
        <v>777</v>
      </c>
      <c r="I2055" s="312">
        <v>2021</v>
      </c>
      <c r="J2055" s="122" t="s">
        <v>710</v>
      </c>
      <c r="K2055" s="283">
        <v>9556</v>
      </c>
      <c r="L2055" s="318">
        <v>-33.929492949999997</v>
      </c>
      <c r="M2055" s="318">
        <v>150.9801636</v>
      </c>
      <c r="O2055">
        <f>INDEX('MEC - traffic congestion'!$M$145:$M$249,MATCH($D2055,'MEC - traffic congestion'!$C$145:$C$249,0))</f>
        <v>1</v>
      </c>
      <c r="P2055" t="str">
        <f t="shared" si="89"/>
        <v>2021OFF PEAK</v>
      </c>
      <c r="Q2055">
        <f t="shared" si="90"/>
        <v>1</v>
      </c>
      <c r="R2055" s="195" t="str">
        <f t="shared" si="91"/>
        <v>2021LIGHT VEHICLES</v>
      </c>
    </row>
    <row r="2056" spans="3:18" x14ac:dyDescent="0.25">
      <c r="C2056" s="294" t="s">
        <v>901</v>
      </c>
      <c r="D2056" s="317">
        <v>7149</v>
      </c>
      <c r="E2056" s="122" t="s">
        <v>902</v>
      </c>
      <c r="F2056" s="122" t="s">
        <v>903</v>
      </c>
      <c r="G2056" s="122" t="s">
        <v>785</v>
      </c>
      <c r="H2056" s="122" t="s">
        <v>777</v>
      </c>
      <c r="I2056" s="312">
        <v>2021</v>
      </c>
      <c r="J2056" s="122" t="s">
        <v>711</v>
      </c>
      <c r="K2056" s="283">
        <v>4386</v>
      </c>
      <c r="L2056" s="318">
        <v>-33.929492949999997</v>
      </c>
      <c r="M2056" s="318">
        <v>150.9801636</v>
      </c>
      <c r="O2056">
        <f>INDEX('MEC - traffic congestion'!$M$145:$M$249,MATCH($D2056,'MEC - traffic congestion'!$C$145:$C$249,0))</f>
        <v>1</v>
      </c>
      <c r="P2056" t="str">
        <f t="shared" si="89"/>
        <v>2021PM PEAK</v>
      </c>
      <c r="Q2056">
        <f t="shared" si="90"/>
        <v>1</v>
      </c>
      <c r="R2056" s="195" t="str">
        <f t="shared" si="91"/>
        <v>2021LIGHT VEHICLES</v>
      </c>
    </row>
    <row r="2057" spans="3:18" x14ac:dyDescent="0.25">
      <c r="C2057" s="294" t="s">
        <v>901</v>
      </c>
      <c r="D2057" s="317">
        <v>7149</v>
      </c>
      <c r="E2057" s="122" t="s">
        <v>902</v>
      </c>
      <c r="F2057" s="122" t="s">
        <v>903</v>
      </c>
      <c r="G2057" s="122" t="s">
        <v>786</v>
      </c>
      <c r="H2057" s="122" t="s">
        <v>777</v>
      </c>
      <c r="I2057" s="312">
        <v>2021</v>
      </c>
      <c r="J2057" s="122" t="s">
        <v>711</v>
      </c>
      <c r="K2057" s="283">
        <v>5850</v>
      </c>
      <c r="L2057" s="318">
        <v>-33.929492949999997</v>
      </c>
      <c r="M2057" s="318">
        <v>150.9801636</v>
      </c>
      <c r="O2057">
        <f>INDEX('MEC - traffic congestion'!$M$145:$M$249,MATCH($D2057,'MEC - traffic congestion'!$C$145:$C$249,0))</f>
        <v>1</v>
      </c>
      <c r="P2057" t="str">
        <f t="shared" si="89"/>
        <v>2021PM PEAK</v>
      </c>
      <c r="Q2057">
        <f t="shared" si="90"/>
        <v>1</v>
      </c>
      <c r="R2057" s="195" t="str">
        <f t="shared" si="91"/>
        <v>2021LIGHT VEHICLES</v>
      </c>
    </row>
    <row r="2058" spans="3:18" x14ac:dyDescent="0.25">
      <c r="C2058" s="294" t="s">
        <v>901</v>
      </c>
      <c r="D2058" s="317">
        <v>7149</v>
      </c>
      <c r="E2058" s="122" t="s">
        <v>902</v>
      </c>
      <c r="F2058" s="122" t="s">
        <v>903</v>
      </c>
      <c r="G2058" s="122" t="s">
        <v>785</v>
      </c>
      <c r="H2058" s="122" t="s">
        <v>777</v>
      </c>
      <c r="I2058" s="312">
        <v>2021</v>
      </c>
      <c r="J2058" s="122" t="s">
        <v>713</v>
      </c>
      <c r="K2058" s="283">
        <v>13685</v>
      </c>
      <c r="L2058" s="318">
        <v>-33.929492949999997</v>
      </c>
      <c r="M2058" s="318">
        <v>150.9801636</v>
      </c>
      <c r="O2058">
        <f>INDEX('MEC - traffic congestion'!$M$145:$M$249,MATCH($D2058,'MEC - traffic congestion'!$C$145:$C$249,0))</f>
        <v>1</v>
      </c>
      <c r="P2058" t="str">
        <f t="shared" si="89"/>
        <v>2021WEEKENDS</v>
      </c>
      <c r="Q2058">
        <f t="shared" si="90"/>
        <v>1</v>
      </c>
      <c r="R2058" s="195" t="str">
        <f t="shared" si="91"/>
        <v>2021LIGHT VEHICLES</v>
      </c>
    </row>
    <row r="2059" spans="3:18" x14ac:dyDescent="0.25">
      <c r="C2059" s="294" t="s">
        <v>901</v>
      </c>
      <c r="D2059" s="317">
        <v>7149</v>
      </c>
      <c r="E2059" s="122" t="s">
        <v>902</v>
      </c>
      <c r="F2059" s="122" t="s">
        <v>903</v>
      </c>
      <c r="G2059" s="122" t="s">
        <v>786</v>
      </c>
      <c r="H2059" s="122" t="s">
        <v>777</v>
      </c>
      <c r="I2059" s="312">
        <v>2021</v>
      </c>
      <c r="J2059" s="122" t="s">
        <v>713</v>
      </c>
      <c r="K2059" s="283">
        <v>15080</v>
      </c>
      <c r="L2059" s="318">
        <v>-33.929492949999997</v>
      </c>
      <c r="M2059" s="318">
        <v>150.9801636</v>
      </c>
      <c r="O2059">
        <f>INDEX('MEC - traffic congestion'!$M$145:$M$249,MATCH($D2059,'MEC - traffic congestion'!$C$145:$C$249,0))</f>
        <v>1</v>
      </c>
      <c r="P2059" t="str">
        <f t="shared" si="89"/>
        <v>2021WEEKENDS</v>
      </c>
      <c r="Q2059">
        <f t="shared" si="90"/>
        <v>1</v>
      </c>
      <c r="R2059" s="195" t="str">
        <f t="shared" si="91"/>
        <v>2021LIGHT VEHICLES</v>
      </c>
    </row>
    <row r="2060" spans="3:18" x14ac:dyDescent="0.25">
      <c r="C2060" s="294" t="s">
        <v>901</v>
      </c>
      <c r="D2060" s="317">
        <v>7149</v>
      </c>
      <c r="E2060" s="122" t="s">
        <v>902</v>
      </c>
      <c r="F2060" s="122" t="s">
        <v>903</v>
      </c>
      <c r="G2060" s="122" t="s">
        <v>785</v>
      </c>
      <c r="H2060" s="122" t="s">
        <v>777</v>
      </c>
      <c r="I2060" s="312">
        <v>2022</v>
      </c>
      <c r="J2060" s="122" t="s">
        <v>709</v>
      </c>
      <c r="K2060" s="283">
        <v>5505</v>
      </c>
      <c r="L2060" s="318">
        <v>-33.929492949999997</v>
      </c>
      <c r="M2060" s="318">
        <v>150.9801636</v>
      </c>
      <c r="O2060">
        <f>INDEX('MEC - traffic congestion'!$M$145:$M$249,MATCH($D2060,'MEC - traffic congestion'!$C$145:$C$249,0))</f>
        <v>1</v>
      </c>
      <c r="P2060" t="str">
        <f t="shared" si="89"/>
        <v>2022AM PEAK</v>
      </c>
      <c r="Q2060">
        <f t="shared" si="90"/>
        <v>1</v>
      </c>
      <c r="R2060" s="195" t="str">
        <f t="shared" si="91"/>
        <v>2022LIGHT VEHICLES</v>
      </c>
    </row>
    <row r="2061" spans="3:18" x14ac:dyDescent="0.25">
      <c r="C2061" s="294" t="s">
        <v>901</v>
      </c>
      <c r="D2061" s="317">
        <v>7149</v>
      </c>
      <c r="E2061" s="122" t="s">
        <v>902</v>
      </c>
      <c r="F2061" s="122" t="s">
        <v>903</v>
      </c>
      <c r="G2061" s="122" t="s">
        <v>786</v>
      </c>
      <c r="H2061" s="122" t="s">
        <v>777</v>
      </c>
      <c r="I2061" s="312">
        <v>2022</v>
      </c>
      <c r="J2061" s="122" t="s">
        <v>709</v>
      </c>
      <c r="K2061" s="283">
        <v>3653</v>
      </c>
      <c r="L2061" s="318">
        <v>-33.929492949999997</v>
      </c>
      <c r="M2061" s="318">
        <v>150.9801636</v>
      </c>
      <c r="O2061">
        <f>INDEX('MEC - traffic congestion'!$M$145:$M$249,MATCH($D2061,'MEC - traffic congestion'!$C$145:$C$249,0))</f>
        <v>1</v>
      </c>
      <c r="P2061" t="str">
        <f t="shared" si="89"/>
        <v>2022AM PEAK</v>
      </c>
      <c r="Q2061">
        <f t="shared" si="90"/>
        <v>1</v>
      </c>
      <c r="R2061" s="195" t="str">
        <f t="shared" si="91"/>
        <v>2022LIGHT VEHICLES</v>
      </c>
    </row>
    <row r="2062" spans="3:18" x14ac:dyDescent="0.25">
      <c r="C2062" s="294" t="s">
        <v>901</v>
      </c>
      <c r="D2062" s="317">
        <v>7149</v>
      </c>
      <c r="E2062" s="122" t="s">
        <v>902</v>
      </c>
      <c r="F2062" s="122" t="s">
        <v>903</v>
      </c>
      <c r="G2062" s="122" t="s">
        <v>785</v>
      </c>
      <c r="H2062" s="122" t="s">
        <v>777</v>
      </c>
      <c r="I2062" s="312">
        <v>2022</v>
      </c>
      <c r="J2062" s="122" t="s">
        <v>710</v>
      </c>
      <c r="K2062" s="283">
        <v>9018</v>
      </c>
      <c r="L2062" s="318">
        <v>-33.929492949999997</v>
      </c>
      <c r="M2062" s="318">
        <v>150.9801636</v>
      </c>
      <c r="O2062">
        <f>INDEX('MEC - traffic congestion'!$M$145:$M$249,MATCH($D2062,'MEC - traffic congestion'!$C$145:$C$249,0))</f>
        <v>1</v>
      </c>
      <c r="P2062" t="str">
        <f t="shared" si="89"/>
        <v>2022OFF PEAK</v>
      </c>
      <c r="Q2062">
        <f t="shared" si="90"/>
        <v>1</v>
      </c>
      <c r="R2062" s="195" t="str">
        <f t="shared" si="91"/>
        <v>2022LIGHT VEHICLES</v>
      </c>
    </row>
    <row r="2063" spans="3:18" x14ac:dyDescent="0.25">
      <c r="C2063" s="294" t="s">
        <v>901</v>
      </c>
      <c r="D2063" s="317">
        <v>7149</v>
      </c>
      <c r="E2063" s="122" t="s">
        <v>902</v>
      </c>
      <c r="F2063" s="122" t="s">
        <v>903</v>
      </c>
      <c r="G2063" s="122" t="s">
        <v>786</v>
      </c>
      <c r="H2063" s="122" t="s">
        <v>777</v>
      </c>
      <c r="I2063" s="312">
        <v>2022</v>
      </c>
      <c r="J2063" s="122" t="s">
        <v>710</v>
      </c>
      <c r="K2063" s="283">
        <v>9975</v>
      </c>
      <c r="L2063" s="318">
        <v>-33.929492949999997</v>
      </c>
      <c r="M2063" s="318">
        <v>150.9801636</v>
      </c>
      <c r="O2063">
        <f>INDEX('MEC - traffic congestion'!$M$145:$M$249,MATCH($D2063,'MEC - traffic congestion'!$C$145:$C$249,0))</f>
        <v>1</v>
      </c>
      <c r="P2063" t="str">
        <f t="shared" si="89"/>
        <v>2022OFF PEAK</v>
      </c>
      <c r="Q2063">
        <f t="shared" si="90"/>
        <v>1</v>
      </c>
      <c r="R2063" s="195" t="str">
        <f t="shared" si="91"/>
        <v>2022LIGHT VEHICLES</v>
      </c>
    </row>
    <row r="2064" spans="3:18" x14ac:dyDescent="0.25">
      <c r="C2064" s="294" t="s">
        <v>901</v>
      </c>
      <c r="D2064" s="317">
        <v>7149</v>
      </c>
      <c r="E2064" s="122" t="s">
        <v>902</v>
      </c>
      <c r="F2064" s="122" t="s">
        <v>903</v>
      </c>
      <c r="G2064" s="122" t="s">
        <v>785</v>
      </c>
      <c r="H2064" s="122" t="s">
        <v>777</v>
      </c>
      <c r="I2064" s="312">
        <v>2022</v>
      </c>
      <c r="J2064" s="122" t="s">
        <v>711</v>
      </c>
      <c r="K2064" s="283">
        <v>4535</v>
      </c>
      <c r="L2064" s="318">
        <v>-33.929492949999997</v>
      </c>
      <c r="M2064" s="318">
        <v>150.9801636</v>
      </c>
      <c r="O2064">
        <f>INDEX('MEC - traffic congestion'!$M$145:$M$249,MATCH($D2064,'MEC - traffic congestion'!$C$145:$C$249,0))</f>
        <v>1</v>
      </c>
      <c r="P2064" t="str">
        <f t="shared" si="89"/>
        <v>2022PM PEAK</v>
      </c>
      <c r="Q2064">
        <f t="shared" si="90"/>
        <v>1</v>
      </c>
      <c r="R2064" s="195" t="str">
        <f t="shared" si="91"/>
        <v>2022LIGHT VEHICLES</v>
      </c>
    </row>
    <row r="2065" spans="3:18" x14ac:dyDescent="0.25">
      <c r="C2065" s="294" t="s">
        <v>901</v>
      </c>
      <c r="D2065" s="317">
        <v>7149</v>
      </c>
      <c r="E2065" s="122" t="s">
        <v>902</v>
      </c>
      <c r="F2065" s="122" t="s">
        <v>903</v>
      </c>
      <c r="G2065" s="122" t="s">
        <v>786</v>
      </c>
      <c r="H2065" s="122" t="s">
        <v>777</v>
      </c>
      <c r="I2065" s="312">
        <v>2022</v>
      </c>
      <c r="J2065" s="122" t="s">
        <v>711</v>
      </c>
      <c r="K2065" s="283">
        <v>6452</v>
      </c>
      <c r="L2065" s="318">
        <v>-33.929492949999997</v>
      </c>
      <c r="M2065" s="318">
        <v>150.9801636</v>
      </c>
      <c r="O2065">
        <f>INDEX('MEC - traffic congestion'!$M$145:$M$249,MATCH($D2065,'MEC - traffic congestion'!$C$145:$C$249,0))</f>
        <v>1</v>
      </c>
      <c r="P2065" t="str">
        <f t="shared" si="89"/>
        <v>2022PM PEAK</v>
      </c>
      <c r="Q2065">
        <f t="shared" si="90"/>
        <v>1</v>
      </c>
      <c r="R2065" s="195" t="str">
        <f t="shared" si="91"/>
        <v>2022LIGHT VEHICLES</v>
      </c>
    </row>
    <row r="2066" spans="3:18" x14ac:dyDescent="0.25">
      <c r="C2066" s="294" t="s">
        <v>901</v>
      </c>
      <c r="D2066" s="317">
        <v>7149</v>
      </c>
      <c r="E2066" s="122" t="s">
        <v>902</v>
      </c>
      <c r="F2066" s="122" t="s">
        <v>903</v>
      </c>
      <c r="G2066" s="122" t="s">
        <v>785</v>
      </c>
      <c r="H2066" s="122" t="s">
        <v>777</v>
      </c>
      <c r="I2066" s="312">
        <v>2022</v>
      </c>
      <c r="J2066" s="122" t="s">
        <v>713</v>
      </c>
      <c r="K2066" s="283">
        <v>15935</v>
      </c>
      <c r="L2066" s="318">
        <v>-33.929492949999997</v>
      </c>
      <c r="M2066" s="318">
        <v>150.9801636</v>
      </c>
      <c r="O2066">
        <f>INDEX('MEC - traffic congestion'!$M$145:$M$249,MATCH($D2066,'MEC - traffic congestion'!$C$145:$C$249,0))</f>
        <v>1</v>
      </c>
      <c r="P2066" t="str">
        <f t="shared" si="89"/>
        <v>2022WEEKENDS</v>
      </c>
      <c r="Q2066">
        <f t="shared" si="90"/>
        <v>1</v>
      </c>
      <c r="R2066" s="195" t="str">
        <f t="shared" si="91"/>
        <v>2022LIGHT VEHICLES</v>
      </c>
    </row>
    <row r="2067" spans="3:18" x14ac:dyDescent="0.25">
      <c r="C2067" s="294" t="s">
        <v>901</v>
      </c>
      <c r="D2067" s="317">
        <v>7149</v>
      </c>
      <c r="E2067" s="122" t="s">
        <v>902</v>
      </c>
      <c r="F2067" s="122" t="s">
        <v>903</v>
      </c>
      <c r="G2067" s="122" t="s">
        <v>786</v>
      </c>
      <c r="H2067" s="122" t="s">
        <v>777</v>
      </c>
      <c r="I2067" s="312">
        <v>2022</v>
      </c>
      <c r="J2067" s="122" t="s">
        <v>713</v>
      </c>
      <c r="K2067" s="283">
        <v>17424</v>
      </c>
      <c r="L2067" s="318">
        <v>-33.929492949999997</v>
      </c>
      <c r="M2067" s="318">
        <v>150.9801636</v>
      </c>
      <c r="O2067">
        <f>INDEX('MEC - traffic congestion'!$M$145:$M$249,MATCH($D2067,'MEC - traffic congestion'!$C$145:$C$249,0))</f>
        <v>1</v>
      </c>
      <c r="P2067" t="str">
        <f t="shared" si="89"/>
        <v>2022WEEKENDS</v>
      </c>
      <c r="Q2067">
        <f t="shared" si="90"/>
        <v>1</v>
      </c>
      <c r="R2067" s="195" t="str">
        <f t="shared" si="91"/>
        <v>2022LIGHT VEHICLES</v>
      </c>
    </row>
    <row r="2068" spans="3:18" x14ac:dyDescent="0.25">
      <c r="C2068" s="294" t="s">
        <v>901</v>
      </c>
      <c r="D2068" s="317">
        <v>7149</v>
      </c>
      <c r="E2068" s="122" t="s">
        <v>902</v>
      </c>
      <c r="F2068" s="122" t="s">
        <v>903</v>
      </c>
      <c r="G2068" s="122" t="s">
        <v>785</v>
      </c>
      <c r="H2068" s="122" t="s">
        <v>777</v>
      </c>
      <c r="I2068" s="312">
        <v>2023</v>
      </c>
      <c r="J2068" s="122" t="s">
        <v>709</v>
      </c>
      <c r="K2068" s="283">
        <v>5518</v>
      </c>
      <c r="L2068" s="318">
        <v>-33.929492949999997</v>
      </c>
      <c r="M2068" s="318">
        <v>150.9801636</v>
      </c>
      <c r="O2068">
        <f>INDEX('MEC - traffic congestion'!$M$145:$M$249,MATCH($D2068,'MEC - traffic congestion'!$C$145:$C$249,0))</f>
        <v>1</v>
      </c>
      <c r="P2068" t="str">
        <f t="shared" si="89"/>
        <v>2023AM PEAK</v>
      </c>
      <c r="Q2068">
        <f t="shared" si="90"/>
        <v>1</v>
      </c>
      <c r="R2068" s="195" t="str">
        <f t="shared" si="91"/>
        <v>2023LIGHT VEHICLES</v>
      </c>
    </row>
    <row r="2069" spans="3:18" x14ac:dyDescent="0.25">
      <c r="C2069" s="294" t="s">
        <v>901</v>
      </c>
      <c r="D2069" s="317">
        <v>7149</v>
      </c>
      <c r="E2069" s="122" t="s">
        <v>902</v>
      </c>
      <c r="F2069" s="122" t="s">
        <v>903</v>
      </c>
      <c r="G2069" s="122" t="s">
        <v>786</v>
      </c>
      <c r="H2069" s="122" t="s">
        <v>777</v>
      </c>
      <c r="I2069" s="312">
        <v>2023</v>
      </c>
      <c r="J2069" s="122" t="s">
        <v>709</v>
      </c>
      <c r="K2069" s="283">
        <v>3751</v>
      </c>
      <c r="L2069" s="318">
        <v>-33.929492949999997</v>
      </c>
      <c r="M2069" s="318">
        <v>150.9801636</v>
      </c>
      <c r="O2069">
        <f>INDEX('MEC - traffic congestion'!$M$145:$M$249,MATCH($D2069,'MEC - traffic congestion'!$C$145:$C$249,0))</f>
        <v>1</v>
      </c>
      <c r="P2069" t="str">
        <f t="shared" ref="P2069:P2132" si="92">IF($O2069=1,$I2069&amp;$J2069,"")</f>
        <v>2023AM PEAK</v>
      </c>
      <c r="Q2069">
        <f t="shared" ref="Q2069:Q2132" si="93">IF(AND($M2069&gt;150.246,AND($L2069&gt;-34.397,$L2069&lt;-32.662)),1,0)</f>
        <v>1</v>
      </c>
      <c r="R2069" s="195" t="str">
        <f t="shared" ref="R2069:R2132" si="94">IF($O2069=1,$I2069&amp;$H2069,"")</f>
        <v>2023LIGHT VEHICLES</v>
      </c>
    </row>
    <row r="2070" spans="3:18" x14ac:dyDescent="0.25">
      <c r="C2070" s="294" t="s">
        <v>901</v>
      </c>
      <c r="D2070" s="317">
        <v>7149</v>
      </c>
      <c r="E2070" s="122" t="s">
        <v>902</v>
      </c>
      <c r="F2070" s="122" t="s">
        <v>903</v>
      </c>
      <c r="G2070" s="122" t="s">
        <v>785</v>
      </c>
      <c r="H2070" s="122" t="s">
        <v>777</v>
      </c>
      <c r="I2070" s="312">
        <v>2023</v>
      </c>
      <c r="J2070" s="122" t="s">
        <v>710</v>
      </c>
      <c r="K2070" s="283">
        <v>9513</v>
      </c>
      <c r="L2070" s="318">
        <v>-33.929492949999997</v>
      </c>
      <c r="M2070" s="318">
        <v>150.9801636</v>
      </c>
      <c r="O2070">
        <f>INDEX('MEC - traffic congestion'!$M$145:$M$249,MATCH($D2070,'MEC - traffic congestion'!$C$145:$C$249,0))</f>
        <v>1</v>
      </c>
      <c r="P2070" t="str">
        <f t="shared" si="92"/>
        <v>2023OFF PEAK</v>
      </c>
      <c r="Q2070">
        <f t="shared" si="93"/>
        <v>1</v>
      </c>
      <c r="R2070" s="195" t="str">
        <f t="shared" si="94"/>
        <v>2023LIGHT VEHICLES</v>
      </c>
    </row>
    <row r="2071" spans="3:18" x14ac:dyDescent="0.25">
      <c r="C2071" s="294" t="s">
        <v>901</v>
      </c>
      <c r="D2071" s="317">
        <v>7149</v>
      </c>
      <c r="E2071" s="122" t="s">
        <v>902</v>
      </c>
      <c r="F2071" s="122" t="s">
        <v>903</v>
      </c>
      <c r="G2071" s="122" t="s">
        <v>786</v>
      </c>
      <c r="H2071" s="122" t="s">
        <v>777</v>
      </c>
      <c r="I2071" s="312">
        <v>2023</v>
      </c>
      <c r="J2071" s="122" t="s">
        <v>710</v>
      </c>
      <c r="K2071" s="283">
        <v>10416</v>
      </c>
      <c r="L2071" s="318">
        <v>-33.929492949999997</v>
      </c>
      <c r="M2071" s="318">
        <v>150.9801636</v>
      </c>
      <c r="O2071">
        <f>INDEX('MEC - traffic congestion'!$M$145:$M$249,MATCH($D2071,'MEC - traffic congestion'!$C$145:$C$249,0))</f>
        <v>1</v>
      </c>
      <c r="P2071" t="str">
        <f t="shared" si="92"/>
        <v>2023OFF PEAK</v>
      </c>
      <c r="Q2071">
        <f t="shared" si="93"/>
        <v>1</v>
      </c>
      <c r="R2071" s="195" t="str">
        <f t="shared" si="94"/>
        <v>2023LIGHT VEHICLES</v>
      </c>
    </row>
    <row r="2072" spans="3:18" x14ac:dyDescent="0.25">
      <c r="C2072" s="294" t="s">
        <v>901</v>
      </c>
      <c r="D2072" s="317">
        <v>7149</v>
      </c>
      <c r="E2072" s="122" t="s">
        <v>902</v>
      </c>
      <c r="F2072" s="122" t="s">
        <v>903</v>
      </c>
      <c r="G2072" s="122" t="s">
        <v>785</v>
      </c>
      <c r="H2072" s="122" t="s">
        <v>777</v>
      </c>
      <c r="I2072" s="312">
        <v>2023</v>
      </c>
      <c r="J2072" s="122" t="s">
        <v>711</v>
      </c>
      <c r="K2072" s="283">
        <v>4720</v>
      </c>
      <c r="L2072" s="318">
        <v>-33.929492949999997</v>
      </c>
      <c r="M2072" s="318">
        <v>150.9801636</v>
      </c>
      <c r="O2072">
        <f>INDEX('MEC - traffic congestion'!$M$145:$M$249,MATCH($D2072,'MEC - traffic congestion'!$C$145:$C$249,0))</f>
        <v>1</v>
      </c>
      <c r="P2072" t="str">
        <f t="shared" si="92"/>
        <v>2023PM PEAK</v>
      </c>
      <c r="Q2072">
        <f t="shared" si="93"/>
        <v>1</v>
      </c>
      <c r="R2072" s="195" t="str">
        <f t="shared" si="94"/>
        <v>2023LIGHT VEHICLES</v>
      </c>
    </row>
    <row r="2073" spans="3:18" x14ac:dyDescent="0.25">
      <c r="C2073" s="294" t="s">
        <v>901</v>
      </c>
      <c r="D2073" s="317">
        <v>7149</v>
      </c>
      <c r="E2073" s="122" t="s">
        <v>902</v>
      </c>
      <c r="F2073" s="122" t="s">
        <v>903</v>
      </c>
      <c r="G2073" s="122" t="s">
        <v>786</v>
      </c>
      <c r="H2073" s="122" t="s">
        <v>777</v>
      </c>
      <c r="I2073" s="312">
        <v>2023</v>
      </c>
      <c r="J2073" s="122" t="s">
        <v>711</v>
      </c>
      <c r="K2073" s="283">
        <v>6657</v>
      </c>
      <c r="L2073" s="318">
        <v>-33.929492949999997</v>
      </c>
      <c r="M2073" s="318">
        <v>150.9801636</v>
      </c>
      <c r="O2073">
        <f>INDEX('MEC - traffic congestion'!$M$145:$M$249,MATCH($D2073,'MEC - traffic congestion'!$C$145:$C$249,0))</f>
        <v>1</v>
      </c>
      <c r="P2073" t="str">
        <f t="shared" si="92"/>
        <v>2023PM PEAK</v>
      </c>
      <c r="Q2073">
        <f t="shared" si="93"/>
        <v>1</v>
      </c>
      <c r="R2073" s="195" t="str">
        <f t="shared" si="94"/>
        <v>2023LIGHT VEHICLES</v>
      </c>
    </row>
    <row r="2074" spans="3:18" x14ac:dyDescent="0.25">
      <c r="C2074" s="294" t="s">
        <v>901</v>
      </c>
      <c r="D2074" s="317">
        <v>7149</v>
      </c>
      <c r="E2074" s="122" t="s">
        <v>902</v>
      </c>
      <c r="F2074" s="122" t="s">
        <v>903</v>
      </c>
      <c r="G2074" s="122" t="s">
        <v>785</v>
      </c>
      <c r="H2074" s="122" t="s">
        <v>777</v>
      </c>
      <c r="I2074" s="312">
        <v>2023</v>
      </c>
      <c r="J2074" s="122" t="s">
        <v>713</v>
      </c>
      <c r="K2074" s="283">
        <v>15031</v>
      </c>
      <c r="L2074" s="318">
        <v>-33.929492949999997</v>
      </c>
      <c r="M2074" s="318">
        <v>150.9801636</v>
      </c>
      <c r="O2074">
        <f>INDEX('MEC - traffic congestion'!$M$145:$M$249,MATCH($D2074,'MEC - traffic congestion'!$C$145:$C$249,0))</f>
        <v>1</v>
      </c>
      <c r="P2074" t="str">
        <f t="shared" si="92"/>
        <v>2023WEEKENDS</v>
      </c>
      <c r="Q2074">
        <f t="shared" si="93"/>
        <v>1</v>
      </c>
      <c r="R2074" s="195" t="str">
        <f t="shared" si="94"/>
        <v>2023LIGHT VEHICLES</v>
      </c>
    </row>
    <row r="2075" spans="3:18" x14ac:dyDescent="0.25">
      <c r="C2075" s="294" t="s">
        <v>901</v>
      </c>
      <c r="D2075" s="317">
        <v>7149</v>
      </c>
      <c r="E2075" s="122" t="s">
        <v>902</v>
      </c>
      <c r="F2075" s="122" t="s">
        <v>903</v>
      </c>
      <c r="G2075" s="122" t="s">
        <v>786</v>
      </c>
      <c r="H2075" s="122" t="s">
        <v>777</v>
      </c>
      <c r="I2075" s="312">
        <v>2023</v>
      </c>
      <c r="J2075" s="122" t="s">
        <v>713</v>
      </c>
      <c r="K2075" s="283">
        <v>16469</v>
      </c>
      <c r="L2075" s="318">
        <v>-33.929492949999997</v>
      </c>
      <c r="M2075" s="318">
        <v>150.9801636</v>
      </c>
      <c r="O2075">
        <f>INDEX('MEC - traffic congestion'!$M$145:$M$249,MATCH($D2075,'MEC - traffic congestion'!$C$145:$C$249,0))</f>
        <v>1</v>
      </c>
      <c r="P2075" t="str">
        <f t="shared" si="92"/>
        <v>2023WEEKENDS</v>
      </c>
      <c r="Q2075">
        <f t="shared" si="93"/>
        <v>1</v>
      </c>
      <c r="R2075" s="195" t="str">
        <f t="shared" si="94"/>
        <v>2023LIGHT VEHICLES</v>
      </c>
    </row>
    <row r="2076" spans="3:18" x14ac:dyDescent="0.25">
      <c r="C2076" s="294" t="s">
        <v>904</v>
      </c>
      <c r="D2076" s="317">
        <v>7150</v>
      </c>
      <c r="E2076" s="122" t="s">
        <v>905</v>
      </c>
      <c r="F2076" s="122" t="s">
        <v>906</v>
      </c>
      <c r="G2076" s="122" t="s">
        <v>786</v>
      </c>
      <c r="H2076" s="122" t="s">
        <v>777</v>
      </c>
      <c r="I2076" s="312">
        <v>2018</v>
      </c>
      <c r="J2076" s="122" t="s">
        <v>709</v>
      </c>
      <c r="K2076" s="283">
        <v>3675</v>
      </c>
      <c r="L2076" s="318">
        <v>-33.724921999999999</v>
      </c>
      <c r="M2076" s="318">
        <v>150.977127</v>
      </c>
      <c r="O2076">
        <f>INDEX('MEC - traffic congestion'!$M$145:$M$249,MATCH($D2076,'MEC - traffic congestion'!$C$145:$C$249,0))</f>
        <v>1</v>
      </c>
      <c r="P2076" t="str">
        <f t="shared" si="92"/>
        <v>2018AM PEAK</v>
      </c>
      <c r="Q2076">
        <f t="shared" si="93"/>
        <v>1</v>
      </c>
      <c r="R2076" s="195" t="str">
        <f t="shared" si="94"/>
        <v>2018LIGHT VEHICLES</v>
      </c>
    </row>
    <row r="2077" spans="3:18" x14ac:dyDescent="0.25">
      <c r="C2077" s="294" t="s">
        <v>904</v>
      </c>
      <c r="D2077" s="317">
        <v>7150</v>
      </c>
      <c r="E2077" s="122" t="s">
        <v>905</v>
      </c>
      <c r="F2077" s="122" t="s">
        <v>906</v>
      </c>
      <c r="G2077" s="122" t="s">
        <v>786</v>
      </c>
      <c r="H2077" s="122" t="s">
        <v>777</v>
      </c>
      <c r="I2077" s="312">
        <v>2018</v>
      </c>
      <c r="J2077" s="122" t="s">
        <v>710</v>
      </c>
      <c r="K2077" s="283">
        <v>8513</v>
      </c>
      <c r="L2077" s="318">
        <v>-33.724921999999999</v>
      </c>
      <c r="M2077" s="318">
        <v>150.977127</v>
      </c>
      <c r="O2077">
        <f>INDEX('MEC - traffic congestion'!$M$145:$M$249,MATCH($D2077,'MEC - traffic congestion'!$C$145:$C$249,0))</f>
        <v>1</v>
      </c>
      <c r="P2077" t="str">
        <f t="shared" si="92"/>
        <v>2018OFF PEAK</v>
      </c>
      <c r="Q2077">
        <f t="shared" si="93"/>
        <v>1</v>
      </c>
      <c r="R2077" s="195" t="str">
        <f t="shared" si="94"/>
        <v>2018LIGHT VEHICLES</v>
      </c>
    </row>
    <row r="2078" spans="3:18" x14ac:dyDescent="0.25">
      <c r="C2078" s="294" t="s">
        <v>904</v>
      </c>
      <c r="D2078" s="317">
        <v>7150</v>
      </c>
      <c r="E2078" s="122" t="s">
        <v>905</v>
      </c>
      <c r="F2078" s="122" t="s">
        <v>906</v>
      </c>
      <c r="G2078" s="122" t="s">
        <v>786</v>
      </c>
      <c r="H2078" s="122" t="s">
        <v>777</v>
      </c>
      <c r="I2078" s="312">
        <v>2018</v>
      </c>
      <c r="J2078" s="122" t="s">
        <v>711</v>
      </c>
      <c r="K2078" s="283">
        <v>5269</v>
      </c>
      <c r="L2078" s="318">
        <v>-33.724921999999999</v>
      </c>
      <c r="M2078" s="318">
        <v>150.977127</v>
      </c>
      <c r="O2078">
        <f>INDEX('MEC - traffic congestion'!$M$145:$M$249,MATCH($D2078,'MEC - traffic congestion'!$C$145:$C$249,0))</f>
        <v>1</v>
      </c>
      <c r="P2078" t="str">
        <f t="shared" si="92"/>
        <v>2018PM PEAK</v>
      </c>
      <c r="Q2078">
        <f t="shared" si="93"/>
        <v>1</v>
      </c>
      <c r="R2078" s="195" t="str">
        <f t="shared" si="94"/>
        <v>2018LIGHT VEHICLES</v>
      </c>
    </row>
    <row r="2079" spans="3:18" x14ac:dyDescent="0.25">
      <c r="C2079" s="294" t="s">
        <v>904</v>
      </c>
      <c r="D2079" s="317">
        <v>7150</v>
      </c>
      <c r="E2079" s="122" t="s">
        <v>905</v>
      </c>
      <c r="F2079" s="122" t="s">
        <v>906</v>
      </c>
      <c r="G2079" s="122" t="s">
        <v>786</v>
      </c>
      <c r="H2079" s="122" t="s">
        <v>777</v>
      </c>
      <c r="I2079" s="312">
        <v>2018</v>
      </c>
      <c r="J2079" s="122" t="s">
        <v>712</v>
      </c>
      <c r="K2079" s="283">
        <v>11388</v>
      </c>
      <c r="L2079" s="318">
        <v>-33.724921999999999</v>
      </c>
      <c r="M2079" s="318">
        <v>150.977127</v>
      </c>
      <c r="O2079">
        <f>INDEX('MEC - traffic congestion'!$M$145:$M$249,MATCH($D2079,'MEC - traffic congestion'!$C$145:$C$249,0))</f>
        <v>1</v>
      </c>
      <c r="P2079" t="str">
        <f t="shared" si="92"/>
        <v>2018PUBLIC HOLIDAYS</v>
      </c>
      <c r="Q2079">
        <f t="shared" si="93"/>
        <v>1</v>
      </c>
      <c r="R2079" s="195" t="str">
        <f t="shared" si="94"/>
        <v>2018LIGHT VEHICLES</v>
      </c>
    </row>
    <row r="2080" spans="3:18" x14ac:dyDescent="0.25">
      <c r="C2080" s="294" t="s">
        <v>904</v>
      </c>
      <c r="D2080" s="317">
        <v>7150</v>
      </c>
      <c r="E2080" s="122" t="s">
        <v>905</v>
      </c>
      <c r="F2080" s="122" t="s">
        <v>906</v>
      </c>
      <c r="G2080" s="122" t="s">
        <v>786</v>
      </c>
      <c r="H2080" s="122" t="s">
        <v>777</v>
      </c>
      <c r="I2080" s="312">
        <v>2018</v>
      </c>
      <c r="J2080" s="122" t="s">
        <v>713</v>
      </c>
      <c r="K2080" s="283">
        <v>16261</v>
      </c>
      <c r="L2080" s="318">
        <v>-33.724921999999999</v>
      </c>
      <c r="M2080" s="318">
        <v>150.977127</v>
      </c>
      <c r="O2080">
        <f>INDEX('MEC - traffic congestion'!$M$145:$M$249,MATCH($D2080,'MEC - traffic congestion'!$C$145:$C$249,0))</f>
        <v>1</v>
      </c>
      <c r="P2080" t="str">
        <f t="shared" si="92"/>
        <v>2018WEEKENDS</v>
      </c>
      <c r="Q2080">
        <f t="shared" si="93"/>
        <v>1</v>
      </c>
      <c r="R2080" s="195" t="str">
        <f t="shared" si="94"/>
        <v>2018LIGHT VEHICLES</v>
      </c>
    </row>
    <row r="2081" spans="3:18" x14ac:dyDescent="0.25">
      <c r="C2081" s="294" t="s">
        <v>904</v>
      </c>
      <c r="D2081" s="317">
        <v>7150</v>
      </c>
      <c r="E2081" s="122" t="s">
        <v>905</v>
      </c>
      <c r="F2081" s="122" t="s">
        <v>906</v>
      </c>
      <c r="G2081" s="122" t="s">
        <v>786</v>
      </c>
      <c r="H2081" s="122" t="s">
        <v>777</v>
      </c>
      <c r="I2081" s="312">
        <v>2019</v>
      </c>
      <c r="J2081" s="122" t="s">
        <v>709</v>
      </c>
      <c r="K2081" s="283">
        <v>3457</v>
      </c>
      <c r="L2081" s="318">
        <v>-33.724921999999999</v>
      </c>
      <c r="M2081" s="318">
        <v>150.977127</v>
      </c>
      <c r="O2081">
        <f>INDEX('MEC - traffic congestion'!$M$145:$M$249,MATCH($D2081,'MEC - traffic congestion'!$C$145:$C$249,0))</f>
        <v>1</v>
      </c>
      <c r="P2081" t="str">
        <f t="shared" si="92"/>
        <v>2019AM PEAK</v>
      </c>
      <c r="Q2081">
        <f t="shared" si="93"/>
        <v>1</v>
      </c>
      <c r="R2081" s="195" t="str">
        <f t="shared" si="94"/>
        <v>2019LIGHT VEHICLES</v>
      </c>
    </row>
    <row r="2082" spans="3:18" x14ac:dyDescent="0.25">
      <c r="C2082" s="294" t="s">
        <v>904</v>
      </c>
      <c r="D2082" s="317">
        <v>7150</v>
      </c>
      <c r="E2082" s="122" t="s">
        <v>905</v>
      </c>
      <c r="F2082" s="122" t="s">
        <v>906</v>
      </c>
      <c r="G2082" s="122" t="s">
        <v>786</v>
      </c>
      <c r="H2082" s="122" t="s">
        <v>777</v>
      </c>
      <c r="I2082" s="312">
        <v>2019</v>
      </c>
      <c r="J2082" s="122" t="s">
        <v>710</v>
      </c>
      <c r="K2082" s="283">
        <v>7583</v>
      </c>
      <c r="L2082" s="318">
        <v>-33.724921999999999</v>
      </c>
      <c r="M2082" s="318">
        <v>150.977127</v>
      </c>
      <c r="O2082">
        <f>INDEX('MEC - traffic congestion'!$M$145:$M$249,MATCH($D2082,'MEC - traffic congestion'!$C$145:$C$249,0))</f>
        <v>1</v>
      </c>
      <c r="P2082" t="str">
        <f t="shared" si="92"/>
        <v>2019OFF PEAK</v>
      </c>
      <c r="Q2082">
        <f t="shared" si="93"/>
        <v>1</v>
      </c>
      <c r="R2082" s="195" t="str">
        <f t="shared" si="94"/>
        <v>2019LIGHT VEHICLES</v>
      </c>
    </row>
    <row r="2083" spans="3:18" x14ac:dyDescent="0.25">
      <c r="C2083" s="294" t="s">
        <v>904</v>
      </c>
      <c r="D2083" s="317">
        <v>7150</v>
      </c>
      <c r="E2083" s="122" t="s">
        <v>905</v>
      </c>
      <c r="F2083" s="122" t="s">
        <v>906</v>
      </c>
      <c r="G2083" s="122" t="s">
        <v>786</v>
      </c>
      <c r="H2083" s="122" t="s">
        <v>777</v>
      </c>
      <c r="I2083" s="312">
        <v>2019</v>
      </c>
      <c r="J2083" s="122" t="s">
        <v>711</v>
      </c>
      <c r="K2083" s="283">
        <v>5133</v>
      </c>
      <c r="L2083" s="318">
        <v>-33.724921999999999</v>
      </c>
      <c r="M2083" s="318">
        <v>150.977127</v>
      </c>
      <c r="O2083">
        <f>INDEX('MEC - traffic congestion'!$M$145:$M$249,MATCH($D2083,'MEC - traffic congestion'!$C$145:$C$249,0))</f>
        <v>1</v>
      </c>
      <c r="P2083" t="str">
        <f t="shared" si="92"/>
        <v>2019PM PEAK</v>
      </c>
      <c r="Q2083">
        <f t="shared" si="93"/>
        <v>1</v>
      </c>
      <c r="R2083" s="195" t="str">
        <f t="shared" si="94"/>
        <v>2019LIGHT VEHICLES</v>
      </c>
    </row>
    <row r="2084" spans="3:18" x14ac:dyDescent="0.25">
      <c r="C2084" s="294" t="s">
        <v>904</v>
      </c>
      <c r="D2084" s="317">
        <v>7150</v>
      </c>
      <c r="E2084" s="122" t="s">
        <v>905</v>
      </c>
      <c r="F2084" s="122" t="s">
        <v>906</v>
      </c>
      <c r="G2084" s="122" t="s">
        <v>786</v>
      </c>
      <c r="H2084" s="122" t="s">
        <v>777</v>
      </c>
      <c r="I2084" s="312">
        <v>2019</v>
      </c>
      <c r="J2084" s="122" t="s">
        <v>712</v>
      </c>
      <c r="K2084" s="283">
        <v>11658</v>
      </c>
      <c r="L2084" s="318">
        <v>-33.724921999999999</v>
      </c>
      <c r="M2084" s="318">
        <v>150.977127</v>
      </c>
      <c r="O2084">
        <f>INDEX('MEC - traffic congestion'!$M$145:$M$249,MATCH($D2084,'MEC - traffic congestion'!$C$145:$C$249,0))</f>
        <v>1</v>
      </c>
      <c r="P2084" t="str">
        <f t="shared" si="92"/>
        <v>2019PUBLIC HOLIDAYS</v>
      </c>
      <c r="Q2084">
        <f t="shared" si="93"/>
        <v>1</v>
      </c>
      <c r="R2084" s="195" t="str">
        <f t="shared" si="94"/>
        <v>2019LIGHT VEHICLES</v>
      </c>
    </row>
    <row r="2085" spans="3:18" x14ac:dyDescent="0.25">
      <c r="C2085" s="294" t="s">
        <v>904</v>
      </c>
      <c r="D2085" s="317">
        <v>7150</v>
      </c>
      <c r="E2085" s="122" t="s">
        <v>905</v>
      </c>
      <c r="F2085" s="122" t="s">
        <v>906</v>
      </c>
      <c r="G2085" s="122" t="s">
        <v>786</v>
      </c>
      <c r="H2085" s="122" t="s">
        <v>777</v>
      </c>
      <c r="I2085" s="312">
        <v>2019</v>
      </c>
      <c r="J2085" s="122" t="s">
        <v>713</v>
      </c>
      <c r="K2085" s="283">
        <v>14972</v>
      </c>
      <c r="L2085" s="318">
        <v>-33.724921999999999</v>
      </c>
      <c r="M2085" s="318">
        <v>150.977127</v>
      </c>
      <c r="O2085">
        <f>INDEX('MEC - traffic congestion'!$M$145:$M$249,MATCH($D2085,'MEC - traffic congestion'!$C$145:$C$249,0))</f>
        <v>1</v>
      </c>
      <c r="P2085" t="str">
        <f t="shared" si="92"/>
        <v>2019WEEKENDS</v>
      </c>
      <c r="Q2085">
        <f t="shared" si="93"/>
        <v>1</v>
      </c>
      <c r="R2085" s="195" t="str">
        <f t="shared" si="94"/>
        <v>2019LIGHT VEHICLES</v>
      </c>
    </row>
    <row r="2086" spans="3:18" x14ac:dyDescent="0.25">
      <c r="C2086" s="294" t="s">
        <v>904</v>
      </c>
      <c r="D2086" s="317">
        <v>7150</v>
      </c>
      <c r="E2086" s="122" t="s">
        <v>905</v>
      </c>
      <c r="F2086" s="122" t="s">
        <v>906</v>
      </c>
      <c r="G2086" s="122" t="s">
        <v>786</v>
      </c>
      <c r="H2086" s="122" t="s">
        <v>777</v>
      </c>
      <c r="I2086" s="312">
        <v>2020</v>
      </c>
      <c r="J2086" s="122" t="s">
        <v>709</v>
      </c>
      <c r="K2086" s="283">
        <v>3113</v>
      </c>
      <c r="L2086" s="318">
        <v>-33.724921999999999</v>
      </c>
      <c r="M2086" s="318">
        <v>150.977127</v>
      </c>
      <c r="O2086">
        <f>INDEX('MEC - traffic congestion'!$M$145:$M$249,MATCH($D2086,'MEC - traffic congestion'!$C$145:$C$249,0))</f>
        <v>1</v>
      </c>
      <c r="P2086" t="str">
        <f t="shared" si="92"/>
        <v>2020AM PEAK</v>
      </c>
      <c r="Q2086">
        <f t="shared" si="93"/>
        <v>1</v>
      </c>
      <c r="R2086" s="195" t="str">
        <f t="shared" si="94"/>
        <v>2020LIGHT VEHICLES</v>
      </c>
    </row>
    <row r="2087" spans="3:18" x14ac:dyDescent="0.25">
      <c r="C2087" s="294" t="s">
        <v>904</v>
      </c>
      <c r="D2087" s="317">
        <v>7150</v>
      </c>
      <c r="E2087" s="122" t="s">
        <v>905</v>
      </c>
      <c r="F2087" s="122" t="s">
        <v>906</v>
      </c>
      <c r="G2087" s="122" t="s">
        <v>786</v>
      </c>
      <c r="H2087" s="122" t="s">
        <v>777</v>
      </c>
      <c r="I2087" s="312">
        <v>2020</v>
      </c>
      <c r="J2087" s="122" t="s">
        <v>710</v>
      </c>
      <c r="K2087" s="283">
        <v>7712</v>
      </c>
      <c r="L2087" s="318">
        <v>-33.724921999999999</v>
      </c>
      <c r="M2087" s="318">
        <v>150.977127</v>
      </c>
      <c r="O2087">
        <f>INDEX('MEC - traffic congestion'!$M$145:$M$249,MATCH($D2087,'MEC - traffic congestion'!$C$145:$C$249,0))</f>
        <v>1</v>
      </c>
      <c r="P2087" t="str">
        <f t="shared" si="92"/>
        <v>2020OFF PEAK</v>
      </c>
      <c r="Q2087">
        <f t="shared" si="93"/>
        <v>1</v>
      </c>
      <c r="R2087" s="195" t="str">
        <f t="shared" si="94"/>
        <v>2020LIGHT VEHICLES</v>
      </c>
    </row>
    <row r="2088" spans="3:18" x14ac:dyDescent="0.25">
      <c r="C2088" s="294" t="s">
        <v>904</v>
      </c>
      <c r="D2088" s="317">
        <v>7150</v>
      </c>
      <c r="E2088" s="122" t="s">
        <v>905</v>
      </c>
      <c r="F2088" s="122" t="s">
        <v>906</v>
      </c>
      <c r="G2088" s="122" t="s">
        <v>786</v>
      </c>
      <c r="H2088" s="122" t="s">
        <v>777</v>
      </c>
      <c r="I2088" s="312">
        <v>2020</v>
      </c>
      <c r="J2088" s="122" t="s">
        <v>711</v>
      </c>
      <c r="K2088" s="283">
        <v>4998</v>
      </c>
      <c r="L2088" s="318">
        <v>-33.724921999999999</v>
      </c>
      <c r="M2088" s="318">
        <v>150.977127</v>
      </c>
      <c r="O2088">
        <f>INDEX('MEC - traffic congestion'!$M$145:$M$249,MATCH($D2088,'MEC - traffic congestion'!$C$145:$C$249,0))</f>
        <v>1</v>
      </c>
      <c r="P2088" t="str">
        <f t="shared" si="92"/>
        <v>2020PM PEAK</v>
      </c>
      <c r="Q2088">
        <f t="shared" si="93"/>
        <v>1</v>
      </c>
      <c r="R2088" s="195" t="str">
        <f t="shared" si="94"/>
        <v>2020LIGHT VEHICLES</v>
      </c>
    </row>
    <row r="2089" spans="3:18" x14ac:dyDescent="0.25">
      <c r="C2089" s="294" t="s">
        <v>904</v>
      </c>
      <c r="D2089" s="317">
        <v>7150</v>
      </c>
      <c r="E2089" s="122" t="s">
        <v>905</v>
      </c>
      <c r="F2089" s="122" t="s">
        <v>906</v>
      </c>
      <c r="G2089" s="122" t="s">
        <v>786</v>
      </c>
      <c r="H2089" s="122" t="s">
        <v>777</v>
      </c>
      <c r="I2089" s="312">
        <v>2020</v>
      </c>
      <c r="J2089" s="122" t="s">
        <v>712</v>
      </c>
      <c r="K2089" s="283">
        <v>9119</v>
      </c>
      <c r="L2089" s="318">
        <v>-33.724921999999999</v>
      </c>
      <c r="M2089" s="318">
        <v>150.977127</v>
      </c>
      <c r="O2089">
        <f>INDEX('MEC - traffic congestion'!$M$145:$M$249,MATCH($D2089,'MEC - traffic congestion'!$C$145:$C$249,0))</f>
        <v>1</v>
      </c>
      <c r="P2089" t="str">
        <f t="shared" si="92"/>
        <v>2020PUBLIC HOLIDAYS</v>
      </c>
      <c r="Q2089">
        <f t="shared" si="93"/>
        <v>1</v>
      </c>
      <c r="R2089" s="195" t="str">
        <f t="shared" si="94"/>
        <v>2020LIGHT VEHICLES</v>
      </c>
    </row>
    <row r="2090" spans="3:18" x14ac:dyDescent="0.25">
      <c r="C2090" s="294" t="s">
        <v>904</v>
      </c>
      <c r="D2090" s="317">
        <v>7150</v>
      </c>
      <c r="E2090" s="122" t="s">
        <v>905</v>
      </c>
      <c r="F2090" s="122" t="s">
        <v>906</v>
      </c>
      <c r="G2090" s="122" t="s">
        <v>786</v>
      </c>
      <c r="H2090" s="122" t="s">
        <v>777</v>
      </c>
      <c r="I2090" s="312">
        <v>2020</v>
      </c>
      <c r="J2090" s="122" t="s">
        <v>713</v>
      </c>
      <c r="K2090" s="283">
        <v>14273</v>
      </c>
      <c r="L2090" s="318">
        <v>-33.724921999999999</v>
      </c>
      <c r="M2090" s="318">
        <v>150.977127</v>
      </c>
      <c r="O2090">
        <f>INDEX('MEC - traffic congestion'!$M$145:$M$249,MATCH($D2090,'MEC - traffic congestion'!$C$145:$C$249,0))</f>
        <v>1</v>
      </c>
      <c r="P2090" t="str">
        <f t="shared" si="92"/>
        <v>2020WEEKENDS</v>
      </c>
      <c r="Q2090">
        <f t="shared" si="93"/>
        <v>1</v>
      </c>
      <c r="R2090" s="195" t="str">
        <f t="shared" si="94"/>
        <v>2020LIGHT VEHICLES</v>
      </c>
    </row>
    <row r="2091" spans="3:18" x14ac:dyDescent="0.25">
      <c r="C2091" s="294" t="s">
        <v>904</v>
      </c>
      <c r="D2091" s="317">
        <v>7150</v>
      </c>
      <c r="E2091" s="122" t="s">
        <v>905</v>
      </c>
      <c r="F2091" s="122" t="s">
        <v>906</v>
      </c>
      <c r="G2091" s="122" t="s">
        <v>786</v>
      </c>
      <c r="H2091" s="122" t="s">
        <v>777</v>
      </c>
      <c r="I2091" s="312">
        <v>2021</v>
      </c>
      <c r="J2091" s="122" t="s">
        <v>709</v>
      </c>
      <c r="K2091" s="283">
        <v>2795</v>
      </c>
      <c r="L2091" s="318">
        <v>-33.724921999999999</v>
      </c>
      <c r="M2091" s="318">
        <v>150.977127</v>
      </c>
      <c r="O2091">
        <f>INDEX('MEC - traffic congestion'!$M$145:$M$249,MATCH($D2091,'MEC - traffic congestion'!$C$145:$C$249,0))</f>
        <v>1</v>
      </c>
      <c r="P2091" t="str">
        <f t="shared" si="92"/>
        <v>2021AM PEAK</v>
      </c>
      <c r="Q2091">
        <f t="shared" si="93"/>
        <v>1</v>
      </c>
      <c r="R2091" s="195" t="str">
        <f t="shared" si="94"/>
        <v>2021LIGHT VEHICLES</v>
      </c>
    </row>
    <row r="2092" spans="3:18" x14ac:dyDescent="0.25">
      <c r="C2092" s="294" t="s">
        <v>904</v>
      </c>
      <c r="D2092" s="317">
        <v>7150</v>
      </c>
      <c r="E2092" s="122" t="s">
        <v>905</v>
      </c>
      <c r="F2092" s="122" t="s">
        <v>906</v>
      </c>
      <c r="G2092" s="122" t="s">
        <v>786</v>
      </c>
      <c r="H2092" s="122" t="s">
        <v>777</v>
      </c>
      <c r="I2092" s="312">
        <v>2021</v>
      </c>
      <c r="J2092" s="122" t="s">
        <v>710</v>
      </c>
      <c r="K2092" s="283">
        <v>7344</v>
      </c>
      <c r="L2092" s="318">
        <v>-33.724921999999999</v>
      </c>
      <c r="M2092" s="318">
        <v>150.977127</v>
      </c>
      <c r="O2092">
        <f>INDEX('MEC - traffic congestion'!$M$145:$M$249,MATCH($D2092,'MEC - traffic congestion'!$C$145:$C$249,0))</f>
        <v>1</v>
      </c>
      <c r="P2092" t="str">
        <f t="shared" si="92"/>
        <v>2021OFF PEAK</v>
      </c>
      <c r="Q2092">
        <f t="shared" si="93"/>
        <v>1</v>
      </c>
      <c r="R2092" s="195" t="str">
        <f t="shared" si="94"/>
        <v>2021LIGHT VEHICLES</v>
      </c>
    </row>
    <row r="2093" spans="3:18" x14ac:dyDescent="0.25">
      <c r="C2093" s="294" t="s">
        <v>904</v>
      </c>
      <c r="D2093" s="317">
        <v>7150</v>
      </c>
      <c r="E2093" s="122" t="s">
        <v>905</v>
      </c>
      <c r="F2093" s="122" t="s">
        <v>906</v>
      </c>
      <c r="G2093" s="122" t="s">
        <v>786</v>
      </c>
      <c r="H2093" s="122" t="s">
        <v>777</v>
      </c>
      <c r="I2093" s="312">
        <v>2021</v>
      </c>
      <c r="J2093" s="122" t="s">
        <v>711</v>
      </c>
      <c r="K2093" s="283">
        <v>4567</v>
      </c>
      <c r="L2093" s="318">
        <v>-33.724921999999999</v>
      </c>
      <c r="M2093" s="318">
        <v>150.977127</v>
      </c>
      <c r="O2093">
        <f>INDEX('MEC - traffic congestion'!$M$145:$M$249,MATCH($D2093,'MEC - traffic congestion'!$C$145:$C$249,0))</f>
        <v>1</v>
      </c>
      <c r="P2093" t="str">
        <f t="shared" si="92"/>
        <v>2021PM PEAK</v>
      </c>
      <c r="Q2093">
        <f t="shared" si="93"/>
        <v>1</v>
      </c>
      <c r="R2093" s="195" t="str">
        <f t="shared" si="94"/>
        <v>2021LIGHT VEHICLES</v>
      </c>
    </row>
    <row r="2094" spans="3:18" x14ac:dyDescent="0.25">
      <c r="C2094" s="294" t="s">
        <v>904</v>
      </c>
      <c r="D2094" s="317">
        <v>7150</v>
      </c>
      <c r="E2094" s="122" t="s">
        <v>905</v>
      </c>
      <c r="F2094" s="122" t="s">
        <v>906</v>
      </c>
      <c r="G2094" s="122" t="s">
        <v>786</v>
      </c>
      <c r="H2094" s="122" t="s">
        <v>777</v>
      </c>
      <c r="I2094" s="312">
        <v>2021</v>
      </c>
      <c r="J2094" s="122" t="s">
        <v>713</v>
      </c>
      <c r="K2094" s="283">
        <v>13043</v>
      </c>
      <c r="L2094" s="318">
        <v>-33.724921999999999</v>
      </c>
      <c r="M2094" s="318">
        <v>150.977127</v>
      </c>
      <c r="O2094">
        <f>INDEX('MEC - traffic congestion'!$M$145:$M$249,MATCH($D2094,'MEC - traffic congestion'!$C$145:$C$249,0))</f>
        <v>1</v>
      </c>
      <c r="P2094" t="str">
        <f t="shared" si="92"/>
        <v>2021WEEKENDS</v>
      </c>
      <c r="Q2094">
        <f t="shared" si="93"/>
        <v>1</v>
      </c>
      <c r="R2094" s="195" t="str">
        <f t="shared" si="94"/>
        <v>2021LIGHT VEHICLES</v>
      </c>
    </row>
    <row r="2095" spans="3:18" x14ac:dyDescent="0.25">
      <c r="C2095" s="294" t="s">
        <v>904</v>
      </c>
      <c r="D2095" s="317">
        <v>7150</v>
      </c>
      <c r="E2095" s="122" t="s">
        <v>905</v>
      </c>
      <c r="F2095" s="122" t="s">
        <v>906</v>
      </c>
      <c r="G2095" s="122" t="s">
        <v>786</v>
      </c>
      <c r="H2095" s="122" t="s">
        <v>777</v>
      </c>
      <c r="I2095" s="312">
        <v>2022</v>
      </c>
      <c r="J2095" s="122" t="s">
        <v>709</v>
      </c>
      <c r="K2095" s="283">
        <v>2909</v>
      </c>
      <c r="L2095" s="318">
        <v>-33.724921999999999</v>
      </c>
      <c r="M2095" s="318">
        <v>150.977127</v>
      </c>
      <c r="O2095">
        <f>INDEX('MEC - traffic congestion'!$M$145:$M$249,MATCH($D2095,'MEC - traffic congestion'!$C$145:$C$249,0))</f>
        <v>1</v>
      </c>
      <c r="P2095" t="str">
        <f t="shared" si="92"/>
        <v>2022AM PEAK</v>
      </c>
      <c r="Q2095">
        <f t="shared" si="93"/>
        <v>1</v>
      </c>
      <c r="R2095" s="195" t="str">
        <f t="shared" si="94"/>
        <v>2022LIGHT VEHICLES</v>
      </c>
    </row>
    <row r="2096" spans="3:18" x14ac:dyDescent="0.25">
      <c r="C2096" s="294" t="s">
        <v>904</v>
      </c>
      <c r="D2096" s="317">
        <v>7150</v>
      </c>
      <c r="E2096" s="122" t="s">
        <v>905</v>
      </c>
      <c r="F2096" s="122" t="s">
        <v>906</v>
      </c>
      <c r="G2096" s="122" t="s">
        <v>786</v>
      </c>
      <c r="H2096" s="122" t="s">
        <v>777</v>
      </c>
      <c r="I2096" s="312">
        <v>2022</v>
      </c>
      <c r="J2096" s="122" t="s">
        <v>710</v>
      </c>
      <c r="K2096" s="283">
        <v>8092</v>
      </c>
      <c r="L2096" s="318">
        <v>-33.724921999999999</v>
      </c>
      <c r="M2096" s="318">
        <v>150.977127</v>
      </c>
      <c r="O2096">
        <f>INDEX('MEC - traffic congestion'!$M$145:$M$249,MATCH($D2096,'MEC - traffic congestion'!$C$145:$C$249,0))</f>
        <v>1</v>
      </c>
      <c r="P2096" t="str">
        <f t="shared" si="92"/>
        <v>2022OFF PEAK</v>
      </c>
      <c r="Q2096">
        <f t="shared" si="93"/>
        <v>1</v>
      </c>
      <c r="R2096" s="195" t="str">
        <f t="shared" si="94"/>
        <v>2022LIGHT VEHICLES</v>
      </c>
    </row>
    <row r="2097" spans="3:18" x14ac:dyDescent="0.25">
      <c r="C2097" s="294" t="s">
        <v>904</v>
      </c>
      <c r="D2097" s="317">
        <v>7150</v>
      </c>
      <c r="E2097" s="122" t="s">
        <v>905</v>
      </c>
      <c r="F2097" s="122" t="s">
        <v>906</v>
      </c>
      <c r="G2097" s="122" t="s">
        <v>786</v>
      </c>
      <c r="H2097" s="122" t="s">
        <v>777</v>
      </c>
      <c r="I2097" s="312">
        <v>2022</v>
      </c>
      <c r="J2097" s="122" t="s">
        <v>711</v>
      </c>
      <c r="K2097" s="283">
        <v>5201</v>
      </c>
      <c r="L2097" s="318">
        <v>-33.724921999999999</v>
      </c>
      <c r="M2097" s="318">
        <v>150.977127</v>
      </c>
      <c r="O2097">
        <f>INDEX('MEC - traffic congestion'!$M$145:$M$249,MATCH($D2097,'MEC - traffic congestion'!$C$145:$C$249,0))</f>
        <v>1</v>
      </c>
      <c r="P2097" t="str">
        <f t="shared" si="92"/>
        <v>2022PM PEAK</v>
      </c>
      <c r="Q2097">
        <f t="shared" si="93"/>
        <v>1</v>
      </c>
      <c r="R2097" s="195" t="str">
        <f t="shared" si="94"/>
        <v>2022LIGHT VEHICLES</v>
      </c>
    </row>
    <row r="2098" spans="3:18" x14ac:dyDescent="0.25">
      <c r="C2098" s="294" t="s">
        <v>904</v>
      </c>
      <c r="D2098" s="317">
        <v>7150</v>
      </c>
      <c r="E2098" s="122" t="s">
        <v>905</v>
      </c>
      <c r="F2098" s="122" t="s">
        <v>906</v>
      </c>
      <c r="G2098" s="122" t="s">
        <v>786</v>
      </c>
      <c r="H2098" s="122" t="s">
        <v>777</v>
      </c>
      <c r="I2098" s="312">
        <v>2022</v>
      </c>
      <c r="J2098" s="122" t="s">
        <v>713</v>
      </c>
      <c r="K2098" s="283">
        <v>15252</v>
      </c>
      <c r="L2098" s="318">
        <v>-33.724921999999999</v>
      </c>
      <c r="M2098" s="318">
        <v>150.977127</v>
      </c>
      <c r="O2098">
        <f>INDEX('MEC - traffic congestion'!$M$145:$M$249,MATCH($D2098,'MEC - traffic congestion'!$C$145:$C$249,0))</f>
        <v>1</v>
      </c>
      <c r="P2098" t="str">
        <f t="shared" si="92"/>
        <v>2022WEEKENDS</v>
      </c>
      <c r="Q2098">
        <f t="shared" si="93"/>
        <v>1</v>
      </c>
      <c r="R2098" s="195" t="str">
        <f t="shared" si="94"/>
        <v>2022LIGHT VEHICLES</v>
      </c>
    </row>
    <row r="2099" spans="3:18" x14ac:dyDescent="0.25">
      <c r="C2099" s="294" t="s">
        <v>904</v>
      </c>
      <c r="D2099" s="317">
        <v>7150</v>
      </c>
      <c r="E2099" s="122" t="s">
        <v>905</v>
      </c>
      <c r="F2099" s="122" t="s">
        <v>906</v>
      </c>
      <c r="G2099" s="122" t="s">
        <v>786</v>
      </c>
      <c r="H2099" s="122" t="s">
        <v>777</v>
      </c>
      <c r="I2099" s="312">
        <v>2023</v>
      </c>
      <c r="J2099" s="122" t="s">
        <v>709</v>
      </c>
      <c r="K2099" s="283">
        <v>3012</v>
      </c>
      <c r="L2099" s="318">
        <v>-33.724921999999999</v>
      </c>
      <c r="M2099" s="318">
        <v>150.977127</v>
      </c>
      <c r="O2099">
        <f>INDEX('MEC - traffic congestion'!$M$145:$M$249,MATCH($D2099,'MEC - traffic congestion'!$C$145:$C$249,0))</f>
        <v>1</v>
      </c>
      <c r="P2099" t="str">
        <f t="shared" si="92"/>
        <v>2023AM PEAK</v>
      </c>
      <c r="Q2099">
        <f t="shared" si="93"/>
        <v>1</v>
      </c>
      <c r="R2099" s="195" t="str">
        <f t="shared" si="94"/>
        <v>2023LIGHT VEHICLES</v>
      </c>
    </row>
    <row r="2100" spans="3:18" x14ac:dyDescent="0.25">
      <c r="C2100" s="294" t="s">
        <v>904</v>
      </c>
      <c r="D2100" s="317">
        <v>7150</v>
      </c>
      <c r="E2100" s="122" t="s">
        <v>905</v>
      </c>
      <c r="F2100" s="122" t="s">
        <v>906</v>
      </c>
      <c r="G2100" s="122" t="s">
        <v>786</v>
      </c>
      <c r="H2100" s="122" t="s">
        <v>777</v>
      </c>
      <c r="I2100" s="312">
        <v>2023</v>
      </c>
      <c r="J2100" s="122" t="s">
        <v>710</v>
      </c>
      <c r="K2100" s="283">
        <v>8402</v>
      </c>
      <c r="L2100" s="318">
        <v>-33.724921999999999</v>
      </c>
      <c r="M2100" s="318">
        <v>150.977127</v>
      </c>
      <c r="O2100">
        <f>INDEX('MEC - traffic congestion'!$M$145:$M$249,MATCH($D2100,'MEC - traffic congestion'!$C$145:$C$249,0))</f>
        <v>1</v>
      </c>
      <c r="P2100" t="str">
        <f t="shared" si="92"/>
        <v>2023OFF PEAK</v>
      </c>
      <c r="Q2100">
        <f t="shared" si="93"/>
        <v>1</v>
      </c>
      <c r="R2100" s="195" t="str">
        <f t="shared" si="94"/>
        <v>2023LIGHT VEHICLES</v>
      </c>
    </row>
    <row r="2101" spans="3:18" x14ac:dyDescent="0.25">
      <c r="C2101" s="294" t="s">
        <v>904</v>
      </c>
      <c r="D2101" s="317">
        <v>7150</v>
      </c>
      <c r="E2101" s="122" t="s">
        <v>905</v>
      </c>
      <c r="F2101" s="122" t="s">
        <v>906</v>
      </c>
      <c r="G2101" s="122" t="s">
        <v>786</v>
      </c>
      <c r="H2101" s="122" t="s">
        <v>777</v>
      </c>
      <c r="I2101" s="312">
        <v>2023</v>
      </c>
      <c r="J2101" s="122" t="s">
        <v>711</v>
      </c>
      <c r="K2101" s="283">
        <v>5459</v>
      </c>
      <c r="L2101" s="318">
        <v>-33.724921999999999</v>
      </c>
      <c r="M2101" s="318">
        <v>150.977127</v>
      </c>
      <c r="O2101">
        <f>INDEX('MEC - traffic congestion'!$M$145:$M$249,MATCH($D2101,'MEC - traffic congestion'!$C$145:$C$249,0))</f>
        <v>1</v>
      </c>
      <c r="P2101" t="str">
        <f t="shared" si="92"/>
        <v>2023PM PEAK</v>
      </c>
      <c r="Q2101">
        <f t="shared" si="93"/>
        <v>1</v>
      </c>
      <c r="R2101" s="195" t="str">
        <f t="shared" si="94"/>
        <v>2023LIGHT VEHICLES</v>
      </c>
    </row>
    <row r="2102" spans="3:18" x14ac:dyDescent="0.25">
      <c r="C2102" s="294" t="s">
        <v>904</v>
      </c>
      <c r="D2102" s="317">
        <v>7150</v>
      </c>
      <c r="E2102" s="122" t="s">
        <v>905</v>
      </c>
      <c r="F2102" s="122" t="s">
        <v>906</v>
      </c>
      <c r="G2102" s="122" t="s">
        <v>786</v>
      </c>
      <c r="H2102" s="122" t="s">
        <v>777</v>
      </c>
      <c r="I2102" s="312">
        <v>2023</v>
      </c>
      <c r="J2102" s="122" t="s">
        <v>713</v>
      </c>
      <c r="K2102" s="283">
        <v>15692</v>
      </c>
      <c r="L2102" s="318">
        <v>-33.724921999999999</v>
      </c>
      <c r="M2102" s="318">
        <v>150.977127</v>
      </c>
      <c r="O2102">
        <f>INDEX('MEC - traffic congestion'!$M$145:$M$249,MATCH($D2102,'MEC - traffic congestion'!$C$145:$C$249,0))</f>
        <v>1</v>
      </c>
      <c r="P2102" t="str">
        <f t="shared" si="92"/>
        <v>2023WEEKENDS</v>
      </c>
      <c r="Q2102">
        <f t="shared" si="93"/>
        <v>1</v>
      </c>
      <c r="R2102" s="195" t="str">
        <f t="shared" si="94"/>
        <v>2023LIGHT VEHICLES</v>
      </c>
    </row>
    <row r="2103" spans="3:18" x14ac:dyDescent="0.25">
      <c r="C2103" s="294" t="s">
        <v>904</v>
      </c>
      <c r="D2103" s="317">
        <v>7150</v>
      </c>
      <c r="E2103" s="122" t="s">
        <v>905</v>
      </c>
      <c r="F2103" s="122" t="s">
        <v>906</v>
      </c>
      <c r="G2103" s="122" t="s">
        <v>786</v>
      </c>
      <c r="H2103" s="122" t="s">
        <v>777</v>
      </c>
      <c r="I2103" s="312">
        <v>2024</v>
      </c>
      <c r="J2103" s="122" t="s">
        <v>709</v>
      </c>
      <c r="K2103" s="283">
        <v>3081</v>
      </c>
      <c r="L2103" s="318">
        <v>-33.724921999999999</v>
      </c>
      <c r="M2103" s="318">
        <v>150.977127</v>
      </c>
      <c r="O2103">
        <f>INDEX('MEC - traffic congestion'!$M$145:$M$249,MATCH($D2103,'MEC - traffic congestion'!$C$145:$C$249,0))</f>
        <v>1</v>
      </c>
      <c r="P2103" t="str">
        <f t="shared" si="92"/>
        <v>2024AM PEAK</v>
      </c>
      <c r="Q2103">
        <f t="shared" si="93"/>
        <v>1</v>
      </c>
      <c r="R2103" s="195" t="str">
        <f t="shared" si="94"/>
        <v>2024LIGHT VEHICLES</v>
      </c>
    </row>
    <row r="2104" spans="3:18" x14ac:dyDescent="0.25">
      <c r="C2104" s="294" t="s">
        <v>904</v>
      </c>
      <c r="D2104" s="317">
        <v>7150</v>
      </c>
      <c r="E2104" s="122" t="s">
        <v>905</v>
      </c>
      <c r="F2104" s="122" t="s">
        <v>906</v>
      </c>
      <c r="G2104" s="122" t="s">
        <v>786</v>
      </c>
      <c r="H2104" s="122" t="s">
        <v>777</v>
      </c>
      <c r="I2104" s="312">
        <v>2024</v>
      </c>
      <c r="J2104" s="122" t="s">
        <v>710</v>
      </c>
      <c r="K2104" s="283">
        <v>8385</v>
      </c>
      <c r="L2104" s="318">
        <v>-33.724921999999999</v>
      </c>
      <c r="M2104" s="318">
        <v>150.977127</v>
      </c>
      <c r="O2104">
        <f>INDEX('MEC - traffic congestion'!$M$145:$M$249,MATCH($D2104,'MEC - traffic congestion'!$C$145:$C$249,0))</f>
        <v>1</v>
      </c>
      <c r="P2104" t="str">
        <f t="shared" si="92"/>
        <v>2024OFF PEAK</v>
      </c>
      <c r="Q2104">
        <f t="shared" si="93"/>
        <v>1</v>
      </c>
      <c r="R2104" s="195" t="str">
        <f t="shared" si="94"/>
        <v>2024LIGHT VEHICLES</v>
      </c>
    </row>
    <row r="2105" spans="3:18" x14ac:dyDescent="0.25">
      <c r="C2105" s="294" t="s">
        <v>904</v>
      </c>
      <c r="D2105" s="317">
        <v>7150</v>
      </c>
      <c r="E2105" s="122" t="s">
        <v>905</v>
      </c>
      <c r="F2105" s="122" t="s">
        <v>906</v>
      </c>
      <c r="G2105" s="122" t="s">
        <v>786</v>
      </c>
      <c r="H2105" s="122" t="s">
        <v>777</v>
      </c>
      <c r="I2105" s="312">
        <v>2024</v>
      </c>
      <c r="J2105" s="122" t="s">
        <v>711</v>
      </c>
      <c r="K2105" s="283">
        <v>5393</v>
      </c>
      <c r="L2105" s="318">
        <v>-33.724921999999999</v>
      </c>
      <c r="M2105" s="318">
        <v>150.977127</v>
      </c>
      <c r="O2105">
        <f>INDEX('MEC - traffic congestion'!$M$145:$M$249,MATCH($D2105,'MEC - traffic congestion'!$C$145:$C$249,0))</f>
        <v>1</v>
      </c>
      <c r="P2105" t="str">
        <f t="shared" si="92"/>
        <v>2024PM PEAK</v>
      </c>
      <c r="Q2105">
        <f t="shared" si="93"/>
        <v>1</v>
      </c>
      <c r="R2105" s="195" t="str">
        <f t="shared" si="94"/>
        <v>2024LIGHT VEHICLES</v>
      </c>
    </row>
    <row r="2106" spans="3:18" x14ac:dyDescent="0.25">
      <c r="C2106" s="294" t="s">
        <v>904</v>
      </c>
      <c r="D2106" s="317">
        <v>7150</v>
      </c>
      <c r="E2106" s="122" t="s">
        <v>905</v>
      </c>
      <c r="F2106" s="122" t="s">
        <v>906</v>
      </c>
      <c r="G2106" s="122" t="s">
        <v>786</v>
      </c>
      <c r="H2106" s="122" t="s">
        <v>777</v>
      </c>
      <c r="I2106" s="312">
        <v>2024</v>
      </c>
      <c r="J2106" s="122" t="s">
        <v>713</v>
      </c>
      <c r="K2106" s="283">
        <v>16127</v>
      </c>
      <c r="L2106" s="318">
        <v>-33.724921999999999</v>
      </c>
      <c r="M2106" s="318">
        <v>150.977127</v>
      </c>
      <c r="O2106">
        <f>INDEX('MEC - traffic congestion'!$M$145:$M$249,MATCH($D2106,'MEC - traffic congestion'!$C$145:$C$249,0))</f>
        <v>1</v>
      </c>
      <c r="P2106" t="str">
        <f t="shared" si="92"/>
        <v>2024WEEKENDS</v>
      </c>
      <c r="Q2106">
        <f t="shared" si="93"/>
        <v>1</v>
      </c>
      <c r="R2106" s="195" t="str">
        <f t="shared" si="94"/>
        <v>2024LIGHT VEHICLES</v>
      </c>
    </row>
    <row r="2107" spans="3:18" x14ac:dyDescent="0.25">
      <c r="C2107" s="294" t="s">
        <v>907</v>
      </c>
      <c r="D2107" s="317">
        <v>7153</v>
      </c>
      <c r="E2107" s="122" t="s">
        <v>908</v>
      </c>
      <c r="F2107" s="122" t="s">
        <v>909</v>
      </c>
      <c r="G2107" s="122" t="s">
        <v>776</v>
      </c>
      <c r="H2107" s="122" t="s">
        <v>777</v>
      </c>
      <c r="I2107" s="312">
        <v>2018</v>
      </c>
      <c r="J2107" s="122" t="s">
        <v>709</v>
      </c>
      <c r="K2107" s="283">
        <v>6907</v>
      </c>
      <c r="L2107" s="318">
        <v>-33.8651123</v>
      </c>
      <c r="M2107" s="318">
        <v>151.04161070000001</v>
      </c>
      <c r="O2107">
        <f>INDEX('MEC - traffic congestion'!$M$145:$M$249,MATCH($D2107,'MEC - traffic congestion'!$C$145:$C$249,0))</f>
        <v>1</v>
      </c>
      <c r="P2107" t="str">
        <f t="shared" si="92"/>
        <v>2018AM PEAK</v>
      </c>
      <c r="Q2107">
        <f t="shared" si="93"/>
        <v>1</v>
      </c>
      <c r="R2107" s="195" t="str">
        <f t="shared" si="94"/>
        <v>2018LIGHT VEHICLES</v>
      </c>
    </row>
    <row r="2108" spans="3:18" x14ac:dyDescent="0.25">
      <c r="C2108" s="294" t="s">
        <v>907</v>
      </c>
      <c r="D2108" s="317">
        <v>7153</v>
      </c>
      <c r="E2108" s="122" t="s">
        <v>908</v>
      </c>
      <c r="F2108" s="122" t="s">
        <v>909</v>
      </c>
      <c r="G2108" s="122" t="s">
        <v>776</v>
      </c>
      <c r="H2108" s="122" t="s">
        <v>777</v>
      </c>
      <c r="I2108" s="312">
        <v>2018</v>
      </c>
      <c r="J2108" s="122" t="s">
        <v>710</v>
      </c>
      <c r="K2108" s="283">
        <v>9262</v>
      </c>
      <c r="L2108" s="318">
        <v>-33.8651123</v>
      </c>
      <c r="M2108" s="318">
        <v>151.04161070000001</v>
      </c>
      <c r="O2108">
        <f>INDEX('MEC - traffic congestion'!$M$145:$M$249,MATCH($D2108,'MEC - traffic congestion'!$C$145:$C$249,0))</f>
        <v>1</v>
      </c>
      <c r="P2108" t="str">
        <f t="shared" si="92"/>
        <v>2018OFF PEAK</v>
      </c>
      <c r="Q2108">
        <f t="shared" si="93"/>
        <v>1</v>
      </c>
      <c r="R2108" s="195" t="str">
        <f t="shared" si="94"/>
        <v>2018LIGHT VEHICLES</v>
      </c>
    </row>
    <row r="2109" spans="3:18" x14ac:dyDescent="0.25">
      <c r="C2109" s="294" t="s">
        <v>907</v>
      </c>
      <c r="D2109" s="317">
        <v>7153</v>
      </c>
      <c r="E2109" s="122" t="s">
        <v>908</v>
      </c>
      <c r="F2109" s="122" t="s">
        <v>909</v>
      </c>
      <c r="G2109" s="122" t="s">
        <v>776</v>
      </c>
      <c r="H2109" s="122" t="s">
        <v>777</v>
      </c>
      <c r="I2109" s="312">
        <v>2018</v>
      </c>
      <c r="J2109" s="122" t="s">
        <v>711</v>
      </c>
      <c r="K2109" s="283">
        <v>4866</v>
      </c>
      <c r="L2109" s="318">
        <v>-33.8651123</v>
      </c>
      <c r="M2109" s="318">
        <v>151.04161070000001</v>
      </c>
      <c r="O2109">
        <f>INDEX('MEC - traffic congestion'!$M$145:$M$249,MATCH($D2109,'MEC - traffic congestion'!$C$145:$C$249,0))</f>
        <v>1</v>
      </c>
      <c r="P2109" t="str">
        <f t="shared" si="92"/>
        <v>2018PM PEAK</v>
      </c>
      <c r="Q2109">
        <f t="shared" si="93"/>
        <v>1</v>
      </c>
      <c r="R2109" s="195" t="str">
        <f t="shared" si="94"/>
        <v>2018LIGHT VEHICLES</v>
      </c>
    </row>
    <row r="2110" spans="3:18" x14ac:dyDescent="0.25">
      <c r="C2110" s="294" t="s">
        <v>907</v>
      </c>
      <c r="D2110" s="317">
        <v>7153</v>
      </c>
      <c r="E2110" s="122" t="s">
        <v>908</v>
      </c>
      <c r="F2110" s="122" t="s">
        <v>909</v>
      </c>
      <c r="G2110" s="122" t="s">
        <v>776</v>
      </c>
      <c r="H2110" s="122" t="s">
        <v>777</v>
      </c>
      <c r="I2110" s="312">
        <v>2018</v>
      </c>
      <c r="J2110" s="122" t="s">
        <v>712</v>
      </c>
      <c r="K2110" s="283">
        <v>13650</v>
      </c>
      <c r="L2110" s="318">
        <v>-33.8651123</v>
      </c>
      <c r="M2110" s="318">
        <v>151.04161070000001</v>
      </c>
      <c r="O2110">
        <f>INDEX('MEC - traffic congestion'!$M$145:$M$249,MATCH($D2110,'MEC - traffic congestion'!$C$145:$C$249,0))</f>
        <v>1</v>
      </c>
      <c r="P2110" t="str">
        <f t="shared" si="92"/>
        <v>2018PUBLIC HOLIDAYS</v>
      </c>
      <c r="Q2110">
        <f t="shared" si="93"/>
        <v>1</v>
      </c>
      <c r="R2110" s="195" t="str">
        <f t="shared" si="94"/>
        <v>2018LIGHT VEHICLES</v>
      </c>
    </row>
    <row r="2111" spans="3:18" x14ac:dyDescent="0.25">
      <c r="C2111" s="294" t="s">
        <v>907</v>
      </c>
      <c r="D2111" s="317">
        <v>7153</v>
      </c>
      <c r="E2111" s="122" t="s">
        <v>908</v>
      </c>
      <c r="F2111" s="122" t="s">
        <v>909</v>
      </c>
      <c r="G2111" s="122" t="s">
        <v>776</v>
      </c>
      <c r="H2111" s="122" t="s">
        <v>777</v>
      </c>
      <c r="I2111" s="312">
        <v>2018</v>
      </c>
      <c r="J2111" s="122" t="s">
        <v>713</v>
      </c>
      <c r="K2111" s="283">
        <v>16645</v>
      </c>
      <c r="L2111" s="318">
        <v>-33.8651123</v>
      </c>
      <c r="M2111" s="318">
        <v>151.04161070000001</v>
      </c>
      <c r="O2111">
        <f>INDEX('MEC - traffic congestion'!$M$145:$M$249,MATCH($D2111,'MEC - traffic congestion'!$C$145:$C$249,0))</f>
        <v>1</v>
      </c>
      <c r="P2111" t="str">
        <f t="shared" si="92"/>
        <v>2018WEEKENDS</v>
      </c>
      <c r="Q2111">
        <f t="shared" si="93"/>
        <v>1</v>
      </c>
      <c r="R2111" s="195" t="str">
        <f t="shared" si="94"/>
        <v>2018LIGHT VEHICLES</v>
      </c>
    </row>
    <row r="2112" spans="3:18" x14ac:dyDescent="0.25">
      <c r="C2112" s="294" t="s">
        <v>907</v>
      </c>
      <c r="D2112" s="317">
        <v>7153</v>
      </c>
      <c r="E2112" s="122" t="s">
        <v>908</v>
      </c>
      <c r="F2112" s="122" t="s">
        <v>909</v>
      </c>
      <c r="G2112" s="122" t="s">
        <v>776</v>
      </c>
      <c r="H2112" s="122" t="s">
        <v>777</v>
      </c>
      <c r="I2112" s="312">
        <v>2019</v>
      </c>
      <c r="J2112" s="122" t="s">
        <v>709</v>
      </c>
      <c r="K2112" s="283">
        <v>6938</v>
      </c>
      <c r="L2112" s="318">
        <v>-33.8651123</v>
      </c>
      <c r="M2112" s="318">
        <v>151.04161070000001</v>
      </c>
      <c r="O2112">
        <f>INDEX('MEC - traffic congestion'!$M$145:$M$249,MATCH($D2112,'MEC - traffic congestion'!$C$145:$C$249,0))</f>
        <v>1</v>
      </c>
      <c r="P2112" t="str">
        <f t="shared" si="92"/>
        <v>2019AM PEAK</v>
      </c>
      <c r="Q2112">
        <f t="shared" si="93"/>
        <v>1</v>
      </c>
      <c r="R2112" s="195" t="str">
        <f t="shared" si="94"/>
        <v>2019LIGHT VEHICLES</v>
      </c>
    </row>
    <row r="2113" spans="3:18" x14ac:dyDescent="0.25">
      <c r="C2113" s="294" t="s">
        <v>907</v>
      </c>
      <c r="D2113" s="317">
        <v>7153</v>
      </c>
      <c r="E2113" s="122" t="s">
        <v>908</v>
      </c>
      <c r="F2113" s="122" t="s">
        <v>909</v>
      </c>
      <c r="G2113" s="122" t="s">
        <v>776</v>
      </c>
      <c r="H2113" s="122" t="s">
        <v>777</v>
      </c>
      <c r="I2113" s="312">
        <v>2019</v>
      </c>
      <c r="J2113" s="122" t="s">
        <v>710</v>
      </c>
      <c r="K2113" s="283">
        <v>9098</v>
      </c>
      <c r="L2113" s="318">
        <v>-33.8651123</v>
      </c>
      <c r="M2113" s="318">
        <v>151.04161070000001</v>
      </c>
      <c r="O2113">
        <f>INDEX('MEC - traffic congestion'!$M$145:$M$249,MATCH($D2113,'MEC - traffic congestion'!$C$145:$C$249,0))</f>
        <v>1</v>
      </c>
      <c r="P2113" t="str">
        <f t="shared" si="92"/>
        <v>2019OFF PEAK</v>
      </c>
      <c r="Q2113">
        <f t="shared" si="93"/>
        <v>1</v>
      </c>
      <c r="R2113" s="195" t="str">
        <f t="shared" si="94"/>
        <v>2019LIGHT VEHICLES</v>
      </c>
    </row>
    <row r="2114" spans="3:18" x14ac:dyDescent="0.25">
      <c r="C2114" s="294" t="s">
        <v>907</v>
      </c>
      <c r="D2114" s="317">
        <v>7153</v>
      </c>
      <c r="E2114" s="122" t="s">
        <v>908</v>
      </c>
      <c r="F2114" s="122" t="s">
        <v>909</v>
      </c>
      <c r="G2114" s="122" t="s">
        <v>776</v>
      </c>
      <c r="H2114" s="122" t="s">
        <v>777</v>
      </c>
      <c r="I2114" s="312">
        <v>2019</v>
      </c>
      <c r="J2114" s="122" t="s">
        <v>711</v>
      </c>
      <c r="K2114" s="283">
        <v>4765</v>
      </c>
      <c r="L2114" s="318">
        <v>-33.8651123</v>
      </c>
      <c r="M2114" s="318">
        <v>151.04161070000001</v>
      </c>
      <c r="O2114">
        <f>INDEX('MEC - traffic congestion'!$M$145:$M$249,MATCH($D2114,'MEC - traffic congestion'!$C$145:$C$249,0))</f>
        <v>1</v>
      </c>
      <c r="P2114" t="str">
        <f t="shared" si="92"/>
        <v>2019PM PEAK</v>
      </c>
      <c r="Q2114">
        <f t="shared" si="93"/>
        <v>1</v>
      </c>
      <c r="R2114" s="195" t="str">
        <f t="shared" si="94"/>
        <v>2019LIGHT VEHICLES</v>
      </c>
    </row>
    <row r="2115" spans="3:18" x14ac:dyDescent="0.25">
      <c r="C2115" s="294" t="s">
        <v>907</v>
      </c>
      <c r="D2115" s="317">
        <v>7153</v>
      </c>
      <c r="E2115" s="122" t="s">
        <v>908</v>
      </c>
      <c r="F2115" s="122" t="s">
        <v>909</v>
      </c>
      <c r="G2115" s="122" t="s">
        <v>776</v>
      </c>
      <c r="H2115" s="122" t="s">
        <v>777</v>
      </c>
      <c r="I2115" s="312">
        <v>2019</v>
      </c>
      <c r="J2115" s="122" t="s">
        <v>712</v>
      </c>
      <c r="K2115" s="283">
        <v>13303</v>
      </c>
      <c r="L2115" s="318">
        <v>-33.8651123</v>
      </c>
      <c r="M2115" s="318">
        <v>151.04161070000001</v>
      </c>
      <c r="O2115">
        <f>INDEX('MEC - traffic congestion'!$M$145:$M$249,MATCH($D2115,'MEC - traffic congestion'!$C$145:$C$249,0))</f>
        <v>1</v>
      </c>
      <c r="P2115" t="str">
        <f t="shared" si="92"/>
        <v>2019PUBLIC HOLIDAYS</v>
      </c>
      <c r="Q2115">
        <f t="shared" si="93"/>
        <v>1</v>
      </c>
      <c r="R2115" s="195" t="str">
        <f t="shared" si="94"/>
        <v>2019LIGHT VEHICLES</v>
      </c>
    </row>
    <row r="2116" spans="3:18" x14ac:dyDescent="0.25">
      <c r="C2116" s="294" t="s">
        <v>907</v>
      </c>
      <c r="D2116" s="317">
        <v>7153</v>
      </c>
      <c r="E2116" s="122" t="s">
        <v>908</v>
      </c>
      <c r="F2116" s="122" t="s">
        <v>909</v>
      </c>
      <c r="G2116" s="122" t="s">
        <v>776</v>
      </c>
      <c r="H2116" s="122" t="s">
        <v>777</v>
      </c>
      <c r="I2116" s="312">
        <v>2019</v>
      </c>
      <c r="J2116" s="122" t="s">
        <v>713</v>
      </c>
      <c r="K2116" s="283">
        <v>16324</v>
      </c>
      <c r="L2116" s="318">
        <v>-33.8651123</v>
      </c>
      <c r="M2116" s="318">
        <v>151.04161070000001</v>
      </c>
      <c r="O2116">
        <f>INDEX('MEC - traffic congestion'!$M$145:$M$249,MATCH($D2116,'MEC - traffic congestion'!$C$145:$C$249,0))</f>
        <v>1</v>
      </c>
      <c r="P2116" t="str">
        <f t="shared" si="92"/>
        <v>2019WEEKENDS</v>
      </c>
      <c r="Q2116">
        <f t="shared" si="93"/>
        <v>1</v>
      </c>
      <c r="R2116" s="195" t="str">
        <f t="shared" si="94"/>
        <v>2019LIGHT VEHICLES</v>
      </c>
    </row>
    <row r="2117" spans="3:18" x14ac:dyDescent="0.25">
      <c r="C2117" s="294" t="s">
        <v>907</v>
      </c>
      <c r="D2117" s="317">
        <v>7153</v>
      </c>
      <c r="E2117" s="122" t="s">
        <v>908</v>
      </c>
      <c r="F2117" s="122" t="s">
        <v>909</v>
      </c>
      <c r="G2117" s="122" t="s">
        <v>776</v>
      </c>
      <c r="H2117" s="122" t="s">
        <v>777</v>
      </c>
      <c r="I2117" s="312">
        <v>2020</v>
      </c>
      <c r="J2117" s="122" t="s">
        <v>709</v>
      </c>
      <c r="K2117" s="283">
        <v>5910</v>
      </c>
      <c r="L2117" s="318">
        <v>-33.8651123</v>
      </c>
      <c r="M2117" s="318">
        <v>151.04161070000001</v>
      </c>
      <c r="O2117">
        <f>INDEX('MEC - traffic congestion'!$M$145:$M$249,MATCH($D2117,'MEC - traffic congestion'!$C$145:$C$249,0))</f>
        <v>1</v>
      </c>
      <c r="P2117" t="str">
        <f t="shared" si="92"/>
        <v>2020AM PEAK</v>
      </c>
      <c r="Q2117">
        <f t="shared" si="93"/>
        <v>1</v>
      </c>
      <c r="R2117" s="195" t="str">
        <f t="shared" si="94"/>
        <v>2020LIGHT VEHICLES</v>
      </c>
    </row>
    <row r="2118" spans="3:18" x14ac:dyDescent="0.25">
      <c r="C2118" s="294" t="s">
        <v>907</v>
      </c>
      <c r="D2118" s="317">
        <v>7153</v>
      </c>
      <c r="E2118" s="122" t="s">
        <v>908</v>
      </c>
      <c r="F2118" s="122" t="s">
        <v>909</v>
      </c>
      <c r="G2118" s="122" t="s">
        <v>776</v>
      </c>
      <c r="H2118" s="122" t="s">
        <v>777</v>
      </c>
      <c r="I2118" s="312">
        <v>2020</v>
      </c>
      <c r="J2118" s="122" t="s">
        <v>710</v>
      </c>
      <c r="K2118" s="283">
        <v>8511</v>
      </c>
      <c r="L2118" s="318">
        <v>-33.8651123</v>
      </c>
      <c r="M2118" s="318">
        <v>151.04161070000001</v>
      </c>
      <c r="O2118">
        <f>INDEX('MEC - traffic congestion'!$M$145:$M$249,MATCH($D2118,'MEC - traffic congestion'!$C$145:$C$249,0))</f>
        <v>1</v>
      </c>
      <c r="P2118" t="str">
        <f t="shared" si="92"/>
        <v>2020OFF PEAK</v>
      </c>
      <c r="Q2118">
        <f t="shared" si="93"/>
        <v>1</v>
      </c>
      <c r="R2118" s="195" t="str">
        <f t="shared" si="94"/>
        <v>2020LIGHT VEHICLES</v>
      </c>
    </row>
    <row r="2119" spans="3:18" x14ac:dyDescent="0.25">
      <c r="C2119" s="294" t="s">
        <v>907</v>
      </c>
      <c r="D2119" s="317">
        <v>7153</v>
      </c>
      <c r="E2119" s="122" t="s">
        <v>908</v>
      </c>
      <c r="F2119" s="122" t="s">
        <v>909</v>
      </c>
      <c r="G2119" s="122" t="s">
        <v>776</v>
      </c>
      <c r="H2119" s="122" t="s">
        <v>777</v>
      </c>
      <c r="I2119" s="312">
        <v>2020</v>
      </c>
      <c r="J2119" s="122" t="s">
        <v>711</v>
      </c>
      <c r="K2119" s="283">
        <v>4533</v>
      </c>
      <c r="L2119" s="318">
        <v>-33.8651123</v>
      </c>
      <c r="M2119" s="318">
        <v>151.04161070000001</v>
      </c>
      <c r="O2119">
        <f>INDEX('MEC - traffic congestion'!$M$145:$M$249,MATCH($D2119,'MEC - traffic congestion'!$C$145:$C$249,0))</f>
        <v>1</v>
      </c>
      <c r="P2119" t="str">
        <f t="shared" si="92"/>
        <v>2020PM PEAK</v>
      </c>
      <c r="Q2119">
        <f t="shared" si="93"/>
        <v>1</v>
      </c>
      <c r="R2119" s="195" t="str">
        <f t="shared" si="94"/>
        <v>2020LIGHT VEHICLES</v>
      </c>
    </row>
    <row r="2120" spans="3:18" x14ac:dyDescent="0.25">
      <c r="C2120" s="294" t="s">
        <v>907</v>
      </c>
      <c r="D2120" s="317">
        <v>7153</v>
      </c>
      <c r="E2120" s="122" t="s">
        <v>908</v>
      </c>
      <c r="F2120" s="122" t="s">
        <v>909</v>
      </c>
      <c r="G2120" s="122" t="s">
        <v>776</v>
      </c>
      <c r="H2120" s="122" t="s">
        <v>777</v>
      </c>
      <c r="I2120" s="312">
        <v>2020</v>
      </c>
      <c r="J2120" s="122" t="s">
        <v>712</v>
      </c>
      <c r="K2120" s="283">
        <v>10341</v>
      </c>
      <c r="L2120" s="318">
        <v>-33.8651123</v>
      </c>
      <c r="M2120" s="318">
        <v>151.04161070000001</v>
      </c>
      <c r="O2120">
        <f>INDEX('MEC - traffic congestion'!$M$145:$M$249,MATCH($D2120,'MEC - traffic congestion'!$C$145:$C$249,0))</f>
        <v>1</v>
      </c>
      <c r="P2120" t="str">
        <f t="shared" si="92"/>
        <v>2020PUBLIC HOLIDAYS</v>
      </c>
      <c r="Q2120">
        <f t="shared" si="93"/>
        <v>1</v>
      </c>
      <c r="R2120" s="195" t="str">
        <f t="shared" si="94"/>
        <v>2020LIGHT VEHICLES</v>
      </c>
    </row>
    <row r="2121" spans="3:18" x14ac:dyDescent="0.25">
      <c r="C2121" s="294" t="s">
        <v>907</v>
      </c>
      <c r="D2121" s="317">
        <v>7153</v>
      </c>
      <c r="E2121" s="122" t="s">
        <v>908</v>
      </c>
      <c r="F2121" s="122" t="s">
        <v>909</v>
      </c>
      <c r="G2121" s="122" t="s">
        <v>776</v>
      </c>
      <c r="H2121" s="122" t="s">
        <v>777</v>
      </c>
      <c r="I2121" s="312">
        <v>2020</v>
      </c>
      <c r="J2121" s="122" t="s">
        <v>713</v>
      </c>
      <c r="K2121" s="283">
        <v>14197</v>
      </c>
      <c r="L2121" s="318">
        <v>-33.8651123</v>
      </c>
      <c r="M2121" s="318">
        <v>151.04161070000001</v>
      </c>
      <c r="O2121">
        <f>INDEX('MEC - traffic congestion'!$M$145:$M$249,MATCH($D2121,'MEC - traffic congestion'!$C$145:$C$249,0))</f>
        <v>1</v>
      </c>
      <c r="P2121" t="str">
        <f t="shared" si="92"/>
        <v>2020WEEKENDS</v>
      </c>
      <c r="Q2121">
        <f t="shared" si="93"/>
        <v>1</v>
      </c>
      <c r="R2121" s="195" t="str">
        <f t="shared" si="94"/>
        <v>2020LIGHT VEHICLES</v>
      </c>
    </row>
    <row r="2122" spans="3:18" x14ac:dyDescent="0.25">
      <c r="C2122" s="294" t="s">
        <v>907</v>
      </c>
      <c r="D2122" s="317">
        <v>7153</v>
      </c>
      <c r="E2122" s="122" t="s">
        <v>908</v>
      </c>
      <c r="F2122" s="122" t="s">
        <v>909</v>
      </c>
      <c r="G2122" s="122" t="s">
        <v>776</v>
      </c>
      <c r="H2122" s="122" t="s">
        <v>777</v>
      </c>
      <c r="I2122" s="312">
        <v>2021</v>
      </c>
      <c r="J2122" s="122" t="s">
        <v>709</v>
      </c>
      <c r="K2122" s="283">
        <v>5277</v>
      </c>
      <c r="L2122" s="318">
        <v>-33.8651123</v>
      </c>
      <c r="M2122" s="318">
        <v>151.04161070000001</v>
      </c>
      <c r="O2122">
        <f>INDEX('MEC - traffic congestion'!$M$145:$M$249,MATCH($D2122,'MEC - traffic congestion'!$C$145:$C$249,0))</f>
        <v>1</v>
      </c>
      <c r="P2122" t="str">
        <f t="shared" si="92"/>
        <v>2021AM PEAK</v>
      </c>
      <c r="Q2122">
        <f t="shared" si="93"/>
        <v>1</v>
      </c>
      <c r="R2122" s="195" t="str">
        <f t="shared" si="94"/>
        <v>2021LIGHT VEHICLES</v>
      </c>
    </row>
    <row r="2123" spans="3:18" x14ac:dyDescent="0.25">
      <c r="C2123" s="294" t="s">
        <v>907</v>
      </c>
      <c r="D2123" s="317">
        <v>7153</v>
      </c>
      <c r="E2123" s="122" t="s">
        <v>908</v>
      </c>
      <c r="F2123" s="122" t="s">
        <v>909</v>
      </c>
      <c r="G2123" s="122" t="s">
        <v>776</v>
      </c>
      <c r="H2123" s="122" t="s">
        <v>777</v>
      </c>
      <c r="I2123" s="312">
        <v>2021</v>
      </c>
      <c r="J2123" s="122" t="s">
        <v>710</v>
      </c>
      <c r="K2123" s="283">
        <v>7687</v>
      </c>
      <c r="L2123" s="318">
        <v>-33.8651123</v>
      </c>
      <c r="M2123" s="318">
        <v>151.04161070000001</v>
      </c>
      <c r="O2123">
        <f>INDEX('MEC - traffic congestion'!$M$145:$M$249,MATCH($D2123,'MEC - traffic congestion'!$C$145:$C$249,0))</f>
        <v>1</v>
      </c>
      <c r="P2123" t="str">
        <f t="shared" si="92"/>
        <v>2021OFF PEAK</v>
      </c>
      <c r="Q2123">
        <f t="shared" si="93"/>
        <v>1</v>
      </c>
      <c r="R2123" s="195" t="str">
        <f t="shared" si="94"/>
        <v>2021LIGHT VEHICLES</v>
      </c>
    </row>
    <row r="2124" spans="3:18" x14ac:dyDescent="0.25">
      <c r="C2124" s="294" t="s">
        <v>907</v>
      </c>
      <c r="D2124" s="317">
        <v>7153</v>
      </c>
      <c r="E2124" s="122" t="s">
        <v>908</v>
      </c>
      <c r="F2124" s="122" t="s">
        <v>909</v>
      </c>
      <c r="G2124" s="122" t="s">
        <v>776</v>
      </c>
      <c r="H2124" s="122" t="s">
        <v>777</v>
      </c>
      <c r="I2124" s="312">
        <v>2021</v>
      </c>
      <c r="J2124" s="122" t="s">
        <v>711</v>
      </c>
      <c r="K2124" s="283">
        <v>4101</v>
      </c>
      <c r="L2124" s="318">
        <v>-33.8651123</v>
      </c>
      <c r="M2124" s="318">
        <v>151.04161070000001</v>
      </c>
      <c r="O2124">
        <f>INDEX('MEC - traffic congestion'!$M$145:$M$249,MATCH($D2124,'MEC - traffic congestion'!$C$145:$C$249,0))</f>
        <v>1</v>
      </c>
      <c r="P2124" t="str">
        <f t="shared" si="92"/>
        <v>2021PM PEAK</v>
      </c>
      <c r="Q2124">
        <f t="shared" si="93"/>
        <v>1</v>
      </c>
      <c r="R2124" s="195" t="str">
        <f t="shared" si="94"/>
        <v>2021LIGHT VEHICLES</v>
      </c>
    </row>
    <row r="2125" spans="3:18" x14ac:dyDescent="0.25">
      <c r="C2125" s="294" t="s">
        <v>907</v>
      </c>
      <c r="D2125" s="317">
        <v>7153</v>
      </c>
      <c r="E2125" s="122" t="s">
        <v>908</v>
      </c>
      <c r="F2125" s="122" t="s">
        <v>909</v>
      </c>
      <c r="G2125" s="122" t="s">
        <v>776</v>
      </c>
      <c r="H2125" s="122" t="s">
        <v>777</v>
      </c>
      <c r="I2125" s="312">
        <v>2021</v>
      </c>
      <c r="J2125" s="122" t="s">
        <v>713</v>
      </c>
      <c r="K2125" s="283">
        <v>12653</v>
      </c>
      <c r="L2125" s="318">
        <v>-33.8651123</v>
      </c>
      <c r="M2125" s="318">
        <v>151.04161070000001</v>
      </c>
      <c r="O2125">
        <f>INDEX('MEC - traffic congestion'!$M$145:$M$249,MATCH($D2125,'MEC - traffic congestion'!$C$145:$C$249,0))</f>
        <v>1</v>
      </c>
      <c r="P2125" t="str">
        <f t="shared" si="92"/>
        <v>2021WEEKENDS</v>
      </c>
      <c r="Q2125">
        <f t="shared" si="93"/>
        <v>1</v>
      </c>
      <c r="R2125" s="195" t="str">
        <f t="shared" si="94"/>
        <v>2021LIGHT VEHICLES</v>
      </c>
    </row>
    <row r="2126" spans="3:18" x14ac:dyDescent="0.25">
      <c r="C2126" s="294" t="s">
        <v>907</v>
      </c>
      <c r="D2126" s="317">
        <v>7153</v>
      </c>
      <c r="E2126" s="122" t="s">
        <v>908</v>
      </c>
      <c r="F2126" s="122" t="s">
        <v>909</v>
      </c>
      <c r="G2126" s="122" t="s">
        <v>776</v>
      </c>
      <c r="H2126" s="122" t="s">
        <v>777</v>
      </c>
      <c r="I2126" s="312">
        <v>2022</v>
      </c>
      <c r="J2126" s="122" t="s">
        <v>709</v>
      </c>
      <c r="K2126" s="283">
        <v>5661</v>
      </c>
      <c r="L2126" s="318">
        <v>-33.8651123</v>
      </c>
      <c r="M2126" s="318">
        <v>151.04161070000001</v>
      </c>
      <c r="O2126">
        <f>INDEX('MEC - traffic congestion'!$M$145:$M$249,MATCH($D2126,'MEC - traffic congestion'!$C$145:$C$249,0))</f>
        <v>1</v>
      </c>
      <c r="P2126" t="str">
        <f t="shared" si="92"/>
        <v>2022AM PEAK</v>
      </c>
      <c r="Q2126">
        <f t="shared" si="93"/>
        <v>1</v>
      </c>
      <c r="R2126" s="195" t="str">
        <f t="shared" si="94"/>
        <v>2022LIGHT VEHICLES</v>
      </c>
    </row>
    <row r="2127" spans="3:18" x14ac:dyDescent="0.25">
      <c r="C2127" s="294" t="s">
        <v>907</v>
      </c>
      <c r="D2127" s="317">
        <v>7153</v>
      </c>
      <c r="E2127" s="122" t="s">
        <v>908</v>
      </c>
      <c r="F2127" s="122" t="s">
        <v>909</v>
      </c>
      <c r="G2127" s="122" t="s">
        <v>776</v>
      </c>
      <c r="H2127" s="122" t="s">
        <v>777</v>
      </c>
      <c r="I2127" s="312">
        <v>2022</v>
      </c>
      <c r="J2127" s="122" t="s">
        <v>710</v>
      </c>
      <c r="K2127" s="283">
        <v>8286</v>
      </c>
      <c r="L2127" s="318">
        <v>-33.8651123</v>
      </c>
      <c r="M2127" s="318">
        <v>151.04161070000001</v>
      </c>
      <c r="O2127">
        <f>INDEX('MEC - traffic congestion'!$M$145:$M$249,MATCH($D2127,'MEC - traffic congestion'!$C$145:$C$249,0))</f>
        <v>1</v>
      </c>
      <c r="P2127" t="str">
        <f t="shared" si="92"/>
        <v>2022OFF PEAK</v>
      </c>
      <c r="Q2127">
        <f t="shared" si="93"/>
        <v>1</v>
      </c>
      <c r="R2127" s="195" t="str">
        <f t="shared" si="94"/>
        <v>2022LIGHT VEHICLES</v>
      </c>
    </row>
    <row r="2128" spans="3:18" x14ac:dyDescent="0.25">
      <c r="C2128" s="294" t="s">
        <v>907</v>
      </c>
      <c r="D2128" s="317">
        <v>7153</v>
      </c>
      <c r="E2128" s="122" t="s">
        <v>908</v>
      </c>
      <c r="F2128" s="122" t="s">
        <v>909</v>
      </c>
      <c r="G2128" s="122" t="s">
        <v>776</v>
      </c>
      <c r="H2128" s="122" t="s">
        <v>777</v>
      </c>
      <c r="I2128" s="312">
        <v>2022</v>
      </c>
      <c r="J2128" s="122" t="s">
        <v>711</v>
      </c>
      <c r="K2128" s="283">
        <v>4348</v>
      </c>
      <c r="L2128" s="318">
        <v>-33.8651123</v>
      </c>
      <c r="M2128" s="318">
        <v>151.04161070000001</v>
      </c>
      <c r="O2128">
        <f>INDEX('MEC - traffic congestion'!$M$145:$M$249,MATCH($D2128,'MEC - traffic congestion'!$C$145:$C$249,0))</f>
        <v>1</v>
      </c>
      <c r="P2128" t="str">
        <f t="shared" si="92"/>
        <v>2022PM PEAK</v>
      </c>
      <c r="Q2128">
        <f t="shared" si="93"/>
        <v>1</v>
      </c>
      <c r="R2128" s="195" t="str">
        <f t="shared" si="94"/>
        <v>2022LIGHT VEHICLES</v>
      </c>
    </row>
    <row r="2129" spans="3:18" x14ac:dyDescent="0.25">
      <c r="C2129" s="294" t="s">
        <v>907</v>
      </c>
      <c r="D2129" s="317">
        <v>7153</v>
      </c>
      <c r="E2129" s="122" t="s">
        <v>908</v>
      </c>
      <c r="F2129" s="122" t="s">
        <v>909</v>
      </c>
      <c r="G2129" s="122" t="s">
        <v>776</v>
      </c>
      <c r="H2129" s="122" t="s">
        <v>777</v>
      </c>
      <c r="I2129" s="312">
        <v>2022</v>
      </c>
      <c r="J2129" s="122" t="s">
        <v>713</v>
      </c>
      <c r="K2129" s="283">
        <v>14608</v>
      </c>
      <c r="L2129" s="318">
        <v>-33.8651123</v>
      </c>
      <c r="M2129" s="318">
        <v>151.04161070000001</v>
      </c>
      <c r="O2129">
        <f>INDEX('MEC - traffic congestion'!$M$145:$M$249,MATCH($D2129,'MEC - traffic congestion'!$C$145:$C$249,0))</f>
        <v>1</v>
      </c>
      <c r="P2129" t="str">
        <f t="shared" si="92"/>
        <v>2022WEEKENDS</v>
      </c>
      <c r="Q2129">
        <f t="shared" si="93"/>
        <v>1</v>
      </c>
      <c r="R2129" s="195" t="str">
        <f t="shared" si="94"/>
        <v>2022LIGHT VEHICLES</v>
      </c>
    </row>
    <row r="2130" spans="3:18" x14ac:dyDescent="0.25">
      <c r="C2130" s="294" t="s">
        <v>907</v>
      </c>
      <c r="D2130" s="317">
        <v>7153</v>
      </c>
      <c r="E2130" s="122" t="s">
        <v>908</v>
      </c>
      <c r="F2130" s="122" t="s">
        <v>909</v>
      </c>
      <c r="G2130" s="122" t="s">
        <v>776</v>
      </c>
      <c r="H2130" s="122" t="s">
        <v>777</v>
      </c>
      <c r="I2130" s="312">
        <v>2023</v>
      </c>
      <c r="J2130" s="122" t="s">
        <v>709</v>
      </c>
      <c r="K2130" s="283">
        <v>5870</v>
      </c>
      <c r="L2130" s="318">
        <v>-33.8651123</v>
      </c>
      <c r="M2130" s="318">
        <v>151.04161070000001</v>
      </c>
      <c r="O2130">
        <f>INDEX('MEC - traffic congestion'!$M$145:$M$249,MATCH($D2130,'MEC - traffic congestion'!$C$145:$C$249,0))</f>
        <v>1</v>
      </c>
      <c r="P2130" t="str">
        <f t="shared" si="92"/>
        <v>2023AM PEAK</v>
      </c>
      <c r="Q2130">
        <f t="shared" si="93"/>
        <v>1</v>
      </c>
      <c r="R2130" s="195" t="str">
        <f t="shared" si="94"/>
        <v>2023LIGHT VEHICLES</v>
      </c>
    </row>
    <row r="2131" spans="3:18" x14ac:dyDescent="0.25">
      <c r="C2131" s="294" t="s">
        <v>907</v>
      </c>
      <c r="D2131" s="317">
        <v>7153</v>
      </c>
      <c r="E2131" s="122" t="s">
        <v>908</v>
      </c>
      <c r="F2131" s="122" t="s">
        <v>909</v>
      </c>
      <c r="G2131" s="122" t="s">
        <v>776</v>
      </c>
      <c r="H2131" s="122" t="s">
        <v>777</v>
      </c>
      <c r="I2131" s="312">
        <v>2023</v>
      </c>
      <c r="J2131" s="122" t="s">
        <v>710</v>
      </c>
      <c r="K2131" s="283">
        <v>8440</v>
      </c>
      <c r="L2131" s="318">
        <v>-33.8651123</v>
      </c>
      <c r="M2131" s="318">
        <v>151.04161070000001</v>
      </c>
      <c r="O2131">
        <f>INDEX('MEC - traffic congestion'!$M$145:$M$249,MATCH($D2131,'MEC - traffic congestion'!$C$145:$C$249,0))</f>
        <v>1</v>
      </c>
      <c r="P2131" t="str">
        <f t="shared" si="92"/>
        <v>2023OFF PEAK</v>
      </c>
      <c r="Q2131">
        <f t="shared" si="93"/>
        <v>1</v>
      </c>
      <c r="R2131" s="195" t="str">
        <f t="shared" si="94"/>
        <v>2023LIGHT VEHICLES</v>
      </c>
    </row>
    <row r="2132" spans="3:18" x14ac:dyDescent="0.25">
      <c r="C2132" s="294" t="s">
        <v>907</v>
      </c>
      <c r="D2132" s="317">
        <v>7153</v>
      </c>
      <c r="E2132" s="122" t="s">
        <v>908</v>
      </c>
      <c r="F2132" s="122" t="s">
        <v>909</v>
      </c>
      <c r="G2132" s="122" t="s">
        <v>776</v>
      </c>
      <c r="H2132" s="122" t="s">
        <v>777</v>
      </c>
      <c r="I2132" s="312">
        <v>2023</v>
      </c>
      <c r="J2132" s="122" t="s">
        <v>711</v>
      </c>
      <c r="K2132" s="283">
        <v>4352</v>
      </c>
      <c r="L2132" s="318">
        <v>-33.8651123</v>
      </c>
      <c r="M2132" s="318">
        <v>151.04161070000001</v>
      </c>
      <c r="O2132">
        <f>INDEX('MEC - traffic congestion'!$M$145:$M$249,MATCH($D2132,'MEC - traffic congestion'!$C$145:$C$249,0))</f>
        <v>1</v>
      </c>
      <c r="P2132" t="str">
        <f t="shared" si="92"/>
        <v>2023PM PEAK</v>
      </c>
      <c r="Q2132">
        <f t="shared" si="93"/>
        <v>1</v>
      </c>
      <c r="R2132" s="195" t="str">
        <f t="shared" si="94"/>
        <v>2023LIGHT VEHICLES</v>
      </c>
    </row>
    <row r="2133" spans="3:18" x14ac:dyDescent="0.25">
      <c r="C2133" s="294" t="s">
        <v>907</v>
      </c>
      <c r="D2133" s="317">
        <v>7153</v>
      </c>
      <c r="E2133" s="122" t="s">
        <v>908</v>
      </c>
      <c r="F2133" s="122" t="s">
        <v>909</v>
      </c>
      <c r="G2133" s="122" t="s">
        <v>776</v>
      </c>
      <c r="H2133" s="122" t="s">
        <v>777</v>
      </c>
      <c r="I2133" s="312">
        <v>2023</v>
      </c>
      <c r="J2133" s="122" t="s">
        <v>713</v>
      </c>
      <c r="K2133" s="283">
        <v>15251</v>
      </c>
      <c r="L2133" s="318">
        <v>-33.8651123</v>
      </c>
      <c r="M2133" s="318">
        <v>151.04161070000001</v>
      </c>
      <c r="O2133">
        <f>INDEX('MEC - traffic congestion'!$M$145:$M$249,MATCH($D2133,'MEC - traffic congestion'!$C$145:$C$249,0))</f>
        <v>1</v>
      </c>
      <c r="P2133" t="str">
        <f t="shared" ref="P2133:P2196" si="95">IF($O2133=1,$I2133&amp;$J2133,"")</f>
        <v>2023WEEKENDS</v>
      </c>
      <c r="Q2133">
        <f t="shared" ref="Q2133:Q2196" si="96">IF(AND($M2133&gt;150.246,AND($L2133&gt;-34.397,$L2133&lt;-32.662)),1,0)</f>
        <v>1</v>
      </c>
      <c r="R2133" s="195" t="str">
        <f t="shared" ref="R2133:R2196" si="97">IF($O2133=1,$I2133&amp;$H2133,"")</f>
        <v>2023LIGHT VEHICLES</v>
      </c>
    </row>
    <row r="2134" spans="3:18" x14ac:dyDescent="0.25">
      <c r="C2134" s="294" t="s">
        <v>907</v>
      </c>
      <c r="D2134" s="317">
        <v>7153</v>
      </c>
      <c r="E2134" s="122" t="s">
        <v>908</v>
      </c>
      <c r="F2134" s="122" t="s">
        <v>909</v>
      </c>
      <c r="G2134" s="122" t="s">
        <v>776</v>
      </c>
      <c r="H2134" s="122" t="s">
        <v>777</v>
      </c>
      <c r="I2134" s="312">
        <v>2024</v>
      </c>
      <c r="J2134" s="122" t="s">
        <v>709</v>
      </c>
      <c r="K2134" s="283">
        <v>5511</v>
      </c>
      <c r="L2134" s="318">
        <v>-33.8651123</v>
      </c>
      <c r="M2134" s="318">
        <v>151.04161070000001</v>
      </c>
      <c r="O2134">
        <f>INDEX('MEC - traffic congestion'!$M$145:$M$249,MATCH($D2134,'MEC - traffic congestion'!$C$145:$C$249,0))</f>
        <v>1</v>
      </c>
      <c r="P2134" t="str">
        <f t="shared" si="95"/>
        <v>2024AM PEAK</v>
      </c>
      <c r="Q2134">
        <f t="shared" si="96"/>
        <v>1</v>
      </c>
      <c r="R2134" s="195" t="str">
        <f t="shared" si="97"/>
        <v>2024LIGHT VEHICLES</v>
      </c>
    </row>
    <row r="2135" spans="3:18" x14ac:dyDescent="0.25">
      <c r="C2135" s="294" t="s">
        <v>907</v>
      </c>
      <c r="D2135" s="317">
        <v>7153</v>
      </c>
      <c r="E2135" s="122" t="s">
        <v>908</v>
      </c>
      <c r="F2135" s="122" t="s">
        <v>909</v>
      </c>
      <c r="G2135" s="122" t="s">
        <v>776</v>
      </c>
      <c r="H2135" s="122" t="s">
        <v>777</v>
      </c>
      <c r="I2135" s="312">
        <v>2024</v>
      </c>
      <c r="J2135" s="122" t="s">
        <v>710</v>
      </c>
      <c r="K2135" s="283">
        <v>8314</v>
      </c>
      <c r="L2135" s="318">
        <v>-33.8651123</v>
      </c>
      <c r="M2135" s="318">
        <v>151.04161070000001</v>
      </c>
      <c r="O2135">
        <f>INDEX('MEC - traffic congestion'!$M$145:$M$249,MATCH($D2135,'MEC - traffic congestion'!$C$145:$C$249,0))</f>
        <v>1</v>
      </c>
      <c r="P2135" t="str">
        <f t="shared" si="95"/>
        <v>2024OFF PEAK</v>
      </c>
      <c r="Q2135">
        <f t="shared" si="96"/>
        <v>1</v>
      </c>
      <c r="R2135" s="195" t="str">
        <f t="shared" si="97"/>
        <v>2024LIGHT VEHICLES</v>
      </c>
    </row>
    <row r="2136" spans="3:18" x14ac:dyDescent="0.25">
      <c r="C2136" s="294" t="s">
        <v>907</v>
      </c>
      <c r="D2136" s="317">
        <v>7153</v>
      </c>
      <c r="E2136" s="122" t="s">
        <v>908</v>
      </c>
      <c r="F2136" s="122" t="s">
        <v>909</v>
      </c>
      <c r="G2136" s="122" t="s">
        <v>776</v>
      </c>
      <c r="H2136" s="122" t="s">
        <v>777</v>
      </c>
      <c r="I2136" s="312">
        <v>2024</v>
      </c>
      <c r="J2136" s="122" t="s">
        <v>711</v>
      </c>
      <c r="K2136" s="283">
        <v>4058</v>
      </c>
      <c r="L2136" s="318">
        <v>-33.8651123</v>
      </c>
      <c r="M2136" s="318">
        <v>151.04161070000001</v>
      </c>
      <c r="O2136">
        <f>INDEX('MEC - traffic congestion'!$M$145:$M$249,MATCH($D2136,'MEC - traffic congestion'!$C$145:$C$249,0))</f>
        <v>1</v>
      </c>
      <c r="P2136" t="str">
        <f t="shared" si="95"/>
        <v>2024PM PEAK</v>
      </c>
      <c r="Q2136">
        <f t="shared" si="96"/>
        <v>1</v>
      </c>
      <c r="R2136" s="195" t="str">
        <f t="shared" si="97"/>
        <v>2024LIGHT VEHICLES</v>
      </c>
    </row>
    <row r="2137" spans="3:18" x14ac:dyDescent="0.25">
      <c r="C2137" s="294" t="s">
        <v>907</v>
      </c>
      <c r="D2137" s="317">
        <v>7153</v>
      </c>
      <c r="E2137" s="122" t="s">
        <v>908</v>
      </c>
      <c r="F2137" s="122" t="s">
        <v>909</v>
      </c>
      <c r="G2137" s="122" t="s">
        <v>776</v>
      </c>
      <c r="H2137" s="122" t="s">
        <v>777</v>
      </c>
      <c r="I2137" s="312">
        <v>2024</v>
      </c>
      <c r="J2137" s="122" t="s">
        <v>713</v>
      </c>
      <c r="K2137" s="283">
        <v>14898</v>
      </c>
      <c r="L2137" s="318">
        <v>-33.8651123</v>
      </c>
      <c r="M2137" s="318">
        <v>151.04161070000001</v>
      </c>
      <c r="O2137">
        <f>INDEX('MEC - traffic congestion'!$M$145:$M$249,MATCH($D2137,'MEC - traffic congestion'!$C$145:$C$249,0))</f>
        <v>1</v>
      </c>
      <c r="P2137" t="str">
        <f t="shared" si="95"/>
        <v>2024WEEKENDS</v>
      </c>
      <c r="Q2137">
        <f t="shared" si="96"/>
        <v>1</v>
      </c>
      <c r="R2137" s="195" t="str">
        <f t="shared" si="97"/>
        <v>2024LIGHT VEHICLES</v>
      </c>
    </row>
    <row r="2138" spans="3:18" x14ac:dyDescent="0.25">
      <c r="C2138" s="294" t="s">
        <v>910</v>
      </c>
      <c r="D2138" s="317">
        <v>7159</v>
      </c>
      <c r="E2138" s="122" t="s">
        <v>774</v>
      </c>
      <c r="F2138" s="122" t="s">
        <v>775</v>
      </c>
      <c r="G2138" s="122" t="s">
        <v>778</v>
      </c>
      <c r="H2138" s="122" t="s">
        <v>777</v>
      </c>
      <c r="I2138" s="312">
        <v>2018</v>
      </c>
      <c r="J2138" s="122" t="s">
        <v>709</v>
      </c>
      <c r="K2138" s="283">
        <v>3416</v>
      </c>
      <c r="L2138" s="318">
        <v>-33.888157</v>
      </c>
      <c r="M2138" s="318">
        <v>150.92297400000001</v>
      </c>
      <c r="O2138">
        <f>INDEX('MEC - traffic congestion'!$M$145:$M$249,MATCH($D2138,'MEC - traffic congestion'!$C$145:$C$249,0))</f>
        <v>1</v>
      </c>
      <c r="P2138" t="str">
        <f t="shared" si="95"/>
        <v>2018AM PEAK</v>
      </c>
      <c r="Q2138">
        <f t="shared" si="96"/>
        <v>1</v>
      </c>
      <c r="R2138" s="195" t="str">
        <f t="shared" si="97"/>
        <v>2018LIGHT VEHICLES</v>
      </c>
    </row>
    <row r="2139" spans="3:18" x14ac:dyDescent="0.25">
      <c r="C2139" s="294" t="s">
        <v>910</v>
      </c>
      <c r="D2139" s="317">
        <v>7159</v>
      </c>
      <c r="E2139" s="122" t="s">
        <v>774</v>
      </c>
      <c r="F2139" s="122" t="s">
        <v>775</v>
      </c>
      <c r="G2139" s="122" t="s">
        <v>778</v>
      </c>
      <c r="H2139" s="122" t="s">
        <v>777</v>
      </c>
      <c r="I2139" s="312">
        <v>2018</v>
      </c>
      <c r="J2139" s="122" t="s">
        <v>710</v>
      </c>
      <c r="K2139" s="283">
        <v>8459</v>
      </c>
      <c r="L2139" s="318">
        <v>-33.888157</v>
      </c>
      <c r="M2139" s="318">
        <v>150.92297400000001</v>
      </c>
      <c r="O2139">
        <f>INDEX('MEC - traffic congestion'!$M$145:$M$249,MATCH($D2139,'MEC - traffic congestion'!$C$145:$C$249,0))</f>
        <v>1</v>
      </c>
      <c r="P2139" t="str">
        <f t="shared" si="95"/>
        <v>2018OFF PEAK</v>
      </c>
      <c r="Q2139">
        <f t="shared" si="96"/>
        <v>1</v>
      </c>
      <c r="R2139" s="195" t="str">
        <f t="shared" si="97"/>
        <v>2018LIGHT VEHICLES</v>
      </c>
    </row>
    <row r="2140" spans="3:18" x14ac:dyDescent="0.25">
      <c r="C2140" s="294" t="s">
        <v>910</v>
      </c>
      <c r="D2140" s="317">
        <v>7159</v>
      </c>
      <c r="E2140" s="122" t="s">
        <v>774</v>
      </c>
      <c r="F2140" s="122" t="s">
        <v>775</v>
      </c>
      <c r="G2140" s="122" t="s">
        <v>778</v>
      </c>
      <c r="H2140" s="122" t="s">
        <v>777</v>
      </c>
      <c r="I2140" s="312">
        <v>2018</v>
      </c>
      <c r="J2140" s="122" t="s">
        <v>711</v>
      </c>
      <c r="K2140" s="283">
        <v>4580</v>
      </c>
      <c r="L2140" s="318">
        <v>-33.888157</v>
      </c>
      <c r="M2140" s="318">
        <v>150.92297400000001</v>
      </c>
      <c r="O2140">
        <f>INDEX('MEC - traffic congestion'!$M$145:$M$249,MATCH($D2140,'MEC - traffic congestion'!$C$145:$C$249,0))</f>
        <v>1</v>
      </c>
      <c r="P2140" t="str">
        <f t="shared" si="95"/>
        <v>2018PM PEAK</v>
      </c>
      <c r="Q2140">
        <f t="shared" si="96"/>
        <v>1</v>
      </c>
      <c r="R2140" s="195" t="str">
        <f t="shared" si="97"/>
        <v>2018LIGHT VEHICLES</v>
      </c>
    </row>
    <row r="2141" spans="3:18" x14ac:dyDescent="0.25">
      <c r="C2141" s="294" t="s">
        <v>910</v>
      </c>
      <c r="D2141" s="317">
        <v>7159</v>
      </c>
      <c r="E2141" s="122" t="s">
        <v>774</v>
      </c>
      <c r="F2141" s="122" t="s">
        <v>775</v>
      </c>
      <c r="G2141" s="122" t="s">
        <v>778</v>
      </c>
      <c r="H2141" s="122" t="s">
        <v>777</v>
      </c>
      <c r="I2141" s="312">
        <v>2018</v>
      </c>
      <c r="J2141" s="122" t="s">
        <v>712</v>
      </c>
      <c r="K2141" s="283">
        <v>13131</v>
      </c>
      <c r="L2141" s="318">
        <v>-33.888157</v>
      </c>
      <c r="M2141" s="318">
        <v>150.92297400000001</v>
      </c>
      <c r="O2141">
        <f>INDEX('MEC - traffic congestion'!$M$145:$M$249,MATCH($D2141,'MEC - traffic congestion'!$C$145:$C$249,0))</f>
        <v>1</v>
      </c>
      <c r="P2141" t="str">
        <f t="shared" si="95"/>
        <v>2018PUBLIC HOLIDAYS</v>
      </c>
      <c r="Q2141">
        <f t="shared" si="96"/>
        <v>1</v>
      </c>
      <c r="R2141" s="195" t="str">
        <f t="shared" si="97"/>
        <v>2018LIGHT VEHICLES</v>
      </c>
    </row>
    <row r="2142" spans="3:18" x14ac:dyDescent="0.25">
      <c r="C2142" s="294" t="s">
        <v>910</v>
      </c>
      <c r="D2142" s="317">
        <v>7159</v>
      </c>
      <c r="E2142" s="122" t="s">
        <v>774</v>
      </c>
      <c r="F2142" s="122" t="s">
        <v>775</v>
      </c>
      <c r="G2142" s="122" t="s">
        <v>778</v>
      </c>
      <c r="H2142" s="122" t="s">
        <v>777</v>
      </c>
      <c r="I2142" s="312">
        <v>2018</v>
      </c>
      <c r="J2142" s="122" t="s">
        <v>713</v>
      </c>
      <c r="K2142" s="283">
        <v>15361</v>
      </c>
      <c r="L2142" s="318">
        <v>-33.888157</v>
      </c>
      <c r="M2142" s="318">
        <v>150.92297400000001</v>
      </c>
      <c r="O2142">
        <f>INDEX('MEC - traffic congestion'!$M$145:$M$249,MATCH($D2142,'MEC - traffic congestion'!$C$145:$C$249,0))</f>
        <v>1</v>
      </c>
      <c r="P2142" t="str">
        <f t="shared" si="95"/>
        <v>2018WEEKENDS</v>
      </c>
      <c r="Q2142">
        <f t="shared" si="96"/>
        <v>1</v>
      </c>
      <c r="R2142" s="195" t="str">
        <f t="shared" si="97"/>
        <v>2018LIGHT VEHICLES</v>
      </c>
    </row>
    <row r="2143" spans="3:18" x14ac:dyDescent="0.25">
      <c r="C2143" s="294" t="s">
        <v>910</v>
      </c>
      <c r="D2143" s="317">
        <v>7159</v>
      </c>
      <c r="E2143" s="122" t="s">
        <v>774</v>
      </c>
      <c r="F2143" s="122" t="s">
        <v>775</v>
      </c>
      <c r="G2143" s="122" t="s">
        <v>778</v>
      </c>
      <c r="H2143" s="122" t="s">
        <v>777</v>
      </c>
      <c r="I2143" s="312">
        <v>2019</v>
      </c>
      <c r="J2143" s="122" t="s">
        <v>709</v>
      </c>
      <c r="K2143" s="283">
        <v>3342</v>
      </c>
      <c r="L2143" s="318">
        <v>-33.888157</v>
      </c>
      <c r="M2143" s="318">
        <v>150.92297400000001</v>
      </c>
      <c r="O2143">
        <f>INDEX('MEC - traffic congestion'!$M$145:$M$249,MATCH($D2143,'MEC - traffic congestion'!$C$145:$C$249,0))</f>
        <v>1</v>
      </c>
      <c r="P2143" t="str">
        <f t="shared" si="95"/>
        <v>2019AM PEAK</v>
      </c>
      <c r="Q2143">
        <f t="shared" si="96"/>
        <v>1</v>
      </c>
      <c r="R2143" s="195" t="str">
        <f t="shared" si="97"/>
        <v>2019LIGHT VEHICLES</v>
      </c>
    </row>
    <row r="2144" spans="3:18" x14ac:dyDescent="0.25">
      <c r="C2144" s="294" t="s">
        <v>910</v>
      </c>
      <c r="D2144" s="317">
        <v>7159</v>
      </c>
      <c r="E2144" s="122" t="s">
        <v>774</v>
      </c>
      <c r="F2144" s="122" t="s">
        <v>775</v>
      </c>
      <c r="G2144" s="122" t="s">
        <v>778</v>
      </c>
      <c r="H2144" s="122" t="s">
        <v>777</v>
      </c>
      <c r="I2144" s="312">
        <v>2019</v>
      </c>
      <c r="J2144" s="122" t="s">
        <v>710</v>
      </c>
      <c r="K2144" s="283">
        <v>8392</v>
      </c>
      <c r="L2144" s="318">
        <v>-33.888157</v>
      </c>
      <c r="M2144" s="318">
        <v>150.92297400000001</v>
      </c>
      <c r="O2144">
        <f>INDEX('MEC - traffic congestion'!$M$145:$M$249,MATCH($D2144,'MEC - traffic congestion'!$C$145:$C$249,0))</f>
        <v>1</v>
      </c>
      <c r="P2144" t="str">
        <f t="shared" si="95"/>
        <v>2019OFF PEAK</v>
      </c>
      <c r="Q2144">
        <f t="shared" si="96"/>
        <v>1</v>
      </c>
      <c r="R2144" s="195" t="str">
        <f t="shared" si="97"/>
        <v>2019LIGHT VEHICLES</v>
      </c>
    </row>
    <row r="2145" spans="3:18" x14ac:dyDescent="0.25">
      <c r="C2145" s="294" t="s">
        <v>910</v>
      </c>
      <c r="D2145" s="317">
        <v>7159</v>
      </c>
      <c r="E2145" s="122" t="s">
        <v>774</v>
      </c>
      <c r="F2145" s="122" t="s">
        <v>775</v>
      </c>
      <c r="G2145" s="122" t="s">
        <v>778</v>
      </c>
      <c r="H2145" s="122" t="s">
        <v>777</v>
      </c>
      <c r="I2145" s="312">
        <v>2019</v>
      </c>
      <c r="J2145" s="122" t="s">
        <v>711</v>
      </c>
      <c r="K2145" s="283">
        <v>4534</v>
      </c>
      <c r="L2145" s="318">
        <v>-33.888157</v>
      </c>
      <c r="M2145" s="318">
        <v>150.92297400000001</v>
      </c>
      <c r="O2145">
        <f>INDEX('MEC - traffic congestion'!$M$145:$M$249,MATCH($D2145,'MEC - traffic congestion'!$C$145:$C$249,0))</f>
        <v>1</v>
      </c>
      <c r="P2145" t="str">
        <f t="shared" si="95"/>
        <v>2019PM PEAK</v>
      </c>
      <c r="Q2145">
        <f t="shared" si="96"/>
        <v>1</v>
      </c>
      <c r="R2145" s="195" t="str">
        <f t="shared" si="97"/>
        <v>2019LIGHT VEHICLES</v>
      </c>
    </row>
    <row r="2146" spans="3:18" x14ac:dyDescent="0.25">
      <c r="C2146" s="294" t="s">
        <v>910</v>
      </c>
      <c r="D2146" s="317">
        <v>7159</v>
      </c>
      <c r="E2146" s="122" t="s">
        <v>774</v>
      </c>
      <c r="F2146" s="122" t="s">
        <v>775</v>
      </c>
      <c r="G2146" s="122" t="s">
        <v>778</v>
      </c>
      <c r="H2146" s="122" t="s">
        <v>777</v>
      </c>
      <c r="I2146" s="312">
        <v>2019</v>
      </c>
      <c r="J2146" s="122" t="s">
        <v>712</v>
      </c>
      <c r="K2146" s="283">
        <v>13291</v>
      </c>
      <c r="L2146" s="318">
        <v>-33.888157</v>
      </c>
      <c r="M2146" s="318">
        <v>150.92297400000001</v>
      </c>
      <c r="O2146">
        <f>INDEX('MEC - traffic congestion'!$M$145:$M$249,MATCH($D2146,'MEC - traffic congestion'!$C$145:$C$249,0))</f>
        <v>1</v>
      </c>
      <c r="P2146" t="str">
        <f t="shared" si="95"/>
        <v>2019PUBLIC HOLIDAYS</v>
      </c>
      <c r="Q2146">
        <f t="shared" si="96"/>
        <v>1</v>
      </c>
      <c r="R2146" s="195" t="str">
        <f t="shared" si="97"/>
        <v>2019LIGHT VEHICLES</v>
      </c>
    </row>
    <row r="2147" spans="3:18" x14ac:dyDescent="0.25">
      <c r="C2147" s="294" t="s">
        <v>910</v>
      </c>
      <c r="D2147" s="317">
        <v>7159</v>
      </c>
      <c r="E2147" s="122" t="s">
        <v>774</v>
      </c>
      <c r="F2147" s="122" t="s">
        <v>775</v>
      </c>
      <c r="G2147" s="122" t="s">
        <v>778</v>
      </c>
      <c r="H2147" s="122" t="s">
        <v>777</v>
      </c>
      <c r="I2147" s="312">
        <v>2019</v>
      </c>
      <c r="J2147" s="122" t="s">
        <v>713</v>
      </c>
      <c r="K2147" s="283">
        <v>15121</v>
      </c>
      <c r="L2147" s="318">
        <v>-33.888157</v>
      </c>
      <c r="M2147" s="318">
        <v>150.92297400000001</v>
      </c>
      <c r="O2147">
        <f>INDEX('MEC - traffic congestion'!$M$145:$M$249,MATCH($D2147,'MEC - traffic congestion'!$C$145:$C$249,0))</f>
        <v>1</v>
      </c>
      <c r="P2147" t="str">
        <f t="shared" si="95"/>
        <v>2019WEEKENDS</v>
      </c>
      <c r="Q2147">
        <f t="shared" si="96"/>
        <v>1</v>
      </c>
      <c r="R2147" s="195" t="str">
        <f t="shared" si="97"/>
        <v>2019LIGHT VEHICLES</v>
      </c>
    </row>
    <row r="2148" spans="3:18" x14ac:dyDescent="0.25">
      <c r="C2148" s="294" t="s">
        <v>910</v>
      </c>
      <c r="D2148" s="317">
        <v>7159</v>
      </c>
      <c r="E2148" s="122" t="s">
        <v>774</v>
      </c>
      <c r="F2148" s="122" t="s">
        <v>775</v>
      </c>
      <c r="G2148" s="122" t="s">
        <v>778</v>
      </c>
      <c r="H2148" s="122" t="s">
        <v>777</v>
      </c>
      <c r="I2148" s="312">
        <v>2020</v>
      </c>
      <c r="J2148" s="122" t="s">
        <v>709</v>
      </c>
      <c r="K2148" s="283">
        <v>3252</v>
      </c>
      <c r="L2148" s="318">
        <v>-33.888157</v>
      </c>
      <c r="M2148" s="318">
        <v>150.92297400000001</v>
      </c>
      <c r="O2148">
        <f>INDEX('MEC - traffic congestion'!$M$145:$M$249,MATCH($D2148,'MEC - traffic congestion'!$C$145:$C$249,0))</f>
        <v>1</v>
      </c>
      <c r="P2148" t="str">
        <f t="shared" si="95"/>
        <v>2020AM PEAK</v>
      </c>
      <c r="Q2148">
        <f t="shared" si="96"/>
        <v>1</v>
      </c>
      <c r="R2148" s="195" t="str">
        <f t="shared" si="97"/>
        <v>2020LIGHT VEHICLES</v>
      </c>
    </row>
    <row r="2149" spans="3:18" x14ac:dyDescent="0.25">
      <c r="C2149" s="294" t="s">
        <v>910</v>
      </c>
      <c r="D2149" s="317">
        <v>7159</v>
      </c>
      <c r="E2149" s="122" t="s">
        <v>774</v>
      </c>
      <c r="F2149" s="122" t="s">
        <v>775</v>
      </c>
      <c r="G2149" s="122" t="s">
        <v>778</v>
      </c>
      <c r="H2149" s="122" t="s">
        <v>777</v>
      </c>
      <c r="I2149" s="312">
        <v>2020</v>
      </c>
      <c r="J2149" s="122" t="s">
        <v>710</v>
      </c>
      <c r="K2149" s="283">
        <v>8133</v>
      </c>
      <c r="L2149" s="318">
        <v>-33.888157</v>
      </c>
      <c r="M2149" s="318">
        <v>150.92297400000001</v>
      </c>
      <c r="O2149">
        <f>INDEX('MEC - traffic congestion'!$M$145:$M$249,MATCH($D2149,'MEC - traffic congestion'!$C$145:$C$249,0))</f>
        <v>1</v>
      </c>
      <c r="P2149" t="str">
        <f t="shared" si="95"/>
        <v>2020OFF PEAK</v>
      </c>
      <c r="Q2149">
        <f t="shared" si="96"/>
        <v>1</v>
      </c>
      <c r="R2149" s="195" t="str">
        <f t="shared" si="97"/>
        <v>2020LIGHT VEHICLES</v>
      </c>
    </row>
    <row r="2150" spans="3:18" x14ac:dyDescent="0.25">
      <c r="C2150" s="294" t="s">
        <v>910</v>
      </c>
      <c r="D2150" s="317">
        <v>7159</v>
      </c>
      <c r="E2150" s="122" t="s">
        <v>774</v>
      </c>
      <c r="F2150" s="122" t="s">
        <v>775</v>
      </c>
      <c r="G2150" s="122" t="s">
        <v>778</v>
      </c>
      <c r="H2150" s="122" t="s">
        <v>777</v>
      </c>
      <c r="I2150" s="312">
        <v>2020</v>
      </c>
      <c r="J2150" s="122" t="s">
        <v>711</v>
      </c>
      <c r="K2150" s="283">
        <v>4466</v>
      </c>
      <c r="L2150" s="318">
        <v>-33.888157</v>
      </c>
      <c r="M2150" s="318">
        <v>150.92297400000001</v>
      </c>
      <c r="O2150">
        <f>INDEX('MEC - traffic congestion'!$M$145:$M$249,MATCH($D2150,'MEC - traffic congestion'!$C$145:$C$249,0))</f>
        <v>1</v>
      </c>
      <c r="P2150" t="str">
        <f t="shared" si="95"/>
        <v>2020PM PEAK</v>
      </c>
      <c r="Q2150">
        <f t="shared" si="96"/>
        <v>1</v>
      </c>
      <c r="R2150" s="195" t="str">
        <f t="shared" si="97"/>
        <v>2020LIGHT VEHICLES</v>
      </c>
    </row>
    <row r="2151" spans="3:18" x14ac:dyDescent="0.25">
      <c r="C2151" s="294" t="s">
        <v>910</v>
      </c>
      <c r="D2151" s="317">
        <v>7159</v>
      </c>
      <c r="E2151" s="122" t="s">
        <v>774</v>
      </c>
      <c r="F2151" s="122" t="s">
        <v>775</v>
      </c>
      <c r="G2151" s="122" t="s">
        <v>778</v>
      </c>
      <c r="H2151" s="122" t="s">
        <v>777</v>
      </c>
      <c r="I2151" s="312">
        <v>2020</v>
      </c>
      <c r="J2151" s="122" t="s">
        <v>712</v>
      </c>
      <c r="K2151" s="283">
        <v>10851</v>
      </c>
      <c r="L2151" s="318">
        <v>-33.888157</v>
      </c>
      <c r="M2151" s="318">
        <v>150.92297400000001</v>
      </c>
      <c r="O2151">
        <f>INDEX('MEC - traffic congestion'!$M$145:$M$249,MATCH($D2151,'MEC - traffic congestion'!$C$145:$C$249,0))</f>
        <v>1</v>
      </c>
      <c r="P2151" t="str">
        <f t="shared" si="95"/>
        <v>2020PUBLIC HOLIDAYS</v>
      </c>
      <c r="Q2151">
        <f t="shared" si="96"/>
        <v>1</v>
      </c>
      <c r="R2151" s="195" t="str">
        <f t="shared" si="97"/>
        <v>2020LIGHT VEHICLES</v>
      </c>
    </row>
    <row r="2152" spans="3:18" x14ac:dyDescent="0.25">
      <c r="C2152" s="294" t="s">
        <v>910</v>
      </c>
      <c r="D2152" s="317">
        <v>7159</v>
      </c>
      <c r="E2152" s="122" t="s">
        <v>774</v>
      </c>
      <c r="F2152" s="122" t="s">
        <v>775</v>
      </c>
      <c r="G2152" s="122" t="s">
        <v>778</v>
      </c>
      <c r="H2152" s="122" t="s">
        <v>777</v>
      </c>
      <c r="I2152" s="312">
        <v>2020</v>
      </c>
      <c r="J2152" s="122" t="s">
        <v>713</v>
      </c>
      <c r="K2152" s="283">
        <v>14018</v>
      </c>
      <c r="L2152" s="318">
        <v>-33.888157</v>
      </c>
      <c r="M2152" s="318">
        <v>150.92297400000001</v>
      </c>
      <c r="O2152">
        <f>INDEX('MEC - traffic congestion'!$M$145:$M$249,MATCH($D2152,'MEC - traffic congestion'!$C$145:$C$249,0))</f>
        <v>1</v>
      </c>
      <c r="P2152" t="str">
        <f t="shared" si="95"/>
        <v>2020WEEKENDS</v>
      </c>
      <c r="Q2152">
        <f t="shared" si="96"/>
        <v>1</v>
      </c>
      <c r="R2152" s="195" t="str">
        <f t="shared" si="97"/>
        <v>2020LIGHT VEHICLES</v>
      </c>
    </row>
    <row r="2153" spans="3:18" x14ac:dyDescent="0.25">
      <c r="C2153" s="294" t="s">
        <v>910</v>
      </c>
      <c r="D2153" s="317">
        <v>7159</v>
      </c>
      <c r="E2153" s="122" t="s">
        <v>774</v>
      </c>
      <c r="F2153" s="122" t="s">
        <v>775</v>
      </c>
      <c r="G2153" s="122" t="s">
        <v>778</v>
      </c>
      <c r="H2153" s="122" t="s">
        <v>777</v>
      </c>
      <c r="I2153" s="312">
        <v>2021</v>
      </c>
      <c r="J2153" s="122" t="s">
        <v>709</v>
      </c>
      <c r="K2153" s="283">
        <v>3138</v>
      </c>
      <c r="L2153" s="318">
        <v>-33.888157</v>
      </c>
      <c r="M2153" s="318">
        <v>150.92297400000001</v>
      </c>
      <c r="O2153">
        <f>INDEX('MEC - traffic congestion'!$M$145:$M$249,MATCH($D2153,'MEC - traffic congestion'!$C$145:$C$249,0))</f>
        <v>1</v>
      </c>
      <c r="P2153" t="str">
        <f t="shared" si="95"/>
        <v>2021AM PEAK</v>
      </c>
      <c r="Q2153">
        <f t="shared" si="96"/>
        <v>1</v>
      </c>
      <c r="R2153" s="195" t="str">
        <f t="shared" si="97"/>
        <v>2021LIGHT VEHICLES</v>
      </c>
    </row>
    <row r="2154" spans="3:18" x14ac:dyDescent="0.25">
      <c r="C2154" s="294" t="s">
        <v>910</v>
      </c>
      <c r="D2154" s="317">
        <v>7159</v>
      </c>
      <c r="E2154" s="122" t="s">
        <v>774</v>
      </c>
      <c r="F2154" s="122" t="s">
        <v>775</v>
      </c>
      <c r="G2154" s="122" t="s">
        <v>778</v>
      </c>
      <c r="H2154" s="122" t="s">
        <v>777</v>
      </c>
      <c r="I2154" s="312">
        <v>2021</v>
      </c>
      <c r="J2154" s="122" t="s">
        <v>710</v>
      </c>
      <c r="K2154" s="283">
        <v>7719</v>
      </c>
      <c r="L2154" s="318">
        <v>-33.888157</v>
      </c>
      <c r="M2154" s="318">
        <v>150.92297400000001</v>
      </c>
      <c r="O2154">
        <f>INDEX('MEC - traffic congestion'!$M$145:$M$249,MATCH($D2154,'MEC - traffic congestion'!$C$145:$C$249,0))</f>
        <v>1</v>
      </c>
      <c r="P2154" t="str">
        <f t="shared" si="95"/>
        <v>2021OFF PEAK</v>
      </c>
      <c r="Q2154">
        <f t="shared" si="96"/>
        <v>1</v>
      </c>
      <c r="R2154" s="195" t="str">
        <f t="shared" si="97"/>
        <v>2021LIGHT VEHICLES</v>
      </c>
    </row>
    <row r="2155" spans="3:18" x14ac:dyDescent="0.25">
      <c r="C2155" s="294" t="s">
        <v>910</v>
      </c>
      <c r="D2155" s="317">
        <v>7159</v>
      </c>
      <c r="E2155" s="122" t="s">
        <v>774</v>
      </c>
      <c r="F2155" s="122" t="s">
        <v>775</v>
      </c>
      <c r="G2155" s="122" t="s">
        <v>778</v>
      </c>
      <c r="H2155" s="122" t="s">
        <v>777</v>
      </c>
      <c r="I2155" s="312">
        <v>2021</v>
      </c>
      <c r="J2155" s="122" t="s">
        <v>711</v>
      </c>
      <c r="K2155" s="283">
        <v>4099</v>
      </c>
      <c r="L2155" s="318">
        <v>-33.888157</v>
      </c>
      <c r="M2155" s="318">
        <v>150.92297400000001</v>
      </c>
      <c r="O2155">
        <f>INDEX('MEC - traffic congestion'!$M$145:$M$249,MATCH($D2155,'MEC - traffic congestion'!$C$145:$C$249,0))</f>
        <v>1</v>
      </c>
      <c r="P2155" t="str">
        <f t="shared" si="95"/>
        <v>2021PM PEAK</v>
      </c>
      <c r="Q2155">
        <f t="shared" si="96"/>
        <v>1</v>
      </c>
      <c r="R2155" s="195" t="str">
        <f t="shared" si="97"/>
        <v>2021LIGHT VEHICLES</v>
      </c>
    </row>
    <row r="2156" spans="3:18" x14ac:dyDescent="0.25">
      <c r="C2156" s="294" t="s">
        <v>910</v>
      </c>
      <c r="D2156" s="317">
        <v>7159</v>
      </c>
      <c r="E2156" s="122" t="s">
        <v>774</v>
      </c>
      <c r="F2156" s="122" t="s">
        <v>775</v>
      </c>
      <c r="G2156" s="122" t="s">
        <v>778</v>
      </c>
      <c r="H2156" s="122" t="s">
        <v>777</v>
      </c>
      <c r="I2156" s="312">
        <v>2021</v>
      </c>
      <c r="J2156" s="122" t="s">
        <v>713</v>
      </c>
      <c r="K2156" s="283">
        <v>12676</v>
      </c>
      <c r="L2156" s="318">
        <v>-33.888157</v>
      </c>
      <c r="M2156" s="318">
        <v>150.92297400000001</v>
      </c>
      <c r="O2156">
        <f>INDEX('MEC - traffic congestion'!$M$145:$M$249,MATCH($D2156,'MEC - traffic congestion'!$C$145:$C$249,0))</f>
        <v>1</v>
      </c>
      <c r="P2156" t="str">
        <f t="shared" si="95"/>
        <v>2021WEEKENDS</v>
      </c>
      <c r="Q2156">
        <f t="shared" si="96"/>
        <v>1</v>
      </c>
      <c r="R2156" s="195" t="str">
        <f t="shared" si="97"/>
        <v>2021LIGHT VEHICLES</v>
      </c>
    </row>
    <row r="2157" spans="3:18" x14ac:dyDescent="0.25">
      <c r="C2157" s="294" t="s">
        <v>910</v>
      </c>
      <c r="D2157" s="317">
        <v>7159</v>
      </c>
      <c r="E2157" s="122" t="s">
        <v>774</v>
      </c>
      <c r="F2157" s="122" t="s">
        <v>775</v>
      </c>
      <c r="G2157" s="122" t="s">
        <v>778</v>
      </c>
      <c r="H2157" s="122" t="s">
        <v>777</v>
      </c>
      <c r="I2157" s="312">
        <v>2022</v>
      </c>
      <c r="J2157" s="122" t="s">
        <v>709</v>
      </c>
      <c r="K2157" s="283">
        <v>3267</v>
      </c>
      <c r="L2157" s="318">
        <v>-33.888157</v>
      </c>
      <c r="M2157" s="318">
        <v>150.92297400000001</v>
      </c>
      <c r="O2157">
        <f>INDEX('MEC - traffic congestion'!$M$145:$M$249,MATCH($D2157,'MEC - traffic congestion'!$C$145:$C$249,0))</f>
        <v>1</v>
      </c>
      <c r="P2157" t="str">
        <f t="shared" si="95"/>
        <v>2022AM PEAK</v>
      </c>
      <c r="Q2157">
        <f t="shared" si="96"/>
        <v>1</v>
      </c>
      <c r="R2157" s="195" t="str">
        <f t="shared" si="97"/>
        <v>2022LIGHT VEHICLES</v>
      </c>
    </row>
    <row r="2158" spans="3:18" x14ac:dyDescent="0.25">
      <c r="C2158" s="294" t="s">
        <v>910</v>
      </c>
      <c r="D2158" s="317">
        <v>7159</v>
      </c>
      <c r="E2158" s="122" t="s">
        <v>774</v>
      </c>
      <c r="F2158" s="122" t="s">
        <v>775</v>
      </c>
      <c r="G2158" s="122" t="s">
        <v>778</v>
      </c>
      <c r="H2158" s="122" t="s">
        <v>777</v>
      </c>
      <c r="I2158" s="312">
        <v>2022</v>
      </c>
      <c r="J2158" s="122" t="s">
        <v>710</v>
      </c>
      <c r="K2158" s="283">
        <v>8137</v>
      </c>
      <c r="L2158" s="318">
        <v>-33.888157</v>
      </c>
      <c r="M2158" s="318">
        <v>150.92297400000001</v>
      </c>
      <c r="O2158">
        <f>INDEX('MEC - traffic congestion'!$M$145:$M$249,MATCH($D2158,'MEC - traffic congestion'!$C$145:$C$249,0))</f>
        <v>1</v>
      </c>
      <c r="P2158" t="str">
        <f t="shared" si="95"/>
        <v>2022OFF PEAK</v>
      </c>
      <c r="Q2158">
        <f t="shared" si="96"/>
        <v>1</v>
      </c>
      <c r="R2158" s="195" t="str">
        <f t="shared" si="97"/>
        <v>2022LIGHT VEHICLES</v>
      </c>
    </row>
    <row r="2159" spans="3:18" x14ac:dyDescent="0.25">
      <c r="C2159" s="294" t="s">
        <v>910</v>
      </c>
      <c r="D2159" s="317">
        <v>7159</v>
      </c>
      <c r="E2159" s="122" t="s">
        <v>774</v>
      </c>
      <c r="F2159" s="122" t="s">
        <v>775</v>
      </c>
      <c r="G2159" s="122" t="s">
        <v>778</v>
      </c>
      <c r="H2159" s="122" t="s">
        <v>777</v>
      </c>
      <c r="I2159" s="312">
        <v>2022</v>
      </c>
      <c r="J2159" s="122" t="s">
        <v>711</v>
      </c>
      <c r="K2159" s="283">
        <v>4285</v>
      </c>
      <c r="L2159" s="318">
        <v>-33.888157</v>
      </c>
      <c r="M2159" s="318">
        <v>150.92297400000001</v>
      </c>
      <c r="O2159">
        <f>INDEX('MEC - traffic congestion'!$M$145:$M$249,MATCH($D2159,'MEC - traffic congestion'!$C$145:$C$249,0))</f>
        <v>1</v>
      </c>
      <c r="P2159" t="str">
        <f t="shared" si="95"/>
        <v>2022PM PEAK</v>
      </c>
      <c r="Q2159">
        <f t="shared" si="96"/>
        <v>1</v>
      </c>
      <c r="R2159" s="195" t="str">
        <f t="shared" si="97"/>
        <v>2022LIGHT VEHICLES</v>
      </c>
    </row>
    <row r="2160" spans="3:18" x14ac:dyDescent="0.25">
      <c r="C2160" s="294" t="s">
        <v>910</v>
      </c>
      <c r="D2160" s="317">
        <v>7159</v>
      </c>
      <c r="E2160" s="122" t="s">
        <v>774</v>
      </c>
      <c r="F2160" s="122" t="s">
        <v>775</v>
      </c>
      <c r="G2160" s="122" t="s">
        <v>778</v>
      </c>
      <c r="H2160" s="122" t="s">
        <v>777</v>
      </c>
      <c r="I2160" s="312">
        <v>2022</v>
      </c>
      <c r="J2160" s="122" t="s">
        <v>713</v>
      </c>
      <c r="K2160" s="283">
        <v>14573</v>
      </c>
      <c r="L2160" s="318">
        <v>-33.888157</v>
      </c>
      <c r="M2160" s="318">
        <v>150.92297400000001</v>
      </c>
      <c r="O2160">
        <f>INDEX('MEC - traffic congestion'!$M$145:$M$249,MATCH($D2160,'MEC - traffic congestion'!$C$145:$C$249,0))</f>
        <v>1</v>
      </c>
      <c r="P2160" t="str">
        <f t="shared" si="95"/>
        <v>2022WEEKENDS</v>
      </c>
      <c r="Q2160">
        <f t="shared" si="96"/>
        <v>1</v>
      </c>
      <c r="R2160" s="195" t="str">
        <f t="shared" si="97"/>
        <v>2022LIGHT VEHICLES</v>
      </c>
    </row>
    <row r="2161" spans="3:18" x14ac:dyDescent="0.25">
      <c r="C2161" s="294" t="s">
        <v>910</v>
      </c>
      <c r="D2161" s="317">
        <v>7159</v>
      </c>
      <c r="E2161" s="122" t="s">
        <v>774</v>
      </c>
      <c r="F2161" s="122" t="s">
        <v>775</v>
      </c>
      <c r="G2161" s="122" t="s">
        <v>778</v>
      </c>
      <c r="H2161" s="122" t="s">
        <v>777</v>
      </c>
      <c r="I2161" s="312">
        <v>2023</v>
      </c>
      <c r="J2161" s="122" t="s">
        <v>709</v>
      </c>
      <c r="K2161" s="283">
        <v>3369</v>
      </c>
      <c r="L2161" s="318">
        <v>-33.888157</v>
      </c>
      <c r="M2161" s="318">
        <v>150.92297400000001</v>
      </c>
      <c r="O2161">
        <f>INDEX('MEC - traffic congestion'!$M$145:$M$249,MATCH($D2161,'MEC - traffic congestion'!$C$145:$C$249,0))</f>
        <v>1</v>
      </c>
      <c r="P2161" t="str">
        <f t="shared" si="95"/>
        <v>2023AM PEAK</v>
      </c>
      <c r="Q2161">
        <f t="shared" si="96"/>
        <v>1</v>
      </c>
      <c r="R2161" s="195" t="str">
        <f t="shared" si="97"/>
        <v>2023LIGHT VEHICLES</v>
      </c>
    </row>
    <row r="2162" spans="3:18" x14ac:dyDescent="0.25">
      <c r="C2162" s="294" t="s">
        <v>910</v>
      </c>
      <c r="D2162" s="317">
        <v>7159</v>
      </c>
      <c r="E2162" s="122" t="s">
        <v>774</v>
      </c>
      <c r="F2162" s="122" t="s">
        <v>775</v>
      </c>
      <c r="G2162" s="122" t="s">
        <v>778</v>
      </c>
      <c r="H2162" s="122" t="s">
        <v>777</v>
      </c>
      <c r="I2162" s="312">
        <v>2023</v>
      </c>
      <c r="J2162" s="122" t="s">
        <v>710</v>
      </c>
      <c r="K2162" s="283">
        <v>8456</v>
      </c>
      <c r="L2162" s="318">
        <v>-33.888157</v>
      </c>
      <c r="M2162" s="318">
        <v>150.92297400000001</v>
      </c>
      <c r="O2162">
        <f>INDEX('MEC - traffic congestion'!$M$145:$M$249,MATCH($D2162,'MEC - traffic congestion'!$C$145:$C$249,0))</f>
        <v>1</v>
      </c>
      <c r="P2162" t="str">
        <f t="shared" si="95"/>
        <v>2023OFF PEAK</v>
      </c>
      <c r="Q2162">
        <f t="shared" si="96"/>
        <v>1</v>
      </c>
      <c r="R2162" s="195" t="str">
        <f t="shared" si="97"/>
        <v>2023LIGHT VEHICLES</v>
      </c>
    </row>
    <row r="2163" spans="3:18" x14ac:dyDescent="0.25">
      <c r="C2163" s="294" t="s">
        <v>910</v>
      </c>
      <c r="D2163" s="317">
        <v>7159</v>
      </c>
      <c r="E2163" s="122" t="s">
        <v>774</v>
      </c>
      <c r="F2163" s="122" t="s">
        <v>775</v>
      </c>
      <c r="G2163" s="122" t="s">
        <v>778</v>
      </c>
      <c r="H2163" s="122" t="s">
        <v>777</v>
      </c>
      <c r="I2163" s="312">
        <v>2023</v>
      </c>
      <c r="J2163" s="122" t="s">
        <v>711</v>
      </c>
      <c r="K2163" s="283">
        <v>4356</v>
      </c>
      <c r="L2163" s="318">
        <v>-33.888157</v>
      </c>
      <c r="M2163" s="318">
        <v>150.92297400000001</v>
      </c>
      <c r="O2163">
        <f>INDEX('MEC - traffic congestion'!$M$145:$M$249,MATCH($D2163,'MEC - traffic congestion'!$C$145:$C$249,0))</f>
        <v>1</v>
      </c>
      <c r="P2163" t="str">
        <f t="shared" si="95"/>
        <v>2023PM PEAK</v>
      </c>
      <c r="Q2163">
        <f t="shared" si="96"/>
        <v>1</v>
      </c>
      <c r="R2163" s="195" t="str">
        <f t="shared" si="97"/>
        <v>2023LIGHT VEHICLES</v>
      </c>
    </row>
    <row r="2164" spans="3:18" x14ac:dyDescent="0.25">
      <c r="C2164" s="294" t="s">
        <v>910</v>
      </c>
      <c r="D2164" s="317">
        <v>7159</v>
      </c>
      <c r="E2164" s="122" t="s">
        <v>774</v>
      </c>
      <c r="F2164" s="122" t="s">
        <v>775</v>
      </c>
      <c r="G2164" s="122" t="s">
        <v>778</v>
      </c>
      <c r="H2164" s="122" t="s">
        <v>777</v>
      </c>
      <c r="I2164" s="312">
        <v>2023</v>
      </c>
      <c r="J2164" s="122" t="s">
        <v>713</v>
      </c>
      <c r="K2164" s="283">
        <v>15070</v>
      </c>
      <c r="L2164" s="318">
        <v>-33.888157</v>
      </c>
      <c r="M2164" s="318">
        <v>150.92297400000001</v>
      </c>
      <c r="O2164">
        <f>INDEX('MEC - traffic congestion'!$M$145:$M$249,MATCH($D2164,'MEC - traffic congestion'!$C$145:$C$249,0))</f>
        <v>1</v>
      </c>
      <c r="P2164" t="str">
        <f t="shared" si="95"/>
        <v>2023WEEKENDS</v>
      </c>
      <c r="Q2164">
        <f t="shared" si="96"/>
        <v>1</v>
      </c>
      <c r="R2164" s="195" t="str">
        <f t="shared" si="97"/>
        <v>2023LIGHT VEHICLES</v>
      </c>
    </row>
    <row r="2165" spans="3:18" x14ac:dyDescent="0.25">
      <c r="C2165" s="294" t="s">
        <v>910</v>
      </c>
      <c r="D2165" s="317">
        <v>7159</v>
      </c>
      <c r="E2165" s="122" t="s">
        <v>774</v>
      </c>
      <c r="F2165" s="122" t="s">
        <v>775</v>
      </c>
      <c r="G2165" s="122" t="s">
        <v>778</v>
      </c>
      <c r="H2165" s="122" t="s">
        <v>777</v>
      </c>
      <c r="I2165" s="312">
        <v>2024</v>
      </c>
      <c r="J2165" s="122" t="s">
        <v>709</v>
      </c>
      <c r="K2165" s="283">
        <v>3432</v>
      </c>
      <c r="L2165" s="318">
        <v>-33.888157</v>
      </c>
      <c r="M2165" s="318">
        <v>150.92297400000001</v>
      </c>
      <c r="O2165">
        <f>INDEX('MEC - traffic congestion'!$M$145:$M$249,MATCH($D2165,'MEC - traffic congestion'!$C$145:$C$249,0))</f>
        <v>1</v>
      </c>
      <c r="P2165" t="str">
        <f t="shared" si="95"/>
        <v>2024AM PEAK</v>
      </c>
      <c r="Q2165">
        <f t="shared" si="96"/>
        <v>1</v>
      </c>
      <c r="R2165" s="195" t="str">
        <f t="shared" si="97"/>
        <v>2024LIGHT VEHICLES</v>
      </c>
    </row>
    <row r="2166" spans="3:18" x14ac:dyDescent="0.25">
      <c r="C2166" s="294" t="s">
        <v>910</v>
      </c>
      <c r="D2166" s="317">
        <v>7159</v>
      </c>
      <c r="E2166" s="122" t="s">
        <v>774</v>
      </c>
      <c r="F2166" s="122" t="s">
        <v>775</v>
      </c>
      <c r="G2166" s="122" t="s">
        <v>778</v>
      </c>
      <c r="H2166" s="122" t="s">
        <v>777</v>
      </c>
      <c r="I2166" s="312">
        <v>2024</v>
      </c>
      <c r="J2166" s="122" t="s">
        <v>710</v>
      </c>
      <c r="K2166" s="283">
        <v>8901</v>
      </c>
      <c r="L2166" s="318">
        <v>-33.888157</v>
      </c>
      <c r="M2166" s="318">
        <v>150.92297400000001</v>
      </c>
      <c r="O2166">
        <f>INDEX('MEC - traffic congestion'!$M$145:$M$249,MATCH($D2166,'MEC - traffic congestion'!$C$145:$C$249,0))</f>
        <v>1</v>
      </c>
      <c r="P2166" t="str">
        <f t="shared" si="95"/>
        <v>2024OFF PEAK</v>
      </c>
      <c r="Q2166">
        <f t="shared" si="96"/>
        <v>1</v>
      </c>
      <c r="R2166" s="195" t="str">
        <f t="shared" si="97"/>
        <v>2024LIGHT VEHICLES</v>
      </c>
    </row>
    <row r="2167" spans="3:18" x14ac:dyDescent="0.25">
      <c r="C2167" s="294" t="s">
        <v>910</v>
      </c>
      <c r="D2167" s="317">
        <v>7159</v>
      </c>
      <c r="E2167" s="122" t="s">
        <v>774</v>
      </c>
      <c r="F2167" s="122" t="s">
        <v>775</v>
      </c>
      <c r="G2167" s="122" t="s">
        <v>778</v>
      </c>
      <c r="H2167" s="122" t="s">
        <v>777</v>
      </c>
      <c r="I2167" s="312">
        <v>2024</v>
      </c>
      <c r="J2167" s="122" t="s">
        <v>711</v>
      </c>
      <c r="K2167" s="283">
        <v>4415</v>
      </c>
      <c r="L2167" s="318">
        <v>-33.888157</v>
      </c>
      <c r="M2167" s="318">
        <v>150.92297400000001</v>
      </c>
      <c r="O2167">
        <f>INDEX('MEC - traffic congestion'!$M$145:$M$249,MATCH($D2167,'MEC - traffic congestion'!$C$145:$C$249,0))</f>
        <v>1</v>
      </c>
      <c r="P2167" t="str">
        <f t="shared" si="95"/>
        <v>2024PM PEAK</v>
      </c>
      <c r="Q2167">
        <f t="shared" si="96"/>
        <v>1</v>
      </c>
      <c r="R2167" s="195" t="str">
        <f t="shared" si="97"/>
        <v>2024LIGHT VEHICLES</v>
      </c>
    </row>
    <row r="2168" spans="3:18" x14ac:dyDescent="0.25">
      <c r="C2168" s="294" t="s">
        <v>910</v>
      </c>
      <c r="D2168" s="317">
        <v>7159</v>
      </c>
      <c r="E2168" s="122" t="s">
        <v>774</v>
      </c>
      <c r="F2168" s="122" t="s">
        <v>775</v>
      </c>
      <c r="G2168" s="122" t="s">
        <v>778</v>
      </c>
      <c r="H2168" s="122" t="s">
        <v>777</v>
      </c>
      <c r="I2168" s="312">
        <v>2024</v>
      </c>
      <c r="J2168" s="122" t="s">
        <v>713</v>
      </c>
      <c r="K2168" s="283">
        <v>15863</v>
      </c>
      <c r="L2168" s="318">
        <v>-33.888157</v>
      </c>
      <c r="M2168" s="318">
        <v>150.92297400000001</v>
      </c>
      <c r="O2168">
        <f>INDEX('MEC - traffic congestion'!$M$145:$M$249,MATCH($D2168,'MEC - traffic congestion'!$C$145:$C$249,0))</f>
        <v>1</v>
      </c>
      <c r="P2168" t="str">
        <f t="shared" si="95"/>
        <v>2024WEEKENDS</v>
      </c>
      <c r="Q2168">
        <f t="shared" si="96"/>
        <v>1</v>
      </c>
      <c r="R2168" s="195" t="str">
        <f t="shared" si="97"/>
        <v>2024LIGHT VEHICLES</v>
      </c>
    </row>
    <row r="2169" spans="3:18" x14ac:dyDescent="0.25">
      <c r="C2169" s="294" t="s">
        <v>911</v>
      </c>
      <c r="D2169" s="317">
        <v>7161</v>
      </c>
      <c r="E2169" s="122" t="s">
        <v>912</v>
      </c>
      <c r="F2169" s="122" t="s">
        <v>913</v>
      </c>
      <c r="G2169" s="122" t="s">
        <v>786</v>
      </c>
      <c r="H2169" s="122" t="s">
        <v>777</v>
      </c>
      <c r="I2169" s="312">
        <v>2018</v>
      </c>
      <c r="J2169" s="122" t="s">
        <v>709</v>
      </c>
      <c r="K2169" s="283">
        <v>6354</v>
      </c>
      <c r="L2169" s="318">
        <v>-33.740406</v>
      </c>
      <c r="M2169" s="318">
        <v>151.06098900000001</v>
      </c>
      <c r="O2169">
        <f>INDEX('MEC - traffic congestion'!$M$145:$M$249,MATCH($D2169,'MEC - traffic congestion'!$C$145:$C$249,0))</f>
        <v>1</v>
      </c>
      <c r="P2169" t="str">
        <f t="shared" si="95"/>
        <v>2018AM PEAK</v>
      </c>
      <c r="Q2169">
        <f t="shared" si="96"/>
        <v>1</v>
      </c>
      <c r="R2169" s="195" t="str">
        <f t="shared" si="97"/>
        <v>2018LIGHT VEHICLES</v>
      </c>
    </row>
    <row r="2170" spans="3:18" x14ac:dyDescent="0.25">
      <c r="C2170" s="294" t="s">
        <v>911</v>
      </c>
      <c r="D2170" s="317">
        <v>7161</v>
      </c>
      <c r="E2170" s="122" t="s">
        <v>912</v>
      </c>
      <c r="F2170" s="122" t="s">
        <v>913</v>
      </c>
      <c r="G2170" s="122" t="s">
        <v>786</v>
      </c>
      <c r="H2170" s="122" t="s">
        <v>777</v>
      </c>
      <c r="I2170" s="312">
        <v>2018</v>
      </c>
      <c r="J2170" s="122" t="s">
        <v>710</v>
      </c>
      <c r="K2170" s="283">
        <v>11784</v>
      </c>
      <c r="L2170" s="318">
        <v>-33.740406</v>
      </c>
      <c r="M2170" s="318">
        <v>151.06098900000001</v>
      </c>
      <c r="O2170">
        <f>INDEX('MEC - traffic congestion'!$M$145:$M$249,MATCH($D2170,'MEC - traffic congestion'!$C$145:$C$249,0))</f>
        <v>1</v>
      </c>
      <c r="P2170" t="str">
        <f t="shared" si="95"/>
        <v>2018OFF PEAK</v>
      </c>
      <c r="Q2170">
        <f t="shared" si="96"/>
        <v>1</v>
      </c>
      <c r="R2170" s="195" t="str">
        <f t="shared" si="97"/>
        <v>2018LIGHT VEHICLES</v>
      </c>
    </row>
    <row r="2171" spans="3:18" x14ac:dyDescent="0.25">
      <c r="C2171" s="294" t="s">
        <v>911</v>
      </c>
      <c r="D2171" s="317">
        <v>7161</v>
      </c>
      <c r="E2171" s="122" t="s">
        <v>912</v>
      </c>
      <c r="F2171" s="122" t="s">
        <v>913</v>
      </c>
      <c r="G2171" s="122" t="s">
        <v>786</v>
      </c>
      <c r="H2171" s="122" t="s">
        <v>777</v>
      </c>
      <c r="I2171" s="312">
        <v>2018</v>
      </c>
      <c r="J2171" s="122" t="s">
        <v>711</v>
      </c>
      <c r="K2171" s="283">
        <v>6675</v>
      </c>
      <c r="L2171" s="318">
        <v>-33.740406</v>
      </c>
      <c r="M2171" s="318">
        <v>151.06098900000001</v>
      </c>
      <c r="O2171">
        <f>INDEX('MEC - traffic congestion'!$M$145:$M$249,MATCH($D2171,'MEC - traffic congestion'!$C$145:$C$249,0))</f>
        <v>1</v>
      </c>
      <c r="P2171" t="str">
        <f t="shared" si="95"/>
        <v>2018PM PEAK</v>
      </c>
      <c r="Q2171">
        <f t="shared" si="96"/>
        <v>1</v>
      </c>
      <c r="R2171" s="195" t="str">
        <f t="shared" si="97"/>
        <v>2018LIGHT VEHICLES</v>
      </c>
    </row>
    <row r="2172" spans="3:18" x14ac:dyDescent="0.25">
      <c r="C2172" s="294" t="s">
        <v>911</v>
      </c>
      <c r="D2172" s="317">
        <v>7161</v>
      </c>
      <c r="E2172" s="122" t="s">
        <v>912</v>
      </c>
      <c r="F2172" s="122" t="s">
        <v>913</v>
      </c>
      <c r="G2172" s="122" t="s">
        <v>786</v>
      </c>
      <c r="H2172" s="122" t="s">
        <v>777</v>
      </c>
      <c r="I2172" s="312">
        <v>2018</v>
      </c>
      <c r="J2172" s="122" t="s">
        <v>712</v>
      </c>
      <c r="K2172" s="283">
        <v>25914</v>
      </c>
      <c r="L2172" s="318">
        <v>-33.740406</v>
      </c>
      <c r="M2172" s="318">
        <v>151.06098900000001</v>
      </c>
      <c r="O2172">
        <f>INDEX('MEC - traffic congestion'!$M$145:$M$249,MATCH($D2172,'MEC - traffic congestion'!$C$145:$C$249,0))</f>
        <v>1</v>
      </c>
      <c r="P2172" t="str">
        <f t="shared" si="95"/>
        <v>2018PUBLIC HOLIDAYS</v>
      </c>
      <c r="Q2172">
        <f t="shared" si="96"/>
        <v>1</v>
      </c>
      <c r="R2172" s="195" t="str">
        <f t="shared" si="97"/>
        <v>2018LIGHT VEHICLES</v>
      </c>
    </row>
    <row r="2173" spans="3:18" x14ac:dyDescent="0.25">
      <c r="C2173" s="294" t="s">
        <v>911</v>
      </c>
      <c r="D2173" s="317">
        <v>7161</v>
      </c>
      <c r="E2173" s="122" t="s">
        <v>912</v>
      </c>
      <c r="F2173" s="122" t="s">
        <v>913</v>
      </c>
      <c r="G2173" s="122" t="s">
        <v>786</v>
      </c>
      <c r="H2173" s="122" t="s">
        <v>777</v>
      </c>
      <c r="I2173" s="312">
        <v>2018</v>
      </c>
      <c r="J2173" s="122" t="s">
        <v>713</v>
      </c>
      <c r="K2173" s="283">
        <v>26541</v>
      </c>
      <c r="L2173" s="318">
        <v>-33.740406</v>
      </c>
      <c r="M2173" s="318">
        <v>151.06098900000001</v>
      </c>
      <c r="O2173">
        <f>INDEX('MEC - traffic congestion'!$M$145:$M$249,MATCH($D2173,'MEC - traffic congestion'!$C$145:$C$249,0))</f>
        <v>1</v>
      </c>
      <c r="P2173" t="str">
        <f t="shared" si="95"/>
        <v>2018WEEKENDS</v>
      </c>
      <c r="Q2173">
        <f t="shared" si="96"/>
        <v>1</v>
      </c>
      <c r="R2173" s="195" t="str">
        <f t="shared" si="97"/>
        <v>2018LIGHT VEHICLES</v>
      </c>
    </row>
    <row r="2174" spans="3:18" x14ac:dyDescent="0.25">
      <c r="C2174" s="294" t="s">
        <v>911</v>
      </c>
      <c r="D2174" s="317">
        <v>7161</v>
      </c>
      <c r="E2174" s="122" t="s">
        <v>912</v>
      </c>
      <c r="F2174" s="122" t="s">
        <v>913</v>
      </c>
      <c r="G2174" s="122" t="s">
        <v>786</v>
      </c>
      <c r="H2174" s="122" t="s">
        <v>777</v>
      </c>
      <c r="I2174" s="312">
        <v>2019</v>
      </c>
      <c r="J2174" s="122" t="s">
        <v>709</v>
      </c>
      <c r="K2174" s="283">
        <v>6150</v>
      </c>
      <c r="L2174" s="318">
        <v>-33.740406</v>
      </c>
      <c r="M2174" s="318">
        <v>151.06098900000001</v>
      </c>
      <c r="O2174">
        <f>INDEX('MEC - traffic congestion'!$M$145:$M$249,MATCH($D2174,'MEC - traffic congestion'!$C$145:$C$249,0))</f>
        <v>1</v>
      </c>
      <c r="P2174" t="str">
        <f t="shared" si="95"/>
        <v>2019AM PEAK</v>
      </c>
      <c r="Q2174">
        <f t="shared" si="96"/>
        <v>1</v>
      </c>
      <c r="R2174" s="195" t="str">
        <f t="shared" si="97"/>
        <v>2019LIGHT VEHICLES</v>
      </c>
    </row>
    <row r="2175" spans="3:18" x14ac:dyDescent="0.25">
      <c r="C2175" s="294" t="s">
        <v>911</v>
      </c>
      <c r="D2175" s="317">
        <v>7161</v>
      </c>
      <c r="E2175" s="122" t="s">
        <v>912</v>
      </c>
      <c r="F2175" s="122" t="s">
        <v>913</v>
      </c>
      <c r="G2175" s="122" t="s">
        <v>786</v>
      </c>
      <c r="H2175" s="122" t="s">
        <v>777</v>
      </c>
      <c r="I2175" s="312">
        <v>2019</v>
      </c>
      <c r="J2175" s="122" t="s">
        <v>710</v>
      </c>
      <c r="K2175" s="283">
        <v>11619</v>
      </c>
      <c r="L2175" s="318">
        <v>-33.740406</v>
      </c>
      <c r="M2175" s="318">
        <v>151.06098900000001</v>
      </c>
      <c r="O2175">
        <f>INDEX('MEC - traffic congestion'!$M$145:$M$249,MATCH($D2175,'MEC - traffic congestion'!$C$145:$C$249,0))</f>
        <v>1</v>
      </c>
      <c r="P2175" t="str">
        <f t="shared" si="95"/>
        <v>2019OFF PEAK</v>
      </c>
      <c r="Q2175">
        <f t="shared" si="96"/>
        <v>1</v>
      </c>
      <c r="R2175" s="195" t="str">
        <f t="shared" si="97"/>
        <v>2019LIGHT VEHICLES</v>
      </c>
    </row>
    <row r="2176" spans="3:18" x14ac:dyDescent="0.25">
      <c r="C2176" s="294" t="s">
        <v>911</v>
      </c>
      <c r="D2176" s="317">
        <v>7161</v>
      </c>
      <c r="E2176" s="122" t="s">
        <v>912</v>
      </c>
      <c r="F2176" s="122" t="s">
        <v>913</v>
      </c>
      <c r="G2176" s="122" t="s">
        <v>786</v>
      </c>
      <c r="H2176" s="122" t="s">
        <v>777</v>
      </c>
      <c r="I2176" s="312">
        <v>2019</v>
      </c>
      <c r="J2176" s="122" t="s">
        <v>711</v>
      </c>
      <c r="K2176" s="283">
        <v>6563</v>
      </c>
      <c r="L2176" s="318">
        <v>-33.740406</v>
      </c>
      <c r="M2176" s="318">
        <v>151.06098900000001</v>
      </c>
      <c r="O2176">
        <f>INDEX('MEC - traffic congestion'!$M$145:$M$249,MATCH($D2176,'MEC - traffic congestion'!$C$145:$C$249,0))</f>
        <v>1</v>
      </c>
      <c r="P2176" t="str">
        <f t="shared" si="95"/>
        <v>2019PM PEAK</v>
      </c>
      <c r="Q2176">
        <f t="shared" si="96"/>
        <v>1</v>
      </c>
      <c r="R2176" s="195" t="str">
        <f t="shared" si="97"/>
        <v>2019LIGHT VEHICLES</v>
      </c>
    </row>
    <row r="2177" spans="3:18" x14ac:dyDescent="0.25">
      <c r="C2177" s="294" t="s">
        <v>911</v>
      </c>
      <c r="D2177" s="317">
        <v>7161</v>
      </c>
      <c r="E2177" s="122" t="s">
        <v>912</v>
      </c>
      <c r="F2177" s="122" t="s">
        <v>913</v>
      </c>
      <c r="G2177" s="122" t="s">
        <v>786</v>
      </c>
      <c r="H2177" s="122" t="s">
        <v>777</v>
      </c>
      <c r="I2177" s="312">
        <v>2019</v>
      </c>
      <c r="J2177" s="122" t="s">
        <v>712</v>
      </c>
      <c r="K2177" s="283">
        <v>24542</v>
      </c>
      <c r="L2177" s="318">
        <v>-33.740406</v>
      </c>
      <c r="M2177" s="318">
        <v>151.06098900000001</v>
      </c>
      <c r="O2177">
        <f>INDEX('MEC - traffic congestion'!$M$145:$M$249,MATCH($D2177,'MEC - traffic congestion'!$C$145:$C$249,0))</f>
        <v>1</v>
      </c>
      <c r="P2177" t="str">
        <f t="shared" si="95"/>
        <v>2019PUBLIC HOLIDAYS</v>
      </c>
      <c r="Q2177">
        <f t="shared" si="96"/>
        <v>1</v>
      </c>
      <c r="R2177" s="195" t="str">
        <f t="shared" si="97"/>
        <v>2019LIGHT VEHICLES</v>
      </c>
    </row>
    <row r="2178" spans="3:18" x14ac:dyDescent="0.25">
      <c r="C2178" s="294" t="s">
        <v>911</v>
      </c>
      <c r="D2178" s="317">
        <v>7161</v>
      </c>
      <c r="E2178" s="122" t="s">
        <v>912</v>
      </c>
      <c r="F2178" s="122" t="s">
        <v>913</v>
      </c>
      <c r="G2178" s="122" t="s">
        <v>786</v>
      </c>
      <c r="H2178" s="122" t="s">
        <v>777</v>
      </c>
      <c r="I2178" s="312">
        <v>2019</v>
      </c>
      <c r="J2178" s="122" t="s">
        <v>713</v>
      </c>
      <c r="K2178" s="283">
        <v>25866</v>
      </c>
      <c r="L2178" s="318">
        <v>-33.740406</v>
      </c>
      <c r="M2178" s="318">
        <v>151.06098900000001</v>
      </c>
      <c r="O2178">
        <f>INDEX('MEC - traffic congestion'!$M$145:$M$249,MATCH($D2178,'MEC - traffic congestion'!$C$145:$C$249,0))</f>
        <v>1</v>
      </c>
      <c r="P2178" t="str">
        <f t="shared" si="95"/>
        <v>2019WEEKENDS</v>
      </c>
      <c r="Q2178">
        <f t="shared" si="96"/>
        <v>1</v>
      </c>
      <c r="R2178" s="195" t="str">
        <f t="shared" si="97"/>
        <v>2019LIGHT VEHICLES</v>
      </c>
    </row>
    <row r="2179" spans="3:18" x14ac:dyDescent="0.25">
      <c r="C2179" s="294" t="s">
        <v>911</v>
      </c>
      <c r="D2179" s="317">
        <v>7161</v>
      </c>
      <c r="E2179" s="122" t="s">
        <v>912</v>
      </c>
      <c r="F2179" s="122" t="s">
        <v>913</v>
      </c>
      <c r="G2179" s="122" t="s">
        <v>786</v>
      </c>
      <c r="H2179" s="122" t="s">
        <v>777</v>
      </c>
      <c r="I2179" s="312">
        <v>2020</v>
      </c>
      <c r="J2179" s="122" t="s">
        <v>709</v>
      </c>
      <c r="K2179" s="283">
        <v>5363</v>
      </c>
      <c r="L2179" s="318">
        <v>-33.740406</v>
      </c>
      <c r="M2179" s="318">
        <v>151.06098900000001</v>
      </c>
      <c r="O2179">
        <f>INDEX('MEC - traffic congestion'!$M$145:$M$249,MATCH($D2179,'MEC - traffic congestion'!$C$145:$C$249,0))</f>
        <v>1</v>
      </c>
      <c r="P2179" t="str">
        <f t="shared" si="95"/>
        <v>2020AM PEAK</v>
      </c>
      <c r="Q2179">
        <f t="shared" si="96"/>
        <v>1</v>
      </c>
      <c r="R2179" s="195" t="str">
        <f t="shared" si="97"/>
        <v>2020LIGHT VEHICLES</v>
      </c>
    </row>
    <row r="2180" spans="3:18" x14ac:dyDescent="0.25">
      <c r="C2180" s="294" t="s">
        <v>911</v>
      </c>
      <c r="D2180" s="317">
        <v>7161</v>
      </c>
      <c r="E2180" s="122" t="s">
        <v>912</v>
      </c>
      <c r="F2180" s="122" t="s">
        <v>913</v>
      </c>
      <c r="G2180" s="122" t="s">
        <v>786</v>
      </c>
      <c r="H2180" s="122" t="s">
        <v>777</v>
      </c>
      <c r="I2180" s="312">
        <v>2020</v>
      </c>
      <c r="J2180" s="122" t="s">
        <v>710</v>
      </c>
      <c r="K2180" s="283">
        <v>10083</v>
      </c>
      <c r="L2180" s="318">
        <v>-33.740406</v>
      </c>
      <c r="M2180" s="318">
        <v>151.06098900000001</v>
      </c>
      <c r="O2180">
        <f>INDEX('MEC - traffic congestion'!$M$145:$M$249,MATCH($D2180,'MEC - traffic congestion'!$C$145:$C$249,0))</f>
        <v>1</v>
      </c>
      <c r="P2180" t="str">
        <f t="shared" si="95"/>
        <v>2020OFF PEAK</v>
      </c>
      <c r="Q2180">
        <f t="shared" si="96"/>
        <v>1</v>
      </c>
      <c r="R2180" s="195" t="str">
        <f t="shared" si="97"/>
        <v>2020LIGHT VEHICLES</v>
      </c>
    </row>
    <row r="2181" spans="3:18" x14ac:dyDescent="0.25">
      <c r="C2181" s="294" t="s">
        <v>911</v>
      </c>
      <c r="D2181" s="317">
        <v>7161</v>
      </c>
      <c r="E2181" s="122" t="s">
        <v>912</v>
      </c>
      <c r="F2181" s="122" t="s">
        <v>913</v>
      </c>
      <c r="G2181" s="122" t="s">
        <v>786</v>
      </c>
      <c r="H2181" s="122" t="s">
        <v>777</v>
      </c>
      <c r="I2181" s="312">
        <v>2020</v>
      </c>
      <c r="J2181" s="122" t="s">
        <v>711</v>
      </c>
      <c r="K2181" s="283">
        <v>6016</v>
      </c>
      <c r="L2181" s="318">
        <v>-33.740406</v>
      </c>
      <c r="M2181" s="318">
        <v>151.06098900000001</v>
      </c>
      <c r="O2181">
        <f>INDEX('MEC - traffic congestion'!$M$145:$M$249,MATCH($D2181,'MEC - traffic congestion'!$C$145:$C$249,0))</f>
        <v>1</v>
      </c>
      <c r="P2181" t="str">
        <f t="shared" si="95"/>
        <v>2020PM PEAK</v>
      </c>
      <c r="Q2181">
        <f t="shared" si="96"/>
        <v>1</v>
      </c>
      <c r="R2181" s="195" t="str">
        <f t="shared" si="97"/>
        <v>2020LIGHT VEHICLES</v>
      </c>
    </row>
    <row r="2182" spans="3:18" x14ac:dyDescent="0.25">
      <c r="C2182" s="294" t="s">
        <v>911</v>
      </c>
      <c r="D2182" s="317">
        <v>7161</v>
      </c>
      <c r="E2182" s="122" t="s">
        <v>912</v>
      </c>
      <c r="F2182" s="122" t="s">
        <v>913</v>
      </c>
      <c r="G2182" s="122" t="s">
        <v>786</v>
      </c>
      <c r="H2182" s="122" t="s">
        <v>777</v>
      </c>
      <c r="I2182" s="312">
        <v>2020</v>
      </c>
      <c r="J2182" s="122" t="s">
        <v>712</v>
      </c>
      <c r="K2182" s="283">
        <v>16220</v>
      </c>
      <c r="L2182" s="318">
        <v>-33.740406</v>
      </c>
      <c r="M2182" s="318">
        <v>151.06098900000001</v>
      </c>
      <c r="O2182">
        <f>INDEX('MEC - traffic congestion'!$M$145:$M$249,MATCH($D2182,'MEC - traffic congestion'!$C$145:$C$249,0))</f>
        <v>1</v>
      </c>
      <c r="P2182" t="str">
        <f t="shared" si="95"/>
        <v>2020PUBLIC HOLIDAYS</v>
      </c>
      <c r="Q2182">
        <f t="shared" si="96"/>
        <v>1</v>
      </c>
      <c r="R2182" s="195" t="str">
        <f t="shared" si="97"/>
        <v>2020LIGHT VEHICLES</v>
      </c>
    </row>
    <row r="2183" spans="3:18" x14ac:dyDescent="0.25">
      <c r="C2183" s="294" t="s">
        <v>911</v>
      </c>
      <c r="D2183" s="317">
        <v>7161</v>
      </c>
      <c r="E2183" s="122" t="s">
        <v>912</v>
      </c>
      <c r="F2183" s="122" t="s">
        <v>913</v>
      </c>
      <c r="G2183" s="122" t="s">
        <v>786</v>
      </c>
      <c r="H2183" s="122" t="s">
        <v>777</v>
      </c>
      <c r="I2183" s="312">
        <v>2020</v>
      </c>
      <c r="J2183" s="122" t="s">
        <v>713</v>
      </c>
      <c r="K2183" s="283">
        <v>21165</v>
      </c>
      <c r="L2183" s="318">
        <v>-33.740406</v>
      </c>
      <c r="M2183" s="318">
        <v>151.06098900000001</v>
      </c>
      <c r="O2183">
        <f>INDEX('MEC - traffic congestion'!$M$145:$M$249,MATCH($D2183,'MEC - traffic congestion'!$C$145:$C$249,0))</f>
        <v>1</v>
      </c>
      <c r="P2183" t="str">
        <f t="shared" si="95"/>
        <v>2020WEEKENDS</v>
      </c>
      <c r="Q2183">
        <f t="shared" si="96"/>
        <v>1</v>
      </c>
      <c r="R2183" s="195" t="str">
        <f t="shared" si="97"/>
        <v>2020LIGHT VEHICLES</v>
      </c>
    </row>
    <row r="2184" spans="3:18" x14ac:dyDescent="0.25">
      <c r="C2184" s="294" t="s">
        <v>911</v>
      </c>
      <c r="D2184" s="317">
        <v>7161</v>
      </c>
      <c r="E2184" s="122" t="s">
        <v>912</v>
      </c>
      <c r="F2184" s="122" t="s">
        <v>913</v>
      </c>
      <c r="G2184" s="122" t="s">
        <v>786</v>
      </c>
      <c r="H2184" s="122" t="s">
        <v>777</v>
      </c>
      <c r="I2184" s="312">
        <v>2021</v>
      </c>
      <c r="J2184" s="122" t="s">
        <v>709</v>
      </c>
      <c r="K2184" s="283">
        <v>3930</v>
      </c>
      <c r="L2184" s="318">
        <v>-33.740406</v>
      </c>
      <c r="M2184" s="318">
        <v>151.06098900000001</v>
      </c>
      <c r="O2184">
        <f>INDEX('MEC - traffic congestion'!$M$145:$M$249,MATCH($D2184,'MEC - traffic congestion'!$C$145:$C$249,0))</f>
        <v>1</v>
      </c>
      <c r="P2184" t="str">
        <f t="shared" si="95"/>
        <v>2021AM PEAK</v>
      </c>
      <c r="Q2184">
        <f t="shared" si="96"/>
        <v>1</v>
      </c>
      <c r="R2184" s="195" t="str">
        <f t="shared" si="97"/>
        <v>2021LIGHT VEHICLES</v>
      </c>
    </row>
    <row r="2185" spans="3:18" x14ac:dyDescent="0.25">
      <c r="C2185" s="294" t="s">
        <v>911</v>
      </c>
      <c r="D2185" s="317">
        <v>7161</v>
      </c>
      <c r="E2185" s="122" t="s">
        <v>912</v>
      </c>
      <c r="F2185" s="122" t="s">
        <v>913</v>
      </c>
      <c r="G2185" s="122" t="s">
        <v>786</v>
      </c>
      <c r="H2185" s="122" t="s">
        <v>777</v>
      </c>
      <c r="I2185" s="312">
        <v>2021</v>
      </c>
      <c r="J2185" s="122" t="s">
        <v>710</v>
      </c>
      <c r="K2185" s="283">
        <v>7372</v>
      </c>
      <c r="L2185" s="318">
        <v>-33.740406</v>
      </c>
      <c r="M2185" s="318">
        <v>151.06098900000001</v>
      </c>
      <c r="O2185">
        <f>INDEX('MEC - traffic congestion'!$M$145:$M$249,MATCH($D2185,'MEC - traffic congestion'!$C$145:$C$249,0))</f>
        <v>1</v>
      </c>
      <c r="P2185" t="str">
        <f t="shared" si="95"/>
        <v>2021OFF PEAK</v>
      </c>
      <c r="Q2185">
        <f t="shared" si="96"/>
        <v>1</v>
      </c>
      <c r="R2185" s="195" t="str">
        <f t="shared" si="97"/>
        <v>2021LIGHT VEHICLES</v>
      </c>
    </row>
    <row r="2186" spans="3:18" x14ac:dyDescent="0.25">
      <c r="C2186" s="294" t="s">
        <v>911</v>
      </c>
      <c r="D2186" s="317">
        <v>7161</v>
      </c>
      <c r="E2186" s="122" t="s">
        <v>912</v>
      </c>
      <c r="F2186" s="122" t="s">
        <v>913</v>
      </c>
      <c r="G2186" s="122" t="s">
        <v>786</v>
      </c>
      <c r="H2186" s="122" t="s">
        <v>777</v>
      </c>
      <c r="I2186" s="312">
        <v>2021</v>
      </c>
      <c r="J2186" s="122" t="s">
        <v>711</v>
      </c>
      <c r="K2186" s="283">
        <v>4713</v>
      </c>
      <c r="L2186" s="318">
        <v>-33.740406</v>
      </c>
      <c r="M2186" s="318">
        <v>151.06098900000001</v>
      </c>
      <c r="O2186">
        <f>INDEX('MEC - traffic congestion'!$M$145:$M$249,MATCH($D2186,'MEC - traffic congestion'!$C$145:$C$249,0))</f>
        <v>1</v>
      </c>
      <c r="P2186" t="str">
        <f t="shared" si="95"/>
        <v>2021PM PEAK</v>
      </c>
      <c r="Q2186">
        <f t="shared" si="96"/>
        <v>1</v>
      </c>
      <c r="R2186" s="195" t="str">
        <f t="shared" si="97"/>
        <v>2021LIGHT VEHICLES</v>
      </c>
    </row>
    <row r="2187" spans="3:18" x14ac:dyDescent="0.25">
      <c r="C2187" s="294" t="s">
        <v>911</v>
      </c>
      <c r="D2187" s="317">
        <v>7161</v>
      </c>
      <c r="E2187" s="122" t="s">
        <v>912</v>
      </c>
      <c r="F2187" s="122" t="s">
        <v>913</v>
      </c>
      <c r="G2187" s="122" t="s">
        <v>786</v>
      </c>
      <c r="H2187" s="122" t="s">
        <v>777</v>
      </c>
      <c r="I2187" s="312">
        <v>2021</v>
      </c>
      <c r="J2187" s="122" t="s">
        <v>713</v>
      </c>
      <c r="K2187" s="283">
        <v>13804</v>
      </c>
      <c r="L2187" s="318">
        <v>-33.740406</v>
      </c>
      <c r="M2187" s="318">
        <v>151.06098900000001</v>
      </c>
      <c r="O2187">
        <f>INDEX('MEC - traffic congestion'!$M$145:$M$249,MATCH($D2187,'MEC - traffic congestion'!$C$145:$C$249,0))</f>
        <v>1</v>
      </c>
      <c r="P2187" t="str">
        <f t="shared" si="95"/>
        <v>2021WEEKENDS</v>
      </c>
      <c r="Q2187">
        <f t="shared" si="96"/>
        <v>1</v>
      </c>
      <c r="R2187" s="195" t="str">
        <f t="shared" si="97"/>
        <v>2021LIGHT VEHICLES</v>
      </c>
    </row>
    <row r="2188" spans="3:18" x14ac:dyDescent="0.25">
      <c r="C2188" s="294" t="s">
        <v>911</v>
      </c>
      <c r="D2188" s="317">
        <v>7161</v>
      </c>
      <c r="E2188" s="122" t="s">
        <v>912</v>
      </c>
      <c r="F2188" s="122" t="s">
        <v>913</v>
      </c>
      <c r="G2188" s="122" t="s">
        <v>786</v>
      </c>
      <c r="H2188" s="122" t="s">
        <v>777</v>
      </c>
      <c r="I2188" s="312">
        <v>2022</v>
      </c>
      <c r="J2188" s="122" t="s">
        <v>709</v>
      </c>
      <c r="K2188" s="283">
        <v>4210</v>
      </c>
      <c r="L2188" s="318">
        <v>-33.740406</v>
      </c>
      <c r="M2188" s="318">
        <v>151.06098900000001</v>
      </c>
      <c r="O2188">
        <f>INDEX('MEC - traffic congestion'!$M$145:$M$249,MATCH($D2188,'MEC - traffic congestion'!$C$145:$C$249,0))</f>
        <v>1</v>
      </c>
      <c r="P2188" t="str">
        <f t="shared" si="95"/>
        <v>2022AM PEAK</v>
      </c>
      <c r="Q2188">
        <f t="shared" si="96"/>
        <v>1</v>
      </c>
      <c r="R2188" s="195" t="str">
        <f t="shared" si="97"/>
        <v>2022LIGHT VEHICLES</v>
      </c>
    </row>
    <row r="2189" spans="3:18" x14ac:dyDescent="0.25">
      <c r="C2189" s="294" t="s">
        <v>911</v>
      </c>
      <c r="D2189" s="317">
        <v>7161</v>
      </c>
      <c r="E2189" s="122" t="s">
        <v>912</v>
      </c>
      <c r="F2189" s="122" t="s">
        <v>913</v>
      </c>
      <c r="G2189" s="122" t="s">
        <v>786</v>
      </c>
      <c r="H2189" s="122" t="s">
        <v>777</v>
      </c>
      <c r="I2189" s="312">
        <v>2022</v>
      </c>
      <c r="J2189" s="122" t="s">
        <v>710</v>
      </c>
      <c r="K2189" s="283">
        <v>7934</v>
      </c>
      <c r="L2189" s="318">
        <v>-33.740406</v>
      </c>
      <c r="M2189" s="318">
        <v>151.06098900000001</v>
      </c>
      <c r="O2189">
        <f>INDEX('MEC - traffic congestion'!$M$145:$M$249,MATCH($D2189,'MEC - traffic congestion'!$C$145:$C$249,0))</f>
        <v>1</v>
      </c>
      <c r="P2189" t="str">
        <f t="shared" si="95"/>
        <v>2022OFF PEAK</v>
      </c>
      <c r="Q2189">
        <f t="shared" si="96"/>
        <v>1</v>
      </c>
      <c r="R2189" s="195" t="str">
        <f t="shared" si="97"/>
        <v>2022LIGHT VEHICLES</v>
      </c>
    </row>
    <row r="2190" spans="3:18" x14ac:dyDescent="0.25">
      <c r="C2190" s="294" t="s">
        <v>911</v>
      </c>
      <c r="D2190" s="317">
        <v>7161</v>
      </c>
      <c r="E2190" s="122" t="s">
        <v>912</v>
      </c>
      <c r="F2190" s="122" t="s">
        <v>913</v>
      </c>
      <c r="G2190" s="122" t="s">
        <v>786</v>
      </c>
      <c r="H2190" s="122" t="s">
        <v>777</v>
      </c>
      <c r="I2190" s="312">
        <v>2022</v>
      </c>
      <c r="J2190" s="122" t="s">
        <v>711</v>
      </c>
      <c r="K2190" s="283">
        <v>5244</v>
      </c>
      <c r="L2190" s="318">
        <v>-33.740406</v>
      </c>
      <c r="M2190" s="318">
        <v>151.06098900000001</v>
      </c>
      <c r="O2190">
        <f>INDEX('MEC - traffic congestion'!$M$145:$M$249,MATCH($D2190,'MEC - traffic congestion'!$C$145:$C$249,0))</f>
        <v>1</v>
      </c>
      <c r="P2190" t="str">
        <f t="shared" si="95"/>
        <v>2022PM PEAK</v>
      </c>
      <c r="Q2190">
        <f t="shared" si="96"/>
        <v>1</v>
      </c>
      <c r="R2190" s="195" t="str">
        <f t="shared" si="97"/>
        <v>2022LIGHT VEHICLES</v>
      </c>
    </row>
    <row r="2191" spans="3:18" x14ac:dyDescent="0.25">
      <c r="C2191" s="294" t="s">
        <v>911</v>
      </c>
      <c r="D2191" s="317">
        <v>7161</v>
      </c>
      <c r="E2191" s="122" t="s">
        <v>912</v>
      </c>
      <c r="F2191" s="122" t="s">
        <v>913</v>
      </c>
      <c r="G2191" s="122" t="s">
        <v>786</v>
      </c>
      <c r="H2191" s="122" t="s">
        <v>777</v>
      </c>
      <c r="I2191" s="312">
        <v>2022</v>
      </c>
      <c r="J2191" s="122" t="s">
        <v>713</v>
      </c>
      <c r="K2191" s="283">
        <v>15710</v>
      </c>
      <c r="L2191" s="318">
        <v>-33.740406</v>
      </c>
      <c r="M2191" s="318">
        <v>151.06098900000001</v>
      </c>
      <c r="O2191">
        <f>INDEX('MEC - traffic congestion'!$M$145:$M$249,MATCH($D2191,'MEC - traffic congestion'!$C$145:$C$249,0))</f>
        <v>1</v>
      </c>
      <c r="P2191" t="str">
        <f t="shared" si="95"/>
        <v>2022WEEKENDS</v>
      </c>
      <c r="Q2191">
        <f t="shared" si="96"/>
        <v>1</v>
      </c>
      <c r="R2191" s="195" t="str">
        <f t="shared" si="97"/>
        <v>2022LIGHT VEHICLES</v>
      </c>
    </row>
    <row r="2192" spans="3:18" x14ac:dyDescent="0.25">
      <c r="C2192" s="294" t="s">
        <v>911</v>
      </c>
      <c r="D2192" s="317">
        <v>7161</v>
      </c>
      <c r="E2192" s="122" t="s">
        <v>912</v>
      </c>
      <c r="F2192" s="122" t="s">
        <v>913</v>
      </c>
      <c r="G2192" s="122" t="s">
        <v>786</v>
      </c>
      <c r="H2192" s="122" t="s">
        <v>777</v>
      </c>
      <c r="I2192" s="312">
        <v>2023</v>
      </c>
      <c r="J2192" s="122" t="s">
        <v>709</v>
      </c>
      <c r="K2192" s="283">
        <v>4471</v>
      </c>
      <c r="L2192" s="318">
        <v>-33.740406</v>
      </c>
      <c r="M2192" s="318">
        <v>151.06098900000001</v>
      </c>
      <c r="O2192">
        <f>INDEX('MEC - traffic congestion'!$M$145:$M$249,MATCH($D2192,'MEC - traffic congestion'!$C$145:$C$249,0))</f>
        <v>1</v>
      </c>
      <c r="P2192" t="str">
        <f t="shared" si="95"/>
        <v>2023AM PEAK</v>
      </c>
      <c r="Q2192">
        <f t="shared" si="96"/>
        <v>1</v>
      </c>
      <c r="R2192" s="195" t="str">
        <f t="shared" si="97"/>
        <v>2023LIGHT VEHICLES</v>
      </c>
    </row>
    <row r="2193" spans="3:18" x14ac:dyDescent="0.25">
      <c r="C2193" s="294" t="s">
        <v>911</v>
      </c>
      <c r="D2193" s="317">
        <v>7161</v>
      </c>
      <c r="E2193" s="122" t="s">
        <v>912</v>
      </c>
      <c r="F2193" s="122" t="s">
        <v>913</v>
      </c>
      <c r="G2193" s="122" t="s">
        <v>786</v>
      </c>
      <c r="H2193" s="122" t="s">
        <v>777</v>
      </c>
      <c r="I2193" s="312">
        <v>2023</v>
      </c>
      <c r="J2193" s="122" t="s">
        <v>710</v>
      </c>
      <c r="K2193" s="283">
        <v>8303</v>
      </c>
      <c r="L2193" s="318">
        <v>-33.740406</v>
      </c>
      <c r="M2193" s="318">
        <v>151.06098900000001</v>
      </c>
      <c r="O2193">
        <f>INDEX('MEC - traffic congestion'!$M$145:$M$249,MATCH($D2193,'MEC - traffic congestion'!$C$145:$C$249,0))</f>
        <v>1</v>
      </c>
      <c r="P2193" t="str">
        <f t="shared" si="95"/>
        <v>2023OFF PEAK</v>
      </c>
      <c r="Q2193">
        <f t="shared" si="96"/>
        <v>1</v>
      </c>
      <c r="R2193" s="195" t="str">
        <f t="shared" si="97"/>
        <v>2023LIGHT VEHICLES</v>
      </c>
    </row>
    <row r="2194" spans="3:18" x14ac:dyDescent="0.25">
      <c r="C2194" s="294" t="s">
        <v>911</v>
      </c>
      <c r="D2194" s="317">
        <v>7161</v>
      </c>
      <c r="E2194" s="122" t="s">
        <v>912</v>
      </c>
      <c r="F2194" s="122" t="s">
        <v>913</v>
      </c>
      <c r="G2194" s="122" t="s">
        <v>786</v>
      </c>
      <c r="H2194" s="122" t="s">
        <v>777</v>
      </c>
      <c r="I2194" s="312">
        <v>2023</v>
      </c>
      <c r="J2194" s="122" t="s">
        <v>711</v>
      </c>
      <c r="K2194" s="283">
        <v>5537</v>
      </c>
      <c r="L2194" s="318">
        <v>-33.740406</v>
      </c>
      <c r="M2194" s="318">
        <v>151.06098900000001</v>
      </c>
      <c r="O2194">
        <f>INDEX('MEC - traffic congestion'!$M$145:$M$249,MATCH($D2194,'MEC - traffic congestion'!$C$145:$C$249,0))</f>
        <v>1</v>
      </c>
      <c r="P2194" t="str">
        <f t="shared" si="95"/>
        <v>2023PM PEAK</v>
      </c>
      <c r="Q2194">
        <f t="shared" si="96"/>
        <v>1</v>
      </c>
      <c r="R2194" s="195" t="str">
        <f t="shared" si="97"/>
        <v>2023LIGHT VEHICLES</v>
      </c>
    </row>
    <row r="2195" spans="3:18" x14ac:dyDescent="0.25">
      <c r="C2195" s="294" t="s">
        <v>911</v>
      </c>
      <c r="D2195" s="317">
        <v>7161</v>
      </c>
      <c r="E2195" s="122" t="s">
        <v>912</v>
      </c>
      <c r="F2195" s="122" t="s">
        <v>913</v>
      </c>
      <c r="G2195" s="122" t="s">
        <v>786</v>
      </c>
      <c r="H2195" s="122" t="s">
        <v>777</v>
      </c>
      <c r="I2195" s="312">
        <v>2023</v>
      </c>
      <c r="J2195" s="122" t="s">
        <v>713</v>
      </c>
      <c r="K2195" s="283">
        <v>17219</v>
      </c>
      <c r="L2195" s="318">
        <v>-33.740406</v>
      </c>
      <c r="M2195" s="318">
        <v>151.06098900000001</v>
      </c>
      <c r="O2195">
        <f>INDEX('MEC - traffic congestion'!$M$145:$M$249,MATCH($D2195,'MEC - traffic congestion'!$C$145:$C$249,0))</f>
        <v>1</v>
      </c>
      <c r="P2195" t="str">
        <f t="shared" si="95"/>
        <v>2023WEEKENDS</v>
      </c>
      <c r="Q2195">
        <f t="shared" si="96"/>
        <v>1</v>
      </c>
      <c r="R2195" s="195" t="str">
        <f t="shared" si="97"/>
        <v>2023LIGHT VEHICLES</v>
      </c>
    </row>
    <row r="2196" spans="3:18" x14ac:dyDescent="0.25">
      <c r="C2196" s="294" t="s">
        <v>911</v>
      </c>
      <c r="D2196" s="317">
        <v>7161</v>
      </c>
      <c r="E2196" s="122" t="s">
        <v>912</v>
      </c>
      <c r="F2196" s="122" t="s">
        <v>913</v>
      </c>
      <c r="G2196" s="122" t="s">
        <v>786</v>
      </c>
      <c r="H2196" s="122" t="s">
        <v>777</v>
      </c>
      <c r="I2196" s="312">
        <v>2024</v>
      </c>
      <c r="J2196" s="122" t="s">
        <v>709</v>
      </c>
      <c r="K2196" s="283">
        <v>4365</v>
      </c>
      <c r="L2196" s="318">
        <v>-33.740406</v>
      </c>
      <c r="M2196" s="318">
        <v>151.06098900000001</v>
      </c>
      <c r="O2196">
        <f>INDEX('MEC - traffic congestion'!$M$145:$M$249,MATCH($D2196,'MEC - traffic congestion'!$C$145:$C$249,0))</f>
        <v>1</v>
      </c>
      <c r="P2196" t="str">
        <f t="shared" si="95"/>
        <v>2024AM PEAK</v>
      </c>
      <c r="Q2196">
        <f t="shared" si="96"/>
        <v>1</v>
      </c>
      <c r="R2196" s="195" t="str">
        <f t="shared" si="97"/>
        <v>2024LIGHT VEHICLES</v>
      </c>
    </row>
    <row r="2197" spans="3:18" x14ac:dyDescent="0.25">
      <c r="C2197" s="294" t="s">
        <v>911</v>
      </c>
      <c r="D2197" s="317">
        <v>7161</v>
      </c>
      <c r="E2197" s="122" t="s">
        <v>912</v>
      </c>
      <c r="F2197" s="122" t="s">
        <v>913</v>
      </c>
      <c r="G2197" s="122" t="s">
        <v>786</v>
      </c>
      <c r="H2197" s="122" t="s">
        <v>777</v>
      </c>
      <c r="I2197" s="312">
        <v>2024</v>
      </c>
      <c r="J2197" s="122" t="s">
        <v>710</v>
      </c>
      <c r="K2197" s="283">
        <v>8407</v>
      </c>
      <c r="L2197" s="318">
        <v>-33.740406</v>
      </c>
      <c r="M2197" s="318">
        <v>151.06098900000001</v>
      </c>
      <c r="O2197">
        <f>INDEX('MEC - traffic congestion'!$M$145:$M$249,MATCH($D2197,'MEC - traffic congestion'!$C$145:$C$249,0))</f>
        <v>1</v>
      </c>
      <c r="P2197" t="str">
        <f t="shared" ref="P2197:P2260" si="98">IF($O2197=1,$I2197&amp;$J2197,"")</f>
        <v>2024OFF PEAK</v>
      </c>
      <c r="Q2197">
        <f t="shared" ref="Q2197:Q2260" si="99">IF(AND($M2197&gt;150.246,AND($L2197&gt;-34.397,$L2197&lt;-32.662)),1,0)</f>
        <v>1</v>
      </c>
      <c r="R2197" s="195" t="str">
        <f t="shared" ref="R2197:R2260" si="100">IF($O2197=1,$I2197&amp;$H2197,"")</f>
        <v>2024LIGHT VEHICLES</v>
      </c>
    </row>
    <row r="2198" spans="3:18" x14ac:dyDescent="0.25">
      <c r="C2198" s="294" t="s">
        <v>911</v>
      </c>
      <c r="D2198" s="317">
        <v>7161</v>
      </c>
      <c r="E2198" s="122" t="s">
        <v>912</v>
      </c>
      <c r="F2198" s="122" t="s">
        <v>913</v>
      </c>
      <c r="G2198" s="122" t="s">
        <v>786</v>
      </c>
      <c r="H2198" s="122" t="s">
        <v>777</v>
      </c>
      <c r="I2198" s="312">
        <v>2024</v>
      </c>
      <c r="J2198" s="122" t="s">
        <v>711</v>
      </c>
      <c r="K2198" s="283">
        <v>5515</v>
      </c>
      <c r="L2198" s="318">
        <v>-33.740406</v>
      </c>
      <c r="M2198" s="318">
        <v>151.06098900000001</v>
      </c>
      <c r="O2198">
        <f>INDEX('MEC - traffic congestion'!$M$145:$M$249,MATCH($D2198,'MEC - traffic congestion'!$C$145:$C$249,0))</f>
        <v>1</v>
      </c>
      <c r="P2198" t="str">
        <f t="shared" si="98"/>
        <v>2024PM PEAK</v>
      </c>
      <c r="Q2198">
        <f t="shared" si="99"/>
        <v>1</v>
      </c>
      <c r="R2198" s="195" t="str">
        <f t="shared" si="100"/>
        <v>2024LIGHT VEHICLES</v>
      </c>
    </row>
    <row r="2199" spans="3:18" x14ac:dyDescent="0.25">
      <c r="C2199" s="294" t="s">
        <v>911</v>
      </c>
      <c r="D2199" s="317">
        <v>7161</v>
      </c>
      <c r="E2199" s="122" t="s">
        <v>912</v>
      </c>
      <c r="F2199" s="122" t="s">
        <v>913</v>
      </c>
      <c r="G2199" s="122" t="s">
        <v>786</v>
      </c>
      <c r="H2199" s="122" t="s">
        <v>777</v>
      </c>
      <c r="I2199" s="312">
        <v>2024</v>
      </c>
      <c r="J2199" s="122" t="s">
        <v>713</v>
      </c>
      <c r="K2199" s="283">
        <v>17723</v>
      </c>
      <c r="L2199" s="318">
        <v>-33.740406</v>
      </c>
      <c r="M2199" s="318">
        <v>151.06098900000001</v>
      </c>
      <c r="O2199">
        <f>INDEX('MEC - traffic congestion'!$M$145:$M$249,MATCH($D2199,'MEC - traffic congestion'!$C$145:$C$249,0))</f>
        <v>1</v>
      </c>
      <c r="P2199" t="str">
        <f t="shared" si="98"/>
        <v>2024WEEKENDS</v>
      </c>
      <c r="Q2199">
        <f t="shared" si="99"/>
        <v>1</v>
      </c>
      <c r="R2199" s="195" t="str">
        <f t="shared" si="100"/>
        <v>2024LIGHT VEHICLES</v>
      </c>
    </row>
    <row r="2200" spans="3:18" x14ac:dyDescent="0.25">
      <c r="C2200" s="294" t="s">
        <v>914</v>
      </c>
      <c r="D2200" s="317">
        <v>7162</v>
      </c>
      <c r="E2200" s="122" t="s">
        <v>894</v>
      </c>
      <c r="F2200" s="122" t="s">
        <v>915</v>
      </c>
      <c r="G2200" s="122" t="s">
        <v>786</v>
      </c>
      <c r="H2200" s="122" t="s">
        <v>777</v>
      </c>
      <c r="I2200" s="312">
        <v>2018</v>
      </c>
      <c r="J2200" s="122" t="s">
        <v>709</v>
      </c>
      <c r="K2200" s="283">
        <v>4232</v>
      </c>
      <c r="L2200" s="318">
        <v>-34.045811</v>
      </c>
      <c r="M2200" s="318">
        <v>151.13304099999999</v>
      </c>
      <c r="O2200">
        <f>INDEX('MEC - traffic congestion'!$M$145:$M$249,MATCH($D2200,'MEC - traffic congestion'!$C$145:$C$249,0))</f>
        <v>1</v>
      </c>
      <c r="P2200" t="str">
        <f t="shared" si="98"/>
        <v>2018AM PEAK</v>
      </c>
      <c r="Q2200">
        <f t="shared" si="99"/>
        <v>1</v>
      </c>
      <c r="R2200" s="195" t="str">
        <f t="shared" si="100"/>
        <v>2018LIGHT VEHICLES</v>
      </c>
    </row>
    <row r="2201" spans="3:18" x14ac:dyDescent="0.25">
      <c r="C2201" s="294" t="s">
        <v>914</v>
      </c>
      <c r="D2201" s="317">
        <v>7162</v>
      </c>
      <c r="E2201" s="122" t="s">
        <v>894</v>
      </c>
      <c r="F2201" s="122" t="s">
        <v>915</v>
      </c>
      <c r="G2201" s="122" t="s">
        <v>786</v>
      </c>
      <c r="H2201" s="122" t="s">
        <v>777</v>
      </c>
      <c r="I2201" s="312">
        <v>2018</v>
      </c>
      <c r="J2201" s="122" t="s">
        <v>710</v>
      </c>
      <c r="K2201" s="283">
        <v>7919</v>
      </c>
      <c r="L2201" s="318">
        <v>-34.045811</v>
      </c>
      <c r="M2201" s="318">
        <v>151.13304099999999</v>
      </c>
      <c r="O2201">
        <f>INDEX('MEC - traffic congestion'!$M$145:$M$249,MATCH($D2201,'MEC - traffic congestion'!$C$145:$C$249,0))</f>
        <v>1</v>
      </c>
      <c r="P2201" t="str">
        <f t="shared" si="98"/>
        <v>2018OFF PEAK</v>
      </c>
      <c r="Q2201">
        <f t="shared" si="99"/>
        <v>1</v>
      </c>
      <c r="R2201" s="195" t="str">
        <f t="shared" si="100"/>
        <v>2018LIGHT VEHICLES</v>
      </c>
    </row>
    <row r="2202" spans="3:18" x14ac:dyDescent="0.25">
      <c r="C2202" s="294" t="s">
        <v>914</v>
      </c>
      <c r="D2202" s="317">
        <v>7162</v>
      </c>
      <c r="E2202" s="122" t="s">
        <v>894</v>
      </c>
      <c r="F2202" s="122" t="s">
        <v>915</v>
      </c>
      <c r="G2202" s="122" t="s">
        <v>786</v>
      </c>
      <c r="H2202" s="122" t="s">
        <v>777</v>
      </c>
      <c r="I2202" s="312">
        <v>2018</v>
      </c>
      <c r="J2202" s="122" t="s">
        <v>711</v>
      </c>
      <c r="K2202" s="283">
        <v>4063</v>
      </c>
      <c r="L2202" s="318">
        <v>-34.045811</v>
      </c>
      <c r="M2202" s="318">
        <v>151.13304099999999</v>
      </c>
      <c r="O2202">
        <f>INDEX('MEC - traffic congestion'!$M$145:$M$249,MATCH($D2202,'MEC - traffic congestion'!$C$145:$C$249,0))</f>
        <v>1</v>
      </c>
      <c r="P2202" t="str">
        <f t="shared" si="98"/>
        <v>2018PM PEAK</v>
      </c>
      <c r="Q2202">
        <f t="shared" si="99"/>
        <v>1</v>
      </c>
      <c r="R2202" s="195" t="str">
        <f t="shared" si="100"/>
        <v>2018LIGHT VEHICLES</v>
      </c>
    </row>
    <row r="2203" spans="3:18" x14ac:dyDescent="0.25">
      <c r="C2203" s="294" t="s">
        <v>914</v>
      </c>
      <c r="D2203" s="317">
        <v>7162</v>
      </c>
      <c r="E2203" s="122" t="s">
        <v>894</v>
      </c>
      <c r="F2203" s="122" t="s">
        <v>915</v>
      </c>
      <c r="G2203" s="122" t="s">
        <v>786</v>
      </c>
      <c r="H2203" s="122" t="s">
        <v>777</v>
      </c>
      <c r="I2203" s="312">
        <v>2018</v>
      </c>
      <c r="J2203" s="122" t="s">
        <v>712</v>
      </c>
      <c r="K2203" s="283">
        <v>15301</v>
      </c>
      <c r="L2203" s="318">
        <v>-34.045811</v>
      </c>
      <c r="M2203" s="318">
        <v>151.13304099999999</v>
      </c>
      <c r="O2203">
        <f>INDEX('MEC - traffic congestion'!$M$145:$M$249,MATCH($D2203,'MEC - traffic congestion'!$C$145:$C$249,0))</f>
        <v>1</v>
      </c>
      <c r="P2203" t="str">
        <f t="shared" si="98"/>
        <v>2018PUBLIC HOLIDAYS</v>
      </c>
      <c r="Q2203">
        <f t="shared" si="99"/>
        <v>1</v>
      </c>
      <c r="R2203" s="195" t="str">
        <f t="shared" si="100"/>
        <v>2018LIGHT VEHICLES</v>
      </c>
    </row>
    <row r="2204" spans="3:18" x14ac:dyDescent="0.25">
      <c r="C2204" s="294" t="s">
        <v>914</v>
      </c>
      <c r="D2204" s="317">
        <v>7162</v>
      </c>
      <c r="E2204" s="122" t="s">
        <v>894</v>
      </c>
      <c r="F2204" s="122" t="s">
        <v>915</v>
      </c>
      <c r="G2204" s="122" t="s">
        <v>786</v>
      </c>
      <c r="H2204" s="122" t="s">
        <v>777</v>
      </c>
      <c r="I2204" s="312">
        <v>2018</v>
      </c>
      <c r="J2204" s="122" t="s">
        <v>713</v>
      </c>
      <c r="K2204" s="283">
        <v>16805</v>
      </c>
      <c r="L2204" s="318">
        <v>-34.045811</v>
      </c>
      <c r="M2204" s="318">
        <v>151.13304099999999</v>
      </c>
      <c r="O2204">
        <f>INDEX('MEC - traffic congestion'!$M$145:$M$249,MATCH($D2204,'MEC - traffic congestion'!$C$145:$C$249,0))</f>
        <v>1</v>
      </c>
      <c r="P2204" t="str">
        <f t="shared" si="98"/>
        <v>2018WEEKENDS</v>
      </c>
      <c r="Q2204">
        <f t="shared" si="99"/>
        <v>1</v>
      </c>
      <c r="R2204" s="195" t="str">
        <f t="shared" si="100"/>
        <v>2018LIGHT VEHICLES</v>
      </c>
    </row>
    <row r="2205" spans="3:18" x14ac:dyDescent="0.25">
      <c r="C2205" s="294" t="s">
        <v>914</v>
      </c>
      <c r="D2205" s="317">
        <v>7162</v>
      </c>
      <c r="E2205" s="122" t="s">
        <v>894</v>
      </c>
      <c r="F2205" s="122" t="s">
        <v>915</v>
      </c>
      <c r="G2205" s="122" t="s">
        <v>786</v>
      </c>
      <c r="H2205" s="122" t="s">
        <v>777</v>
      </c>
      <c r="I2205" s="312">
        <v>2019</v>
      </c>
      <c r="J2205" s="122" t="s">
        <v>709</v>
      </c>
      <c r="K2205" s="283">
        <v>4289</v>
      </c>
      <c r="L2205" s="318">
        <v>-34.045811</v>
      </c>
      <c r="M2205" s="318">
        <v>151.13304099999999</v>
      </c>
      <c r="O2205">
        <f>INDEX('MEC - traffic congestion'!$M$145:$M$249,MATCH($D2205,'MEC - traffic congestion'!$C$145:$C$249,0))</f>
        <v>1</v>
      </c>
      <c r="P2205" t="str">
        <f t="shared" si="98"/>
        <v>2019AM PEAK</v>
      </c>
      <c r="Q2205">
        <f t="shared" si="99"/>
        <v>1</v>
      </c>
      <c r="R2205" s="195" t="str">
        <f t="shared" si="100"/>
        <v>2019LIGHT VEHICLES</v>
      </c>
    </row>
    <row r="2206" spans="3:18" x14ac:dyDescent="0.25">
      <c r="C2206" s="294" t="s">
        <v>914</v>
      </c>
      <c r="D2206" s="317">
        <v>7162</v>
      </c>
      <c r="E2206" s="122" t="s">
        <v>894</v>
      </c>
      <c r="F2206" s="122" t="s">
        <v>915</v>
      </c>
      <c r="G2206" s="122" t="s">
        <v>786</v>
      </c>
      <c r="H2206" s="122" t="s">
        <v>777</v>
      </c>
      <c r="I2206" s="312">
        <v>2019</v>
      </c>
      <c r="J2206" s="122" t="s">
        <v>710</v>
      </c>
      <c r="K2206" s="283">
        <v>7869</v>
      </c>
      <c r="L2206" s="318">
        <v>-34.045811</v>
      </c>
      <c r="M2206" s="318">
        <v>151.13304099999999</v>
      </c>
      <c r="O2206">
        <f>INDEX('MEC - traffic congestion'!$M$145:$M$249,MATCH($D2206,'MEC - traffic congestion'!$C$145:$C$249,0))</f>
        <v>1</v>
      </c>
      <c r="P2206" t="str">
        <f t="shared" si="98"/>
        <v>2019OFF PEAK</v>
      </c>
      <c r="Q2206">
        <f t="shared" si="99"/>
        <v>1</v>
      </c>
      <c r="R2206" s="195" t="str">
        <f t="shared" si="100"/>
        <v>2019LIGHT VEHICLES</v>
      </c>
    </row>
    <row r="2207" spans="3:18" x14ac:dyDescent="0.25">
      <c r="C2207" s="294" t="s">
        <v>914</v>
      </c>
      <c r="D2207" s="317">
        <v>7162</v>
      </c>
      <c r="E2207" s="122" t="s">
        <v>894</v>
      </c>
      <c r="F2207" s="122" t="s">
        <v>915</v>
      </c>
      <c r="G2207" s="122" t="s">
        <v>786</v>
      </c>
      <c r="H2207" s="122" t="s">
        <v>777</v>
      </c>
      <c r="I2207" s="312">
        <v>2019</v>
      </c>
      <c r="J2207" s="122" t="s">
        <v>711</v>
      </c>
      <c r="K2207" s="283">
        <v>4029</v>
      </c>
      <c r="L2207" s="318">
        <v>-34.045811</v>
      </c>
      <c r="M2207" s="318">
        <v>151.13304099999999</v>
      </c>
      <c r="O2207">
        <f>INDEX('MEC - traffic congestion'!$M$145:$M$249,MATCH($D2207,'MEC - traffic congestion'!$C$145:$C$249,0))</f>
        <v>1</v>
      </c>
      <c r="P2207" t="str">
        <f t="shared" si="98"/>
        <v>2019PM PEAK</v>
      </c>
      <c r="Q2207">
        <f t="shared" si="99"/>
        <v>1</v>
      </c>
      <c r="R2207" s="195" t="str">
        <f t="shared" si="100"/>
        <v>2019LIGHT VEHICLES</v>
      </c>
    </row>
    <row r="2208" spans="3:18" x14ac:dyDescent="0.25">
      <c r="C2208" s="294" t="s">
        <v>914</v>
      </c>
      <c r="D2208" s="317">
        <v>7162</v>
      </c>
      <c r="E2208" s="122" t="s">
        <v>894</v>
      </c>
      <c r="F2208" s="122" t="s">
        <v>915</v>
      </c>
      <c r="G2208" s="122" t="s">
        <v>786</v>
      </c>
      <c r="H2208" s="122" t="s">
        <v>777</v>
      </c>
      <c r="I2208" s="312">
        <v>2019</v>
      </c>
      <c r="J2208" s="122" t="s">
        <v>712</v>
      </c>
      <c r="K2208" s="283">
        <v>14702</v>
      </c>
      <c r="L2208" s="318">
        <v>-34.045811</v>
      </c>
      <c r="M2208" s="318">
        <v>151.13304099999999</v>
      </c>
      <c r="O2208">
        <f>INDEX('MEC - traffic congestion'!$M$145:$M$249,MATCH($D2208,'MEC - traffic congestion'!$C$145:$C$249,0))</f>
        <v>1</v>
      </c>
      <c r="P2208" t="str">
        <f t="shared" si="98"/>
        <v>2019PUBLIC HOLIDAYS</v>
      </c>
      <c r="Q2208">
        <f t="shared" si="99"/>
        <v>1</v>
      </c>
      <c r="R2208" s="195" t="str">
        <f t="shared" si="100"/>
        <v>2019LIGHT VEHICLES</v>
      </c>
    </row>
    <row r="2209" spans="3:18" x14ac:dyDescent="0.25">
      <c r="C2209" s="294" t="s">
        <v>914</v>
      </c>
      <c r="D2209" s="317">
        <v>7162</v>
      </c>
      <c r="E2209" s="122" t="s">
        <v>894</v>
      </c>
      <c r="F2209" s="122" t="s">
        <v>915</v>
      </c>
      <c r="G2209" s="122" t="s">
        <v>786</v>
      </c>
      <c r="H2209" s="122" t="s">
        <v>777</v>
      </c>
      <c r="I2209" s="312">
        <v>2019</v>
      </c>
      <c r="J2209" s="122" t="s">
        <v>713</v>
      </c>
      <c r="K2209" s="283">
        <v>16286</v>
      </c>
      <c r="L2209" s="318">
        <v>-34.045811</v>
      </c>
      <c r="M2209" s="318">
        <v>151.13304099999999</v>
      </c>
      <c r="O2209">
        <f>INDEX('MEC - traffic congestion'!$M$145:$M$249,MATCH($D2209,'MEC - traffic congestion'!$C$145:$C$249,0))</f>
        <v>1</v>
      </c>
      <c r="P2209" t="str">
        <f t="shared" si="98"/>
        <v>2019WEEKENDS</v>
      </c>
      <c r="Q2209">
        <f t="shared" si="99"/>
        <v>1</v>
      </c>
      <c r="R2209" s="195" t="str">
        <f t="shared" si="100"/>
        <v>2019LIGHT VEHICLES</v>
      </c>
    </row>
    <row r="2210" spans="3:18" x14ac:dyDescent="0.25">
      <c r="C2210" s="294" t="s">
        <v>914</v>
      </c>
      <c r="D2210" s="317">
        <v>7162</v>
      </c>
      <c r="E2210" s="122" t="s">
        <v>894</v>
      </c>
      <c r="F2210" s="122" t="s">
        <v>915</v>
      </c>
      <c r="G2210" s="122" t="s">
        <v>786</v>
      </c>
      <c r="H2210" s="122" t="s">
        <v>777</v>
      </c>
      <c r="I2210" s="312">
        <v>2020</v>
      </c>
      <c r="J2210" s="122" t="s">
        <v>709</v>
      </c>
      <c r="K2210" s="283">
        <v>4285</v>
      </c>
      <c r="L2210" s="318">
        <v>-34.045811</v>
      </c>
      <c r="M2210" s="318">
        <v>151.13304099999999</v>
      </c>
      <c r="O2210">
        <f>INDEX('MEC - traffic congestion'!$M$145:$M$249,MATCH($D2210,'MEC - traffic congestion'!$C$145:$C$249,0))</f>
        <v>1</v>
      </c>
      <c r="P2210" t="str">
        <f t="shared" si="98"/>
        <v>2020AM PEAK</v>
      </c>
      <c r="Q2210">
        <f t="shared" si="99"/>
        <v>1</v>
      </c>
      <c r="R2210" s="195" t="str">
        <f t="shared" si="100"/>
        <v>2020LIGHT VEHICLES</v>
      </c>
    </row>
    <row r="2211" spans="3:18" x14ac:dyDescent="0.25">
      <c r="C2211" s="294" t="s">
        <v>914</v>
      </c>
      <c r="D2211" s="317">
        <v>7162</v>
      </c>
      <c r="E2211" s="122" t="s">
        <v>894</v>
      </c>
      <c r="F2211" s="122" t="s">
        <v>915</v>
      </c>
      <c r="G2211" s="122" t="s">
        <v>786</v>
      </c>
      <c r="H2211" s="122" t="s">
        <v>777</v>
      </c>
      <c r="I2211" s="312">
        <v>2020</v>
      </c>
      <c r="J2211" s="122" t="s">
        <v>710</v>
      </c>
      <c r="K2211" s="283">
        <v>7784</v>
      </c>
      <c r="L2211" s="318">
        <v>-34.045811</v>
      </c>
      <c r="M2211" s="318">
        <v>151.13304099999999</v>
      </c>
      <c r="O2211">
        <f>INDEX('MEC - traffic congestion'!$M$145:$M$249,MATCH($D2211,'MEC - traffic congestion'!$C$145:$C$249,0))</f>
        <v>1</v>
      </c>
      <c r="P2211" t="str">
        <f t="shared" si="98"/>
        <v>2020OFF PEAK</v>
      </c>
      <c r="Q2211">
        <f t="shared" si="99"/>
        <v>1</v>
      </c>
      <c r="R2211" s="195" t="str">
        <f t="shared" si="100"/>
        <v>2020LIGHT VEHICLES</v>
      </c>
    </row>
    <row r="2212" spans="3:18" x14ac:dyDescent="0.25">
      <c r="C2212" s="294" t="s">
        <v>914</v>
      </c>
      <c r="D2212" s="317">
        <v>7162</v>
      </c>
      <c r="E2212" s="122" t="s">
        <v>894</v>
      </c>
      <c r="F2212" s="122" t="s">
        <v>915</v>
      </c>
      <c r="G2212" s="122" t="s">
        <v>786</v>
      </c>
      <c r="H2212" s="122" t="s">
        <v>777</v>
      </c>
      <c r="I2212" s="312">
        <v>2020</v>
      </c>
      <c r="J2212" s="122" t="s">
        <v>711</v>
      </c>
      <c r="K2212" s="283">
        <v>3983</v>
      </c>
      <c r="L2212" s="318">
        <v>-34.045811</v>
      </c>
      <c r="M2212" s="318">
        <v>151.13304099999999</v>
      </c>
      <c r="O2212">
        <f>INDEX('MEC - traffic congestion'!$M$145:$M$249,MATCH($D2212,'MEC - traffic congestion'!$C$145:$C$249,0))</f>
        <v>1</v>
      </c>
      <c r="P2212" t="str">
        <f t="shared" si="98"/>
        <v>2020PM PEAK</v>
      </c>
      <c r="Q2212">
        <f t="shared" si="99"/>
        <v>1</v>
      </c>
      <c r="R2212" s="195" t="str">
        <f t="shared" si="100"/>
        <v>2020LIGHT VEHICLES</v>
      </c>
    </row>
    <row r="2213" spans="3:18" x14ac:dyDescent="0.25">
      <c r="C2213" s="294" t="s">
        <v>914</v>
      </c>
      <c r="D2213" s="317">
        <v>7162</v>
      </c>
      <c r="E2213" s="122" t="s">
        <v>894</v>
      </c>
      <c r="F2213" s="122" t="s">
        <v>915</v>
      </c>
      <c r="G2213" s="122" t="s">
        <v>786</v>
      </c>
      <c r="H2213" s="122" t="s">
        <v>777</v>
      </c>
      <c r="I2213" s="312">
        <v>2020</v>
      </c>
      <c r="J2213" s="122" t="s">
        <v>712</v>
      </c>
      <c r="K2213" s="283">
        <v>12006</v>
      </c>
      <c r="L2213" s="318">
        <v>-34.045811</v>
      </c>
      <c r="M2213" s="318">
        <v>151.13304099999999</v>
      </c>
      <c r="O2213">
        <f>INDEX('MEC - traffic congestion'!$M$145:$M$249,MATCH($D2213,'MEC - traffic congestion'!$C$145:$C$249,0))</f>
        <v>1</v>
      </c>
      <c r="P2213" t="str">
        <f t="shared" si="98"/>
        <v>2020PUBLIC HOLIDAYS</v>
      </c>
      <c r="Q2213">
        <f t="shared" si="99"/>
        <v>1</v>
      </c>
      <c r="R2213" s="195" t="str">
        <f t="shared" si="100"/>
        <v>2020LIGHT VEHICLES</v>
      </c>
    </row>
    <row r="2214" spans="3:18" x14ac:dyDescent="0.25">
      <c r="C2214" s="294" t="s">
        <v>914</v>
      </c>
      <c r="D2214" s="317">
        <v>7162</v>
      </c>
      <c r="E2214" s="122" t="s">
        <v>894</v>
      </c>
      <c r="F2214" s="122" t="s">
        <v>915</v>
      </c>
      <c r="G2214" s="122" t="s">
        <v>786</v>
      </c>
      <c r="H2214" s="122" t="s">
        <v>777</v>
      </c>
      <c r="I2214" s="312">
        <v>2020</v>
      </c>
      <c r="J2214" s="122" t="s">
        <v>713</v>
      </c>
      <c r="K2214" s="283">
        <v>15468</v>
      </c>
      <c r="L2214" s="318">
        <v>-34.045811</v>
      </c>
      <c r="M2214" s="318">
        <v>151.13304099999999</v>
      </c>
      <c r="O2214">
        <f>INDEX('MEC - traffic congestion'!$M$145:$M$249,MATCH($D2214,'MEC - traffic congestion'!$C$145:$C$249,0))</f>
        <v>1</v>
      </c>
      <c r="P2214" t="str">
        <f t="shared" si="98"/>
        <v>2020WEEKENDS</v>
      </c>
      <c r="Q2214">
        <f t="shared" si="99"/>
        <v>1</v>
      </c>
      <c r="R2214" s="195" t="str">
        <f t="shared" si="100"/>
        <v>2020LIGHT VEHICLES</v>
      </c>
    </row>
    <row r="2215" spans="3:18" x14ac:dyDescent="0.25">
      <c r="C2215" s="294" t="s">
        <v>914</v>
      </c>
      <c r="D2215" s="317">
        <v>7162</v>
      </c>
      <c r="E2215" s="122" t="s">
        <v>894</v>
      </c>
      <c r="F2215" s="122" t="s">
        <v>915</v>
      </c>
      <c r="G2215" s="122" t="s">
        <v>786</v>
      </c>
      <c r="H2215" s="122" t="s">
        <v>777</v>
      </c>
      <c r="I2215" s="312">
        <v>2021</v>
      </c>
      <c r="J2215" s="122" t="s">
        <v>709</v>
      </c>
      <c r="K2215" s="283">
        <v>4073</v>
      </c>
      <c r="L2215" s="318">
        <v>-34.045811</v>
      </c>
      <c r="M2215" s="318">
        <v>151.13304099999999</v>
      </c>
      <c r="O2215">
        <f>INDEX('MEC - traffic congestion'!$M$145:$M$249,MATCH($D2215,'MEC - traffic congestion'!$C$145:$C$249,0))</f>
        <v>1</v>
      </c>
      <c r="P2215" t="str">
        <f t="shared" si="98"/>
        <v>2021AM PEAK</v>
      </c>
      <c r="Q2215">
        <f t="shared" si="99"/>
        <v>1</v>
      </c>
      <c r="R2215" s="195" t="str">
        <f t="shared" si="100"/>
        <v>2021LIGHT VEHICLES</v>
      </c>
    </row>
    <row r="2216" spans="3:18" x14ac:dyDescent="0.25">
      <c r="C2216" s="294" t="s">
        <v>914</v>
      </c>
      <c r="D2216" s="317">
        <v>7162</v>
      </c>
      <c r="E2216" s="122" t="s">
        <v>894</v>
      </c>
      <c r="F2216" s="122" t="s">
        <v>915</v>
      </c>
      <c r="G2216" s="122" t="s">
        <v>786</v>
      </c>
      <c r="H2216" s="122" t="s">
        <v>777</v>
      </c>
      <c r="I2216" s="312">
        <v>2021</v>
      </c>
      <c r="J2216" s="122" t="s">
        <v>710</v>
      </c>
      <c r="K2216" s="283">
        <v>7272</v>
      </c>
      <c r="L2216" s="318">
        <v>-34.045811</v>
      </c>
      <c r="M2216" s="318">
        <v>151.13304099999999</v>
      </c>
      <c r="O2216">
        <f>INDEX('MEC - traffic congestion'!$M$145:$M$249,MATCH($D2216,'MEC - traffic congestion'!$C$145:$C$249,0))</f>
        <v>1</v>
      </c>
      <c r="P2216" t="str">
        <f t="shared" si="98"/>
        <v>2021OFF PEAK</v>
      </c>
      <c r="Q2216">
        <f t="shared" si="99"/>
        <v>1</v>
      </c>
      <c r="R2216" s="195" t="str">
        <f t="shared" si="100"/>
        <v>2021LIGHT VEHICLES</v>
      </c>
    </row>
    <row r="2217" spans="3:18" x14ac:dyDescent="0.25">
      <c r="C2217" s="294" t="s">
        <v>914</v>
      </c>
      <c r="D2217" s="317">
        <v>7162</v>
      </c>
      <c r="E2217" s="122" t="s">
        <v>894</v>
      </c>
      <c r="F2217" s="122" t="s">
        <v>915</v>
      </c>
      <c r="G2217" s="122" t="s">
        <v>786</v>
      </c>
      <c r="H2217" s="122" t="s">
        <v>777</v>
      </c>
      <c r="I2217" s="312">
        <v>2021</v>
      </c>
      <c r="J2217" s="122" t="s">
        <v>711</v>
      </c>
      <c r="K2217" s="283">
        <v>3793</v>
      </c>
      <c r="L2217" s="318">
        <v>-34.045811</v>
      </c>
      <c r="M2217" s="318">
        <v>151.13304099999999</v>
      </c>
      <c r="O2217">
        <f>INDEX('MEC - traffic congestion'!$M$145:$M$249,MATCH($D2217,'MEC - traffic congestion'!$C$145:$C$249,0))</f>
        <v>1</v>
      </c>
      <c r="P2217" t="str">
        <f t="shared" si="98"/>
        <v>2021PM PEAK</v>
      </c>
      <c r="Q2217">
        <f t="shared" si="99"/>
        <v>1</v>
      </c>
      <c r="R2217" s="195" t="str">
        <f t="shared" si="100"/>
        <v>2021LIGHT VEHICLES</v>
      </c>
    </row>
    <row r="2218" spans="3:18" x14ac:dyDescent="0.25">
      <c r="C2218" s="294" t="s">
        <v>914</v>
      </c>
      <c r="D2218" s="317">
        <v>7162</v>
      </c>
      <c r="E2218" s="122" t="s">
        <v>894</v>
      </c>
      <c r="F2218" s="122" t="s">
        <v>915</v>
      </c>
      <c r="G2218" s="122" t="s">
        <v>786</v>
      </c>
      <c r="H2218" s="122" t="s">
        <v>777</v>
      </c>
      <c r="I2218" s="312">
        <v>2021</v>
      </c>
      <c r="J2218" s="122" t="s">
        <v>713</v>
      </c>
      <c r="K2218" s="283">
        <v>14012</v>
      </c>
      <c r="L2218" s="318">
        <v>-34.045811</v>
      </c>
      <c r="M2218" s="318">
        <v>151.13304099999999</v>
      </c>
      <c r="O2218">
        <f>INDEX('MEC - traffic congestion'!$M$145:$M$249,MATCH($D2218,'MEC - traffic congestion'!$C$145:$C$249,0))</f>
        <v>1</v>
      </c>
      <c r="P2218" t="str">
        <f t="shared" si="98"/>
        <v>2021WEEKENDS</v>
      </c>
      <c r="Q2218">
        <f t="shared" si="99"/>
        <v>1</v>
      </c>
      <c r="R2218" s="195" t="str">
        <f t="shared" si="100"/>
        <v>2021LIGHT VEHICLES</v>
      </c>
    </row>
    <row r="2219" spans="3:18" x14ac:dyDescent="0.25">
      <c r="C2219" s="294" t="s">
        <v>914</v>
      </c>
      <c r="D2219" s="317">
        <v>7162</v>
      </c>
      <c r="E2219" s="122" t="s">
        <v>894</v>
      </c>
      <c r="F2219" s="122" t="s">
        <v>915</v>
      </c>
      <c r="G2219" s="122" t="s">
        <v>786</v>
      </c>
      <c r="H2219" s="122" t="s">
        <v>777</v>
      </c>
      <c r="I2219" s="312">
        <v>2022</v>
      </c>
      <c r="J2219" s="122" t="s">
        <v>709</v>
      </c>
      <c r="K2219" s="283">
        <v>4120</v>
      </c>
      <c r="L2219" s="318">
        <v>-34.045811</v>
      </c>
      <c r="M2219" s="318">
        <v>151.13304099999999</v>
      </c>
      <c r="O2219">
        <f>INDEX('MEC - traffic congestion'!$M$145:$M$249,MATCH($D2219,'MEC - traffic congestion'!$C$145:$C$249,0))</f>
        <v>1</v>
      </c>
      <c r="P2219" t="str">
        <f t="shared" si="98"/>
        <v>2022AM PEAK</v>
      </c>
      <c r="Q2219">
        <f t="shared" si="99"/>
        <v>1</v>
      </c>
      <c r="R2219" s="195" t="str">
        <f t="shared" si="100"/>
        <v>2022LIGHT VEHICLES</v>
      </c>
    </row>
    <row r="2220" spans="3:18" x14ac:dyDescent="0.25">
      <c r="C2220" s="294" t="s">
        <v>914</v>
      </c>
      <c r="D2220" s="317">
        <v>7162</v>
      </c>
      <c r="E2220" s="122" t="s">
        <v>894</v>
      </c>
      <c r="F2220" s="122" t="s">
        <v>915</v>
      </c>
      <c r="G2220" s="122" t="s">
        <v>786</v>
      </c>
      <c r="H2220" s="122" t="s">
        <v>777</v>
      </c>
      <c r="I2220" s="312">
        <v>2022</v>
      </c>
      <c r="J2220" s="122" t="s">
        <v>710</v>
      </c>
      <c r="K2220" s="283">
        <v>7244</v>
      </c>
      <c r="L2220" s="318">
        <v>-34.045811</v>
      </c>
      <c r="M2220" s="318">
        <v>151.13304099999999</v>
      </c>
      <c r="O2220">
        <f>INDEX('MEC - traffic congestion'!$M$145:$M$249,MATCH($D2220,'MEC - traffic congestion'!$C$145:$C$249,0))</f>
        <v>1</v>
      </c>
      <c r="P2220" t="str">
        <f t="shared" si="98"/>
        <v>2022OFF PEAK</v>
      </c>
      <c r="Q2220">
        <f t="shared" si="99"/>
        <v>1</v>
      </c>
      <c r="R2220" s="195" t="str">
        <f t="shared" si="100"/>
        <v>2022LIGHT VEHICLES</v>
      </c>
    </row>
    <row r="2221" spans="3:18" x14ac:dyDescent="0.25">
      <c r="C2221" s="294" t="s">
        <v>914</v>
      </c>
      <c r="D2221" s="317">
        <v>7162</v>
      </c>
      <c r="E2221" s="122" t="s">
        <v>894</v>
      </c>
      <c r="F2221" s="122" t="s">
        <v>915</v>
      </c>
      <c r="G2221" s="122" t="s">
        <v>786</v>
      </c>
      <c r="H2221" s="122" t="s">
        <v>777</v>
      </c>
      <c r="I2221" s="312">
        <v>2022</v>
      </c>
      <c r="J2221" s="122" t="s">
        <v>711</v>
      </c>
      <c r="K2221" s="283">
        <v>3839</v>
      </c>
      <c r="L2221" s="318">
        <v>-34.045811</v>
      </c>
      <c r="M2221" s="318">
        <v>151.13304099999999</v>
      </c>
      <c r="O2221">
        <f>INDEX('MEC - traffic congestion'!$M$145:$M$249,MATCH($D2221,'MEC - traffic congestion'!$C$145:$C$249,0))</f>
        <v>1</v>
      </c>
      <c r="P2221" t="str">
        <f t="shared" si="98"/>
        <v>2022PM PEAK</v>
      </c>
      <c r="Q2221">
        <f t="shared" si="99"/>
        <v>1</v>
      </c>
      <c r="R2221" s="195" t="str">
        <f t="shared" si="100"/>
        <v>2022LIGHT VEHICLES</v>
      </c>
    </row>
    <row r="2222" spans="3:18" x14ac:dyDescent="0.25">
      <c r="C2222" s="294" t="s">
        <v>914</v>
      </c>
      <c r="D2222" s="317">
        <v>7162</v>
      </c>
      <c r="E2222" s="122" t="s">
        <v>894</v>
      </c>
      <c r="F2222" s="122" t="s">
        <v>915</v>
      </c>
      <c r="G2222" s="122" t="s">
        <v>786</v>
      </c>
      <c r="H2222" s="122" t="s">
        <v>777</v>
      </c>
      <c r="I2222" s="312">
        <v>2022</v>
      </c>
      <c r="J2222" s="122" t="s">
        <v>713</v>
      </c>
      <c r="K2222" s="283">
        <v>14788</v>
      </c>
      <c r="L2222" s="318">
        <v>-34.045811</v>
      </c>
      <c r="M2222" s="318">
        <v>151.13304099999999</v>
      </c>
      <c r="O2222">
        <f>INDEX('MEC - traffic congestion'!$M$145:$M$249,MATCH($D2222,'MEC - traffic congestion'!$C$145:$C$249,0))</f>
        <v>1</v>
      </c>
      <c r="P2222" t="str">
        <f t="shared" si="98"/>
        <v>2022WEEKENDS</v>
      </c>
      <c r="Q2222">
        <f t="shared" si="99"/>
        <v>1</v>
      </c>
      <c r="R2222" s="195" t="str">
        <f t="shared" si="100"/>
        <v>2022LIGHT VEHICLES</v>
      </c>
    </row>
    <row r="2223" spans="3:18" x14ac:dyDescent="0.25">
      <c r="C2223" s="294" t="s">
        <v>914</v>
      </c>
      <c r="D2223" s="317">
        <v>7162</v>
      </c>
      <c r="E2223" s="122" t="s">
        <v>894</v>
      </c>
      <c r="F2223" s="122" t="s">
        <v>915</v>
      </c>
      <c r="G2223" s="122" t="s">
        <v>786</v>
      </c>
      <c r="H2223" s="122" t="s">
        <v>777</v>
      </c>
      <c r="I2223" s="312">
        <v>2023</v>
      </c>
      <c r="J2223" s="122" t="s">
        <v>709</v>
      </c>
      <c r="K2223" s="283">
        <v>4262</v>
      </c>
      <c r="L2223" s="318">
        <v>-34.045811</v>
      </c>
      <c r="M2223" s="318">
        <v>151.13304099999999</v>
      </c>
      <c r="O2223">
        <f>INDEX('MEC - traffic congestion'!$M$145:$M$249,MATCH($D2223,'MEC - traffic congestion'!$C$145:$C$249,0))</f>
        <v>1</v>
      </c>
      <c r="P2223" t="str">
        <f t="shared" si="98"/>
        <v>2023AM PEAK</v>
      </c>
      <c r="Q2223">
        <f t="shared" si="99"/>
        <v>1</v>
      </c>
      <c r="R2223" s="195" t="str">
        <f t="shared" si="100"/>
        <v>2023LIGHT VEHICLES</v>
      </c>
    </row>
    <row r="2224" spans="3:18" x14ac:dyDescent="0.25">
      <c r="C2224" s="294" t="s">
        <v>914</v>
      </c>
      <c r="D2224" s="317">
        <v>7162</v>
      </c>
      <c r="E2224" s="122" t="s">
        <v>894</v>
      </c>
      <c r="F2224" s="122" t="s">
        <v>915</v>
      </c>
      <c r="G2224" s="122" t="s">
        <v>786</v>
      </c>
      <c r="H2224" s="122" t="s">
        <v>777</v>
      </c>
      <c r="I2224" s="312">
        <v>2023</v>
      </c>
      <c r="J2224" s="122" t="s">
        <v>710</v>
      </c>
      <c r="K2224" s="283">
        <v>7597</v>
      </c>
      <c r="L2224" s="318">
        <v>-34.045811</v>
      </c>
      <c r="M2224" s="318">
        <v>151.13304099999999</v>
      </c>
      <c r="O2224">
        <f>INDEX('MEC - traffic congestion'!$M$145:$M$249,MATCH($D2224,'MEC - traffic congestion'!$C$145:$C$249,0))</f>
        <v>1</v>
      </c>
      <c r="P2224" t="str">
        <f t="shared" si="98"/>
        <v>2023OFF PEAK</v>
      </c>
      <c r="Q2224">
        <f t="shared" si="99"/>
        <v>1</v>
      </c>
      <c r="R2224" s="195" t="str">
        <f t="shared" si="100"/>
        <v>2023LIGHT VEHICLES</v>
      </c>
    </row>
    <row r="2225" spans="3:18" x14ac:dyDescent="0.25">
      <c r="C2225" s="294" t="s">
        <v>914</v>
      </c>
      <c r="D2225" s="317">
        <v>7162</v>
      </c>
      <c r="E2225" s="122" t="s">
        <v>894</v>
      </c>
      <c r="F2225" s="122" t="s">
        <v>915</v>
      </c>
      <c r="G2225" s="122" t="s">
        <v>786</v>
      </c>
      <c r="H2225" s="122" t="s">
        <v>777</v>
      </c>
      <c r="I2225" s="312">
        <v>2023</v>
      </c>
      <c r="J2225" s="122" t="s">
        <v>711</v>
      </c>
      <c r="K2225" s="283">
        <v>4063</v>
      </c>
      <c r="L2225" s="318">
        <v>-34.045811</v>
      </c>
      <c r="M2225" s="318">
        <v>151.13304099999999</v>
      </c>
      <c r="O2225">
        <f>INDEX('MEC - traffic congestion'!$M$145:$M$249,MATCH($D2225,'MEC - traffic congestion'!$C$145:$C$249,0))</f>
        <v>1</v>
      </c>
      <c r="P2225" t="str">
        <f t="shared" si="98"/>
        <v>2023PM PEAK</v>
      </c>
      <c r="Q2225">
        <f t="shared" si="99"/>
        <v>1</v>
      </c>
      <c r="R2225" s="195" t="str">
        <f t="shared" si="100"/>
        <v>2023LIGHT VEHICLES</v>
      </c>
    </row>
    <row r="2226" spans="3:18" x14ac:dyDescent="0.25">
      <c r="C2226" s="294" t="s">
        <v>914</v>
      </c>
      <c r="D2226" s="317">
        <v>7162</v>
      </c>
      <c r="E2226" s="122" t="s">
        <v>894</v>
      </c>
      <c r="F2226" s="122" t="s">
        <v>915</v>
      </c>
      <c r="G2226" s="122" t="s">
        <v>786</v>
      </c>
      <c r="H2226" s="122" t="s">
        <v>777</v>
      </c>
      <c r="I2226" s="312">
        <v>2023</v>
      </c>
      <c r="J2226" s="122" t="s">
        <v>713</v>
      </c>
      <c r="K2226" s="283">
        <v>15112</v>
      </c>
      <c r="L2226" s="318">
        <v>-34.045811</v>
      </c>
      <c r="M2226" s="318">
        <v>151.13304099999999</v>
      </c>
      <c r="O2226">
        <f>INDEX('MEC - traffic congestion'!$M$145:$M$249,MATCH($D2226,'MEC - traffic congestion'!$C$145:$C$249,0))</f>
        <v>1</v>
      </c>
      <c r="P2226" t="str">
        <f t="shared" si="98"/>
        <v>2023WEEKENDS</v>
      </c>
      <c r="Q2226">
        <f t="shared" si="99"/>
        <v>1</v>
      </c>
      <c r="R2226" s="195" t="str">
        <f t="shared" si="100"/>
        <v>2023LIGHT VEHICLES</v>
      </c>
    </row>
    <row r="2227" spans="3:18" x14ac:dyDescent="0.25">
      <c r="C2227" s="294" t="s">
        <v>914</v>
      </c>
      <c r="D2227" s="317">
        <v>7162</v>
      </c>
      <c r="E2227" s="122" t="s">
        <v>894</v>
      </c>
      <c r="F2227" s="122" t="s">
        <v>915</v>
      </c>
      <c r="G2227" s="122" t="s">
        <v>786</v>
      </c>
      <c r="H2227" s="122" t="s">
        <v>777</v>
      </c>
      <c r="I2227" s="312">
        <v>2024</v>
      </c>
      <c r="J2227" s="122" t="s">
        <v>709</v>
      </c>
      <c r="K2227" s="283">
        <v>4236</v>
      </c>
      <c r="L2227" s="318">
        <v>-34.045811</v>
      </c>
      <c r="M2227" s="318">
        <v>151.13304099999999</v>
      </c>
      <c r="O2227">
        <f>INDEX('MEC - traffic congestion'!$M$145:$M$249,MATCH($D2227,'MEC - traffic congestion'!$C$145:$C$249,0))</f>
        <v>1</v>
      </c>
      <c r="P2227" t="str">
        <f t="shared" si="98"/>
        <v>2024AM PEAK</v>
      </c>
      <c r="Q2227">
        <f t="shared" si="99"/>
        <v>1</v>
      </c>
      <c r="R2227" s="195" t="str">
        <f t="shared" si="100"/>
        <v>2024LIGHT VEHICLES</v>
      </c>
    </row>
    <row r="2228" spans="3:18" x14ac:dyDescent="0.25">
      <c r="C2228" s="294" t="s">
        <v>914</v>
      </c>
      <c r="D2228" s="317">
        <v>7162</v>
      </c>
      <c r="E2228" s="122" t="s">
        <v>894</v>
      </c>
      <c r="F2228" s="122" t="s">
        <v>915</v>
      </c>
      <c r="G2228" s="122" t="s">
        <v>786</v>
      </c>
      <c r="H2228" s="122" t="s">
        <v>777</v>
      </c>
      <c r="I2228" s="312">
        <v>2024</v>
      </c>
      <c r="J2228" s="122" t="s">
        <v>710</v>
      </c>
      <c r="K2228" s="283">
        <v>7825</v>
      </c>
      <c r="L2228" s="318">
        <v>-34.045811</v>
      </c>
      <c r="M2228" s="318">
        <v>151.13304099999999</v>
      </c>
      <c r="O2228">
        <f>INDEX('MEC - traffic congestion'!$M$145:$M$249,MATCH($D2228,'MEC - traffic congestion'!$C$145:$C$249,0))</f>
        <v>1</v>
      </c>
      <c r="P2228" t="str">
        <f t="shared" si="98"/>
        <v>2024OFF PEAK</v>
      </c>
      <c r="Q2228">
        <f t="shared" si="99"/>
        <v>1</v>
      </c>
      <c r="R2228" s="195" t="str">
        <f t="shared" si="100"/>
        <v>2024LIGHT VEHICLES</v>
      </c>
    </row>
    <row r="2229" spans="3:18" x14ac:dyDescent="0.25">
      <c r="C2229" s="294" t="s">
        <v>914</v>
      </c>
      <c r="D2229" s="317">
        <v>7162</v>
      </c>
      <c r="E2229" s="122" t="s">
        <v>894</v>
      </c>
      <c r="F2229" s="122" t="s">
        <v>915</v>
      </c>
      <c r="G2229" s="122" t="s">
        <v>786</v>
      </c>
      <c r="H2229" s="122" t="s">
        <v>777</v>
      </c>
      <c r="I2229" s="312">
        <v>2024</v>
      </c>
      <c r="J2229" s="122" t="s">
        <v>711</v>
      </c>
      <c r="K2229" s="283">
        <v>3776</v>
      </c>
      <c r="L2229" s="318">
        <v>-34.045811</v>
      </c>
      <c r="M2229" s="318">
        <v>151.13304099999999</v>
      </c>
      <c r="O2229">
        <f>INDEX('MEC - traffic congestion'!$M$145:$M$249,MATCH($D2229,'MEC - traffic congestion'!$C$145:$C$249,0))</f>
        <v>1</v>
      </c>
      <c r="P2229" t="str">
        <f t="shared" si="98"/>
        <v>2024PM PEAK</v>
      </c>
      <c r="Q2229">
        <f t="shared" si="99"/>
        <v>1</v>
      </c>
      <c r="R2229" s="195" t="str">
        <f t="shared" si="100"/>
        <v>2024LIGHT VEHICLES</v>
      </c>
    </row>
    <row r="2230" spans="3:18" x14ac:dyDescent="0.25">
      <c r="C2230" s="294" t="s">
        <v>914</v>
      </c>
      <c r="D2230" s="317">
        <v>7162</v>
      </c>
      <c r="E2230" s="122" t="s">
        <v>894</v>
      </c>
      <c r="F2230" s="122" t="s">
        <v>915</v>
      </c>
      <c r="G2230" s="122" t="s">
        <v>786</v>
      </c>
      <c r="H2230" s="122" t="s">
        <v>777</v>
      </c>
      <c r="I2230" s="312">
        <v>2024</v>
      </c>
      <c r="J2230" s="122" t="s">
        <v>713</v>
      </c>
      <c r="K2230" s="283">
        <v>15951</v>
      </c>
      <c r="L2230" s="318">
        <v>-34.045811</v>
      </c>
      <c r="M2230" s="318">
        <v>151.13304099999999</v>
      </c>
      <c r="O2230">
        <f>INDEX('MEC - traffic congestion'!$M$145:$M$249,MATCH($D2230,'MEC - traffic congestion'!$C$145:$C$249,0))</f>
        <v>1</v>
      </c>
      <c r="P2230" t="str">
        <f t="shared" si="98"/>
        <v>2024WEEKENDS</v>
      </c>
      <c r="Q2230">
        <f t="shared" si="99"/>
        <v>1</v>
      </c>
      <c r="R2230" s="195" t="str">
        <f t="shared" si="100"/>
        <v>2024LIGHT VEHICLES</v>
      </c>
    </row>
    <row r="2231" spans="3:18" x14ac:dyDescent="0.25">
      <c r="C2231" s="294" t="s">
        <v>916</v>
      </c>
      <c r="D2231" s="317">
        <v>7163</v>
      </c>
      <c r="E2231" s="122" t="s">
        <v>806</v>
      </c>
      <c r="F2231" s="122" t="s">
        <v>807</v>
      </c>
      <c r="G2231" s="122" t="s">
        <v>785</v>
      </c>
      <c r="H2231" s="122" t="s">
        <v>777</v>
      </c>
      <c r="I2231" s="312">
        <v>2018</v>
      </c>
      <c r="J2231" s="122" t="s">
        <v>709</v>
      </c>
      <c r="K2231" s="283">
        <v>9802</v>
      </c>
      <c r="L2231" s="318">
        <v>-33.865181</v>
      </c>
      <c r="M2231" s="318">
        <v>151.171997</v>
      </c>
      <c r="O2231">
        <f>INDEX('MEC - traffic congestion'!$M$145:$M$249,MATCH($D2231,'MEC - traffic congestion'!$C$145:$C$249,0))</f>
        <v>1</v>
      </c>
      <c r="P2231" t="str">
        <f t="shared" si="98"/>
        <v>2018AM PEAK</v>
      </c>
      <c r="Q2231">
        <f t="shared" si="99"/>
        <v>1</v>
      </c>
      <c r="R2231" s="195" t="str">
        <f t="shared" si="100"/>
        <v>2018LIGHT VEHICLES</v>
      </c>
    </row>
    <row r="2232" spans="3:18" x14ac:dyDescent="0.25">
      <c r="C2232" s="294" t="s">
        <v>916</v>
      </c>
      <c r="D2232" s="317">
        <v>7163</v>
      </c>
      <c r="E2232" s="122" t="s">
        <v>806</v>
      </c>
      <c r="F2232" s="122" t="s">
        <v>807</v>
      </c>
      <c r="G2232" s="122" t="s">
        <v>785</v>
      </c>
      <c r="H2232" s="122" t="s">
        <v>777</v>
      </c>
      <c r="I2232" s="312">
        <v>2018</v>
      </c>
      <c r="J2232" s="122" t="s">
        <v>710</v>
      </c>
      <c r="K2232" s="283">
        <v>15616</v>
      </c>
      <c r="L2232" s="318">
        <v>-33.865181</v>
      </c>
      <c r="M2232" s="318">
        <v>151.171997</v>
      </c>
      <c r="O2232">
        <f>INDEX('MEC - traffic congestion'!$M$145:$M$249,MATCH($D2232,'MEC - traffic congestion'!$C$145:$C$249,0))</f>
        <v>1</v>
      </c>
      <c r="P2232" t="str">
        <f t="shared" si="98"/>
        <v>2018OFF PEAK</v>
      </c>
      <c r="Q2232">
        <f t="shared" si="99"/>
        <v>1</v>
      </c>
      <c r="R2232" s="195" t="str">
        <f t="shared" si="100"/>
        <v>2018LIGHT VEHICLES</v>
      </c>
    </row>
    <row r="2233" spans="3:18" x14ac:dyDescent="0.25">
      <c r="C2233" s="294" t="s">
        <v>916</v>
      </c>
      <c r="D2233" s="317">
        <v>7163</v>
      </c>
      <c r="E2233" s="122" t="s">
        <v>806</v>
      </c>
      <c r="F2233" s="122" t="s">
        <v>807</v>
      </c>
      <c r="G2233" s="122" t="s">
        <v>785</v>
      </c>
      <c r="H2233" s="122" t="s">
        <v>777</v>
      </c>
      <c r="I2233" s="312">
        <v>2018</v>
      </c>
      <c r="J2233" s="122" t="s">
        <v>711</v>
      </c>
      <c r="K2233" s="283">
        <v>7609</v>
      </c>
      <c r="L2233" s="318">
        <v>-33.865181</v>
      </c>
      <c r="M2233" s="318">
        <v>151.171997</v>
      </c>
      <c r="O2233">
        <f>INDEX('MEC - traffic congestion'!$M$145:$M$249,MATCH($D2233,'MEC - traffic congestion'!$C$145:$C$249,0))</f>
        <v>1</v>
      </c>
      <c r="P2233" t="str">
        <f t="shared" si="98"/>
        <v>2018PM PEAK</v>
      </c>
      <c r="Q2233">
        <f t="shared" si="99"/>
        <v>1</v>
      </c>
      <c r="R2233" s="195" t="str">
        <f t="shared" si="100"/>
        <v>2018LIGHT VEHICLES</v>
      </c>
    </row>
    <row r="2234" spans="3:18" x14ac:dyDescent="0.25">
      <c r="C2234" s="294" t="s">
        <v>916</v>
      </c>
      <c r="D2234" s="317">
        <v>7163</v>
      </c>
      <c r="E2234" s="122" t="s">
        <v>806</v>
      </c>
      <c r="F2234" s="122" t="s">
        <v>807</v>
      </c>
      <c r="G2234" s="122" t="s">
        <v>785</v>
      </c>
      <c r="H2234" s="122" t="s">
        <v>777</v>
      </c>
      <c r="I2234" s="312">
        <v>2018</v>
      </c>
      <c r="J2234" s="122" t="s">
        <v>712</v>
      </c>
      <c r="K2234" s="283">
        <v>22914</v>
      </c>
      <c r="L2234" s="318">
        <v>-33.865181</v>
      </c>
      <c r="M2234" s="318">
        <v>151.171997</v>
      </c>
      <c r="O2234">
        <f>INDEX('MEC - traffic congestion'!$M$145:$M$249,MATCH($D2234,'MEC - traffic congestion'!$C$145:$C$249,0))</f>
        <v>1</v>
      </c>
      <c r="P2234" t="str">
        <f t="shared" si="98"/>
        <v>2018PUBLIC HOLIDAYS</v>
      </c>
      <c r="Q2234">
        <f t="shared" si="99"/>
        <v>1</v>
      </c>
      <c r="R2234" s="195" t="str">
        <f t="shared" si="100"/>
        <v>2018LIGHT VEHICLES</v>
      </c>
    </row>
    <row r="2235" spans="3:18" x14ac:dyDescent="0.25">
      <c r="C2235" s="294" t="s">
        <v>916</v>
      </c>
      <c r="D2235" s="317">
        <v>7163</v>
      </c>
      <c r="E2235" s="122" t="s">
        <v>806</v>
      </c>
      <c r="F2235" s="122" t="s">
        <v>807</v>
      </c>
      <c r="G2235" s="122" t="s">
        <v>785</v>
      </c>
      <c r="H2235" s="122" t="s">
        <v>777</v>
      </c>
      <c r="I2235" s="312">
        <v>2018</v>
      </c>
      <c r="J2235" s="122" t="s">
        <v>713</v>
      </c>
      <c r="K2235" s="283">
        <v>30645</v>
      </c>
      <c r="L2235" s="318">
        <v>-33.865181</v>
      </c>
      <c r="M2235" s="318">
        <v>151.171997</v>
      </c>
      <c r="O2235">
        <f>INDEX('MEC - traffic congestion'!$M$145:$M$249,MATCH($D2235,'MEC - traffic congestion'!$C$145:$C$249,0))</f>
        <v>1</v>
      </c>
      <c r="P2235" t="str">
        <f t="shared" si="98"/>
        <v>2018WEEKENDS</v>
      </c>
      <c r="Q2235">
        <f t="shared" si="99"/>
        <v>1</v>
      </c>
      <c r="R2235" s="195" t="str">
        <f t="shared" si="100"/>
        <v>2018LIGHT VEHICLES</v>
      </c>
    </row>
    <row r="2236" spans="3:18" x14ac:dyDescent="0.25">
      <c r="C2236" s="294" t="s">
        <v>916</v>
      </c>
      <c r="D2236" s="317">
        <v>7163</v>
      </c>
      <c r="E2236" s="122" t="s">
        <v>806</v>
      </c>
      <c r="F2236" s="122" t="s">
        <v>807</v>
      </c>
      <c r="G2236" s="122" t="s">
        <v>785</v>
      </c>
      <c r="H2236" s="122" t="s">
        <v>777</v>
      </c>
      <c r="I2236" s="312">
        <v>2019</v>
      </c>
      <c r="J2236" s="122" t="s">
        <v>709</v>
      </c>
      <c r="K2236" s="283">
        <v>9594</v>
      </c>
      <c r="L2236" s="318">
        <v>-33.865181</v>
      </c>
      <c r="M2236" s="318">
        <v>151.171997</v>
      </c>
      <c r="O2236">
        <f>INDEX('MEC - traffic congestion'!$M$145:$M$249,MATCH($D2236,'MEC - traffic congestion'!$C$145:$C$249,0))</f>
        <v>1</v>
      </c>
      <c r="P2236" t="str">
        <f t="shared" si="98"/>
        <v>2019AM PEAK</v>
      </c>
      <c r="Q2236">
        <f t="shared" si="99"/>
        <v>1</v>
      </c>
      <c r="R2236" s="195" t="str">
        <f t="shared" si="100"/>
        <v>2019LIGHT VEHICLES</v>
      </c>
    </row>
    <row r="2237" spans="3:18" x14ac:dyDescent="0.25">
      <c r="C2237" s="294" t="s">
        <v>916</v>
      </c>
      <c r="D2237" s="317">
        <v>7163</v>
      </c>
      <c r="E2237" s="122" t="s">
        <v>806</v>
      </c>
      <c r="F2237" s="122" t="s">
        <v>807</v>
      </c>
      <c r="G2237" s="122" t="s">
        <v>785</v>
      </c>
      <c r="H2237" s="122" t="s">
        <v>777</v>
      </c>
      <c r="I2237" s="312">
        <v>2019</v>
      </c>
      <c r="J2237" s="122" t="s">
        <v>710</v>
      </c>
      <c r="K2237" s="283">
        <v>15206</v>
      </c>
      <c r="L2237" s="318">
        <v>-33.865181</v>
      </c>
      <c r="M2237" s="318">
        <v>151.171997</v>
      </c>
      <c r="O2237">
        <f>INDEX('MEC - traffic congestion'!$M$145:$M$249,MATCH($D2237,'MEC - traffic congestion'!$C$145:$C$249,0))</f>
        <v>1</v>
      </c>
      <c r="P2237" t="str">
        <f t="shared" si="98"/>
        <v>2019OFF PEAK</v>
      </c>
      <c r="Q2237">
        <f t="shared" si="99"/>
        <v>1</v>
      </c>
      <c r="R2237" s="195" t="str">
        <f t="shared" si="100"/>
        <v>2019LIGHT VEHICLES</v>
      </c>
    </row>
    <row r="2238" spans="3:18" x14ac:dyDescent="0.25">
      <c r="C2238" s="294" t="s">
        <v>916</v>
      </c>
      <c r="D2238" s="317">
        <v>7163</v>
      </c>
      <c r="E2238" s="122" t="s">
        <v>806</v>
      </c>
      <c r="F2238" s="122" t="s">
        <v>807</v>
      </c>
      <c r="G2238" s="122" t="s">
        <v>785</v>
      </c>
      <c r="H2238" s="122" t="s">
        <v>777</v>
      </c>
      <c r="I2238" s="312">
        <v>2019</v>
      </c>
      <c r="J2238" s="122" t="s">
        <v>711</v>
      </c>
      <c r="K2238" s="283">
        <v>7292</v>
      </c>
      <c r="L2238" s="318">
        <v>-33.865181</v>
      </c>
      <c r="M2238" s="318">
        <v>151.171997</v>
      </c>
      <c r="O2238">
        <f>INDEX('MEC - traffic congestion'!$M$145:$M$249,MATCH($D2238,'MEC - traffic congestion'!$C$145:$C$249,0))</f>
        <v>1</v>
      </c>
      <c r="P2238" t="str">
        <f t="shared" si="98"/>
        <v>2019PM PEAK</v>
      </c>
      <c r="Q2238">
        <f t="shared" si="99"/>
        <v>1</v>
      </c>
      <c r="R2238" s="195" t="str">
        <f t="shared" si="100"/>
        <v>2019LIGHT VEHICLES</v>
      </c>
    </row>
    <row r="2239" spans="3:18" x14ac:dyDescent="0.25">
      <c r="C2239" s="294" t="s">
        <v>916</v>
      </c>
      <c r="D2239" s="317">
        <v>7163</v>
      </c>
      <c r="E2239" s="122" t="s">
        <v>806</v>
      </c>
      <c r="F2239" s="122" t="s">
        <v>807</v>
      </c>
      <c r="G2239" s="122" t="s">
        <v>785</v>
      </c>
      <c r="H2239" s="122" t="s">
        <v>777</v>
      </c>
      <c r="I2239" s="312">
        <v>2019</v>
      </c>
      <c r="J2239" s="122" t="s">
        <v>712</v>
      </c>
      <c r="K2239" s="283">
        <v>23058</v>
      </c>
      <c r="L2239" s="318">
        <v>-33.865181</v>
      </c>
      <c r="M2239" s="318">
        <v>151.171997</v>
      </c>
      <c r="O2239">
        <f>INDEX('MEC - traffic congestion'!$M$145:$M$249,MATCH($D2239,'MEC - traffic congestion'!$C$145:$C$249,0))</f>
        <v>1</v>
      </c>
      <c r="P2239" t="str">
        <f t="shared" si="98"/>
        <v>2019PUBLIC HOLIDAYS</v>
      </c>
      <c r="Q2239">
        <f t="shared" si="99"/>
        <v>1</v>
      </c>
      <c r="R2239" s="195" t="str">
        <f t="shared" si="100"/>
        <v>2019LIGHT VEHICLES</v>
      </c>
    </row>
    <row r="2240" spans="3:18" x14ac:dyDescent="0.25">
      <c r="C2240" s="294" t="s">
        <v>916</v>
      </c>
      <c r="D2240" s="317">
        <v>7163</v>
      </c>
      <c r="E2240" s="122" t="s">
        <v>806</v>
      </c>
      <c r="F2240" s="122" t="s">
        <v>807</v>
      </c>
      <c r="G2240" s="122" t="s">
        <v>785</v>
      </c>
      <c r="H2240" s="122" t="s">
        <v>777</v>
      </c>
      <c r="I2240" s="312">
        <v>2019</v>
      </c>
      <c r="J2240" s="122" t="s">
        <v>713</v>
      </c>
      <c r="K2240" s="283">
        <v>29847</v>
      </c>
      <c r="L2240" s="318">
        <v>-33.865181</v>
      </c>
      <c r="M2240" s="318">
        <v>151.171997</v>
      </c>
      <c r="O2240">
        <f>INDEX('MEC - traffic congestion'!$M$145:$M$249,MATCH($D2240,'MEC - traffic congestion'!$C$145:$C$249,0))</f>
        <v>1</v>
      </c>
      <c r="P2240" t="str">
        <f t="shared" si="98"/>
        <v>2019WEEKENDS</v>
      </c>
      <c r="Q2240">
        <f t="shared" si="99"/>
        <v>1</v>
      </c>
      <c r="R2240" s="195" t="str">
        <f t="shared" si="100"/>
        <v>2019LIGHT VEHICLES</v>
      </c>
    </row>
    <row r="2241" spans="3:18" x14ac:dyDescent="0.25">
      <c r="C2241" s="294" t="s">
        <v>916</v>
      </c>
      <c r="D2241" s="317">
        <v>7163</v>
      </c>
      <c r="E2241" s="122" t="s">
        <v>806</v>
      </c>
      <c r="F2241" s="122" t="s">
        <v>807</v>
      </c>
      <c r="G2241" s="122" t="s">
        <v>785</v>
      </c>
      <c r="H2241" s="122" t="s">
        <v>777</v>
      </c>
      <c r="I2241" s="312">
        <v>2020</v>
      </c>
      <c r="J2241" s="122" t="s">
        <v>709</v>
      </c>
      <c r="K2241" s="283">
        <v>8868</v>
      </c>
      <c r="L2241" s="318">
        <v>-33.865181</v>
      </c>
      <c r="M2241" s="318">
        <v>151.171997</v>
      </c>
      <c r="O2241">
        <f>INDEX('MEC - traffic congestion'!$M$145:$M$249,MATCH($D2241,'MEC - traffic congestion'!$C$145:$C$249,0))</f>
        <v>1</v>
      </c>
      <c r="P2241" t="str">
        <f t="shared" si="98"/>
        <v>2020AM PEAK</v>
      </c>
      <c r="Q2241">
        <f t="shared" si="99"/>
        <v>1</v>
      </c>
      <c r="R2241" s="195" t="str">
        <f t="shared" si="100"/>
        <v>2020LIGHT VEHICLES</v>
      </c>
    </row>
    <row r="2242" spans="3:18" x14ac:dyDescent="0.25">
      <c r="C2242" s="294" t="s">
        <v>916</v>
      </c>
      <c r="D2242" s="317">
        <v>7163</v>
      </c>
      <c r="E2242" s="122" t="s">
        <v>806</v>
      </c>
      <c r="F2242" s="122" t="s">
        <v>807</v>
      </c>
      <c r="G2242" s="122" t="s">
        <v>785</v>
      </c>
      <c r="H2242" s="122" t="s">
        <v>777</v>
      </c>
      <c r="I2242" s="312">
        <v>2020</v>
      </c>
      <c r="J2242" s="122" t="s">
        <v>710</v>
      </c>
      <c r="K2242" s="283">
        <v>12687</v>
      </c>
      <c r="L2242" s="318">
        <v>-33.865181</v>
      </c>
      <c r="M2242" s="318">
        <v>151.171997</v>
      </c>
      <c r="O2242">
        <f>INDEX('MEC - traffic congestion'!$M$145:$M$249,MATCH($D2242,'MEC - traffic congestion'!$C$145:$C$249,0))</f>
        <v>1</v>
      </c>
      <c r="P2242" t="str">
        <f t="shared" si="98"/>
        <v>2020OFF PEAK</v>
      </c>
      <c r="Q2242">
        <f t="shared" si="99"/>
        <v>1</v>
      </c>
      <c r="R2242" s="195" t="str">
        <f t="shared" si="100"/>
        <v>2020LIGHT VEHICLES</v>
      </c>
    </row>
    <row r="2243" spans="3:18" x14ac:dyDescent="0.25">
      <c r="C2243" s="294" t="s">
        <v>916</v>
      </c>
      <c r="D2243" s="317">
        <v>7163</v>
      </c>
      <c r="E2243" s="122" t="s">
        <v>806</v>
      </c>
      <c r="F2243" s="122" t="s">
        <v>807</v>
      </c>
      <c r="G2243" s="122" t="s">
        <v>785</v>
      </c>
      <c r="H2243" s="122" t="s">
        <v>777</v>
      </c>
      <c r="I2243" s="312">
        <v>2020</v>
      </c>
      <c r="J2243" s="122" t="s">
        <v>711</v>
      </c>
      <c r="K2243" s="283">
        <v>6460</v>
      </c>
      <c r="L2243" s="318">
        <v>-33.865181</v>
      </c>
      <c r="M2243" s="318">
        <v>151.171997</v>
      </c>
      <c r="O2243">
        <f>INDEX('MEC - traffic congestion'!$M$145:$M$249,MATCH($D2243,'MEC - traffic congestion'!$C$145:$C$249,0))</f>
        <v>1</v>
      </c>
      <c r="P2243" t="str">
        <f t="shared" si="98"/>
        <v>2020PM PEAK</v>
      </c>
      <c r="Q2243">
        <f t="shared" si="99"/>
        <v>1</v>
      </c>
      <c r="R2243" s="195" t="str">
        <f t="shared" si="100"/>
        <v>2020LIGHT VEHICLES</v>
      </c>
    </row>
    <row r="2244" spans="3:18" x14ac:dyDescent="0.25">
      <c r="C2244" s="294" t="s">
        <v>916</v>
      </c>
      <c r="D2244" s="317">
        <v>7163</v>
      </c>
      <c r="E2244" s="122" t="s">
        <v>806</v>
      </c>
      <c r="F2244" s="122" t="s">
        <v>807</v>
      </c>
      <c r="G2244" s="122" t="s">
        <v>785</v>
      </c>
      <c r="H2244" s="122" t="s">
        <v>777</v>
      </c>
      <c r="I2244" s="312">
        <v>2020</v>
      </c>
      <c r="J2244" s="122" t="s">
        <v>712</v>
      </c>
      <c r="K2244" s="283">
        <v>16996</v>
      </c>
      <c r="L2244" s="318">
        <v>-33.865181</v>
      </c>
      <c r="M2244" s="318">
        <v>151.171997</v>
      </c>
      <c r="O2244">
        <f>INDEX('MEC - traffic congestion'!$M$145:$M$249,MATCH($D2244,'MEC - traffic congestion'!$C$145:$C$249,0))</f>
        <v>1</v>
      </c>
      <c r="P2244" t="str">
        <f t="shared" si="98"/>
        <v>2020PUBLIC HOLIDAYS</v>
      </c>
      <c r="Q2244">
        <f t="shared" si="99"/>
        <v>1</v>
      </c>
      <c r="R2244" s="195" t="str">
        <f t="shared" si="100"/>
        <v>2020LIGHT VEHICLES</v>
      </c>
    </row>
    <row r="2245" spans="3:18" x14ac:dyDescent="0.25">
      <c r="C2245" s="294" t="s">
        <v>916</v>
      </c>
      <c r="D2245" s="317">
        <v>7163</v>
      </c>
      <c r="E2245" s="122" t="s">
        <v>806</v>
      </c>
      <c r="F2245" s="122" t="s">
        <v>807</v>
      </c>
      <c r="G2245" s="122" t="s">
        <v>785</v>
      </c>
      <c r="H2245" s="122" t="s">
        <v>777</v>
      </c>
      <c r="I2245" s="312">
        <v>2020</v>
      </c>
      <c r="J2245" s="122" t="s">
        <v>713</v>
      </c>
      <c r="K2245" s="283">
        <v>24401</v>
      </c>
      <c r="L2245" s="318">
        <v>-33.865181</v>
      </c>
      <c r="M2245" s="318">
        <v>151.171997</v>
      </c>
      <c r="O2245">
        <f>INDEX('MEC - traffic congestion'!$M$145:$M$249,MATCH($D2245,'MEC - traffic congestion'!$C$145:$C$249,0))</f>
        <v>1</v>
      </c>
      <c r="P2245" t="str">
        <f t="shared" si="98"/>
        <v>2020WEEKENDS</v>
      </c>
      <c r="Q2245">
        <f t="shared" si="99"/>
        <v>1</v>
      </c>
      <c r="R2245" s="195" t="str">
        <f t="shared" si="100"/>
        <v>2020LIGHT VEHICLES</v>
      </c>
    </row>
    <row r="2246" spans="3:18" x14ac:dyDescent="0.25">
      <c r="C2246" s="294" t="s">
        <v>916</v>
      </c>
      <c r="D2246" s="317">
        <v>7163</v>
      </c>
      <c r="E2246" s="122" t="s">
        <v>806</v>
      </c>
      <c r="F2246" s="122" t="s">
        <v>807</v>
      </c>
      <c r="G2246" s="122" t="s">
        <v>785</v>
      </c>
      <c r="H2246" s="122" t="s">
        <v>777</v>
      </c>
      <c r="I2246" s="312">
        <v>2021</v>
      </c>
      <c r="J2246" s="122" t="s">
        <v>709</v>
      </c>
      <c r="K2246" s="283">
        <v>8007</v>
      </c>
      <c r="L2246" s="318">
        <v>-33.865181</v>
      </c>
      <c r="M2246" s="318">
        <v>151.171997</v>
      </c>
      <c r="O2246">
        <f>INDEX('MEC - traffic congestion'!$M$145:$M$249,MATCH($D2246,'MEC - traffic congestion'!$C$145:$C$249,0))</f>
        <v>1</v>
      </c>
      <c r="P2246" t="str">
        <f t="shared" si="98"/>
        <v>2021AM PEAK</v>
      </c>
      <c r="Q2246">
        <f t="shared" si="99"/>
        <v>1</v>
      </c>
      <c r="R2246" s="195" t="str">
        <f t="shared" si="100"/>
        <v>2021LIGHT VEHICLES</v>
      </c>
    </row>
    <row r="2247" spans="3:18" x14ac:dyDescent="0.25">
      <c r="C2247" s="294" t="s">
        <v>916</v>
      </c>
      <c r="D2247" s="317">
        <v>7163</v>
      </c>
      <c r="E2247" s="122" t="s">
        <v>806</v>
      </c>
      <c r="F2247" s="122" t="s">
        <v>807</v>
      </c>
      <c r="G2247" s="122" t="s">
        <v>785</v>
      </c>
      <c r="H2247" s="122" t="s">
        <v>777</v>
      </c>
      <c r="I2247" s="312">
        <v>2021</v>
      </c>
      <c r="J2247" s="122" t="s">
        <v>710</v>
      </c>
      <c r="K2247" s="283">
        <v>11472</v>
      </c>
      <c r="L2247" s="318">
        <v>-33.865181</v>
      </c>
      <c r="M2247" s="318">
        <v>151.171997</v>
      </c>
      <c r="O2247">
        <f>INDEX('MEC - traffic congestion'!$M$145:$M$249,MATCH($D2247,'MEC - traffic congestion'!$C$145:$C$249,0))</f>
        <v>1</v>
      </c>
      <c r="P2247" t="str">
        <f t="shared" si="98"/>
        <v>2021OFF PEAK</v>
      </c>
      <c r="Q2247">
        <f t="shared" si="99"/>
        <v>1</v>
      </c>
      <c r="R2247" s="195" t="str">
        <f t="shared" si="100"/>
        <v>2021LIGHT VEHICLES</v>
      </c>
    </row>
    <row r="2248" spans="3:18" x14ac:dyDescent="0.25">
      <c r="C2248" s="294" t="s">
        <v>916</v>
      </c>
      <c r="D2248" s="317">
        <v>7163</v>
      </c>
      <c r="E2248" s="122" t="s">
        <v>806</v>
      </c>
      <c r="F2248" s="122" t="s">
        <v>807</v>
      </c>
      <c r="G2248" s="122" t="s">
        <v>785</v>
      </c>
      <c r="H2248" s="122" t="s">
        <v>777</v>
      </c>
      <c r="I2248" s="312">
        <v>2021</v>
      </c>
      <c r="J2248" s="122" t="s">
        <v>711</v>
      </c>
      <c r="K2248" s="283">
        <v>6036</v>
      </c>
      <c r="L2248" s="318">
        <v>-33.865181</v>
      </c>
      <c r="M2248" s="318">
        <v>151.171997</v>
      </c>
      <c r="O2248">
        <f>INDEX('MEC - traffic congestion'!$M$145:$M$249,MATCH($D2248,'MEC - traffic congestion'!$C$145:$C$249,0))</f>
        <v>1</v>
      </c>
      <c r="P2248" t="str">
        <f t="shared" si="98"/>
        <v>2021PM PEAK</v>
      </c>
      <c r="Q2248">
        <f t="shared" si="99"/>
        <v>1</v>
      </c>
      <c r="R2248" s="195" t="str">
        <f t="shared" si="100"/>
        <v>2021LIGHT VEHICLES</v>
      </c>
    </row>
    <row r="2249" spans="3:18" x14ac:dyDescent="0.25">
      <c r="C2249" s="294" t="s">
        <v>916</v>
      </c>
      <c r="D2249" s="317">
        <v>7163</v>
      </c>
      <c r="E2249" s="122" t="s">
        <v>806</v>
      </c>
      <c r="F2249" s="122" t="s">
        <v>807</v>
      </c>
      <c r="G2249" s="122" t="s">
        <v>785</v>
      </c>
      <c r="H2249" s="122" t="s">
        <v>777</v>
      </c>
      <c r="I2249" s="312">
        <v>2021</v>
      </c>
      <c r="J2249" s="122" t="s">
        <v>713</v>
      </c>
      <c r="K2249" s="283">
        <v>21906</v>
      </c>
      <c r="L2249" s="318">
        <v>-33.865181</v>
      </c>
      <c r="M2249" s="318">
        <v>151.171997</v>
      </c>
      <c r="O2249">
        <f>INDEX('MEC - traffic congestion'!$M$145:$M$249,MATCH($D2249,'MEC - traffic congestion'!$C$145:$C$249,0))</f>
        <v>1</v>
      </c>
      <c r="P2249" t="str">
        <f t="shared" si="98"/>
        <v>2021WEEKENDS</v>
      </c>
      <c r="Q2249">
        <f t="shared" si="99"/>
        <v>1</v>
      </c>
      <c r="R2249" s="195" t="str">
        <f t="shared" si="100"/>
        <v>2021LIGHT VEHICLES</v>
      </c>
    </row>
    <row r="2250" spans="3:18" x14ac:dyDescent="0.25">
      <c r="C2250" s="294" t="s">
        <v>916</v>
      </c>
      <c r="D2250" s="317">
        <v>7163</v>
      </c>
      <c r="E2250" s="122" t="s">
        <v>806</v>
      </c>
      <c r="F2250" s="122" t="s">
        <v>807</v>
      </c>
      <c r="G2250" s="122" t="s">
        <v>785</v>
      </c>
      <c r="H2250" s="122" t="s">
        <v>777</v>
      </c>
      <c r="I2250" s="312">
        <v>2022</v>
      </c>
      <c r="J2250" s="122" t="s">
        <v>709</v>
      </c>
      <c r="K2250" s="283">
        <v>8534</v>
      </c>
      <c r="L2250" s="318">
        <v>-33.865181</v>
      </c>
      <c r="M2250" s="318">
        <v>151.171997</v>
      </c>
      <c r="O2250">
        <f>INDEX('MEC - traffic congestion'!$M$145:$M$249,MATCH($D2250,'MEC - traffic congestion'!$C$145:$C$249,0))</f>
        <v>1</v>
      </c>
      <c r="P2250" t="str">
        <f t="shared" si="98"/>
        <v>2022AM PEAK</v>
      </c>
      <c r="Q2250">
        <f t="shared" si="99"/>
        <v>1</v>
      </c>
      <c r="R2250" s="195" t="str">
        <f t="shared" si="100"/>
        <v>2022LIGHT VEHICLES</v>
      </c>
    </row>
    <row r="2251" spans="3:18" x14ac:dyDescent="0.25">
      <c r="C2251" s="294" t="s">
        <v>916</v>
      </c>
      <c r="D2251" s="317">
        <v>7163</v>
      </c>
      <c r="E2251" s="122" t="s">
        <v>806</v>
      </c>
      <c r="F2251" s="122" t="s">
        <v>807</v>
      </c>
      <c r="G2251" s="122" t="s">
        <v>785</v>
      </c>
      <c r="H2251" s="122" t="s">
        <v>777</v>
      </c>
      <c r="I2251" s="312">
        <v>2022</v>
      </c>
      <c r="J2251" s="122" t="s">
        <v>710</v>
      </c>
      <c r="K2251" s="283">
        <v>12530</v>
      </c>
      <c r="L2251" s="318">
        <v>-33.865181</v>
      </c>
      <c r="M2251" s="318">
        <v>151.171997</v>
      </c>
      <c r="O2251">
        <f>INDEX('MEC - traffic congestion'!$M$145:$M$249,MATCH($D2251,'MEC - traffic congestion'!$C$145:$C$249,0))</f>
        <v>1</v>
      </c>
      <c r="P2251" t="str">
        <f t="shared" si="98"/>
        <v>2022OFF PEAK</v>
      </c>
      <c r="Q2251">
        <f t="shared" si="99"/>
        <v>1</v>
      </c>
      <c r="R2251" s="195" t="str">
        <f t="shared" si="100"/>
        <v>2022LIGHT VEHICLES</v>
      </c>
    </row>
    <row r="2252" spans="3:18" x14ac:dyDescent="0.25">
      <c r="C2252" s="294" t="s">
        <v>916</v>
      </c>
      <c r="D2252" s="317">
        <v>7163</v>
      </c>
      <c r="E2252" s="122" t="s">
        <v>806</v>
      </c>
      <c r="F2252" s="122" t="s">
        <v>807</v>
      </c>
      <c r="G2252" s="122" t="s">
        <v>785</v>
      </c>
      <c r="H2252" s="122" t="s">
        <v>777</v>
      </c>
      <c r="I2252" s="312">
        <v>2022</v>
      </c>
      <c r="J2252" s="122" t="s">
        <v>711</v>
      </c>
      <c r="K2252" s="283">
        <v>6528</v>
      </c>
      <c r="L2252" s="318">
        <v>-33.865181</v>
      </c>
      <c r="M2252" s="318">
        <v>151.171997</v>
      </c>
      <c r="O2252">
        <f>INDEX('MEC - traffic congestion'!$M$145:$M$249,MATCH($D2252,'MEC - traffic congestion'!$C$145:$C$249,0))</f>
        <v>1</v>
      </c>
      <c r="P2252" t="str">
        <f t="shared" si="98"/>
        <v>2022PM PEAK</v>
      </c>
      <c r="Q2252">
        <f t="shared" si="99"/>
        <v>1</v>
      </c>
      <c r="R2252" s="195" t="str">
        <f t="shared" si="100"/>
        <v>2022LIGHT VEHICLES</v>
      </c>
    </row>
    <row r="2253" spans="3:18" x14ac:dyDescent="0.25">
      <c r="C2253" s="294" t="s">
        <v>916</v>
      </c>
      <c r="D2253" s="317">
        <v>7163</v>
      </c>
      <c r="E2253" s="122" t="s">
        <v>806</v>
      </c>
      <c r="F2253" s="122" t="s">
        <v>807</v>
      </c>
      <c r="G2253" s="122" t="s">
        <v>785</v>
      </c>
      <c r="H2253" s="122" t="s">
        <v>777</v>
      </c>
      <c r="I2253" s="312">
        <v>2022</v>
      </c>
      <c r="J2253" s="122" t="s">
        <v>713</v>
      </c>
      <c r="K2253" s="283">
        <v>25649</v>
      </c>
      <c r="L2253" s="318">
        <v>-33.865181</v>
      </c>
      <c r="M2253" s="318">
        <v>151.171997</v>
      </c>
      <c r="O2253">
        <f>INDEX('MEC - traffic congestion'!$M$145:$M$249,MATCH($D2253,'MEC - traffic congestion'!$C$145:$C$249,0))</f>
        <v>1</v>
      </c>
      <c r="P2253" t="str">
        <f t="shared" si="98"/>
        <v>2022WEEKENDS</v>
      </c>
      <c r="Q2253">
        <f t="shared" si="99"/>
        <v>1</v>
      </c>
      <c r="R2253" s="195" t="str">
        <f t="shared" si="100"/>
        <v>2022LIGHT VEHICLES</v>
      </c>
    </row>
    <row r="2254" spans="3:18" x14ac:dyDescent="0.25">
      <c r="C2254" s="294" t="s">
        <v>916</v>
      </c>
      <c r="D2254" s="317">
        <v>7163</v>
      </c>
      <c r="E2254" s="122" t="s">
        <v>806</v>
      </c>
      <c r="F2254" s="122" t="s">
        <v>807</v>
      </c>
      <c r="G2254" s="122" t="s">
        <v>785</v>
      </c>
      <c r="H2254" s="122" t="s">
        <v>777</v>
      </c>
      <c r="I2254" s="312">
        <v>2023</v>
      </c>
      <c r="J2254" s="122" t="s">
        <v>709</v>
      </c>
      <c r="K2254" s="283">
        <v>7732</v>
      </c>
      <c r="L2254" s="318">
        <v>-33.865181</v>
      </c>
      <c r="M2254" s="318">
        <v>151.171997</v>
      </c>
      <c r="O2254">
        <f>INDEX('MEC - traffic congestion'!$M$145:$M$249,MATCH($D2254,'MEC - traffic congestion'!$C$145:$C$249,0))</f>
        <v>1</v>
      </c>
      <c r="P2254" t="str">
        <f t="shared" si="98"/>
        <v>2023AM PEAK</v>
      </c>
      <c r="Q2254">
        <f t="shared" si="99"/>
        <v>1</v>
      </c>
      <c r="R2254" s="195" t="str">
        <f t="shared" si="100"/>
        <v>2023LIGHT VEHICLES</v>
      </c>
    </row>
    <row r="2255" spans="3:18" x14ac:dyDescent="0.25">
      <c r="C2255" s="294" t="s">
        <v>916</v>
      </c>
      <c r="D2255" s="317">
        <v>7163</v>
      </c>
      <c r="E2255" s="122" t="s">
        <v>806</v>
      </c>
      <c r="F2255" s="122" t="s">
        <v>807</v>
      </c>
      <c r="G2255" s="122" t="s">
        <v>785</v>
      </c>
      <c r="H2255" s="122" t="s">
        <v>777</v>
      </c>
      <c r="I2255" s="312">
        <v>2023</v>
      </c>
      <c r="J2255" s="122" t="s">
        <v>710</v>
      </c>
      <c r="K2255" s="283">
        <v>12394</v>
      </c>
      <c r="L2255" s="318">
        <v>-33.865181</v>
      </c>
      <c r="M2255" s="318">
        <v>151.171997</v>
      </c>
      <c r="O2255">
        <f>INDEX('MEC - traffic congestion'!$M$145:$M$249,MATCH($D2255,'MEC - traffic congestion'!$C$145:$C$249,0))</f>
        <v>1</v>
      </c>
      <c r="P2255" t="str">
        <f t="shared" si="98"/>
        <v>2023OFF PEAK</v>
      </c>
      <c r="Q2255">
        <f t="shared" si="99"/>
        <v>1</v>
      </c>
      <c r="R2255" s="195" t="str">
        <f t="shared" si="100"/>
        <v>2023LIGHT VEHICLES</v>
      </c>
    </row>
    <row r="2256" spans="3:18" x14ac:dyDescent="0.25">
      <c r="C2256" s="294" t="s">
        <v>916</v>
      </c>
      <c r="D2256" s="317">
        <v>7163</v>
      </c>
      <c r="E2256" s="122" t="s">
        <v>806</v>
      </c>
      <c r="F2256" s="122" t="s">
        <v>807</v>
      </c>
      <c r="G2256" s="122" t="s">
        <v>785</v>
      </c>
      <c r="H2256" s="122" t="s">
        <v>777</v>
      </c>
      <c r="I2256" s="312">
        <v>2023</v>
      </c>
      <c r="J2256" s="122" t="s">
        <v>711</v>
      </c>
      <c r="K2256" s="283">
        <v>6258</v>
      </c>
      <c r="L2256" s="318">
        <v>-33.865181</v>
      </c>
      <c r="M2256" s="318">
        <v>151.171997</v>
      </c>
      <c r="O2256">
        <f>INDEX('MEC - traffic congestion'!$M$145:$M$249,MATCH($D2256,'MEC - traffic congestion'!$C$145:$C$249,0))</f>
        <v>1</v>
      </c>
      <c r="P2256" t="str">
        <f t="shared" si="98"/>
        <v>2023PM PEAK</v>
      </c>
      <c r="Q2256">
        <f t="shared" si="99"/>
        <v>1</v>
      </c>
      <c r="R2256" s="195" t="str">
        <f t="shared" si="100"/>
        <v>2023LIGHT VEHICLES</v>
      </c>
    </row>
    <row r="2257" spans="3:18" x14ac:dyDescent="0.25">
      <c r="C2257" s="294" t="s">
        <v>916</v>
      </c>
      <c r="D2257" s="317">
        <v>7163</v>
      </c>
      <c r="E2257" s="122" t="s">
        <v>806</v>
      </c>
      <c r="F2257" s="122" t="s">
        <v>807</v>
      </c>
      <c r="G2257" s="122" t="s">
        <v>785</v>
      </c>
      <c r="H2257" s="122" t="s">
        <v>777</v>
      </c>
      <c r="I2257" s="312">
        <v>2023</v>
      </c>
      <c r="J2257" s="122" t="s">
        <v>713</v>
      </c>
      <c r="K2257" s="283">
        <v>25715</v>
      </c>
      <c r="L2257" s="318">
        <v>-33.865181</v>
      </c>
      <c r="M2257" s="318">
        <v>151.171997</v>
      </c>
      <c r="O2257">
        <f>INDEX('MEC - traffic congestion'!$M$145:$M$249,MATCH($D2257,'MEC - traffic congestion'!$C$145:$C$249,0))</f>
        <v>1</v>
      </c>
      <c r="P2257" t="str">
        <f t="shared" si="98"/>
        <v>2023WEEKENDS</v>
      </c>
      <c r="Q2257">
        <f t="shared" si="99"/>
        <v>1</v>
      </c>
      <c r="R2257" s="195" t="str">
        <f t="shared" si="100"/>
        <v>2023LIGHT VEHICLES</v>
      </c>
    </row>
    <row r="2258" spans="3:18" x14ac:dyDescent="0.25">
      <c r="C2258" s="294" t="s">
        <v>916</v>
      </c>
      <c r="D2258" s="317">
        <v>7163</v>
      </c>
      <c r="E2258" s="122" t="s">
        <v>806</v>
      </c>
      <c r="F2258" s="122" t="s">
        <v>807</v>
      </c>
      <c r="G2258" s="122" t="s">
        <v>785</v>
      </c>
      <c r="H2258" s="122" t="s">
        <v>777</v>
      </c>
      <c r="I2258" s="312">
        <v>2024</v>
      </c>
      <c r="J2258" s="122" t="s">
        <v>709</v>
      </c>
      <c r="K2258" s="283">
        <v>2756</v>
      </c>
      <c r="L2258" s="318">
        <v>-33.865181</v>
      </c>
      <c r="M2258" s="318">
        <v>151.171997</v>
      </c>
      <c r="O2258">
        <f>INDEX('MEC - traffic congestion'!$M$145:$M$249,MATCH($D2258,'MEC - traffic congestion'!$C$145:$C$249,0))</f>
        <v>1</v>
      </c>
      <c r="P2258" t="str">
        <f t="shared" si="98"/>
        <v>2024AM PEAK</v>
      </c>
      <c r="Q2258">
        <f t="shared" si="99"/>
        <v>1</v>
      </c>
      <c r="R2258" s="195" t="str">
        <f t="shared" si="100"/>
        <v>2024LIGHT VEHICLES</v>
      </c>
    </row>
    <row r="2259" spans="3:18" x14ac:dyDescent="0.25">
      <c r="C2259" s="294" t="s">
        <v>916</v>
      </c>
      <c r="D2259" s="317">
        <v>7163</v>
      </c>
      <c r="E2259" s="122" t="s">
        <v>806</v>
      </c>
      <c r="F2259" s="122" t="s">
        <v>807</v>
      </c>
      <c r="G2259" s="122" t="s">
        <v>785</v>
      </c>
      <c r="H2259" s="122" t="s">
        <v>777</v>
      </c>
      <c r="I2259" s="312">
        <v>2024</v>
      </c>
      <c r="J2259" s="122" t="s">
        <v>710</v>
      </c>
      <c r="K2259" s="283">
        <v>6468</v>
      </c>
      <c r="L2259" s="318">
        <v>-33.865181</v>
      </c>
      <c r="M2259" s="318">
        <v>151.171997</v>
      </c>
      <c r="O2259">
        <f>INDEX('MEC - traffic congestion'!$M$145:$M$249,MATCH($D2259,'MEC - traffic congestion'!$C$145:$C$249,0))</f>
        <v>1</v>
      </c>
      <c r="P2259" t="str">
        <f t="shared" si="98"/>
        <v>2024OFF PEAK</v>
      </c>
      <c r="Q2259">
        <f t="shared" si="99"/>
        <v>1</v>
      </c>
      <c r="R2259" s="195" t="str">
        <f t="shared" si="100"/>
        <v>2024LIGHT VEHICLES</v>
      </c>
    </row>
    <row r="2260" spans="3:18" x14ac:dyDescent="0.25">
      <c r="C2260" s="294" t="s">
        <v>916</v>
      </c>
      <c r="D2260" s="317">
        <v>7163</v>
      </c>
      <c r="E2260" s="122" t="s">
        <v>806</v>
      </c>
      <c r="F2260" s="122" t="s">
        <v>807</v>
      </c>
      <c r="G2260" s="122" t="s">
        <v>785</v>
      </c>
      <c r="H2260" s="122" t="s">
        <v>777</v>
      </c>
      <c r="I2260" s="312">
        <v>2024</v>
      </c>
      <c r="J2260" s="122" t="s">
        <v>711</v>
      </c>
      <c r="K2260" s="283">
        <v>3085</v>
      </c>
      <c r="L2260" s="318">
        <v>-33.865181</v>
      </c>
      <c r="M2260" s="318">
        <v>151.171997</v>
      </c>
      <c r="O2260">
        <f>INDEX('MEC - traffic congestion'!$M$145:$M$249,MATCH($D2260,'MEC - traffic congestion'!$C$145:$C$249,0))</f>
        <v>1</v>
      </c>
      <c r="P2260" t="str">
        <f t="shared" si="98"/>
        <v>2024PM PEAK</v>
      </c>
      <c r="Q2260">
        <f t="shared" si="99"/>
        <v>1</v>
      </c>
      <c r="R2260" s="195" t="str">
        <f t="shared" si="100"/>
        <v>2024LIGHT VEHICLES</v>
      </c>
    </row>
    <row r="2261" spans="3:18" x14ac:dyDescent="0.25">
      <c r="C2261" s="294" t="s">
        <v>916</v>
      </c>
      <c r="D2261" s="317">
        <v>7163</v>
      </c>
      <c r="E2261" s="122" t="s">
        <v>806</v>
      </c>
      <c r="F2261" s="122" t="s">
        <v>807</v>
      </c>
      <c r="G2261" s="122" t="s">
        <v>785</v>
      </c>
      <c r="H2261" s="122" t="s">
        <v>777</v>
      </c>
      <c r="I2261" s="312">
        <v>2024</v>
      </c>
      <c r="J2261" s="122" t="s">
        <v>713</v>
      </c>
      <c r="K2261" s="283">
        <v>13017</v>
      </c>
      <c r="L2261" s="318">
        <v>-33.865181</v>
      </c>
      <c r="M2261" s="318">
        <v>151.171997</v>
      </c>
      <c r="O2261">
        <f>INDEX('MEC - traffic congestion'!$M$145:$M$249,MATCH($D2261,'MEC - traffic congestion'!$C$145:$C$249,0))</f>
        <v>1</v>
      </c>
      <c r="P2261" t="str">
        <f t="shared" ref="P2261:P2324" si="101">IF($O2261=1,$I2261&amp;$J2261,"")</f>
        <v>2024WEEKENDS</v>
      </c>
      <c r="Q2261">
        <f t="shared" ref="Q2261:Q2324" si="102">IF(AND($M2261&gt;150.246,AND($L2261&gt;-34.397,$L2261&lt;-32.662)),1,0)</f>
        <v>1</v>
      </c>
      <c r="R2261" s="195" t="str">
        <f t="shared" ref="R2261:R2324" si="103">IF($O2261=1,$I2261&amp;$H2261,"")</f>
        <v>2024LIGHT VEHICLES</v>
      </c>
    </row>
    <row r="2262" spans="3:18" x14ac:dyDescent="0.25">
      <c r="C2262" s="294" t="s">
        <v>917</v>
      </c>
      <c r="D2262" s="317">
        <v>7164</v>
      </c>
      <c r="E2262" s="122" t="s">
        <v>870</v>
      </c>
      <c r="F2262" s="122" t="s">
        <v>871</v>
      </c>
      <c r="G2262" s="122" t="s">
        <v>785</v>
      </c>
      <c r="H2262" s="122" t="s">
        <v>777</v>
      </c>
      <c r="I2262" s="312">
        <v>2018</v>
      </c>
      <c r="J2262" s="122" t="s">
        <v>709</v>
      </c>
      <c r="K2262" s="283">
        <v>4021</v>
      </c>
      <c r="L2262" s="318">
        <v>-33.815620000000003</v>
      </c>
      <c r="M2262" s="318">
        <v>150.96923799999999</v>
      </c>
      <c r="O2262">
        <f>INDEX('MEC - traffic congestion'!$M$145:$M$249,MATCH($D2262,'MEC - traffic congestion'!$C$145:$C$249,0))</f>
        <v>1</v>
      </c>
      <c r="P2262" t="str">
        <f t="shared" si="101"/>
        <v>2018AM PEAK</v>
      </c>
      <c r="Q2262">
        <f t="shared" si="102"/>
        <v>1</v>
      </c>
      <c r="R2262" s="195" t="str">
        <f t="shared" si="103"/>
        <v>2018LIGHT VEHICLES</v>
      </c>
    </row>
    <row r="2263" spans="3:18" x14ac:dyDescent="0.25">
      <c r="C2263" s="294" t="s">
        <v>917</v>
      </c>
      <c r="D2263" s="317">
        <v>7164</v>
      </c>
      <c r="E2263" s="122" t="s">
        <v>870</v>
      </c>
      <c r="F2263" s="122" t="s">
        <v>871</v>
      </c>
      <c r="G2263" s="122" t="s">
        <v>785</v>
      </c>
      <c r="H2263" s="122" t="s">
        <v>777</v>
      </c>
      <c r="I2263" s="312">
        <v>2018</v>
      </c>
      <c r="J2263" s="122" t="s">
        <v>710</v>
      </c>
      <c r="K2263" s="283">
        <v>5823</v>
      </c>
      <c r="L2263" s="318">
        <v>-33.815620000000003</v>
      </c>
      <c r="M2263" s="318">
        <v>150.96923799999999</v>
      </c>
      <c r="O2263">
        <f>INDEX('MEC - traffic congestion'!$M$145:$M$249,MATCH($D2263,'MEC - traffic congestion'!$C$145:$C$249,0))</f>
        <v>1</v>
      </c>
      <c r="P2263" t="str">
        <f t="shared" si="101"/>
        <v>2018OFF PEAK</v>
      </c>
      <c r="Q2263">
        <f t="shared" si="102"/>
        <v>1</v>
      </c>
      <c r="R2263" s="195" t="str">
        <f t="shared" si="103"/>
        <v>2018LIGHT VEHICLES</v>
      </c>
    </row>
    <row r="2264" spans="3:18" x14ac:dyDescent="0.25">
      <c r="C2264" s="294" t="s">
        <v>917</v>
      </c>
      <c r="D2264" s="317">
        <v>7164</v>
      </c>
      <c r="E2264" s="122" t="s">
        <v>870</v>
      </c>
      <c r="F2264" s="122" t="s">
        <v>871</v>
      </c>
      <c r="G2264" s="122" t="s">
        <v>785</v>
      </c>
      <c r="H2264" s="122" t="s">
        <v>777</v>
      </c>
      <c r="I2264" s="312">
        <v>2018</v>
      </c>
      <c r="J2264" s="122" t="s">
        <v>711</v>
      </c>
      <c r="K2264" s="283">
        <v>2917</v>
      </c>
      <c r="L2264" s="318">
        <v>-33.815620000000003</v>
      </c>
      <c r="M2264" s="318">
        <v>150.96923799999999</v>
      </c>
      <c r="O2264">
        <f>INDEX('MEC - traffic congestion'!$M$145:$M$249,MATCH($D2264,'MEC - traffic congestion'!$C$145:$C$249,0))</f>
        <v>1</v>
      </c>
      <c r="P2264" t="str">
        <f t="shared" si="101"/>
        <v>2018PM PEAK</v>
      </c>
      <c r="Q2264">
        <f t="shared" si="102"/>
        <v>1</v>
      </c>
      <c r="R2264" s="195" t="str">
        <f t="shared" si="103"/>
        <v>2018LIGHT VEHICLES</v>
      </c>
    </row>
    <row r="2265" spans="3:18" x14ac:dyDescent="0.25">
      <c r="C2265" s="294" t="s">
        <v>917</v>
      </c>
      <c r="D2265" s="317">
        <v>7164</v>
      </c>
      <c r="E2265" s="122" t="s">
        <v>870</v>
      </c>
      <c r="F2265" s="122" t="s">
        <v>871</v>
      </c>
      <c r="G2265" s="122" t="s">
        <v>785</v>
      </c>
      <c r="H2265" s="122" t="s">
        <v>777</v>
      </c>
      <c r="I2265" s="312">
        <v>2018</v>
      </c>
      <c r="J2265" s="122" t="s">
        <v>712</v>
      </c>
      <c r="K2265" s="283">
        <v>7908</v>
      </c>
      <c r="L2265" s="318">
        <v>-33.815620000000003</v>
      </c>
      <c r="M2265" s="318">
        <v>150.96923799999999</v>
      </c>
      <c r="O2265">
        <f>INDEX('MEC - traffic congestion'!$M$145:$M$249,MATCH($D2265,'MEC - traffic congestion'!$C$145:$C$249,0))</f>
        <v>1</v>
      </c>
      <c r="P2265" t="str">
        <f t="shared" si="101"/>
        <v>2018PUBLIC HOLIDAYS</v>
      </c>
      <c r="Q2265">
        <f t="shared" si="102"/>
        <v>1</v>
      </c>
      <c r="R2265" s="195" t="str">
        <f t="shared" si="103"/>
        <v>2018LIGHT VEHICLES</v>
      </c>
    </row>
    <row r="2266" spans="3:18" x14ac:dyDescent="0.25">
      <c r="C2266" s="294" t="s">
        <v>917</v>
      </c>
      <c r="D2266" s="317">
        <v>7164</v>
      </c>
      <c r="E2266" s="122" t="s">
        <v>870</v>
      </c>
      <c r="F2266" s="122" t="s">
        <v>871</v>
      </c>
      <c r="G2266" s="122" t="s">
        <v>785</v>
      </c>
      <c r="H2266" s="122" t="s">
        <v>777</v>
      </c>
      <c r="I2266" s="312">
        <v>2018</v>
      </c>
      <c r="J2266" s="122" t="s">
        <v>713</v>
      </c>
      <c r="K2266" s="283">
        <v>10191</v>
      </c>
      <c r="L2266" s="318">
        <v>-33.815620000000003</v>
      </c>
      <c r="M2266" s="318">
        <v>150.96923799999999</v>
      </c>
      <c r="O2266">
        <f>INDEX('MEC - traffic congestion'!$M$145:$M$249,MATCH($D2266,'MEC - traffic congestion'!$C$145:$C$249,0))</f>
        <v>1</v>
      </c>
      <c r="P2266" t="str">
        <f t="shared" si="101"/>
        <v>2018WEEKENDS</v>
      </c>
      <c r="Q2266">
        <f t="shared" si="102"/>
        <v>1</v>
      </c>
      <c r="R2266" s="195" t="str">
        <f t="shared" si="103"/>
        <v>2018LIGHT VEHICLES</v>
      </c>
    </row>
    <row r="2267" spans="3:18" x14ac:dyDescent="0.25">
      <c r="C2267" s="294" t="s">
        <v>917</v>
      </c>
      <c r="D2267" s="317">
        <v>7164</v>
      </c>
      <c r="E2267" s="122" t="s">
        <v>870</v>
      </c>
      <c r="F2267" s="122" t="s">
        <v>871</v>
      </c>
      <c r="G2267" s="122" t="s">
        <v>785</v>
      </c>
      <c r="H2267" s="122" t="s">
        <v>777</v>
      </c>
      <c r="I2267" s="312">
        <v>2019</v>
      </c>
      <c r="J2267" s="122" t="s">
        <v>709</v>
      </c>
      <c r="K2267" s="283">
        <v>3859</v>
      </c>
      <c r="L2267" s="318">
        <v>-33.815620000000003</v>
      </c>
      <c r="M2267" s="318">
        <v>150.96923799999999</v>
      </c>
      <c r="O2267">
        <f>INDEX('MEC - traffic congestion'!$M$145:$M$249,MATCH($D2267,'MEC - traffic congestion'!$C$145:$C$249,0))</f>
        <v>1</v>
      </c>
      <c r="P2267" t="str">
        <f t="shared" si="101"/>
        <v>2019AM PEAK</v>
      </c>
      <c r="Q2267">
        <f t="shared" si="102"/>
        <v>1</v>
      </c>
      <c r="R2267" s="195" t="str">
        <f t="shared" si="103"/>
        <v>2019LIGHT VEHICLES</v>
      </c>
    </row>
    <row r="2268" spans="3:18" x14ac:dyDescent="0.25">
      <c r="C2268" s="294" t="s">
        <v>917</v>
      </c>
      <c r="D2268" s="317">
        <v>7164</v>
      </c>
      <c r="E2268" s="122" t="s">
        <v>870</v>
      </c>
      <c r="F2268" s="122" t="s">
        <v>871</v>
      </c>
      <c r="G2268" s="122" t="s">
        <v>785</v>
      </c>
      <c r="H2268" s="122" t="s">
        <v>777</v>
      </c>
      <c r="I2268" s="312">
        <v>2019</v>
      </c>
      <c r="J2268" s="122" t="s">
        <v>710</v>
      </c>
      <c r="K2268" s="283">
        <v>5947</v>
      </c>
      <c r="L2268" s="318">
        <v>-33.815620000000003</v>
      </c>
      <c r="M2268" s="318">
        <v>150.96923799999999</v>
      </c>
      <c r="O2268">
        <f>INDEX('MEC - traffic congestion'!$M$145:$M$249,MATCH($D2268,'MEC - traffic congestion'!$C$145:$C$249,0))</f>
        <v>1</v>
      </c>
      <c r="P2268" t="str">
        <f t="shared" si="101"/>
        <v>2019OFF PEAK</v>
      </c>
      <c r="Q2268">
        <f t="shared" si="102"/>
        <v>1</v>
      </c>
      <c r="R2268" s="195" t="str">
        <f t="shared" si="103"/>
        <v>2019LIGHT VEHICLES</v>
      </c>
    </row>
    <row r="2269" spans="3:18" x14ac:dyDescent="0.25">
      <c r="C2269" s="294" t="s">
        <v>917</v>
      </c>
      <c r="D2269" s="317">
        <v>7164</v>
      </c>
      <c r="E2269" s="122" t="s">
        <v>870</v>
      </c>
      <c r="F2269" s="122" t="s">
        <v>871</v>
      </c>
      <c r="G2269" s="122" t="s">
        <v>785</v>
      </c>
      <c r="H2269" s="122" t="s">
        <v>777</v>
      </c>
      <c r="I2269" s="312">
        <v>2019</v>
      </c>
      <c r="J2269" s="122" t="s">
        <v>711</v>
      </c>
      <c r="K2269" s="283">
        <v>2980</v>
      </c>
      <c r="L2269" s="318">
        <v>-33.815620000000003</v>
      </c>
      <c r="M2269" s="318">
        <v>150.96923799999999</v>
      </c>
      <c r="O2269">
        <f>INDEX('MEC - traffic congestion'!$M$145:$M$249,MATCH($D2269,'MEC - traffic congestion'!$C$145:$C$249,0))</f>
        <v>1</v>
      </c>
      <c r="P2269" t="str">
        <f t="shared" si="101"/>
        <v>2019PM PEAK</v>
      </c>
      <c r="Q2269">
        <f t="shared" si="102"/>
        <v>1</v>
      </c>
      <c r="R2269" s="195" t="str">
        <f t="shared" si="103"/>
        <v>2019LIGHT VEHICLES</v>
      </c>
    </row>
    <row r="2270" spans="3:18" x14ac:dyDescent="0.25">
      <c r="C2270" s="294" t="s">
        <v>917</v>
      </c>
      <c r="D2270" s="317">
        <v>7164</v>
      </c>
      <c r="E2270" s="122" t="s">
        <v>870</v>
      </c>
      <c r="F2270" s="122" t="s">
        <v>871</v>
      </c>
      <c r="G2270" s="122" t="s">
        <v>785</v>
      </c>
      <c r="H2270" s="122" t="s">
        <v>777</v>
      </c>
      <c r="I2270" s="312">
        <v>2019</v>
      </c>
      <c r="J2270" s="122" t="s">
        <v>712</v>
      </c>
      <c r="K2270" s="283">
        <v>8048</v>
      </c>
      <c r="L2270" s="318">
        <v>-33.815620000000003</v>
      </c>
      <c r="M2270" s="318">
        <v>150.96923799999999</v>
      </c>
      <c r="O2270">
        <f>INDEX('MEC - traffic congestion'!$M$145:$M$249,MATCH($D2270,'MEC - traffic congestion'!$C$145:$C$249,0))</f>
        <v>1</v>
      </c>
      <c r="P2270" t="str">
        <f t="shared" si="101"/>
        <v>2019PUBLIC HOLIDAYS</v>
      </c>
      <c r="Q2270">
        <f t="shared" si="102"/>
        <v>1</v>
      </c>
      <c r="R2270" s="195" t="str">
        <f t="shared" si="103"/>
        <v>2019LIGHT VEHICLES</v>
      </c>
    </row>
    <row r="2271" spans="3:18" x14ac:dyDescent="0.25">
      <c r="C2271" s="294" t="s">
        <v>917</v>
      </c>
      <c r="D2271" s="317">
        <v>7164</v>
      </c>
      <c r="E2271" s="122" t="s">
        <v>870</v>
      </c>
      <c r="F2271" s="122" t="s">
        <v>871</v>
      </c>
      <c r="G2271" s="122" t="s">
        <v>785</v>
      </c>
      <c r="H2271" s="122" t="s">
        <v>777</v>
      </c>
      <c r="I2271" s="312">
        <v>2019</v>
      </c>
      <c r="J2271" s="122" t="s">
        <v>713</v>
      </c>
      <c r="K2271" s="283">
        <v>10460</v>
      </c>
      <c r="L2271" s="318">
        <v>-33.815620000000003</v>
      </c>
      <c r="M2271" s="318">
        <v>150.96923799999999</v>
      </c>
      <c r="O2271">
        <f>INDEX('MEC - traffic congestion'!$M$145:$M$249,MATCH($D2271,'MEC - traffic congestion'!$C$145:$C$249,0))</f>
        <v>1</v>
      </c>
      <c r="P2271" t="str">
        <f t="shared" si="101"/>
        <v>2019WEEKENDS</v>
      </c>
      <c r="Q2271">
        <f t="shared" si="102"/>
        <v>1</v>
      </c>
      <c r="R2271" s="195" t="str">
        <f t="shared" si="103"/>
        <v>2019LIGHT VEHICLES</v>
      </c>
    </row>
    <row r="2272" spans="3:18" x14ac:dyDescent="0.25">
      <c r="C2272" s="294" t="s">
        <v>917</v>
      </c>
      <c r="D2272" s="317">
        <v>7164</v>
      </c>
      <c r="E2272" s="122" t="s">
        <v>870</v>
      </c>
      <c r="F2272" s="122" t="s">
        <v>871</v>
      </c>
      <c r="G2272" s="122" t="s">
        <v>785</v>
      </c>
      <c r="H2272" s="122" t="s">
        <v>777</v>
      </c>
      <c r="I2272" s="312">
        <v>2020</v>
      </c>
      <c r="J2272" s="122" t="s">
        <v>709</v>
      </c>
      <c r="K2272" s="283">
        <v>3321</v>
      </c>
      <c r="L2272" s="318">
        <v>-33.815620000000003</v>
      </c>
      <c r="M2272" s="318">
        <v>150.96923799999999</v>
      </c>
      <c r="O2272">
        <f>INDEX('MEC - traffic congestion'!$M$145:$M$249,MATCH($D2272,'MEC - traffic congestion'!$C$145:$C$249,0))</f>
        <v>1</v>
      </c>
      <c r="P2272" t="str">
        <f t="shared" si="101"/>
        <v>2020AM PEAK</v>
      </c>
      <c r="Q2272">
        <f t="shared" si="102"/>
        <v>1</v>
      </c>
      <c r="R2272" s="195" t="str">
        <f t="shared" si="103"/>
        <v>2020LIGHT VEHICLES</v>
      </c>
    </row>
    <row r="2273" spans="3:18" x14ac:dyDescent="0.25">
      <c r="C2273" s="294" t="s">
        <v>917</v>
      </c>
      <c r="D2273" s="317">
        <v>7164</v>
      </c>
      <c r="E2273" s="122" t="s">
        <v>870</v>
      </c>
      <c r="F2273" s="122" t="s">
        <v>871</v>
      </c>
      <c r="G2273" s="122" t="s">
        <v>785</v>
      </c>
      <c r="H2273" s="122" t="s">
        <v>777</v>
      </c>
      <c r="I2273" s="312">
        <v>2020</v>
      </c>
      <c r="J2273" s="122" t="s">
        <v>710</v>
      </c>
      <c r="K2273" s="283">
        <v>5375</v>
      </c>
      <c r="L2273" s="318">
        <v>-33.815620000000003</v>
      </c>
      <c r="M2273" s="318">
        <v>150.96923799999999</v>
      </c>
      <c r="O2273">
        <f>INDEX('MEC - traffic congestion'!$M$145:$M$249,MATCH($D2273,'MEC - traffic congestion'!$C$145:$C$249,0))</f>
        <v>1</v>
      </c>
      <c r="P2273" t="str">
        <f t="shared" si="101"/>
        <v>2020OFF PEAK</v>
      </c>
      <c r="Q2273">
        <f t="shared" si="102"/>
        <v>1</v>
      </c>
      <c r="R2273" s="195" t="str">
        <f t="shared" si="103"/>
        <v>2020LIGHT VEHICLES</v>
      </c>
    </row>
    <row r="2274" spans="3:18" x14ac:dyDescent="0.25">
      <c r="C2274" s="294" t="s">
        <v>917</v>
      </c>
      <c r="D2274" s="317">
        <v>7164</v>
      </c>
      <c r="E2274" s="122" t="s">
        <v>870</v>
      </c>
      <c r="F2274" s="122" t="s">
        <v>871</v>
      </c>
      <c r="G2274" s="122" t="s">
        <v>785</v>
      </c>
      <c r="H2274" s="122" t="s">
        <v>777</v>
      </c>
      <c r="I2274" s="312">
        <v>2020</v>
      </c>
      <c r="J2274" s="122" t="s">
        <v>711</v>
      </c>
      <c r="K2274" s="283">
        <v>2786</v>
      </c>
      <c r="L2274" s="318">
        <v>-33.815620000000003</v>
      </c>
      <c r="M2274" s="318">
        <v>150.96923799999999</v>
      </c>
      <c r="O2274">
        <f>INDEX('MEC - traffic congestion'!$M$145:$M$249,MATCH($D2274,'MEC - traffic congestion'!$C$145:$C$249,0))</f>
        <v>1</v>
      </c>
      <c r="P2274" t="str">
        <f t="shared" si="101"/>
        <v>2020PM PEAK</v>
      </c>
      <c r="Q2274">
        <f t="shared" si="102"/>
        <v>1</v>
      </c>
      <c r="R2274" s="195" t="str">
        <f t="shared" si="103"/>
        <v>2020LIGHT VEHICLES</v>
      </c>
    </row>
    <row r="2275" spans="3:18" x14ac:dyDescent="0.25">
      <c r="C2275" s="294" t="s">
        <v>917</v>
      </c>
      <c r="D2275" s="317">
        <v>7164</v>
      </c>
      <c r="E2275" s="122" t="s">
        <v>870</v>
      </c>
      <c r="F2275" s="122" t="s">
        <v>871</v>
      </c>
      <c r="G2275" s="122" t="s">
        <v>785</v>
      </c>
      <c r="H2275" s="122" t="s">
        <v>777</v>
      </c>
      <c r="I2275" s="312">
        <v>2020</v>
      </c>
      <c r="J2275" s="122" t="s">
        <v>712</v>
      </c>
      <c r="K2275" s="283">
        <v>6495</v>
      </c>
      <c r="L2275" s="318">
        <v>-33.815620000000003</v>
      </c>
      <c r="M2275" s="318">
        <v>150.96923799999999</v>
      </c>
      <c r="O2275">
        <f>INDEX('MEC - traffic congestion'!$M$145:$M$249,MATCH($D2275,'MEC - traffic congestion'!$C$145:$C$249,0))</f>
        <v>1</v>
      </c>
      <c r="P2275" t="str">
        <f t="shared" si="101"/>
        <v>2020PUBLIC HOLIDAYS</v>
      </c>
      <c r="Q2275">
        <f t="shared" si="102"/>
        <v>1</v>
      </c>
      <c r="R2275" s="195" t="str">
        <f t="shared" si="103"/>
        <v>2020LIGHT VEHICLES</v>
      </c>
    </row>
    <row r="2276" spans="3:18" x14ac:dyDescent="0.25">
      <c r="C2276" s="294" t="s">
        <v>917</v>
      </c>
      <c r="D2276" s="317">
        <v>7164</v>
      </c>
      <c r="E2276" s="122" t="s">
        <v>870</v>
      </c>
      <c r="F2276" s="122" t="s">
        <v>871</v>
      </c>
      <c r="G2276" s="122" t="s">
        <v>785</v>
      </c>
      <c r="H2276" s="122" t="s">
        <v>777</v>
      </c>
      <c r="I2276" s="312">
        <v>2020</v>
      </c>
      <c r="J2276" s="122" t="s">
        <v>713</v>
      </c>
      <c r="K2276" s="283">
        <v>8964</v>
      </c>
      <c r="L2276" s="318">
        <v>-33.815620000000003</v>
      </c>
      <c r="M2276" s="318">
        <v>150.96923799999999</v>
      </c>
      <c r="O2276">
        <f>INDEX('MEC - traffic congestion'!$M$145:$M$249,MATCH($D2276,'MEC - traffic congestion'!$C$145:$C$249,0))</f>
        <v>1</v>
      </c>
      <c r="P2276" t="str">
        <f t="shared" si="101"/>
        <v>2020WEEKENDS</v>
      </c>
      <c r="Q2276">
        <f t="shared" si="102"/>
        <v>1</v>
      </c>
      <c r="R2276" s="195" t="str">
        <f t="shared" si="103"/>
        <v>2020LIGHT VEHICLES</v>
      </c>
    </row>
    <row r="2277" spans="3:18" x14ac:dyDescent="0.25">
      <c r="C2277" s="294" t="s">
        <v>917</v>
      </c>
      <c r="D2277" s="317">
        <v>7164</v>
      </c>
      <c r="E2277" s="122" t="s">
        <v>870</v>
      </c>
      <c r="F2277" s="122" t="s">
        <v>871</v>
      </c>
      <c r="G2277" s="122" t="s">
        <v>785</v>
      </c>
      <c r="H2277" s="122" t="s">
        <v>777</v>
      </c>
      <c r="I2277" s="312">
        <v>2021</v>
      </c>
      <c r="J2277" s="122" t="s">
        <v>709</v>
      </c>
      <c r="K2277" s="283">
        <v>2905</v>
      </c>
      <c r="L2277" s="318">
        <v>-33.815620000000003</v>
      </c>
      <c r="M2277" s="318">
        <v>150.96923799999999</v>
      </c>
      <c r="O2277">
        <f>INDEX('MEC - traffic congestion'!$M$145:$M$249,MATCH($D2277,'MEC - traffic congestion'!$C$145:$C$249,0))</f>
        <v>1</v>
      </c>
      <c r="P2277" t="str">
        <f t="shared" si="101"/>
        <v>2021AM PEAK</v>
      </c>
      <c r="Q2277">
        <f t="shared" si="102"/>
        <v>1</v>
      </c>
      <c r="R2277" s="195" t="str">
        <f t="shared" si="103"/>
        <v>2021LIGHT VEHICLES</v>
      </c>
    </row>
    <row r="2278" spans="3:18" x14ac:dyDescent="0.25">
      <c r="C2278" s="294" t="s">
        <v>917</v>
      </c>
      <c r="D2278" s="317">
        <v>7164</v>
      </c>
      <c r="E2278" s="122" t="s">
        <v>870</v>
      </c>
      <c r="F2278" s="122" t="s">
        <v>871</v>
      </c>
      <c r="G2278" s="122" t="s">
        <v>785</v>
      </c>
      <c r="H2278" s="122" t="s">
        <v>777</v>
      </c>
      <c r="I2278" s="312">
        <v>2021</v>
      </c>
      <c r="J2278" s="122" t="s">
        <v>710</v>
      </c>
      <c r="K2278" s="283">
        <v>4903</v>
      </c>
      <c r="L2278" s="318">
        <v>-33.815620000000003</v>
      </c>
      <c r="M2278" s="318">
        <v>150.96923799999999</v>
      </c>
      <c r="O2278">
        <f>INDEX('MEC - traffic congestion'!$M$145:$M$249,MATCH($D2278,'MEC - traffic congestion'!$C$145:$C$249,0))</f>
        <v>1</v>
      </c>
      <c r="P2278" t="str">
        <f t="shared" si="101"/>
        <v>2021OFF PEAK</v>
      </c>
      <c r="Q2278">
        <f t="shared" si="102"/>
        <v>1</v>
      </c>
      <c r="R2278" s="195" t="str">
        <f t="shared" si="103"/>
        <v>2021LIGHT VEHICLES</v>
      </c>
    </row>
    <row r="2279" spans="3:18" x14ac:dyDescent="0.25">
      <c r="C2279" s="294" t="s">
        <v>917</v>
      </c>
      <c r="D2279" s="317">
        <v>7164</v>
      </c>
      <c r="E2279" s="122" t="s">
        <v>870</v>
      </c>
      <c r="F2279" s="122" t="s">
        <v>871</v>
      </c>
      <c r="G2279" s="122" t="s">
        <v>785</v>
      </c>
      <c r="H2279" s="122" t="s">
        <v>777</v>
      </c>
      <c r="I2279" s="312">
        <v>2021</v>
      </c>
      <c r="J2279" s="122" t="s">
        <v>711</v>
      </c>
      <c r="K2279" s="283">
        <v>2599</v>
      </c>
      <c r="L2279" s="318">
        <v>-33.815620000000003</v>
      </c>
      <c r="M2279" s="318">
        <v>150.96923799999999</v>
      </c>
      <c r="O2279">
        <f>INDEX('MEC - traffic congestion'!$M$145:$M$249,MATCH($D2279,'MEC - traffic congestion'!$C$145:$C$249,0))</f>
        <v>1</v>
      </c>
      <c r="P2279" t="str">
        <f t="shared" si="101"/>
        <v>2021PM PEAK</v>
      </c>
      <c r="Q2279">
        <f t="shared" si="102"/>
        <v>1</v>
      </c>
      <c r="R2279" s="195" t="str">
        <f t="shared" si="103"/>
        <v>2021LIGHT VEHICLES</v>
      </c>
    </row>
    <row r="2280" spans="3:18" x14ac:dyDescent="0.25">
      <c r="C2280" s="294" t="s">
        <v>917</v>
      </c>
      <c r="D2280" s="317">
        <v>7164</v>
      </c>
      <c r="E2280" s="122" t="s">
        <v>870</v>
      </c>
      <c r="F2280" s="122" t="s">
        <v>871</v>
      </c>
      <c r="G2280" s="122" t="s">
        <v>785</v>
      </c>
      <c r="H2280" s="122" t="s">
        <v>777</v>
      </c>
      <c r="I2280" s="312">
        <v>2021</v>
      </c>
      <c r="J2280" s="122" t="s">
        <v>713</v>
      </c>
      <c r="K2280" s="283">
        <v>8032</v>
      </c>
      <c r="L2280" s="318">
        <v>-33.815620000000003</v>
      </c>
      <c r="M2280" s="318">
        <v>150.96923799999999</v>
      </c>
      <c r="O2280">
        <f>INDEX('MEC - traffic congestion'!$M$145:$M$249,MATCH($D2280,'MEC - traffic congestion'!$C$145:$C$249,0))</f>
        <v>1</v>
      </c>
      <c r="P2280" t="str">
        <f t="shared" si="101"/>
        <v>2021WEEKENDS</v>
      </c>
      <c r="Q2280">
        <f t="shared" si="102"/>
        <v>1</v>
      </c>
      <c r="R2280" s="195" t="str">
        <f t="shared" si="103"/>
        <v>2021LIGHT VEHICLES</v>
      </c>
    </row>
    <row r="2281" spans="3:18" x14ac:dyDescent="0.25">
      <c r="C2281" s="294" t="s">
        <v>917</v>
      </c>
      <c r="D2281" s="317">
        <v>7164</v>
      </c>
      <c r="E2281" s="122" t="s">
        <v>870</v>
      </c>
      <c r="F2281" s="122" t="s">
        <v>871</v>
      </c>
      <c r="G2281" s="122" t="s">
        <v>785</v>
      </c>
      <c r="H2281" s="122" t="s">
        <v>777</v>
      </c>
      <c r="I2281" s="312">
        <v>2022</v>
      </c>
      <c r="J2281" s="122" t="s">
        <v>709</v>
      </c>
      <c r="K2281" s="283">
        <v>3015</v>
      </c>
      <c r="L2281" s="318">
        <v>-33.815620000000003</v>
      </c>
      <c r="M2281" s="318">
        <v>150.96923799999999</v>
      </c>
      <c r="O2281">
        <f>INDEX('MEC - traffic congestion'!$M$145:$M$249,MATCH($D2281,'MEC - traffic congestion'!$C$145:$C$249,0))</f>
        <v>1</v>
      </c>
      <c r="P2281" t="str">
        <f t="shared" si="101"/>
        <v>2022AM PEAK</v>
      </c>
      <c r="Q2281">
        <f t="shared" si="102"/>
        <v>1</v>
      </c>
      <c r="R2281" s="195" t="str">
        <f t="shared" si="103"/>
        <v>2022LIGHT VEHICLES</v>
      </c>
    </row>
    <row r="2282" spans="3:18" x14ac:dyDescent="0.25">
      <c r="C2282" s="294" t="s">
        <v>917</v>
      </c>
      <c r="D2282" s="317">
        <v>7164</v>
      </c>
      <c r="E2282" s="122" t="s">
        <v>870</v>
      </c>
      <c r="F2282" s="122" t="s">
        <v>871</v>
      </c>
      <c r="G2282" s="122" t="s">
        <v>785</v>
      </c>
      <c r="H2282" s="122" t="s">
        <v>777</v>
      </c>
      <c r="I2282" s="312">
        <v>2022</v>
      </c>
      <c r="J2282" s="122" t="s">
        <v>710</v>
      </c>
      <c r="K2282" s="283">
        <v>5085</v>
      </c>
      <c r="L2282" s="318">
        <v>-33.815620000000003</v>
      </c>
      <c r="M2282" s="318">
        <v>150.96923799999999</v>
      </c>
      <c r="O2282">
        <f>INDEX('MEC - traffic congestion'!$M$145:$M$249,MATCH($D2282,'MEC - traffic congestion'!$C$145:$C$249,0))</f>
        <v>1</v>
      </c>
      <c r="P2282" t="str">
        <f t="shared" si="101"/>
        <v>2022OFF PEAK</v>
      </c>
      <c r="Q2282">
        <f t="shared" si="102"/>
        <v>1</v>
      </c>
      <c r="R2282" s="195" t="str">
        <f t="shared" si="103"/>
        <v>2022LIGHT VEHICLES</v>
      </c>
    </row>
    <row r="2283" spans="3:18" x14ac:dyDescent="0.25">
      <c r="C2283" s="294" t="s">
        <v>917</v>
      </c>
      <c r="D2283" s="317">
        <v>7164</v>
      </c>
      <c r="E2283" s="122" t="s">
        <v>870</v>
      </c>
      <c r="F2283" s="122" t="s">
        <v>871</v>
      </c>
      <c r="G2283" s="122" t="s">
        <v>785</v>
      </c>
      <c r="H2283" s="122" t="s">
        <v>777</v>
      </c>
      <c r="I2283" s="312">
        <v>2022</v>
      </c>
      <c r="J2283" s="122" t="s">
        <v>711</v>
      </c>
      <c r="K2283" s="283">
        <v>2671</v>
      </c>
      <c r="L2283" s="318">
        <v>-33.815620000000003</v>
      </c>
      <c r="M2283" s="318">
        <v>150.96923799999999</v>
      </c>
      <c r="O2283">
        <f>INDEX('MEC - traffic congestion'!$M$145:$M$249,MATCH($D2283,'MEC - traffic congestion'!$C$145:$C$249,0))</f>
        <v>1</v>
      </c>
      <c r="P2283" t="str">
        <f t="shared" si="101"/>
        <v>2022PM PEAK</v>
      </c>
      <c r="Q2283">
        <f t="shared" si="102"/>
        <v>1</v>
      </c>
      <c r="R2283" s="195" t="str">
        <f t="shared" si="103"/>
        <v>2022LIGHT VEHICLES</v>
      </c>
    </row>
    <row r="2284" spans="3:18" x14ac:dyDescent="0.25">
      <c r="C2284" s="294" t="s">
        <v>917</v>
      </c>
      <c r="D2284" s="317">
        <v>7164</v>
      </c>
      <c r="E2284" s="122" t="s">
        <v>870</v>
      </c>
      <c r="F2284" s="122" t="s">
        <v>871</v>
      </c>
      <c r="G2284" s="122" t="s">
        <v>785</v>
      </c>
      <c r="H2284" s="122" t="s">
        <v>777</v>
      </c>
      <c r="I2284" s="312">
        <v>2022</v>
      </c>
      <c r="J2284" s="122" t="s">
        <v>713</v>
      </c>
      <c r="K2284" s="283">
        <v>8929</v>
      </c>
      <c r="L2284" s="318">
        <v>-33.815620000000003</v>
      </c>
      <c r="M2284" s="318">
        <v>150.96923799999999</v>
      </c>
      <c r="O2284">
        <f>INDEX('MEC - traffic congestion'!$M$145:$M$249,MATCH($D2284,'MEC - traffic congestion'!$C$145:$C$249,0))</f>
        <v>1</v>
      </c>
      <c r="P2284" t="str">
        <f t="shared" si="101"/>
        <v>2022WEEKENDS</v>
      </c>
      <c r="Q2284">
        <f t="shared" si="102"/>
        <v>1</v>
      </c>
      <c r="R2284" s="195" t="str">
        <f t="shared" si="103"/>
        <v>2022LIGHT VEHICLES</v>
      </c>
    </row>
    <row r="2285" spans="3:18" x14ac:dyDescent="0.25">
      <c r="C2285" s="294" t="s">
        <v>917</v>
      </c>
      <c r="D2285" s="317">
        <v>7164</v>
      </c>
      <c r="E2285" s="122" t="s">
        <v>870</v>
      </c>
      <c r="F2285" s="122" t="s">
        <v>871</v>
      </c>
      <c r="G2285" s="122" t="s">
        <v>785</v>
      </c>
      <c r="H2285" s="122" t="s">
        <v>777</v>
      </c>
      <c r="I2285" s="312">
        <v>2023</v>
      </c>
      <c r="J2285" s="122" t="s">
        <v>709</v>
      </c>
      <c r="K2285" s="283">
        <v>3093</v>
      </c>
      <c r="L2285" s="318">
        <v>-33.815620000000003</v>
      </c>
      <c r="M2285" s="318">
        <v>150.96923799999999</v>
      </c>
      <c r="O2285">
        <f>INDEX('MEC - traffic congestion'!$M$145:$M$249,MATCH($D2285,'MEC - traffic congestion'!$C$145:$C$249,0))</f>
        <v>1</v>
      </c>
      <c r="P2285" t="str">
        <f t="shared" si="101"/>
        <v>2023AM PEAK</v>
      </c>
      <c r="Q2285">
        <f t="shared" si="102"/>
        <v>1</v>
      </c>
      <c r="R2285" s="195" t="str">
        <f t="shared" si="103"/>
        <v>2023LIGHT VEHICLES</v>
      </c>
    </row>
    <row r="2286" spans="3:18" x14ac:dyDescent="0.25">
      <c r="C2286" s="294" t="s">
        <v>917</v>
      </c>
      <c r="D2286" s="317">
        <v>7164</v>
      </c>
      <c r="E2286" s="122" t="s">
        <v>870</v>
      </c>
      <c r="F2286" s="122" t="s">
        <v>871</v>
      </c>
      <c r="G2286" s="122" t="s">
        <v>785</v>
      </c>
      <c r="H2286" s="122" t="s">
        <v>777</v>
      </c>
      <c r="I2286" s="312">
        <v>2023</v>
      </c>
      <c r="J2286" s="122" t="s">
        <v>710</v>
      </c>
      <c r="K2286" s="283">
        <v>5142</v>
      </c>
      <c r="L2286" s="318">
        <v>-33.815620000000003</v>
      </c>
      <c r="M2286" s="318">
        <v>150.96923799999999</v>
      </c>
      <c r="O2286">
        <f>INDEX('MEC - traffic congestion'!$M$145:$M$249,MATCH($D2286,'MEC - traffic congestion'!$C$145:$C$249,0))</f>
        <v>1</v>
      </c>
      <c r="P2286" t="str">
        <f t="shared" si="101"/>
        <v>2023OFF PEAK</v>
      </c>
      <c r="Q2286">
        <f t="shared" si="102"/>
        <v>1</v>
      </c>
      <c r="R2286" s="195" t="str">
        <f t="shared" si="103"/>
        <v>2023LIGHT VEHICLES</v>
      </c>
    </row>
    <row r="2287" spans="3:18" x14ac:dyDescent="0.25">
      <c r="C2287" s="294" t="s">
        <v>917</v>
      </c>
      <c r="D2287" s="317">
        <v>7164</v>
      </c>
      <c r="E2287" s="122" t="s">
        <v>870</v>
      </c>
      <c r="F2287" s="122" t="s">
        <v>871</v>
      </c>
      <c r="G2287" s="122" t="s">
        <v>785</v>
      </c>
      <c r="H2287" s="122" t="s">
        <v>777</v>
      </c>
      <c r="I2287" s="312">
        <v>2023</v>
      </c>
      <c r="J2287" s="122" t="s">
        <v>711</v>
      </c>
      <c r="K2287" s="283">
        <v>2725</v>
      </c>
      <c r="L2287" s="318">
        <v>-33.815620000000003</v>
      </c>
      <c r="M2287" s="318">
        <v>150.96923799999999</v>
      </c>
      <c r="O2287">
        <f>INDEX('MEC - traffic congestion'!$M$145:$M$249,MATCH($D2287,'MEC - traffic congestion'!$C$145:$C$249,0))</f>
        <v>1</v>
      </c>
      <c r="P2287" t="str">
        <f t="shared" si="101"/>
        <v>2023PM PEAK</v>
      </c>
      <c r="Q2287">
        <f t="shared" si="102"/>
        <v>1</v>
      </c>
      <c r="R2287" s="195" t="str">
        <f t="shared" si="103"/>
        <v>2023LIGHT VEHICLES</v>
      </c>
    </row>
    <row r="2288" spans="3:18" x14ac:dyDescent="0.25">
      <c r="C2288" s="294" t="s">
        <v>917</v>
      </c>
      <c r="D2288" s="317">
        <v>7164</v>
      </c>
      <c r="E2288" s="122" t="s">
        <v>870</v>
      </c>
      <c r="F2288" s="122" t="s">
        <v>871</v>
      </c>
      <c r="G2288" s="122" t="s">
        <v>785</v>
      </c>
      <c r="H2288" s="122" t="s">
        <v>777</v>
      </c>
      <c r="I2288" s="312">
        <v>2023</v>
      </c>
      <c r="J2288" s="122" t="s">
        <v>713</v>
      </c>
      <c r="K2288" s="283">
        <v>9017</v>
      </c>
      <c r="L2288" s="318">
        <v>-33.815620000000003</v>
      </c>
      <c r="M2288" s="318">
        <v>150.96923799999999</v>
      </c>
      <c r="O2288">
        <f>INDEX('MEC - traffic congestion'!$M$145:$M$249,MATCH($D2288,'MEC - traffic congestion'!$C$145:$C$249,0))</f>
        <v>1</v>
      </c>
      <c r="P2288" t="str">
        <f t="shared" si="101"/>
        <v>2023WEEKENDS</v>
      </c>
      <c r="Q2288">
        <f t="shared" si="102"/>
        <v>1</v>
      </c>
      <c r="R2288" s="195" t="str">
        <f t="shared" si="103"/>
        <v>2023LIGHT VEHICLES</v>
      </c>
    </row>
    <row r="2289" spans="3:18" x14ac:dyDescent="0.25">
      <c r="C2289" s="294" t="s">
        <v>917</v>
      </c>
      <c r="D2289" s="317">
        <v>7164</v>
      </c>
      <c r="E2289" s="122" t="s">
        <v>870</v>
      </c>
      <c r="F2289" s="122" t="s">
        <v>871</v>
      </c>
      <c r="G2289" s="122" t="s">
        <v>785</v>
      </c>
      <c r="H2289" s="122" t="s">
        <v>777</v>
      </c>
      <c r="I2289" s="312">
        <v>2024</v>
      </c>
      <c r="J2289" s="122" t="s">
        <v>709</v>
      </c>
      <c r="K2289" s="283">
        <v>2887</v>
      </c>
      <c r="L2289" s="318">
        <v>-33.815620000000003</v>
      </c>
      <c r="M2289" s="318">
        <v>150.96923799999999</v>
      </c>
      <c r="O2289">
        <f>INDEX('MEC - traffic congestion'!$M$145:$M$249,MATCH($D2289,'MEC - traffic congestion'!$C$145:$C$249,0))</f>
        <v>1</v>
      </c>
      <c r="P2289" t="str">
        <f t="shared" si="101"/>
        <v>2024AM PEAK</v>
      </c>
      <c r="Q2289">
        <f t="shared" si="102"/>
        <v>1</v>
      </c>
      <c r="R2289" s="195" t="str">
        <f t="shared" si="103"/>
        <v>2024LIGHT VEHICLES</v>
      </c>
    </row>
    <row r="2290" spans="3:18" x14ac:dyDescent="0.25">
      <c r="C2290" s="294" t="s">
        <v>917</v>
      </c>
      <c r="D2290" s="317">
        <v>7164</v>
      </c>
      <c r="E2290" s="122" t="s">
        <v>870</v>
      </c>
      <c r="F2290" s="122" t="s">
        <v>871</v>
      </c>
      <c r="G2290" s="122" t="s">
        <v>785</v>
      </c>
      <c r="H2290" s="122" t="s">
        <v>777</v>
      </c>
      <c r="I2290" s="312">
        <v>2024</v>
      </c>
      <c r="J2290" s="122" t="s">
        <v>710</v>
      </c>
      <c r="K2290" s="283">
        <v>5063</v>
      </c>
      <c r="L2290" s="318">
        <v>-33.815620000000003</v>
      </c>
      <c r="M2290" s="318">
        <v>150.96923799999999</v>
      </c>
      <c r="O2290">
        <f>INDEX('MEC - traffic congestion'!$M$145:$M$249,MATCH($D2290,'MEC - traffic congestion'!$C$145:$C$249,0))</f>
        <v>1</v>
      </c>
      <c r="P2290" t="str">
        <f t="shared" si="101"/>
        <v>2024OFF PEAK</v>
      </c>
      <c r="Q2290">
        <f t="shared" si="102"/>
        <v>1</v>
      </c>
      <c r="R2290" s="195" t="str">
        <f t="shared" si="103"/>
        <v>2024LIGHT VEHICLES</v>
      </c>
    </row>
    <row r="2291" spans="3:18" x14ac:dyDescent="0.25">
      <c r="C2291" s="294" t="s">
        <v>917</v>
      </c>
      <c r="D2291" s="317">
        <v>7164</v>
      </c>
      <c r="E2291" s="122" t="s">
        <v>870</v>
      </c>
      <c r="F2291" s="122" t="s">
        <v>871</v>
      </c>
      <c r="G2291" s="122" t="s">
        <v>785</v>
      </c>
      <c r="H2291" s="122" t="s">
        <v>777</v>
      </c>
      <c r="I2291" s="312">
        <v>2024</v>
      </c>
      <c r="J2291" s="122" t="s">
        <v>711</v>
      </c>
      <c r="K2291" s="283">
        <v>2586</v>
      </c>
      <c r="L2291" s="318">
        <v>-33.815620000000003</v>
      </c>
      <c r="M2291" s="318">
        <v>150.96923799999999</v>
      </c>
      <c r="O2291">
        <f>INDEX('MEC - traffic congestion'!$M$145:$M$249,MATCH($D2291,'MEC - traffic congestion'!$C$145:$C$249,0))</f>
        <v>1</v>
      </c>
      <c r="P2291" t="str">
        <f t="shared" si="101"/>
        <v>2024PM PEAK</v>
      </c>
      <c r="Q2291">
        <f t="shared" si="102"/>
        <v>1</v>
      </c>
      <c r="R2291" s="195" t="str">
        <f t="shared" si="103"/>
        <v>2024LIGHT VEHICLES</v>
      </c>
    </row>
    <row r="2292" spans="3:18" x14ac:dyDescent="0.25">
      <c r="C2292" s="294" t="s">
        <v>917</v>
      </c>
      <c r="D2292" s="317">
        <v>7164</v>
      </c>
      <c r="E2292" s="122" t="s">
        <v>870</v>
      </c>
      <c r="F2292" s="122" t="s">
        <v>871</v>
      </c>
      <c r="G2292" s="122" t="s">
        <v>785</v>
      </c>
      <c r="H2292" s="122" t="s">
        <v>777</v>
      </c>
      <c r="I2292" s="312">
        <v>2024</v>
      </c>
      <c r="J2292" s="122" t="s">
        <v>713</v>
      </c>
      <c r="K2292" s="283">
        <v>9056</v>
      </c>
      <c r="L2292" s="318">
        <v>-33.815620000000003</v>
      </c>
      <c r="M2292" s="318">
        <v>150.96923799999999</v>
      </c>
      <c r="O2292">
        <f>INDEX('MEC - traffic congestion'!$M$145:$M$249,MATCH($D2292,'MEC - traffic congestion'!$C$145:$C$249,0))</f>
        <v>1</v>
      </c>
      <c r="P2292" t="str">
        <f t="shared" si="101"/>
        <v>2024WEEKENDS</v>
      </c>
      <c r="Q2292">
        <f t="shared" si="102"/>
        <v>1</v>
      </c>
      <c r="R2292" s="195" t="str">
        <f t="shared" si="103"/>
        <v>2024LIGHT VEHICLES</v>
      </c>
    </row>
    <row r="2293" spans="3:18" x14ac:dyDescent="0.25">
      <c r="C2293" s="294" t="s">
        <v>918</v>
      </c>
      <c r="D2293" s="317">
        <v>7168</v>
      </c>
      <c r="E2293" s="122" t="s">
        <v>870</v>
      </c>
      <c r="F2293" s="122" t="s">
        <v>919</v>
      </c>
      <c r="G2293" s="122" t="s">
        <v>786</v>
      </c>
      <c r="H2293" s="122" t="s">
        <v>777</v>
      </c>
      <c r="I2293" s="312">
        <v>2018</v>
      </c>
      <c r="J2293" s="122" t="s">
        <v>709</v>
      </c>
      <c r="K2293" s="283">
        <v>2638</v>
      </c>
      <c r="L2293" s="318">
        <v>-33.798195</v>
      </c>
      <c r="M2293" s="318">
        <v>150.89712499999999</v>
      </c>
      <c r="O2293">
        <f>INDEX('MEC - traffic congestion'!$M$145:$M$249,MATCH($D2293,'MEC - traffic congestion'!$C$145:$C$249,0))</f>
        <v>1</v>
      </c>
      <c r="P2293" t="str">
        <f t="shared" si="101"/>
        <v>2018AM PEAK</v>
      </c>
      <c r="Q2293">
        <f t="shared" si="102"/>
        <v>1</v>
      </c>
      <c r="R2293" s="195" t="str">
        <f t="shared" si="103"/>
        <v>2018LIGHT VEHICLES</v>
      </c>
    </row>
    <row r="2294" spans="3:18" x14ac:dyDescent="0.25">
      <c r="C2294" s="294" t="s">
        <v>918</v>
      </c>
      <c r="D2294" s="317">
        <v>7168</v>
      </c>
      <c r="E2294" s="122" t="s">
        <v>870</v>
      </c>
      <c r="F2294" s="122" t="s">
        <v>919</v>
      </c>
      <c r="G2294" s="122" t="s">
        <v>786</v>
      </c>
      <c r="H2294" s="122" t="s">
        <v>777</v>
      </c>
      <c r="I2294" s="312">
        <v>2018</v>
      </c>
      <c r="J2294" s="122" t="s">
        <v>710</v>
      </c>
      <c r="K2294" s="283">
        <v>5881</v>
      </c>
      <c r="L2294" s="318">
        <v>-33.798195</v>
      </c>
      <c r="M2294" s="318">
        <v>150.89712499999999</v>
      </c>
      <c r="O2294">
        <f>INDEX('MEC - traffic congestion'!$M$145:$M$249,MATCH($D2294,'MEC - traffic congestion'!$C$145:$C$249,0))</f>
        <v>1</v>
      </c>
      <c r="P2294" t="str">
        <f t="shared" si="101"/>
        <v>2018OFF PEAK</v>
      </c>
      <c r="Q2294">
        <f t="shared" si="102"/>
        <v>1</v>
      </c>
      <c r="R2294" s="195" t="str">
        <f t="shared" si="103"/>
        <v>2018LIGHT VEHICLES</v>
      </c>
    </row>
    <row r="2295" spans="3:18" x14ac:dyDescent="0.25">
      <c r="C2295" s="294" t="s">
        <v>918</v>
      </c>
      <c r="D2295" s="317">
        <v>7168</v>
      </c>
      <c r="E2295" s="122" t="s">
        <v>870</v>
      </c>
      <c r="F2295" s="122" t="s">
        <v>919</v>
      </c>
      <c r="G2295" s="122" t="s">
        <v>786</v>
      </c>
      <c r="H2295" s="122" t="s">
        <v>777</v>
      </c>
      <c r="I2295" s="312">
        <v>2018</v>
      </c>
      <c r="J2295" s="122" t="s">
        <v>711</v>
      </c>
      <c r="K2295" s="283">
        <v>4575</v>
      </c>
      <c r="L2295" s="318">
        <v>-33.798195</v>
      </c>
      <c r="M2295" s="318">
        <v>150.89712499999999</v>
      </c>
      <c r="O2295">
        <f>INDEX('MEC - traffic congestion'!$M$145:$M$249,MATCH($D2295,'MEC - traffic congestion'!$C$145:$C$249,0))</f>
        <v>1</v>
      </c>
      <c r="P2295" t="str">
        <f t="shared" si="101"/>
        <v>2018PM PEAK</v>
      </c>
      <c r="Q2295">
        <f t="shared" si="102"/>
        <v>1</v>
      </c>
      <c r="R2295" s="195" t="str">
        <f t="shared" si="103"/>
        <v>2018LIGHT VEHICLES</v>
      </c>
    </row>
    <row r="2296" spans="3:18" x14ac:dyDescent="0.25">
      <c r="C2296" s="294" t="s">
        <v>918</v>
      </c>
      <c r="D2296" s="317">
        <v>7168</v>
      </c>
      <c r="E2296" s="122" t="s">
        <v>870</v>
      </c>
      <c r="F2296" s="122" t="s">
        <v>919</v>
      </c>
      <c r="G2296" s="122" t="s">
        <v>786</v>
      </c>
      <c r="H2296" s="122" t="s">
        <v>777</v>
      </c>
      <c r="I2296" s="312">
        <v>2018</v>
      </c>
      <c r="J2296" s="122" t="s">
        <v>712</v>
      </c>
      <c r="K2296" s="283">
        <v>6844</v>
      </c>
      <c r="L2296" s="318">
        <v>-33.798195</v>
      </c>
      <c r="M2296" s="318">
        <v>150.89712499999999</v>
      </c>
      <c r="O2296">
        <f>INDEX('MEC - traffic congestion'!$M$145:$M$249,MATCH($D2296,'MEC - traffic congestion'!$C$145:$C$249,0))</f>
        <v>1</v>
      </c>
      <c r="P2296" t="str">
        <f t="shared" si="101"/>
        <v>2018PUBLIC HOLIDAYS</v>
      </c>
      <c r="Q2296">
        <f t="shared" si="102"/>
        <v>1</v>
      </c>
      <c r="R2296" s="195" t="str">
        <f t="shared" si="103"/>
        <v>2018LIGHT VEHICLES</v>
      </c>
    </row>
    <row r="2297" spans="3:18" x14ac:dyDescent="0.25">
      <c r="C2297" s="294" t="s">
        <v>918</v>
      </c>
      <c r="D2297" s="317">
        <v>7168</v>
      </c>
      <c r="E2297" s="122" t="s">
        <v>870</v>
      </c>
      <c r="F2297" s="122" t="s">
        <v>919</v>
      </c>
      <c r="G2297" s="122" t="s">
        <v>786</v>
      </c>
      <c r="H2297" s="122" t="s">
        <v>777</v>
      </c>
      <c r="I2297" s="312">
        <v>2018</v>
      </c>
      <c r="J2297" s="122" t="s">
        <v>713</v>
      </c>
      <c r="K2297" s="283">
        <v>9333</v>
      </c>
      <c r="L2297" s="318">
        <v>-33.798195</v>
      </c>
      <c r="M2297" s="318">
        <v>150.89712499999999</v>
      </c>
      <c r="O2297">
        <f>INDEX('MEC - traffic congestion'!$M$145:$M$249,MATCH($D2297,'MEC - traffic congestion'!$C$145:$C$249,0))</f>
        <v>1</v>
      </c>
      <c r="P2297" t="str">
        <f t="shared" si="101"/>
        <v>2018WEEKENDS</v>
      </c>
      <c r="Q2297">
        <f t="shared" si="102"/>
        <v>1</v>
      </c>
      <c r="R2297" s="195" t="str">
        <f t="shared" si="103"/>
        <v>2018LIGHT VEHICLES</v>
      </c>
    </row>
    <row r="2298" spans="3:18" x14ac:dyDescent="0.25">
      <c r="C2298" s="294" t="s">
        <v>918</v>
      </c>
      <c r="D2298" s="317">
        <v>7168</v>
      </c>
      <c r="E2298" s="122" t="s">
        <v>870</v>
      </c>
      <c r="F2298" s="122" t="s">
        <v>919</v>
      </c>
      <c r="G2298" s="122" t="s">
        <v>786</v>
      </c>
      <c r="H2298" s="122" t="s">
        <v>777</v>
      </c>
      <c r="I2298" s="312">
        <v>2019</v>
      </c>
      <c r="J2298" s="122" t="s">
        <v>709</v>
      </c>
      <c r="K2298" s="283">
        <v>2666</v>
      </c>
      <c r="L2298" s="318">
        <v>-33.798195</v>
      </c>
      <c r="M2298" s="318">
        <v>150.89712499999999</v>
      </c>
      <c r="O2298">
        <f>INDEX('MEC - traffic congestion'!$M$145:$M$249,MATCH($D2298,'MEC - traffic congestion'!$C$145:$C$249,0))</f>
        <v>1</v>
      </c>
      <c r="P2298" t="str">
        <f t="shared" si="101"/>
        <v>2019AM PEAK</v>
      </c>
      <c r="Q2298">
        <f t="shared" si="102"/>
        <v>1</v>
      </c>
      <c r="R2298" s="195" t="str">
        <f t="shared" si="103"/>
        <v>2019LIGHT VEHICLES</v>
      </c>
    </row>
    <row r="2299" spans="3:18" x14ac:dyDescent="0.25">
      <c r="C2299" s="294" t="s">
        <v>918</v>
      </c>
      <c r="D2299" s="317">
        <v>7168</v>
      </c>
      <c r="E2299" s="122" t="s">
        <v>870</v>
      </c>
      <c r="F2299" s="122" t="s">
        <v>919</v>
      </c>
      <c r="G2299" s="122" t="s">
        <v>786</v>
      </c>
      <c r="H2299" s="122" t="s">
        <v>777</v>
      </c>
      <c r="I2299" s="312">
        <v>2019</v>
      </c>
      <c r="J2299" s="122" t="s">
        <v>710</v>
      </c>
      <c r="K2299" s="283">
        <v>6463</v>
      </c>
      <c r="L2299" s="318">
        <v>-33.798195</v>
      </c>
      <c r="M2299" s="318">
        <v>150.89712499999999</v>
      </c>
      <c r="O2299">
        <f>INDEX('MEC - traffic congestion'!$M$145:$M$249,MATCH($D2299,'MEC - traffic congestion'!$C$145:$C$249,0))</f>
        <v>1</v>
      </c>
      <c r="P2299" t="str">
        <f t="shared" si="101"/>
        <v>2019OFF PEAK</v>
      </c>
      <c r="Q2299">
        <f t="shared" si="102"/>
        <v>1</v>
      </c>
      <c r="R2299" s="195" t="str">
        <f t="shared" si="103"/>
        <v>2019LIGHT VEHICLES</v>
      </c>
    </row>
    <row r="2300" spans="3:18" x14ac:dyDescent="0.25">
      <c r="C2300" s="294" t="s">
        <v>918</v>
      </c>
      <c r="D2300" s="317">
        <v>7168</v>
      </c>
      <c r="E2300" s="122" t="s">
        <v>870</v>
      </c>
      <c r="F2300" s="122" t="s">
        <v>919</v>
      </c>
      <c r="G2300" s="122" t="s">
        <v>786</v>
      </c>
      <c r="H2300" s="122" t="s">
        <v>777</v>
      </c>
      <c r="I2300" s="312">
        <v>2019</v>
      </c>
      <c r="J2300" s="122" t="s">
        <v>711</v>
      </c>
      <c r="K2300" s="283">
        <v>4313</v>
      </c>
      <c r="L2300" s="318">
        <v>-33.798195</v>
      </c>
      <c r="M2300" s="318">
        <v>150.89712499999999</v>
      </c>
      <c r="O2300">
        <f>INDEX('MEC - traffic congestion'!$M$145:$M$249,MATCH($D2300,'MEC - traffic congestion'!$C$145:$C$249,0))</f>
        <v>1</v>
      </c>
      <c r="P2300" t="str">
        <f t="shared" si="101"/>
        <v>2019PM PEAK</v>
      </c>
      <c r="Q2300">
        <f t="shared" si="102"/>
        <v>1</v>
      </c>
      <c r="R2300" s="195" t="str">
        <f t="shared" si="103"/>
        <v>2019LIGHT VEHICLES</v>
      </c>
    </row>
    <row r="2301" spans="3:18" x14ac:dyDescent="0.25">
      <c r="C2301" s="294" t="s">
        <v>918</v>
      </c>
      <c r="D2301" s="317">
        <v>7168</v>
      </c>
      <c r="E2301" s="122" t="s">
        <v>870</v>
      </c>
      <c r="F2301" s="122" t="s">
        <v>919</v>
      </c>
      <c r="G2301" s="122" t="s">
        <v>786</v>
      </c>
      <c r="H2301" s="122" t="s">
        <v>777</v>
      </c>
      <c r="I2301" s="312">
        <v>2019</v>
      </c>
      <c r="J2301" s="122" t="s">
        <v>712</v>
      </c>
      <c r="K2301" s="283">
        <v>7399</v>
      </c>
      <c r="L2301" s="318">
        <v>-33.798195</v>
      </c>
      <c r="M2301" s="318">
        <v>150.89712499999999</v>
      </c>
      <c r="O2301">
        <f>INDEX('MEC - traffic congestion'!$M$145:$M$249,MATCH($D2301,'MEC - traffic congestion'!$C$145:$C$249,0))</f>
        <v>1</v>
      </c>
      <c r="P2301" t="str">
        <f t="shared" si="101"/>
        <v>2019PUBLIC HOLIDAYS</v>
      </c>
      <c r="Q2301">
        <f t="shared" si="102"/>
        <v>1</v>
      </c>
      <c r="R2301" s="195" t="str">
        <f t="shared" si="103"/>
        <v>2019LIGHT VEHICLES</v>
      </c>
    </row>
    <row r="2302" spans="3:18" x14ac:dyDescent="0.25">
      <c r="C2302" s="294" t="s">
        <v>918</v>
      </c>
      <c r="D2302" s="317">
        <v>7168</v>
      </c>
      <c r="E2302" s="122" t="s">
        <v>870</v>
      </c>
      <c r="F2302" s="122" t="s">
        <v>919</v>
      </c>
      <c r="G2302" s="122" t="s">
        <v>786</v>
      </c>
      <c r="H2302" s="122" t="s">
        <v>777</v>
      </c>
      <c r="I2302" s="312">
        <v>2019</v>
      </c>
      <c r="J2302" s="122" t="s">
        <v>713</v>
      </c>
      <c r="K2302" s="283">
        <v>10202</v>
      </c>
      <c r="L2302" s="318">
        <v>-33.798195</v>
      </c>
      <c r="M2302" s="318">
        <v>150.89712499999999</v>
      </c>
      <c r="O2302">
        <f>INDEX('MEC - traffic congestion'!$M$145:$M$249,MATCH($D2302,'MEC - traffic congestion'!$C$145:$C$249,0))</f>
        <v>1</v>
      </c>
      <c r="P2302" t="str">
        <f t="shared" si="101"/>
        <v>2019WEEKENDS</v>
      </c>
      <c r="Q2302">
        <f t="shared" si="102"/>
        <v>1</v>
      </c>
      <c r="R2302" s="195" t="str">
        <f t="shared" si="103"/>
        <v>2019LIGHT VEHICLES</v>
      </c>
    </row>
    <row r="2303" spans="3:18" x14ac:dyDescent="0.25">
      <c r="C2303" s="294" t="s">
        <v>918</v>
      </c>
      <c r="D2303" s="317">
        <v>7168</v>
      </c>
      <c r="E2303" s="122" t="s">
        <v>870</v>
      </c>
      <c r="F2303" s="122" t="s">
        <v>919</v>
      </c>
      <c r="G2303" s="122" t="s">
        <v>786</v>
      </c>
      <c r="H2303" s="122" t="s">
        <v>777</v>
      </c>
      <c r="I2303" s="312">
        <v>2020</v>
      </c>
      <c r="J2303" s="122" t="s">
        <v>709</v>
      </c>
      <c r="K2303" s="283">
        <v>1776</v>
      </c>
      <c r="L2303" s="318">
        <v>-33.798195</v>
      </c>
      <c r="M2303" s="318">
        <v>150.89712499999999</v>
      </c>
      <c r="O2303">
        <f>INDEX('MEC - traffic congestion'!$M$145:$M$249,MATCH($D2303,'MEC - traffic congestion'!$C$145:$C$249,0))</f>
        <v>1</v>
      </c>
      <c r="P2303" t="str">
        <f t="shared" si="101"/>
        <v>2020AM PEAK</v>
      </c>
      <c r="Q2303">
        <f t="shared" si="102"/>
        <v>1</v>
      </c>
      <c r="R2303" s="195" t="str">
        <f t="shared" si="103"/>
        <v>2020LIGHT VEHICLES</v>
      </c>
    </row>
    <row r="2304" spans="3:18" x14ac:dyDescent="0.25">
      <c r="C2304" s="294" t="s">
        <v>918</v>
      </c>
      <c r="D2304" s="317">
        <v>7168</v>
      </c>
      <c r="E2304" s="122" t="s">
        <v>870</v>
      </c>
      <c r="F2304" s="122" t="s">
        <v>919</v>
      </c>
      <c r="G2304" s="122" t="s">
        <v>786</v>
      </c>
      <c r="H2304" s="122" t="s">
        <v>777</v>
      </c>
      <c r="I2304" s="312">
        <v>2020</v>
      </c>
      <c r="J2304" s="122" t="s">
        <v>710</v>
      </c>
      <c r="K2304" s="283">
        <v>4078</v>
      </c>
      <c r="L2304" s="318">
        <v>-33.798195</v>
      </c>
      <c r="M2304" s="318">
        <v>150.89712499999999</v>
      </c>
      <c r="O2304">
        <f>INDEX('MEC - traffic congestion'!$M$145:$M$249,MATCH($D2304,'MEC - traffic congestion'!$C$145:$C$249,0))</f>
        <v>1</v>
      </c>
      <c r="P2304" t="str">
        <f t="shared" si="101"/>
        <v>2020OFF PEAK</v>
      </c>
      <c r="Q2304">
        <f t="shared" si="102"/>
        <v>1</v>
      </c>
      <c r="R2304" s="195" t="str">
        <f t="shared" si="103"/>
        <v>2020LIGHT VEHICLES</v>
      </c>
    </row>
    <row r="2305" spans="3:18" x14ac:dyDescent="0.25">
      <c r="C2305" s="294" t="s">
        <v>918</v>
      </c>
      <c r="D2305" s="317">
        <v>7168</v>
      </c>
      <c r="E2305" s="122" t="s">
        <v>870</v>
      </c>
      <c r="F2305" s="122" t="s">
        <v>919</v>
      </c>
      <c r="G2305" s="122" t="s">
        <v>786</v>
      </c>
      <c r="H2305" s="122" t="s">
        <v>777</v>
      </c>
      <c r="I2305" s="312">
        <v>2020</v>
      </c>
      <c r="J2305" s="122" t="s">
        <v>711</v>
      </c>
      <c r="K2305" s="283">
        <v>3253</v>
      </c>
      <c r="L2305" s="318">
        <v>-33.798195</v>
      </c>
      <c r="M2305" s="318">
        <v>150.89712499999999</v>
      </c>
      <c r="O2305">
        <f>INDEX('MEC - traffic congestion'!$M$145:$M$249,MATCH($D2305,'MEC - traffic congestion'!$C$145:$C$249,0))</f>
        <v>1</v>
      </c>
      <c r="P2305" t="str">
        <f t="shared" si="101"/>
        <v>2020PM PEAK</v>
      </c>
      <c r="Q2305">
        <f t="shared" si="102"/>
        <v>1</v>
      </c>
      <c r="R2305" s="195" t="str">
        <f t="shared" si="103"/>
        <v>2020LIGHT VEHICLES</v>
      </c>
    </row>
    <row r="2306" spans="3:18" x14ac:dyDescent="0.25">
      <c r="C2306" s="294" t="s">
        <v>918</v>
      </c>
      <c r="D2306" s="317">
        <v>7168</v>
      </c>
      <c r="E2306" s="122" t="s">
        <v>870</v>
      </c>
      <c r="F2306" s="122" t="s">
        <v>919</v>
      </c>
      <c r="G2306" s="122" t="s">
        <v>786</v>
      </c>
      <c r="H2306" s="122" t="s">
        <v>777</v>
      </c>
      <c r="I2306" s="312">
        <v>2020</v>
      </c>
      <c r="J2306" s="122" t="s">
        <v>712</v>
      </c>
      <c r="K2306" s="283">
        <v>4399</v>
      </c>
      <c r="L2306" s="318">
        <v>-33.798195</v>
      </c>
      <c r="M2306" s="318">
        <v>150.89712499999999</v>
      </c>
      <c r="O2306">
        <f>INDEX('MEC - traffic congestion'!$M$145:$M$249,MATCH($D2306,'MEC - traffic congestion'!$C$145:$C$249,0))</f>
        <v>1</v>
      </c>
      <c r="P2306" t="str">
        <f t="shared" si="101"/>
        <v>2020PUBLIC HOLIDAYS</v>
      </c>
      <c r="Q2306">
        <f t="shared" si="102"/>
        <v>1</v>
      </c>
      <c r="R2306" s="195" t="str">
        <f t="shared" si="103"/>
        <v>2020LIGHT VEHICLES</v>
      </c>
    </row>
    <row r="2307" spans="3:18" x14ac:dyDescent="0.25">
      <c r="C2307" s="294" t="s">
        <v>918</v>
      </c>
      <c r="D2307" s="317">
        <v>7168</v>
      </c>
      <c r="E2307" s="122" t="s">
        <v>870</v>
      </c>
      <c r="F2307" s="122" t="s">
        <v>919</v>
      </c>
      <c r="G2307" s="122" t="s">
        <v>786</v>
      </c>
      <c r="H2307" s="122" t="s">
        <v>777</v>
      </c>
      <c r="I2307" s="312">
        <v>2020</v>
      </c>
      <c r="J2307" s="122" t="s">
        <v>713</v>
      </c>
      <c r="K2307" s="283">
        <v>6202</v>
      </c>
      <c r="L2307" s="318">
        <v>-33.798195</v>
      </c>
      <c r="M2307" s="318">
        <v>150.89712499999999</v>
      </c>
      <c r="O2307">
        <f>INDEX('MEC - traffic congestion'!$M$145:$M$249,MATCH($D2307,'MEC - traffic congestion'!$C$145:$C$249,0))</f>
        <v>1</v>
      </c>
      <c r="P2307" t="str">
        <f t="shared" si="101"/>
        <v>2020WEEKENDS</v>
      </c>
      <c r="Q2307">
        <f t="shared" si="102"/>
        <v>1</v>
      </c>
      <c r="R2307" s="195" t="str">
        <f t="shared" si="103"/>
        <v>2020LIGHT VEHICLES</v>
      </c>
    </row>
    <row r="2308" spans="3:18" x14ac:dyDescent="0.25">
      <c r="C2308" s="294" t="s">
        <v>918</v>
      </c>
      <c r="D2308" s="317">
        <v>7168</v>
      </c>
      <c r="E2308" s="122" t="s">
        <v>870</v>
      </c>
      <c r="F2308" s="122" t="s">
        <v>919</v>
      </c>
      <c r="G2308" s="122" t="s">
        <v>786</v>
      </c>
      <c r="H2308" s="122" t="s">
        <v>777</v>
      </c>
      <c r="I2308" s="312">
        <v>2021</v>
      </c>
      <c r="J2308" s="122" t="s">
        <v>709</v>
      </c>
      <c r="K2308" s="283">
        <v>1648</v>
      </c>
      <c r="L2308" s="318">
        <v>-33.798195</v>
      </c>
      <c r="M2308" s="318">
        <v>150.89712499999999</v>
      </c>
      <c r="O2308">
        <f>INDEX('MEC - traffic congestion'!$M$145:$M$249,MATCH($D2308,'MEC - traffic congestion'!$C$145:$C$249,0))</f>
        <v>1</v>
      </c>
      <c r="P2308" t="str">
        <f t="shared" si="101"/>
        <v>2021AM PEAK</v>
      </c>
      <c r="Q2308">
        <f t="shared" si="102"/>
        <v>1</v>
      </c>
      <c r="R2308" s="195" t="str">
        <f t="shared" si="103"/>
        <v>2021LIGHT VEHICLES</v>
      </c>
    </row>
    <row r="2309" spans="3:18" x14ac:dyDescent="0.25">
      <c r="C2309" s="294" t="s">
        <v>918</v>
      </c>
      <c r="D2309" s="317">
        <v>7168</v>
      </c>
      <c r="E2309" s="122" t="s">
        <v>870</v>
      </c>
      <c r="F2309" s="122" t="s">
        <v>919</v>
      </c>
      <c r="G2309" s="122" t="s">
        <v>786</v>
      </c>
      <c r="H2309" s="122" t="s">
        <v>777</v>
      </c>
      <c r="I2309" s="312">
        <v>2021</v>
      </c>
      <c r="J2309" s="122" t="s">
        <v>710</v>
      </c>
      <c r="K2309" s="283">
        <v>3601</v>
      </c>
      <c r="L2309" s="318">
        <v>-33.798195</v>
      </c>
      <c r="M2309" s="318">
        <v>150.89712499999999</v>
      </c>
      <c r="O2309">
        <f>INDEX('MEC - traffic congestion'!$M$145:$M$249,MATCH($D2309,'MEC - traffic congestion'!$C$145:$C$249,0))</f>
        <v>1</v>
      </c>
      <c r="P2309" t="str">
        <f t="shared" si="101"/>
        <v>2021OFF PEAK</v>
      </c>
      <c r="Q2309">
        <f t="shared" si="102"/>
        <v>1</v>
      </c>
      <c r="R2309" s="195" t="str">
        <f t="shared" si="103"/>
        <v>2021LIGHT VEHICLES</v>
      </c>
    </row>
    <row r="2310" spans="3:18" x14ac:dyDescent="0.25">
      <c r="C2310" s="294" t="s">
        <v>918</v>
      </c>
      <c r="D2310" s="317">
        <v>7168</v>
      </c>
      <c r="E2310" s="122" t="s">
        <v>870</v>
      </c>
      <c r="F2310" s="122" t="s">
        <v>919</v>
      </c>
      <c r="G2310" s="122" t="s">
        <v>786</v>
      </c>
      <c r="H2310" s="122" t="s">
        <v>777</v>
      </c>
      <c r="I2310" s="312">
        <v>2021</v>
      </c>
      <c r="J2310" s="122" t="s">
        <v>711</v>
      </c>
      <c r="K2310" s="283">
        <v>2914</v>
      </c>
      <c r="L2310" s="318">
        <v>-33.798195</v>
      </c>
      <c r="M2310" s="318">
        <v>150.89712499999999</v>
      </c>
      <c r="O2310">
        <f>INDEX('MEC - traffic congestion'!$M$145:$M$249,MATCH($D2310,'MEC - traffic congestion'!$C$145:$C$249,0))</f>
        <v>1</v>
      </c>
      <c r="P2310" t="str">
        <f t="shared" si="101"/>
        <v>2021PM PEAK</v>
      </c>
      <c r="Q2310">
        <f t="shared" si="102"/>
        <v>1</v>
      </c>
      <c r="R2310" s="195" t="str">
        <f t="shared" si="103"/>
        <v>2021LIGHT VEHICLES</v>
      </c>
    </row>
    <row r="2311" spans="3:18" x14ac:dyDescent="0.25">
      <c r="C2311" s="294" t="s">
        <v>918</v>
      </c>
      <c r="D2311" s="317">
        <v>7168</v>
      </c>
      <c r="E2311" s="122" t="s">
        <v>870</v>
      </c>
      <c r="F2311" s="122" t="s">
        <v>919</v>
      </c>
      <c r="G2311" s="122" t="s">
        <v>786</v>
      </c>
      <c r="H2311" s="122" t="s">
        <v>777</v>
      </c>
      <c r="I2311" s="312">
        <v>2021</v>
      </c>
      <c r="J2311" s="122" t="s">
        <v>713</v>
      </c>
      <c r="K2311" s="283">
        <v>5324</v>
      </c>
      <c r="L2311" s="318">
        <v>-33.798195</v>
      </c>
      <c r="M2311" s="318">
        <v>150.89712499999999</v>
      </c>
      <c r="O2311">
        <f>INDEX('MEC - traffic congestion'!$M$145:$M$249,MATCH($D2311,'MEC - traffic congestion'!$C$145:$C$249,0))</f>
        <v>1</v>
      </c>
      <c r="P2311" t="str">
        <f t="shared" si="101"/>
        <v>2021WEEKENDS</v>
      </c>
      <c r="Q2311">
        <f t="shared" si="102"/>
        <v>1</v>
      </c>
      <c r="R2311" s="195" t="str">
        <f t="shared" si="103"/>
        <v>2021LIGHT VEHICLES</v>
      </c>
    </row>
    <row r="2312" spans="3:18" x14ac:dyDescent="0.25">
      <c r="C2312" s="294" t="s">
        <v>918</v>
      </c>
      <c r="D2312" s="317">
        <v>7168</v>
      </c>
      <c r="E2312" s="122" t="s">
        <v>870</v>
      </c>
      <c r="F2312" s="122" t="s">
        <v>919</v>
      </c>
      <c r="G2312" s="122" t="s">
        <v>786</v>
      </c>
      <c r="H2312" s="122" t="s">
        <v>777</v>
      </c>
      <c r="I2312" s="312">
        <v>2022</v>
      </c>
      <c r="J2312" s="122" t="s">
        <v>709</v>
      </c>
      <c r="K2312" s="283">
        <v>1725</v>
      </c>
      <c r="L2312" s="318">
        <v>-33.798195</v>
      </c>
      <c r="M2312" s="318">
        <v>150.89712499999999</v>
      </c>
      <c r="O2312">
        <f>INDEX('MEC - traffic congestion'!$M$145:$M$249,MATCH($D2312,'MEC - traffic congestion'!$C$145:$C$249,0))</f>
        <v>1</v>
      </c>
      <c r="P2312" t="str">
        <f t="shared" si="101"/>
        <v>2022AM PEAK</v>
      </c>
      <c r="Q2312">
        <f t="shared" si="102"/>
        <v>1</v>
      </c>
      <c r="R2312" s="195" t="str">
        <f t="shared" si="103"/>
        <v>2022LIGHT VEHICLES</v>
      </c>
    </row>
    <row r="2313" spans="3:18" x14ac:dyDescent="0.25">
      <c r="C2313" s="294" t="s">
        <v>918</v>
      </c>
      <c r="D2313" s="317">
        <v>7168</v>
      </c>
      <c r="E2313" s="122" t="s">
        <v>870</v>
      </c>
      <c r="F2313" s="122" t="s">
        <v>919</v>
      </c>
      <c r="G2313" s="122" t="s">
        <v>786</v>
      </c>
      <c r="H2313" s="122" t="s">
        <v>777</v>
      </c>
      <c r="I2313" s="312">
        <v>2022</v>
      </c>
      <c r="J2313" s="122" t="s">
        <v>710</v>
      </c>
      <c r="K2313" s="283">
        <v>3863</v>
      </c>
      <c r="L2313" s="318">
        <v>-33.798195</v>
      </c>
      <c r="M2313" s="318">
        <v>150.89712499999999</v>
      </c>
      <c r="O2313">
        <f>INDEX('MEC - traffic congestion'!$M$145:$M$249,MATCH($D2313,'MEC - traffic congestion'!$C$145:$C$249,0))</f>
        <v>1</v>
      </c>
      <c r="P2313" t="str">
        <f t="shared" si="101"/>
        <v>2022OFF PEAK</v>
      </c>
      <c r="Q2313">
        <f t="shared" si="102"/>
        <v>1</v>
      </c>
      <c r="R2313" s="195" t="str">
        <f t="shared" si="103"/>
        <v>2022LIGHT VEHICLES</v>
      </c>
    </row>
    <row r="2314" spans="3:18" x14ac:dyDescent="0.25">
      <c r="C2314" s="294" t="s">
        <v>918</v>
      </c>
      <c r="D2314" s="317">
        <v>7168</v>
      </c>
      <c r="E2314" s="122" t="s">
        <v>870</v>
      </c>
      <c r="F2314" s="122" t="s">
        <v>919</v>
      </c>
      <c r="G2314" s="122" t="s">
        <v>786</v>
      </c>
      <c r="H2314" s="122" t="s">
        <v>777</v>
      </c>
      <c r="I2314" s="312">
        <v>2022</v>
      </c>
      <c r="J2314" s="122" t="s">
        <v>711</v>
      </c>
      <c r="K2314" s="283">
        <v>3105</v>
      </c>
      <c r="L2314" s="318">
        <v>-33.798195</v>
      </c>
      <c r="M2314" s="318">
        <v>150.89712499999999</v>
      </c>
      <c r="O2314">
        <f>INDEX('MEC - traffic congestion'!$M$145:$M$249,MATCH($D2314,'MEC - traffic congestion'!$C$145:$C$249,0))</f>
        <v>1</v>
      </c>
      <c r="P2314" t="str">
        <f t="shared" si="101"/>
        <v>2022PM PEAK</v>
      </c>
      <c r="Q2314">
        <f t="shared" si="102"/>
        <v>1</v>
      </c>
      <c r="R2314" s="195" t="str">
        <f t="shared" si="103"/>
        <v>2022LIGHT VEHICLES</v>
      </c>
    </row>
    <row r="2315" spans="3:18" x14ac:dyDescent="0.25">
      <c r="C2315" s="294" t="s">
        <v>918</v>
      </c>
      <c r="D2315" s="317">
        <v>7168</v>
      </c>
      <c r="E2315" s="122" t="s">
        <v>870</v>
      </c>
      <c r="F2315" s="122" t="s">
        <v>919</v>
      </c>
      <c r="G2315" s="122" t="s">
        <v>786</v>
      </c>
      <c r="H2315" s="122" t="s">
        <v>777</v>
      </c>
      <c r="I2315" s="312">
        <v>2022</v>
      </c>
      <c r="J2315" s="122" t="s">
        <v>713</v>
      </c>
      <c r="K2315" s="283">
        <v>5519</v>
      </c>
      <c r="L2315" s="318">
        <v>-33.798195</v>
      </c>
      <c r="M2315" s="318">
        <v>150.89712499999999</v>
      </c>
      <c r="O2315">
        <f>INDEX('MEC - traffic congestion'!$M$145:$M$249,MATCH($D2315,'MEC - traffic congestion'!$C$145:$C$249,0))</f>
        <v>1</v>
      </c>
      <c r="P2315" t="str">
        <f t="shared" si="101"/>
        <v>2022WEEKENDS</v>
      </c>
      <c r="Q2315">
        <f t="shared" si="102"/>
        <v>1</v>
      </c>
      <c r="R2315" s="195" t="str">
        <f t="shared" si="103"/>
        <v>2022LIGHT VEHICLES</v>
      </c>
    </row>
    <row r="2316" spans="3:18" x14ac:dyDescent="0.25">
      <c r="C2316" s="294" t="s">
        <v>918</v>
      </c>
      <c r="D2316" s="317">
        <v>7168</v>
      </c>
      <c r="E2316" s="122" t="s">
        <v>870</v>
      </c>
      <c r="F2316" s="122" t="s">
        <v>919</v>
      </c>
      <c r="G2316" s="122" t="s">
        <v>786</v>
      </c>
      <c r="H2316" s="122" t="s">
        <v>777</v>
      </c>
      <c r="I2316" s="312">
        <v>2023</v>
      </c>
      <c r="J2316" s="122" t="s">
        <v>709</v>
      </c>
      <c r="K2316" s="283">
        <v>1839</v>
      </c>
      <c r="L2316" s="318">
        <v>-33.798195</v>
      </c>
      <c r="M2316" s="318">
        <v>150.89712499999999</v>
      </c>
      <c r="O2316">
        <f>INDEX('MEC - traffic congestion'!$M$145:$M$249,MATCH($D2316,'MEC - traffic congestion'!$C$145:$C$249,0))</f>
        <v>1</v>
      </c>
      <c r="P2316" t="str">
        <f t="shared" si="101"/>
        <v>2023AM PEAK</v>
      </c>
      <c r="Q2316">
        <f t="shared" si="102"/>
        <v>1</v>
      </c>
      <c r="R2316" s="195" t="str">
        <f t="shared" si="103"/>
        <v>2023LIGHT VEHICLES</v>
      </c>
    </row>
    <row r="2317" spans="3:18" x14ac:dyDescent="0.25">
      <c r="C2317" s="294" t="s">
        <v>918</v>
      </c>
      <c r="D2317" s="317">
        <v>7168</v>
      </c>
      <c r="E2317" s="122" t="s">
        <v>870</v>
      </c>
      <c r="F2317" s="122" t="s">
        <v>919</v>
      </c>
      <c r="G2317" s="122" t="s">
        <v>786</v>
      </c>
      <c r="H2317" s="122" t="s">
        <v>777</v>
      </c>
      <c r="I2317" s="312">
        <v>2023</v>
      </c>
      <c r="J2317" s="122" t="s">
        <v>710</v>
      </c>
      <c r="K2317" s="283">
        <v>4041</v>
      </c>
      <c r="L2317" s="318">
        <v>-33.798195</v>
      </c>
      <c r="M2317" s="318">
        <v>150.89712499999999</v>
      </c>
      <c r="O2317">
        <f>INDEX('MEC - traffic congestion'!$M$145:$M$249,MATCH($D2317,'MEC - traffic congestion'!$C$145:$C$249,0))</f>
        <v>1</v>
      </c>
      <c r="P2317" t="str">
        <f t="shared" si="101"/>
        <v>2023OFF PEAK</v>
      </c>
      <c r="Q2317">
        <f t="shared" si="102"/>
        <v>1</v>
      </c>
      <c r="R2317" s="195" t="str">
        <f t="shared" si="103"/>
        <v>2023LIGHT VEHICLES</v>
      </c>
    </row>
    <row r="2318" spans="3:18" x14ac:dyDescent="0.25">
      <c r="C2318" s="294" t="s">
        <v>918</v>
      </c>
      <c r="D2318" s="317">
        <v>7168</v>
      </c>
      <c r="E2318" s="122" t="s">
        <v>870</v>
      </c>
      <c r="F2318" s="122" t="s">
        <v>919</v>
      </c>
      <c r="G2318" s="122" t="s">
        <v>786</v>
      </c>
      <c r="H2318" s="122" t="s">
        <v>777</v>
      </c>
      <c r="I2318" s="312">
        <v>2023</v>
      </c>
      <c r="J2318" s="122" t="s">
        <v>711</v>
      </c>
      <c r="K2318" s="283">
        <v>3558</v>
      </c>
      <c r="L2318" s="318">
        <v>-33.798195</v>
      </c>
      <c r="M2318" s="318">
        <v>150.89712499999999</v>
      </c>
      <c r="O2318">
        <f>INDEX('MEC - traffic congestion'!$M$145:$M$249,MATCH($D2318,'MEC - traffic congestion'!$C$145:$C$249,0))</f>
        <v>1</v>
      </c>
      <c r="P2318" t="str">
        <f t="shared" si="101"/>
        <v>2023PM PEAK</v>
      </c>
      <c r="Q2318">
        <f t="shared" si="102"/>
        <v>1</v>
      </c>
      <c r="R2318" s="195" t="str">
        <f t="shared" si="103"/>
        <v>2023LIGHT VEHICLES</v>
      </c>
    </row>
    <row r="2319" spans="3:18" x14ac:dyDescent="0.25">
      <c r="C2319" s="294" t="s">
        <v>918</v>
      </c>
      <c r="D2319" s="317">
        <v>7168</v>
      </c>
      <c r="E2319" s="122" t="s">
        <v>870</v>
      </c>
      <c r="F2319" s="122" t="s">
        <v>919</v>
      </c>
      <c r="G2319" s="122" t="s">
        <v>786</v>
      </c>
      <c r="H2319" s="122" t="s">
        <v>777</v>
      </c>
      <c r="I2319" s="312">
        <v>2023</v>
      </c>
      <c r="J2319" s="122" t="s">
        <v>713</v>
      </c>
      <c r="K2319" s="283">
        <v>6165</v>
      </c>
      <c r="L2319" s="318">
        <v>-33.798195</v>
      </c>
      <c r="M2319" s="318">
        <v>150.89712499999999</v>
      </c>
      <c r="O2319">
        <f>INDEX('MEC - traffic congestion'!$M$145:$M$249,MATCH($D2319,'MEC - traffic congestion'!$C$145:$C$249,0))</f>
        <v>1</v>
      </c>
      <c r="P2319" t="str">
        <f t="shared" si="101"/>
        <v>2023WEEKENDS</v>
      </c>
      <c r="Q2319">
        <f t="shared" si="102"/>
        <v>1</v>
      </c>
      <c r="R2319" s="195" t="str">
        <f t="shared" si="103"/>
        <v>2023LIGHT VEHICLES</v>
      </c>
    </row>
    <row r="2320" spans="3:18" x14ac:dyDescent="0.25">
      <c r="C2320" s="294" t="s">
        <v>918</v>
      </c>
      <c r="D2320" s="317">
        <v>7168</v>
      </c>
      <c r="E2320" s="122" t="s">
        <v>870</v>
      </c>
      <c r="F2320" s="122" t="s">
        <v>919</v>
      </c>
      <c r="G2320" s="122" t="s">
        <v>786</v>
      </c>
      <c r="H2320" s="122" t="s">
        <v>777</v>
      </c>
      <c r="I2320" s="312">
        <v>2024</v>
      </c>
      <c r="J2320" s="122" t="s">
        <v>709</v>
      </c>
      <c r="K2320" s="283">
        <v>1823</v>
      </c>
      <c r="L2320" s="318">
        <v>-33.798195</v>
      </c>
      <c r="M2320" s="318">
        <v>150.89712499999999</v>
      </c>
      <c r="O2320">
        <f>INDEX('MEC - traffic congestion'!$M$145:$M$249,MATCH($D2320,'MEC - traffic congestion'!$C$145:$C$249,0))</f>
        <v>1</v>
      </c>
      <c r="P2320" t="str">
        <f t="shared" si="101"/>
        <v>2024AM PEAK</v>
      </c>
      <c r="Q2320">
        <f t="shared" si="102"/>
        <v>1</v>
      </c>
      <c r="R2320" s="195" t="str">
        <f t="shared" si="103"/>
        <v>2024LIGHT VEHICLES</v>
      </c>
    </row>
    <row r="2321" spans="3:18" x14ac:dyDescent="0.25">
      <c r="C2321" s="294" t="s">
        <v>918</v>
      </c>
      <c r="D2321" s="317">
        <v>7168</v>
      </c>
      <c r="E2321" s="122" t="s">
        <v>870</v>
      </c>
      <c r="F2321" s="122" t="s">
        <v>919</v>
      </c>
      <c r="G2321" s="122" t="s">
        <v>786</v>
      </c>
      <c r="H2321" s="122" t="s">
        <v>777</v>
      </c>
      <c r="I2321" s="312">
        <v>2024</v>
      </c>
      <c r="J2321" s="122" t="s">
        <v>710</v>
      </c>
      <c r="K2321" s="283">
        <v>3998</v>
      </c>
      <c r="L2321" s="318">
        <v>-33.798195</v>
      </c>
      <c r="M2321" s="318">
        <v>150.89712499999999</v>
      </c>
      <c r="O2321">
        <f>INDEX('MEC - traffic congestion'!$M$145:$M$249,MATCH($D2321,'MEC - traffic congestion'!$C$145:$C$249,0))</f>
        <v>1</v>
      </c>
      <c r="P2321" t="str">
        <f t="shared" si="101"/>
        <v>2024OFF PEAK</v>
      </c>
      <c r="Q2321">
        <f t="shared" si="102"/>
        <v>1</v>
      </c>
      <c r="R2321" s="195" t="str">
        <f t="shared" si="103"/>
        <v>2024LIGHT VEHICLES</v>
      </c>
    </row>
    <row r="2322" spans="3:18" x14ac:dyDescent="0.25">
      <c r="C2322" s="294" t="s">
        <v>918</v>
      </c>
      <c r="D2322" s="317">
        <v>7168</v>
      </c>
      <c r="E2322" s="122" t="s">
        <v>870</v>
      </c>
      <c r="F2322" s="122" t="s">
        <v>919</v>
      </c>
      <c r="G2322" s="122" t="s">
        <v>786</v>
      </c>
      <c r="H2322" s="122" t="s">
        <v>777</v>
      </c>
      <c r="I2322" s="312">
        <v>2024</v>
      </c>
      <c r="J2322" s="122" t="s">
        <v>711</v>
      </c>
      <c r="K2322" s="283">
        <v>3387</v>
      </c>
      <c r="L2322" s="318">
        <v>-33.798195</v>
      </c>
      <c r="M2322" s="318">
        <v>150.89712499999999</v>
      </c>
      <c r="O2322">
        <f>INDEX('MEC - traffic congestion'!$M$145:$M$249,MATCH($D2322,'MEC - traffic congestion'!$C$145:$C$249,0))</f>
        <v>1</v>
      </c>
      <c r="P2322" t="str">
        <f t="shared" si="101"/>
        <v>2024PM PEAK</v>
      </c>
      <c r="Q2322">
        <f t="shared" si="102"/>
        <v>1</v>
      </c>
      <c r="R2322" s="195" t="str">
        <f t="shared" si="103"/>
        <v>2024LIGHT VEHICLES</v>
      </c>
    </row>
    <row r="2323" spans="3:18" x14ac:dyDescent="0.25">
      <c r="C2323" s="294" t="s">
        <v>918</v>
      </c>
      <c r="D2323" s="317">
        <v>7168</v>
      </c>
      <c r="E2323" s="122" t="s">
        <v>870</v>
      </c>
      <c r="F2323" s="122" t="s">
        <v>919</v>
      </c>
      <c r="G2323" s="122" t="s">
        <v>786</v>
      </c>
      <c r="H2323" s="122" t="s">
        <v>777</v>
      </c>
      <c r="I2323" s="312">
        <v>2024</v>
      </c>
      <c r="J2323" s="122" t="s">
        <v>713</v>
      </c>
      <c r="K2323" s="283">
        <v>6140</v>
      </c>
      <c r="L2323" s="318">
        <v>-33.798195</v>
      </c>
      <c r="M2323" s="318">
        <v>150.89712499999999</v>
      </c>
      <c r="O2323">
        <f>INDEX('MEC - traffic congestion'!$M$145:$M$249,MATCH($D2323,'MEC - traffic congestion'!$C$145:$C$249,0))</f>
        <v>1</v>
      </c>
      <c r="P2323" t="str">
        <f t="shared" si="101"/>
        <v>2024WEEKENDS</v>
      </c>
      <c r="Q2323">
        <f t="shared" si="102"/>
        <v>1</v>
      </c>
      <c r="R2323" s="195" t="str">
        <f t="shared" si="103"/>
        <v>2024LIGHT VEHICLES</v>
      </c>
    </row>
    <row r="2324" spans="3:18" x14ac:dyDescent="0.25">
      <c r="C2324" s="294" t="s">
        <v>920</v>
      </c>
      <c r="D2324" s="317">
        <v>7179</v>
      </c>
      <c r="E2324" s="122" t="s">
        <v>921</v>
      </c>
      <c r="F2324" s="122" t="s">
        <v>871</v>
      </c>
      <c r="G2324" s="122" t="s">
        <v>778</v>
      </c>
      <c r="H2324" s="122" t="s">
        <v>777</v>
      </c>
      <c r="I2324" s="312">
        <v>2018</v>
      </c>
      <c r="J2324" s="122" t="s">
        <v>709</v>
      </c>
      <c r="K2324" s="283">
        <v>5754</v>
      </c>
      <c r="L2324" s="318">
        <v>-33.817272000000003</v>
      </c>
      <c r="M2324" s="318">
        <v>150.962784</v>
      </c>
      <c r="O2324">
        <f>INDEX('MEC - traffic congestion'!$M$145:$M$249,MATCH($D2324,'MEC - traffic congestion'!$C$145:$C$249,0))</f>
        <v>1</v>
      </c>
      <c r="P2324" t="str">
        <f t="shared" si="101"/>
        <v>2018AM PEAK</v>
      </c>
      <c r="Q2324">
        <f t="shared" si="102"/>
        <v>1</v>
      </c>
      <c r="R2324" s="195" t="str">
        <f t="shared" si="103"/>
        <v>2018LIGHT VEHICLES</v>
      </c>
    </row>
    <row r="2325" spans="3:18" x14ac:dyDescent="0.25">
      <c r="C2325" s="294" t="s">
        <v>920</v>
      </c>
      <c r="D2325" s="317">
        <v>7179</v>
      </c>
      <c r="E2325" s="122" t="s">
        <v>921</v>
      </c>
      <c r="F2325" s="122" t="s">
        <v>871</v>
      </c>
      <c r="G2325" s="122" t="s">
        <v>778</v>
      </c>
      <c r="H2325" s="122" t="s">
        <v>777</v>
      </c>
      <c r="I2325" s="312">
        <v>2018</v>
      </c>
      <c r="J2325" s="122" t="s">
        <v>710</v>
      </c>
      <c r="K2325" s="283">
        <v>14382</v>
      </c>
      <c r="L2325" s="318">
        <v>-33.817272000000003</v>
      </c>
      <c r="M2325" s="318">
        <v>150.962784</v>
      </c>
      <c r="O2325">
        <f>INDEX('MEC - traffic congestion'!$M$145:$M$249,MATCH($D2325,'MEC - traffic congestion'!$C$145:$C$249,0))</f>
        <v>1</v>
      </c>
      <c r="P2325" t="str">
        <f t="shared" ref="P2325:P2388" si="104">IF($O2325=1,$I2325&amp;$J2325,"")</f>
        <v>2018OFF PEAK</v>
      </c>
      <c r="Q2325">
        <f t="shared" ref="Q2325:Q2388" si="105">IF(AND($M2325&gt;150.246,AND($L2325&gt;-34.397,$L2325&lt;-32.662)),1,0)</f>
        <v>1</v>
      </c>
      <c r="R2325" s="195" t="str">
        <f t="shared" ref="R2325:R2388" si="106">IF($O2325=1,$I2325&amp;$H2325,"")</f>
        <v>2018LIGHT VEHICLES</v>
      </c>
    </row>
    <row r="2326" spans="3:18" x14ac:dyDescent="0.25">
      <c r="C2326" s="294" t="s">
        <v>920</v>
      </c>
      <c r="D2326" s="317">
        <v>7179</v>
      </c>
      <c r="E2326" s="122" t="s">
        <v>921</v>
      </c>
      <c r="F2326" s="122" t="s">
        <v>871</v>
      </c>
      <c r="G2326" s="122" t="s">
        <v>778</v>
      </c>
      <c r="H2326" s="122" t="s">
        <v>777</v>
      </c>
      <c r="I2326" s="312">
        <v>2018</v>
      </c>
      <c r="J2326" s="122" t="s">
        <v>711</v>
      </c>
      <c r="K2326" s="283">
        <v>7467</v>
      </c>
      <c r="L2326" s="318">
        <v>-33.817272000000003</v>
      </c>
      <c r="M2326" s="318">
        <v>150.962784</v>
      </c>
      <c r="O2326">
        <f>INDEX('MEC - traffic congestion'!$M$145:$M$249,MATCH($D2326,'MEC - traffic congestion'!$C$145:$C$249,0))</f>
        <v>1</v>
      </c>
      <c r="P2326" t="str">
        <f t="shared" si="104"/>
        <v>2018PM PEAK</v>
      </c>
      <c r="Q2326">
        <f t="shared" si="105"/>
        <v>1</v>
      </c>
      <c r="R2326" s="195" t="str">
        <f t="shared" si="106"/>
        <v>2018LIGHT VEHICLES</v>
      </c>
    </row>
    <row r="2327" spans="3:18" x14ac:dyDescent="0.25">
      <c r="C2327" s="294" t="s">
        <v>920</v>
      </c>
      <c r="D2327" s="317">
        <v>7179</v>
      </c>
      <c r="E2327" s="122" t="s">
        <v>921</v>
      </c>
      <c r="F2327" s="122" t="s">
        <v>871</v>
      </c>
      <c r="G2327" s="122" t="s">
        <v>778</v>
      </c>
      <c r="H2327" s="122" t="s">
        <v>777</v>
      </c>
      <c r="I2327" s="312">
        <v>2018</v>
      </c>
      <c r="J2327" s="122" t="s">
        <v>712</v>
      </c>
      <c r="K2327" s="283">
        <v>20814</v>
      </c>
      <c r="L2327" s="318">
        <v>-33.817272000000003</v>
      </c>
      <c r="M2327" s="318">
        <v>150.962784</v>
      </c>
      <c r="O2327">
        <f>INDEX('MEC - traffic congestion'!$M$145:$M$249,MATCH($D2327,'MEC - traffic congestion'!$C$145:$C$249,0))</f>
        <v>1</v>
      </c>
      <c r="P2327" t="str">
        <f t="shared" si="104"/>
        <v>2018PUBLIC HOLIDAYS</v>
      </c>
      <c r="Q2327">
        <f t="shared" si="105"/>
        <v>1</v>
      </c>
      <c r="R2327" s="195" t="str">
        <f t="shared" si="106"/>
        <v>2018LIGHT VEHICLES</v>
      </c>
    </row>
    <row r="2328" spans="3:18" x14ac:dyDescent="0.25">
      <c r="C2328" s="294" t="s">
        <v>920</v>
      </c>
      <c r="D2328" s="317">
        <v>7179</v>
      </c>
      <c r="E2328" s="122" t="s">
        <v>921</v>
      </c>
      <c r="F2328" s="122" t="s">
        <v>871</v>
      </c>
      <c r="G2328" s="122" t="s">
        <v>778</v>
      </c>
      <c r="H2328" s="122" t="s">
        <v>777</v>
      </c>
      <c r="I2328" s="312">
        <v>2018</v>
      </c>
      <c r="J2328" s="122" t="s">
        <v>713</v>
      </c>
      <c r="K2328" s="283">
        <v>25538</v>
      </c>
      <c r="L2328" s="318">
        <v>-33.817272000000003</v>
      </c>
      <c r="M2328" s="318">
        <v>150.962784</v>
      </c>
      <c r="O2328">
        <f>INDEX('MEC - traffic congestion'!$M$145:$M$249,MATCH($D2328,'MEC - traffic congestion'!$C$145:$C$249,0))</f>
        <v>1</v>
      </c>
      <c r="P2328" t="str">
        <f t="shared" si="104"/>
        <v>2018WEEKENDS</v>
      </c>
      <c r="Q2328">
        <f t="shared" si="105"/>
        <v>1</v>
      </c>
      <c r="R2328" s="195" t="str">
        <f t="shared" si="106"/>
        <v>2018LIGHT VEHICLES</v>
      </c>
    </row>
    <row r="2329" spans="3:18" x14ac:dyDescent="0.25">
      <c r="C2329" s="294" t="s">
        <v>920</v>
      </c>
      <c r="D2329" s="317">
        <v>7179</v>
      </c>
      <c r="E2329" s="122" t="s">
        <v>921</v>
      </c>
      <c r="F2329" s="122" t="s">
        <v>871</v>
      </c>
      <c r="G2329" s="122" t="s">
        <v>778</v>
      </c>
      <c r="H2329" s="122" t="s">
        <v>777</v>
      </c>
      <c r="I2329" s="312">
        <v>2019</v>
      </c>
      <c r="J2329" s="122" t="s">
        <v>709</v>
      </c>
      <c r="K2329" s="283">
        <v>5600</v>
      </c>
      <c r="L2329" s="318">
        <v>-33.817272000000003</v>
      </c>
      <c r="M2329" s="318">
        <v>150.962784</v>
      </c>
      <c r="O2329">
        <f>INDEX('MEC - traffic congestion'!$M$145:$M$249,MATCH($D2329,'MEC - traffic congestion'!$C$145:$C$249,0))</f>
        <v>1</v>
      </c>
      <c r="P2329" t="str">
        <f t="shared" si="104"/>
        <v>2019AM PEAK</v>
      </c>
      <c r="Q2329">
        <f t="shared" si="105"/>
        <v>1</v>
      </c>
      <c r="R2329" s="195" t="str">
        <f t="shared" si="106"/>
        <v>2019LIGHT VEHICLES</v>
      </c>
    </row>
    <row r="2330" spans="3:18" x14ac:dyDescent="0.25">
      <c r="C2330" s="294" t="s">
        <v>920</v>
      </c>
      <c r="D2330" s="317">
        <v>7179</v>
      </c>
      <c r="E2330" s="122" t="s">
        <v>921</v>
      </c>
      <c r="F2330" s="122" t="s">
        <v>871</v>
      </c>
      <c r="G2330" s="122" t="s">
        <v>778</v>
      </c>
      <c r="H2330" s="122" t="s">
        <v>777</v>
      </c>
      <c r="I2330" s="312">
        <v>2019</v>
      </c>
      <c r="J2330" s="122" t="s">
        <v>710</v>
      </c>
      <c r="K2330" s="283">
        <v>13776</v>
      </c>
      <c r="L2330" s="318">
        <v>-33.817272000000003</v>
      </c>
      <c r="M2330" s="318">
        <v>150.962784</v>
      </c>
      <c r="O2330">
        <f>INDEX('MEC - traffic congestion'!$M$145:$M$249,MATCH($D2330,'MEC - traffic congestion'!$C$145:$C$249,0))</f>
        <v>1</v>
      </c>
      <c r="P2330" t="str">
        <f t="shared" si="104"/>
        <v>2019OFF PEAK</v>
      </c>
      <c r="Q2330">
        <f t="shared" si="105"/>
        <v>1</v>
      </c>
      <c r="R2330" s="195" t="str">
        <f t="shared" si="106"/>
        <v>2019LIGHT VEHICLES</v>
      </c>
    </row>
    <row r="2331" spans="3:18" x14ac:dyDescent="0.25">
      <c r="C2331" s="294" t="s">
        <v>920</v>
      </c>
      <c r="D2331" s="317">
        <v>7179</v>
      </c>
      <c r="E2331" s="122" t="s">
        <v>921</v>
      </c>
      <c r="F2331" s="122" t="s">
        <v>871</v>
      </c>
      <c r="G2331" s="122" t="s">
        <v>778</v>
      </c>
      <c r="H2331" s="122" t="s">
        <v>777</v>
      </c>
      <c r="I2331" s="312">
        <v>2019</v>
      </c>
      <c r="J2331" s="122" t="s">
        <v>711</v>
      </c>
      <c r="K2331" s="283">
        <v>7120</v>
      </c>
      <c r="L2331" s="318">
        <v>-33.817272000000003</v>
      </c>
      <c r="M2331" s="318">
        <v>150.962784</v>
      </c>
      <c r="O2331">
        <f>INDEX('MEC - traffic congestion'!$M$145:$M$249,MATCH($D2331,'MEC - traffic congestion'!$C$145:$C$249,0))</f>
        <v>1</v>
      </c>
      <c r="P2331" t="str">
        <f t="shared" si="104"/>
        <v>2019PM PEAK</v>
      </c>
      <c r="Q2331">
        <f t="shared" si="105"/>
        <v>1</v>
      </c>
      <c r="R2331" s="195" t="str">
        <f t="shared" si="106"/>
        <v>2019LIGHT VEHICLES</v>
      </c>
    </row>
    <row r="2332" spans="3:18" x14ac:dyDescent="0.25">
      <c r="C2332" s="294" t="s">
        <v>920</v>
      </c>
      <c r="D2332" s="317">
        <v>7179</v>
      </c>
      <c r="E2332" s="122" t="s">
        <v>921</v>
      </c>
      <c r="F2332" s="122" t="s">
        <v>871</v>
      </c>
      <c r="G2332" s="122" t="s">
        <v>778</v>
      </c>
      <c r="H2332" s="122" t="s">
        <v>777</v>
      </c>
      <c r="I2332" s="312">
        <v>2019</v>
      </c>
      <c r="J2332" s="122" t="s">
        <v>712</v>
      </c>
      <c r="K2332" s="283">
        <v>20434</v>
      </c>
      <c r="L2332" s="318">
        <v>-33.817272000000003</v>
      </c>
      <c r="M2332" s="318">
        <v>150.962784</v>
      </c>
      <c r="O2332">
        <f>INDEX('MEC - traffic congestion'!$M$145:$M$249,MATCH($D2332,'MEC - traffic congestion'!$C$145:$C$249,0))</f>
        <v>1</v>
      </c>
      <c r="P2332" t="str">
        <f t="shared" si="104"/>
        <v>2019PUBLIC HOLIDAYS</v>
      </c>
      <c r="Q2332">
        <f t="shared" si="105"/>
        <v>1</v>
      </c>
      <c r="R2332" s="195" t="str">
        <f t="shared" si="106"/>
        <v>2019LIGHT VEHICLES</v>
      </c>
    </row>
    <row r="2333" spans="3:18" x14ac:dyDescent="0.25">
      <c r="C2333" s="294" t="s">
        <v>920</v>
      </c>
      <c r="D2333" s="317">
        <v>7179</v>
      </c>
      <c r="E2333" s="122" t="s">
        <v>921</v>
      </c>
      <c r="F2333" s="122" t="s">
        <v>871</v>
      </c>
      <c r="G2333" s="122" t="s">
        <v>778</v>
      </c>
      <c r="H2333" s="122" t="s">
        <v>777</v>
      </c>
      <c r="I2333" s="312">
        <v>2019</v>
      </c>
      <c r="J2333" s="122" t="s">
        <v>713</v>
      </c>
      <c r="K2333" s="283">
        <v>24382</v>
      </c>
      <c r="L2333" s="318">
        <v>-33.817272000000003</v>
      </c>
      <c r="M2333" s="318">
        <v>150.962784</v>
      </c>
      <c r="O2333">
        <f>INDEX('MEC - traffic congestion'!$M$145:$M$249,MATCH($D2333,'MEC - traffic congestion'!$C$145:$C$249,0))</f>
        <v>1</v>
      </c>
      <c r="P2333" t="str">
        <f t="shared" si="104"/>
        <v>2019WEEKENDS</v>
      </c>
      <c r="Q2333">
        <f t="shared" si="105"/>
        <v>1</v>
      </c>
      <c r="R2333" s="195" t="str">
        <f t="shared" si="106"/>
        <v>2019LIGHT VEHICLES</v>
      </c>
    </row>
    <row r="2334" spans="3:18" x14ac:dyDescent="0.25">
      <c r="C2334" s="294" t="s">
        <v>920</v>
      </c>
      <c r="D2334" s="317">
        <v>7179</v>
      </c>
      <c r="E2334" s="122" t="s">
        <v>921</v>
      </c>
      <c r="F2334" s="122" t="s">
        <v>871</v>
      </c>
      <c r="G2334" s="122" t="s">
        <v>778</v>
      </c>
      <c r="H2334" s="122" t="s">
        <v>777</v>
      </c>
      <c r="I2334" s="312">
        <v>2020</v>
      </c>
      <c r="J2334" s="122" t="s">
        <v>709</v>
      </c>
      <c r="K2334" s="283">
        <v>5885</v>
      </c>
      <c r="L2334" s="318">
        <v>-33.817272000000003</v>
      </c>
      <c r="M2334" s="318">
        <v>150.962784</v>
      </c>
      <c r="O2334">
        <f>INDEX('MEC - traffic congestion'!$M$145:$M$249,MATCH($D2334,'MEC - traffic congestion'!$C$145:$C$249,0))</f>
        <v>1</v>
      </c>
      <c r="P2334" t="str">
        <f t="shared" si="104"/>
        <v>2020AM PEAK</v>
      </c>
      <c r="Q2334">
        <f t="shared" si="105"/>
        <v>1</v>
      </c>
      <c r="R2334" s="195" t="str">
        <f t="shared" si="106"/>
        <v>2020LIGHT VEHICLES</v>
      </c>
    </row>
    <row r="2335" spans="3:18" x14ac:dyDescent="0.25">
      <c r="C2335" s="294" t="s">
        <v>920</v>
      </c>
      <c r="D2335" s="317">
        <v>7179</v>
      </c>
      <c r="E2335" s="122" t="s">
        <v>921</v>
      </c>
      <c r="F2335" s="122" t="s">
        <v>871</v>
      </c>
      <c r="G2335" s="122" t="s">
        <v>778</v>
      </c>
      <c r="H2335" s="122" t="s">
        <v>777</v>
      </c>
      <c r="I2335" s="312">
        <v>2020</v>
      </c>
      <c r="J2335" s="122" t="s">
        <v>710</v>
      </c>
      <c r="K2335" s="283">
        <v>13457</v>
      </c>
      <c r="L2335" s="318">
        <v>-33.817272000000003</v>
      </c>
      <c r="M2335" s="318">
        <v>150.962784</v>
      </c>
      <c r="O2335">
        <f>INDEX('MEC - traffic congestion'!$M$145:$M$249,MATCH($D2335,'MEC - traffic congestion'!$C$145:$C$249,0))</f>
        <v>1</v>
      </c>
      <c r="P2335" t="str">
        <f t="shared" si="104"/>
        <v>2020OFF PEAK</v>
      </c>
      <c r="Q2335">
        <f t="shared" si="105"/>
        <v>1</v>
      </c>
      <c r="R2335" s="195" t="str">
        <f t="shared" si="106"/>
        <v>2020LIGHT VEHICLES</v>
      </c>
    </row>
    <row r="2336" spans="3:18" x14ac:dyDescent="0.25">
      <c r="C2336" s="294" t="s">
        <v>920</v>
      </c>
      <c r="D2336" s="317">
        <v>7179</v>
      </c>
      <c r="E2336" s="122" t="s">
        <v>921</v>
      </c>
      <c r="F2336" s="122" t="s">
        <v>871</v>
      </c>
      <c r="G2336" s="122" t="s">
        <v>778</v>
      </c>
      <c r="H2336" s="122" t="s">
        <v>777</v>
      </c>
      <c r="I2336" s="312">
        <v>2020</v>
      </c>
      <c r="J2336" s="122" t="s">
        <v>711</v>
      </c>
      <c r="K2336" s="283">
        <v>7451</v>
      </c>
      <c r="L2336" s="318">
        <v>-33.817272000000003</v>
      </c>
      <c r="M2336" s="318">
        <v>150.962784</v>
      </c>
      <c r="O2336">
        <f>INDEX('MEC - traffic congestion'!$M$145:$M$249,MATCH($D2336,'MEC - traffic congestion'!$C$145:$C$249,0))</f>
        <v>1</v>
      </c>
      <c r="P2336" t="str">
        <f t="shared" si="104"/>
        <v>2020PM PEAK</v>
      </c>
      <c r="Q2336">
        <f t="shared" si="105"/>
        <v>1</v>
      </c>
      <c r="R2336" s="195" t="str">
        <f t="shared" si="106"/>
        <v>2020LIGHT VEHICLES</v>
      </c>
    </row>
    <row r="2337" spans="3:18" x14ac:dyDescent="0.25">
      <c r="C2337" s="294" t="s">
        <v>920</v>
      </c>
      <c r="D2337" s="317">
        <v>7179</v>
      </c>
      <c r="E2337" s="122" t="s">
        <v>921</v>
      </c>
      <c r="F2337" s="122" t="s">
        <v>871</v>
      </c>
      <c r="G2337" s="122" t="s">
        <v>778</v>
      </c>
      <c r="H2337" s="122" t="s">
        <v>777</v>
      </c>
      <c r="I2337" s="312">
        <v>2020</v>
      </c>
      <c r="J2337" s="122" t="s">
        <v>712</v>
      </c>
      <c r="K2337" s="283">
        <v>16800</v>
      </c>
      <c r="L2337" s="318">
        <v>-33.817272000000003</v>
      </c>
      <c r="M2337" s="318">
        <v>150.962784</v>
      </c>
      <c r="O2337">
        <f>INDEX('MEC - traffic congestion'!$M$145:$M$249,MATCH($D2337,'MEC - traffic congestion'!$C$145:$C$249,0))</f>
        <v>1</v>
      </c>
      <c r="P2337" t="str">
        <f t="shared" si="104"/>
        <v>2020PUBLIC HOLIDAYS</v>
      </c>
      <c r="Q2337">
        <f t="shared" si="105"/>
        <v>1</v>
      </c>
      <c r="R2337" s="195" t="str">
        <f t="shared" si="106"/>
        <v>2020LIGHT VEHICLES</v>
      </c>
    </row>
    <row r="2338" spans="3:18" x14ac:dyDescent="0.25">
      <c r="C2338" s="294" t="s">
        <v>920</v>
      </c>
      <c r="D2338" s="317">
        <v>7179</v>
      </c>
      <c r="E2338" s="122" t="s">
        <v>921</v>
      </c>
      <c r="F2338" s="122" t="s">
        <v>871</v>
      </c>
      <c r="G2338" s="122" t="s">
        <v>778</v>
      </c>
      <c r="H2338" s="122" t="s">
        <v>777</v>
      </c>
      <c r="I2338" s="312">
        <v>2020</v>
      </c>
      <c r="J2338" s="122" t="s">
        <v>713</v>
      </c>
      <c r="K2338" s="283">
        <v>22856</v>
      </c>
      <c r="L2338" s="318">
        <v>-33.817272000000003</v>
      </c>
      <c r="M2338" s="318">
        <v>150.962784</v>
      </c>
      <c r="O2338">
        <f>INDEX('MEC - traffic congestion'!$M$145:$M$249,MATCH($D2338,'MEC - traffic congestion'!$C$145:$C$249,0))</f>
        <v>1</v>
      </c>
      <c r="P2338" t="str">
        <f t="shared" si="104"/>
        <v>2020WEEKENDS</v>
      </c>
      <c r="Q2338">
        <f t="shared" si="105"/>
        <v>1</v>
      </c>
      <c r="R2338" s="195" t="str">
        <f t="shared" si="106"/>
        <v>2020LIGHT VEHICLES</v>
      </c>
    </row>
    <row r="2339" spans="3:18" x14ac:dyDescent="0.25">
      <c r="C2339" s="294" t="s">
        <v>920</v>
      </c>
      <c r="D2339" s="317">
        <v>7179</v>
      </c>
      <c r="E2339" s="122" t="s">
        <v>921</v>
      </c>
      <c r="F2339" s="122" t="s">
        <v>871</v>
      </c>
      <c r="G2339" s="122" t="s">
        <v>778</v>
      </c>
      <c r="H2339" s="122" t="s">
        <v>777</v>
      </c>
      <c r="I2339" s="312">
        <v>2021</v>
      </c>
      <c r="J2339" s="122" t="s">
        <v>709</v>
      </c>
      <c r="K2339" s="283">
        <v>5799</v>
      </c>
      <c r="L2339" s="318">
        <v>-33.817272000000003</v>
      </c>
      <c r="M2339" s="318">
        <v>150.962784</v>
      </c>
      <c r="O2339">
        <f>INDEX('MEC - traffic congestion'!$M$145:$M$249,MATCH($D2339,'MEC - traffic congestion'!$C$145:$C$249,0))</f>
        <v>1</v>
      </c>
      <c r="P2339" t="str">
        <f t="shared" si="104"/>
        <v>2021AM PEAK</v>
      </c>
      <c r="Q2339">
        <f t="shared" si="105"/>
        <v>1</v>
      </c>
      <c r="R2339" s="195" t="str">
        <f t="shared" si="106"/>
        <v>2021LIGHT VEHICLES</v>
      </c>
    </row>
    <row r="2340" spans="3:18" x14ac:dyDescent="0.25">
      <c r="C2340" s="294" t="s">
        <v>920</v>
      </c>
      <c r="D2340" s="317">
        <v>7179</v>
      </c>
      <c r="E2340" s="122" t="s">
        <v>921</v>
      </c>
      <c r="F2340" s="122" t="s">
        <v>871</v>
      </c>
      <c r="G2340" s="122" t="s">
        <v>778</v>
      </c>
      <c r="H2340" s="122" t="s">
        <v>777</v>
      </c>
      <c r="I2340" s="312">
        <v>2021</v>
      </c>
      <c r="J2340" s="122" t="s">
        <v>710</v>
      </c>
      <c r="K2340" s="283">
        <v>12927</v>
      </c>
      <c r="L2340" s="318">
        <v>-33.817272000000003</v>
      </c>
      <c r="M2340" s="318">
        <v>150.962784</v>
      </c>
      <c r="O2340">
        <f>INDEX('MEC - traffic congestion'!$M$145:$M$249,MATCH($D2340,'MEC - traffic congestion'!$C$145:$C$249,0))</f>
        <v>1</v>
      </c>
      <c r="P2340" t="str">
        <f t="shared" si="104"/>
        <v>2021OFF PEAK</v>
      </c>
      <c r="Q2340">
        <f t="shared" si="105"/>
        <v>1</v>
      </c>
      <c r="R2340" s="195" t="str">
        <f t="shared" si="106"/>
        <v>2021LIGHT VEHICLES</v>
      </c>
    </row>
    <row r="2341" spans="3:18" x14ac:dyDescent="0.25">
      <c r="C2341" s="294" t="s">
        <v>920</v>
      </c>
      <c r="D2341" s="317">
        <v>7179</v>
      </c>
      <c r="E2341" s="122" t="s">
        <v>921</v>
      </c>
      <c r="F2341" s="122" t="s">
        <v>871</v>
      </c>
      <c r="G2341" s="122" t="s">
        <v>778</v>
      </c>
      <c r="H2341" s="122" t="s">
        <v>777</v>
      </c>
      <c r="I2341" s="312">
        <v>2021</v>
      </c>
      <c r="J2341" s="122" t="s">
        <v>711</v>
      </c>
      <c r="K2341" s="283">
        <v>6928</v>
      </c>
      <c r="L2341" s="318">
        <v>-33.817272000000003</v>
      </c>
      <c r="M2341" s="318">
        <v>150.962784</v>
      </c>
      <c r="O2341">
        <f>INDEX('MEC - traffic congestion'!$M$145:$M$249,MATCH($D2341,'MEC - traffic congestion'!$C$145:$C$249,0))</f>
        <v>1</v>
      </c>
      <c r="P2341" t="str">
        <f t="shared" si="104"/>
        <v>2021PM PEAK</v>
      </c>
      <c r="Q2341">
        <f t="shared" si="105"/>
        <v>1</v>
      </c>
      <c r="R2341" s="195" t="str">
        <f t="shared" si="106"/>
        <v>2021LIGHT VEHICLES</v>
      </c>
    </row>
    <row r="2342" spans="3:18" x14ac:dyDescent="0.25">
      <c r="C2342" s="294" t="s">
        <v>920</v>
      </c>
      <c r="D2342" s="317">
        <v>7179</v>
      </c>
      <c r="E2342" s="122" t="s">
        <v>921</v>
      </c>
      <c r="F2342" s="122" t="s">
        <v>871</v>
      </c>
      <c r="G2342" s="122" t="s">
        <v>778</v>
      </c>
      <c r="H2342" s="122" t="s">
        <v>777</v>
      </c>
      <c r="I2342" s="312">
        <v>2021</v>
      </c>
      <c r="J2342" s="122" t="s">
        <v>713</v>
      </c>
      <c r="K2342" s="283">
        <v>21034</v>
      </c>
      <c r="L2342" s="318">
        <v>-33.817272000000003</v>
      </c>
      <c r="M2342" s="318">
        <v>150.962784</v>
      </c>
      <c r="O2342">
        <f>INDEX('MEC - traffic congestion'!$M$145:$M$249,MATCH($D2342,'MEC - traffic congestion'!$C$145:$C$249,0))</f>
        <v>1</v>
      </c>
      <c r="P2342" t="str">
        <f t="shared" si="104"/>
        <v>2021WEEKENDS</v>
      </c>
      <c r="Q2342">
        <f t="shared" si="105"/>
        <v>1</v>
      </c>
      <c r="R2342" s="195" t="str">
        <f t="shared" si="106"/>
        <v>2021LIGHT VEHICLES</v>
      </c>
    </row>
    <row r="2343" spans="3:18" x14ac:dyDescent="0.25">
      <c r="C2343" s="294" t="s">
        <v>920</v>
      </c>
      <c r="D2343" s="317">
        <v>7179</v>
      </c>
      <c r="E2343" s="122" t="s">
        <v>921</v>
      </c>
      <c r="F2343" s="122" t="s">
        <v>871</v>
      </c>
      <c r="G2343" s="122" t="s">
        <v>778</v>
      </c>
      <c r="H2343" s="122" t="s">
        <v>777</v>
      </c>
      <c r="I2343" s="312">
        <v>2022</v>
      </c>
      <c r="J2343" s="122" t="s">
        <v>709</v>
      </c>
      <c r="K2343" s="283">
        <v>5752</v>
      </c>
      <c r="L2343" s="318">
        <v>-33.817272000000003</v>
      </c>
      <c r="M2343" s="318">
        <v>150.962784</v>
      </c>
      <c r="O2343">
        <f>INDEX('MEC - traffic congestion'!$M$145:$M$249,MATCH($D2343,'MEC - traffic congestion'!$C$145:$C$249,0))</f>
        <v>1</v>
      </c>
      <c r="P2343" t="str">
        <f t="shared" si="104"/>
        <v>2022AM PEAK</v>
      </c>
      <c r="Q2343">
        <f t="shared" si="105"/>
        <v>1</v>
      </c>
      <c r="R2343" s="195" t="str">
        <f t="shared" si="106"/>
        <v>2022LIGHT VEHICLES</v>
      </c>
    </row>
    <row r="2344" spans="3:18" x14ac:dyDescent="0.25">
      <c r="C2344" s="294" t="s">
        <v>920</v>
      </c>
      <c r="D2344" s="317">
        <v>7179</v>
      </c>
      <c r="E2344" s="122" t="s">
        <v>921</v>
      </c>
      <c r="F2344" s="122" t="s">
        <v>871</v>
      </c>
      <c r="G2344" s="122" t="s">
        <v>778</v>
      </c>
      <c r="H2344" s="122" t="s">
        <v>777</v>
      </c>
      <c r="I2344" s="312">
        <v>2022</v>
      </c>
      <c r="J2344" s="122" t="s">
        <v>710</v>
      </c>
      <c r="K2344" s="283">
        <v>13492</v>
      </c>
      <c r="L2344" s="318">
        <v>-33.817272000000003</v>
      </c>
      <c r="M2344" s="318">
        <v>150.962784</v>
      </c>
      <c r="O2344">
        <f>INDEX('MEC - traffic congestion'!$M$145:$M$249,MATCH($D2344,'MEC - traffic congestion'!$C$145:$C$249,0))</f>
        <v>1</v>
      </c>
      <c r="P2344" t="str">
        <f t="shared" si="104"/>
        <v>2022OFF PEAK</v>
      </c>
      <c r="Q2344">
        <f t="shared" si="105"/>
        <v>1</v>
      </c>
      <c r="R2344" s="195" t="str">
        <f t="shared" si="106"/>
        <v>2022LIGHT VEHICLES</v>
      </c>
    </row>
    <row r="2345" spans="3:18" x14ac:dyDescent="0.25">
      <c r="C2345" s="294" t="s">
        <v>920</v>
      </c>
      <c r="D2345" s="317">
        <v>7179</v>
      </c>
      <c r="E2345" s="122" t="s">
        <v>921</v>
      </c>
      <c r="F2345" s="122" t="s">
        <v>871</v>
      </c>
      <c r="G2345" s="122" t="s">
        <v>778</v>
      </c>
      <c r="H2345" s="122" t="s">
        <v>777</v>
      </c>
      <c r="I2345" s="312">
        <v>2022</v>
      </c>
      <c r="J2345" s="122" t="s">
        <v>711</v>
      </c>
      <c r="K2345" s="283">
        <v>7156</v>
      </c>
      <c r="L2345" s="318">
        <v>-33.817272000000003</v>
      </c>
      <c r="M2345" s="318">
        <v>150.962784</v>
      </c>
      <c r="O2345">
        <f>INDEX('MEC - traffic congestion'!$M$145:$M$249,MATCH($D2345,'MEC - traffic congestion'!$C$145:$C$249,0))</f>
        <v>1</v>
      </c>
      <c r="P2345" t="str">
        <f t="shared" si="104"/>
        <v>2022PM PEAK</v>
      </c>
      <c r="Q2345">
        <f t="shared" si="105"/>
        <v>1</v>
      </c>
      <c r="R2345" s="195" t="str">
        <f t="shared" si="106"/>
        <v>2022LIGHT VEHICLES</v>
      </c>
    </row>
    <row r="2346" spans="3:18" x14ac:dyDescent="0.25">
      <c r="C2346" s="294" t="s">
        <v>920</v>
      </c>
      <c r="D2346" s="317">
        <v>7179</v>
      </c>
      <c r="E2346" s="122" t="s">
        <v>921</v>
      </c>
      <c r="F2346" s="122" t="s">
        <v>871</v>
      </c>
      <c r="G2346" s="122" t="s">
        <v>778</v>
      </c>
      <c r="H2346" s="122" t="s">
        <v>777</v>
      </c>
      <c r="I2346" s="312">
        <v>2022</v>
      </c>
      <c r="J2346" s="122" t="s">
        <v>713</v>
      </c>
      <c r="K2346" s="283">
        <v>24166</v>
      </c>
      <c r="L2346" s="318">
        <v>-33.817272000000003</v>
      </c>
      <c r="M2346" s="318">
        <v>150.962784</v>
      </c>
      <c r="O2346">
        <f>INDEX('MEC - traffic congestion'!$M$145:$M$249,MATCH($D2346,'MEC - traffic congestion'!$C$145:$C$249,0))</f>
        <v>1</v>
      </c>
      <c r="P2346" t="str">
        <f t="shared" si="104"/>
        <v>2022WEEKENDS</v>
      </c>
      <c r="Q2346">
        <f t="shared" si="105"/>
        <v>1</v>
      </c>
      <c r="R2346" s="195" t="str">
        <f t="shared" si="106"/>
        <v>2022LIGHT VEHICLES</v>
      </c>
    </row>
    <row r="2347" spans="3:18" x14ac:dyDescent="0.25">
      <c r="C2347" s="294" t="s">
        <v>920</v>
      </c>
      <c r="D2347" s="317">
        <v>7179</v>
      </c>
      <c r="E2347" s="122" t="s">
        <v>921</v>
      </c>
      <c r="F2347" s="122" t="s">
        <v>871</v>
      </c>
      <c r="G2347" s="122" t="s">
        <v>778</v>
      </c>
      <c r="H2347" s="122" t="s">
        <v>777</v>
      </c>
      <c r="I2347" s="312">
        <v>2023</v>
      </c>
      <c r="J2347" s="122" t="s">
        <v>709</v>
      </c>
      <c r="K2347" s="283">
        <v>6004</v>
      </c>
      <c r="L2347" s="318">
        <v>-33.817272000000003</v>
      </c>
      <c r="M2347" s="318">
        <v>150.962784</v>
      </c>
      <c r="O2347">
        <f>INDEX('MEC - traffic congestion'!$M$145:$M$249,MATCH($D2347,'MEC - traffic congestion'!$C$145:$C$249,0))</f>
        <v>1</v>
      </c>
      <c r="P2347" t="str">
        <f t="shared" si="104"/>
        <v>2023AM PEAK</v>
      </c>
      <c r="Q2347">
        <f t="shared" si="105"/>
        <v>1</v>
      </c>
      <c r="R2347" s="195" t="str">
        <f t="shared" si="106"/>
        <v>2023LIGHT VEHICLES</v>
      </c>
    </row>
    <row r="2348" spans="3:18" x14ac:dyDescent="0.25">
      <c r="C2348" s="294" t="s">
        <v>920</v>
      </c>
      <c r="D2348" s="317">
        <v>7179</v>
      </c>
      <c r="E2348" s="122" t="s">
        <v>921</v>
      </c>
      <c r="F2348" s="122" t="s">
        <v>871</v>
      </c>
      <c r="G2348" s="122" t="s">
        <v>778</v>
      </c>
      <c r="H2348" s="122" t="s">
        <v>777</v>
      </c>
      <c r="I2348" s="312">
        <v>2023</v>
      </c>
      <c r="J2348" s="122" t="s">
        <v>710</v>
      </c>
      <c r="K2348" s="283">
        <v>14410</v>
      </c>
      <c r="L2348" s="318">
        <v>-33.817272000000003</v>
      </c>
      <c r="M2348" s="318">
        <v>150.962784</v>
      </c>
      <c r="O2348">
        <f>INDEX('MEC - traffic congestion'!$M$145:$M$249,MATCH($D2348,'MEC - traffic congestion'!$C$145:$C$249,0))</f>
        <v>1</v>
      </c>
      <c r="P2348" t="str">
        <f t="shared" si="104"/>
        <v>2023OFF PEAK</v>
      </c>
      <c r="Q2348">
        <f t="shared" si="105"/>
        <v>1</v>
      </c>
      <c r="R2348" s="195" t="str">
        <f t="shared" si="106"/>
        <v>2023LIGHT VEHICLES</v>
      </c>
    </row>
    <row r="2349" spans="3:18" x14ac:dyDescent="0.25">
      <c r="C2349" s="294" t="s">
        <v>920</v>
      </c>
      <c r="D2349" s="317">
        <v>7179</v>
      </c>
      <c r="E2349" s="122" t="s">
        <v>921</v>
      </c>
      <c r="F2349" s="122" t="s">
        <v>871</v>
      </c>
      <c r="G2349" s="122" t="s">
        <v>778</v>
      </c>
      <c r="H2349" s="122" t="s">
        <v>777</v>
      </c>
      <c r="I2349" s="312">
        <v>2023</v>
      </c>
      <c r="J2349" s="122" t="s">
        <v>711</v>
      </c>
      <c r="K2349" s="283">
        <v>7615</v>
      </c>
      <c r="L2349" s="318">
        <v>-33.817272000000003</v>
      </c>
      <c r="M2349" s="318">
        <v>150.962784</v>
      </c>
      <c r="O2349">
        <f>INDEX('MEC - traffic congestion'!$M$145:$M$249,MATCH($D2349,'MEC - traffic congestion'!$C$145:$C$249,0))</f>
        <v>1</v>
      </c>
      <c r="P2349" t="str">
        <f t="shared" si="104"/>
        <v>2023PM PEAK</v>
      </c>
      <c r="Q2349">
        <f t="shared" si="105"/>
        <v>1</v>
      </c>
      <c r="R2349" s="195" t="str">
        <f t="shared" si="106"/>
        <v>2023LIGHT VEHICLES</v>
      </c>
    </row>
    <row r="2350" spans="3:18" x14ac:dyDescent="0.25">
      <c r="C2350" s="294" t="s">
        <v>920</v>
      </c>
      <c r="D2350" s="317">
        <v>7179</v>
      </c>
      <c r="E2350" s="122" t="s">
        <v>921</v>
      </c>
      <c r="F2350" s="122" t="s">
        <v>871</v>
      </c>
      <c r="G2350" s="122" t="s">
        <v>778</v>
      </c>
      <c r="H2350" s="122" t="s">
        <v>777</v>
      </c>
      <c r="I2350" s="312">
        <v>2023</v>
      </c>
      <c r="J2350" s="122" t="s">
        <v>713</v>
      </c>
      <c r="K2350" s="283">
        <v>25827</v>
      </c>
      <c r="L2350" s="318">
        <v>-33.817272000000003</v>
      </c>
      <c r="M2350" s="318">
        <v>150.962784</v>
      </c>
      <c r="O2350">
        <f>INDEX('MEC - traffic congestion'!$M$145:$M$249,MATCH($D2350,'MEC - traffic congestion'!$C$145:$C$249,0))</f>
        <v>1</v>
      </c>
      <c r="P2350" t="str">
        <f t="shared" si="104"/>
        <v>2023WEEKENDS</v>
      </c>
      <c r="Q2350">
        <f t="shared" si="105"/>
        <v>1</v>
      </c>
      <c r="R2350" s="195" t="str">
        <f t="shared" si="106"/>
        <v>2023LIGHT VEHICLES</v>
      </c>
    </row>
    <row r="2351" spans="3:18" x14ac:dyDescent="0.25">
      <c r="C2351" s="294" t="s">
        <v>920</v>
      </c>
      <c r="D2351" s="317">
        <v>7179</v>
      </c>
      <c r="E2351" s="122" t="s">
        <v>921</v>
      </c>
      <c r="F2351" s="122" t="s">
        <v>871</v>
      </c>
      <c r="G2351" s="122" t="s">
        <v>778</v>
      </c>
      <c r="H2351" s="122" t="s">
        <v>777</v>
      </c>
      <c r="I2351" s="312">
        <v>2024</v>
      </c>
      <c r="J2351" s="122" t="s">
        <v>709</v>
      </c>
      <c r="K2351" s="283">
        <v>5726</v>
      </c>
      <c r="L2351" s="318">
        <v>-33.817272000000003</v>
      </c>
      <c r="M2351" s="318">
        <v>150.962784</v>
      </c>
      <c r="O2351">
        <f>INDEX('MEC - traffic congestion'!$M$145:$M$249,MATCH($D2351,'MEC - traffic congestion'!$C$145:$C$249,0))</f>
        <v>1</v>
      </c>
      <c r="P2351" t="str">
        <f t="shared" si="104"/>
        <v>2024AM PEAK</v>
      </c>
      <c r="Q2351">
        <f t="shared" si="105"/>
        <v>1</v>
      </c>
      <c r="R2351" s="195" t="str">
        <f t="shared" si="106"/>
        <v>2024LIGHT VEHICLES</v>
      </c>
    </row>
    <row r="2352" spans="3:18" x14ac:dyDescent="0.25">
      <c r="C2352" s="294" t="s">
        <v>920</v>
      </c>
      <c r="D2352" s="317">
        <v>7179</v>
      </c>
      <c r="E2352" s="122" t="s">
        <v>921</v>
      </c>
      <c r="F2352" s="122" t="s">
        <v>871</v>
      </c>
      <c r="G2352" s="122" t="s">
        <v>778</v>
      </c>
      <c r="H2352" s="122" t="s">
        <v>777</v>
      </c>
      <c r="I2352" s="312">
        <v>2024</v>
      </c>
      <c r="J2352" s="122" t="s">
        <v>710</v>
      </c>
      <c r="K2352" s="283">
        <v>14499</v>
      </c>
      <c r="L2352" s="318">
        <v>-33.817272000000003</v>
      </c>
      <c r="M2352" s="318">
        <v>150.962784</v>
      </c>
      <c r="O2352">
        <f>INDEX('MEC - traffic congestion'!$M$145:$M$249,MATCH($D2352,'MEC - traffic congestion'!$C$145:$C$249,0))</f>
        <v>1</v>
      </c>
      <c r="P2352" t="str">
        <f t="shared" si="104"/>
        <v>2024OFF PEAK</v>
      </c>
      <c r="Q2352">
        <f t="shared" si="105"/>
        <v>1</v>
      </c>
      <c r="R2352" s="195" t="str">
        <f t="shared" si="106"/>
        <v>2024LIGHT VEHICLES</v>
      </c>
    </row>
    <row r="2353" spans="3:18" x14ac:dyDescent="0.25">
      <c r="C2353" s="294" t="s">
        <v>920</v>
      </c>
      <c r="D2353" s="317">
        <v>7179</v>
      </c>
      <c r="E2353" s="122" t="s">
        <v>921</v>
      </c>
      <c r="F2353" s="122" t="s">
        <v>871</v>
      </c>
      <c r="G2353" s="122" t="s">
        <v>778</v>
      </c>
      <c r="H2353" s="122" t="s">
        <v>777</v>
      </c>
      <c r="I2353" s="312">
        <v>2024</v>
      </c>
      <c r="J2353" s="122" t="s">
        <v>711</v>
      </c>
      <c r="K2353" s="283">
        <v>7345</v>
      </c>
      <c r="L2353" s="318">
        <v>-33.817272000000003</v>
      </c>
      <c r="M2353" s="318">
        <v>150.962784</v>
      </c>
      <c r="O2353">
        <f>INDEX('MEC - traffic congestion'!$M$145:$M$249,MATCH($D2353,'MEC - traffic congestion'!$C$145:$C$249,0))</f>
        <v>1</v>
      </c>
      <c r="P2353" t="str">
        <f t="shared" si="104"/>
        <v>2024PM PEAK</v>
      </c>
      <c r="Q2353">
        <f t="shared" si="105"/>
        <v>1</v>
      </c>
      <c r="R2353" s="195" t="str">
        <f t="shared" si="106"/>
        <v>2024LIGHT VEHICLES</v>
      </c>
    </row>
    <row r="2354" spans="3:18" x14ac:dyDescent="0.25">
      <c r="C2354" s="294" t="s">
        <v>920</v>
      </c>
      <c r="D2354" s="317">
        <v>7179</v>
      </c>
      <c r="E2354" s="122" t="s">
        <v>921</v>
      </c>
      <c r="F2354" s="122" t="s">
        <v>871</v>
      </c>
      <c r="G2354" s="122" t="s">
        <v>778</v>
      </c>
      <c r="H2354" s="122" t="s">
        <v>777</v>
      </c>
      <c r="I2354" s="312">
        <v>2024</v>
      </c>
      <c r="J2354" s="122" t="s">
        <v>713</v>
      </c>
      <c r="K2354" s="283">
        <v>26613</v>
      </c>
      <c r="L2354" s="318">
        <v>-33.817272000000003</v>
      </c>
      <c r="M2354" s="318">
        <v>150.962784</v>
      </c>
      <c r="O2354">
        <f>INDEX('MEC - traffic congestion'!$M$145:$M$249,MATCH($D2354,'MEC - traffic congestion'!$C$145:$C$249,0))</f>
        <v>1</v>
      </c>
      <c r="P2354" t="str">
        <f t="shared" si="104"/>
        <v>2024WEEKENDS</v>
      </c>
      <c r="Q2354">
        <f t="shared" si="105"/>
        <v>1</v>
      </c>
      <c r="R2354" s="195" t="str">
        <f t="shared" si="106"/>
        <v>2024LIGHT VEHICLES</v>
      </c>
    </row>
    <row r="2355" spans="3:18" x14ac:dyDescent="0.25">
      <c r="C2355" s="294" t="s">
        <v>922</v>
      </c>
      <c r="D2355" s="317">
        <v>7184</v>
      </c>
      <c r="E2355" s="122" t="s">
        <v>844</v>
      </c>
      <c r="F2355" s="122" t="s">
        <v>845</v>
      </c>
      <c r="G2355" s="122" t="s">
        <v>778</v>
      </c>
      <c r="H2355" s="122" t="s">
        <v>777</v>
      </c>
      <c r="I2355" s="312">
        <v>2018</v>
      </c>
      <c r="J2355" s="122" t="s">
        <v>709</v>
      </c>
      <c r="K2355" s="283">
        <v>10455</v>
      </c>
      <c r="L2355" s="318">
        <v>-33.772956999999998</v>
      </c>
      <c r="M2355" s="318">
        <v>151.135391</v>
      </c>
      <c r="O2355">
        <f>INDEX('MEC - traffic congestion'!$M$145:$M$249,MATCH($D2355,'MEC - traffic congestion'!$C$145:$C$249,0))</f>
        <v>1</v>
      </c>
      <c r="P2355" t="str">
        <f t="shared" si="104"/>
        <v>2018AM PEAK</v>
      </c>
      <c r="Q2355">
        <f t="shared" si="105"/>
        <v>1</v>
      </c>
      <c r="R2355" s="195" t="str">
        <f t="shared" si="106"/>
        <v>2018LIGHT VEHICLES</v>
      </c>
    </row>
    <row r="2356" spans="3:18" x14ac:dyDescent="0.25">
      <c r="C2356" s="294" t="s">
        <v>922</v>
      </c>
      <c r="D2356" s="317">
        <v>7184</v>
      </c>
      <c r="E2356" s="122" t="s">
        <v>844</v>
      </c>
      <c r="F2356" s="122" t="s">
        <v>845</v>
      </c>
      <c r="G2356" s="122" t="s">
        <v>778</v>
      </c>
      <c r="H2356" s="122" t="s">
        <v>777</v>
      </c>
      <c r="I2356" s="312">
        <v>2018</v>
      </c>
      <c r="J2356" s="122" t="s">
        <v>710</v>
      </c>
      <c r="K2356" s="283">
        <v>16492</v>
      </c>
      <c r="L2356" s="318">
        <v>-33.772956999999998</v>
      </c>
      <c r="M2356" s="318">
        <v>151.135391</v>
      </c>
      <c r="O2356">
        <f>INDEX('MEC - traffic congestion'!$M$145:$M$249,MATCH($D2356,'MEC - traffic congestion'!$C$145:$C$249,0))</f>
        <v>1</v>
      </c>
      <c r="P2356" t="str">
        <f t="shared" si="104"/>
        <v>2018OFF PEAK</v>
      </c>
      <c r="Q2356">
        <f t="shared" si="105"/>
        <v>1</v>
      </c>
      <c r="R2356" s="195" t="str">
        <f t="shared" si="106"/>
        <v>2018LIGHT VEHICLES</v>
      </c>
    </row>
    <row r="2357" spans="3:18" x14ac:dyDescent="0.25">
      <c r="C2357" s="294" t="s">
        <v>922</v>
      </c>
      <c r="D2357" s="317">
        <v>7184</v>
      </c>
      <c r="E2357" s="122" t="s">
        <v>844</v>
      </c>
      <c r="F2357" s="122" t="s">
        <v>845</v>
      </c>
      <c r="G2357" s="122" t="s">
        <v>778</v>
      </c>
      <c r="H2357" s="122" t="s">
        <v>777</v>
      </c>
      <c r="I2357" s="312">
        <v>2018</v>
      </c>
      <c r="J2357" s="122" t="s">
        <v>711</v>
      </c>
      <c r="K2357" s="283">
        <v>9234</v>
      </c>
      <c r="L2357" s="318">
        <v>-33.772956999999998</v>
      </c>
      <c r="M2357" s="318">
        <v>151.135391</v>
      </c>
      <c r="O2357">
        <f>INDEX('MEC - traffic congestion'!$M$145:$M$249,MATCH($D2357,'MEC - traffic congestion'!$C$145:$C$249,0))</f>
        <v>1</v>
      </c>
      <c r="P2357" t="str">
        <f t="shared" si="104"/>
        <v>2018PM PEAK</v>
      </c>
      <c r="Q2357">
        <f t="shared" si="105"/>
        <v>1</v>
      </c>
      <c r="R2357" s="195" t="str">
        <f t="shared" si="106"/>
        <v>2018LIGHT VEHICLES</v>
      </c>
    </row>
    <row r="2358" spans="3:18" x14ac:dyDescent="0.25">
      <c r="C2358" s="294" t="s">
        <v>922</v>
      </c>
      <c r="D2358" s="317">
        <v>7184</v>
      </c>
      <c r="E2358" s="122" t="s">
        <v>844</v>
      </c>
      <c r="F2358" s="122" t="s">
        <v>845</v>
      </c>
      <c r="G2358" s="122" t="s">
        <v>778</v>
      </c>
      <c r="H2358" s="122" t="s">
        <v>777</v>
      </c>
      <c r="I2358" s="312">
        <v>2018</v>
      </c>
      <c r="J2358" s="122" t="s">
        <v>712</v>
      </c>
      <c r="K2358" s="283">
        <v>31676</v>
      </c>
      <c r="L2358" s="318">
        <v>-33.772956999999998</v>
      </c>
      <c r="M2358" s="318">
        <v>151.135391</v>
      </c>
      <c r="O2358">
        <f>INDEX('MEC - traffic congestion'!$M$145:$M$249,MATCH($D2358,'MEC - traffic congestion'!$C$145:$C$249,0))</f>
        <v>1</v>
      </c>
      <c r="P2358" t="str">
        <f t="shared" si="104"/>
        <v>2018PUBLIC HOLIDAYS</v>
      </c>
      <c r="Q2358">
        <f t="shared" si="105"/>
        <v>1</v>
      </c>
      <c r="R2358" s="195" t="str">
        <f t="shared" si="106"/>
        <v>2018LIGHT VEHICLES</v>
      </c>
    </row>
    <row r="2359" spans="3:18" x14ac:dyDescent="0.25">
      <c r="C2359" s="294" t="s">
        <v>922</v>
      </c>
      <c r="D2359" s="317">
        <v>7184</v>
      </c>
      <c r="E2359" s="122" t="s">
        <v>844</v>
      </c>
      <c r="F2359" s="122" t="s">
        <v>845</v>
      </c>
      <c r="G2359" s="122" t="s">
        <v>778</v>
      </c>
      <c r="H2359" s="122" t="s">
        <v>777</v>
      </c>
      <c r="I2359" s="312">
        <v>2018</v>
      </c>
      <c r="J2359" s="122" t="s">
        <v>713</v>
      </c>
      <c r="K2359" s="283">
        <v>35811</v>
      </c>
      <c r="L2359" s="318">
        <v>-33.772956999999998</v>
      </c>
      <c r="M2359" s="318">
        <v>151.135391</v>
      </c>
      <c r="O2359">
        <f>INDEX('MEC - traffic congestion'!$M$145:$M$249,MATCH($D2359,'MEC - traffic congestion'!$C$145:$C$249,0))</f>
        <v>1</v>
      </c>
      <c r="P2359" t="str">
        <f t="shared" si="104"/>
        <v>2018WEEKENDS</v>
      </c>
      <c r="Q2359">
        <f t="shared" si="105"/>
        <v>1</v>
      </c>
      <c r="R2359" s="195" t="str">
        <f t="shared" si="106"/>
        <v>2018LIGHT VEHICLES</v>
      </c>
    </row>
    <row r="2360" spans="3:18" x14ac:dyDescent="0.25">
      <c r="C2360" s="294" t="s">
        <v>922</v>
      </c>
      <c r="D2360" s="317">
        <v>7184</v>
      </c>
      <c r="E2360" s="122" t="s">
        <v>844</v>
      </c>
      <c r="F2360" s="122" t="s">
        <v>845</v>
      </c>
      <c r="G2360" s="122" t="s">
        <v>778</v>
      </c>
      <c r="H2360" s="122" t="s">
        <v>777</v>
      </c>
      <c r="I2360" s="312">
        <v>2019</v>
      </c>
      <c r="J2360" s="122" t="s">
        <v>709</v>
      </c>
      <c r="K2360" s="283">
        <v>10400</v>
      </c>
      <c r="L2360" s="318">
        <v>-33.772956999999998</v>
      </c>
      <c r="M2360" s="318">
        <v>151.135391</v>
      </c>
      <c r="O2360">
        <f>INDEX('MEC - traffic congestion'!$M$145:$M$249,MATCH($D2360,'MEC - traffic congestion'!$C$145:$C$249,0))</f>
        <v>1</v>
      </c>
      <c r="P2360" t="str">
        <f t="shared" si="104"/>
        <v>2019AM PEAK</v>
      </c>
      <c r="Q2360">
        <f t="shared" si="105"/>
        <v>1</v>
      </c>
      <c r="R2360" s="195" t="str">
        <f t="shared" si="106"/>
        <v>2019LIGHT VEHICLES</v>
      </c>
    </row>
    <row r="2361" spans="3:18" x14ac:dyDescent="0.25">
      <c r="C2361" s="294" t="s">
        <v>922</v>
      </c>
      <c r="D2361" s="317">
        <v>7184</v>
      </c>
      <c r="E2361" s="122" t="s">
        <v>844</v>
      </c>
      <c r="F2361" s="122" t="s">
        <v>845</v>
      </c>
      <c r="G2361" s="122" t="s">
        <v>778</v>
      </c>
      <c r="H2361" s="122" t="s">
        <v>777</v>
      </c>
      <c r="I2361" s="312">
        <v>2019</v>
      </c>
      <c r="J2361" s="122" t="s">
        <v>710</v>
      </c>
      <c r="K2361" s="283">
        <v>16735</v>
      </c>
      <c r="L2361" s="318">
        <v>-33.772956999999998</v>
      </c>
      <c r="M2361" s="318">
        <v>151.135391</v>
      </c>
      <c r="O2361">
        <f>INDEX('MEC - traffic congestion'!$M$145:$M$249,MATCH($D2361,'MEC - traffic congestion'!$C$145:$C$249,0))</f>
        <v>1</v>
      </c>
      <c r="P2361" t="str">
        <f t="shared" si="104"/>
        <v>2019OFF PEAK</v>
      </c>
      <c r="Q2361">
        <f t="shared" si="105"/>
        <v>1</v>
      </c>
      <c r="R2361" s="195" t="str">
        <f t="shared" si="106"/>
        <v>2019LIGHT VEHICLES</v>
      </c>
    </row>
    <row r="2362" spans="3:18" x14ac:dyDescent="0.25">
      <c r="C2362" s="294" t="s">
        <v>922</v>
      </c>
      <c r="D2362" s="317">
        <v>7184</v>
      </c>
      <c r="E2362" s="122" t="s">
        <v>844</v>
      </c>
      <c r="F2362" s="122" t="s">
        <v>845</v>
      </c>
      <c r="G2362" s="122" t="s">
        <v>778</v>
      </c>
      <c r="H2362" s="122" t="s">
        <v>777</v>
      </c>
      <c r="I2362" s="312">
        <v>2019</v>
      </c>
      <c r="J2362" s="122" t="s">
        <v>711</v>
      </c>
      <c r="K2362" s="283">
        <v>9394</v>
      </c>
      <c r="L2362" s="318">
        <v>-33.772956999999998</v>
      </c>
      <c r="M2362" s="318">
        <v>151.135391</v>
      </c>
      <c r="O2362">
        <f>INDEX('MEC - traffic congestion'!$M$145:$M$249,MATCH($D2362,'MEC - traffic congestion'!$C$145:$C$249,0))</f>
        <v>1</v>
      </c>
      <c r="P2362" t="str">
        <f t="shared" si="104"/>
        <v>2019PM PEAK</v>
      </c>
      <c r="Q2362">
        <f t="shared" si="105"/>
        <v>1</v>
      </c>
      <c r="R2362" s="195" t="str">
        <f t="shared" si="106"/>
        <v>2019LIGHT VEHICLES</v>
      </c>
    </row>
    <row r="2363" spans="3:18" x14ac:dyDescent="0.25">
      <c r="C2363" s="294" t="s">
        <v>922</v>
      </c>
      <c r="D2363" s="317">
        <v>7184</v>
      </c>
      <c r="E2363" s="122" t="s">
        <v>844</v>
      </c>
      <c r="F2363" s="122" t="s">
        <v>845</v>
      </c>
      <c r="G2363" s="122" t="s">
        <v>778</v>
      </c>
      <c r="H2363" s="122" t="s">
        <v>777</v>
      </c>
      <c r="I2363" s="312">
        <v>2019</v>
      </c>
      <c r="J2363" s="122" t="s">
        <v>712</v>
      </c>
      <c r="K2363" s="283">
        <v>30954</v>
      </c>
      <c r="L2363" s="318">
        <v>-33.772956999999998</v>
      </c>
      <c r="M2363" s="318">
        <v>151.135391</v>
      </c>
      <c r="O2363">
        <f>INDEX('MEC - traffic congestion'!$M$145:$M$249,MATCH($D2363,'MEC - traffic congestion'!$C$145:$C$249,0))</f>
        <v>1</v>
      </c>
      <c r="P2363" t="str">
        <f t="shared" si="104"/>
        <v>2019PUBLIC HOLIDAYS</v>
      </c>
      <c r="Q2363">
        <f t="shared" si="105"/>
        <v>1</v>
      </c>
      <c r="R2363" s="195" t="str">
        <f t="shared" si="106"/>
        <v>2019LIGHT VEHICLES</v>
      </c>
    </row>
    <row r="2364" spans="3:18" x14ac:dyDescent="0.25">
      <c r="C2364" s="294" t="s">
        <v>922</v>
      </c>
      <c r="D2364" s="317">
        <v>7184</v>
      </c>
      <c r="E2364" s="122" t="s">
        <v>844</v>
      </c>
      <c r="F2364" s="122" t="s">
        <v>845</v>
      </c>
      <c r="G2364" s="122" t="s">
        <v>778</v>
      </c>
      <c r="H2364" s="122" t="s">
        <v>777</v>
      </c>
      <c r="I2364" s="312">
        <v>2019</v>
      </c>
      <c r="J2364" s="122" t="s">
        <v>713</v>
      </c>
      <c r="K2364" s="283">
        <v>35904</v>
      </c>
      <c r="L2364" s="318">
        <v>-33.772956999999998</v>
      </c>
      <c r="M2364" s="318">
        <v>151.135391</v>
      </c>
      <c r="O2364">
        <f>INDEX('MEC - traffic congestion'!$M$145:$M$249,MATCH($D2364,'MEC - traffic congestion'!$C$145:$C$249,0))</f>
        <v>1</v>
      </c>
      <c r="P2364" t="str">
        <f t="shared" si="104"/>
        <v>2019WEEKENDS</v>
      </c>
      <c r="Q2364">
        <f t="shared" si="105"/>
        <v>1</v>
      </c>
      <c r="R2364" s="195" t="str">
        <f t="shared" si="106"/>
        <v>2019LIGHT VEHICLES</v>
      </c>
    </row>
    <row r="2365" spans="3:18" x14ac:dyDescent="0.25">
      <c r="C2365" s="294" t="s">
        <v>922</v>
      </c>
      <c r="D2365" s="317">
        <v>7184</v>
      </c>
      <c r="E2365" s="122" t="s">
        <v>844</v>
      </c>
      <c r="F2365" s="122" t="s">
        <v>845</v>
      </c>
      <c r="G2365" s="122" t="s">
        <v>778</v>
      </c>
      <c r="H2365" s="122" t="s">
        <v>777</v>
      </c>
      <c r="I2365" s="312">
        <v>2020</v>
      </c>
      <c r="J2365" s="122" t="s">
        <v>709</v>
      </c>
      <c r="K2365" s="283">
        <v>9539</v>
      </c>
      <c r="L2365" s="318">
        <v>-33.772956999999998</v>
      </c>
      <c r="M2365" s="318">
        <v>151.135391</v>
      </c>
      <c r="O2365">
        <f>INDEX('MEC - traffic congestion'!$M$145:$M$249,MATCH($D2365,'MEC - traffic congestion'!$C$145:$C$249,0))</f>
        <v>1</v>
      </c>
      <c r="P2365" t="str">
        <f t="shared" si="104"/>
        <v>2020AM PEAK</v>
      </c>
      <c r="Q2365">
        <f t="shared" si="105"/>
        <v>1</v>
      </c>
      <c r="R2365" s="195" t="str">
        <f t="shared" si="106"/>
        <v>2020LIGHT VEHICLES</v>
      </c>
    </row>
    <row r="2366" spans="3:18" x14ac:dyDescent="0.25">
      <c r="C2366" s="294" t="s">
        <v>922</v>
      </c>
      <c r="D2366" s="317">
        <v>7184</v>
      </c>
      <c r="E2366" s="122" t="s">
        <v>844</v>
      </c>
      <c r="F2366" s="122" t="s">
        <v>845</v>
      </c>
      <c r="G2366" s="122" t="s">
        <v>778</v>
      </c>
      <c r="H2366" s="122" t="s">
        <v>777</v>
      </c>
      <c r="I2366" s="312">
        <v>2020</v>
      </c>
      <c r="J2366" s="122" t="s">
        <v>710</v>
      </c>
      <c r="K2366" s="283">
        <v>15166</v>
      </c>
      <c r="L2366" s="318">
        <v>-33.772956999999998</v>
      </c>
      <c r="M2366" s="318">
        <v>151.135391</v>
      </c>
      <c r="O2366">
        <f>INDEX('MEC - traffic congestion'!$M$145:$M$249,MATCH($D2366,'MEC - traffic congestion'!$C$145:$C$249,0))</f>
        <v>1</v>
      </c>
      <c r="P2366" t="str">
        <f t="shared" si="104"/>
        <v>2020OFF PEAK</v>
      </c>
      <c r="Q2366">
        <f t="shared" si="105"/>
        <v>1</v>
      </c>
      <c r="R2366" s="195" t="str">
        <f t="shared" si="106"/>
        <v>2020LIGHT VEHICLES</v>
      </c>
    </row>
    <row r="2367" spans="3:18" x14ac:dyDescent="0.25">
      <c r="C2367" s="294" t="s">
        <v>922</v>
      </c>
      <c r="D2367" s="317">
        <v>7184</v>
      </c>
      <c r="E2367" s="122" t="s">
        <v>844</v>
      </c>
      <c r="F2367" s="122" t="s">
        <v>845</v>
      </c>
      <c r="G2367" s="122" t="s">
        <v>778</v>
      </c>
      <c r="H2367" s="122" t="s">
        <v>777</v>
      </c>
      <c r="I2367" s="312">
        <v>2020</v>
      </c>
      <c r="J2367" s="122" t="s">
        <v>711</v>
      </c>
      <c r="K2367" s="283">
        <v>9091</v>
      </c>
      <c r="L2367" s="318">
        <v>-33.772956999999998</v>
      </c>
      <c r="M2367" s="318">
        <v>151.135391</v>
      </c>
      <c r="O2367">
        <f>INDEX('MEC - traffic congestion'!$M$145:$M$249,MATCH($D2367,'MEC - traffic congestion'!$C$145:$C$249,0))</f>
        <v>1</v>
      </c>
      <c r="P2367" t="str">
        <f t="shared" si="104"/>
        <v>2020PM PEAK</v>
      </c>
      <c r="Q2367">
        <f t="shared" si="105"/>
        <v>1</v>
      </c>
      <c r="R2367" s="195" t="str">
        <f t="shared" si="106"/>
        <v>2020LIGHT VEHICLES</v>
      </c>
    </row>
    <row r="2368" spans="3:18" x14ac:dyDescent="0.25">
      <c r="C2368" s="294" t="s">
        <v>922</v>
      </c>
      <c r="D2368" s="317">
        <v>7184</v>
      </c>
      <c r="E2368" s="122" t="s">
        <v>844</v>
      </c>
      <c r="F2368" s="122" t="s">
        <v>845</v>
      </c>
      <c r="G2368" s="122" t="s">
        <v>778</v>
      </c>
      <c r="H2368" s="122" t="s">
        <v>777</v>
      </c>
      <c r="I2368" s="312">
        <v>2020</v>
      </c>
      <c r="J2368" s="122" t="s">
        <v>712</v>
      </c>
      <c r="K2368" s="283">
        <v>21812</v>
      </c>
      <c r="L2368" s="318">
        <v>-33.772956999999998</v>
      </c>
      <c r="M2368" s="318">
        <v>151.135391</v>
      </c>
      <c r="O2368">
        <f>INDEX('MEC - traffic congestion'!$M$145:$M$249,MATCH($D2368,'MEC - traffic congestion'!$C$145:$C$249,0))</f>
        <v>1</v>
      </c>
      <c r="P2368" t="str">
        <f t="shared" si="104"/>
        <v>2020PUBLIC HOLIDAYS</v>
      </c>
      <c r="Q2368">
        <f t="shared" si="105"/>
        <v>1</v>
      </c>
      <c r="R2368" s="195" t="str">
        <f t="shared" si="106"/>
        <v>2020LIGHT VEHICLES</v>
      </c>
    </row>
    <row r="2369" spans="3:18" x14ac:dyDescent="0.25">
      <c r="C2369" s="294" t="s">
        <v>922</v>
      </c>
      <c r="D2369" s="317">
        <v>7184</v>
      </c>
      <c r="E2369" s="122" t="s">
        <v>844</v>
      </c>
      <c r="F2369" s="122" t="s">
        <v>845</v>
      </c>
      <c r="G2369" s="122" t="s">
        <v>778</v>
      </c>
      <c r="H2369" s="122" t="s">
        <v>777</v>
      </c>
      <c r="I2369" s="312">
        <v>2020</v>
      </c>
      <c r="J2369" s="122" t="s">
        <v>713</v>
      </c>
      <c r="K2369" s="283">
        <v>30774</v>
      </c>
      <c r="L2369" s="318">
        <v>-33.772956999999998</v>
      </c>
      <c r="M2369" s="318">
        <v>151.135391</v>
      </c>
      <c r="O2369">
        <f>INDEX('MEC - traffic congestion'!$M$145:$M$249,MATCH($D2369,'MEC - traffic congestion'!$C$145:$C$249,0))</f>
        <v>1</v>
      </c>
      <c r="P2369" t="str">
        <f t="shared" si="104"/>
        <v>2020WEEKENDS</v>
      </c>
      <c r="Q2369">
        <f t="shared" si="105"/>
        <v>1</v>
      </c>
      <c r="R2369" s="195" t="str">
        <f t="shared" si="106"/>
        <v>2020LIGHT VEHICLES</v>
      </c>
    </row>
    <row r="2370" spans="3:18" x14ac:dyDescent="0.25">
      <c r="C2370" s="294" t="s">
        <v>922</v>
      </c>
      <c r="D2370" s="317">
        <v>7184</v>
      </c>
      <c r="E2370" s="122" t="s">
        <v>844</v>
      </c>
      <c r="F2370" s="122" t="s">
        <v>845</v>
      </c>
      <c r="G2370" s="122" t="s">
        <v>778</v>
      </c>
      <c r="H2370" s="122" t="s">
        <v>777</v>
      </c>
      <c r="I2370" s="312">
        <v>2021</v>
      </c>
      <c r="J2370" s="122" t="s">
        <v>709</v>
      </c>
      <c r="K2370" s="283">
        <v>8486</v>
      </c>
      <c r="L2370" s="318">
        <v>-33.772956999999998</v>
      </c>
      <c r="M2370" s="318">
        <v>151.135391</v>
      </c>
      <c r="O2370">
        <f>INDEX('MEC - traffic congestion'!$M$145:$M$249,MATCH($D2370,'MEC - traffic congestion'!$C$145:$C$249,0))</f>
        <v>1</v>
      </c>
      <c r="P2370" t="str">
        <f t="shared" si="104"/>
        <v>2021AM PEAK</v>
      </c>
      <c r="Q2370">
        <f t="shared" si="105"/>
        <v>1</v>
      </c>
      <c r="R2370" s="195" t="str">
        <f t="shared" si="106"/>
        <v>2021LIGHT VEHICLES</v>
      </c>
    </row>
    <row r="2371" spans="3:18" x14ac:dyDescent="0.25">
      <c r="C2371" s="294" t="s">
        <v>922</v>
      </c>
      <c r="D2371" s="317">
        <v>7184</v>
      </c>
      <c r="E2371" s="122" t="s">
        <v>844</v>
      </c>
      <c r="F2371" s="122" t="s">
        <v>845</v>
      </c>
      <c r="G2371" s="122" t="s">
        <v>778</v>
      </c>
      <c r="H2371" s="122" t="s">
        <v>777</v>
      </c>
      <c r="I2371" s="312">
        <v>2021</v>
      </c>
      <c r="J2371" s="122" t="s">
        <v>710</v>
      </c>
      <c r="K2371" s="283">
        <v>13214</v>
      </c>
      <c r="L2371" s="318">
        <v>-33.772956999999998</v>
      </c>
      <c r="M2371" s="318">
        <v>151.135391</v>
      </c>
      <c r="O2371">
        <f>INDEX('MEC - traffic congestion'!$M$145:$M$249,MATCH($D2371,'MEC - traffic congestion'!$C$145:$C$249,0))</f>
        <v>1</v>
      </c>
      <c r="P2371" t="str">
        <f t="shared" si="104"/>
        <v>2021OFF PEAK</v>
      </c>
      <c r="Q2371">
        <f t="shared" si="105"/>
        <v>1</v>
      </c>
      <c r="R2371" s="195" t="str">
        <f t="shared" si="106"/>
        <v>2021LIGHT VEHICLES</v>
      </c>
    </row>
    <row r="2372" spans="3:18" x14ac:dyDescent="0.25">
      <c r="C2372" s="294" t="s">
        <v>922</v>
      </c>
      <c r="D2372" s="317">
        <v>7184</v>
      </c>
      <c r="E2372" s="122" t="s">
        <v>844</v>
      </c>
      <c r="F2372" s="122" t="s">
        <v>845</v>
      </c>
      <c r="G2372" s="122" t="s">
        <v>778</v>
      </c>
      <c r="H2372" s="122" t="s">
        <v>777</v>
      </c>
      <c r="I2372" s="312">
        <v>2021</v>
      </c>
      <c r="J2372" s="122" t="s">
        <v>711</v>
      </c>
      <c r="K2372" s="283">
        <v>8011</v>
      </c>
      <c r="L2372" s="318">
        <v>-33.772956999999998</v>
      </c>
      <c r="M2372" s="318">
        <v>151.135391</v>
      </c>
      <c r="O2372">
        <f>INDEX('MEC - traffic congestion'!$M$145:$M$249,MATCH($D2372,'MEC - traffic congestion'!$C$145:$C$249,0))</f>
        <v>1</v>
      </c>
      <c r="P2372" t="str">
        <f t="shared" si="104"/>
        <v>2021PM PEAK</v>
      </c>
      <c r="Q2372">
        <f t="shared" si="105"/>
        <v>1</v>
      </c>
      <c r="R2372" s="195" t="str">
        <f t="shared" si="106"/>
        <v>2021LIGHT VEHICLES</v>
      </c>
    </row>
    <row r="2373" spans="3:18" x14ac:dyDescent="0.25">
      <c r="C2373" s="294" t="s">
        <v>922</v>
      </c>
      <c r="D2373" s="317">
        <v>7184</v>
      </c>
      <c r="E2373" s="122" t="s">
        <v>844</v>
      </c>
      <c r="F2373" s="122" t="s">
        <v>845</v>
      </c>
      <c r="G2373" s="122" t="s">
        <v>778</v>
      </c>
      <c r="H2373" s="122" t="s">
        <v>777</v>
      </c>
      <c r="I2373" s="312">
        <v>2021</v>
      </c>
      <c r="J2373" s="122" t="s">
        <v>713</v>
      </c>
      <c r="K2373" s="283">
        <v>25916</v>
      </c>
      <c r="L2373" s="318">
        <v>-33.772956999999998</v>
      </c>
      <c r="M2373" s="318">
        <v>151.135391</v>
      </c>
      <c r="O2373">
        <f>INDEX('MEC - traffic congestion'!$M$145:$M$249,MATCH($D2373,'MEC - traffic congestion'!$C$145:$C$249,0))</f>
        <v>1</v>
      </c>
      <c r="P2373" t="str">
        <f t="shared" si="104"/>
        <v>2021WEEKENDS</v>
      </c>
      <c r="Q2373">
        <f t="shared" si="105"/>
        <v>1</v>
      </c>
      <c r="R2373" s="195" t="str">
        <f t="shared" si="106"/>
        <v>2021LIGHT VEHICLES</v>
      </c>
    </row>
    <row r="2374" spans="3:18" x14ac:dyDescent="0.25">
      <c r="C2374" s="294" t="s">
        <v>922</v>
      </c>
      <c r="D2374" s="317">
        <v>7184</v>
      </c>
      <c r="E2374" s="122" t="s">
        <v>844</v>
      </c>
      <c r="F2374" s="122" t="s">
        <v>845</v>
      </c>
      <c r="G2374" s="122" t="s">
        <v>778</v>
      </c>
      <c r="H2374" s="122" t="s">
        <v>777</v>
      </c>
      <c r="I2374" s="312">
        <v>2022</v>
      </c>
      <c r="J2374" s="122" t="s">
        <v>709</v>
      </c>
      <c r="K2374" s="283">
        <v>8823</v>
      </c>
      <c r="L2374" s="318">
        <v>-33.772956999999998</v>
      </c>
      <c r="M2374" s="318">
        <v>151.135391</v>
      </c>
      <c r="O2374">
        <f>INDEX('MEC - traffic congestion'!$M$145:$M$249,MATCH($D2374,'MEC - traffic congestion'!$C$145:$C$249,0))</f>
        <v>1</v>
      </c>
      <c r="P2374" t="str">
        <f t="shared" si="104"/>
        <v>2022AM PEAK</v>
      </c>
      <c r="Q2374">
        <f t="shared" si="105"/>
        <v>1</v>
      </c>
      <c r="R2374" s="195" t="str">
        <f t="shared" si="106"/>
        <v>2022LIGHT VEHICLES</v>
      </c>
    </row>
    <row r="2375" spans="3:18" x14ac:dyDescent="0.25">
      <c r="C2375" s="294" t="s">
        <v>922</v>
      </c>
      <c r="D2375" s="317">
        <v>7184</v>
      </c>
      <c r="E2375" s="122" t="s">
        <v>844</v>
      </c>
      <c r="F2375" s="122" t="s">
        <v>845</v>
      </c>
      <c r="G2375" s="122" t="s">
        <v>778</v>
      </c>
      <c r="H2375" s="122" t="s">
        <v>777</v>
      </c>
      <c r="I2375" s="312">
        <v>2022</v>
      </c>
      <c r="J2375" s="122" t="s">
        <v>710</v>
      </c>
      <c r="K2375" s="283">
        <v>14496</v>
      </c>
      <c r="L2375" s="318">
        <v>-33.772956999999998</v>
      </c>
      <c r="M2375" s="318">
        <v>151.135391</v>
      </c>
      <c r="O2375">
        <f>INDEX('MEC - traffic congestion'!$M$145:$M$249,MATCH($D2375,'MEC - traffic congestion'!$C$145:$C$249,0))</f>
        <v>1</v>
      </c>
      <c r="P2375" t="str">
        <f t="shared" si="104"/>
        <v>2022OFF PEAK</v>
      </c>
      <c r="Q2375">
        <f t="shared" si="105"/>
        <v>1</v>
      </c>
      <c r="R2375" s="195" t="str">
        <f t="shared" si="106"/>
        <v>2022LIGHT VEHICLES</v>
      </c>
    </row>
    <row r="2376" spans="3:18" x14ac:dyDescent="0.25">
      <c r="C2376" s="294" t="s">
        <v>922</v>
      </c>
      <c r="D2376" s="317">
        <v>7184</v>
      </c>
      <c r="E2376" s="122" t="s">
        <v>844</v>
      </c>
      <c r="F2376" s="122" t="s">
        <v>845</v>
      </c>
      <c r="G2376" s="122" t="s">
        <v>778</v>
      </c>
      <c r="H2376" s="122" t="s">
        <v>777</v>
      </c>
      <c r="I2376" s="312">
        <v>2022</v>
      </c>
      <c r="J2376" s="122" t="s">
        <v>711</v>
      </c>
      <c r="K2376" s="283">
        <v>8526</v>
      </c>
      <c r="L2376" s="318">
        <v>-33.772956999999998</v>
      </c>
      <c r="M2376" s="318">
        <v>151.135391</v>
      </c>
      <c r="O2376">
        <f>INDEX('MEC - traffic congestion'!$M$145:$M$249,MATCH($D2376,'MEC - traffic congestion'!$C$145:$C$249,0))</f>
        <v>1</v>
      </c>
      <c r="P2376" t="str">
        <f t="shared" si="104"/>
        <v>2022PM PEAK</v>
      </c>
      <c r="Q2376">
        <f t="shared" si="105"/>
        <v>1</v>
      </c>
      <c r="R2376" s="195" t="str">
        <f t="shared" si="106"/>
        <v>2022LIGHT VEHICLES</v>
      </c>
    </row>
    <row r="2377" spans="3:18" x14ac:dyDescent="0.25">
      <c r="C2377" s="294" t="s">
        <v>922</v>
      </c>
      <c r="D2377" s="317">
        <v>7184</v>
      </c>
      <c r="E2377" s="122" t="s">
        <v>844</v>
      </c>
      <c r="F2377" s="122" t="s">
        <v>845</v>
      </c>
      <c r="G2377" s="122" t="s">
        <v>778</v>
      </c>
      <c r="H2377" s="122" t="s">
        <v>777</v>
      </c>
      <c r="I2377" s="312">
        <v>2022</v>
      </c>
      <c r="J2377" s="122" t="s">
        <v>713</v>
      </c>
      <c r="K2377" s="283">
        <v>29924</v>
      </c>
      <c r="L2377" s="318">
        <v>-33.772956999999998</v>
      </c>
      <c r="M2377" s="318">
        <v>151.135391</v>
      </c>
      <c r="O2377">
        <f>INDEX('MEC - traffic congestion'!$M$145:$M$249,MATCH($D2377,'MEC - traffic congestion'!$C$145:$C$249,0))</f>
        <v>1</v>
      </c>
      <c r="P2377" t="str">
        <f t="shared" si="104"/>
        <v>2022WEEKENDS</v>
      </c>
      <c r="Q2377">
        <f t="shared" si="105"/>
        <v>1</v>
      </c>
      <c r="R2377" s="195" t="str">
        <f t="shared" si="106"/>
        <v>2022LIGHT VEHICLES</v>
      </c>
    </row>
    <row r="2378" spans="3:18" x14ac:dyDescent="0.25">
      <c r="C2378" s="294" t="s">
        <v>922</v>
      </c>
      <c r="D2378" s="317">
        <v>7184</v>
      </c>
      <c r="E2378" s="122" t="s">
        <v>844</v>
      </c>
      <c r="F2378" s="122" t="s">
        <v>845</v>
      </c>
      <c r="G2378" s="122" t="s">
        <v>778</v>
      </c>
      <c r="H2378" s="122" t="s">
        <v>777</v>
      </c>
      <c r="I2378" s="312">
        <v>2023</v>
      </c>
      <c r="J2378" s="122" t="s">
        <v>709</v>
      </c>
      <c r="K2378" s="283">
        <v>9343</v>
      </c>
      <c r="L2378" s="318">
        <v>-33.772956999999998</v>
      </c>
      <c r="M2378" s="318">
        <v>151.135391</v>
      </c>
      <c r="O2378">
        <f>INDEX('MEC - traffic congestion'!$M$145:$M$249,MATCH($D2378,'MEC - traffic congestion'!$C$145:$C$249,0))</f>
        <v>1</v>
      </c>
      <c r="P2378" t="str">
        <f t="shared" si="104"/>
        <v>2023AM PEAK</v>
      </c>
      <c r="Q2378">
        <f t="shared" si="105"/>
        <v>1</v>
      </c>
      <c r="R2378" s="195" t="str">
        <f t="shared" si="106"/>
        <v>2023LIGHT VEHICLES</v>
      </c>
    </row>
    <row r="2379" spans="3:18" x14ac:dyDescent="0.25">
      <c r="C2379" s="294" t="s">
        <v>922</v>
      </c>
      <c r="D2379" s="317">
        <v>7184</v>
      </c>
      <c r="E2379" s="122" t="s">
        <v>844</v>
      </c>
      <c r="F2379" s="122" t="s">
        <v>845</v>
      </c>
      <c r="G2379" s="122" t="s">
        <v>778</v>
      </c>
      <c r="H2379" s="122" t="s">
        <v>777</v>
      </c>
      <c r="I2379" s="312">
        <v>2023</v>
      </c>
      <c r="J2379" s="122" t="s">
        <v>710</v>
      </c>
      <c r="K2379" s="283">
        <v>14980</v>
      </c>
      <c r="L2379" s="318">
        <v>-33.772956999999998</v>
      </c>
      <c r="M2379" s="318">
        <v>151.135391</v>
      </c>
      <c r="O2379">
        <f>INDEX('MEC - traffic congestion'!$M$145:$M$249,MATCH($D2379,'MEC - traffic congestion'!$C$145:$C$249,0))</f>
        <v>1</v>
      </c>
      <c r="P2379" t="str">
        <f t="shared" si="104"/>
        <v>2023OFF PEAK</v>
      </c>
      <c r="Q2379">
        <f t="shared" si="105"/>
        <v>1</v>
      </c>
      <c r="R2379" s="195" t="str">
        <f t="shared" si="106"/>
        <v>2023LIGHT VEHICLES</v>
      </c>
    </row>
    <row r="2380" spans="3:18" x14ac:dyDescent="0.25">
      <c r="C2380" s="294" t="s">
        <v>922</v>
      </c>
      <c r="D2380" s="317">
        <v>7184</v>
      </c>
      <c r="E2380" s="122" t="s">
        <v>844</v>
      </c>
      <c r="F2380" s="122" t="s">
        <v>845</v>
      </c>
      <c r="G2380" s="122" t="s">
        <v>778</v>
      </c>
      <c r="H2380" s="122" t="s">
        <v>777</v>
      </c>
      <c r="I2380" s="312">
        <v>2023</v>
      </c>
      <c r="J2380" s="122" t="s">
        <v>711</v>
      </c>
      <c r="K2380" s="283">
        <v>8873</v>
      </c>
      <c r="L2380" s="318">
        <v>-33.772956999999998</v>
      </c>
      <c r="M2380" s="318">
        <v>151.135391</v>
      </c>
      <c r="O2380">
        <f>INDEX('MEC - traffic congestion'!$M$145:$M$249,MATCH($D2380,'MEC - traffic congestion'!$C$145:$C$249,0))</f>
        <v>1</v>
      </c>
      <c r="P2380" t="str">
        <f t="shared" si="104"/>
        <v>2023PM PEAK</v>
      </c>
      <c r="Q2380">
        <f t="shared" si="105"/>
        <v>1</v>
      </c>
      <c r="R2380" s="195" t="str">
        <f t="shared" si="106"/>
        <v>2023LIGHT VEHICLES</v>
      </c>
    </row>
    <row r="2381" spans="3:18" x14ac:dyDescent="0.25">
      <c r="C2381" s="294" t="s">
        <v>922</v>
      </c>
      <c r="D2381" s="317">
        <v>7184</v>
      </c>
      <c r="E2381" s="122" t="s">
        <v>844</v>
      </c>
      <c r="F2381" s="122" t="s">
        <v>845</v>
      </c>
      <c r="G2381" s="122" t="s">
        <v>778</v>
      </c>
      <c r="H2381" s="122" t="s">
        <v>777</v>
      </c>
      <c r="I2381" s="312">
        <v>2023</v>
      </c>
      <c r="J2381" s="122" t="s">
        <v>713</v>
      </c>
      <c r="K2381" s="283">
        <v>32406</v>
      </c>
      <c r="L2381" s="318">
        <v>-33.772956999999998</v>
      </c>
      <c r="M2381" s="318">
        <v>151.135391</v>
      </c>
      <c r="O2381">
        <f>INDEX('MEC - traffic congestion'!$M$145:$M$249,MATCH($D2381,'MEC - traffic congestion'!$C$145:$C$249,0))</f>
        <v>1</v>
      </c>
      <c r="P2381" t="str">
        <f t="shared" si="104"/>
        <v>2023WEEKENDS</v>
      </c>
      <c r="Q2381">
        <f t="shared" si="105"/>
        <v>1</v>
      </c>
      <c r="R2381" s="195" t="str">
        <f t="shared" si="106"/>
        <v>2023LIGHT VEHICLES</v>
      </c>
    </row>
    <row r="2382" spans="3:18" x14ac:dyDescent="0.25">
      <c r="C2382" s="294" t="s">
        <v>922</v>
      </c>
      <c r="D2382" s="317">
        <v>7184</v>
      </c>
      <c r="E2382" s="122" t="s">
        <v>844</v>
      </c>
      <c r="F2382" s="122" t="s">
        <v>845</v>
      </c>
      <c r="G2382" s="122" t="s">
        <v>778</v>
      </c>
      <c r="H2382" s="122" t="s">
        <v>777</v>
      </c>
      <c r="I2382" s="312">
        <v>2024</v>
      </c>
      <c r="J2382" s="122" t="s">
        <v>709</v>
      </c>
      <c r="K2382" s="283">
        <v>9136</v>
      </c>
      <c r="L2382" s="318">
        <v>-33.772956999999998</v>
      </c>
      <c r="M2382" s="318">
        <v>151.135391</v>
      </c>
      <c r="O2382">
        <f>INDEX('MEC - traffic congestion'!$M$145:$M$249,MATCH($D2382,'MEC - traffic congestion'!$C$145:$C$249,0))</f>
        <v>1</v>
      </c>
      <c r="P2382" t="str">
        <f t="shared" si="104"/>
        <v>2024AM PEAK</v>
      </c>
      <c r="Q2382">
        <f t="shared" si="105"/>
        <v>1</v>
      </c>
      <c r="R2382" s="195" t="str">
        <f t="shared" si="106"/>
        <v>2024LIGHT VEHICLES</v>
      </c>
    </row>
    <row r="2383" spans="3:18" x14ac:dyDescent="0.25">
      <c r="C2383" s="294" t="s">
        <v>922</v>
      </c>
      <c r="D2383" s="317">
        <v>7184</v>
      </c>
      <c r="E2383" s="122" t="s">
        <v>844</v>
      </c>
      <c r="F2383" s="122" t="s">
        <v>845</v>
      </c>
      <c r="G2383" s="122" t="s">
        <v>778</v>
      </c>
      <c r="H2383" s="122" t="s">
        <v>777</v>
      </c>
      <c r="I2383" s="312">
        <v>2024</v>
      </c>
      <c r="J2383" s="122" t="s">
        <v>710</v>
      </c>
      <c r="K2383" s="283">
        <v>15247</v>
      </c>
      <c r="L2383" s="318">
        <v>-33.772956999999998</v>
      </c>
      <c r="M2383" s="318">
        <v>151.135391</v>
      </c>
      <c r="O2383">
        <f>INDEX('MEC - traffic congestion'!$M$145:$M$249,MATCH($D2383,'MEC - traffic congestion'!$C$145:$C$249,0))</f>
        <v>1</v>
      </c>
      <c r="P2383" t="str">
        <f t="shared" si="104"/>
        <v>2024OFF PEAK</v>
      </c>
      <c r="Q2383">
        <f t="shared" si="105"/>
        <v>1</v>
      </c>
      <c r="R2383" s="195" t="str">
        <f t="shared" si="106"/>
        <v>2024LIGHT VEHICLES</v>
      </c>
    </row>
    <row r="2384" spans="3:18" x14ac:dyDescent="0.25">
      <c r="C2384" s="294" t="s">
        <v>922</v>
      </c>
      <c r="D2384" s="317">
        <v>7184</v>
      </c>
      <c r="E2384" s="122" t="s">
        <v>844</v>
      </c>
      <c r="F2384" s="122" t="s">
        <v>845</v>
      </c>
      <c r="G2384" s="122" t="s">
        <v>778</v>
      </c>
      <c r="H2384" s="122" t="s">
        <v>777</v>
      </c>
      <c r="I2384" s="312">
        <v>2024</v>
      </c>
      <c r="J2384" s="122" t="s">
        <v>711</v>
      </c>
      <c r="K2384" s="283">
        <v>9001</v>
      </c>
      <c r="L2384" s="318">
        <v>-33.772956999999998</v>
      </c>
      <c r="M2384" s="318">
        <v>151.135391</v>
      </c>
      <c r="O2384">
        <f>INDEX('MEC - traffic congestion'!$M$145:$M$249,MATCH($D2384,'MEC - traffic congestion'!$C$145:$C$249,0))</f>
        <v>1</v>
      </c>
      <c r="P2384" t="str">
        <f t="shared" si="104"/>
        <v>2024PM PEAK</v>
      </c>
      <c r="Q2384">
        <f t="shared" si="105"/>
        <v>1</v>
      </c>
      <c r="R2384" s="195" t="str">
        <f t="shared" si="106"/>
        <v>2024LIGHT VEHICLES</v>
      </c>
    </row>
    <row r="2385" spans="3:18" x14ac:dyDescent="0.25">
      <c r="C2385" s="294" t="s">
        <v>922</v>
      </c>
      <c r="D2385" s="317">
        <v>7184</v>
      </c>
      <c r="E2385" s="122" t="s">
        <v>844</v>
      </c>
      <c r="F2385" s="122" t="s">
        <v>845</v>
      </c>
      <c r="G2385" s="122" t="s">
        <v>778</v>
      </c>
      <c r="H2385" s="122" t="s">
        <v>777</v>
      </c>
      <c r="I2385" s="312">
        <v>2024</v>
      </c>
      <c r="J2385" s="122" t="s">
        <v>713</v>
      </c>
      <c r="K2385" s="283">
        <v>32949</v>
      </c>
      <c r="L2385" s="318">
        <v>-33.772956999999998</v>
      </c>
      <c r="M2385" s="318">
        <v>151.135391</v>
      </c>
      <c r="O2385">
        <f>INDEX('MEC - traffic congestion'!$M$145:$M$249,MATCH($D2385,'MEC - traffic congestion'!$C$145:$C$249,0))</f>
        <v>1</v>
      </c>
      <c r="P2385" t="str">
        <f t="shared" si="104"/>
        <v>2024WEEKENDS</v>
      </c>
      <c r="Q2385">
        <f t="shared" si="105"/>
        <v>1</v>
      </c>
      <c r="R2385" s="195" t="str">
        <f t="shared" si="106"/>
        <v>2024LIGHT VEHICLES</v>
      </c>
    </row>
    <row r="2386" spans="3:18" x14ac:dyDescent="0.25">
      <c r="C2386" s="294" t="s">
        <v>923</v>
      </c>
      <c r="D2386" s="317">
        <v>72026</v>
      </c>
      <c r="E2386" s="122" t="s">
        <v>924</v>
      </c>
      <c r="F2386" s="122" t="s">
        <v>906</v>
      </c>
      <c r="G2386" s="122" t="s">
        <v>785</v>
      </c>
      <c r="H2386" s="122" t="s">
        <v>777</v>
      </c>
      <c r="I2386" s="312">
        <v>2018</v>
      </c>
      <c r="J2386" s="122" t="s">
        <v>709</v>
      </c>
      <c r="K2386" s="283">
        <v>3108</v>
      </c>
      <c r="L2386" s="318">
        <v>-33.744923</v>
      </c>
      <c r="M2386" s="318">
        <v>150.99636799999999</v>
      </c>
      <c r="O2386">
        <f>INDEX('MEC - traffic congestion'!$M$145:$M$249,MATCH($D2386,'MEC - traffic congestion'!$C$145:$C$249,0))</f>
        <v>0</v>
      </c>
      <c r="P2386" t="str">
        <f t="shared" si="104"/>
        <v/>
      </c>
      <c r="Q2386">
        <f t="shared" si="105"/>
        <v>1</v>
      </c>
      <c r="R2386" s="195" t="str">
        <f t="shared" si="106"/>
        <v/>
      </c>
    </row>
    <row r="2387" spans="3:18" x14ac:dyDescent="0.25">
      <c r="C2387" s="294" t="s">
        <v>923</v>
      </c>
      <c r="D2387" s="317">
        <v>72026</v>
      </c>
      <c r="E2387" s="122" t="s">
        <v>924</v>
      </c>
      <c r="F2387" s="122" t="s">
        <v>906</v>
      </c>
      <c r="G2387" s="122" t="s">
        <v>786</v>
      </c>
      <c r="H2387" s="122" t="s">
        <v>777</v>
      </c>
      <c r="I2387" s="312">
        <v>2018</v>
      </c>
      <c r="J2387" s="122" t="s">
        <v>709</v>
      </c>
      <c r="K2387" s="283">
        <v>4282</v>
      </c>
      <c r="L2387" s="318">
        <v>-33.744923</v>
      </c>
      <c r="M2387" s="318">
        <v>150.99636799999999</v>
      </c>
      <c r="O2387">
        <f>INDEX('MEC - traffic congestion'!$M$145:$M$249,MATCH($D2387,'MEC - traffic congestion'!$C$145:$C$249,0))</f>
        <v>0</v>
      </c>
      <c r="P2387" t="str">
        <f t="shared" si="104"/>
        <v/>
      </c>
      <c r="Q2387">
        <f t="shared" si="105"/>
        <v>1</v>
      </c>
      <c r="R2387" s="195" t="str">
        <f t="shared" si="106"/>
        <v/>
      </c>
    </row>
    <row r="2388" spans="3:18" x14ac:dyDescent="0.25">
      <c r="C2388" s="294" t="s">
        <v>923</v>
      </c>
      <c r="D2388" s="317">
        <v>72026</v>
      </c>
      <c r="E2388" s="122" t="s">
        <v>924</v>
      </c>
      <c r="F2388" s="122" t="s">
        <v>906</v>
      </c>
      <c r="G2388" s="122" t="s">
        <v>785</v>
      </c>
      <c r="H2388" s="122" t="s">
        <v>777</v>
      </c>
      <c r="I2388" s="312">
        <v>2018</v>
      </c>
      <c r="J2388" s="122" t="s">
        <v>710</v>
      </c>
      <c r="K2388" s="283">
        <v>6517</v>
      </c>
      <c r="L2388" s="318">
        <v>-33.744923</v>
      </c>
      <c r="M2388" s="318">
        <v>150.99636799999999</v>
      </c>
      <c r="O2388">
        <f>INDEX('MEC - traffic congestion'!$M$145:$M$249,MATCH($D2388,'MEC - traffic congestion'!$C$145:$C$249,0))</f>
        <v>0</v>
      </c>
      <c r="P2388" t="str">
        <f t="shared" si="104"/>
        <v/>
      </c>
      <c r="Q2388">
        <f t="shared" si="105"/>
        <v>1</v>
      </c>
      <c r="R2388" s="195" t="str">
        <f t="shared" si="106"/>
        <v/>
      </c>
    </row>
    <row r="2389" spans="3:18" x14ac:dyDescent="0.25">
      <c r="C2389" s="294" t="s">
        <v>923</v>
      </c>
      <c r="D2389" s="317">
        <v>72026</v>
      </c>
      <c r="E2389" s="122" t="s">
        <v>924</v>
      </c>
      <c r="F2389" s="122" t="s">
        <v>906</v>
      </c>
      <c r="G2389" s="122" t="s">
        <v>786</v>
      </c>
      <c r="H2389" s="122" t="s">
        <v>777</v>
      </c>
      <c r="I2389" s="312">
        <v>2018</v>
      </c>
      <c r="J2389" s="122" t="s">
        <v>710</v>
      </c>
      <c r="K2389" s="283">
        <v>6750</v>
      </c>
      <c r="L2389" s="318">
        <v>-33.744923</v>
      </c>
      <c r="M2389" s="318">
        <v>150.99636799999999</v>
      </c>
      <c r="O2389">
        <f>INDEX('MEC - traffic congestion'!$M$145:$M$249,MATCH($D2389,'MEC - traffic congestion'!$C$145:$C$249,0))</f>
        <v>0</v>
      </c>
      <c r="P2389" t="str">
        <f t="shared" ref="P2389:P2452" si="107">IF($O2389=1,$I2389&amp;$J2389,"")</f>
        <v/>
      </c>
      <c r="Q2389">
        <f t="shared" ref="Q2389:Q2452" si="108">IF(AND($M2389&gt;150.246,AND($L2389&gt;-34.397,$L2389&lt;-32.662)),1,0)</f>
        <v>1</v>
      </c>
      <c r="R2389" s="195" t="str">
        <f t="shared" ref="R2389:R2452" si="109">IF($O2389=1,$I2389&amp;$H2389,"")</f>
        <v/>
      </c>
    </row>
    <row r="2390" spans="3:18" x14ac:dyDescent="0.25">
      <c r="C2390" s="294" t="s">
        <v>923</v>
      </c>
      <c r="D2390" s="317">
        <v>72026</v>
      </c>
      <c r="E2390" s="122" t="s">
        <v>924</v>
      </c>
      <c r="F2390" s="122" t="s">
        <v>906</v>
      </c>
      <c r="G2390" s="122" t="s">
        <v>785</v>
      </c>
      <c r="H2390" s="122" t="s">
        <v>777</v>
      </c>
      <c r="I2390" s="312">
        <v>2018</v>
      </c>
      <c r="J2390" s="122" t="s">
        <v>711</v>
      </c>
      <c r="K2390" s="283">
        <v>4327</v>
      </c>
      <c r="L2390" s="318">
        <v>-33.744923</v>
      </c>
      <c r="M2390" s="318">
        <v>150.99636799999999</v>
      </c>
      <c r="O2390">
        <f>INDEX('MEC - traffic congestion'!$M$145:$M$249,MATCH($D2390,'MEC - traffic congestion'!$C$145:$C$249,0))</f>
        <v>0</v>
      </c>
      <c r="P2390" t="str">
        <f t="shared" si="107"/>
        <v/>
      </c>
      <c r="Q2390">
        <f t="shared" si="108"/>
        <v>1</v>
      </c>
      <c r="R2390" s="195" t="str">
        <f t="shared" si="109"/>
        <v/>
      </c>
    </row>
    <row r="2391" spans="3:18" x14ac:dyDescent="0.25">
      <c r="C2391" s="294" t="s">
        <v>923</v>
      </c>
      <c r="D2391" s="317">
        <v>72026</v>
      </c>
      <c r="E2391" s="122" t="s">
        <v>924</v>
      </c>
      <c r="F2391" s="122" t="s">
        <v>906</v>
      </c>
      <c r="G2391" s="122" t="s">
        <v>786</v>
      </c>
      <c r="H2391" s="122" t="s">
        <v>777</v>
      </c>
      <c r="I2391" s="312">
        <v>2018</v>
      </c>
      <c r="J2391" s="122" t="s">
        <v>711</v>
      </c>
      <c r="K2391" s="283">
        <v>3962</v>
      </c>
      <c r="L2391" s="318">
        <v>-33.744923</v>
      </c>
      <c r="M2391" s="318">
        <v>150.99636799999999</v>
      </c>
      <c r="O2391">
        <f>INDEX('MEC - traffic congestion'!$M$145:$M$249,MATCH($D2391,'MEC - traffic congestion'!$C$145:$C$249,0))</f>
        <v>0</v>
      </c>
      <c r="P2391" t="str">
        <f t="shared" si="107"/>
        <v/>
      </c>
      <c r="Q2391">
        <f t="shared" si="108"/>
        <v>1</v>
      </c>
      <c r="R2391" s="195" t="str">
        <f t="shared" si="109"/>
        <v/>
      </c>
    </row>
    <row r="2392" spans="3:18" x14ac:dyDescent="0.25">
      <c r="C2392" s="294" t="s">
        <v>923</v>
      </c>
      <c r="D2392" s="317">
        <v>72026</v>
      </c>
      <c r="E2392" s="122" t="s">
        <v>924</v>
      </c>
      <c r="F2392" s="122" t="s">
        <v>906</v>
      </c>
      <c r="G2392" s="122" t="s">
        <v>785</v>
      </c>
      <c r="H2392" s="122" t="s">
        <v>777</v>
      </c>
      <c r="I2392" s="312">
        <v>2018</v>
      </c>
      <c r="J2392" s="122" t="s">
        <v>712</v>
      </c>
      <c r="K2392" s="283">
        <v>9852</v>
      </c>
      <c r="L2392" s="318">
        <v>-33.744923</v>
      </c>
      <c r="M2392" s="318">
        <v>150.99636799999999</v>
      </c>
      <c r="O2392">
        <f>INDEX('MEC - traffic congestion'!$M$145:$M$249,MATCH($D2392,'MEC - traffic congestion'!$C$145:$C$249,0))</f>
        <v>0</v>
      </c>
      <c r="P2392" t="str">
        <f t="shared" si="107"/>
        <v/>
      </c>
      <c r="Q2392">
        <f t="shared" si="108"/>
        <v>1</v>
      </c>
      <c r="R2392" s="195" t="str">
        <f t="shared" si="109"/>
        <v/>
      </c>
    </row>
    <row r="2393" spans="3:18" x14ac:dyDescent="0.25">
      <c r="C2393" s="294" t="s">
        <v>923</v>
      </c>
      <c r="D2393" s="317">
        <v>72026</v>
      </c>
      <c r="E2393" s="122" t="s">
        <v>924</v>
      </c>
      <c r="F2393" s="122" t="s">
        <v>906</v>
      </c>
      <c r="G2393" s="122" t="s">
        <v>786</v>
      </c>
      <c r="H2393" s="122" t="s">
        <v>777</v>
      </c>
      <c r="I2393" s="312">
        <v>2018</v>
      </c>
      <c r="J2393" s="122" t="s">
        <v>712</v>
      </c>
      <c r="K2393" s="283">
        <v>10212</v>
      </c>
      <c r="L2393" s="318">
        <v>-33.744923</v>
      </c>
      <c r="M2393" s="318">
        <v>150.99636799999999</v>
      </c>
      <c r="O2393">
        <f>INDEX('MEC - traffic congestion'!$M$145:$M$249,MATCH($D2393,'MEC - traffic congestion'!$C$145:$C$249,0))</f>
        <v>0</v>
      </c>
      <c r="P2393" t="str">
        <f t="shared" si="107"/>
        <v/>
      </c>
      <c r="Q2393">
        <f t="shared" si="108"/>
        <v>1</v>
      </c>
      <c r="R2393" s="195" t="str">
        <f t="shared" si="109"/>
        <v/>
      </c>
    </row>
    <row r="2394" spans="3:18" x14ac:dyDescent="0.25">
      <c r="C2394" s="294" t="s">
        <v>923</v>
      </c>
      <c r="D2394" s="317">
        <v>72026</v>
      </c>
      <c r="E2394" s="122" t="s">
        <v>924</v>
      </c>
      <c r="F2394" s="122" t="s">
        <v>906</v>
      </c>
      <c r="G2394" s="122" t="s">
        <v>785</v>
      </c>
      <c r="H2394" s="122" t="s">
        <v>777</v>
      </c>
      <c r="I2394" s="312">
        <v>2018</v>
      </c>
      <c r="J2394" s="122" t="s">
        <v>713</v>
      </c>
      <c r="K2394" s="283">
        <v>12614</v>
      </c>
      <c r="L2394" s="318">
        <v>-33.744923</v>
      </c>
      <c r="M2394" s="318">
        <v>150.99636799999999</v>
      </c>
      <c r="O2394">
        <f>INDEX('MEC - traffic congestion'!$M$145:$M$249,MATCH($D2394,'MEC - traffic congestion'!$C$145:$C$249,0))</f>
        <v>0</v>
      </c>
      <c r="P2394" t="str">
        <f t="shared" si="107"/>
        <v/>
      </c>
      <c r="Q2394">
        <f t="shared" si="108"/>
        <v>1</v>
      </c>
      <c r="R2394" s="195" t="str">
        <f t="shared" si="109"/>
        <v/>
      </c>
    </row>
    <row r="2395" spans="3:18" x14ac:dyDescent="0.25">
      <c r="C2395" s="294" t="s">
        <v>923</v>
      </c>
      <c r="D2395" s="317">
        <v>72026</v>
      </c>
      <c r="E2395" s="122" t="s">
        <v>924</v>
      </c>
      <c r="F2395" s="122" t="s">
        <v>906</v>
      </c>
      <c r="G2395" s="122" t="s">
        <v>786</v>
      </c>
      <c r="H2395" s="122" t="s">
        <v>777</v>
      </c>
      <c r="I2395" s="312">
        <v>2018</v>
      </c>
      <c r="J2395" s="122" t="s">
        <v>713</v>
      </c>
      <c r="K2395" s="283">
        <v>13296</v>
      </c>
      <c r="L2395" s="318">
        <v>-33.744923</v>
      </c>
      <c r="M2395" s="318">
        <v>150.99636799999999</v>
      </c>
      <c r="O2395">
        <f>INDEX('MEC - traffic congestion'!$M$145:$M$249,MATCH($D2395,'MEC - traffic congestion'!$C$145:$C$249,0))</f>
        <v>0</v>
      </c>
      <c r="P2395" t="str">
        <f t="shared" si="107"/>
        <v/>
      </c>
      <c r="Q2395">
        <f t="shared" si="108"/>
        <v>1</v>
      </c>
      <c r="R2395" s="195" t="str">
        <f t="shared" si="109"/>
        <v/>
      </c>
    </row>
    <row r="2396" spans="3:18" x14ac:dyDescent="0.25">
      <c r="C2396" s="294" t="s">
        <v>925</v>
      </c>
      <c r="D2396" s="317">
        <v>72027</v>
      </c>
      <c r="E2396" s="122" t="s">
        <v>873</v>
      </c>
      <c r="F2396" s="122" t="s">
        <v>926</v>
      </c>
      <c r="G2396" s="122" t="s">
        <v>776</v>
      </c>
      <c r="H2396" s="122" t="s">
        <v>777</v>
      </c>
      <c r="I2396" s="312">
        <v>2018</v>
      </c>
      <c r="J2396" s="122" t="s">
        <v>709</v>
      </c>
      <c r="K2396" s="283">
        <v>5771</v>
      </c>
      <c r="L2396" s="318">
        <v>-33.740467000000002</v>
      </c>
      <c r="M2396" s="318">
        <v>150.984421</v>
      </c>
      <c r="O2396">
        <f>INDEX('MEC - traffic congestion'!$M$145:$M$249,MATCH($D2396,'MEC - traffic congestion'!$C$145:$C$249,0))</f>
        <v>1</v>
      </c>
      <c r="P2396" t="str">
        <f t="shared" si="107"/>
        <v>2018AM PEAK</v>
      </c>
      <c r="Q2396">
        <f t="shared" si="108"/>
        <v>1</v>
      </c>
      <c r="R2396" s="195" t="str">
        <f t="shared" si="109"/>
        <v>2018LIGHT VEHICLES</v>
      </c>
    </row>
    <row r="2397" spans="3:18" x14ac:dyDescent="0.25">
      <c r="C2397" s="294" t="s">
        <v>925</v>
      </c>
      <c r="D2397" s="317">
        <v>72027</v>
      </c>
      <c r="E2397" s="122" t="s">
        <v>873</v>
      </c>
      <c r="F2397" s="122" t="s">
        <v>926</v>
      </c>
      <c r="G2397" s="122" t="s">
        <v>778</v>
      </c>
      <c r="H2397" s="122" t="s">
        <v>777</v>
      </c>
      <c r="I2397" s="312">
        <v>2018</v>
      </c>
      <c r="J2397" s="122" t="s">
        <v>709</v>
      </c>
      <c r="K2397" s="283">
        <v>6055</v>
      </c>
      <c r="L2397" s="318">
        <v>-33.740467000000002</v>
      </c>
      <c r="M2397" s="318">
        <v>150.984421</v>
      </c>
      <c r="O2397">
        <f>INDEX('MEC - traffic congestion'!$M$145:$M$249,MATCH($D2397,'MEC - traffic congestion'!$C$145:$C$249,0))</f>
        <v>1</v>
      </c>
      <c r="P2397" t="str">
        <f t="shared" si="107"/>
        <v>2018AM PEAK</v>
      </c>
      <c r="Q2397">
        <f t="shared" si="108"/>
        <v>1</v>
      </c>
      <c r="R2397" s="195" t="str">
        <f t="shared" si="109"/>
        <v>2018LIGHT VEHICLES</v>
      </c>
    </row>
    <row r="2398" spans="3:18" x14ac:dyDescent="0.25">
      <c r="C2398" s="294" t="s">
        <v>925</v>
      </c>
      <c r="D2398" s="317">
        <v>72027</v>
      </c>
      <c r="E2398" s="122" t="s">
        <v>873</v>
      </c>
      <c r="F2398" s="122" t="s">
        <v>926</v>
      </c>
      <c r="G2398" s="122" t="s">
        <v>776</v>
      </c>
      <c r="H2398" s="122" t="s">
        <v>777</v>
      </c>
      <c r="I2398" s="312">
        <v>2018</v>
      </c>
      <c r="J2398" s="122" t="s">
        <v>710</v>
      </c>
      <c r="K2398" s="283">
        <v>9081</v>
      </c>
      <c r="L2398" s="318">
        <v>-33.740467000000002</v>
      </c>
      <c r="M2398" s="318">
        <v>150.984421</v>
      </c>
      <c r="O2398">
        <f>INDEX('MEC - traffic congestion'!$M$145:$M$249,MATCH($D2398,'MEC - traffic congestion'!$C$145:$C$249,0))</f>
        <v>1</v>
      </c>
      <c r="P2398" t="str">
        <f t="shared" si="107"/>
        <v>2018OFF PEAK</v>
      </c>
      <c r="Q2398">
        <f t="shared" si="108"/>
        <v>1</v>
      </c>
      <c r="R2398" s="195" t="str">
        <f t="shared" si="109"/>
        <v>2018LIGHT VEHICLES</v>
      </c>
    </row>
    <row r="2399" spans="3:18" x14ac:dyDescent="0.25">
      <c r="C2399" s="294" t="s">
        <v>925</v>
      </c>
      <c r="D2399" s="317">
        <v>72027</v>
      </c>
      <c r="E2399" s="122" t="s">
        <v>873</v>
      </c>
      <c r="F2399" s="122" t="s">
        <v>926</v>
      </c>
      <c r="G2399" s="122" t="s">
        <v>778</v>
      </c>
      <c r="H2399" s="122" t="s">
        <v>777</v>
      </c>
      <c r="I2399" s="312">
        <v>2018</v>
      </c>
      <c r="J2399" s="122" t="s">
        <v>710</v>
      </c>
      <c r="K2399" s="283">
        <v>8859</v>
      </c>
      <c r="L2399" s="318">
        <v>-33.740467000000002</v>
      </c>
      <c r="M2399" s="318">
        <v>150.984421</v>
      </c>
      <c r="O2399">
        <f>INDEX('MEC - traffic congestion'!$M$145:$M$249,MATCH($D2399,'MEC - traffic congestion'!$C$145:$C$249,0))</f>
        <v>1</v>
      </c>
      <c r="P2399" t="str">
        <f t="shared" si="107"/>
        <v>2018OFF PEAK</v>
      </c>
      <c r="Q2399">
        <f t="shared" si="108"/>
        <v>1</v>
      </c>
      <c r="R2399" s="195" t="str">
        <f t="shared" si="109"/>
        <v>2018LIGHT VEHICLES</v>
      </c>
    </row>
    <row r="2400" spans="3:18" x14ac:dyDescent="0.25">
      <c r="C2400" s="294" t="s">
        <v>925</v>
      </c>
      <c r="D2400" s="317">
        <v>72027</v>
      </c>
      <c r="E2400" s="122" t="s">
        <v>873</v>
      </c>
      <c r="F2400" s="122" t="s">
        <v>926</v>
      </c>
      <c r="G2400" s="122" t="s">
        <v>776</v>
      </c>
      <c r="H2400" s="122" t="s">
        <v>777</v>
      </c>
      <c r="I2400" s="312">
        <v>2018</v>
      </c>
      <c r="J2400" s="122" t="s">
        <v>711</v>
      </c>
      <c r="K2400" s="283">
        <v>7329</v>
      </c>
      <c r="L2400" s="318">
        <v>-33.740467000000002</v>
      </c>
      <c r="M2400" s="318">
        <v>150.984421</v>
      </c>
      <c r="O2400">
        <f>INDEX('MEC - traffic congestion'!$M$145:$M$249,MATCH($D2400,'MEC - traffic congestion'!$C$145:$C$249,0))</f>
        <v>1</v>
      </c>
      <c r="P2400" t="str">
        <f t="shared" si="107"/>
        <v>2018PM PEAK</v>
      </c>
      <c r="Q2400">
        <f t="shared" si="108"/>
        <v>1</v>
      </c>
      <c r="R2400" s="195" t="str">
        <f t="shared" si="109"/>
        <v>2018LIGHT VEHICLES</v>
      </c>
    </row>
    <row r="2401" spans="3:18" x14ac:dyDescent="0.25">
      <c r="C2401" s="294" t="s">
        <v>925</v>
      </c>
      <c r="D2401" s="317">
        <v>72027</v>
      </c>
      <c r="E2401" s="122" t="s">
        <v>873</v>
      </c>
      <c r="F2401" s="122" t="s">
        <v>926</v>
      </c>
      <c r="G2401" s="122" t="s">
        <v>778</v>
      </c>
      <c r="H2401" s="122" t="s">
        <v>777</v>
      </c>
      <c r="I2401" s="312">
        <v>2018</v>
      </c>
      <c r="J2401" s="122" t="s">
        <v>711</v>
      </c>
      <c r="K2401" s="283">
        <v>6247</v>
      </c>
      <c r="L2401" s="318">
        <v>-33.740467000000002</v>
      </c>
      <c r="M2401" s="318">
        <v>150.984421</v>
      </c>
      <c r="O2401">
        <f>INDEX('MEC - traffic congestion'!$M$145:$M$249,MATCH($D2401,'MEC - traffic congestion'!$C$145:$C$249,0))</f>
        <v>1</v>
      </c>
      <c r="P2401" t="str">
        <f t="shared" si="107"/>
        <v>2018PM PEAK</v>
      </c>
      <c r="Q2401">
        <f t="shared" si="108"/>
        <v>1</v>
      </c>
      <c r="R2401" s="195" t="str">
        <f t="shared" si="109"/>
        <v>2018LIGHT VEHICLES</v>
      </c>
    </row>
    <row r="2402" spans="3:18" x14ac:dyDescent="0.25">
      <c r="C2402" s="294" t="s">
        <v>925</v>
      </c>
      <c r="D2402" s="317">
        <v>72027</v>
      </c>
      <c r="E2402" s="122" t="s">
        <v>873</v>
      </c>
      <c r="F2402" s="122" t="s">
        <v>926</v>
      </c>
      <c r="G2402" s="122" t="s">
        <v>776</v>
      </c>
      <c r="H2402" s="122" t="s">
        <v>777</v>
      </c>
      <c r="I2402" s="312">
        <v>2018</v>
      </c>
      <c r="J2402" s="122" t="s">
        <v>712</v>
      </c>
      <c r="K2402" s="283">
        <v>10425</v>
      </c>
      <c r="L2402" s="318">
        <v>-33.740467000000002</v>
      </c>
      <c r="M2402" s="318">
        <v>150.984421</v>
      </c>
      <c r="O2402">
        <f>INDEX('MEC - traffic congestion'!$M$145:$M$249,MATCH($D2402,'MEC - traffic congestion'!$C$145:$C$249,0))</f>
        <v>1</v>
      </c>
      <c r="P2402" t="str">
        <f t="shared" si="107"/>
        <v>2018PUBLIC HOLIDAYS</v>
      </c>
      <c r="Q2402">
        <f t="shared" si="108"/>
        <v>1</v>
      </c>
      <c r="R2402" s="195" t="str">
        <f t="shared" si="109"/>
        <v>2018LIGHT VEHICLES</v>
      </c>
    </row>
    <row r="2403" spans="3:18" x14ac:dyDescent="0.25">
      <c r="C2403" s="294" t="s">
        <v>925</v>
      </c>
      <c r="D2403" s="317">
        <v>72027</v>
      </c>
      <c r="E2403" s="122" t="s">
        <v>873</v>
      </c>
      <c r="F2403" s="122" t="s">
        <v>926</v>
      </c>
      <c r="G2403" s="122" t="s">
        <v>778</v>
      </c>
      <c r="H2403" s="122" t="s">
        <v>777</v>
      </c>
      <c r="I2403" s="312">
        <v>2018</v>
      </c>
      <c r="J2403" s="122" t="s">
        <v>712</v>
      </c>
      <c r="K2403" s="283">
        <v>10035</v>
      </c>
      <c r="L2403" s="318">
        <v>-33.740467000000002</v>
      </c>
      <c r="M2403" s="318">
        <v>150.984421</v>
      </c>
      <c r="O2403">
        <f>INDEX('MEC - traffic congestion'!$M$145:$M$249,MATCH($D2403,'MEC - traffic congestion'!$C$145:$C$249,0))</f>
        <v>1</v>
      </c>
      <c r="P2403" t="str">
        <f t="shared" si="107"/>
        <v>2018PUBLIC HOLIDAYS</v>
      </c>
      <c r="Q2403">
        <f t="shared" si="108"/>
        <v>1</v>
      </c>
      <c r="R2403" s="195" t="str">
        <f t="shared" si="109"/>
        <v>2018LIGHT VEHICLES</v>
      </c>
    </row>
    <row r="2404" spans="3:18" x14ac:dyDescent="0.25">
      <c r="C2404" s="294" t="s">
        <v>925</v>
      </c>
      <c r="D2404" s="317">
        <v>72027</v>
      </c>
      <c r="E2404" s="122" t="s">
        <v>873</v>
      </c>
      <c r="F2404" s="122" t="s">
        <v>926</v>
      </c>
      <c r="G2404" s="122" t="s">
        <v>776</v>
      </c>
      <c r="H2404" s="122" t="s">
        <v>777</v>
      </c>
      <c r="I2404" s="312">
        <v>2018</v>
      </c>
      <c r="J2404" s="122" t="s">
        <v>713</v>
      </c>
      <c r="K2404" s="283">
        <v>16674</v>
      </c>
      <c r="L2404" s="318">
        <v>-33.740467000000002</v>
      </c>
      <c r="M2404" s="318">
        <v>150.984421</v>
      </c>
      <c r="O2404">
        <f>INDEX('MEC - traffic congestion'!$M$145:$M$249,MATCH($D2404,'MEC - traffic congestion'!$C$145:$C$249,0))</f>
        <v>1</v>
      </c>
      <c r="P2404" t="str">
        <f t="shared" si="107"/>
        <v>2018WEEKENDS</v>
      </c>
      <c r="Q2404">
        <f t="shared" si="108"/>
        <v>1</v>
      </c>
      <c r="R2404" s="195" t="str">
        <f t="shared" si="109"/>
        <v>2018LIGHT VEHICLES</v>
      </c>
    </row>
    <row r="2405" spans="3:18" x14ac:dyDescent="0.25">
      <c r="C2405" s="294" t="s">
        <v>925</v>
      </c>
      <c r="D2405" s="317">
        <v>72027</v>
      </c>
      <c r="E2405" s="122" t="s">
        <v>873</v>
      </c>
      <c r="F2405" s="122" t="s">
        <v>926</v>
      </c>
      <c r="G2405" s="122" t="s">
        <v>778</v>
      </c>
      <c r="H2405" s="122" t="s">
        <v>777</v>
      </c>
      <c r="I2405" s="312">
        <v>2018</v>
      </c>
      <c r="J2405" s="122" t="s">
        <v>713</v>
      </c>
      <c r="K2405" s="283">
        <v>16136</v>
      </c>
      <c r="L2405" s="318">
        <v>-33.740467000000002</v>
      </c>
      <c r="M2405" s="318">
        <v>150.984421</v>
      </c>
      <c r="O2405">
        <f>INDEX('MEC - traffic congestion'!$M$145:$M$249,MATCH($D2405,'MEC - traffic congestion'!$C$145:$C$249,0))</f>
        <v>1</v>
      </c>
      <c r="P2405" t="str">
        <f t="shared" si="107"/>
        <v>2018WEEKENDS</v>
      </c>
      <c r="Q2405">
        <f t="shared" si="108"/>
        <v>1</v>
      </c>
      <c r="R2405" s="195" t="str">
        <f t="shared" si="109"/>
        <v>2018LIGHT VEHICLES</v>
      </c>
    </row>
    <row r="2406" spans="3:18" x14ac:dyDescent="0.25">
      <c r="C2406" s="294" t="s">
        <v>925</v>
      </c>
      <c r="D2406" s="317">
        <v>72027</v>
      </c>
      <c r="E2406" s="122" t="s">
        <v>873</v>
      </c>
      <c r="F2406" s="122" t="s">
        <v>926</v>
      </c>
      <c r="G2406" s="122" t="s">
        <v>776</v>
      </c>
      <c r="H2406" s="122" t="s">
        <v>777</v>
      </c>
      <c r="I2406" s="312">
        <v>2019</v>
      </c>
      <c r="J2406" s="122" t="s">
        <v>709</v>
      </c>
      <c r="K2406" s="283">
        <v>5546</v>
      </c>
      <c r="L2406" s="318">
        <v>-33.740467000000002</v>
      </c>
      <c r="M2406" s="318">
        <v>150.984421</v>
      </c>
      <c r="O2406">
        <f>INDEX('MEC - traffic congestion'!$M$145:$M$249,MATCH($D2406,'MEC - traffic congestion'!$C$145:$C$249,0))</f>
        <v>1</v>
      </c>
      <c r="P2406" t="str">
        <f t="shared" si="107"/>
        <v>2019AM PEAK</v>
      </c>
      <c r="Q2406">
        <f t="shared" si="108"/>
        <v>1</v>
      </c>
      <c r="R2406" s="195" t="str">
        <f t="shared" si="109"/>
        <v>2019LIGHT VEHICLES</v>
      </c>
    </row>
    <row r="2407" spans="3:18" x14ac:dyDescent="0.25">
      <c r="C2407" s="294" t="s">
        <v>925</v>
      </c>
      <c r="D2407" s="317">
        <v>72027</v>
      </c>
      <c r="E2407" s="122" t="s">
        <v>873</v>
      </c>
      <c r="F2407" s="122" t="s">
        <v>926</v>
      </c>
      <c r="G2407" s="122" t="s">
        <v>778</v>
      </c>
      <c r="H2407" s="122" t="s">
        <v>777</v>
      </c>
      <c r="I2407" s="312">
        <v>2019</v>
      </c>
      <c r="J2407" s="122" t="s">
        <v>709</v>
      </c>
      <c r="K2407" s="283">
        <v>5968</v>
      </c>
      <c r="L2407" s="318">
        <v>-33.740467000000002</v>
      </c>
      <c r="M2407" s="318">
        <v>150.984421</v>
      </c>
      <c r="O2407">
        <f>INDEX('MEC - traffic congestion'!$M$145:$M$249,MATCH($D2407,'MEC - traffic congestion'!$C$145:$C$249,0))</f>
        <v>1</v>
      </c>
      <c r="P2407" t="str">
        <f t="shared" si="107"/>
        <v>2019AM PEAK</v>
      </c>
      <c r="Q2407">
        <f t="shared" si="108"/>
        <v>1</v>
      </c>
      <c r="R2407" s="195" t="str">
        <f t="shared" si="109"/>
        <v>2019LIGHT VEHICLES</v>
      </c>
    </row>
    <row r="2408" spans="3:18" x14ac:dyDescent="0.25">
      <c r="C2408" s="294" t="s">
        <v>925</v>
      </c>
      <c r="D2408" s="317">
        <v>72027</v>
      </c>
      <c r="E2408" s="122" t="s">
        <v>873</v>
      </c>
      <c r="F2408" s="122" t="s">
        <v>926</v>
      </c>
      <c r="G2408" s="122" t="s">
        <v>776</v>
      </c>
      <c r="H2408" s="122" t="s">
        <v>777</v>
      </c>
      <c r="I2408" s="312">
        <v>2019</v>
      </c>
      <c r="J2408" s="122" t="s">
        <v>710</v>
      </c>
      <c r="K2408" s="283">
        <v>9087</v>
      </c>
      <c r="L2408" s="318">
        <v>-33.740467000000002</v>
      </c>
      <c r="M2408" s="318">
        <v>150.984421</v>
      </c>
      <c r="O2408">
        <f>INDEX('MEC - traffic congestion'!$M$145:$M$249,MATCH($D2408,'MEC - traffic congestion'!$C$145:$C$249,0))</f>
        <v>1</v>
      </c>
      <c r="P2408" t="str">
        <f t="shared" si="107"/>
        <v>2019OFF PEAK</v>
      </c>
      <c r="Q2408">
        <f t="shared" si="108"/>
        <v>1</v>
      </c>
      <c r="R2408" s="195" t="str">
        <f t="shared" si="109"/>
        <v>2019LIGHT VEHICLES</v>
      </c>
    </row>
    <row r="2409" spans="3:18" x14ac:dyDescent="0.25">
      <c r="C2409" s="294" t="s">
        <v>925</v>
      </c>
      <c r="D2409" s="317">
        <v>72027</v>
      </c>
      <c r="E2409" s="122" t="s">
        <v>873</v>
      </c>
      <c r="F2409" s="122" t="s">
        <v>926</v>
      </c>
      <c r="G2409" s="122" t="s">
        <v>778</v>
      </c>
      <c r="H2409" s="122" t="s">
        <v>777</v>
      </c>
      <c r="I2409" s="312">
        <v>2019</v>
      </c>
      <c r="J2409" s="122" t="s">
        <v>710</v>
      </c>
      <c r="K2409" s="283">
        <v>8853</v>
      </c>
      <c r="L2409" s="318">
        <v>-33.740467000000002</v>
      </c>
      <c r="M2409" s="318">
        <v>150.984421</v>
      </c>
      <c r="O2409">
        <f>INDEX('MEC - traffic congestion'!$M$145:$M$249,MATCH($D2409,'MEC - traffic congestion'!$C$145:$C$249,0))</f>
        <v>1</v>
      </c>
      <c r="P2409" t="str">
        <f t="shared" si="107"/>
        <v>2019OFF PEAK</v>
      </c>
      <c r="Q2409">
        <f t="shared" si="108"/>
        <v>1</v>
      </c>
      <c r="R2409" s="195" t="str">
        <f t="shared" si="109"/>
        <v>2019LIGHT VEHICLES</v>
      </c>
    </row>
    <row r="2410" spans="3:18" x14ac:dyDescent="0.25">
      <c r="C2410" s="294" t="s">
        <v>925</v>
      </c>
      <c r="D2410" s="317">
        <v>72027</v>
      </c>
      <c r="E2410" s="122" t="s">
        <v>873</v>
      </c>
      <c r="F2410" s="122" t="s">
        <v>926</v>
      </c>
      <c r="G2410" s="122" t="s">
        <v>776</v>
      </c>
      <c r="H2410" s="122" t="s">
        <v>777</v>
      </c>
      <c r="I2410" s="312">
        <v>2019</v>
      </c>
      <c r="J2410" s="122" t="s">
        <v>711</v>
      </c>
      <c r="K2410" s="283">
        <v>7301</v>
      </c>
      <c r="L2410" s="318">
        <v>-33.740467000000002</v>
      </c>
      <c r="M2410" s="318">
        <v>150.984421</v>
      </c>
      <c r="O2410">
        <f>INDEX('MEC - traffic congestion'!$M$145:$M$249,MATCH($D2410,'MEC - traffic congestion'!$C$145:$C$249,0))</f>
        <v>1</v>
      </c>
      <c r="P2410" t="str">
        <f t="shared" si="107"/>
        <v>2019PM PEAK</v>
      </c>
      <c r="Q2410">
        <f t="shared" si="108"/>
        <v>1</v>
      </c>
      <c r="R2410" s="195" t="str">
        <f t="shared" si="109"/>
        <v>2019LIGHT VEHICLES</v>
      </c>
    </row>
    <row r="2411" spans="3:18" x14ac:dyDescent="0.25">
      <c r="C2411" s="294" t="s">
        <v>925</v>
      </c>
      <c r="D2411" s="317">
        <v>72027</v>
      </c>
      <c r="E2411" s="122" t="s">
        <v>873</v>
      </c>
      <c r="F2411" s="122" t="s">
        <v>926</v>
      </c>
      <c r="G2411" s="122" t="s">
        <v>778</v>
      </c>
      <c r="H2411" s="122" t="s">
        <v>777</v>
      </c>
      <c r="I2411" s="312">
        <v>2019</v>
      </c>
      <c r="J2411" s="122" t="s">
        <v>711</v>
      </c>
      <c r="K2411" s="283">
        <v>6044</v>
      </c>
      <c r="L2411" s="318">
        <v>-33.740467000000002</v>
      </c>
      <c r="M2411" s="318">
        <v>150.984421</v>
      </c>
      <c r="O2411">
        <f>INDEX('MEC - traffic congestion'!$M$145:$M$249,MATCH($D2411,'MEC - traffic congestion'!$C$145:$C$249,0))</f>
        <v>1</v>
      </c>
      <c r="P2411" t="str">
        <f t="shared" si="107"/>
        <v>2019PM PEAK</v>
      </c>
      <c r="Q2411">
        <f t="shared" si="108"/>
        <v>1</v>
      </c>
      <c r="R2411" s="195" t="str">
        <f t="shared" si="109"/>
        <v>2019LIGHT VEHICLES</v>
      </c>
    </row>
    <row r="2412" spans="3:18" x14ac:dyDescent="0.25">
      <c r="C2412" s="294" t="s">
        <v>925</v>
      </c>
      <c r="D2412" s="317">
        <v>72027</v>
      </c>
      <c r="E2412" s="122" t="s">
        <v>873</v>
      </c>
      <c r="F2412" s="122" t="s">
        <v>926</v>
      </c>
      <c r="G2412" s="122" t="s">
        <v>776</v>
      </c>
      <c r="H2412" s="122" t="s">
        <v>777</v>
      </c>
      <c r="I2412" s="312">
        <v>2019</v>
      </c>
      <c r="J2412" s="122" t="s">
        <v>712</v>
      </c>
      <c r="K2412" s="283">
        <v>10579</v>
      </c>
      <c r="L2412" s="318">
        <v>-33.740467000000002</v>
      </c>
      <c r="M2412" s="318">
        <v>150.984421</v>
      </c>
      <c r="O2412">
        <f>INDEX('MEC - traffic congestion'!$M$145:$M$249,MATCH($D2412,'MEC - traffic congestion'!$C$145:$C$249,0))</f>
        <v>1</v>
      </c>
      <c r="P2412" t="str">
        <f t="shared" si="107"/>
        <v>2019PUBLIC HOLIDAYS</v>
      </c>
      <c r="Q2412">
        <f t="shared" si="108"/>
        <v>1</v>
      </c>
      <c r="R2412" s="195" t="str">
        <f t="shared" si="109"/>
        <v>2019LIGHT VEHICLES</v>
      </c>
    </row>
    <row r="2413" spans="3:18" x14ac:dyDescent="0.25">
      <c r="C2413" s="294" t="s">
        <v>925</v>
      </c>
      <c r="D2413" s="317">
        <v>72027</v>
      </c>
      <c r="E2413" s="122" t="s">
        <v>873</v>
      </c>
      <c r="F2413" s="122" t="s">
        <v>926</v>
      </c>
      <c r="G2413" s="122" t="s">
        <v>778</v>
      </c>
      <c r="H2413" s="122" t="s">
        <v>777</v>
      </c>
      <c r="I2413" s="312">
        <v>2019</v>
      </c>
      <c r="J2413" s="122" t="s">
        <v>712</v>
      </c>
      <c r="K2413" s="283">
        <v>10046</v>
      </c>
      <c r="L2413" s="318">
        <v>-33.740467000000002</v>
      </c>
      <c r="M2413" s="318">
        <v>150.984421</v>
      </c>
      <c r="O2413">
        <f>INDEX('MEC - traffic congestion'!$M$145:$M$249,MATCH($D2413,'MEC - traffic congestion'!$C$145:$C$249,0))</f>
        <v>1</v>
      </c>
      <c r="P2413" t="str">
        <f t="shared" si="107"/>
        <v>2019PUBLIC HOLIDAYS</v>
      </c>
      <c r="Q2413">
        <f t="shared" si="108"/>
        <v>1</v>
      </c>
      <c r="R2413" s="195" t="str">
        <f t="shared" si="109"/>
        <v>2019LIGHT VEHICLES</v>
      </c>
    </row>
    <row r="2414" spans="3:18" x14ac:dyDescent="0.25">
      <c r="C2414" s="294" t="s">
        <v>925</v>
      </c>
      <c r="D2414" s="317">
        <v>72027</v>
      </c>
      <c r="E2414" s="122" t="s">
        <v>873</v>
      </c>
      <c r="F2414" s="122" t="s">
        <v>926</v>
      </c>
      <c r="G2414" s="122" t="s">
        <v>776</v>
      </c>
      <c r="H2414" s="122" t="s">
        <v>777</v>
      </c>
      <c r="I2414" s="312">
        <v>2019</v>
      </c>
      <c r="J2414" s="122" t="s">
        <v>713</v>
      </c>
      <c r="K2414" s="283">
        <v>16771</v>
      </c>
      <c r="L2414" s="318">
        <v>-33.740467000000002</v>
      </c>
      <c r="M2414" s="318">
        <v>150.984421</v>
      </c>
      <c r="O2414">
        <f>INDEX('MEC - traffic congestion'!$M$145:$M$249,MATCH($D2414,'MEC - traffic congestion'!$C$145:$C$249,0))</f>
        <v>1</v>
      </c>
      <c r="P2414" t="str">
        <f t="shared" si="107"/>
        <v>2019WEEKENDS</v>
      </c>
      <c r="Q2414">
        <f t="shared" si="108"/>
        <v>1</v>
      </c>
      <c r="R2414" s="195" t="str">
        <f t="shared" si="109"/>
        <v>2019LIGHT VEHICLES</v>
      </c>
    </row>
    <row r="2415" spans="3:18" x14ac:dyDescent="0.25">
      <c r="C2415" s="294" t="s">
        <v>925</v>
      </c>
      <c r="D2415" s="317">
        <v>72027</v>
      </c>
      <c r="E2415" s="122" t="s">
        <v>873</v>
      </c>
      <c r="F2415" s="122" t="s">
        <v>926</v>
      </c>
      <c r="G2415" s="122" t="s">
        <v>778</v>
      </c>
      <c r="H2415" s="122" t="s">
        <v>777</v>
      </c>
      <c r="I2415" s="312">
        <v>2019</v>
      </c>
      <c r="J2415" s="122" t="s">
        <v>713</v>
      </c>
      <c r="K2415" s="283">
        <v>16066</v>
      </c>
      <c r="L2415" s="318">
        <v>-33.740467000000002</v>
      </c>
      <c r="M2415" s="318">
        <v>150.984421</v>
      </c>
      <c r="O2415">
        <f>INDEX('MEC - traffic congestion'!$M$145:$M$249,MATCH($D2415,'MEC - traffic congestion'!$C$145:$C$249,0))</f>
        <v>1</v>
      </c>
      <c r="P2415" t="str">
        <f t="shared" si="107"/>
        <v>2019WEEKENDS</v>
      </c>
      <c r="Q2415">
        <f t="shared" si="108"/>
        <v>1</v>
      </c>
      <c r="R2415" s="195" t="str">
        <f t="shared" si="109"/>
        <v>2019LIGHT VEHICLES</v>
      </c>
    </row>
    <row r="2416" spans="3:18" x14ac:dyDescent="0.25">
      <c r="C2416" s="294" t="s">
        <v>925</v>
      </c>
      <c r="D2416" s="317">
        <v>72027</v>
      </c>
      <c r="E2416" s="122" t="s">
        <v>873</v>
      </c>
      <c r="F2416" s="122" t="s">
        <v>926</v>
      </c>
      <c r="G2416" s="122" t="s">
        <v>776</v>
      </c>
      <c r="H2416" s="122" t="s">
        <v>777</v>
      </c>
      <c r="I2416" s="312">
        <v>2020</v>
      </c>
      <c r="J2416" s="122" t="s">
        <v>709</v>
      </c>
      <c r="K2416" s="283">
        <v>4884</v>
      </c>
      <c r="L2416" s="318">
        <v>-33.740467000000002</v>
      </c>
      <c r="M2416" s="318">
        <v>150.984421</v>
      </c>
      <c r="O2416">
        <f>INDEX('MEC - traffic congestion'!$M$145:$M$249,MATCH($D2416,'MEC - traffic congestion'!$C$145:$C$249,0))</f>
        <v>1</v>
      </c>
      <c r="P2416" t="str">
        <f t="shared" si="107"/>
        <v>2020AM PEAK</v>
      </c>
      <c r="Q2416">
        <f t="shared" si="108"/>
        <v>1</v>
      </c>
      <c r="R2416" s="195" t="str">
        <f t="shared" si="109"/>
        <v>2020LIGHT VEHICLES</v>
      </c>
    </row>
    <row r="2417" spans="3:18" x14ac:dyDescent="0.25">
      <c r="C2417" s="294" t="s">
        <v>925</v>
      </c>
      <c r="D2417" s="317">
        <v>72027</v>
      </c>
      <c r="E2417" s="122" t="s">
        <v>873</v>
      </c>
      <c r="F2417" s="122" t="s">
        <v>926</v>
      </c>
      <c r="G2417" s="122" t="s">
        <v>778</v>
      </c>
      <c r="H2417" s="122" t="s">
        <v>777</v>
      </c>
      <c r="I2417" s="312">
        <v>2020</v>
      </c>
      <c r="J2417" s="122" t="s">
        <v>709</v>
      </c>
      <c r="K2417" s="283">
        <v>5153</v>
      </c>
      <c r="L2417" s="318">
        <v>-33.740467000000002</v>
      </c>
      <c r="M2417" s="318">
        <v>150.984421</v>
      </c>
      <c r="O2417">
        <f>INDEX('MEC - traffic congestion'!$M$145:$M$249,MATCH($D2417,'MEC - traffic congestion'!$C$145:$C$249,0))</f>
        <v>1</v>
      </c>
      <c r="P2417" t="str">
        <f t="shared" si="107"/>
        <v>2020AM PEAK</v>
      </c>
      <c r="Q2417">
        <f t="shared" si="108"/>
        <v>1</v>
      </c>
      <c r="R2417" s="195" t="str">
        <f t="shared" si="109"/>
        <v>2020LIGHT VEHICLES</v>
      </c>
    </row>
    <row r="2418" spans="3:18" x14ac:dyDescent="0.25">
      <c r="C2418" s="294" t="s">
        <v>925</v>
      </c>
      <c r="D2418" s="317">
        <v>72027</v>
      </c>
      <c r="E2418" s="122" t="s">
        <v>873</v>
      </c>
      <c r="F2418" s="122" t="s">
        <v>926</v>
      </c>
      <c r="G2418" s="122" t="s">
        <v>776</v>
      </c>
      <c r="H2418" s="122" t="s">
        <v>777</v>
      </c>
      <c r="I2418" s="312">
        <v>2020</v>
      </c>
      <c r="J2418" s="122" t="s">
        <v>710</v>
      </c>
      <c r="K2418" s="283">
        <v>5439</v>
      </c>
      <c r="L2418" s="318">
        <v>-33.740467000000002</v>
      </c>
      <c r="M2418" s="318">
        <v>150.984421</v>
      </c>
      <c r="O2418">
        <f>INDEX('MEC - traffic congestion'!$M$145:$M$249,MATCH($D2418,'MEC - traffic congestion'!$C$145:$C$249,0))</f>
        <v>1</v>
      </c>
      <c r="P2418" t="str">
        <f t="shared" si="107"/>
        <v>2020OFF PEAK</v>
      </c>
      <c r="Q2418">
        <f t="shared" si="108"/>
        <v>1</v>
      </c>
      <c r="R2418" s="195" t="str">
        <f t="shared" si="109"/>
        <v>2020LIGHT VEHICLES</v>
      </c>
    </row>
    <row r="2419" spans="3:18" x14ac:dyDescent="0.25">
      <c r="C2419" s="294" t="s">
        <v>925</v>
      </c>
      <c r="D2419" s="317">
        <v>72027</v>
      </c>
      <c r="E2419" s="122" t="s">
        <v>873</v>
      </c>
      <c r="F2419" s="122" t="s">
        <v>926</v>
      </c>
      <c r="G2419" s="122" t="s">
        <v>778</v>
      </c>
      <c r="H2419" s="122" t="s">
        <v>777</v>
      </c>
      <c r="I2419" s="312">
        <v>2020</v>
      </c>
      <c r="J2419" s="122" t="s">
        <v>710</v>
      </c>
      <c r="K2419" s="283">
        <v>5388</v>
      </c>
      <c r="L2419" s="318">
        <v>-33.740467000000002</v>
      </c>
      <c r="M2419" s="318">
        <v>150.984421</v>
      </c>
      <c r="O2419">
        <f>INDEX('MEC - traffic congestion'!$M$145:$M$249,MATCH($D2419,'MEC - traffic congestion'!$C$145:$C$249,0))</f>
        <v>1</v>
      </c>
      <c r="P2419" t="str">
        <f t="shared" si="107"/>
        <v>2020OFF PEAK</v>
      </c>
      <c r="Q2419">
        <f t="shared" si="108"/>
        <v>1</v>
      </c>
      <c r="R2419" s="195" t="str">
        <f t="shared" si="109"/>
        <v>2020LIGHT VEHICLES</v>
      </c>
    </row>
    <row r="2420" spans="3:18" x14ac:dyDescent="0.25">
      <c r="C2420" s="294" t="s">
        <v>925</v>
      </c>
      <c r="D2420" s="317">
        <v>72027</v>
      </c>
      <c r="E2420" s="122" t="s">
        <v>873</v>
      </c>
      <c r="F2420" s="122" t="s">
        <v>926</v>
      </c>
      <c r="G2420" s="122" t="s">
        <v>776</v>
      </c>
      <c r="H2420" s="122" t="s">
        <v>777</v>
      </c>
      <c r="I2420" s="312">
        <v>2020</v>
      </c>
      <c r="J2420" s="122" t="s">
        <v>711</v>
      </c>
      <c r="K2420" s="283">
        <v>3248</v>
      </c>
      <c r="L2420" s="318">
        <v>-33.740467000000002</v>
      </c>
      <c r="M2420" s="318">
        <v>150.984421</v>
      </c>
      <c r="O2420">
        <f>INDEX('MEC - traffic congestion'!$M$145:$M$249,MATCH($D2420,'MEC - traffic congestion'!$C$145:$C$249,0))</f>
        <v>1</v>
      </c>
      <c r="P2420" t="str">
        <f t="shared" si="107"/>
        <v>2020PM PEAK</v>
      </c>
      <c r="Q2420">
        <f t="shared" si="108"/>
        <v>1</v>
      </c>
      <c r="R2420" s="195" t="str">
        <f t="shared" si="109"/>
        <v>2020LIGHT VEHICLES</v>
      </c>
    </row>
    <row r="2421" spans="3:18" x14ac:dyDescent="0.25">
      <c r="C2421" s="294" t="s">
        <v>925</v>
      </c>
      <c r="D2421" s="317">
        <v>72027</v>
      </c>
      <c r="E2421" s="122" t="s">
        <v>873</v>
      </c>
      <c r="F2421" s="122" t="s">
        <v>926</v>
      </c>
      <c r="G2421" s="122" t="s">
        <v>778</v>
      </c>
      <c r="H2421" s="122" t="s">
        <v>777</v>
      </c>
      <c r="I2421" s="312">
        <v>2020</v>
      </c>
      <c r="J2421" s="122" t="s">
        <v>711</v>
      </c>
      <c r="K2421" s="283">
        <v>2591</v>
      </c>
      <c r="L2421" s="318">
        <v>-33.740467000000002</v>
      </c>
      <c r="M2421" s="318">
        <v>150.984421</v>
      </c>
      <c r="O2421">
        <f>INDEX('MEC - traffic congestion'!$M$145:$M$249,MATCH($D2421,'MEC - traffic congestion'!$C$145:$C$249,0))</f>
        <v>1</v>
      </c>
      <c r="P2421" t="str">
        <f t="shared" si="107"/>
        <v>2020PM PEAK</v>
      </c>
      <c r="Q2421">
        <f t="shared" si="108"/>
        <v>1</v>
      </c>
      <c r="R2421" s="195" t="str">
        <f t="shared" si="109"/>
        <v>2020LIGHT VEHICLES</v>
      </c>
    </row>
    <row r="2422" spans="3:18" x14ac:dyDescent="0.25">
      <c r="C2422" s="294" t="s">
        <v>925</v>
      </c>
      <c r="D2422" s="317">
        <v>72027</v>
      </c>
      <c r="E2422" s="122" t="s">
        <v>873</v>
      </c>
      <c r="F2422" s="122" t="s">
        <v>926</v>
      </c>
      <c r="G2422" s="122" t="s">
        <v>776</v>
      </c>
      <c r="H2422" s="122" t="s">
        <v>777</v>
      </c>
      <c r="I2422" s="312">
        <v>2020</v>
      </c>
      <c r="J2422" s="122" t="s">
        <v>712</v>
      </c>
      <c r="K2422" s="283">
        <v>7666</v>
      </c>
      <c r="L2422" s="318">
        <v>-33.740467000000002</v>
      </c>
      <c r="M2422" s="318">
        <v>150.984421</v>
      </c>
      <c r="O2422">
        <f>INDEX('MEC - traffic congestion'!$M$145:$M$249,MATCH($D2422,'MEC - traffic congestion'!$C$145:$C$249,0))</f>
        <v>1</v>
      </c>
      <c r="P2422" t="str">
        <f t="shared" si="107"/>
        <v>2020PUBLIC HOLIDAYS</v>
      </c>
      <c r="Q2422">
        <f t="shared" si="108"/>
        <v>1</v>
      </c>
      <c r="R2422" s="195" t="str">
        <f t="shared" si="109"/>
        <v>2020LIGHT VEHICLES</v>
      </c>
    </row>
    <row r="2423" spans="3:18" x14ac:dyDescent="0.25">
      <c r="C2423" s="294" t="s">
        <v>925</v>
      </c>
      <c r="D2423" s="317">
        <v>72027</v>
      </c>
      <c r="E2423" s="122" t="s">
        <v>873</v>
      </c>
      <c r="F2423" s="122" t="s">
        <v>926</v>
      </c>
      <c r="G2423" s="122" t="s">
        <v>778</v>
      </c>
      <c r="H2423" s="122" t="s">
        <v>777</v>
      </c>
      <c r="I2423" s="312">
        <v>2020</v>
      </c>
      <c r="J2423" s="122" t="s">
        <v>712</v>
      </c>
      <c r="K2423" s="283">
        <v>8183</v>
      </c>
      <c r="L2423" s="318">
        <v>-33.740467000000002</v>
      </c>
      <c r="M2423" s="318">
        <v>150.984421</v>
      </c>
      <c r="O2423">
        <f>INDEX('MEC - traffic congestion'!$M$145:$M$249,MATCH($D2423,'MEC - traffic congestion'!$C$145:$C$249,0))</f>
        <v>1</v>
      </c>
      <c r="P2423" t="str">
        <f t="shared" si="107"/>
        <v>2020PUBLIC HOLIDAYS</v>
      </c>
      <c r="Q2423">
        <f t="shared" si="108"/>
        <v>1</v>
      </c>
      <c r="R2423" s="195" t="str">
        <f t="shared" si="109"/>
        <v>2020LIGHT VEHICLES</v>
      </c>
    </row>
    <row r="2424" spans="3:18" x14ac:dyDescent="0.25">
      <c r="C2424" s="294" t="s">
        <v>925</v>
      </c>
      <c r="D2424" s="317">
        <v>72027</v>
      </c>
      <c r="E2424" s="122" t="s">
        <v>873</v>
      </c>
      <c r="F2424" s="122" t="s">
        <v>926</v>
      </c>
      <c r="G2424" s="122" t="s">
        <v>776</v>
      </c>
      <c r="H2424" s="122" t="s">
        <v>777</v>
      </c>
      <c r="I2424" s="312">
        <v>2020</v>
      </c>
      <c r="J2424" s="122" t="s">
        <v>713</v>
      </c>
      <c r="K2424" s="283">
        <v>9715</v>
      </c>
      <c r="L2424" s="318">
        <v>-33.740467000000002</v>
      </c>
      <c r="M2424" s="318">
        <v>150.984421</v>
      </c>
      <c r="O2424">
        <f>INDEX('MEC - traffic congestion'!$M$145:$M$249,MATCH($D2424,'MEC - traffic congestion'!$C$145:$C$249,0))</f>
        <v>1</v>
      </c>
      <c r="P2424" t="str">
        <f t="shared" si="107"/>
        <v>2020WEEKENDS</v>
      </c>
      <c r="Q2424">
        <f t="shared" si="108"/>
        <v>1</v>
      </c>
      <c r="R2424" s="195" t="str">
        <f t="shared" si="109"/>
        <v>2020LIGHT VEHICLES</v>
      </c>
    </row>
    <row r="2425" spans="3:18" x14ac:dyDescent="0.25">
      <c r="C2425" s="294" t="s">
        <v>925</v>
      </c>
      <c r="D2425" s="317">
        <v>72027</v>
      </c>
      <c r="E2425" s="122" t="s">
        <v>873</v>
      </c>
      <c r="F2425" s="122" t="s">
        <v>926</v>
      </c>
      <c r="G2425" s="122" t="s">
        <v>778</v>
      </c>
      <c r="H2425" s="122" t="s">
        <v>777</v>
      </c>
      <c r="I2425" s="312">
        <v>2020</v>
      </c>
      <c r="J2425" s="122" t="s">
        <v>713</v>
      </c>
      <c r="K2425" s="283">
        <v>8908</v>
      </c>
      <c r="L2425" s="318">
        <v>-33.740467000000002</v>
      </c>
      <c r="M2425" s="318">
        <v>150.984421</v>
      </c>
      <c r="O2425">
        <f>INDEX('MEC - traffic congestion'!$M$145:$M$249,MATCH($D2425,'MEC - traffic congestion'!$C$145:$C$249,0))</f>
        <v>1</v>
      </c>
      <c r="P2425" t="str">
        <f t="shared" si="107"/>
        <v>2020WEEKENDS</v>
      </c>
      <c r="Q2425">
        <f t="shared" si="108"/>
        <v>1</v>
      </c>
      <c r="R2425" s="195" t="str">
        <f t="shared" si="109"/>
        <v>2020LIGHT VEHICLES</v>
      </c>
    </row>
    <row r="2426" spans="3:18" x14ac:dyDescent="0.25">
      <c r="C2426" s="294" t="s">
        <v>925</v>
      </c>
      <c r="D2426" s="317">
        <v>72027</v>
      </c>
      <c r="E2426" s="122" t="s">
        <v>873</v>
      </c>
      <c r="F2426" s="122" t="s">
        <v>926</v>
      </c>
      <c r="G2426" s="122" t="s">
        <v>776</v>
      </c>
      <c r="H2426" s="122" t="s">
        <v>777</v>
      </c>
      <c r="I2426" s="312">
        <v>2021</v>
      </c>
      <c r="J2426" s="122" t="s">
        <v>709</v>
      </c>
      <c r="K2426" s="283">
        <v>4586</v>
      </c>
      <c r="L2426" s="318">
        <v>-33.740467000000002</v>
      </c>
      <c r="M2426" s="318">
        <v>150.984421</v>
      </c>
      <c r="O2426">
        <f>INDEX('MEC - traffic congestion'!$M$145:$M$249,MATCH($D2426,'MEC - traffic congestion'!$C$145:$C$249,0))</f>
        <v>1</v>
      </c>
      <c r="P2426" t="str">
        <f t="shared" si="107"/>
        <v>2021AM PEAK</v>
      </c>
      <c r="Q2426">
        <f t="shared" si="108"/>
        <v>1</v>
      </c>
      <c r="R2426" s="195" t="str">
        <f t="shared" si="109"/>
        <v>2021LIGHT VEHICLES</v>
      </c>
    </row>
    <row r="2427" spans="3:18" x14ac:dyDescent="0.25">
      <c r="C2427" s="294" t="s">
        <v>925</v>
      </c>
      <c r="D2427" s="317">
        <v>72027</v>
      </c>
      <c r="E2427" s="122" t="s">
        <v>873</v>
      </c>
      <c r="F2427" s="122" t="s">
        <v>926</v>
      </c>
      <c r="G2427" s="122" t="s">
        <v>778</v>
      </c>
      <c r="H2427" s="122" t="s">
        <v>777</v>
      </c>
      <c r="I2427" s="312">
        <v>2021</v>
      </c>
      <c r="J2427" s="122" t="s">
        <v>709</v>
      </c>
      <c r="K2427" s="283">
        <v>4653</v>
      </c>
      <c r="L2427" s="318">
        <v>-33.740467000000002</v>
      </c>
      <c r="M2427" s="318">
        <v>150.984421</v>
      </c>
      <c r="O2427">
        <f>INDEX('MEC - traffic congestion'!$M$145:$M$249,MATCH($D2427,'MEC - traffic congestion'!$C$145:$C$249,0))</f>
        <v>1</v>
      </c>
      <c r="P2427" t="str">
        <f t="shared" si="107"/>
        <v>2021AM PEAK</v>
      </c>
      <c r="Q2427">
        <f t="shared" si="108"/>
        <v>1</v>
      </c>
      <c r="R2427" s="195" t="str">
        <f t="shared" si="109"/>
        <v>2021LIGHT VEHICLES</v>
      </c>
    </row>
    <row r="2428" spans="3:18" x14ac:dyDescent="0.25">
      <c r="C2428" s="294" t="s">
        <v>925</v>
      </c>
      <c r="D2428" s="317">
        <v>72027</v>
      </c>
      <c r="E2428" s="122" t="s">
        <v>873</v>
      </c>
      <c r="F2428" s="122" t="s">
        <v>926</v>
      </c>
      <c r="G2428" s="122" t="s">
        <v>776</v>
      </c>
      <c r="H2428" s="122" t="s">
        <v>777</v>
      </c>
      <c r="I2428" s="312">
        <v>2021</v>
      </c>
      <c r="J2428" s="122" t="s">
        <v>710</v>
      </c>
      <c r="K2428" s="283">
        <v>7083</v>
      </c>
      <c r="L2428" s="318">
        <v>-33.740467000000002</v>
      </c>
      <c r="M2428" s="318">
        <v>150.984421</v>
      </c>
      <c r="O2428">
        <f>INDEX('MEC - traffic congestion'!$M$145:$M$249,MATCH($D2428,'MEC - traffic congestion'!$C$145:$C$249,0))</f>
        <v>1</v>
      </c>
      <c r="P2428" t="str">
        <f t="shared" si="107"/>
        <v>2021OFF PEAK</v>
      </c>
      <c r="Q2428">
        <f t="shared" si="108"/>
        <v>1</v>
      </c>
      <c r="R2428" s="195" t="str">
        <f t="shared" si="109"/>
        <v>2021LIGHT VEHICLES</v>
      </c>
    </row>
    <row r="2429" spans="3:18" x14ac:dyDescent="0.25">
      <c r="C2429" s="294" t="s">
        <v>925</v>
      </c>
      <c r="D2429" s="317">
        <v>72027</v>
      </c>
      <c r="E2429" s="122" t="s">
        <v>873</v>
      </c>
      <c r="F2429" s="122" t="s">
        <v>926</v>
      </c>
      <c r="G2429" s="122" t="s">
        <v>778</v>
      </c>
      <c r="H2429" s="122" t="s">
        <v>777</v>
      </c>
      <c r="I2429" s="312">
        <v>2021</v>
      </c>
      <c r="J2429" s="122" t="s">
        <v>710</v>
      </c>
      <c r="K2429" s="283">
        <v>6882</v>
      </c>
      <c r="L2429" s="318">
        <v>-33.740467000000002</v>
      </c>
      <c r="M2429" s="318">
        <v>150.984421</v>
      </c>
      <c r="O2429">
        <f>INDEX('MEC - traffic congestion'!$M$145:$M$249,MATCH($D2429,'MEC - traffic congestion'!$C$145:$C$249,0))</f>
        <v>1</v>
      </c>
      <c r="P2429" t="str">
        <f t="shared" si="107"/>
        <v>2021OFF PEAK</v>
      </c>
      <c r="Q2429">
        <f t="shared" si="108"/>
        <v>1</v>
      </c>
      <c r="R2429" s="195" t="str">
        <f t="shared" si="109"/>
        <v>2021LIGHT VEHICLES</v>
      </c>
    </row>
    <row r="2430" spans="3:18" x14ac:dyDescent="0.25">
      <c r="C2430" s="294" t="s">
        <v>925</v>
      </c>
      <c r="D2430" s="317">
        <v>72027</v>
      </c>
      <c r="E2430" s="122" t="s">
        <v>873</v>
      </c>
      <c r="F2430" s="122" t="s">
        <v>926</v>
      </c>
      <c r="G2430" s="122" t="s">
        <v>776</v>
      </c>
      <c r="H2430" s="122" t="s">
        <v>777</v>
      </c>
      <c r="I2430" s="312">
        <v>2021</v>
      </c>
      <c r="J2430" s="122" t="s">
        <v>711</v>
      </c>
      <c r="K2430" s="283">
        <v>5894</v>
      </c>
      <c r="L2430" s="318">
        <v>-33.740467000000002</v>
      </c>
      <c r="M2430" s="318">
        <v>150.984421</v>
      </c>
      <c r="O2430">
        <f>INDEX('MEC - traffic congestion'!$M$145:$M$249,MATCH($D2430,'MEC - traffic congestion'!$C$145:$C$249,0))</f>
        <v>1</v>
      </c>
      <c r="P2430" t="str">
        <f t="shared" si="107"/>
        <v>2021PM PEAK</v>
      </c>
      <c r="Q2430">
        <f t="shared" si="108"/>
        <v>1</v>
      </c>
      <c r="R2430" s="195" t="str">
        <f t="shared" si="109"/>
        <v>2021LIGHT VEHICLES</v>
      </c>
    </row>
    <row r="2431" spans="3:18" x14ac:dyDescent="0.25">
      <c r="C2431" s="294" t="s">
        <v>925</v>
      </c>
      <c r="D2431" s="317">
        <v>72027</v>
      </c>
      <c r="E2431" s="122" t="s">
        <v>873</v>
      </c>
      <c r="F2431" s="122" t="s">
        <v>926</v>
      </c>
      <c r="G2431" s="122" t="s">
        <v>778</v>
      </c>
      <c r="H2431" s="122" t="s">
        <v>777</v>
      </c>
      <c r="I2431" s="312">
        <v>2021</v>
      </c>
      <c r="J2431" s="122" t="s">
        <v>711</v>
      </c>
      <c r="K2431" s="283">
        <v>4894</v>
      </c>
      <c r="L2431" s="318">
        <v>-33.740467000000002</v>
      </c>
      <c r="M2431" s="318">
        <v>150.984421</v>
      </c>
      <c r="O2431">
        <f>INDEX('MEC - traffic congestion'!$M$145:$M$249,MATCH($D2431,'MEC - traffic congestion'!$C$145:$C$249,0))</f>
        <v>1</v>
      </c>
      <c r="P2431" t="str">
        <f t="shared" si="107"/>
        <v>2021PM PEAK</v>
      </c>
      <c r="Q2431">
        <f t="shared" si="108"/>
        <v>1</v>
      </c>
      <c r="R2431" s="195" t="str">
        <f t="shared" si="109"/>
        <v>2021LIGHT VEHICLES</v>
      </c>
    </row>
    <row r="2432" spans="3:18" x14ac:dyDescent="0.25">
      <c r="C2432" s="294" t="s">
        <v>925</v>
      </c>
      <c r="D2432" s="317">
        <v>72027</v>
      </c>
      <c r="E2432" s="122" t="s">
        <v>873</v>
      </c>
      <c r="F2432" s="122" t="s">
        <v>926</v>
      </c>
      <c r="G2432" s="122" t="s">
        <v>776</v>
      </c>
      <c r="H2432" s="122" t="s">
        <v>777</v>
      </c>
      <c r="I2432" s="312">
        <v>2021</v>
      </c>
      <c r="J2432" s="122" t="s">
        <v>713</v>
      </c>
      <c r="K2432" s="283">
        <v>12751</v>
      </c>
      <c r="L2432" s="318">
        <v>-33.740467000000002</v>
      </c>
      <c r="M2432" s="318">
        <v>150.984421</v>
      </c>
      <c r="O2432">
        <f>INDEX('MEC - traffic congestion'!$M$145:$M$249,MATCH($D2432,'MEC - traffic congestion'!$C$145:$C$249,0))</f>
        <v>1</v>
      </c>
      <c r="P2432" t="str">
        <f t="shared" si="107"/>
        <v>2021WEEKENDS</v>
      </c>
      <c r="Q2432">
        <f t="shared" si="108"/>
        <v>1</v>
      </c>
      <c r="R2432" s="195" t="str">
        <f t="shared" si="109"/>
        <v>2021LIGHT VEHICLES</v>
      </c>
    </row>
    <row r="2433" spans="3:18" x14ac:dyDescent="0.25">
      <c r="C2433" s="294" t="s">
        <v>925</v>
      </c>
      <c r="D2433" s="317">
        <v>72027</v>
      </c>
      <c r="E2433" s="122" t="s">
        <v>873</v>
      </c>
      <c r="F2433" s="122" t="s">
        <v>926</v>
      </c>
      <c r="G2433" s="122" t="s">
        <v>778</v>
      </c>
      <c r="H2433" s="122" t="s">
        <v>777</v>
      </c>
      <c r="I2433" s="312">
        <v>2021</v>
      </c>
      <c r="J2433" s="122" t="s">
        <v>713</v>
      </c>
      <c r="K2433" s="283">
        <v>11825</v>
      </c>
      <c r="L2433" s="318">
        <v>-33.740467000000002</v>
      </c>
      <c r="M2433" s="318">
        <v>150.984421</v>
      </c>
      <c r="O2433">
        <f>INDEX('MEC - traffic congestion'!$M$145:$M$249,MATCH($D2433,'MEC - traffic congestion'!$C$145:$C$249,0))</f>
        <v>1</v>
      </c>
      <c r="P2433" t="str">
        <f t="shared" si="107"/>
        <v>2021WEEKENDS</v>
      </c>
      <c r="Q2433">
        <f t="shared" si="108"/>
        <v>1</v>
      </c>
      <c r="R2433" s="195" t="str">
        <f t="shared" si="109"/>
        <v>2021LIGHT VEHICLES</v>
      </c>
    </row>
    <row r="2434" spans="3:18" x14ac:dyDescent="0.25">
      <c r="C2434" s="294" t="s">
        <v>925</v>
      </c>
      <c r="D2434" s="317">
        <v>72027</v>
      </c>
      <c r="E2434" s="122" t="s">
        <v>873</v>
      </c>
      <c r="F2434" s="122" t="s">
        <v>926</v>
      </c>
      <c r="G2434" s="122" t="s">
        <v>776</v>
      </c>
      <c r="H2434" s="122" t="s">
        <v>777</v>
      </c>
      <c r="I2434" s="312">
        <v>2022</v>
      </c>
      <c r="J2434" s="122" t="s">
        <v>709</v>
      </c>
      <c r="K2434" s="283">
        <v>4890</v>
      </c>
      <c r="L2434" s="318">
        <v>-33.740467000000002</v>
      </c>
      <c r="M2434" s="318">
        <v>150.984421</v>
      </c>
      <c r="O2434">
        <f>INDEX('MEC - traffic congestion'!$M$145:$M$249,MATCH($D2434,'MEC - traffic congestion'!$C$145:$C$249,0))</f>
        <v>1</v>
      </c>
      <c r="P2434" t="str">
        <f t="shared" si="107"/>
        <v>2022AM PEAK</v>
      </c>
      <c r="Q2434">
        <f t="shared" si="108"/>
        <v>1</v>
      </c>
      <c r="R2434" s="195" t="str">
        <f t="shared" si="109"/>
        <v>2022LIGHT VEHICLES</v>
      </c>
    </row>
    <row r="2435" spans="3:18" x14ac:dyDescent="0.25">
      <c r="C2435" s="294" t="s">
        <v>925</v>
      </c>
      <c r="D2435" s="317">
        <v>72027</v>
      </c>
      <c r="E2435" s="122" t="s">
        <v>873</v>
      </c>
      <c r="F2435" s="122" t="s">
        <v>926</v>
      </c>
      <c r="G2435" s="122" t="s">
        <v>778</v>
      </c>
      <c r="H2435" s="122" t="s">
        <v>777</v>
      </c>
      <c r="I2435" s="312">
        <v>2022</v>
      </c>
      <c r="J2435" s="122" t="s">
        <v>709</v>
      </c>
      <c r="K2435" s="283">
        <v>4871</v>
      </c>
      <c r="L2435" s="318">
        <v>-33.740467000000002</v>
      </c>
      <c r="M2435" s="318">
        <v>150.984421</v>
      </c>
      <c r="O2435">
        <f>INDEX('MEC - traffic congestion'!$M$145:$M$249,MATCH($D2435,'MEC - traffic congestion'!$C$145:$C$249,0))</f>
        <v>1</v>
      </c>
      <c r="P2435" t="str">
        <f t="shared" si="107"/>
        <v>2022AM PEAK</v>
      </c>
      <c r="Q2435">
        <f t="shared" si="108"/>
        <v>1</v>
      </c>
      <c r="R2435" s="195" t="str">
        <f t="shared" si="109"/>
        <v>2022LIGHT VEHICLES</v>
      </c>
    </row>
    <row r="2436" spans="3:18" x14ac:dyDescent="0.25">
      <c r="C2436" s="294" t="s">
        <v>925</v>
      </c>
      <c r="D2436" s="317">
        <v>72027</v>
      </c>
      <c r="E2436" s="122" t="s">
        <v>873</v>
      </c>
      <c r="F2436" s="122" t="s">
        <v>926</v>
      </c>
      <c r="G2436" s="122" t="s">
        <v>776</v>
      </c>
      <c r="H2436" s="122" t="s">
        <v>777</v>
      </c>
      <c r="I2436" s="312">
        <v>2022</v>
      </c>
      <c r="J2436" s="122" t="s">
        <v>710</v>
      </c>
      <c r="K2436" s="283">
        <v>8246</v>
      </c>
      <c r="L2436" s="318">
        <v>-33.740467000000002</v>
      </c>
      <c r="M2436" s="318">
        <v>150.984421</v>
      </c>
      <c r="O2436">
        <f>INDEX('MEC - traffic congestion'!$M$145:$M$249,MATCH($D2436,'MEC - traffic congestion'!$C$145:$C$249,0))</f>
        <v>1</v>
      </c>
      <c r="P2436" t="str">
        <f t="shared" si="107"/>
        <v>2022OFF PEAK</v>
      </c>
      <c r="Q2436">
        <f t="shared" si="108"/>
        <v>1</v>
      </c>
      <c r="R2436" s="195" t="str">
        <f t="shared" si="109"/>
        <v>2022LIGHT VEHICLES</v>
      </c>
    </row>
    <row r="2437" spans="3:18" x14ac:dyDescent="0.25">
      <c r="C2437" s="294" t="s">
        <v>925</v>
      </c>
      <c r="D2437" s="317">
        <v>72027</v>
      </c>
      <c r="E2437" s="122" t="s">
        <v>873</v>
      </c>
      <c r="F2437" s="122" t="s">
        <v>926</v>
      </c>
      <c r="G2437" s="122" t="s">
        <v>778</v>
      </c>
      <c r="H2437" s="122" t="s">
        <v>777</v>
      </c>
      <c r="I2437" s="312">
        <v>2022</v>
      </c>
      <c r="J2437" s="122" t="s">
        <v>710</v>
      </c>
      <c r="K2437" s="283">
        <v>7619</v>
      </c>
      <c r="L2437" s="318">
        <v>-33.740467000000002</v>
      </c>
      <c r="M2437" s="318">
        <v>150.984421</v>
      </c>
      <c r="O2437">
        <f>INDEX('MEC - traffic congestion'!$M$145:$M$249,MATCH($D2437,'MEC - traffic congestion'!$C$145:$C$249,0))</f>
        <v>1</v>
      </c>
      <c r="P2437" t="str">
        <f t="shared" si="107"/>
        <v>2022OFF PEAK</v>
      </c>
      <c r="Q2437">
        <f t="shared" si="108"/>
        <v>1</v>
      </c>
      <c r="R2437" s="195" t="str">
        <f t="shared" si="109"/>
        <v>2022LIGHT VEHICLES</v>
      </c>
    </row>
    <row r="2438" spans="3:18" x14ac:dyDescent="0.25">
      <c r="C2438" s="294" t="s">
        <v>925</v>
      </c>
      <c r="D2438" s="317">
        <v>72027</v>
      </c>
      <c r="E2438" s="122" t="s">
        <v>873</v>
      </c>
      <c r="F2438" s="122" t="s">
        <v>926</v>
      </c>
      <c r="G2438" s="122" t="s">
        <v>776</v>
      </c>
      <c r="H2438" s="122" t="s">
        <v>777</v>
      </c>
      <c r="I2438" s="312">
        <v>2022</v>
      </c>
      <c r="J2438" s="122" t="s">
        <v>711</v>
      </c>
      <c r="K2438" s="283">
        <v>6484</v>
      </c>
      <c r="L2438" s="318">
        <v>-33.740467000000002</v>
      </c>
      <c r="M2438" s="318">
        <v>150.984421</v>
      </c>
      <c r="O2438">
        <f>INDEX('MEC - traffic congestion'!$M$145:$M$249,MATCH($D2438,'MEC - traffic congestion'!$C$145:$C$249,0))</f>
        <v>1</v>
      </c>
      <c r="P2438" t="str">
        <f t="shared" si="107"/>
        <v>2022PM PEAK</v>
      </c>
      <c r="Q2438">
        <f t="shared" si="108"/>
        <v>1</v>
      </c>
      <c r="R2438" s="195" t="str">
        <f t="shared" si="109"/>
        <v>2022LIGHT VEHICLES</v>
      </c>
    </row>
    <row r="2439" spans="3:18" x14ac:dyDescent="0.25">
      <c r="C2439" s="294" t="s">
        <v>925</v>
      </c>
      <c r="D2439" s="317">
        <v>72027</v>
      </c>
      <c r="E2439" s="122" t="s">
        <v>873</v>
      </c>
      <c r="F2439" s="122" t="s">
        <v>926</v>
      </c>
      <c r="G2439" s="122" t="s">
        <v>778</v>
      </c>
      <c r="H2439" s="122" t="s">
        <v>777</v>
      </c>
      <c r="I2439" s="312">
        <v>2022</v>
      </c>
      <c r="J2439" s="122" t="s">
        <v>711</v>
      </c>
      <c r="K2439" s="283">
        <v>5268</v>
      </c>
      <c r="L2439" s="318">
        <v>-33.740467000000002</v>
      </c>
      <c r="M2439" s="318">
        <v>150.984421</v>
      </c>
      <c r="O2439">
        <f>INDEX('MEC - traffic congestion'!$M$145:$M$249,MATCH($D2439,'MEC - traffic congestion'!$C$145:$C$249,0))</f>
        <v>1</v>
      </c>
      <c r="P2439" t="str">
        <f t="shared" si="107"/>
        <v>2022PM PEAK</v>
      </c>
      <c r="Q2439">
        <f t="shared" si="108"/>
        <v>1</v>
      </c>
      <c r="R2439" s="195" t="str">
        <f t="shared" si="109"/>
        <v>2022LIGHT VEHICLES</v>
      </c>
    </row>
    <row r="2440" spans="3:18" x14ac:dyDescent="0.25">
      <c r="C2440" s="294" t="s">
        <v>925</v>
      </c>
      <c r="D2440" s="317">
        <v>72027</v>
      </c>
      <c r="E2440" s="122" t="s">
        <v>873</v>
      </c>
      <c r="F2440" s="122" t="s">
        <v>926</v>
      </c>
      <c r="G2440" s="122" t="s">
        <v>776</v>
      </c>
      <c r="H2440" s="122" t="s">
        <v>777</v>
      </c>
      <c r="I2440" s="312">
        <v>2022</v>
      </c>
      <c r="J2440" s="122" t="s">
        <v>713</v>
      </c>
      <c r="K2440" s="283">
        <v>16098</v>
      </c>
      <c r="L2440" s="318">
        <v>-33.740467000000002</v>
      </c>
      <c r="M2440" s="318">
        <v>150.984421</v>
      </c>
      <c r="O2440">
        <f>INDEX('MEC - traffic congestion'!$M$145:$M$249,MATCH($D2440,'MEC - traffic congestion'!$C$145:$C$249,0))</f>
        <v>1</v>
      </c>
      <c r="P2440" t="str">
        <f t="shared" si="107"/>
        <v>2022WEEKENDS</v>
      </c>
      <c r="Q2440">
        <f t="shared" si="108"/>
        <v>1</v>
      </c>
      <c r="R2440" s="195" t="str">
        <f t="shared" si="109"/>
        <v>2022LIGHT VEHICLES</v>
      </c>
    </row>
    <row r="2441" spans="3:18" x14ac:dyDescent="0.25">
      <c r="C2441" s="294" t="s">
        <v>925</v>
      </c>
      <c r="D2441" s="317">
        <v>72027</v>
      </c>
      <c r="E2441" s="122" t="s">
        <v>873</v>
      </c>
      <c r="F2441" s="122" t="s">
        <v>926</v>
      </c>
      <c r="G2441" s="122" t="s">
        <v>778</v>
      </c>
      <c r="H2441" s="122" t="s">
        <v>777</v>
      </c>
      <c r="I2441" s="312">
        <v>2022</v>
      </c>
      <c r="J2441" s="122" t="s">
        <v>713</v>
      </c>
      <c r="K2441" s="283">
        <v>14301</v>
      </c>
      <c r="L2441" s="318">
        <v>-33.740467000000002</v>
      </c>
      <c r="M2441" s="318">
        <v>150.984421</v>
      </c>
      <c r="O2441">
        <f>INDEX('MEC - traffic congestion'!$M$145:$M$249,MATCH($D2441,'MEC - traffic congestion'!$C$145:$C$249,0))</f>
        <v>1</v>
      </c>
      <c r="P2441" t="str">
        <f t="shared" si="107"/>
        <v>2022WEEKENDS</v>
      </c>
      <c r="Q2441">
        <f t="shared" si="108"/>
        <v>1</v>
      </c>
      <c r="R2441" s="195" t="str">
        <f t="shared" si="109"/>
        <v>2022LIGHT VEHICLES</v>
      </c>
    </row>
    <row r="2442" spans="3:18" x14ac:dyDescent="0.25">
      <c r="C2442" s="294" t="s">
        <v>925</v>
      </c>
      <c r="D2442" s="317">
        <v>72027</v>
      </c>
      <c r="E2442" s="122" t="s">
        <v>873</v>
      </c>
      <c r="F2442" s="122" t="s">
        <v>926</v>
      </c>
      <c r="G2442" s="122" t="s">
        <v>776</v>
      </c>
      <c r="H2442" s="122" t="s">
        <v>777</v>
      </c>
      <c r="I2442" s="312">
        <v>2023</v>
      </c>
      <c r="J2442" s="122" t="s">
        <v>709</v>
      </c>
      <c r="K2442" s="283">
        <v>5212</v>
      </c>
      <c r="L2442" s="318">
        <v>-33.740467000000002</v>
      </c>
      <c r="M2442" s="318">
        <v>150.984421</v>
      </c>
      <c r="O2442">
        <f>INDEX('MEC - traffic congestion'!$M$145:$M$249,MATCH($D2442,'MEC - traffic congestion'!$C$145:$C$249,0))</f>
        <v>1</v>
      </c>
      <c r="P2442" t="str">
        <f t="shared" si="107"/>
        <v>2023AM PEAK</v>
      </c>
      <c r="Q2442">
        <f t="shared" si="108"/>
        <v>1</v>
      </c>
      <c r="R2442" s="195" t="str">
        <f t="shared" si="109"/>
        <v>2023LIGHT VEHICLES</v>
      </c>
    </row>
    <row r="2443" spans="3:18" x14ac:dyDescent="0.25">
      <c r="C2443" s="294" t="s">
        <v>925</v>
      </c>
      <c r="D2443" s="317">
        <v>72027</v>
      </c>
      <c r="E2443" s="122" t="s">
        <v>873</v>
      </c>
      <c r="F2443" s="122" t="s">
        <v>926</v>
      </c>
      <c r="G2443" s="122" t="s">
        <v>778</v>
      </c>
      <c r="H2443" s="122" t="s">
        <v>777</v>
      </c>
      <c r="I2443" s="312">
        <v>2023</v>
      </c>
      <c r="J2443" s="122" t="s">
        <v>709</v>
      </c>
      <c r="K2443" s="283">
        <v>5228</v>
      </c>
      <c r="L2443" s="318">
        <v>-33.740467000000002</v>
      </c>
      <c r="M2443" s="318">
        <v>150.984421</v>
      </c>
      <c r="O2443">
        <f>INDEX('MEC - traffic congestion'!$M$145:$M$249,MATCH($D2443,'MEC - traffic congestion'!$C$145:$C$249,0))</f>
        <v>1</v>
      </c>
      <c r="P2443" t="str">
        <f t="shared" si="107"/>
        <v>2023AM PEAK</v>
      </c>
      <c r="Q2443">
        <f t="shared" si="108"/>
        <v>1</v>
      </c>
      <c r="R2443" s="195" t="str">
        <f t="shared" si="109"/>
        <v>2023LIGHT VEHICLES</v>
      </c>
    </row>
    <row r="2444" spans="3:18" x14ac:dyDescent="0.25">
      <c r="C2444" s="294" t="s">
        <v>925</v>
      </c>
      <c r="D2444" s="317">
        <v>72027</v>
      </c>
      <c r="E2444" s="122" t="s">
        <v>873</v>
      </c>
      <c r="F2444" s="122" t="s">
        <v>926</v>
      </c>
      <c r="G2444" s="122" t="s">
        <v>776</v>
      </c>
      <c r="H2444" s="122" t="s">
        <v>777</v>
      </c>
      <c r="I2444" s="312">
        <v>2023</v>
      </c>
      <c r="J2444" s="122" t="s">
        <v>710</v>
      </c>
      <c r="K2444" s="283">
        <v>8800</v>
      </c>
      <c r="L2444" s="318">
        <v>-33.740467000000002</v>
      </c>
      <c r="M2444" s="318">
        <v>150.984421</v>
      </c>
      <c r="O2444">
        <f>INDEX('MEC - traffic congestion'!$M$145:$M$249,MATCH($D2444,'MEC - traffic congestion'!$C$145:$C$249,0))</f>
        <v>1</v>
      </c>
      <c r="P2444" t="str">
        <f t="shared" si="107"/>
        <v>2023OFF PEAK</v>
      </c>
      <c r="Q2444">
        <f t="shared" si="108"/>
        <v>1</v>
      </c>
      <c r="R2444" s="195" t="str">
        <f t="shared" si="109"/>
        <v>2023LIGHT VEHICLES</v>
      </c>
    </row>
    <row r="2445" spans="3:18" x14ac:dyDescent="0.25">
      <c r="C2445" s="294" t="s">
        <v>925</v>
      </c>
      <c r="D2445" s="317">
        <v>72027</v>
      </c>
      <c r="E2445" s="122" t="s">
        <v>873</v>
      </c>
      <c r="F2445" s="122" t="s">
        <v>926</v>
      </c>
      <c r="G2445" s="122" t="s">
        <v>778</v>
      </c>
      <c r="H2445" s="122" t="s">
        <v>777</v>
      </c>
      <c r="I2445" s="312">
        <v>2023</v>
      </c>
      <c r="J2445" s="122" t="s">
        <v>710</v>
      </c>
      <c r="K2445" s="283">
        <v>8155</v>
      </c>
      <c r="L2445" s="318">
        <v>-33.740467000000002</v>
      </c>
      <c r="M2445" s="318">
        <v>150.984421</v>
      </c>
      <c r="O2445">
        <f>INDEX('MEC - traffic congestion'!$M$145:$M$249,MATCH($D2445,'MEC - traffic congestion'!$C$145:$C$249,0))</f>
        <v>1</v>
      </c>
      <c r="P2445" t="str">
        <f t="shared" si="107"/>
        <v>2023OFF PEAK</v>
      </c>
      <c r="Q2445">
        <f t="shared" si="108"/>
        <v>1</v>
      </c>
      <c r="R2445" s="195" t="str">
        <f t="shared" si="109"/>
        <v>2023LIGHT VEHICLES</v>
      </c>
    </row>
    <row r="2446" spans="3:18" x14ac:dyDescent="0.25">
      <c r="C2446" s="294" t="s">
        <v>925</v>
      </c>
      <c r="D2446" s="317">
        <v>72027</v>
      </c>
      <c r="E2446" s="122" t="s">
        <v>873</v>
      </c>
      <c r="F2446" s="122" t="s">
        <v>926</v>
      </c>
      <c r="G2446" s="122" t="s">
        <v>776</v>
      </c>
      <c r="H2446" s="122" t="s">
        <v>777</v>
      </c>
      <c r="I2446" s="312">
        <v>2023</v>
      </c>
      <c r="J2446" s="122" t="s">
        <v>711</v>
      </c>
      <c r="K2446" s="283">
        <v>6903</v>
      </c>
      <c r="L2446" s="318">
        <v>-33.740467000000002</v>
      </c>
      <c r="M2446" s="318">
        <v>150.984421</v>
      </c>
      <c r="O2446">
        <f>INDEX('MEC - traffic congestion'!$M$145:$M$249,MATCH($D2446,'MEC - traffic congestion'!$C$145:$C$249,0))</f>
        <v>1</v>
      </c>
      <c r="P2446" t="str">
        <f t="shared" si="107"/>
        <v>2023PM PEAK</v>
      </c>
      <c r="Q2446">
        <f t="shared" si="108"/>
        <v>1</v>
      </c>
      <c r="R2446" s="195" t="str">
        <f t="shared" si="109"/>
        <v>2023LIGHT VEHICLES</v>
      </c>
    </row>
    <row r="2447" spans="3:18" x14ac:dyDescent="0.25">
      <c r="C2447" s="294" t="s">
        <v>925</v>
      </c>
      <c r="D2447" s="317">
        <v>72027</v>
      </c>
      <c r="E2447" s="122" t="s">
        <v>873</v>
      </c>
      <c r="F2447" s="122" t="s">
        <v>926</v>
      </c>
      <c r="G2447" s="122" t="s">
        <v>778</v>
      </c>
      <c r="H2447" s="122" t="s">
        <v>777</v>
      </c>
      <c r="I2447" s="312">
        <v>2023</v>
      </c>
      <c r="J2447" s="122" t="s">
        <v>711</v>
      </c>
      <c r="K2447" s="283">
        <v>5721</v>
      </c>
      <c r="L2447" s="318">
        <v>-33.740467000000002</v>
      </c>
      <c r="M2447" s="318">
        <v>150.984421</v>
      </c>
      <c r="O2447">
        <f>INDEX('MEC - traffic congestion'!$M$145:$M$249,MATCH($D2447,'MEC - traffic congestion'!$C$145:$C$249,0))</f>
        <v>1</v>
      </c>
      <c r="P2447" t="str">
        <f t="shared" si="107"/>
        <v>2023PM PEAK</v>
      </c>
      <c r="Q2447">
        <f t="shared" si="108"/>
        <v>1</v>
      </c>
      <c r="R2447" s="195" t="str">
        <f t="shared" si="109"/>
        <v>2023LIGHT VEHICLES</v>
      </c>
    </row>
    <row r="2448" spans="3:18" x14ac:dyDescent="0.25">
      <c r="C2448" s="294" t="s">
        <v>925</v>
      </c>
      <c r="D2448" s="317">
        <v>72027</v>
      </c>
      <c r="E2448" s="122" t="s">
        <v>873</v>
      </c>
      <c r="F2448" s="122" t="s">
        <v>926</v>
      </c>
      <c r="G2448" s="122" t="s">
        <v>776</v>
      </c>
      <c r="H2448" s="122" t="s">
        <v>777</v>
      </c>
      <c r="I2448" s="312">
        <v>2023</v>
      </c>
      <c r="J2448" s="122" t="s">
        <v>713</v>
      </c>
      <c r="K2448" s="283">
        <v>16613</v>
      </c>
      <c r="L2448" s="318">
        <v>-33.740467000000002</v>
      </c>
      <c r="M2448" s="318">
        <v>150.984421</v>
      </c>
      <c r="O2448">
        <f>INDEX('MEC - traffic congestion'!$M$145:$M$249,MATCH($D2448,'MEC - traffic congestion'!$C$145:$C$249,0))</f>
        <v>1</v>
      </c>
      <c r="P2448" t="str">
        <f t="shared" si="107"/>
        <v>2023WEEKENDS</v>
      </c>
      <c r="Q2448">
        <f t="shared" si="108"/>
        <v>1</v>
      </c>
      <c r="R2448" s="195" t="str">
        <f t="shared" si="109"/>
        <v>2023LIGHT VEHICLES</v>
      </c>
    </row>
    <row r="2449" spans="3:18" x14ac:dyDescent="0.25">
      <c r="C2449" s="294" t="s">
        <v>925</v>
      </c>
      <c r="D2449" s="317">
        <v>72027</v>
      </c>
      <c r="E2449" s="122" t="s">
        <v>873</v>
      </c>
      <c r="F2449" s="122" t="s">
        <v>926</v>
      </c>
      <c r="G2449" s="122" t="s">
        <v>778</v>
      </c>
      <c r="H2449" s="122" t="s">
        <v>777</v>
      </c>
      <c r="I2449" s="312">
        <v>2023</v>
      </c>
      <c r="J2449" s="122" t="s">
        <v>713</v>
      </c>
      <c r="K2449" s="283">
        <v>14960</v>
      </c>
      <c r="L2449" s="318">
        <v>-33.740467000000002</v>
      </c>
      <c r="M2449" s="318">
        <v>150.984421</v>
      </c>
      <c r="O2449">
        <f>INDEX('MEC - traffic congestion'!$M$145:$M$249,MATCH($D2449,'MEC - traffic congestion'!$C$145:$C$249,0))</f>
        <v>1</v>
      </c>
      <c r="P2449" t="str">
        <f t="shared" si="107"/>
        <v>2023WEEKENDS</v>
      </c>
      <c r="Q2449">
        <f t="shared" si="108"/>
        <v>1</v>
      </c>
      <c r="R2449" s="195" t="str">
        <f t="shared" si="109"/>
        <v>2023LIGHT VEHICLES</v>
      </c>
    </row>
    <row r="2450" spans="3:18" x14ac:dyDescent="0.25">
      <c r="C2450" s="294" t="s">
        <v>925</v>
      </c>
      <c r="D2450" s="317">
        <v>72027</v>
      </c>
      <c r="E2450" s="122" t="s">
        <v>873</v>
      </c>
      <c r="F2450" s="122" t="s">
        <v>926</v>
      </c>
      <c r="G2450" s="122" t="s">
        <v>776</v>
      </c>
      <c r="H2450" s="122" t="s">
        <v>777</v>
      </c>
      <c r="I2450" s="312">
        <v>2024</v>
      </c>
      <c r="J2450" s="122" t="s">
        <v>709</v>
      </c>
      <c r="K2450" s="283">
        <v>5098</v>
      </c>
      <c r="L2450" s="318">
        <v>-33.740467000000002</v>
      </c>
      <c r="M2450" s="318">
        <v>150.984421</v>
      </c>
      <c r="O2450">
        <f>INDEX('MEC - traffic congestion'!$M$145:$M$249,MATCH($D2450,'MEC - traffic congestion'!$C$145:$C$249,0))</f>
        <v>1</v>
      </c>
      <c r="P2450" t="str">
        <f t="shared" si="107"/>
        <v>2024AM PEAK</v>
      </c>
      <c r="Q2450">
        <f t="shared" si="108"/>
        <v>1</v>
      </c>
      <c r="R2450" s="195" t="str">
        <f t="shared" si="109"/>
        <v>2024LIGHT VEHICLES</v>
      </c>
    </row>
    <row r="2451" spans="3:18" x14ac:dyDescent="0.25">
      <c r="C2451" s="294" t="s">
        <v>925</v>
      </c>
      <c r="D2451" s="317">
        <v>72027</v>
      </c>
      <c r="E2451" s="122" t="s">
        <v>873</v>
      </c>
      <c r="F2451" s="122" t="s">
        <v>926</v>
      </c>
      <c r="G2451" s="122" t="s">
        <v>778</v>
      </c>
      <c r="H2451" s="122" t="s">
        <v>777</v>
      </c>
      <c r="I2451" s="312">
        <v>2024</v>
      </c>
      <c r="J2451" s="122" t="s">
        <v>709</v>
      </c>
      <c r="K2451" s="283">
        <v>5154</v>
      </c>
      <c r="L2451" s="318">
        <v>-33.740467000000002</v>
      </c>
      <c r="M2451" s="318">
        <v>150.984421</v>
      </c>
      <c r="O2451">
        <f>INDEX('MEC - traffic congestion'!$M$145:$M$249,MATCH($D2451,'MEC - traffic congestion'!$C$145:$C$249,0))</f>
        <v>1</v>
      </c>
      <c r="P2451" t="str">
        <f t="shared" si="107"/>
        <v>2024AM PEAK</v>
      </c>
      <c r="Q2451">
        <f t="shared" si="108"/>
        <v>1</v>
      </c>
      <c r="R2451" s="195" t="str">
        <f t="shared" si="109"/>
        <v>2024LIGHT VEHICLES</v>
      </c>
    </row>
    <row r="2452" spans="3:18" x14ac:dyDescent="0.25">
      <c r="C2452" s="294" t="s">
        <v>925</v>
      </c>
      <c r="D2452" s="317">
        <v>72027</v>
      </c>
      <c r="E2452" s="122" t="s">
        <v>873</v>
      </c>
      <c r="F2452" s="122" t="s">
        <v>926</v>
      </c>
      <c r="G2452" s="122" t="s">
        <v>776</v>
      </c>
      <c r="H2452" s="122" t="s">
        <v>777</v>
      </c>
      <c r="I2452" s="312">
        <v>2024</v>
      </c>
      <c r="J2452" s="122" t="s">
        <v>710</v>
      </c>
      <c r="K2452" s="283">
        <v>8788</v>
      </c>
      <c r="L2452" s="318">
        <v>-33.740467000000002</v>
      </c>
      <c r="M2452" s="318">
        <v>150.984421</v>
      </c>
      <c r="O2452">
        <f>INDEX('MEC - traffic congestion'!$M$145:$M$249,MATCH($D2452,'MEC - traffic congestion'!$C$145:$C$249,0))</f>
        <v>1</v>
      </c>
      <c r="P2452" t="str">
        <f t="shared" si="107"/>
        <v>2024OFF PEAK</v>
      </c>
      <c r="Q2452">
        <f t="shared" si="108"/>
        <v>1</v>
      </c>
      <c r="R2452" s="195" t="str">
        <f t="shared" si="109"/>
        <v>2024LIGHT VEHICLES</v>
      </c>
    </row>
    <row r="2453" spans="3:18" x14ac:dyDescent="0.25">
      <c r="C2453" s="294" t="s">
        <v>925</v>
      </c>
      <c r="D2453" s="317">
        <v>72027</v>
      </c>
      <c r="E2453" s="122" t="s">
        <v>873</v>
      </c>
      <c r="F2453" s="122" t="s">
        <v>926</v>
      </c>
      <c r="G2453" s="122" t="s">
        <v>778</v>
      </c>
      <c r="H2453" s="122" t="s">
        <v>777</v>
      </c>
      <c r="I2453" s="312">
        <v>2024</v>
      </c>
      <c r="J2453" s="122" t="s">
        <v>710</v>
      </c>
      <c r="K2453" s="283">
        <v>8088</v>
      </c>
      <c r="L2453" s="318">
        <v>-33.740467000000002</v>
      </c>
      <c r="M2453" s="318">
        <v>150.984421</v>
      </c>
      <c r="O2453">
        <f>INDEX('MEC - traffic congestion'!$M$145:$M$249,MATCH($D2453,'MEC - traffic congestion'!$C$145:$C$249,0))</f>
        <v>1</v>
      </c>
      <c r="P2453" t="str">
        <f t="shared" ref="P2453:P2516" si="110">IF($O2453=1,$I2453&amp;$J2453,"")</f>
        <v>2024OFF PEAK</v>
      </c>
      <c r="Q2453">
        <f t="shared" ref="Q2453:Q2516" si="111">IF(AND($M2453&gt;150.246,AND($L2453&gt;-34.397,$L2453&lt;-32.662)),1,0)</f>
        <v>1</v>
      </c>
      <c r="R2453" s="195" t="str">
        <f t="shared" ref="R2453:R2516" si="112">IF($O2453=1,$I2453&amp;$H2453,"")</f>
        <v>2024LIGHT VEHICLES</v>
      </c>
    </row>
    <row r="2454" spans="3:18" x14ac:dyDescent="0.25">
      <c r="C2454" s="294" t="s">
        <v>925</v>
      </c>
      <c r="D2454" s="317">
        <v>72027</v>
      </c>
      <c r="E2454" s="122" t="s">
        <v>873</v>
      </c>
      <c r="F2454" s="122" t="s">
        <v>926</v>
      </c>
      <c r="G2454" s="122" t="s">
        <v>776</v>
      </c>
      <c r="H2454" s="122" t="s">
        <v>777</v>
      </c>
      <c r="I2454" s="312">
        <v>2024</v>
      </c>
      <c r="J2454" s="122" t="s">
        <v>711</v>
      </c>
      <c r="K2454" s="283">
        <v>6710</v>
      </c>
      <c r="L2454" s="318">
        <v>-33.740467000000002</v>
      </c>
      <c r="M2454" s="318">
        <v>150.984421</v>
      </c>
      <c r="O2454">
        <f>INDEX('MEC - traffic congestion'!$M$145:$M$249,MATCH($D2454,'MEC - traffic congestion'!$C$145:$C$249,0))</f>
        <v>1</v>
      </c>
      <c r="P2454" t="str">
        <f t="shared" si="110"/>
        <v>2024PM PEAK</v>
      </c>
      <c r="Q2454">
        <f t="shared" si="111"/>
        <v>1</v>
      </c>
      <c r="R2454" s="195" t="str">
        <f t="shared" si="112"/>
        <v>2024LIGHT VEHICLES</v>
      </c>
    </row>
    <row r="2455" spans="3:18" x14ac:dyDescent="0.25">
      <c r="C2455" s="294" t="s">
        <v>925</v>
      </c>
      <c r="D2455" s="317">
        <v>72027</v>
      </c>
      <c r="E2455" s="122" t="s">
        <v>873</v>
      </c>
      <c r="F2455" s="122" t="s">
        <v>926</v>
      </c>
      <c r="G2455" s="122" t="s">
        <v>778</v>
      </c>
      <c r="H2455" s="122" t="s">
        <v>777</v>
      </c>
      <c r="I2455" s="312">
        <v>2024</v>
      </c>
      <c r="J2455" s="122" t="s">
        <v>711</v>
      </c>
      <c r="K2455" s="283">
        <v>5587</v>
      </c>
      <c r="L2455" s="318">
        <v>-33.740467000000002</v>
      </c>
      <c r="M2455" s="318">
        <v>150.984421</v>
      </c>
      <c r="O2455">
        <f>INDEX('MEC - traffic congestion'!$M$145:$M$249,MATCH($D2455,'MEC - traffic congestion'!$C$145:$C$249,0))</f>
        <v>1</v>
      </c>
      <c r="P2455" t="str">
        <f t="shared" si="110"/>
        <v>2024PM PEAK</v>
      </c>
      <c r="Q2455">
        <f t="shared" si="111"/>
        <v>1</v>
      </c>
      <c r="R2455" s="195" t="str">
        <f t="shared" si="112"/>
        <v>2024LIGHT VEHICLES</v>
      </c>
    </row>
    <row r="2456" spans="3:18" x14ac:dyDescent="0.25">
      <c r="C2456" s="294" t="s">
        <v>925</v>
      </c>
      <c r="D2456" s="317">
        <v>72027</v>
      </c>
      <c r="E2456" s="122" t="s">
        <v>873</v>
      </c>
      <c r="F2456" s="122" t="s">
        <v>926</v>
      </c>
      <c r="G2456" s="122" t="s">
        <v>776</v>
      </c>
      <c r="H2456" s="122" t="s">
        <v>777</v>
      </c>
      <c r="I2456" s="312">
        <v>2024</v>
      </c>
      <c r="J2456" s="122" t="s">
        <v>713</v>
      </c>
      <c r="K2456" s="283">
        <v>16443</v>
      </c>
      <c r="L2456" s="318">
        <v>-33.740467000000002</v>
      </c>
      <c r="M2456" s="318">
        <v>150.984421</v>
      </c>
      <c r="O2456">
        <f>INDEX('MEC - traffic congestion'!$M$145:$M$249,MATCH($D2456,'MEC - traffic congestion'!$C$145:$C$249,0))</f>
        <v>1</v>
      </c>
      <c r="P2456" t="str">
        <f t="shared" si="110"/>
        <v>2024WEEKENDS</v>
      </c>
      <c r="Q2456">
        <f t="shared" si="111"/>
        <v>1</v>
      </c>
      <c r="R2456" s="195" t="str">
        <f t="shared" si="112"/>
        <v>2024LIGHT VEHICLES</v>
      </c>
    </row>
    <row r="2457" spans="3:18" x14ac:dyDescent="0.25">
      <c r="C2457" s="294" t="s">
        <v>925</v>
      </c>
      <c r="D2457" s="317">
        <v>72027</v>
      </c>
      <c r="E2457" s="122" t="s">
        <v>873</v>
      </c>
      <c r="F2457" s="122" t="s">
        <v>926</v>
      </c>
      <c r="G2457" s="122" t="s">
        <v>778</v>
      </c>
      <c r="H2457" s="122" t="s">
        <v>777</v>
      </c>
      <c r="I2457" s="312">
        <v>2024</v>
      </c>
      <c r="J2457" s="122" t="s">
        <v>713</v>
      </c>
      <c r="K2457" s="283">
        <v>14971</v>
      </c>
      <c r="L2457" s="318">
        <v>-33.740467000000002</v>
      </c>
      <c r="M2457" s="318">
        <v>150.984421</v>
      </c>
      <c r="O2457">
        <f>INDEX('MEC - traffic congestion'!$M$145:$M$249,MATCH($D2457,'MEC - traffic congestion'!$C$145:$C$249,0))</f>
        <v>1</v>
      </c>
      <c r="P2457" t="str">
        <f t="shared" si="110"/>
        <v>2024WEEKENDS</v>
      </c>
      <c r="Q2457">
        <f t="shared" si="111"/>
        <v>1</v>
      </c>
      <c r="R2457" s="195" t="str">
        <f t="shared" si="112"/>
        <v>2024LIGHT VEHICLES</v>
      </c>
    </row>
    <row r="2458" spans="3:18" x14ac:dyDescent="0.25">
      <c r="C2458" s="294" t="s">
        <v>927</v>
      </c>
      <c r="D2458" s="317">
        <v>7211</v>
      </c>
      <c r="E2458" s="122" t="s">
        <v>928</v>
      </c>
      <c r="F2458" s="122" t="s">
        <v>929</v>
      </c>
      <c r="G2458" s="122" t="s">
        <v>786</v>
      </c>
      <c r="H2458" s="122" t="s">
        <v>777</v>
      </c>
      <c r="I2458" s="312">
        <v>2018</v>
      </c>
      <c r="J2458" s="122" t="s">
        <v>709</v>
      </c>
      <c r="K2458" s="283">
        <v>1535</v>
      </c>
      <c r="L2458" s="318">
        <v>-32.940570999999998</v>
      </c>
      <c r="M2458" s="318">
        <v>151.71312</v>
      </c>
      <c r="O2458">
        <f>INDEX('MEC - traffic congestion'!$M$145:$M$249,MATCH($D2458,'MEC - traffic congestion'!$C$145:$C$249,0))</f>
        <v>1</v>
      </c>
      <c r="P2458" t="str">
        <f t="shared" si="110"/>
        <v>2018AM PEAK</v>
      </c>
      <c r="Q2458">
        <f t="shared" si="111"/>
        <v>1</v>
      </c>
      <c r="R2458" s="195" t="str">
        <f t="shared" si="112"/>
        <v>2018LIGHT VEHICLES</v>
      </c>
    </row>
    <row r="2459" spans="3:18" x14ac:dyDescent="0.25">
      <c r="C2459" s="294" t="s">
        <v>927</v>
      </c>
      <c r="D2459" s="317">
        <v>7211</v>
      </c>
      <c r="E2459" s="122" t="s">
        <v>928</v>
      </c>
      <c r="F2459" s="122" t="s">
        <v>929</v>
      </c>
      <c r="G2459" s="122" t="s">
        <v>786</v>
      </c>
      <c r="H2459" s="122" t="s">
        <v>777</v>
      </c>
      <c r="I2459" s="312">
        <v>2018</v>
      </c>
      <c r="J2459" s="122" t="s">
        <v>710</v>
      </c>
      <c r="K2459" s="283">
        <v>3186</v>
      </c>
      <c r="L2459" s="318">
        <v>-32.940570999999998</v>
      </c>
      <c r="M2459" s="318">
        <v>151.71312</v>
      </c>
      <c r="O2459">
        <f>INDEX('MEC - traffic congestion'!$M$145:$M$249,MATCH($D2459,'MEC - traffic congestion'!$C$145:$C$249,0))</f>
        <v>1</v>
      </c>
      <c r="P2459" t="str">
        <f t="shared" si="110"/>
        <v>2018OFF PEAK</v>
      </c>
      <c r="Q2459">
        <f t="shared" si="111"/>
        <v>1</v>
      </c>
      <c r="R2459" s="195" t="str">
        <f t="shared" si="112"/>
        <v>2018LIGHT VEHICLES</v>
      </c>
    </row>
    <row r="2460" spans="3:18" x14ac:dyDescent="0.25">
      <c r="C2460" s="294" t="s">
        <v>927</v>
      </c>
      <c r="D2460" s="317">
        <v>7211</v>
      </c>
      <c r="E2460" s="122" t="s">
        <v>928</v>
      </c>
      <c r="F2460" s="122" t="s">
        <v>929</v>
      </c>
      <c r="G2460" s="122" t="s">
        <v>786</v>
      </c>
      <c r="H2460" s="122" t="s">
        <v>777</v>
      </c>
      <c r="I2460" s="312">
        <v>2018</v>
      </c>
      <c r="J2460" s="122" t="s">
        <v>711</v>
      </c>
      <c r="K2460" s="283">
        <v>2382</v>
      </c>
      <c r="L2460" s="318">
        <v>-32.940570999999998</v>
      </c>
      <c r="M2460" s="318">
        <v>151.71312</v>
      </c>
      <c r="O2460">
        <f>INDEX('MEC - traffic congestion'!$M$145:$M$249,MATCH($D2460,'MEC - traffic congestion'!$C$145:$C$249,0))</f>
        <v>1</v>
      </c>
      <c r="P2460" t="str">
        <f t="shared" si="110"/>
        <v>2018PM PEAK</v>
      </c>
      <c r="Q2460">
        <f t="shared" si="111"/>
        <v>1</v>
      </c>
      <c r="R2460" s="195" t="str">
        <f t="shared" si="112"/>
        <v>2018LIGHT VEHICLES</v>
      </c>
    </row>
    <row r="2461" spans="3:18" x14ac:dyDescent="0.25">
      <c r="C2461" s="294" t="s">
        <v>927</v>
      </c>
      <c r="D2461" s="317">
        <v>7211</v>
      </c>
      <c r="E2461" s="122" t="s">
        <v>928</v>
      </c>
      <c r="F2461" s="122" t="s">
        <v>929</v>
      </c>
      <c r="G2461" s="122" t="s">
        <v>786</v>
      </c>
      <c r="H2461" s="122" t="s">
        <v>777</v>
      </c>
      <c r="I2461" s="312">
        <v>2018</v>
      </c>
      <c r="J2461" s="122" t="s">
        <v>712</v>
      </c>
      <c r="K2461" s="283">
        <v>3767</v>
      </c>
      <c r="L2461" s="318">
        <v>-32.940570999999998</v>
      </c>
      <c r="M2461" s="318">
        <v>151.71312</v>
      </c>
      <c r="O2461">
        <f>INDEX('MEC - traffic congestion'!$M$145:$M$249,MATCH($D2461,'MEC - traffic congestion'!$C$145:$C$249,0))</f>
        <v>1</v>
      </c>
      <c r="P2461" t="str">
        <f t="shared" si="110"/>
        <v>2018PUBLIC HOLIDAYS</v>
      </c>
      <c r="Q2461">
        <f t="shared" si="111"/>
        <v>1</v>
      </c>
      <c r="R2461" s="195" t="str">
        <f t="shared" si="112"/>
        <v>2018LIGHT VEHICLES</v>
      </c>
    </row>
    <row r="2462" spans="3:18" x14ac:dyDescent="0.25">
      <c r="C2462" s="294" t="s">
        <v>927</v>
      </c>
      <c r="D2462" s="317">
        <v>7211</v>
      </c>
      <c r="E2462" s="122" t="s">
        <v>928</v>
      </c>
      <c r="F2462" s="122" t="s">
        <v>929</v>
      </c>
      <c r="G2462" s="122" t="s">
        <v>786</v>
      </c>
      <c r="H2462" s="122" t="s">
        <v>777</v>
      </c>
      <c r="I2462" s="312">
        <v>2018</v>
      </c>
      <c r="J2462" s="122" t="s">
        <v>713</v>
      </c>
      <c r="K2462" s="283">
        <v>5543</v>
      </c>
      <c r="L2462" s="318">
        <v>-32.940570999999998</v>
      </c>
      <c r="M2462" s="318">
        <v>151.71312</v>
      </c>
      <c r="O2462">
        <f>INDEX('MEC - traffic congestion'!$M$145:$M$249,MATCH($D2462,'MEC - traffic congestion'!$C$145:$C$249,0))</f>
        <v>1</v>
      </c>
      <c r="P2462" t="str">
        <f t="shared" si="110"/>
        <v>2018WEEKENDS</v>
      </c>
      <c r="Q2462">
        <f t="shared" si="111"/>
        <v>1</v>
      </c>
      <c r="R2462" s="195" t="str">
        <f t="shared" si="112"/>
        <v>2018LIGHT VEHICLES</v>
      </c>
    </row>
    <row r="2463" spans="3:18" x14ac:dyDescent="0.25">
      <c r="C2463" s="294" t="s">
        <v>927</v>
      </c>
      <c r="D2463" s="317">
        <v>7211</v>
      </c>
      <c r="E2463" s="122" t="s">
        <v>928</v>
      </c>
      <c r="F2463" s="122" t="s">
        <v>929</v>
      </c>
      <c r="G2463" s="122" t="s">
        <v>786</v>
      </c>
      <c r="H2463" s="122" t="s">
        <v>777</v>
      </c>
      <c r="I2463" s="312">
        <v>2019</v>
      </c>
      <c r="J2463" s="122" t="s">
        <v>709</v>
      </c>
      <c r="K2463" s="283">
        <v>1548</v>
      </c>
      <c r="L2463" s="318">
        <v>-32.940570999999998</v>
      </c>
      <c r="M2463" s="318">
        <v>151.71312</v>
      </c>
      <c r="O2463">
        <f>INDEX('MEC - traffic congestion'!$M$145:$M$249,MATCH($D2463,'MEC - traffic congestion'!$C$145:$C$249,0))</f>
        <v>1</v>
      </c>
      <c r="P2463" t="str">
        <f t="shared" si="110"/>
        <v>2019AM PEAK</v>
      </c>
      <c r="Q2463">
        <f t="shared" si="111"/>
        <v>1</v>
      </c>
      <c r="R2463" s="195" t="str">
        <f t="shared" si="112"/>
        <v>2019LIGHT VEHICLES</v>
      </c>
    </row>
    <row r="2464" spans="3:18" x14ac:dyDescent="0.25">
      <c r="C2464" s="294" t="s">
        <v>927</v>
      </c>
      <c r="D2464" s="317">
        <v>7211</v>
      </c>
      <c r="E2464" s="122" t="s">
        <v>928</v>
      </c>
      <c r="F2464" s="122" t="s">
        <v>929</v>
      </c>
      <c r="G2464" s="122" t="s">
        <v>786</v>
      </c>
      <c r="H2464" s="122" t="s">
        <v>777</v>
      </c>
      <c r="I2464" s="312">
        <v>2019</v>
      </c>
      <c r="J2464" s="122" t="s">
        <v>710</v>
      </c>
      <c r="K2464" s="283">
        <v>3238</v>
      </c>
      <c r="L2464" s="318">
        <v>-32.940570999999998</v>
      </c>
      <c r="M2464" s="318">
        <v>151.71312</v>
      </c>
      <c r="O2464">
        <f>INDEX('MEC - traffic congestion'!$M$145:$M$249,MATCH($D2464,'MEC - traffic congestion'!$C$145:$C$249,0))</f>
        <v>1</v>
      </c>
      <c r="P2464" t="str">
        <f t="shared" si="110"/>
        <v>2019OFF PEAK</v>
      </c>
      <c r="Q2464">
        <f t="shared" si="111"/>
        <v>1</v>
      </c>
      <c r="R2464" s="195" t="str">
        <f t="shared" si="112"/>
        <v>2019LIGHT VEHICLES</v>
      </c>
    </row>
    <row r="2465" spans="3:18" x14ac:dyDescent="0.25">
      <c r="C2465" s="294" t="s">
        <v>927</v>
      </c>
      <c r="D2465" s="317">
        <v>7211</v>
      </c>
      <c r="E2465" s="122" t="s">
        <v>928</v>
      </c>
      <c r="F2465" s="122" t="s">
        <v>929</v>
      </c>
      <c r="G2465" s="122" t="s">
        <v>786</v>
      </c>
      <c r="H2465" s="122" t="s">
        <v>777</v>
      </c>
      <c r="I2465" s="312">
        <v>2019</v>
      </c>
      <c r="J2465" s="122" t="s">
        <v>711</v>
      </c>
      <c r="K2465" s="283">
        <v>2352</v>
      </c>
      <c r="L2465" s="318">
        <v>-32.940570999999998</v>
      </c>
      <c r="M2465" s="318">
        <v>151.71312</v>
      </c>
      <c r="O2465">
        <f>INDEX('MEC - traffic congestion'!$M$145:$M$249,MATCH($D2465,'MEC - traffic congestion'!$C$145:$C$249,0))</f>
        <v>1</v>
      </c>
      <c r="P2465" t="str">
        <f t="shared" si="110"/>
        <v>2019PM PEAK</v>
      </c>
      <c r="Q2465">
        <f t="shared" si="111"/>
        <v>1</v>
      </c>
      <c r="R2465" s="195" t="str">
        <f t="shared" si="112"/>
        <v>2019LIGHT VEHICLES</v>
      </c>
    </row>
    <row r="2466" spans="3:18" x14ac:dyDescent="0.25">
      <c r="C2466" s="294" t="s">
        <v>927</v>
      </c>
      <c r="D2466" s="317">
        <v>7211</v>
      </c>
      <c r="E2466" s="122" t="s">
        <v>928</v>
      </c>
      <c r="F2466" s="122" t="s">
        <v>929</v>
      </c>
      <c r="G2466" s="122" t="s">
        <v>786</v>
      </c>
      <c r="H2466" s="122" t="s">
        <v>777</v>
      </c>
      <c r="I2466" s="312">
        <v>2019</v>
      </c>
      <c r="J2466" s="122" t="s">
        <v>712</v>
      </c>
      <c r="K2466" s="283">
        <v>3783</v>
      </c>
      <c r="L2466" s="318">
        <v>-32.940570999999998</v>
      </c>
      <c r="M2466" s="318">
        <v>151.71312</v>
      </c>
      <c r="O2466">
        <f>INDEX('MEC - traffic congestion'!$M$145:$M$249,MATCH($D2466,'MEC - traffic congestion'!$C$145:$C$249,0))</f>
        <v>1</v>
      </c>
      <c r="P2466" t="str">
        <f t="shared" si="110"/>
        <v>2019PUBLIC HOLIDAYS</v>
      </c>
      <c r="Q2466">
        <f t="shared" si="111"/>
        <v>1</v>
      </c>
      <c r="R2466" s="195" t="str">
        <f t="shared" si="112"/>
        <v>2019LIGHT VEHICLES</v>
      </c>
    </row>
    <row r="2467" spans="3:18" x14ac:dyDescent="0.25">
      <c r="C2467" s="294" t="s">
        <v>927</v>
      </c>
      <c r="D2467" s="317">
        <v>7211</v>
      </c>
      <c r="E2467" s="122" t="s">
        <v>928</v>
      </c>
      <c r="F2467" s="122" t="s">
        <v>929</v>
      </c>
      <c r="G2467" s="122" t="s">
        <v>786</v>
      </c>
      <c r="H2467" s="122" t="s">
        <v>777</v>
      </c>
      <c r="I2467" s="312">
        <v>2019</v>
      </c>
      <c r="J2467" s="122" t="s">
        <v>713</v>
      </c>
      <c r="K2467" s="283">
        <v>5729</v>
      </c>
      <c r="L2467" s="318">
        <v>-32.940570999999998</v>
      </c>
      <c r="M2467" s="318">
        <v>151.71312</v>
      </c>
      <c r="O2467">
        <f>INDEX('MEC - traffic congestion'!$M$145:$M$249,MATCH($D2467,'MEC - traffic congestion'!$C$145:$C$249,0))</f>
        <v>1</v>
      </c>
      <c r="P2467" t="str">
        <f t="shared" si="110"/>
        <v>2019WEEKENDS</v>
      </c>
      <c r="Q2467">
        <f t="shared" si="111"/>
        <v>1</v>
      </c>
      <c r="R2467" s="195" t="str">
        <f t="shared" si="112"/>
        <v>2019LIGHT VEHICLES</v>
      </c>
    </row>
    <row r="2468" spans="3:18" x14ac:dyDescent="0.25">
      <c r="C2468" s="294" t="s">
        <v>927</v>
      </c>
      <c r="D2468" s="317">
        <v>7211</v>
      </c>
      <c r="E2468" s="122" t="s">
        <v>928</v>
      </c>
      <c r="F2468" s="122" t="s">
        <v>929</v>
      </c>
      <c r="G2468" s="122" t="s">
        <v>786</v>
      </c>
      <c r="H2468" s="122" t="s">
        <v>777</v>
      </c>
      <c r="I2468" s="312">
        <v>2020</v>
      </c>
      <c r="J2468" s="122" t="s">
        <v>709</v>
      </c>
      <c r="K2468" s="283">
        <v>1426</v>
      </c>
      <c r="L2468" s="318">
        <v>-32.940570999999998</v>
      </c>
      <c r="M2468" s="318">
        <v>151.71312</v>
      </c>
      <c r="O2468">
        <f>INDEX('MEC - traffic congestion'!$M$145:$M$249,MATCH($D2468,'MEC - traffic congestion'!$C$145:$C$249,0))</f>
        <v>1</v>
      </c>
      <c r="P2468" t="str">
        <f t="shared" si="110"/>
        <v>2020AM PEAK</v>
      </c>
      <c r="Q2468">
        <f t="shared" si="111"/>
        <v>1</v>
      </c>
      <c r="R2468" s="195" t="str">
        <f t="shared" si="112"/>
        <v>2020LIGHT VEHICLES</v>
      </c>
    </row>
    <row r="2469" spans="3:18" x14ac:dyDescent="0.25">
      <c r="C2469" s="294" t="s">
        <v>927</v>
      </c>
      <c r="D2469" s="317">
        <v>7211</v>
      </c>
      <c r="E2469" s="122" t="s">
        <v>928</v>
      </c>
      <c r="F2469" s="122" t="s">
        <v>929</v>
      </c>
      <c r="G2469" s="122" t="s">
        <v>786</v>
      </c>
      <c r="H2469" s="122" t="s">
        <v>777</v>
      </c>
      <c r="I2469" s="312">
        <v>2020</v>
      </c>
      <c r="J2469" s="122" t="s">
        <v>710</v>
      </c>
      <c r="K2469" s="283">
        <v>2997</v>
      </c>
      <c r="L2469" s="318">
        <v>-32.940570999999998</v>
      </c>
      <c r="M2469" s="318">
        <v>151.71312</v>
      </c>
      <c r="O2469">
        <f>INDEX('MEC - traffic congestion'!$M$145:$M$249,MATCH($D2469,'MEC - traffic congestion'!$C$145:$C$249,0))</f>
        <v>1</v>
      </c>
      <c r="P2469" t="str">
        <f t="shared" si="110"/>
        <v>2020OFF PEAK</v>
      </c>
      <c r="Q2469">
        <f t="shared" si="111"/>
        <v>1</v>
      </c>
      <c r="R2469" s="195" t="str">
        <f t="shared" si="112"/>
        <v>2020LIGHT VEHICLES</v>
      </c>
    </row>
    <row r="2470" spans="3:18" x14ac:dyDescent="0.25">
      <c r="C2470" s="294" t="s">
        <v>927</v>
      </c>
      <c r="D2470" s="317">
        <v>7211</v>
      </c>
      <c r="E2470" s="122" t="s">
        <v>928</v>
      </c>
      <c r="F2470" s="122" t="s">
        <v>929</v>
      </c>
      <c r="G2470" s="122" t="s">
        <v>786</v>
      </c>
      <c r="H2470" s="122" t="s">
        <v>777</v>
      </c>
      <c r="I2470" s="312">
        <v>2020</v>
      </c>
      <c r="J2470" s="122" t="s">
        <v>711</v>
      </c>
      <c r="K2470" s="283">
        <v>2061</v>
      </c>
      <c r="L2470" s="318">
        <v>-32.940570999999998</v>
      </c>
      <c r="M2470" s="318">
        <v>151.71312</v>
      </c>
      <c r="O2470">
        <f>INDEX('MEC - traffic congestion'!$M$145:$M$249,MATCH($D2470,'MEC - traffic congestion'!$C$145:$C$249,0))</f>
        <v>1</v>
      </c>
      <c r="P2470" t="str">
        <f t="shared" si="110"/>
        <v>2020PM PEAK</v>
      </c>
      <c r="Q2470">
        <f t="shared" si="111"/>
        <v>1</v>
      </c>
      <c r="R2470" s="195" t="str">
        <f t="shared" si="112"/>
        <v>2020LIGHT VEHICLES</v>
      </c>
    </row>
    <row r="2471" spans="3:18" x14ac:dyDescent="0.25">
      <c r="C2471" s="294" t="s">
        <v>927</v>
      </c>
      <c r="D2471" s="317">
        <v>7211</v>
      </c>
      <c r="E2471" s="122" t="s">
        <v>928</v>
      </c>
      <c r="F2471" s="122" t="s">
        <v>929</v>
      </c>
      <c r="G2471" s="122" t="s">
        <v>786</v>
      </c>
      <c r="H2471" s="122" t="s">
        <v>777</v>
      </c>
      <c r="I2471" s="312">
        <v>2020</v>
      </c>
      <c r="J2471" s="122" t="s">
        <v>712</v>
      </c>
      <c r="K2471" s="283">
        <v>3446</v>
      </c>
      <c r="L2471" s="318">
        <v>-32.940570999999998</v>
      </c>
      <c r="M2471" s="318">
        <v>151.71312</v>
      </c>
      <c r="O2471">
        <f>INDEX('MEC - traffic congestion'!$M$145:$M$249,MATCH($D2471,'MEC - traffic congestion'!$C$145:$C$249,0))</f>
        <v>1</v>
      </c>
      <c r="P2471" t="str">
        <f t="shared" si="110"/>
        <v>2020PUBLIC HOLIDAYS</v>
      </c>
      <c r="Q2471">
        <f t="shared" si="111"/>
        <v>1</v>
      </c>
      <c r="R2471" s="195" t="str">
        <f t="shared" si="112"/>
        <v>2020LIGHT VEHICLES</v>
      </c>
    </row>
    <row r="2472" spans="3:18" x14ac:dyDescent="0.25">
      <c r="C2472" s="294" t="s">
        <v>927</v>
      </c>
      <c r="D2472" s="317">
        <v>7211</v>
      </c>
      <c r="E2472" s="122" t="s">
        <v>928</v>
      </c>
      <c r="F2472" s="122" t="s">
        <v>929</v>
      </c>
      <c r="G2472" s="122" t="s">
        <v>786</v>
      </c>
      <c r="H2472" s="122" t="s">
        <v>777</v>
      </c>
      <c r="I2472" s="312">
        <v>2020</v>
      </c>
      <c r="J2472" s="122" t="s">
        <v>713</v>
      </c>
      <c r="K2472" s="283">
        <v>5200</v>
      </c>
      <c r="L2472" s="318">
        <v>-32.940570999999998</v>
      </c>
      <c r="M2472" s="318">
        <v>151.71312</v>
      </c>
      <c r="O2472">
        <f>INDEX('MEC - traffic congestion'!$M$145:$M$249,MATCH($D2472,'MEC - traffic congestion'!$C$145:$C$249,0))</f>
        <v>1</v>
      </c>
      <c r="P2472" t="str">
        <f t="shared" si="110"/>
        <v>2020WEEKENDS</v>
      </c>
      <c r="Q2472">
        <f t="shared" si="111"/>
        <v>1</v>
      </c>
      <c r="R2472" s="195" t="str">
        <f t="shared" si="112"/>
        <v>2020LIGHT VEHICLES</v>
      </c>
    </row>
    <row r="2473" spans="3:18" x14ac:dyDescent="0.25">
      <c r="C2473" s="294" t="s">
        <v>927</v>
      </c>
      <c r="D2473" s="317">
        <v>7211</v>
      </c>
      <c r="E2473" s="122" t="s">
        <v>928</v>
      </c>
      <c r="F2473" s="122" t="s">
        <v>929</v>
      </c>
      <c r="G2473" s="122" t="s">
        <v>786</v>
      </c>
      <c r="H2473" s="122" t="s">
        <v>777</v>
      </c>
      <c r="I2473" s="312">
        <v>2021</v>
      </c>
      <c r="J2473" s="122" t="s">
        <v>709</v>
      </c>
      <c r="K2473" s="283">
        <v>1396</v>
      </c>
      <c r="L2473" s="318">
        <v>-32.940570999999998</v>
      </c>
      <c r="M2473" s="318">
        <v>151.71312</v>
      </c>
      <c r="O2473">
        <f>INDEX('MEC - traffic congestion'!$M$145:$M$249,MATCH($D2473,'MEC - traffic congestion'!$C$145:$C$249,0))</f>
        <v>1</v>
      </c>
      <c r="P2473" t="str">
        <f t="shared" si="110"/>
        <v>2021AM PEAK</v>
      </c>
      <c r="Q2473">
        <f t="shared" si="111"/>
        <v>1</v>
      </c>
      <c r="R2473" s="195" t="str">
        <f t="shared" si="112"/>
        <v>2021LIGHT VEHICLES</v>
      </c>
    </row>
    <row r="2474" spans="3:18" x14ac:dyDescent="0.25">
      <c r="C2474" s="294" t="s">
        <v>927</v>
      </c>
      <c r="D2474" s="317">
        <v>7211</v>
      </c>
      <c r="E2474" s="122" t="s">
        <v>928</v>
      </c>
      <c r="F2474" s="122" t="s">
        <v>929</v>
      </c>
      <c r="G2474" s="122" t="s">
        <v>786</v>
      </c>
      <c r="H2474" s="122" t="s">
        <v>777</v>
      </c>
      <c r="I2474" s="312">
        <v>2021</v>
      </c>
      <c r="J2474" s="122" t="s">
        <v>710</v>
      </c>
      <c r="K2474" s="283">
        <v>2890</v>
      </c>
      <c r="L2474" s="318">
        <v>-32.940570999999998</v>
      </c>
      <c r="M2474" s="318">
        <v>151.71312</v>
      </c>
      <c r="O2474">
        <f>INDEX('MEC - traffic congestion'!$M$145:$M$249,MATCH($D2474,'MEC - traffic congestion'!$C$145:$C$249,0))</f>
        <v>1</v>
      </c>
      <c r="P2474" t="str">
        <f t="shared" si="110"/>
        <v>2021OFF PEAK</v>
      </c>
      <c r="Q2474">
        <f t="shared" si="111"/>
        <v>1</v>
      </c>
      <c r="R2474" s="195" t="str">
        <f t="shared" si="112"/>
        <v>2021LIGHT VEHICLES</v>
      </c>
    </row>
    <row r="2475" spans="3:18" x14ac:dyDescent="0.25">
      <c r="C2475" s="294" t="s">
        <v>927</v>
      </c>
      <c r="D2475" s="317">
        <v>7211</v>
      </c>
      <c r="E2475" s="122" t="s">
        <v>928</v>
      </c>
      <c r="F2475" s="122" t="s">
        <v>929</v>
      </c>
      <c r="G2475" s="122" t="s">
        <v>786</v>
      </c>
      <c r="H2475" s="122" t="s">
        <v>777</v>
      </c>
      <c r="I2475" s="312">
        <v>2021</v>
      </c>
      <c r="J2475" s="122" t="s">
        <v>711</v>
      </c>
      <c r="K2475" s="283">
        <v>1942</v>
      </c>
      <c r="L2475" s="318">
        <v>-32.940570999999998</v>
      </c>
      <c r="M2475" s="318">
        <v>151.71312</v>
      </c>
      <c r="O2475">
        <f>INDEX('MEC - traffic congestion'!$M$145:$M$249,MATCH($D2475,'MEC - traffic congestion'!$C$145:$C$249,0))</f>
        <v>1</v>
      </c>
      <c r="P2475" t="str">
        <f t="shared" si="110"/>
        <v>2021PM PEAK</v>
      </c>
      <c r="Q2475">
        <f t="shared" si="111"/>
        <v>1</v>
      </c>
      <c r="R2475" s="195" t="str">
        <f t="shared" si="112"/>
        <v>2021LIGHT VEHICLES</v>
      </c>
    </row>
    <row r="2476" spans="3:18" x14ac:dyDescent="0.25">
      <c r="C2476" s="294" t="s">
        <v>927</v>
      </c>
      <c r="D2476" s="317">
        <v>7211</v>
      </c>
      <c r="E2476" s="122" t="s">
        <v>928</v>
      </c>
      <c r="F2476" s="122" t="s">
        <v>929</v>
      </c>
      <c r="G2476" s="122" t="s">
        <v>786</v>
      </c>
      <c r="H2476" s="122" t="s">
        <v>777</v>
      </c>
      <c r="I2476" s="312">
        <v>2021</v>
      </c>
      <c r="J2476" s="122" t="s">
        <v>713</v>
      </c>
      <c r="K2476" s="283">
        <v>4920</v>
      </c>
      <c r="L2476" s="318">
        <v>-32.940570999999998</v>
      </c>
      <c r="M2476" s="318">
        <v>151.71312</v>
      </c>
      <c r="O2476">
        <f>INDEX('MEC - traffic congestion'!$M$145:$M$249,MATCH($D2476,'MEC - traffic congestion'!$C$145:$C$249,0))</f>
        <v>1</v>
      </c>
      <c r="P2476" t="str">
        <f t="shared" si="110"/>
        <v>2021WEEKENDS</v>
      </c>
      <c r="Q2476">
        <f t="shared" si="111"/>
        <v>1</v>
      </c>
      <c r="R2476" s="195" t="str">
        <f t="shared" si="112"/>
        <v>2021LIGHT VEHICLES</v>
      </c>
    </row>
    <row r="2477" spans="3:18" x14ac:dyDescent="0.25">
      <c r="C2477" s="294" t="s">
        <v>927</v>
      </c>
      <c r="D2477" s="317">
        <v>7211</v>
      </c>
      <c r="E2477" s="122" t="s">
        <v>928</v>
      </c>
      <c r="F2477" s="122" t="s">
        <v>929</v>
      </c>
      <c r="G2477" s="122" t="s">
        <v>786</v>
      </c>
      <c r="H2477" s="122" t="s">
        <v>777</v>
      </c>
      <c r="I2477" s="312">
        <v>2022</v>
      </c>
      <c r="J2477" s="122" t="s">
        <v>709</v>
      </c>
      <c r="K2477" s="283">
        <v>1436</v>
      </c>
      <c r="L2477" s="318">
        <v>-32.940570999999998</v>
      </c>
      <c r="M2477" s="318">
        <v>151.71312</v>
      </c>
      <c r="O2477">
        <f>INDEX('MEC - traffic congestion'!$M$145:$M$249,MATCH($D2477,'MEC - traffic congestion'!$C$145:$C$249,0))</f>
        <v>1</v>
      </c>
      <c r="P2477" t="str">
        <f t="shared" si="110"/>
        <v>2022AM PEAK</v>
      </c>
      <c r="Q2477">
        <f t="shared" si="111"/>
        <v>1</v>
      </c>
      <c r="R2477" s="195" t="str">
        <f t="shared" si="112"/>
        <v>2022LIGHT VEHICLES</v>
      </c>
    </row>
    <row r="2478" spans="3:18" x14ac:dyDescent="0.25">
      <c r="C2478" s="294" t="s">
        <v>927</v>
      </c>
      <c r="D2478" s="317">
        <v>7211</v>
      </c>
      <c r="E2478" s="122" t="s">
        <v>928</v>
      </c>
      <c r="F2478" s="122" t="s">
        <v>929</v>
      </c>
      <c r="G2478" s="122" t="s">
        <v>786</v>
      </c>
      <c r="H2478" s="122" t="s">
        <v>777</v>
      </c>
      <c r="I2478" s="312">
        <v>2022</v>
      </c>
      <c r="J2478" s="122" t="s">
        <v>710</v>
      </c>
      <c r="K2478" s="283">
        <v>3003</v>
      </c>
      <c r="L2478" s="318">
        <v>-32.940570999999998</v>
      </c>
      <c r="M2478" s="318">
        <v>151.71312</v>
      </c>
      <c r="O2478">
        <f>INDEX('MEC - traffic congestion'!$M$145:$M$249,MATCH($D2478,'MEC - traffic congestion'!$C$145:$C$249,0))</f>
        <v>1</v>
      </c>
      <c r="P2478" t="str">
        <f t="shared" si="110"/>
        <v>2022OFF PEAK</v>
      </c>
      <c r="Q2478">
        <f t="shared" si="111"/>
        <v>1</v>
      </c>
      <c r="R2478" s="195" t="str">
        <f t="shared" si="112"/>
        <v>2022LIGHT VEHICLES</v>
      </c>
    </row>
    <row r="2479" spans="3:18" x14ac:dyDescent="0.25">
      <c r="C2479" s="294" t="s">
        <v>927</v>
      </c>
      <c r="D2479" s="317">
        <v>7211</v>
      </c>
      <c r="E2479" s="122" t="s">
        <v>928</v>
      </c>
      <c r="F2479" s="122" t="s">
        <v>929</v>
      </c>
      <c r="G2479" s="122" t="s">
        <v>786</v>
      </c>
      <c r="H2479" s="122" t="s">
        <v>777</v>
      </c>
      <c r="I2479" s="312">
        <v>2022</v>
      </c>
      <c r="J2479" s="122" t="s">
        <v>711</v>
      </c>
      <c r="K2479" s="283">
        <v>1989</v>
      </c>
      <c r="L2479" s="318">
        <v>-32.940570999999998</v>
      </c>
      <c r="M2479" s="318">
        <v>151.71312</v>
      </c>
      <c r="O2479">
        <f>INDEX('MEC - traffic congestion'!$M$145:$M$249,MATCH($D2479,'MEC - traffic congestion'!$C$145:$C$249,0))</f>
        <v>1</v>
      </c>
      <c r="P2479" t="str">
        <f t="shared" si="110"/>
        <v>2022PM PEAK</v>
      </c>
      <c r="Q2479">
        <f t="shared" si="111"/>
        <v>1</v>
      </c>
      <c r="R2479" s="195" t="str">
        <f t="shared" si="112"/>
        <v>2022LIGHT VEHICLES</v>
      </c>
    </row>
    <row r="2480" spans="3:18" x14ac:dyDescent="0.25">
      <c r="C2480" s="294" t="s">
        <v>927</v>
      </c>
      <c r="D2480" s="317">
        <v>7211</v>
      </c>
      <c r="E2480" s="122" t="s">
        <v>928</v>
      </c>
      <c r="F2480" s="122" t="s">
        <v>929</v>
      </c>
      <c r="G2480" s="122" t="s">
        <v>786</v>
      </c>
      <c r="H2480" s="122" t="s">
        <v>777</v>
      </c>
      <c r="I2480" s="312">
        <v>2022</v>
      </c>
      <c r="J2480" s="122" t="s">
        <v>713</v>
      </c>
      <c r="K2480" s="283">
        <v>5046</v>
      </c>
      <c r="L2480" s="318">
        <v>-32.940570999999998</v>
      </c>
      <c r="M2480" s="318">
        <v>151.71312</v>
      </c>
      <c r="O2480">
        <f>INDEX('MEC - traffic congestion'!$M$145:$M$249,MATCH($D2480,'MEC - traffic congestion'!$C$145:$C$249,0))</f>
        <v>1</v>
      </c>
      <c r="P2480" t="str">
        <f t="shared" si="110"/>
        <v>2022WEEKENDS</v>
      </c>
      <c r="Q2480">
        <f t="shared" si="111"/>
        <v>1</v>
      </c>
      <c r="R2480" s="195" t="str">
        <f t="shared" si="112"/>
        <v>2022LIGHT VEHICLES</v>
      </c>
    </row>
    <row r="2481" spans="3:18" x14ac:dyDescent="0.25">
      <c r="C2481" s="294" t="s">
        <v>927</v>
      </c>
      <c r="D2481" s="317">
        <v>7211</v>
      </c>
      <c r="E2481" s="122" t="s">
        <v>928</v>
      </c>
      <c r="F2481" s="122" t="s">
        <v>929</v>
      </c>
      <c r="G2481" s="122" t="s">
        <v>786</v>
      </c>
      <c r="H2481" s="122" t="s">
        <v>777</v>
      </c>
      <c r="I2481" s="312">
        <v>2023</v>
      </c>
      <c r="J2481" s="122" t="s">
        <v>709</v>
      </c>
      <c r="K2481" s="283">
        <v>1486</v>
      </c>
      <c r="L2481" s="318">
        <v>-32.940570999999998</v>
      </c>
      <c r="M2481" s="318">
        <v>151.71312</v>
      </c>
      <c r="O2481">
        <f>INDEX('MEC - traffic congestion'!$M$145:$M$249,MATCH($D2481,'MEC - traffic congestion'!$C$145:$C$249,0))</f>
        <v>1</v>
      </c>
      <c r="P2481" t="str">
        <f t="shared" si="110"/>
        <v>2023AM PEAK</v>
      </c>
      <c r="Q2481">
        <f t="shared" si="111"/>
        <v>1</v>
      </c>
      <c r="R2481" s="195" t="str">
        <f t="shared" si="112"/>
        <v>2023LIGHT VEHICLES</v>
      </c>
    </row>
    <row r="2482" spans="3:18" x14ac:dyDescent="0.25">
      <c r="C2482" s="294" t="s">
        <v>927</v>
      </c>
      <c r="D2482" s="317">
        <v>7211</v>
      </c>
      <c r="E2482" s="122" t="s">
        <v>928</v>
      </c>
      <c r="F2482" s="122" t="s">
        <v>929</v>
      </c>
      <c r="G2482" s="122" t="s">
        <v>786</v>
      </c>
      <c r="H2482" s="122" t="s">
        <v>777</v>
      </c>
      <c r="I2482" s="312">
        <v>2023</v>
      </c>
      <c r="J2482" s="122" t="s">
        <v>710</v>
      </c>
      <c r="K2482" s="283">
        <v>3112</v>
      </c>
      <c r="L2482" s="318">
        <v>-32.940570999999998</v>
      </c>
      <c r="M2482" s="318">
        <v>151.71312</v>
      </c>
      <c r="O2482">
        <f>INDEX('MEC - traffic congestion'!$M$145:$M$249,MATCH($D2482,'MEC - traffic congestion'!$C$145:$C$249,0))</f>
        <v>1</v>
      </c>
      <c r="P2482" t="str">
        <f t="shared" si="110"/>
        <v>2023OFF PEAK</v>
      </c>
      <c r="Q2482">
        <f t="shared" si="111"/>
        <v>1</v>
      </c>
      <c r="R2482" s="195" t="str">
        <f t="shared" si="112"/>
        <v>2023LIGHT VEHICLES</v>
      </c>
    </row>
    <row r="2483" spans="3:18" x14ac:dyDescent="0.25">
      <c r="C2483" s="294" t="s">
        <v>927</v>
      </c>
      <c r="D2483" s="317">
        <v>7211</v>
      </c>
      <c r="E2483" s="122" t="s">
        <v>928</v>
      </c>
      <c r="F2483" s="122" t="s">
        <v>929</v>
      </c>
      <c r="G2483" s="122" t="s">
        <v>786</v>
      </c>
      <c r="H2483" s="122" t="s">
        <v>777</v>
      </c>
      <c r="I2483" s="312">
        <v>2023</v>
      </c>
      <c r="J2483" s="122" t="s">
        <v>711</v>
      </c>
      <c r="K2483" s="283">
        <v>2096</v>
      </c>
      <c r="L2483" s="318">
        <v>-32.940570999999998</v>
      </c>
      <c r="M2483" s="318">
        <v>151.71312</v>
      </c>
      <c r="O2483">
        <f>INDEX('MEC - traffic congestion'!$M$145:$M$249,MATCH($D2483,'MEC - traffic congestion'!$C$145:$C$249,0))</f>
        <v>1</v>
      </c>
      <c r="P2483" t="str">
        <f t="shared" si="110"/>
        <v>2023PM PEAK</v>
      </c>
      <c r="Q2483">
        <f t="shared" si="111"/>
        <v>1</v>
      </c>
      <c r="R2483" s="195" t="str">
        <f t="shared" si="112"/>
        <v>2023LIGHT VEHICLES</v>
      </c>
    </row>
    <row r="2484" spans="3:18" x14ac:dyDescent="0.25">
      <c r="C2484" s="294" t="s">
        <v>927</v>
      </c>
      <c r="D2484" s="317">
        <v>7211</v>
      </c>
      <c r="E2484" s="122" t="s">
        <v>928</v>
      </c>
      <c r="F2484" s="122" t="s">
        <v>929</v>
      </c>
      <c r="G2484" s="122" t="s">
        <v>786</v>
      </c>
      <c r="H2484" s="122" t="s">
        <v>777</v>
      </c>
      <c r="I2484" s="312">
        <v>2023</v>
      </c>
      <c r="J2484" s="122" t="s">
        <v>713</v>
      </c>
      <c r="K2484" s="283">
        <v>5444</v>
      </c>
      <c r="L2484" s="318">
        <v>-32.940570999999998</v>
      </c>
      <c r="M2484" s="318">
        <v>151.71312</v>
      </c>
      <c r="O2484">
        <f>INDEX('MEC - traffic congestion'!$M$145:$M$249,MATCH($D2484,'MEC - traffic congestion'!$C$145:$C$249,0))</f>
        <v>1</v>
      </c>
      <c r="P2484" t="str">
        <f t="shared" si="110"/>
        <v>2023WEEKENDS</v>
      </c>
      <c r="Q2484">
        <f t="shared" si="111"/>
        <v>1</v>
      </c>
      <c r="R2484" s="195" t="str">
        <f t="shared" si="112"/>
        <v>2023LIGHT VEHICLES</v>
      </c>
    </row>
    <row r="2485" spans="3:18" x14ac:dyDescent="0.25">
      <c r="C2485" s="294" t="s">
        <v>927</v>
      </c>
      <c r="D2485" s="317">
        <v>7211</v>
      </c>
      <c r="E2485" s="122" t="s">
        <v>928</v>
      </c>
      <c r="F2485" s="122" t="s">
        <v>929</v>
      </c>
      <c r="G2485" s="122" t="s">
        <v>786</v>
      </c>
      <c r="H2485" s="122" t="s">
        <v>777</v>
      </c>
      <c r="I2485" s="312">
        <v>2024</v>
      </c>
      <c r="J2485" s="122" t="s">
        <v>709</v>
      </c>
      <c r="K2485" s="283">
        <v>1427</v>
      </c>
      <c r="L2485" s="318">
        <v>-32.940570999999998</v>
      </c>
      <c r="M2485" s="318">
        <v>151.71312</v>
      </c>
      <c r="O2485">
        <f>INDEX('MEC - traffic congestion'!$M$145:$M$249,MATCH($D2485,'MEC - traffic congestion'!$C$145:$C$249,0))</f>
        <v>1</v>
      </c>
      <c r="P2485" t="str">
        <f t="shared" si="110"/>
        <v>2024AM PEAK</v>
      </c>
      <c r="Q2485">
        <f t="shared" si="111"/>
        <v>1</v>
      </c>
      <c r="R2485" s="195" t="str">
        <f t="shared" si="112"/>
        <v>2024LIGHT VEHICLES</v>
      </c>
    </row>
    <row r="2486" spans="3:18" x14ac:dyDescent="0.25">
      <c r="C2486" s="294" t="s">
        <v>927</v>
      </c>
      <c r="D2486" s="317">
        <v>7211</v>
      </c>
      <c r="E2486" s="122" t="s">
        <v>928</v>
      </c>
      <c r="F2486" s="122" t="s">
        <v>929</v>
      </c>
      <c r="G2486" s="122" t="s">
        <v>786</v>
      </c>
      <c r="H2486" s="122" t="s">
        <v>777</v>
      </c>
      <c r="I2486" s="312">
        <v>2024</v>
      </c>
      <c r="J2486" s="122" t="s">
        <v>710</v>
      </c>
      <c r="K2486" s="283">
        <v>3117</v>
      </c>
      <c r="L2486" s="318">
        <v>-32.940570999999998</v>
      </c>
      <c r="M2486" s="318">
        <v>151.71312</v>
      </c>
      <c r="O2486">
        <f>INDEX('MEC - traffic congestion'!$M$145:$M$249,MATCH($D2486,'MEC - traffic congestion'!$C$145:$C$249,0))</f>
        <v>1</v>
      </c>
      <c r="P2486" t="str">
        <f t="shared" si="110"/>
        <v>2024OFF PEAK</v>
      </c>
      <c r="Q2486">
        <f t="shared" si="111"/>
        <v>1</v>
      </c>
      <c r="R2486" s="195" t="str">
        <f t="shared" si="112"/>
        <v>2024LIGHT VEHICLES</v>
      </c>
    </row>
    <row r="2487" spans="3:18" x14ac:dyDescent="0.25">
      <c r="C2487" s="294" t="s">
        <v>927</v>
      </c>
      <c r="D2487" s="317">
        <v>7211</v>
      </c>
      <c r="E2487" s="122" t="s">
        <v>928</v>
      </c>
      <c r="F2487" s="122" t="s">
        <v>929</v>
      </c>
      <c r="G2487" s="122" t="s">
        <v>786</v>
      </c>
      <c r="H2487" s="122" t="s">
        <v>777</v>
      </c>
      <c r="I2487" s="312">
        <v>2024</v>
      </c>
      <c r="J2487" s="122" t="s">
        <v>711</v>
      </c>
      <c r="K2487" s="283">
        <v>2006</v>
      </c>
      <c r="L2487" s="318">
        <v>-32.940570999999998</v>
      </c>
      <c r="M2487" s="318">
        <v>151.71312</v>
      </c>
      <c r="O2487">
        <f>INDEX('MEC - traffic congestion'!$M$145:$M$249,MATCH($D2487,'MEC - traffic congestion'!$C$145:$C$249,0))</f>
        <v>1</v>
      </c>
      <c r="P2487" t="str">
        <f t="shared" si="110"/>
        <v>2024PM PEAK</v>
      </c>
      <c r="Q2487">
        <f t="shared" si="111"/>
        <v>1</v>
      </c>
      <c r="R2487" s="195" t="str">
        <f t="shared" si="112"/>
        <v>2024LIGHT VEHICLES</v>
      </c>
    </row>
    <row r="2488" spans="3:18" x14ac:dyDescent="0.25">
      <c r="C2488" s="294" t="s">
        <v>927</v>
      </c>
      <c r="D2488" s="317">
        <v>7211</v>
      </c>
      <c r="E2488" s="122" t="s">
        <v>928</v>
      </c>
      <c r="F2488" s="122" t="s">
        <v>929</v>
      </c>
      <c r="G2488" s="122" t="s">
        <v>786</v>
      </c>
      <c r="H2488" s="122" t="s">
        <v>777</v>
      </c>
      <c r="I2488" s="312">
        <v>2024</v>
      </c>
      <c r="J2488" s="122" t="s">
        <v>713</v>
      </c>
      <c r="K2488" s="283">
        <v>5379</v>
      </c>
      <c r="L2488" s="318">
        <v>-32.940570999999998</v>
      </c>
      <c r="M2488" s="318">
        <v>151.71312</v>
      </c>
      <c r="O2488">
        <f>INDEX('MEC - traffic congestion'!$M$145:$M$249,MATCH($D2488,'MEC - traffic congestion'!$C$145:$C$249,0))</f>
        <v>1</v>
      </c>
      <c r="P2488" t="str">
        <f t="shared" si="110"/>
        <v>2024WEEKENDS</v>
      </c>
      <c r="Q2488">
        <f t="shared" si="111"/>
        <v>1</v>
      </c>
      <c r="R2488" s="195" t="str">
        <f t="shared" si="112"/>
        <v>2024LIGHT VEHICLES</v>
      </c>
    </row>
    <row r="2489" spans="3:18" x14ac:dyDescent="0.25">
      <c r="C2489" s="294" t="s">
        <v>930</v>
      </c>
      <c r="D2489" s="317">
        <v>7212</v>
      </c>
      <c r="E2489" s="122" t="s">
        <v>931</v>
      </c>
      <c r="F2489" s="122" t="s">
        <v>932</v>
      </c>
      <c r="G2489" s="122" t="s">
        <v>776</v>
      </c>
      <c r="H2489" s="122" t="s">
        <v>777</v>
      </c>
      <c r="I2489" s="312">
        <v>2018</v>
      </c>
      <c r="J2489" s="122" t="s">
        <v>709</v>
      </c>
      <c r="K2489" s="283">
        <v>3068</v>
      </c>
      <c r="L2489" s="318">
        <v>-32.927010000000003</v>
      </c>
      <c r="M2489" s="318">
        <v>151.75791899999999</v>
      </c>
      <c r="O2489">
        <f>INDEX('MEC - traffic congestion'!$M$145:$M$249,MATCH($D2489,'MEC - traffic congestion'!$C$145:$C$249,0))</f>
        <v>1</v>
      </c>
      <c r="P2489" t="str">
        <f t="shared" si="110"/>
        <v>2018AM PEAK</v>
      </c>
      <c r="Q2489">
        <f t="shared" si="111"/>
        <v>1</v>
      </c>
      <c r="R2489" s="195" t="str">
        <f t="shared" si="112"/>
        <v>2018LIGHT VEHICLES</v>
      </c>
    </row>
    <row r="2490" spans="3:18" x14ac:dyDescent="0.25">
      <c r="C2490" s="294" t="s">
        <v>930</v>
      </c>
      <c r="D2490" s="317">
        <v>7212</v>
      </c>
      <c r="E2490" s="122" t="s">
        <v>931</v>
      </c>
      <c r="F2490" s="122" t="s">
        <v>932</v>
      </c>
      <c r="G2490" s="122" t="s">
        <v>776</v>
      </c>
      <c r="H2490" s="122" t="s">
        <v>777</v>
      </c>
      <c r="I2490" s="312">
        <v>2018</v>
      </c>
      <c r="J2490" s="122" t="s">
        <v>710</v>
      </c>
      <c r="K2490" s="283">
        <v>4115</v>
      </c>
      <c r="L2490" s="318">
        <v>-32.927010000000003</v>
      </c>
      <c r="M2490" s="318">
        <v>151.75791899999999</v>
      </c>
      <c r="O2490">
        <f>INDEX('MEC - traffic congestion'!$M$145:$M$249,MATCH($D2490,'MEC - traffic congestion'!$C$145:$C$249,0))</f>
        <v>1</v>
      </c>
      <c r="P2490" t="str">
        <f t="shared" si="110"/>
        <v>2018OFF PEAK</v>
      </c>
      <c r="Q2490">
        <f t="shared" si="111"/>
        <v>1</v>
      </c>
      <c r="R2490" s="195" t="str">
        <f t="shared" si="112"/>
        <v>2018LIGHT VEHICLES</v>
      </c>
    </row>
    <row r="2491" spans="3:18" x14ac:dyDescent="0.25">
      <c r="C2491" s="294" t="s">
        <v>930</v>
      </c>
      <c r="D2491" s="317">
        <v>7212</v>
      </c>
      <c r="E2491" s="122" t="s">
        <v>931</v>
      </c>
      <c r="F2491" s="122" t="s">
        <v>932</v>
      </c>
      <c r="G2491" s="122" t="s">
        <v>776</v>
      </c>
      <c r="H2491" s="122" t="s">
        <v>777</v>
      </c>
      <c r="I2491" s="312">
        <v>2018</v>
      </c>
      <c r="J2491" s="122" t="s">
        <v>711</v>
      </c>
      <c r="K2491" s="283">
        <v>2430</v>
      </c>
      <c r="L2491" s="318">
        <v>-32.927010000000003</v>
      </c>
      <c r="M2491" s="318">
        <v>151.75791899999999</v>
      </c>
      <c r="O2491">
        <f>INDEX('MEC - traffic congestion'!$M$145:$M$249,MATCH($D2491,'MEC - traffic congestion'!$C$145:$C$249,0))</f>
        <v>1</v>
      </c>
      <c r="P2491" t="str">
        <f t="shared" si="110"/>
        <v>2018PM PEAK</v>
      </c>
      <c r="Q2491">
        <f t="shared" si="111"/>
        <v>1</v>
      </c>
      <c r="R2491" s="195" t="str">
        <f t="shared" si="112"/>
        <v>2018LIGHT VEHICLES</v>
      </c>
    </row>
    <row r="2492" spans="3:18" x14ac:dyDescent="0.25">
      <c r="C2492" s="294" t="s">
        <v>930</v>
      </c>
      <c r="D2492" s="317">
        <v>7212</v>
      </c>
      <c r="E2492" s="122" t="s">
        <v>931</v>
      </c>
      <c r="F2492" s="122" t="s">
        <v>932</v>
      </c>
      <c r="G2492" s="122" t="s">
        <v>776</v>
      </c>
      <c r="H2492" s="122" t="s">
        <v>777</v>
      </c>
      <c r="I2492" s="312">
        <v>2018</v>
      </c>
      <c r="J2492" s="122" t="s">
        <v>712</v>
      </c>
      <c r="K2492" s="283">
        <v>6149</v>
      </c>
      <c r="L2492" s="318">
        <v>-32.927010000000003</v>
      </c>
      <c r="M2492" s="318">
        <v>151.75791899999999</v>
      </c>
      <c r="O2492">
        <f>INDEX('MEC - traffic congestion'!$M$145:$M$249,MATCH($D2492,'MEC - traffic congestion'!$C$145:$C$249,0))</f>
        <v>1</v>
      </c>
      <c r="P2492" t="str">
        <f t="shared" si="110"/>
        <v>2018PUBLIC HOLIDAYS</v>
      </c>
      <c r="Q2492">
        <f t="shared" si="111"/>
        <v>1</v>
      </c>
      <c r="R2492" s="195" t="str">
        <f t="shared" si="112"/>
        <v>2018LIGHT VEHICLES</v>
      </c>
    </row>
    <row r="2493" spans="3:18" x14ac:dyDescent="0.25">
      <c r="C2493" s="294" t="s">
        <v>930</v>
      </c>
      <c r="D2493" s="317">
        <v>7212</v>
      </c>
      <c r="E2493" s="122" t="s">
        <v>931</v>
      </c>
      <c r="F2493" s="122" t="s">
        <v>932</v>
      </c>
      <c r="G2493" s="122" t="s">
        <v>776</v>
      </c>
      <c r="H2493" s="122" t="s">
        <v>777</v>
      </c>
      <c r="I2493" s="312">
        <v>2018</v>
      </c>
      <c r="J2493" s="122" t="s">
        <v>713</v>
      </c>
      <c r="K2493" s="283">
        <v>7826</v>
      </c>
      <c r="L2493" s="318">
        <v>-32.927010000000003</v>
      </c>
      <c r="M2493" s="318">
        <v>151.75791899999999</v>
      </c>
      <c r="O2493">
        <f>INDEX('MEC - traffic congestion'!$M$145:$M$249,MATCH($D2493,'MEC - traffic congestion'!$C$145:$C$249,0))</f>
        <v>1</v>
      </c>
      <c r="P2493" t="str">
        <f t="shared" si="110"/>
        <v>2018WEEKENDS</v>
      </c>
      <c r="Q2493">
        <f t="shared" si="111"/>
        <v>1</v>
      </c>
      <c r="R2493" s="195" t="str">
        <f t="shared" si="112"/>
        <v>2018LIGHT VEHICLES</v>
      </c>
    </row>
    <row r="2494" spans="3:18" x14ac:dyDescent="0.25">
      <c r="C2494" s="294" t="s">
        <v>930</v>
      </c>
      <c r="D2494" s="317">
        <v>7212</v>
      </c>
      <c r="E2494" s="122" t="s">
        <v>931</v>
      </c>
      <c r="F2494" s="122" t="s">
        <v>932</v>
      </c>
      <c r="G2494" s="122" t="s">
        <v>776</v>
      </c>
      <c r="H2494" s="122" t="s">
        <v>777</v>
      </c>
      <c r="I2494" s="312">
        <v>2019</v>
      </c>
      <c r="J2494" s="122" t="s">
        <v>709</v>
      </c>
      <c r="K2494" s="283">
        <v>3189</v>
      </c>
      <c r="L2494" s="318">
        <v>-32.927010000000003</v>
      </c>
      <c r="M2494" s="318">
        <v>151.75791899999999</v>
      </c>
      <c r="O2494">
        <f>INDEX('MEC - traffic congestion'!$M$145:$M$249,MATCH($D2494,'MEC - traffic congestion'!$C$145:$C$249,0))</f>
        <v>1</v>
      </c>
      <c r="P2494" t="str">
        <f t="shared" si="110"/>
        <v>2019AM PEAK</v>
      </c>
      <c r="Q2494">
        <f t="shared" si="111"/>
        <v>1</v>
      </c>
      <c r="R2494" s="195" t="str">
        <f t="shared" si="112"/>
        <v>2019LIGHT VEHICLES</v>
      </c>
    </row>
    <row r="2495" spans="3:18" x14ac:dyDescent="0.25">
      <c r="C2495" s="294" t="s">
        <v>930</v>
      </c>
      <c r="D2495" s="317">
        <v>7212</v>
      </c>
      <c r="E2495" s="122" t="s">
        <v>931</v>
      </c>
      <c r="F2495" s="122" t="s">
        <v>932</v>
      </c>
      <c r="G2495" s="122" t="s">
        <v>776</v>
      </c>
      <c r="H2495" s="122" t="s">
        <v>777</v>
      </c>
      <c r="I2495" s="312">
        <v>2019</v>
      </c>
      <c r="J2495" s="122" t="s">
        <v>710</v>
      </c>
      <c r="K2495" s="283">
        <v>4128</v>
      </c>
      <c r="L2495" s="318">
        <v>-32.927010000000003</v>
      </c>
      <c r="M2495" s="318">
        <v>151.75791899999999</v>
      </c>
      <c r="O2495">
        <f>INDEX('MEC - traffic congestion'!$M$145:$M$249,MATCH($D2495,'MEC - traffic congestion'!$C$145:$C$249,0))</f>
        <v>1</v>
      </c>
      <c r="P2495" t="str">
        <f t="shared" si="110"/>
        <v>2019OFF PEAK</v>
      </c>
      <c r="Q2495">
        <f t="shared" si="111"/>
        <v>1</v>
      </c>
      <c r="R2495" s="195" t="str">
        <f t="shared" si="112"/>
        <v>2019LIGHT VEHICLES</v>
      </c>
    </row>
    <row r="2496" spans="3:18" x14ac:dyDescent="0.25">
      <c r="C2496" s="294" t="s">
        <v>930</v>
      </c>
      <c r="D2496" s="317">
        <v>7212</v>
      </c>
      <c r="E2496" s="122" t="s">
        <v>931</v>
      </c>
      <c r="F2496" s="122" t="s">
        <v>932</v>
      </c>
      <c r="G2496" s="122" t="s">
        <v>776</v>
      </c>
      <c r="H2496" s="122" t="s">
        <v>777</v>
      </c>
      <c r="I2496" s="312">
        <v>2019</v>
      </c>
      <c r="J2496" s="122" t="s">
        <v>711</v>
      </c>
      <c r="K2496" s="283">
        <v>2434</v>
      </c>
      <c r="L2496" s="318">
        <v>-32.927010000000003</v>
      </c>
      <c r="M2496" s="318">
        <v>151.75791899999999</v>
      </c>
      <c r="O2496">
        <f>INDEX('MEC - traffic congestion'!$M$145:$M$249,MATCH($D2496,'MEC - traffic congestion'!$C$145:$C$249,0))</f>
        <v>1</v>
      </c>
      <c r="P2496" t="str">
        <f t="shared" si="110"/>
        <v>2019PM PEAK</v>
      </c>
      <c r="Q2496">
        <f t="shared" si="111"/>
        <v>1</v>
      </c>
      <c r="R2496" s="195" t="str">
        <f t="shared" si="112"/>
        <v>2019LIGHT VEHICLES</v>
      </c>
    </row>
    <row r="2497" spans="3:18" x14ac:dyDescent="0.25">
      <c r="C2497" s="294" t="s">
        <v>930</v>
      </c>
      <c r="D2497" s="317">
        <v>7212</v>
      </c>
      <c r="E2497" s="122" t="s">
        <v>931</v>
      </c>
      <c r="F2497" s="122" t="s">
        <v>932</v>
      </c>
      <c r="G2497" s="122" t="s">
        <v>776</v>
      </c>
      <c r="H2497" s="122" t="s">
        <v>777</v>
      </c>
      <c r="I2497" s="312">
        <v>2019</v>
      </c>
      <c r="J2497" s="122" t="s">
        <v>712</v>
      </c>
      <c r="K2497" s="283">
        <v>6350</v>
      </c>
      <c r="L2497" s="318">
        <v>-32.927010000000003</v>
      </c>
      <c r="M2497" s="318">
        <v>151.75791899999999</v>
      </c>
      <c r="O2497">
        <f>INDEX('MEC - traffic congestion'!$M$145:$M$249,MATCH($D2497,'MEC - traffic congestion'!$C$145:$C$249,0))</f>
        <v>1</v>
      </c>
      <c r="P2497" t="str">
        <f t="shared" si="110"/>
        <v>2019PUBLIC HOLIDAYS</v>
      </c>
      <c r="Q2497">
        <f t="shared" si="111"/>
        <v>1</v>
      </c>
      <c r="R2497" s="195" t="str">
        <f t="shared" si="112"/>
        <v>2019LIGHT VEHICLES</v>
      </c>
    </row>
    <row r="2498" spans="3:18" x14ac:dyDescent="0.25">
      <c r="C2498" s="294" t="s">
        <v>930</v>
      </c>
      <c r="D2498" s="317">
        <v>7212</v>
      </c>
      <c r="E2498" s="122" t="s">
        <v>931</v>
      </c>
      <c r="F2498" s="122" t="s">
        <v>932</v>
      </c>
      <c r="G2498" s="122" t="s">
        <v>776</v>
      </c>
      <c r="H2498" s="122" t="s">
        <v>777</v>
      </c>
      <c r="I2498" s="312">
        <v>2019</v>
      </c>
      <c r="J2498" s="122" t="s">
        <v>713</v>
      </c>
      <c r="K2498" s="283">
        <v>7966</v>
      </c>
      <c r="L2498" s="318">
        <v>-32.927010000000003</v>
      </c>
      <c r="M2498" s="318">
        <v>151.75791899999999</v>
      </c>
      <c r="O2498">
        <f>INDEX('MEC - traffic congestion'!$M$145:$M$249,MATCH($D2498,'MEC - traffic congestion'!$C$145:$C$249,0))</f>
        <v>1</v>
      </c>
      <c r="P2498" t="str">
        <f t="shared" si="110"/>
        <v>2019WEEKENDS</v>
      </c>
      <c r="Q2498">
        <f t="shared" si="111"/>
        <v>1</v>
      </c>
      <c r="R2498" s="195" t="str">
        <f t="shared" si="112"/>
        <v>2019LIGHT VEHICLES</v>
      </c>
    </row>
    <row r="2499" spans="3:18" x14ac:dyDescent="0.25">
      <c r="C2499" s="294" t="s">
        <v>930</v>
      </c>
      <c r="D2499" s="317">
        <v>7212</v>
      </c>
      <c r="E2499" s="122" t="s">
        <v>931</v>
      </c>
      <c r="F2499" s="122" t="s">
        <v>932</v>
      </c>
      <c r="G2499" s="122" t="s">
        <v>776</v>
      </c>
      <c r="H2499" s="122" t="s">
        <v>777</v>
      </c>
      <c r="I2499" s="312">
        <v>2020</v>
      </c>
      <c r="J2499" s="122" t="s">
        <v>709</v>
      </c>
      <c r="K2499" s="283">
        <v>2983</v>
      </c>
      <c r="L2499" s="318">
        <v>-32.927010000000003</v>
      </c>
      <c r="M2499" s="318">
        <v>151.75791899999999</v>
      </c>
      <c r="O2499">
        <f>INDEX('MEC - traffic congestion'!$M$145:$M$249,MATCH($D2499,'MEC - traffic congestion'!$C$145:$C$249,0))</f>
        <v>1</v>
      </c>
      <c r="P2499" t="str">
        <f t="shared" si="110"/>
        <v>2020AM PEAK</v>
      </c>
      <c r="Q2499">
        <f t="shared" si="111"/>
        <v>1</v>
      </c>
      <c r="R2499" s="195" t="str">
        <f t="shared" si="112"/>
        <v>2020LIGHT VEHICLES</v>
      </c>
    </row>
    <row r="2500" spans="3:18" x14ac:dyDescent="0.25">
      <c r="C2500" s="294" t="s">
        <v>930</v>
      </c>
      <c r="D2500" s="317">
        <v>7212</v>
      </c>
      <c r="E2500" s="122" t="s">
        <v>931</v>
      </c>
      <c r="F2500" s="122" t="s">
        <v>932</v>
      </c>
      <c r="G2500" s="122" t="s">
        <v>776</v>
      </c>
      <c r="H2500" s="122" t="s">
        <v>777</v>
      </c>
      <c r="I2500" s="312">
        <v>2020</v>
      </c>
      <c r="J2500" s="122" t="s">
        <v>710</v>
      </c>
      <c r="K2500" s="283">
        <v>4019</v>
      </c>
      <c r="L2500" s="318">
        <v>-32.927010000000003</v>
      </c>
      <c r="M2500" s="318">
        <v>151.75791899999999</v>
      </c>
      <c r="O2500">
        <f>INDEX('MEC - traffic congestion'!$M$145:$M$249,MATCH($D2500,'MEC - traffic congestion'!$C$145:$C$249,0))</f>
        <v>1</v>
      </c>
      <c r="P2500" t="str">
        <f t="shared" si="110"/>
        <v>2020OFF PEAK</v>
      </c>
      <c r="Q2500">
        <f t="shared" si="111"/>
        <v>1</v>
      </c>
      <c r="R2500" s="195" t="str">
        <f t="shared" si="112"/>
        <v>2020LIGHT VEHICLES</v>
      </c>
    </row>
    <row r="2501" spans="3:18" x14ac:dyDescent="0.25">
      <c r="C2501" s="294" t="s">
        <v>930</v>
      </c>
      <c r="D2501" s="317">
        <v>7212</v>
      </c>
      <c r="E2501" s="122" t="s">
        <v>931</v>
      </c>
      <c r="F2501" s="122" t="s">
        <v>932</v>
      </c>
      <c r="G2501" s="122" t="s">
        <v>776</v>
      </c>
      <c r="H2501" s="122" t="s">
        <v>777</v>
      </c>
      <c r="I2501" s="312">
        <v>2020</v>
      </c>
      <c r="J2501" s="122" t="s">
        <v>711</v>
      </c>
      <c r="K2501" s="283">
        <v>2304</v>
      </c>
      <c r="L2501" s="318">
        <v>-32.927010000000003</v>
      </c>
      <c r="M2501" s="318">
        <v>151.75791899999999</v>
      </c>
      <c r="O2501">
        <f>INDEX('MEC - traffic congestion'!$M$145:$M$249,MATCH($D2501,'MEC - traffic congestion'!$C$145:$C$249,0))</f>
        <v>1</v>
      </c>
      <c r="P2501" t="str">
        <f t="shared" si="110"/>
        <v>2020PM PEAK</v>
      </c>
      <c r="Q2501">
        <f t="shared" si="111"/>
        <v>1</v>
      </c>
      <c r="R2501" s="195" t="str">
        <f t="shared" si="112"/>
        <v>2020LIGHT VEHICLES</v>
      </c>
    </row>
    <row r="2502" spans="3:18" x14ac:dyDescent="0.25">
      <c r="C2502" s="294" t="s">
        <v>930</v>
      </c>
      <c r="D2502" s="317">
        <v>7212</v>
      </c>
      <c r="E2502" s="122" t="s">
        <v>931</v>
      </c>
      <c r="F2502" s="122" t="s">
        <v>932</v>
      </c>
      <c r="G2502" s="122" t="s">
        <v>776</v>
      </c>
      <c r="H2502" s="122" t="s">
        <v>777</v>
      </c>
      <c r="I2502" s="312">
        <v>2020</v>
      </c>
      <c r="J2502" s="122" t="s">
        <v>712</v>
      </c>
      <c r="K2502" s="283">
        <v>5117</v>
      </c>
      <c r="L2502" s="318">
        <v>-32.927010000000003</v>
      </c>
      <c r="M2502" s="318">
        <v>151.75791899999999</v>
      </c>
      <c r="O2502">
        <f>INDEX('MEC - traffic congestion'!$M$145:$M$249,MATCH($D2502,'MEC - traffic congestion'!$C$145:$C$249,0))</f>
        <v>1</v>
      </c>
      <c r="P2502" t="str">
        <f t="shared" si="110"/>
        <v>2020PUBLIC HOLIDAYS</v>
      </c>
      <c r="Q2502">
        <f t="shared" si="111"/>
        <v>1</v>
      </c>
      <c r="R2502" s="195" t="str">
        <f t="shared" si="112"/>
        <v>2020LIGHT VEHICLES</v>
      </c>
    </row>
    <row r="2503" spans="3:18" x14ac:dyDescent="0.25">
      <c r="C2503" s="294" t="s">
        <v>930</v>
      </c>
      <c r="D2503" s="317">
        <v>7212</v>
      </c>
      <c r="E2503" s="122" t="s">
        <v>931</v>
      </c>
      <c r="F2503" s="122" t="s">
        <v>932</v>
      </c>
      <c r="G2503" s="122" t="s">
        <v>776</v>
      </c>
      <c r="H2503" s="122" t="s">
        <v>777</v>
      </c>
      <c r="I2503" s="312">
        <v>2020</v>
      </c>
      <c r="J2503" s="122" t="s">
        <v>713</v>
      </c>
      <c r="K2503" s="283">
        <v>7282</v>
      </c>
      <c r="L2503" s="318">
        <v>-32.927010000000003</v>
      </c>
      <c r="M2503" s="318">
        <v>151.75791899999999</v>
      </c>
      <c r="O2503">
        <f>INDEX('MEC - traffic congestion'!$M$145:$M$249,MATCH($D2503,'MEC - traffic congestion'!$C$145:$C$249,0))</f>
        <v>1</v>
      </c>
      <c r="P2503" t="str">
        <f t="shared" si="110"/>
        <v>2020WEEKENDS</v>
      </c>
      <c r="Q2503">
        <f t="shared" si="111"/>
        <v>1</v>
      </c>
      <c r="R2503" s="195" t="str">
        <f t="shared" si="112"/>
        <v>2020LIGHT VEHICLES</v>
      </c>
    </row>
    <row r="2504" spans="3:18" x14ac:dyDescent="0.25">
      <c r="C2504" s="294" t="s">
        <v>930</v>
      </c>
      <c r="D2504" s="317">
        <v>7212</v>
      </c>
      <c r="E2504" s="122" t="s">
        <v>931</v>
      </c>
      <c r="F2504" s="122" t="s">
        <v>932</v>
      </c>
      <c r="G2504" s="122" t="s">
        <v>776</v>
      </c>
      <c r="H2504" s="122" t="s">
        <v>777</v>
      </c>
      <c r="I2504" s="312">
        <v>2021</v>
      </c>
      <c r="J2504" s="122" t="s">
        <v>709</v>
      </c>
      <c r="K2504" s="283">
        <v>2934</v>
      </c>
      <c r="L2504" s="318">
        <v>-32.927010000000003</v>
      </c>
      <c r="M2504" s="318">
        <v>151.75791899999999</v>
      </c>
      <c r="O2504">
        <f>INDEX('MEC - traffic congestion'!$M$145:$M$249,MATCH($D2504,'MEC - traffic congestion'!$C$145:$C$249,0))</f>
        <v>1</v>
      </c>
      <c r="P2504" t="str">
        <f t="shared" si="110"/>
        <v>2021AM PEAK</v>
      </c>
      <c r="Q2504">
        <f t="shared" si="111"/>
        <v>1</v>
      </c>
      <c r="R2504" s="195" t="str">
        <f t="shared" si="112"/>
        <v>2021LIGHT VEHICLES</v>
      </c>
    </row>
    <row r="2505" spans="3:18" x14ac:dyDescent="0.25">
      <c r="C2505" s="294" t="s">
        <v>930</v>
      </c>
      <c r="D2505" s="317">
        <v>7212</v>
      </c>
      <c r="E2505" s="122" t="s">
        <v>931</v>
      </c>
      <c r="F2505" s="122" t="s">
        <v>932</v>
      </c>
      <c r="G2505" s="122" t="s">
        <v>776</v>
      </c>
      <c r="H2505" s="122" t="s">
        <v>777</v>
      </c>
      <c r="I2505" s="312">
        <v>2021</v>
      </c>
      <c r="J2505" s="122" t="s">
        <v>710</v>
      </c>
      <c r="K2505" s="283">
        <v>4016</v>
      </c>
      <c r="L2505" s="318">
        <v>-32.927010000000003</v>
      </c>
      <c r="M2505" s="318">
        <v>151.75791899999999</v>
      </c>
      <c r="O2505">
        <f>INDEX('MEC - traffic congestion'!$M$145:$M$249,MATCH($D2505,'MEC - traffic congestion'!$C$145:$C$249,0))</f>
        <v>1</v>
      </c>
      <c r="P2505" t="str">
        <f t="shared" si="110"/>
        <v>2021OFF PEAK</v>
      </c>
      <c r="Q2505">
        <f t="shared" si="111"/>
        <v>1</v>
      </c>
      <c r="R2505" s="195" t="str">
        <f t="shared" si="112"/>
        <v>2021LIGHT VEHICLES</v>
      </c>
    </row>
    <row r="2506" spans="3:18" x14ac:dyDescent="0.25">
      <c r="C2506" s="294" t="s">
        <v>930</v>
      </c>
      <c r="D2506" s="317">
        <v>7212</v>
      </c>
      <c r="E2506" s="122" t="s">
        <v>931</v>
      </c>
      <c r="F2506" s="122" t="s">
        <v>932</v>
      </c>
      <c r="G2506" s="122" t="s">
        <v>776</v>
      </c>
      <c r="H2506" s="122" t="s">
        <v>777</v>
      </c>
      <c r="I2506" s="312">
        <v>2021</v>
      </c>
      <c r="J2506" s="122" t="s">
        <v>711</v>
      </c>
      <c r="K2506" s="283">
        <v>2308</v>
      </c>
      <c r="L2506" s="318">
        <v>-32.927010000000003</v>
      </c>
      <c r="M2506" s="318">
        <v>151.75791899999999</v>
      </c>
      <c r="O2506">
        <f>INDEX('MEC - traffic congestion'!$M$145:$M$249,MATCH($D2506,'MEC - traffic congestion'!$C$145:$C$249,0))</f>
        <v>1</v>
      </c>
      <c r="P2506" t="str">
        <f t="shared" si="110"/>
        <v>2021PM PEAK</v>
      </c>
      <c r="Q2506">
        <f t="shared" si="111"/>
        <v>1</v>
      </c>
      <c r="R2506" s="195" t="str">
        <f t="shared" si="112"/>
        <v>2021LIGHT VEHICLES</v>
      </c>
    </row>
    <row r="2507" spans="3:18" x14ac:dyDescent="0.25">
      <c r="C2507" s="294" t="s">
        <v>930</v>
      </c>
      <c r="D2507" s="317">
        <v>7212</v>
      </c>
      <c r="E2507" s="122" t="s">
        <v>931</v>
      </c>
      <c r="F2507" s="122" t="s">
        <v>932</v>
      </c>
      <c r="G2507" s="122" t="s">
        <v>776</v>
      </c>
      <c r="H2507" s="122" t="s">
        <v>777</v>
      </c>
      <c r="I2507" s="312">
        <v>2021</v>
      </c>
      <c r="J2507" s="122" t="s">
        <v>713</v>
      </c>
      <c r="K2507" s="283">
        <v>7113</v>
      </c>
      <c r="L2507" s="318">
        <v>-32.927010000000003</v>
      </c>
      <c r="M2507" s="318">
        <v>151.75791899999999</v>
      </c>
      <c r="O2507">
        <f>INDEX('MEC - traffic congestion'!$M$145:$M$249,MATCH($D2507,'MEC - traffic congestion'!$C$145:$C$249,0))</f>
        <v>1</v>
      </c>
      <c r="P2507" t="str">
        <f t="shared" si="110"/>
        <v>2021WEEKENDS</v>
      </c>
      <c r="Q2507">
        <f t="shared" si="111"/>
        <v>1</v>
      </c>
      <c r="R2507" s="195" t="str">
        <f t="shared" si="112"/>
        <v>2021LIGHT VEHICLES</v>
      </c>
    </row>
    <row r="2508" spans="3:18" x14ac:dyDescent="0.25">
      <c r="C2508" s="294" t="s">
        <v>930</v>
      </c>
      <c r="D2508" s="317">
        <v>7212</v>
      </c>
      <c r="E2508" s="122" t="s">
        <v>931</v>
      </c>
      <c r="F2508" s="122" t="s">
        <v>932</v>
      </c>
      <c r="G2508" s="122" t="s">
        <v>776</v>
      </c>
      <c r="H2508" s="122" t="s">
        <v>777</v>
      </c>
      <c r="I2508" s="312">
        <v>2022</v>
      </c>
      <c r="J2508" s="122" t="s">
        <v>709</v>
      </c>
      <c r="K2508" s="283">
        <v>3013</v>
      </c>
      <c r="L2508" s="318">
        <v>-32.927010000000003</v>
      </c>
      <c r="M2508" s="318">
        <v>151.75791899999999</v>
      </c>
      <c r="O2508">
        <f>INDEX('MEC - traffic congestion'!$M$145:$M$249,MATCH($D2508,'MEC - traffic congestion'!$C$145:$C$249,0))</f>
        <v>1</v>
      </c>
      <c r="P2508" t="str">
        <f t="shared" si="110"/>
        <v>2022AM PEAK</v>
      </c>
      <c r="Q2508">
        <f t="shared" si="111"/>
        <v>1</v>
      </c>
      <c r="R2508" s="195" t="str">
        <f t="shared" si="112"/>
        <v>2022LIGHT VEHICLES</v>
      </c>
    </row>
    <row r="2509" spans="3:18" x14ac:dyDescent="0.25">
      <c r="C2509" s="294" t="s">
        <v>930</v>
      </c>
      <c r="D2509" s="317">
        <v>7212</v>
      </c>
      <c r="E2509" s="122" t="s">
        <v>931</v>
      </c>
      <c r="F2509" s="122" t="s">
        <v>932</v>
      </c>
      <c r="G2509" s="122" t="s">
        <v>776</v>
      </c>
      <c r="H2509" s="122" t="s">
        <v>777</v>
      </c>
      <c r="I2509" s="312">
        <v>2022</v>
      </c>
      <c r="J2509" s="122" t="s">
        <v>710</v>
      </c>
      <c r="K2509" s="283">
        <v>4157</v>
      </c>
      <c r="L2509" s="318">
        <v>-32.927010000000003</v>
      </c>
      <c r="M2509" s="318">
        <v>151.75791899999999</v>
      </c>
      <c r="O2509">
        <f>INDEX('MEC - traffic congestion'!$M$145:$M$249,MATCH($D2509,'MEC - traffic congestion'!$C$145:$C$249,0))</f>
        <v>1</v>
      </c>
      <c r="P2509" t="str">
        <f t="shared" si="110"/>
        <v>2022OFF PEAK</v>
      </c>
      <c r="Q2509">
        <f t="shared" si="111"/>
        <v>1</v>
      </c>
      <c r="R2509" s="195" t="str">
        <f t="shared" si="112"/>
        <v>2022LIGHT VEHICLES</v>
      </c>
    </row>
    <row r="2510" spans="3:18" x14ac:dyDescent="0.25">
      <c r="C2510" s="294" t="s">
        <v>930</v>
      </c>
      <c r="D2510" s="317">
        <v>7212</v>
      </c>
      <c r="E2510" s="122" t="s">
        <v>931</v>
      </c>
      <c r="F2510" s="122" t="s">
        <v>932</v>
      </c>
      <c r="G2510" s="122" t="s">
        <v>776</v>
      </c>
      <c r="H2510" s="122" t="s">
        <v>777</v>
      </c>
      <c r="I2510" s="312">
        <v>2022</v>
      </c>
      <c r="J2510" s="122" t="s">
        <v>711</v>
      </c>
      <c r="K2510" s="283">
        <v>2405</v>
      </c>
      <c r="L2510" s="318">
        <v>-32.927010000000003</v>
      </c>
      <c r="M2510" s="318">
        <v>151.75791899999999</v>
      </c>
      <c r="O2510">
        <f>INDEX('MEC - traffic congestion'!$M$145:$M$249,MATCH($D2510,'MEC - traffic congestion'!$C$145:$C$249,0))</f>
        <v>1</v>
      </c>
      <c r="P2510" t="str">
        <f t="shared" si="110"/>
        <v>2022PM PEAK</v>
      </c>
      <c r="Q2510">
        <f t="shared" si="111"/>
        <v>1</v>
      </c>
      <c r="R2510" s="195" t="str">
        <f t="shared" si="112"/>
        <v>2022LIGHT VEHICLES</v>
      </c>
    </row>
    <row r="2511" spans="3:18" x14ac:dyDescent="0.25">
      <c r="C2511" s="294" t="s">
        <v>930</v>
      </c>
      <c r="D2511" s="317">
        <v>7212</v>
      </c>
      <c r="E2511" s="122" t="s">
        <v>931</v>
      </c>
      <c r="F2511" s="122" t="s">
        <v>932</v>
      </c>
      <c r="G2511" s="122" t="s">
        <v>776</v>
      </c>
      <c r="H2511" s="122" t="s">
        <v>777</v>
      </c>
      <c r="I2511" s="312">
        <v>2022</v>
      </c>
      <c r="J2511" s="122" t="s">
        <v>713</v>
      </c>
      <c r="K2511" s="283">
        <v>7731</v>
      </c>
      <c r="L2511" s="318">
        <v>-32.927010000000003</v>
      </c>
      <c r="M2511" s="318">
        <v>151.75791899999999</v>
      </c>
      <c r="O2511">
        <f>INDEX('MEC - traffic congestion'!$M$145:$M$249,MATCH($D2511,'MEC - traffic congestion'!$C$145:$C$249,0))</f>
        <v>1</v>
      </c>
      <c r="P2511" t="str">
        <f t="shared" si="110"/>
        <v>2022WEEKENDS</v>
      </c>
      <c r="Q2511">
        <f t="shared" si="111"/>
        <v>1</v>
      </c>
      <c r="R2511" s="195" t="str">
        <f t="shared" si="112"/>
        <v>2022LIGHT VEHICLES</v>
      </c>
    </row>
    <row r="2512" spans="3:18" x14ac:dyDescent="0.25">
      <c r="C2512" s="294" t="s">
        <v>930</v>
      </c>
      <c r="D2512" s="317">
        <v>7212</v>
      </c>
      <c r="E2512" s="122" t="s">
        <v>931</v>
      </c>
      <c r="F2512" s="122" t="s">
        <v>932</v>
      </c>
      <c r="G2512" s="122" t="s">
        <v>776</v>
      </c>
      <c r="H2512" s="122" t="s">
        <v>777</v>
      </c>
      <c r="I2512" s="312">
        <v>2023</v>
      </c>
      <c r="J2512" s="122" t="s">
        <v>709</v>
      </c>
      <c r="K2512" s="283">
        <v>3267</v>
      </c>
      <c r="L2512" s="318">
        <v>-32.927010000000003</v>
      </c>
      <c r="M2512" s="318">
        <v>151.75791899999999</v>
      </c>
      <c r="O2512">
        <f>INDEX('MEC - traffic congestion'!$M$145:$M$249,MATCH($D2512,'MEC - traffic congestion'!$C$145:$C$249,0))</f>
        <v>1</v>
      </c>
      <c r="P2512" t="str">
        <f t="shared" si="110"/>
        <v>2023AM PEAK</v>
      </c>
      <c r="Q2512">
        <f t="shared" si="111"/>
        <v>1</v>
      </c>
      <c r="R2512" s="195" t="str">
        <f t="shared" si="112"/>
        <v>2023LIGHT VEHICLES</v>
      </c>
    </row>
    <row r="2513" spans="3:18" x14ac:dyDescent="0.25">
      <c r="C2513" s="294" t="s">
        <v>930</v>
      </c>
      <c r="D2513" s="317">
        <v>7212</v>
      </c>
      <c r="E2513" s="122" t="s">
        <v>931</v>
      </c>
      <c r="F2513" s="122" t="s">
        <v>932</v>
      </c>
      <c r="G2513" s="122" t="s">
        <v>776</v>
      </c>
      <c r="H2513" s="122" t="s">
        <v>777</v>
      </c>
      <c r="I2513" s="312">
        <v>2023</v>
      </c>
      <c r="J2513" s="122" t="s">
        <v>710</v>
      </c>
      <c r="K2513" s="283">
        <v>4307</v>
      </c>
      <c r="L2513" s="318">
        <v>-32.927010000000003</v>
      </c>
      <c r="M2513" s="318">
        <v>151.75791899999999</v>
      </c>
      <c r="O2513">
        <f>INDEX('MEC - traffic congestion'!$M$145:$M$249,MATCH($D2513,'MEC - traffic congestion'!$C$145:$C$249,0))</f>
        <v>1</v>
      </c>
      <c r="P2513" t="str">
        <f t="shared" si="110"/>
        <v>2023OFF PEAK</v>
      </c>
      <c r="Q2513">
        <f t="shared" si="111"/>
        <v>1</v>
      </c>
      <c r="R2513" s="195" t="str">
        <f t="shared" si="112"/>
        <v>2023LIGHT VEHICLES</v>
      </c>
    </row>
    <row r="2514" spans="3:18" x14ac:dyDescent="0.25">
      <c r="C2514" s="294" t="s">
        <v>930</v>
      </c>
      <c r="D2514" s="317">
        <v>7212</v>
      </c>
      <c r="E2514" s="122" t="s">
        <v>931</v>
      </c>
      <c r="F2514" s="122" t="s">
        <v>932</v>
      </c>
      <c r="G2514" s="122" t="s">
        <v>776</v>
      </c>
      <c r="H2514" s="122" t="s">
        <v>777</v>
      </c>
      <c r="I2514" s="312">
        <v>2023</v>
      </c>
      <c r="J2514" s="122" t="s">
        <v>711</v>
      </c>
      <c r="K2514" s="283">
        <v>2559</v>
      </c>
      <c r="L2514" s="318">
        <v>-32.927010000000003</v>
      </c>
      <c r="M2514" s="318">
        <v>151.75791899999999</v>
      </c>
      <c r="O2514">
        <f>INDEX('MEC - traffic congestion'!$M$145:$M$249,MATCH($D2514,'MEC - traffic congestion'!$C$145:$C$249,0))</f>
        <v>1</v>
      </c>
      <c r="P2514" t="str">
        <f t="shared" si="110"/>
        <v>2023PM PEAK</v>
      </c>
      <c r="Q2514">
        <f t="shared" si="111"/>
        <v>1</v>
      </c>
      <c r="R2514" s="195" t="str">
        <f t="shared" si="112"/>
        <v>2023LIGHT VEHICLES</v>
      </c>
    </row>
    <row r="2515" spans="3:18" x14ac:dyDescent="0.25">
      <c r="C2515" s="294" t="s">
        <v>930</v>
      </c>
      <c r="D2515" s="317">
        <v>7212</v>
      </c>
      <c r="E2515" s="122" t="s">
        <v>931</v>
      </c>
      <c r="F2515" s="122" t="s">
        <v>932</v>
      </c>
      <c r="G2515" s="122" t="s">
        <v>776</v>
      </c>
      <c r="H2515" s="122" t="s">
        <v>777</v>
      </c>
      <c r="I2515" s="312">
        <v>2023</v>
      </c>
      <c r="J2515" s="122" t="s">
        <v>713</v>
      </c>
      <c r="K2515" s="283">
        <v>8176</v>
      </c>
      <c r="L2515" s="318">
        <v>-32.927010000000003</v>
      </c>
      <c r="M2515" s="318">
        <v>151.75791899999999</v>
      </c>
      <c r="O2515">
        <f>INDEX('MEC - traffic congestion'!$M$145:$M$249,MATCH($D2515,'MEC - traffic congestion'!$C$145:$C$249,0))</f>
        <v>1</v>
      </c>
      <c r="P2515" t="str">
        <f t="shared" si="110"/>
        <v>2023WEEKENDS</v>
      </c>
      <c r="Q2515">
        <f t="shared" si="111"/>
        <v>1</v>
      </c>
      <c r="R2515" s="195" t="str">
        <f t="shared" si="112"/>
        <v>2023LIGHT VEHICLES</v>
      </c>
    </row>
    <row r="2516" spans="3:18" x14ac:dyDescent="0.25">
      <c r="C2516" s="294" t="s">
        <v>930</v>
      </c>
      <c r="D2516" s="317">
        <v>7212</v>
      </c>
      <c r="E2516" s="122" t="s">
        <v>931</v>
      </c>
      <c r="F2516" s="122" t="s">
        <v>932</v>
      </c>
      <c r="G2516" s="122" t="s">
        <v>776</v>
      </c>
      <c r="H2516" s="122" t="s">
        <v>777</v>
      </c>
      <c r="I2516" s="312">
        <v>2024</v>
      </c>
      <c r="J2516" s="122" t="s">
        <v>709</v>
      </c>
      <c r="K2516" s="283">
        <v>3196</v>
      </c>
      <c r="L2516" s="318">
        <v>-32.927010000000003</v>
      </c>
      <c r="M2516" s="318">
        <v>151.75791899999999</v>
      </c>
      <c r="O2516">
        <f>INDEX('MEC - traffic congestion'!$M$145:$M$249,MATCH($D2516,'MEC - traffic congestion'!$C$145:$C$249,0))</f>
        <v>1</v>
      </c>
      <c r="P2516" t="str">
        <f t="shared" si="110"/>
        <v>2024AM PEAK</v>
      </c>
      <c r="Q2516">
        <f t="shared" si="111"/>
        <v>1</v>
      </c>
      <c r="R2516" s="195" t="str">
        <f t="shared" si="112"/>
        <v>2024LIGHT VEHICLES</v>
      </c>
    </row>
    <row r="2517" spans="3:18" x14ac:dyDescent="0.25">
      <c r="C2517" s="294" t="s">
        <v>930</v>
      </c>
      <c r="D2517" s="317">
        <v>7212</v>
      </c>
      <c r="E2517" s="122" t="s">
        <v>931</v>
      </c>
      <c r="F2517" s="122" t="s">
        <v>932</v>
      </c>
      <c r="G2517" s="122" t="s">
        <v>776</v>
      </c>
      <c r="H2517" s="122" t="s">
        <v>777</v>
      </c>
      <c r="I2517" s="312">
        <v>2024</v>
      </c>
      <c r="J2517" s="122" t="s">
        <v>710</v>
      </c>
      <c r="K2517" s="283">
        <v>4402</v>
      </c>
      <c r="L2517" s="318">
        <v>-32.927010000000003</v>
      </c>
      <c r="M2517" s="318">
        <v>151.75791899999999</v>
      </c>
      <c r="O2517">
        <f>INDEX('MEC - traffic congestion'!$M$145:$M$249,MATCH($D2517,'MEC - traffic congestion'!$C$145:$C$249,0))</f>
        <v>1</v>
      </c>
      <c r="P2517" t="str">
        <f t="shared" ref="P2517:P2580" si="113">IF($O2517=1,$I2517&amp;$J2517,"")</f>
        <v>2024OFF PEAK</v>
      </c>
      <c r="Q2517">
        <f t="shared" ref="Q2517:Q2580" si="114">IF(AND($M2517&gt;150.246,AND($L2517&gt;-34.397,$L2517&lt;-32.662)),1,0)</f>
        <v>1</v>
      </c>
      <c r="R2517" s="195" t="str">
        <f t="shared" ref="R2517:R2580" si="115">IF($O2517=1,$I2517&amp;$H2517,"")</f>
        <v>2024LIGHT VEHICLES</v>
      </c>
    </row>
    <row r="2518" spans="3:18" x14ac:dyDescent="0.25">
      <c r="C2518" s="294" t="s">
        <v>930</v>
      </c>
      <c r="D2518" s="317">
        <v>7212</v>
      </c>
      <c r="E2518" s="122" t="s">
        <v>931</v>
      </c>
      <c r="F2518" s="122" t="s">
        <v>932</v>
      </c>
      <c r="G2518" s="122" t="s">
        <v>776</v>
      </c>
      <c r="H2518" s="122" t="s">
        <v>777</v>
      </c>
      <c r="I2518" s="312">
        <v>2024</v>
      </c>
      <c r="J2518" s="122" t="s">
        <v>711</v>
      </c>
      <c r="K2518" s="283">
        <v>2579</v>
      </c>
      <c r="L2518" s="318">
        <v>-32.927010000000003</v>
      </c>
      <c r="M2518" s="318">
        <v>151.75791899999999</v>
      </c>
      <c r="O2518">
        <f>INDEX('MEC - traffic congestion'!$M$145:$M$249,MATCH($D2518,'MEC - traffic congestion'!$C$145:$C$249,0))</f>
        <v>1</v>
      </c>
      <c r="P2518" t="str">
        <f t="shared" si="113"/>
        <v>2024PM PEAK</v>
      </c>
      <c r="Q2518">
        <f t="shared" si="114"/>
        <v>1</v>
      </c>
      <c r="R2518" s="195" t="str">
        <f t="shared" si="115"/>
        <v>2024LIGHT VEHICLES</v>
      </c>
    </row>
    <row r="2519" spans="3:18" x14ac:dyDescent="0.25">
      <c r="C2519" s="294" t="s">
        <v>930</v>
      </c>
      <c r="D2519" s="317">
        <v>7212</v>
      </c>
      <c r="E2519" s="122" t="s">
        <v>931</v>
      </c>
      <c r="F2519" s="122" t="s">
        <v>932</v>
      </c>
      <c r="G2519" s="122" t="s">
        <v>776</v>
      </c>
      <c r="H2519" s="122" t="s">
        <v>777</v>
      </c>
      <c r="I2519" s="312">
        <v>2024</v>
      </c>
      <c r="J2519" s="122" t="s">
        <v>713</v>
      </c>
      <c r="K2519" s="283">
        <v>8231</v>
      </c>
      <c r="L2519" s="318">
        <v>-32.927010000000003</v>
      </c>
      <c r="M2519" s="318">
        <v>151.75791899999999</v>
      </c>
      <c r="O2519">
        <f>INDEX('MEC - traffic congestion'!$M$145:$M$249,MATCH($D2519,'MEC - traffic congestion'!$C$145:$C$249,0))</f>
        <v>1</v>
      </c>
      <c r="P2519" t="str">
        <f t="shared" si="113"/>
        <v>2024WEEKENDS</v>
      </c>
      <c r="Q2519">
        <f t="shared" si="114"/>
        <v>1</v>
      </c>
      <c r="R2519" s="195" t="str">
        <f t="shared" si="115"/>
        <v>2024LIGHT VEHICLES</v>
      </c>
    </row>
    <row r="2520" spans="3:18" x14ac:dyDescent="0.25">
      <c r="C2520" s="294" t="s">
        <v>933</v>
      </c>
      <c r="D2520" s="317">
        <v>7213</v>
      </c>
      <c r="E2520" s="122" t="s">
        <v>934</v>
      </c>
      <c r="F2520" s="122" t="s">
        <v>935</v>
      </c>
      <c r="G2520" s="122" t="s">
        <v>785</v>
      </c>
      <c r="H2520" s="122" t="s">
        <v>777</v>
      </c>
      <c r="I2520" s="312">
        <v>2018</v>
      </c>
      <c r="J2520" s="122" t="s">
        <v>709</v>
      </c>
      <c r="K2520" s="283">
        <v>4265</v>
      </c>
      <c r="L2520" s="318">
        <v>-32.914943999999998</v>
      </c>
      <c r="M2520" s="318">
        <v>151.725403</v>
      </c>
      <c r="O2520">
        <f>INDEX('MEC - traffic congestion'!$M$145:$M$249,MATCH($D2520,'MEC - traffic congestion'!$C$145:$C$249,0))</f>
        <v>0</v>
      </c>
      <c r="P2520" t="str">
        <f t="shared" si="113"/>
        <v/>
      </c>
      <c r="Q2520">
        <f t="shared" si="114"/>
        <v>1</v>
      </c>
      <c r="R2520" s="195" t="str">
        <f t="shared" si="115"/>
        <v/>
      </c>
    </row>
    <row r="2521" spans="3:18" x14ac:dyDescent="0.25">
      <c r="C2521" s="294" t="s">
        <v>933</v>
      </c>
      <c r="D2521" s="317">
        <v>7213</v>
      </c>
      <c r="E2521" s="122" t="s">
        <v>934</v>
      </c>
      <c r="F2521" s="122" t="s">
        <v>935</v>
      </c>
      <c r="G2521" s="122" t="s">
        <v>785</v>
      </c>
      <c r="H2521" s="122" t="s">
        <v>777</v>
      </c>
      <c r="I2521" s="312">
        <v>2018</v>
      </c>
      <c r="J2521" s="122" t="s">
        <v>710</v>
      </c>
      <c r="K2521" s="283">
        <v>6439</v>
      </c>
      <c r="L2521" s="318">
        <v>-32.914943999999998</v>
      </c>
      <c r="M2521" s="318">
        <v>151.725403</v>
      </c>
      <c r="O2521">
        <f>INDEX('MEC - traffic congestion'!$M$145:$M$249,MATCH($D2521,'MEC - traffic congestion'!$C$145:$C$249,0))</f>
        <v>0</v>
      </c>
      <c r="P2521" t="str">
        <f t="shared" si="113"/>
        <v/>
      </c>
      <c r="Q2521">
        <f t="shared" si="114"/>
        <v>1</v>
      </c>
      <c r="R2521" s="195" t="str">
        <f t="shared" si="115"/>
        <v/>
      </c>
    </row>
    <row r="2522" spans="3:18" x14ac:dyDescent="0.25">
      <c r="C2522" s="294" t="s">
        <v>933</v>
      </c>
      <c r="D2522" s="317">
        <v>7213</v>
      </c>
      <c r="E2522" s="122" t="s">
        <v>934</v>
      </c>
      <c r="F2522" s="122" t="s">
        <v>935</v>
      </c>
      <c r="G2522" s="122" t="s">
        <v>785</v>
      </c>
      <c r="H2522" s="122" t="s">
        <v>777</v>
      </c>
      <c r="I2522" s="312">
        <v>2018</v>
      </c>
      <c r="J2522" s="122" t="s">
        <v>711</v>
      </c>
      <c r="K2522" s="283">
        <v>4117</v>
      </c>
      <c r="L2522" s="318">
        <v>-32.914943999999998</v>
      </c>
      <c r="M2522" s="318">
        <v>151.725403</v>
      </c>
      <c r="O2522">
        <f>INDEX('MEC - traffic congestion'!$M$145:$M$249,MATCH($D2522,'MEC - traffic congestion'!$C$145:$C$249,0))</f>
        <v>0</v>
      </c>
      <c r="P2522" t="str">
        <f t="shared" si="113"/>
        <v/>
      </c>
      <c r="Q2522">
        <f t="shared" si="114"/>
        <v>1</v>
      </c>
      <c r="R2522" s="195" t="str">
        <f t="shared" si="115"/>
        <v/>
      </c>
    </row>
    <row r="2523" spans="3:18" x14ac:dyDescent="0.25">
      <c r="C2523" s="294" t="s">
        <v>933</v>
      </c>
      <c r="D2523" s="317">
        <v>7213</v>
      </c>
      <c r="E2523" s="122" t="s">
        <v>934</v>
      </c>
      <c r="F2523" s="122" t="s">
        <v>935</v>
      </c>
      <c r="G2523" s="122" t="s">
        <v>785</v>
      </c>
      <c r="H2523" s="122" t="s">
        <v>777</v>
      </c>
      <c r="I2523" s="312">
        <v>2018</v>
      </c>
      <c r="J2523" s="122" t="s">
        <v>712</v>
      </c>
      <c r="K2523" s="283">
        <v>8906</v>
      </c>
      <c r="L2523" s="318">
        <v>-32.914943999999998</v>
      </c>
      <c r="M2523" s="318">
        <v>151.725403</v>
      </c>
      <c r="O2523">
        <f>INDEX('MEC - traffic congestion'!$M$145:$M$249,MATCH($D2523,'MEC - traffic congestion'!$C$145:$C$249,0))</f>
        <v>0</v>
      </c>
      <c r="P2523" t="str">
        <f t="shared" si="113"/>
        <v/>
      </c>
      <c r="Q2523">
        <f t="shared" si="114"/>
        <v>1</v>
      </c>
      <c r="R2523" s="195" t="str">
        <f t="shared" si="115"/>
        <v/>
      </c>
    </row>
    <row r="2524" spans="3:18" x14ac:dyDescent="0.25">
      <c r="C2524" s="294" t="s">
        <v>933</v>
      </c>
      <c r="D2524" s="317">
        <v>7213</v>
      </c>
      <c r="E2524" s="122" t="s">
        <v>934</v>
      </c>
      <c r="F2524" s="122" t="s">
        <v>935</v>
      </c>
      <c r="G2524" s="122" t="s">
        <v>785</v>
      </c>
      <c r="H2524" s="122" t="s">
        <v>777</v>
      </c>
      <c r="I2524" s="312">
        <v>2018</v>
      </c>
      <c r="J2524" s="122" t="s">
        <v>713</v>
      </c>
      <c r="K2524" s="283">
        <v>12403</v>
      </c>
      <c r="L2524" s="318">
        <v>-32.914943999999998</v>
      </c>
      <c r="M2524" s="318">
        <v>151.725403</v>
      </c>
      <c r="O2524">
        <f>INDEX('MEC - traffic congestion'!$M$145:$M$249,MATCH($D2524,'MEC - traffic congestion'!$C$145:$C$249,0))</f>
        <v>0</v>
      </c>
      <c r="P2524" t="str">
        <f t="shared" si="113"/>
        <v/>
      </c>
      <c r="Q2524">
        <f t="shared" si="114"/>
        <v>1</v>
      </c>
      <c r="R2524" s="195" t="str">
        <f t="shared" si="115"/>
        <v/>
      </c>
    </row>
    <row r="2525" spans="3:18" x14ac:dyDescent="0.25">
      <c r="C2525" s="294" t="s">
        <v>933</v>
      </c>
      <c r="D2525" s="317">
        <v>7213</v>
      </c>
      <c r="E2525" s="122" t="s">
        <v>934</v>
      </c>
      <c r="F2525" s="122" t="s">
        <v>935</v>
      </c>
      <c r="G2525" s="122" t="s">
        <v>785</v>
      </c>
      <c r="H2525" s="122" t="s">
        <v>777</v>
      </c>
      <c r="I2525" s="312">
        <v>2019</v>
      </c>
      <c r="J2525" s="122" t="s">
        <v>709</v>
      </c>
      <c r="K2525" s="283">
        <v>3997</v>
      </c>
      <c r="L2525" s="318">
        <v>-32.914943999999998</v>
      </c>
      <c r="M2525" s="318">
        <v>151.725403</v>
      </c>
      <c r="O2525">
        <f>INDEX('MEC - traffic congestion'!$M$145:$M$249,MATCH($D2525,'MEC - traffic congestion'!$C$145:$C$249,0))</f>
        <v>0</v>
      </c>
      <c r="P2525" t="str">
        <f t="shared" si="113"/>
        <v/>
      </c>
      <c r="Q2525">
        <f t="shared" si="114"/>
        <v>1</v>
      </c>
      <c r="R2525" s="195" t="str">
        <f t="shared" si="115"/>
        <v/>
      </c>
    </row>
    <row r="2526" spans="3:18" x14ac:dyDescent="0.25">
      <c r="C2526" s="294" t="s">
        <v>933</v>
      </c>
      <c r="D2526" s="317">
        <v>7213</v>
      </c>
      <c r="E2526" s="122" t="s">
        <v>934</v>
      </c>
      <c r="F2526" s="122" t="s">
        <v>935</v>
      </c>
      <c r="G2526" s="122" t="s">
        <v>785</v>
      </c>
      <c r="H2526" s="122" t="s">
        <v>777</v>
      </c>
      <c r="I2526" s="312">
        <v>2019</v>
      </c>
      <c r="J2526" s="122" t="s">
        <v>710</v>
      </c>
      <c r="K2526" s="283">
        <v>5428</v>
      </c>
      <c r="L2526" s="318">
        <v>-32.914943999999998</v>
      </c>
      <c r="M2526" s="318">
        <v>151.725403</v>
      </c>
      <c r="O2526">
        <f>INDEX('MEC - traffic congestion'!$M$145:$M$249,MATCH($D2526,'MEC - traffic congestion'!$C$145:$C$249,0))</f>
        <v>0</v>
      </c>
      <c r="P2526" t="str">
        <f t="shared" si="113"/>
        <v/>
      </c>
      <c r="Q2526">
        <f t="shared" si="114"/>
        <v>1</v>
      </c>
      <c r="R2526" s="195" t="str">
        <f t="shared" si="115"/>
        <v/>
      </c>
    </row>
    <row r="2527" spans="3:18" x14ac:dyDescent="0.25">
      <c r="C2527" s="294" t="s">
        <v>933</v>
      </c>
      <c r="D2527" s="317">
        <v>7213</v>
      </c>
      <c r="E2527" s="122" t="s">
        <v>934</v>
      </c>
      <c r="F2527" s="122" t="s">
        <v>935</v>
      </c>
      <c r="G2527" s="122" t="s">
        <v>785</v>
      </c>
      <c r="H2527" s="122" t="s">
        <v>777</v>
      </c>
      <c r="I2527" s="312">
        <v>2019</v>
      </c>
      <c r="J2527" s="122" t="s">
        <v>711</v>
      </c>
      <c r="K2527" s="283">
        <v>3941</v>
      </c>
      <c r="L2527" s="318">
        <v>-32.914943999999998</v>
      </c>
      <c r="M2527" s="318">
        <v>151.725403</v>
      </c>
      <c r="O2527">
        <f>INDEX('MEC - traffic congestion'!$M$145:$M$249,MATCH($D2527,'MEC - traffic congestion'!$C$145:$C$249,0))</f>
        <v>0</v>
      </c>
      <c r="P2527" t="str">
        <f t="shared" si="113"/>
        <v/>
      </c>
      <c r="Q2527">
        <f t="shared" si="114"/>
        <v>1</v>
      </c>
      <c r="R2527" s="195" t="str">
        <f t="shared" si="115"/>
        <v/>
      </c>
    </row>
    <row r="2528" spans="3:18" x14ac:dyDescent="0.25">
      <c r="C2528" s="294" t="s">
        <v>933</v>
      </c>
      <c r="D2528" s="317">
        <v>7213</v>
      </c>
      <c r="E2528" s="122" t="s">
        <v>934</v>
      </c>
      <c r="F2528" s="122" t="s">
        <v>935</v>
      </c>
      <c r="G2528" s="122" t="s">
        <v>785</v>
      </c>
      <c r="H2528" s="122" t="s">
        <v>777</v>
      </c>
      <c r="I2528" s="312">
        <v>2019</v>
      </c>
      <c r="J2528" s="122" t="s">
        <v>712</v>
      </c>
      <c r="K2528" s="283">
        <v>10276</v>
      </c>
      <c r="L2528" s="318">
        <v>-32.914943999999998</v>
      </c>
      <c r="M2528" s="318">
        <v>151.725403</v>
      </c>
      <c r="O2528">
        <f>INDEX('MEC - traffic congestion'!$M$145:$M$249,MATCH($D2528,'MEC - traffic congestion'!$C$145:$C$249,0))</f>
        <v>0</v>
      </c>
      <c r="P2528" t="str">
        <f t="shared" si="113"/>
        <v/>
      </c>
      <c r="Q2528">
        <f t="shared" si="114"/>
        <v>1</v>
      </c>
      <c r="R2528" s="195" t="str">
        <f t="shared" si="115"/>
        <v/>
      </c>
    </row>
    <row r="2529" spans="3:18" x14ac:dyDescent="0.25">
      <c r="C2529" s="294" t="s">
        <v>933</v>
      </c>
      <c r="D2529" s="317">
        <v>7213</v>
      </c>
      <c r="E2529" s="122" t="s">
        <v>934</v>
      </c>
      <c r="F2529" s="122" t="s">
        <v>935</v>
      </c>
      <c r="G2529" s="122" t="s">
        <v>785</v>
      </c>
      <c r="H2529" s="122" t="s">
        <v>777</v>
      </c>
      <c r="I2529" s="312">
        <v>2019</v>
      </c>
      <c r="J2529" s="122" t="s">
        <v>713</v>
      </c>
      <c r="K2529" s="283">
        <v>9989</v>
      </c>
      <c r="L2529" s="318">
        <v>-32.914943999999998</v>
      </c>
      <c r="M2529" s="318">
        <v>151.725403</v>
      </c>
      <c r="O2529">
        <f>INDEX('MEC - traffic congestion'!$M$145:$M$249,MATCH($D2529,'MEC - traffic congestion'!$C$145:$C$249,0))</f>
        <v>0</v>
      </c>
      <c r="P2529" t="str">
        <f t="shared" si="113"/>
        <v/>
      </c>
      <c r="Q2529">
        <f t="shared" si="114"/>
        <v>1</v>
      </c>
      <c r="R2529" s="195" t="str">
        <f t="shared" si="115"/>
        <v/>
      </c>
    </row>
    <row r="2530" spans="3:18" x14ac:dyDescent="0.25">
      <c r="C2530" s="294" t="s">
        <v>936</v>
      </c>
      <c r="D2530" s="317">
        <v>7248</v>
      </c>
      <c r="E2530" s="122" t="s">
        <v>937</v>
      </c>
      <c r="F2530" s="122" t="s">
        <v>938</v>
      </c>
      <c r="G2530" s="122" t="s">
        <v>776</v>
      </c>
      <c r="H2530" s="122" t="s">
        <v>777</v>
      </c>
      <c r="I2530" s="312">
        <v>2018</v>
      </c>
      <c r="J2530" s="122" t="s">
        <v>709</v>
      </c>
      <c r="K2530" s="283">
        <v>5601</v>
      </c>
      <c r="L2530" s="318">
        <v>-33.906151000000001</v>
      </c>
      <c r="M2530" s="318">
        <v>151.04020700000001</v>
      </c>
      <c r="O2530">
        <f>INDEX('MEC - traffic congestion'!$M$145:$M$249,MATCH($D2530,'MEC - traffic congestion'!$C$145:$C$249,0))</f>
        <v>0</v>
      </c>
      <c r="P2530" t="str">
        <f t="shared" si="113"/>
        <v/>
      </c>
      <c r="Q2530">
        <f t="shared" si="114"/>
        <v>1</v>
      </c>
      <c r="R2530" s="195" t="str">
        <f t="shared" si="115"/>
        <v/>
      </c>
    </row>
    <row r="2531" spans="3:18" x14ac:dyDescent="0.25">
      <c r="C2531" s="294" t="s">
        <v>936</v>
      </c>
      <c r="D2531" s="317">
        <v>7248</v>
      </c>
      <c r="E2531" s="122" t="s">
        <v>937</v>
      </c>
      <c r="F2531" s="122" t="s">
        <v>938</v>
      </c>
      <c r="G2531" s="122" t="s">
        <v>776</v>
      </c>
      <c r="H2531" s="122" t="s">
        <v>777</v>
      </c>
      <c r="I2531" s="312">
        <v>2018</v>
      </c>
      <c r="J2531" s="122" t="s">
        <v>710</v>
      </c>
      <c r="K2531" s="283">
        <v>10116</v>
      </c>
      <c r="L2531" s="318">
        <v>-33.906151000000001</v>
      </c>
      <c r="M2531" s="318">
        <v>151.04020700000001</v>
      </c>
      <c r="O2531">
        <f>INDEX('MEC - traffic congestion'!$M$145:$M$249,MATCH($D2531,'MEC - traffic congestion'!$C$145:$C$249,0))</f>
        <v>0</v>
      </c>
      <c r="P2531" t="str">
        <f t="shared" si="113"/>
        <v/>
      </c>
      <c r="Q2531">
        <f t="shared" si="114"/>
        <v>1</v>
      </c>
      <c r="R2531" s="195" t="str">
        <f t="shared" si="115"/>
        <v/>
      </c>
    </row>
    <row r="2532" spans="3:18" x14ac:dyDescent="0.25">
      <c r="C2532" s="294" t="s">
        <v>936</v>
      </c>
      <c r="D2532" s="317">
        <v>7248</v>
      </c>
      <c r="E2532" s="122" t="s">
        <v>937</v>
      </c>
      <c r="F2532" s="122" t="s">
        <v>938</v>
      </c>
      <c r="G2532" s="122" t="s">
        <v>776</v>
      </c>
      <c r="H2532" s="122" t="s">
        <v>777</v>
      </c>
      <c r="I2532" s="312">
        <v>2018</v>
      </c>
      <c r="J2532" s="122" t="s">
        <v>711</v>
      </c>
      <c r="K2532" s="283">
        <v>4110</v>
      </c>
      <c r="L2532" s="318">
        <v>-33.906151000000001</v>
      </c>
      <c r="M2532" s="318">
        <v>151.04020700000001</v>
      </c>
      <c r="O2532">
        <f>INDEX('MEC - traffic congestion'!$M$145:$M$249,MATCH($D2532,'MEC - traffic congestion'!$C$145:$C$249,0))</f>
        <v>0</v>
      </c>
      <c r="P2532" t="str">
        <f t="shared" si="113"/>
        <v/>
      </c>
      <c r="Q2532">
        <f t="shared" si="114"/>
        <v>1</v>
      </c>
      <c r="R2532" s="195" t="str">
        <f t="shared" si="115"/>
        <v/>
      </c>
    </row>
    <row r="2533" spans="3:18" x14ac:dyDescent="0.25">
      <c r="C2533" s="294" t="s">
        <v>936</v>
      </c>
      <c r="D2533" s="317">
        <v>7248</v>
      </c>
      <c r="E2533" s="122" t="s">
        <v>937</v>
      </c>
      <c r="F2533" s="122" t="s">
        <v>938</v>
      </c>
      <c r="G2533" s="122" t="s">
        <v>776</v>
      </c>
      <c r="H2533" s="122" t="s">
        <v>777</v>
      </c>
      <c r="I2533" s="312">
        <v>2018</v>
      </c>
      <c r="J2533" s="122" t="s">
        <v>712</v>
      </c>
      <c r="K2533" s="283">
        <v>16699</v>
      </c>
      <c r="L2533" s="318">
        <v>-33.906151000000001</v>
      </c>
      <c r="M2533" s="318">
        <v>151.04020700000001</v>
      </c>
      <c r="O2533">
        <f>INDEX('MEC - traffic congestion'!$M$145:$M$249,MATCH($D2533,'MEC - traffic congestion'!$C$145:$C$249,0))</f>
        <v>0</v>
      </c>
      <c r="P2533" t="str">
        <f t="shared" si="113"/>
        <v/>
      </c>
      <c r="Q2533">
        <f t="shared" si="114"/>
        <v>1</v>
      </c>
      <c r="R2533" s="195" t="str">
        <f t="shared" si="115"/>
        <v/>
      </c>
    </row>
    <row r="2534" spans="3:18" x14ac:dyDescent="0.25">
      <c r="C2534" s="294" t="s">
        <v>936</v>
      </c>
      <c r="D2534" s="317">
        <v>7248</v>
      </c>
      <c r="E2534" s="122" t="s">
        <v>937</v>
      </c>
      <c r="F2534" s="122" t="s">
        <v>938</v>
      </c>
      <c r="G2534" s="122" t="s">
        <v>776</v>
      </c>
      <c r="H2534" s="122" t="s">
        <v>777</v>
      </c>
      <c r="I2534" s="312">
        <v>2018</v>
      </c>
      <c r="J2534" s="122" t="s">
        <v>713</v>
      </c>
      <c r="K2534" s="283">
        <v>18956</v>
      </c>
      <c r="L2534" s="318">
        <v>-33.906151000000001</v>
      </c>
      <c r="M2534" s="318">
        <v>151.04020700000001</v>
      </c>
      <c r="O2534">
        <f>INDEX('MEC - traffic congestion'!$M$145:$M$249,MATCH($D2534,'MEC - traffic congestion'!$C$145:$C$249,0))</f>
        <v>0</v>
      </c>
      <c r="P2534" t="str">
        <f t="shared" si="113"/>
        <v/>
      </c>
      <c r="Q2534">
        <f t="shared" si="114"/>
        <v>1</v>
      </c>
      <c r="R2534" s="195" t="str">
        <f t="shared" si="115"/>
        <v/>
      </c>
    </row>
    <row r="2535" spans="3:18" x14ac:dyDescent="0.25">
      <c r="C2535" s="294" t="s">
        <v>936</v>
      </c>
      <c r="D2535" s="317">
        <v>7248</v>
      </c>
      <c r="E2535" s="122" t="s">
        <v>937</v>
      </c>
      <c r="F2535" s="122" t="s">
        <v>938</v>
      </c>
      <c r="G2535" s="122" t="s">
        <v>776</v>
      </c>
      <c r="H2535" s="122" t="s">
        <v>777</v>
      </c>
      <c r="I2535" s="312">
        <v>2019</v>
      </c>
      <c r="J2535" s="122" t="s">
        <v>709</v>
      </c>
      <c r="K2535" s="283">
        <v>5871</v>
      </c>
      <c r="L2535" s="318">
        <v>-33.906151000000001</v>
      </c>
      <c r="M2535" s="318">
        <v>151.04020700000001</v>
      </c>
      <c r="O2535">
        <f>INDEX('MEC - traffic congestion'!$M$145:$M$249,MATCH($D2535,'MEC - traffic congestion'!$C$145:$C$249,0))</f>
        <v>0</v>
      </c>
      <c r="P2535" t="str">
        <f t="shared" si="113"/>
        <v/>
      </c>
      <c r="Q2535">
        <f t="shared" si="114"/>
        <v>1</v>
      </c>
      <c r="R2535" s="195" t="str">
        <f t="shared" si="115"/>
        <v/>
      </c>
    </row>
    <row r="2536" spans="3:18" x14ac:dyDescent="0.25">
      <c r="C2536" s="294" t="s">
        <v>936</v>
      </c>
      <c r="D2536" s="317">
        <v>7248</v>
      </c>
      <c r="E2536" s="122" t="s">
        <v>937</v>
      </c>
      <c r="F2536" s="122" t="s">
        <v>938</v>
      </c>
      <c r="G2536" s="122" t="s">
        <v>776</v>
      </c>
      <c r="H2536" s="122" t="s">
        <v>777</v>
      </c>
      <c r="I2536" s="312">
        <v>2019</v>
      </c>
      <c r="J2536" s="122" t="s">
        <v>710</v>
      </c>
      <c r="K2536" s="283">
        <v>10284</v>
      </c>
      <c r="L2536" s="318">
        <v>-33.906151000000001</v>
      </c>
      <c r="M2536" s="318">
        <v>151.04020700000001</v>
      </c>
      <c r="O2536">
        <f>INDEX('MEC - traffic congestion'!$M$145:$M$249,MATCH($D2536,'MEC - traffic congestion'!$C$145:$C$249,0))</f>
        <v>0</v>
      </c>
      <c r="P2536" t="str">
        <f t="shared" si="113"/>
        <v/>
      </c>
      <c r="Q2536">
        <f t="shared" si="114"/>
        <v>1</v>
      </c>
      <c r="R2536" s="195" t="str">
        <f t="shared" si="115"/>
        <v/>
      </c>
    </row>
    <row r="2537" spans="3:18" x14ac:dyDescent="0.25">
      <c r="C2537" s="294" t="s">
        <v>936</v>
      </c>
      <c r="D2537" s="317">
        <v>7248</v>
      </c>
      <c r="E2537" s="122" t="s">
        <v>937</v>
      </c>
      <c r="F2537" s="122" t="s">
        <v>938</v>
      </c>
      <c r="G2537" s="122" t="s">
        <v>776</v>
      </c>
      <c r="H2537" s="122" t="s">
        <v>777</v>
      </c>
      <c r="I2537" s="312">
        <v>2019</v>
      </c>
      <c r="J2537" s="122" t="s">
        <v>711</v>
      </c>
      <c r="K2537" s="283">
        <v>4187</v>
      </c>
      <c r="L2537" s="318">
        <v>-33.906151000000001</v>
      </c>
      <c r="M2537" s="318">
        <v>151.04020700000001</v>
      </c>
      <c r="O2537">
        <f>INDEX('MEC - traffic congestion'!$M$145:$M$249,MATCH($D2537,'MEC - traffic congestion'!$C$145:$C$249,0))</f>
        <v>0</v>
      </c>
      <c r="P2537" t="str">
        <f t="shared" si="113"/>
        <v/>
      </c>
      <c r="Q2537">
        <f t="shared" si="114"/>
        <v>1</v>
      </c>
      <c r="R2537" s="195" t="str">
        <f t="shared" si="115"/>
        <v/>
      </c>
    </row>
    <row r="2538" spans="3:18" x14ac:dyDescent="0.25">
      <c r="C2538" s="294" t="s">
        <v>936</v>
      </c>
      <c r="D2538" s="317">
        <v>7248</v>
      </c>
      <c r="E2538" s="122" t="s">
        <v>937</v>
      </c>
      <c r="F2538" s="122" t="s">
        <v>938</v>
      </c>
      <c r="G2538" s="122" t="s">
        <v>776</v>
      </c>
      <c r="H2538" s="122" t="s">
        <v>777</v>
      </c>
      <c r="I2538" s="312">
        <v>2019</v>
      </c>
      <c r="J2538" s="122" t="s">
        <v>712</v>
      </c>
      <c r="K2538" s="283">
        <v>17043</v>
      </c>
      <c r="L2538" s="318">
        <v>-33.906151000000001</v>
      </c>
      <c r="M2538" s="318">
        <v>151.04020700000001</v>
      </c>
      <c r="O2538">
        <f>INDEX('MEC - traffic congestion'!$M$145:$M$249,MATCH($D2538,'MEC - traffic congestion'!$C$145:$C$249,0))</f>
        <v>0</v>
      </c>
      <c r="P2538" t="str">
        <f t="shared" si="113"/>
        <v/>
      </c>
      <c r="Q2538">
        <f t="shared" si="114"/>
        <v>1</v>
      </c>
      <c r="R2538" s="195" t="str">
        <f t="shared" si="115"/>
        <v/>
      </c>
    </row>
    <row r="2539" spans="3:18" x14ac:dyDescent="0.25">
      <c r="C2539" s="294" t="s">
        <v>936</v>
      </c>
      <c r="D2539" s="317">
        <v>7248</v>
      </c>
      <c r="E2539" s="122" t="s">
        <v>937</v>
      </c>
      <c r="F2539" s="122" t="s">
        <v>938</v>
      </c>
      <c r="G2539" s="122" t="s">
        <v>776</v>
      </c>
      <c r="H2539" s="122" t="s">
        <v>777</v>
      </c>
      <c r="I2539" s="312">
        <v>2019</v>
      </c>
      <c r="J2539" s="122" t="s">
        <v>713</v>
      </c>
      <c r="K2539" s="283">
        <v>19231</v>
      </c>
      <c r="L2539" s="318">
        <v>-33.906151000000001</v>
      </c>
      <c r="M2539" s="318">
        <v>151.04020700000001</v>
      </c>
      <c r="O2539">
        <f>INDEX('MEC - traffic congestion'!$M$145:$M$249,MATCH($D2539,'MEC - traffic congestion'!$C$145:$C$249,0))</f>
        <v>0</v>
      </c>
      <c r="P2539" t="str">
        <f t="shared" si="113"/>
        <v/>
      </c>
      <c r="Q2539">
        <f t="shared" si="114"/>
        <v>1</v>
      </c>
      <c r="R2539" s="195" t="str">
        <f t="shared" si="115"/>
        <v/>
      </c>
    </row>
    <row r="2540" spans="3:18" x14ac:dyDescent="0.25">
      <c r="C2540" s="294" t="s">
        <v>936</v>
      </c>
      <c r="D2540" s="317">
        <v>7248</v>
      </c>
      <c r="E2540" s="122" t="s">
        <v>937</v>
      </c>
      <c r="F2540" s="122" t="s">
        <v>938</v>
      </c>
      <c r="G2540" s="122" t="s">
        <v>776</v>
      </c>
      <c r="H2540" s="122" t="s">
        <v>777</v>
      </c>
      <c r="I2540" s="312">
        <v>2020</v>
      </c>
      <c r="J2540" s="122" t="s">
        <v>709</v>
      </c>
      <c r="K2540" s="283">
        <v>5420</v>
      </c>
      <c r="L2540" s="318">
        <v>-33.906151000000001</v>
      </c>
      <c r="M2540" s="318">
        <v>151.04020700000001</v>
      </c>
      <c r="O2540">
        <f>INDEX('MEC - traffic congestion'!$M$145:$M$249,MATCH($D2540,'MEC - traffic congestion'!$C$145:$C$249,0))</f>
        <v>0</v>
      </c>
      <c r="P2540" t="str">
        <f t="shared" si="113"/>
        <v/>
      </c>
      <c r="Q2540">
        <f t="shared" si="114"/>
        <v>1</v>
      </c>
      <c r="R2540" s="195" t="str">
        <f t="shared" si="115"/>
        <v/>
      </c>
    </row>
    <row r="2541" spans="3:18" x14ac:dyDescent="0.25">
      <c r="C2541" s="294" t="s">
        <v>936</v>
      </c>
      <c r="D2541" s="317">
        <v>7248</v>
      </c>
      <c r="E2541" s="122" t="s">
        <v>937</v>
      </c>
      <c r="F2541" s="122" t="s">
        <v>938</v>
      </c>
      <c r="G2541" s="122" t="s">
        <v>776</v>
      </c>
      <c r="H2541" s="122" t="s">
        <v>777</v>
      </c>
      <c r="I2541" s="312">
        <v>2020</v>
      </c>
      <c r="J2541" s="122" t="s">
        <v>710</v>
      </c>
      <c r="K2541" s="283">
        <v>9627</v>
      </c>
      <c r="L2541" s="318">
        <v>-33.906151000000001</v>
      </c>
      <c r="M2541" s="318">
        <v>151.04020700000001</v>
      </c>
      <c r="O2541">
        <f>INDEX('MEC - traffic congestion'!$M$145:$M$249,MATCH($D2541,'MEC - traffic congestion'!$C$145:$C$249,0))</f>
        <v>0</v>
      </c>
      <c r="P2541" t="str">
        <f t="shared" si="113"/>
        <v/>
      </c>
      <c r="Q2541">
        <f t="shared" si="114"/>
        <v>1</v>
      </c>
      <c r="R2541" s="195" t="str">
        <f t="shared" si="115"/>
        <v/>
      </c>
    </row>
    <row r="2542" spans="3:18" x14ac:dyDescent="0.25">
      <c r="C2542" s="294" t="s">
        <v>936</v>
      </c>
      <c r="D2542" s="317">
        <v>7248</v>
      </c>
      <c r="E2542" s="122" t="s">
        <v>937</v>
      </c>
      <c r="F2542" s="122" t="s">
        <v>938</v>
      </c>
      <c r="G2542" s="122" t="s">
        <v>776</v>
      </c>
      <c r="H2542" s="122" t="s">
        <v>777</v>
      </c>
      <c r="I2542" s="312">
        <v>2020</v>
      </c>
      <c r="J2542" s="122" t="s">
        <v>711</v>
      </c>
      <c r="K2542" s="283">
        <v>4080</v>
      </c>
      <c r="L2542" s="318">
        <v>-33.906151000000001</v>
      </c>
      <c r="M2542" s="318">
        <v>151.04020700000001</v>
      </c>
      <c r="O2542">
        <f>INDEX('MEC - traffic congestion'!$M$145:$M$249,MATCH($D2542,'MEC - traffic congestion'!$C$145:$C$249,0))</f>
        <v>0</v>
      </c>
      <c r="P2542" t="str">
        <f t="shared" si="113"/>
        <v/>
      </c>
      <c r="Q2542">
        <f t="shared" si="114"/>
        <v>1</v>
      </c>
      <c r="R2542" s="195" t="str">
        <f t="shared" si="115"/>
        <v/>
      </c>
    </row>
    <row r="2543" spans="3:18" x14ac:dyDescent="0.25">
      <c r="C2543" s="294" t="s">
        <v>936</v>
      </c>
      <c r="D2543" s="317">
        <v>7248</v>
      </c>
      <c r="E2543" s="122" t="s">
        <v>937</v>
      </c>
      <c r="F2543" s="122" t="s">
        <v>938</v>
      </c>
      <c r="G2543" s="122" t="s">
        <v>776</v>
      </c>
      <c r="H2543" s="122" t="s">
        <v>777</v>
      </c>
      <c r="I2543" s="312">
        <v>2020</v>
      </c>
      <c r="J2543" s="122" t="s">
        <v>712</v>
      </c>
      <c r="K2543" s="283">
        <v>12792</v>
      </c>
      <c r="L2543" s="318">
        <v>-33.906151000000001</v>
      </c>
      <c r="M2543" s="318">
        <v>151.04020700000001</v>
      </c>
      <c r="O2543">
        <f>INDEX('MEC - traffic congestion'!$M$145:$M$249,MATCH($D2543,'MEC - traffic congestion'!$C$145:$C$249,0))</f>
        <v>0</v>
      </c>
      <c r="P2543" t="str">
        <f t="shared" si="113"/>
        <v/>
      </c>
      <c r="Q2543">
        <f t="shared" si="114"/>
        <v>1</v>
      </c>
      <c r="R2543" s="195" t="str">
        <f t="shared" si="115"/>
        <v/>
      </c>
    </row>
    <row r="2544" spans="3:18" x14ac:dyDescent="0.25">
      <c r="C2544" s="294" t="s">
        <v>936</v>
      </c>
      <c r="D2544" s="317">
        <v>7248</v>
      </c>
      <c r="E2544" s="122" t="s">
        <v>937</v>
      </c>
      <c r="F2544" s="122" t="s">
        <v>938</v>
      </c>
      <c r="G2544" s="122" t="s">
        <v>776</v>
      </c>
      <c r="H2544" s="122" t="s">
        <v>777</v>
      </c>
      <c r="I2544" s="312">
        <v>2020</v>
      </c>
      <c r="J2544" s="122" t="s">
        <v>713</v>
      </c>
      <c r="K2544" s="283">
        <v>16746</v>
      </c>
      <c r="L2544" s="318">
        <v>-33.906151000000001</v>
      </c>
      <c r="M2544" s="318">
        <v>151.04020700000001</v>
      </c>
      <c r="O2544">
        <f>INDEX('MEC - traffic congestion'!$M$145:$M$249,MATCH($D2544,'MEC - traffic congestion'!$C$145:$C$249,0))</f>
        <v>0</v>
      </c>
      <c r="P2544" t="str">
        <f t="shared" si="113"/>
        <v/>
      </c>
      <c r="Q2544">
        <f t="shared" si="114"/>
        <v>1</v>
      </c>
      <c r="R2544" s="195" t="str">
        <f t="shared" si="115"/>
        <v/>
      </c>
    </row>
    <row r="2545" spans="3:18" x14ac:dyDescent="0.25">
      <c r="C2545" s="294" t="s">
        <v>936</v>
      </c>
      <c r="D2545" s="317">
        <v>7248</v>
      </c>
      <c r="E2545" s="122" t="s">
        <v>937</v>
      </c>
      <c r="F2545" s="122" t="s">
        <v>938</v>
      </c>
      <c r="G2545" s="122" t="s">
        <v>776</v>
      </c>
      <c r="H2545" s="122" t="s">
        <v>777</v>
      </c>
      <c r="I2545" s="312">
        <v>2021</v>
      </c>
      <c r="J2545" s="122" t="s">
        <v>709</v>
      </c>
      <c r="K2545" s="283">
        <v>4959</v>
      </c>
      <c r="L2545" s="318">
        <v>-33.906151000000001</v>
      </c>
      <c r="M2545" s="318">
        <v>151.04020700000001</v>
      </c>
      <c r="O2545">
        <f>INDEX('MEC - traffic congestion'!$M$145:$M$249,MATCH($D2545,'MEC - traffic congestion'!$C$145:$C$249,0))</f>
        <v>0</v>
      </c>
      <c r="P2545" t="str">
        <f t="shared" si="113"/>
        <v/>
      </c>
      <c r="Q2545">
        <f t="shared" si="114"/>
        <v>1</v>
      </c>
      <c r="R2545" s="195" t="str">
        <f t="shared" si="115"/>
        <v/>
      </c>
    </row>
    <row r="2546" spans="3:18" x14ac:dyDescent="0.25">
      <c r="C2546" s="294" t="s">
        <v>936</v>
      </c>
      <c r="D2546" s="317">
        <v>7248</v>
      </c>
      <c r="E2546" s="122" t="s">
        <v>937</v>
      </c>
      <c r="F2546" s="122" t="s">
        <v>938</v>
      </c>
      <c r="G2546" s="122" t="s">
        <v>776</v>
      </c>
      <c r="H2546" s="122" t="s">
        <v>777</v>
      </c>
      <c r="I2546" s="312">
        <v>2021</v>
      </c>
      <c r="J2546" s="122" t="s">
        <v>710</v>
      </c>
      <c r="K2546" s="283">
        <v>8740</v>
      </c>
      <c r="L2546" s="318">
        <v>-33.906151000000001</v>
      </c>
      <c r="M2546" s="318">
        <v>151.04020700000001</v>
      </c>
      <c r="O2546">
        <f>INDEX('MEC - traffic congestion'!$M$145:$M$249,MATCH($D2546,'MEC - traffic congestion'!$C$145:$C$249,0))</f>
        <v>0</v>
      </c>
      <c r="P2546" t="str">
        <f t="shared" si="113"/>
        <v/>
      </c>
      <c r="Q2546">
        <f t="shared" si="114"/>
        <v>1</v>
      </c>
      <c r="R2546" s="195" t="str">
        <f t="shared" si="115"/>
        <v/>
      </c>
    </row>
    <row r="2547" spans="3:18" x14ac:dyDescent="0.25">
      <c r="C2547" s="294" t="s">
        <v>936</v>
      </c>
      <c r="D2547" s="317">
        <v>7248</v>
      </c>
      <c r="E2547" s="122" t="s">
        <v>937</v>
      </c>
      <c r="F2547" s="122" t="s">
        <v>938</v>
      </c>
      <c r="G2547" s="122" t="s">
        <v>776</v>
      </c>
      <c r="H2547" s="122" t="s">
        <v>777</v>
      </c>
      <c r="I2547" s="312">
        <v>2021</v>
      </c>
      <c r="J2547" s="122" t="s">
        <v>711</v>
      </c>
      <c r="K2547" s="283">
        <v>3758</v>
      </c>
      <c r="L2547" s="318">
        <v>-33.906151000000001</v>
      </c>
      <c r="M2547" s="318">
        <v>151.04020700000001</v>
      </c>
      <c r="O2547">
        <f>INDEX('MEC - traffic congestion'!$M$145:$M$249,MATCH($D2547,'MEC - traffic congestion'!$C$145:$C$249,0))</f>
        <v>0</v>
      </c>
      <c r="P2547" t="str">
        <f t="shared" si="113"/>
        <v/>
      </c>
      <c r="Q2547">
        <f t="shared" si="114"/>
        <v>1</v>
      </c>
      <c r="R2547" s="195" t="str">
        <f t="shared" si="115"/>
        <v/>
      </c>
    </row>
    <row r="2548" spans="3:18" x14ac:dyDescent="0.25">
      <c r="C2548" s="294" t="s">
        <v>936</v>
      </c>
      <c r="D2548" s="317">
        <v>7248</v>
      </c>
      <c r="E2548" s="122" t="s">
        <v>937</v>
      </c>
      <c r="F2548" s="122" t="s">
        <v>938</v>
      </c>
      <c r="G2548" s="122" t="s">
        <v>776</v>
      </c>
      <c r="H2548" s="122" t="s">
        <v>777</v>
      </c>
      <c r="I2548" s="312">
        <v>2021</v>
      </c>
      <c r="J2548" s="122" t="s">
        <v>713</v>
      </c>
      <c r="K2548" s="283">
        <v>14744</v>
      </c>
      <c r="L2548" s="318">
        <v>-33.906151000000001</v>
      </c>
      <c r="M2548" s="318">
        <v>151.04020700000001</v>
      </c>
      <c r="O2548">
        <f>INDEX('MEC - traffic congestion'!$M$145:$M$249,MATCH($D2548,'MEC - traffic congestion'!$C$145:$C$249,0))</f>
        <v>0</v>
      </c>
      <c r="P2548" t="str">
        <f t="shared" si="113"/>
        <v/>
      </c>
      <c r="Q2548">
        <f t="shared" si="114"/>
        <v>1</v>
      </c>
      <c r="R2548" s="195" t="str">
        <f t="shared" si="115"/>
        <v/>
      </c>
    </row>
    <row r="2549" spans="3:18" x14ac:dyDescent="0.25">
      <c r="C2549" s="294" t="s">
        <v>936</v>
      </c>
      <c r="D2549" s="317">
        <v>7248</v>
      </c>
      <c r="E2549" s="122" t="s">
        <v>937</v>
      </c>
      <c r="F2549" s="122" t="s">
        <v>938</v>
      </c>
      <c r="G2549" s="122" t="s">
        <v>776</v>
      </c>
      <c r="H2549" s="122" t="s">
        <v>777</v>
      </c>
      <c r="I2549" s="312">
        <v>2022</v>
      </c>
      <c r="J2549" s="122" t="s">
        <v>709</v>
      </c>
      <c r="K2549" s="283">
        <v>3021</v>
      </c>
      <c r="L2549" s="318">
        <v>-33.906151000000001</v>
      </c>
      <c r="M2549" s="318">
        <v>151.04020700000001</v>
      </c>
      <c r="O2549">
        <f>INDEX('MEC - traffic congestion'!$M$145:$M$249,MATCH($D2549,'MEC - traffic congestion'!$C$145:$C$249,0))</f>
        <v>0</v>
      </c>
      <c r="P2549" t="str">
        <f t="shared" si="113"/>
        <v/>
      </c>
      <c r="Q2549">
        <f t="shared" si="114"/>
        <v>1</v>
      </c>
      <c r="R2549" s="195" t="str">
        <f t="shared" si="115"/>
        <v/>
      </c>
    </row>
    <row r="2550" spans="3:18" x14ac:dyDescent="0.25">
      <c r="C2550" s="294" t="s">
        <v>936</v>
      </c>
      <c r="D2550" s="317">
        <v>7248</v>
      </c>
      <c r="E2550" s="122" t="s">
        <v>937</v>
      </c>
      <c r="F2550" s="122" t="s">
        <v>938</v>
      </c>
      <c r="G2550" s="122" t="s">
        <v>776</v>
      </c>
      <c r="H2550" s="122" t="s">
        <v>777</v>
      </c>
      <c r="I2550" s="312">
        <v>2022</v>
      </c>
      <c r="J2550" s="122" t="s">
        <v>710</v>
      </c>
      <c r="K2550" s="283">
        <v>3604</v>
      </c>
      <c r="L2550" s="318">
        <v>-33.906151000000001</v>
      </c>
      <c r="M2550" s="318">
        <v>151.04020700000001</v>
      </c>
      <c r="O2550">
        <f>INDEX('MEC - traffic congestion'!$M$145:$M$249,MATCH($D2550,'MEC - traffic congestion'!$C$145:$C$249,0))</f>
        <v>0</v>
      </c>
      <c r="P2550" t="str">
        <f t="shared" si="113"/>
        <v/>
      </c>
      <c r="Q2550">
        <f t="shared" si="114"/>
        <v>1</v>
      </c>
      <c r="R2550" s="195" t="str">
        <f t="shared" si="115"/>
        <v/>
      </c>
    </row>
    <row r="2551" spans="3:18" x14ac:dyDescent="0.25">
      <c r="C2551" s="294" t="s">
        <v>936</v>
      </c>
      <c r="D2551" s="317">
        <v>7248</v>
      </c>
      <c r="E2551" s="122" t="s">
        <v>937</v>
      </c>
      <c r="F2551" s="122" t="s">
        <v>938</v>
      </c>
      <c r="G2551" s="122" t="s">
        <v>776</v>
      </c>
      <c r="H2551" s="122" t="s">
        <v>777</v>
      </c>
      <c r="I2551" s="312">
        <v>2022</v>
      </c>
      <c r="J2551" s="122" t="s">
        <v>711</v>
      </c>
      <c r="K2551" s="283">
        <v>1988</v>
      </c>
      <c r="L2551" s="318">
        <v>-33.906151000000001</v>
      </c>
      <c r="M2551" s="318">
        <v>151.04020700000001</v>
      </c>
      <c r="O2551">
        <f>INDEX('MEC - traffic congestion'!$M$145:$M$249,MATCH($D2551,'MEC - traffic congestion'!$C$145:$C$249,0))</f>
        <v>0</v>
      </c>
      <c r="P2551" t="str">
        <f t="shared" si="113"/>
        <v/>
      </c>
      <c r="Q2551">
        <f t="shared" si="114"/>
        <v>1</v>
      </c>
      <c r="R2551" s="195" t="str">
        <f t="shared" si="115"/>
        <v/>
      </c>
    </row>
    <row r="2552" spans="3:18" x14ac:dyDescent="0.25">
      <c r="C2552" s="294" t="s">
        <v>936</v>
      </c>
      <c r="D2552" s="317">
        <v>7248</v>
      </c>
      <c r="E2552" s="122" t="s">
        <v>937</v>
      </c>
      <c r="F2552" s="122" t="s">
        <v>938</v>
      </c>
      <c r="G2552" s="122" t="s">
        <v>776</v>
      </c>
      <c r="H2552" s="122" t="s">
        <v>777</v>
      </c>
      <c r="I2552" s="312">
        <v>2022</v>
      </c>
      <c r="J2552" s="122" t="s">
        <v>713</v>
      </c>
      <c r="K2552" s="283">
        <v>11280</v>
      </c>
      <c r="L2552" s="318">
        <v>-33.906151000000001</v>
      </c>
      <c r="M2552" s="318">
        <v>151.04020700000001</v>
      </c>
      <c r="O2552">
        <f>INDEX('MEC - traffic congestion'!$M$145:$M$249,MATCH($D2552,'MEC - traffic congestion'!$C$145:$C$249,0))</f>
        <v>0</v>
      </c>
      <c r="P2552" t="str">
        <f t="shared" si="113"/>
        <v/>
      </c>
      <c r="Q2552">
        <f t="shared" si="114"/>
        <v>1</v>
      </c>
      <c r="R2552" s="195" t="str">
        <f t="shared" si="115"/>
        <v/>
      </c>
    </row>
    <row r="2553" spans="3:18" x14ac:dyDescent="0.25">
      <c r="C2553" s="294" t="s">
        <v>939</v>
      </c>
      <c r="D2553" s="317">
        <v>7251</v>
      </c>
      <c r="E2553" s="122" t="s">
        <v>940</v>
      </c>
      <c r="F2553" s="122" t="s">
        <v>789</v>
      </c>
      <c r="G2553" s="122" t="s">
        <v>786</v>
      </c>
      <c r="H2553" s="122" t="s">
        <v>777</v>
      </c>
      <c r="I2553" s="312">
        <v>2018</v>
      </c>
      <c r="J2553" s="122" t="s">
        <v>709</v>
      </c>
      <c r="K2553" s="283">
        <v>3873</v>
      </c>
      <c r="L2553" s="318">
        <v>-33.874915999999999</v>
      </c>
      <c r="M2553" s="318">
        <v>151.15531899999999</v>
      </c>
      <c r="O2553">
        <f>INDEX('MEC - traffic congestion'!$M$145:$M$249,MATCH($D2553,'MEC - traffic congestion'!$C$145:$C$249,0))</f>
        <v>1</v>
      </c>
      <c r="P2553" t="str">
        <f t="shared" si="113"/>
        <v>2018AM PEAK</v>
      </c>
      <c r="Q2553">
        <f t="shared" si="114"/>
        <v>1</v>
      </c>
      <c r="R2553" s="195" t="str">
        <f t="shared" si="115"/>
        <v>2018LIGHT VEHICLES</v>
      </c>
    </row>
    <row r="2554" spans="3:18" x14ac:dyDescent="0.25">
      <c r="C2554" s="294" t="s">
        <v>939</v>
      </c>
      <c r="D2554" s="317">
        <v>7251</v>
      </c>
      <c r="E2554" s="122" t="s">
        <v>940</v>
      </c>
      <c r="F2554" s="122" t="s">
        <v>789</v>
      </c>
      <c r="G2554" s="122" t="s">
        <v>786</v>
      </c>
      <c r="H2554" s="122" t="s">
        <v>777</v>
      </c>
      <c r="I2554" s="312">
        <v>2018</v>
      </c>
      <c r="J2554" s="122" t="s">
        <v>710</v>
      </c>
      <c r="K2554" s="283">
        <v>13123</v>
      </c>
      <c r="L2554" s="318">
        <v>-33.874915999999999</v>
      </c>
      <c r="M2554" s="318">
        <v>151.15531899999999</v>
      </c>
      <c r="O2554">
        <f>INDEX('MEC - traffic congestion'!$M$145:$M$249,MATCH($D2554,'MEC - traffic congestion'!$C$145:$C$249,0))</f>
        <v>1</v>
      </c>
      <c r="P2554" t="str">
        <f t="shared" si="113"/>
        <v>2018OFF PEAK</v>
      </c>
      <c r="Q2554">
        <f t="shared" si="114"/>
        <v>1</v>
      </c>
      <c r="R2554" s="195" t="str">
        <f t="shared" si="115"/>
        <v>2018LIGHT VEHICLES</v>
      </c>
    </row>
    <row r="2555" spans="3:18" x14ac:dyDescent="0.25">
      <c r="C2555" s="294" t="s">
        <v>939</v>
      </c>
      <c r="D2555" s="317">
        <v>7251</v>
      </c>
      <c r="E2555" s="122" t="s">
        <v>940</v>
      </c>
      <c r="F2555" s="122" t="s">
        <v>789</v>
      </c>
      <c r="G2555" s="122" t="s">
        <v>786</v>
      </c>
      <c r="H2555" s="122" t="s">
        <v>777</v>
      </c>
      <c r="I2555" s="312">
        <v>2018</v>
      </c>
      <c r="J2555" s="122" t="s">
        <v>711</v>
      </c>
      <c r="K2555" s="283">
        <v>6276</v>
      </c>
      <c r="L2555" s="318">
        <v>-33.874915999999999</v>
      </c>
      <c r="M2555" s="318">
        <v>151.15531899999999</v>
      </c>
      <c r="O2555">
        <f>INDEX('MEC - traffic congestion'!$M$145:$M$249,MATCH($D2555,'MEC - traffic congestion'!$C$145:$C$249,0))</f>
        <v>1</v>
      </c>
      <c r="P2555" t="str">
        <f t="shared" si="113"/>
        <v>2018PM PEAK</v>
      </c>
      <c r="Q2555">
        <f t="shared" si="114"/>
        <v>1</v>
      </c>
      <c r="R2555" s="195" t="str">
        <f t="shared" si="115"/>
        <v>2018LIGHT VEHICLES</v>
      </c>
    </row>
    <row r="2556" spans="3:18" x14ac:dyDescent="0.25">
      <c r="C2556" s="294" t="s">
        <v>939</v>
      </c>
      <c r="D2556" s="317">
        <v>7251</v>
      </c>
      <c r="E2556" s="122" t="s">
        <v>940</v>
      </c>
      <c r="F2556" s="122" t="s">
        <v>789</v>
      </c>
      <c r="G2556" s="122" t="s">
        <v>786</v>
      </c>
      <c r="H2556" s="122" t="s">
        <v>777</v>
      </c>
      <c r="I2556" s="312">
        <v>2018</v>
      </c>
      <c r="J2556" s="122" t="s">
        <v>712</v>
      </c>
      <c r="K2556" s="283">
        <v>20064</v>
      </c>
      <c r="L2556" s="318">
        <v>-33.874915999999999</v>
      </c>
      <c r="M2556" s="318">
        <v>151.15531899999999</v>
      </c>
      <c r="O2556">
        <f>INDEX('MEC - traffic congestion'!$M$145:$M$249,MATCH($D2556,'MEC - traffic congestion'!$C$145:$C$249,0))</f>
        <v>1</v>
      </c>
      <c r="P2556" t="str">
        <f t="shared" si="113"/>
        <v>2018PUBLIC HOLIDAYS</v>
      </c>
      <c r="Q2556">
        <f t="shared" si="114"/>
        <v>1</v>
      </c>
      <c r="R2556" s="195" t="str">
        <f t="shared" si="115"/>
        <v>2018LIGHT VEHICLES</v>
      </c>
    </row>
    <row r="2557" spans="3:18" x14ac:dyDescent="0.25">
      <c r="C2557" s="294" t="s">
        <v>939</v>
      </c>
      <c r="D2557" s="317">
        <v>7251</v>
      </c>
      <c r="E2557" s="122" t="s">
        <v>940</v>
      </c>
      <c r="F2557" s="122" t="s">
        <v>789</v>
      </c>
      <c r="G2557" s="122" t="s">
        <v>786</v>
      </c>
      <c r="H2557" s="122" t="s">
        <v>777</v>
      </c>
      <c r="I2557" s="312">
        <v>2018</v>
      </c>
      <c r="J2557" s="122" t="s">
        <v>713</v>
      </c>
      <c r="K2557" s="283">
        <v>25149</v>
      </c>
      <c r="L2557" s="318">
        <v>-33.874915999999999</v>
      </c>
      <c r="M2557" s="318">
        <v>151.15531899999999</v>
      </c>
      <c r="O2557">
        <f>INDEX('MEC - traffic congestion'!$M$145:$M$249,MATCH($D2557,'MEC - traffic congestion'!$C$145:$C$249,0))</f>
        <v>1</v>
      </c>
      <c r="P2557" t="str">
        <f t="shared" si="113"/>
        <v>2018WEEKENDS</v>
      </c>
      <c r="Q2557">
        <f t="shared" si="114"/>
        <v>1</v>
      </c>
      <c r="R2557" s="195" t="str">
        <f t="shared" si="115"/>
        <v>2018LIGHT VEHICLES</v>
      </c>
    </row>
    <row r="2558" spans="3:18" x14ac:dyDescent="0.25">
      <c r="C2558" s="294" t="s">
        <v>939</v>
      </c>
      <c r="D2558" s="317">
        <v>7251</v>
      </c>
      <c r="E2558" s="122" t="s">
        <v>940</v>
      </c>
      <c r="F2558" s="122" t="s">
        <v>789</v>
      </c>
      <c r="G2558" s="122" t="s">
        <v>786</v>
      </c>
      <c r="H2558" s="122" t="s">
        <v>777</v>
      </c>
      <c r="I2558" s="312">
        <v>2019</v>
      </c>
      <c r="J2558" s="122" t="s">
        <v>709</v>
      </c>
      <c r="K2558" s="283">
        <v>4235</v>
      </c>
      <c r="L2558" s="318">
        <v>-33.874915999999999</v>
      </c>
      <c r="M2558" s="318">
        <v>151.15531899999999</v>
      </c>
      <c r="O2558">
        <f>INDEX('MEC - traffic congestion'!$M$145:$M$249,MATCH($D2558,'MEC - traffic congestion'!$C$145:$C$249,0))</f>
        <v>1</v>
      </c>
      <c r="P2558" t="str">
        <f t="shared" si="113"/>
        <v>2019AM PEAK</v>
      </c>
      <c r="Q2558">
        <f t="shared" si="114"/>
        <v>1</v>
      </c>
      <c r="R2558" s="195" t="str">
        <f t="shared" si="115"/>
        <v>2019LIGHT VEHICLES</v>
      </c>
    </row>
    <row r="2559" spans="3:18" x14ac:dyDescent="0.25">
      <c r="C2559" s="294" t="s">
        <v>939</v>
      </c>
      <c r="D2559" s="317">
        <v>7251</v>
      </c>
      <c r="E2559" s="122" t="s">
        <v>940</v>
      </c>
      <c r="F2559" s="122" t="s">
        <v>789</v>
      </c>
      <c r="G2559" s="122" t="s">
        <v>786</v>
      </c>
      <c r="H2559" s="122" t="s">
        <v>777</v>
      </c>
      <c r="I2559" s="312">
        <v>2019</v>
      </c>
      <c r="J2559" s="122" t="s">
        <v>710</v>
      </c>
      <c r="K2559" s="283">
        <v>13580</v>
      </c>
      <c r="L2559" s="318">
        <v>-33.874915999999999</v>
      </c>
      <c r="M2559" s="318">
        <v>151.15531899999999</v>
      </c>
      <c r="O2559">
        <f>INDEX('MEC - traffic congestion'!$M$145:$M$249,MATCH($D2559,'MEC - traffic congestion'!$C$145:$C$249,0))</f>
        <v>1</v>
      </c>
      <c r="P2559" t="str">
        <f t="shared" si="113"/>
        <v>2019OFF PEAK</v>
      </c>
      <c r="Q2559">
        <f t="shared" si="114"/>
        <v>1</v>
      </c>
      <c r="R2559" s="195" t="str">
        <f t="shared" si="115"/>
        <v>2019LIGHT VEHICLES</v>
      </c>
    </row>
    <row r="2560" spans="3:18" x14ac:dyDescent="0.25">
      <c r="C2560" s="294" t="s">
        <v>939</v>
      </c>
      <c r="D2560" s="317">
        <v>7251</v>
      </c>
      <c r="E2560" s="122" t="s">
        <v>940</v>
      </c>
      <c r="F2560" s="122" t="s">
        <v>789</v>
      </c>
      <c r="G2560" s="122" t="s">
        <v>786</v>
      </c>
      <c r="H2560" s="122" t="s">
        <v>777</v>
      </c>
      <c r="I2560" s="312">
        <v>2019</v>
      </c>
      <c r="J2560" s="122" t="s">
        <v>711</v>
      </c>
      <c r="K2560" s="283">
        <v>6775</v>
      </c>
      <c r="L2560" s="318">
        <v>-33.874915999999999</v>
      </c>
      <c r="M2560" s="318">
        <v>151.15531899999999</v>
      </c>
      <c r="O2560">
        <f>INDEX('MEC - traffic congestion'!$M$145:$M$249,MATCH($D2560,'MEC - traffic congestion'!$C$145:$C$249,0))</f>
        <v>1</v>
      </c>
      <c r="P2560" t="str">
        <f t="shared" si="113"/>
        <v>2019PM PEAK</v>
      </c>
      <c r="Q2560">
        <f t="shared" si="114"/>
        <v>1</v>
      </c>
      <c r="R2560" s="195" t="str">
        <f t="shared" si="115"/>
        <v>2019LIGHT VEHICLES</v>
      </c>
    </row>
    <row r="2561" spans="3:18" x14ac:dyDescent="0.25">
      <c r="C2561" s="294" t="s">
        <v>939</v>
      </c>
      <c r="D2561" s="317">
        <v>7251</v>
      </c>
      <c r="E2561" s="122" t="s">
        <v>940</v>
      </c>
      <c r="F2561" s="122" t="s">
        <v>789</v>
      </c>
      <c r="G2561" s="122" t="s">
        <v>786</v>
      </c>
      <c r="H2561" s="122" t="s">
        <v>777</v>
      </c>
      <c r="I2561" s="312">
        <v>2019</v>
      </c>
      <c r="J2561" s="122" t="s">
        <v>712</v>
      </c>
      <c r="K2561" s="283">
        <v>20846</v>
      </c>
      <c r="L2561" s="318">
        <v>-33.874915999999999</v>
      </c>
      <c r="M2561" s="318">
        <v>151.15531899999999</v>
      </c>
      <c r="O2561">
        <f>INDEX('MEC - traffic congestion'!$M$145:$M$249,MATCH($D2561,'MEC - traffic congestion'!$C$145:$C$249,0))</f>
        <v>1</v>
      </c>
      <c r="P2561" t="str">
        <f t="shared" si="113"/>
        <v>2019PUBLIC HOLIDAYS</v>
      </c>
      <c r="Q2561">
        <f t="shared" si="114"/>
        <v>1</v>
      </c>
      <c r="R2561" s="195" t="str">
        <f t="shared" si="115"/>
        <v>2019LIGHT VEHICLES</v>
      </c>
    </row>
    <row r="2562" spans="3:18" x14ac:dyDescent="0.25">
      <c r="C2562" s="294" t="s">
        <v>939</v>
      </c>
      <c r="D2562" s="317">
        <v>7251</v>
      </c>
      <c r="E2562" s="122" t="s">
        <v>940</v>
      </c>
      <c r="F2562" s="122" t="s">
        <v>789</v>
      </c>
      <c r="G2562" s="122" t="s">
        <v>786</v>
      </c>
      <c r="H2562" s="122" t="s">
        <v>777</v>
      </c>
      <c r="I2562" s="312">
        <v>2019</v>
      </c>
      <c r="J2562" s="122" t="s">
        <v>713</v>
      </c>
      <c r="K2562" s="283">
        <v>26123</v>
      </c>
      <c r="L2562" s="318">
        <v>-33.874915999999999</v>
      </c>
      <c r="M2562" s="318">
        <v>151.15531899999999</v>
      </c>
      <c r="O2562">
        <f>INDEX('MEC - traffic congestion'!$M$145:$M$249,MATCH($D2562,'MEC - traffic congestion'!$C$145:$C$249,0))</f>
        <v>1</v>
      </c>
      <c r="P2562" t="str">
        <f t="shared" si="113"/>
        <v>2019WEEKENDS</v>
      </c>
      <c r="Q2562">
        <f t="shared" si="114"/>
        <v>1</v>
      </c>
      <c r="R2562" s="195" t="str">
        <f t="shared" si="115"/>
        <v>2019LIGHT VEHICLES</v>
      </c>
    </row>
    <row r="2563" spans="3:18" x14ac:dyDescent="0.25">
      <c r="C2563" s="294" t="s">
        <v>939</v>
      </c>
      <c r="D2563" s="317">
        <v>7251</v>
      </c>
      <c r="E2563" s="122" t="s">
        <v>940</v>
      </c>
      <c r="F2563" s="122" t="s">
        <v>789</v>
      </c>
      <c r="G2563" s="122" t="s">
        <v>786</v>
      </c>
      <c r="H2563" s="122" t="s">
        <v>777</v>
      </c>
      <c r="I2563" s="312">
        <v>2020</v>
      </c>
      <c r="J2563" s="122" t="s">
        <v>709</v>
      </c>
      <c r="K2563" s="283">
        <v>4424</v>
      </c>
      <c r="L2563" s="318">
        <v>-33.874915999999999</v>
      </c>
      <c r="M2563" s="318">
        <v>151.15531899999999</v>
      </c>
      <c r="O2563">
        <f>INDEX('MEC - traffic congestion'!$M$145:$M$249,MATCH($D2563,'MEC - traffic congestion'!$C$145:$C$249,0))</f>
        <v>1</v>
      </c>
      <c r="P2563" t="str">
        <f t="shared" si="113"/>
        <v>2020AM PEAK</v>
      </c>
      <c r="Q2563">
        <f t="shared" si="114"/>
        <v>1</v>
      </c>
      <c r="R2563" s="195" t="str">
        <f t="shared" si="115"/>
        <v>2020LIGHT VEHICLES</v>
      </c>
    </row>
    <row r="2564" spans="3:18" x14ac:dyDescent="0.25">
      <c r="C2564" s="294" t="s">
        <v>939</v>
      </c>
      <c r="D2564" s="317">
        <v>7251</v>
      </c>
      <c r="E2564" s="122" t="s">
        <v>940</v>
      </c>
      <c r="F2564" s="122" t="s">
        <v>789</v>
      </c>
      <c r="G2564" s="122" t="s">
        <v>786</v>
      </c>
      <c r="H2564" s="122" t="s">
        <v>777</v>
      </c>
      <c r="I2564" s="312">
        <v>2020</v>
      </c>
      <c r="J2564" s="122" t="s">
        <v>710</v>
      </c>
      <c r="K2564" s="283">
        <v>11735</v>
      </c>
      <c r="L2564" s="318">
        <v>-33.874915999999999</v>
      </c>
      <c r="M2564" s="318">
        <v>151.15531899999999</v>
      </c>
      <c r="O2564">
        <f>INDEX('MEC - traffic congestion'!$M$145:$M$249,MATCH($D2564,'MEC - traffic congestion'!$C$145:$C$249,0))</f>
        <v>1</v>
      </c>
      <c r="P2564" t="str">
        <f t="shared" si="113"/>
        <v>2020OFF PEAK</v>
      </c>
      <c r="Q2564">
        <f t="shared" si="114"/>
        <v>1</v>
      </c>
      <c r="R2564" s="195" t="str">
        <f t="shared" si="115"/>
        <v>2020LIGHT VEHICLES</v>
      </c>
    </row>
    <row r="2565" spans="3:18" x14ac:dyDescent="0.25">
      <c r="C2565" s="294" t="s">
        <v>939</v>
      </c>
      <c r="D2565" s="317">
        <v>7251</v>
      </c>
      <c r="E2565" s="122" t="s">
        <v>940</v>
      </c>
      <c r="F2565" s="122" t="s">
        <v>789</v>
      </c>
      <c r="G2565" s="122" t="s">
        <v>786</v>
      </c>
      <c r="H2565" s="122" t="s">
        <v>777</v>
      </c>
      <c r="I2565" s="312">
        <v>2020</v>
      </c>
      <c r="J2565" s="122" t="s">
        <v>711</v>
      </c>
      <c r="K2565" s="283">
        <v>7083</v>
      </c>
      <c r="L2565" s="318">
        <v>-33.874915999999999</v>
      </c>
      <c r="M2565" s="318">
        <v>151.15531899999999</v>
      </c>
      <c r="O2565">
        <f>INDEX('MEC - traffic congestion'!$M$145:$M$249,MATCH($D2565,'MEC - traffic congestion'!$C$145:$C$249,0))</f>
        <v>1</v>
      </c>
      <c r="P2565" t="str">
        <f t="shared" si="113"/>
        <v>2020PM PEAK</v>
      </c>
      <c r="Q2565">
        <f t="shared" si="114"/>
        <v>1</v>
      </c>
      <c r="R2565" s="195" t="str">
        <f t="shared" si="115"/>
        <v>2020LIGHT VEHICLES</v>
      </c>
    </row>
    <row r="2566" spans="3:18" x14ac:dyDescent="0.25">
      <c r="C2566" s="294" t="s">
        <v>939</v>
      </c>
      <c r="D2566" s="317">
        <v>7251</v>
      </c>
      <c r="E2566" s="122" t="s">
        <v>940</v>
      </c>
      <c r="F2566" s="122" t="s">
        <v>789</v>
      </c>
      <c r="G2566" s="122" t="s">
        <v>786</v>
      </c>
      <c r="H2566" s="122" t="s">
        <v>777</v>
      </c>
      <c r="I2566" s="312">
        <v>2020</v>
      </c>
      <c r="J2566" s="122" t="s">
        <v>712</v>
      </c>
      <c r="K2566" s="283">
        <v>18067</v>
      </c>
      <c r="L2566" s="318">
        <v>-33.874915999999999</v>
      </c>
      <c r="M2566" s="318">
        <v>151.15531899999999</v>
      </c>
      <c r="O2566">
        <f>INDEX('MEC - traffic congestion'!$M$145:$M$249,MATCH($D2566,'MEC - traffic congestion'!$C$145:$C$249,0))</f>
        <v>1</v>
      </c>
      <c r="P2566" t="str">
        <f t="shared" si="113"/>
        <v>2020PUBLIC HOLIDAYS</v>
      </c>
      <c r="Q2566">
        <f t="shared" si="114"/>
        <v>1</v>
      </c>
      <c r="R2566" s="195" t="str">
        <f t="shared" si="115"/>
        <v>2020LIGHT VEHICLES</v>
      </c>
    </row>
    <row r="2567" spans="3:18" x14ac:dyDescent="0.25">
      <c r="C2567" s="294" t="s">
        <v>939</v>
      </c>
      <c r="D2567" s="317">
        <v>7251</v>
      </c>
      <c r="E2567" s="122" t="s">
        <v>940</v>
      </c>
      <c r="F2567" s="122" t="s">
        <v>789</v>
      </c>
      <c r="G2567" s="122" t="s">
        <v>786</v>
      </c>
      <c r="H2567" s="122" t="s">
        <v>777</v>
      </c>
      <c r="I2567" s="312">
        <v>2020</v>
      </c>
      <c r="J2567" s="122" t="s">
        <v>713</v>
      </c>
      <c r="K2567" s="283">
        <v>21755</v>
      </c>
      <c r="L2567" s="318">
        <v>-33.874915999999999</v>
      </c>
      <c r="M2567" s="318">
        <v>151.15531899999999</v>
      </c>
      <c r="O2567">
        <f>INDEX('MEC - traffic congestion'!$M$145:$M$249,MATCH($D2567,'MEC - traffic congestion'!$C$145:$C$249,0))</f>
        <v>1</v>
      </c>
      <c r="P2567" t="str">
        <f t="shared" si="113"/>
        <v>2020WEEKENDS</v>
      </c>
      <c r="Q2567">
        <f t="shared" si="114"/>
        <v>1</v>
      </c>
      <c r="R2567" s="195" t="str">
        <f t="shared" si="115"/>
        <v>2020LIGHT VEHICLES</v>
      </c>
    </row>
    <row r="2568" spans="3:18" x14ac:dyDescent="0.25">
      <c r="C2568" s="294" t="s">
        <v>939</v>
      </c>
      <c r="D2568" s="317">
        <v>7251</v>
      </c>
      <c r="E2568" s="122" t="s">
        <v>940</v>
      </c>
      <c r="F2568" s="122" t="s">
        <v>789</v>
      </c>
      <c r="G2568" s="122" t="s">
        <v>786</v>
      </c>
      <c r="H2568" s="122" t="s">
        <v>777</v>
      </c>
      <c r="I2568" s="312">
        <v>2021</v>
      </c>
      <c r="J2568" s="122" t="s">
        <v>709</v>
      </c>
      <c r="K2568" s="283">
        <v>4381</v>
      </c>
      <c r="L2568" s="318">
        <v>-33.874915999999999</v>
      </c>
      <c r="M2568" s="318">
        <v>151.15531899999999</v>
      </c>
      <c r="O2568">
        <f>INDEX('MEC - traffic congestion'!$M$145:$M$249,MATCH($D2568,'MEC - traffic congestion'!$C$145:$C$249,0))</f>
        <v>1</v>
      </c>
      <c r="P2568" t="str">
        <f t="shared" si="113"/>
        <v>2021AM PEAK</v>
      </c>
      <c r="Q2568">
        <f t="shared" si="114"/>
        <v>1</v>
      </c>
      <c r="R2568" s="195" t="str">
        <f t="shared" si="115"/>
        <v>2021LIGHT VEHICLES</v>
      </c>
    </row>
    <row r="2569" spans="3:18" x14ac:dyDescent="0.25">
      <c r="C2569" s="294" t="s">
        <v>939</v>
      </c>
      <c r="D2569" s="317">
        <v>7251</v>
      </c>
      <c r="E2569" s="122" t="s">
        <v>940</v>
      </c>
      <c r="F2569" s="122" t="s">
        <v>789</v>
      </c>
      <c r="G2569" s="122" t="s">
        <v>786</v>
      </c>
      <c r="H2569" s="122" t="s">
        <v>777</v>
      </c>
      <c r="I2569" s="312">
        <v>2021</v>
      </c>
      <c r="J2569" s="122" t="s">
        <v>710</v>
      </c>
      <c r="K2569" s="283">
        <v>11061</v>
      </c>
      <c r="L2569" s="318">
        <v>-33.874915999999999</v>
      </c>
      <c r="M2569" s="318">
        <v>151.15531899999999</v>
      </c>
      <c r="O2569">
        <f>INDEX('MEC - traffic congestion'!$M$145:$M$249,MATCH($D2569,'MEC - traffic congestion'!$C$145:$C$249,0))</f>
        <v>1</v>
      </c>
      <c r="P2569" t="str">
        <f t="shared" si="113"/>
        <v>2021OFF PEAK</v>
      </c>
      <c r="Q2569">
        <f t="shared" si="114"/>
        <v>1</v>
      </c>
      <c r="R2569" s="195" t="str">
        <f t="shared" si="115"/>
        <v>2021LIGHT VEHICLES</v>
      </c>
    </row>
    <row r="2570" spans="3:18" x14ac:dyDescent="0.25">
      <c r="C2570" s="294" t="s">
        <v>939</v>
      </c>
      <c r="D2570" s="317">
        <v>7251</v>
      </c>
      <c r="E2570" s="122" t="s">
        <v>940</v>
      </c>
      <c r="F2570" s="122" t="s">
        <v>789</v>
      </c>
      <c r="G2570" s="122" t="s">
        <v>786</v>
      </c>
      <c r="H2570" s="122" t="s">
        <v>777</v>
      </c>
      <c r="I2570" s="312">
        <v>2021</v>
      </c>
      <c r="J2570" s="122" t="s">
        <v>711</v>
      </c>
      <c r="K2570" s="283">
        <v>6543</v>
      </c>
      <c r="L2570" s="318">
        <v>-33.874915999999999</v>
      </c>
      <c r="M2570" s="318">
        <v>151.15531899999999</v>
      </c>
      <c r="O2570">
        <f>INDEX('MEC - traffic congestion'!$M$145:$M$249,MATCH($D2570,'MEC - traffic congestion'!$C$145:$C$249,0))</f>
        <v>1</v>
      </c>
      <c r="P2570" t="str">
        <f t="shared" si="113"/>
        <v>2021PM PEAK</v>
      </c>
      <c r="Q2570">
        <f t="shared" si="114"/>
        <v>1</v>
      </c>
      <c r="R2570" s="195" t="str">
        <f t="shared" si="115"/>
        <v>2021LIGHT VEHICLES</v>
      </c>
    </row>
    <row r="2571" spans="3:18" x14ac:dyDescent="0.25">
      <c r="C2571" s="294" t="s">
        <v>939</v>
      </c>
      <c r="D2571" s="317">
        <v>7251</v>
      </c>
      <c r="E2571" s="122" t="s">
        <v>940</v>
      </c>
      <c r="F2571" s="122" t="s">
        <v>789</v>
      </c>
      <c r="G2571" s="122" t="s">
        <v>786</v>
      </c>
      <c r="H2571" s="122" t="s">
        <v>777</v>
      </c>
      <c r="I2571" s="312">
        <v>2021</v>
      </c>
      <c r="J2571" s="122" t="s">
        <v>713</v>
      </c>
      <c r="K2571" s="283">
        <v>20336</v>
      </c>
      <c r="L2571" s="318">
        <v>-33.874915999999999</v>
      </c>
      <c r="M2571" s="318">
        <v>151.15531899999999</v>
      </c>
      <c r="O2571">
        <f>INDEX('MEC - traffic congestion'!$M$145:$M$249,MATCH($D2571,'MEC - traffic congestion'!$C$145:$C$249,0))</f>
        <v>1</v>
      </c>
      <c r="P2571" t="str">
        <f t="shared" si="113"/>
        <v>2021WEEKENDS</v>
      </c>
      <c r="Q2571">
        <f t="shared" si="114"/>
        <v>1</v>
      </c>
      <c r="R2571" s="195" t="str">
        <f t="shared" si="115"/>
        <v>2021LIGHT VEHICLES</v>
      </c>
    </row>
    <row r="2572" spans="3:18" x14ac:dyDescent="0.25">
      <c r="C2572" s="294" t="s">
        <v>939</v>
      </c>
      <c r="D2572" s="317">
        <v>7251</v>
      </c>
      <c r="E2572" s="122" t="s">
        <v>940</v>
      </c>
      <c r="F2572" s="122" t="s">
        <v>789</v>
      </c>
      <c r="G2572" s="122" t="s">
        <v>786</v>
      </c>
      <c r="H2572" s="122" t="s">
        <v>777</v>
      </c>
      <c r="I2572" s="312">
        <v>2022</v>
      </c>
      <c r="J2572" s="122" t="s">
        <v>709</v>
      </c>
      <c r="K2572" s="283">
        <v>4346</v>
      </c>
      <c r="L2572" s="318">
        <v>-33.874915999999999</v>
      </c>
      <c r="M2572" s="318">
        <v>151.15531899999999</v>
      </c>
      <c r="O2572">
        <f>INDEX('MEC - traffic congestion'!$M$145:$M$249,MATCH($D2572,'MEC - traffic congestion'!$C$145:$C$249,0))</f>
        <v>1</v>
      </c>
      <c r="P2572" t="str">
        <f t="shared" si="113"/>
        <v>2022AM PEAK</v>
      </c>
      <c r="Q2572">
        <f t="shared" si="114"/>
        <v>1</v>
      </c>
      <c r="R2572" s="195" t="str">
        <f t="shared" si="115"/>
        <v>2022LIGHT VEHICLES</v>
      </c>
    </row>
    <row r="2573" spans="3:18" x14ac:dyDescent="0.25">
      <c r="C2573" s="294" t="s">
        <v>939</v>
      </c>
      <c r="D2573" s="317">
        <v>7251</v>
      </c>
      <c r="E2573" s="122" t="s">
        <v>940</v>
      </c>
      <c r="F2573" s="122" t="s">
        <v>789</v>
      </c>
      <c r="G2573" s="122" t="s">
        <v>786</v>
      </c>
      <c r="H2573" s="122" t="s">
        <v>777</v>
      </c>
      <c r="I2573" s="312">
        <v>2022</v>
      </c>
      <c r="J2573" s="122" t="s">
        <v>710</v>
      </c>
      <c r="K2573" s="283">
        <v>12283</v>
      </c>
      <c r="L2573" s="318">
        <v>-33.874915999999999</v>
      </c>
      <c r="M2573" s="318">
        <v>151.15531899999999</v>
      </c>
      <c r="O2573">
        <f>INDEX('MEC - traffic congestion'!$M$145:$M$249,MATCH($D2573,'MEC - traffic congestion'!$C$145:$C$249,0))</f>
        <v>1</v>
      </c>
      <c r="P2573" t="str">
        <f t="shared" si="113"/>
        <v>2022OFF PEAK</v>
      </c>
      <c r="Q2573">
        <f t="shared" si="114"/>
        <v>1</v>
      </c>
      <c r="R2573" s="195" t="str">
        <f t="shared" si="115"/>
        <v>2022LIGHT VEHICLES</v>
      </c>
    </row>
    <row r="2574" spans="3:18" x14ac:dyDescent="0.25">
      <c r="C2574" s="294" t="s">
        <v>939</v>
      </c>
      <c r="D2574" s="317">
        <v>7251</v>
      </c>
      <c r="E2574" s="122" t="s">
        <v>940</v>
      </c>
      <c r="F2574" s="122" t="s">
        <v>789</v>
      </c>
      <c r="G2574" s="122" t="s">
        <v>786</v>
      </c>
      <c r="H2574" s="122" t="s">
        <v>777</v>
      </c>
      <c r="I2574" s="312">
        <v>2022</v>
      </c>
      <c r="J2574" s="122" t="s">
        <v>711</v>
      </c>
      <c r="K2574" s="283">
        <v>6923</v>
      </c>
      <c r="L2574" s="318">
        <v>-33.874915999999999</v>
      </c>
      <c r="M2574" s="318">
        <v>151.15531899999999</v>
      </c>
      <c r="O2574">
        <f>INDEX('MEC - traffic congestion'!$M$145:$M$249,MATCH($D2574,'MEC - traffic congestion'!$C$145:$C$249,0))</f>
        <v>1</v>
      </c>
      <c r="P2574" t="str">
        <f t="shared" si="113"/>
        <v>2022PM PEAK</v>
      </c>
      <c r="Q2574">
        <f t="shared" si="114"/>
        <v>1</v>
      </c>
      <c r="R2574" s="195" t="str">
        <f t="shared" si="115"/>
        <v>2022LIGHT VEHICLES</v>
      </c>
    </row>
    <row r="2575" spans="3:18" x14ac:dyDescent="0.25">
      <c r="C2575" s="294" t="s">
        <v>939</v>
      </c>
      <c r="D2575" s="317">
        <v>7251</v>
      </c>
      <c r="E2575" s="122" t="s">
        <v>940</v>
      </c>
      <c r="F2575" s="122" t="s">
        <v>789</v>
      </c>
      <c r="G2575" s="122" t="s">
        <v>786</v>
      </c>
      <c r="H2575" s="122" t="s">
        <v>777</v>
      </c>
      <c r="I2575" s="312">
        <v>2022</v>
      </c>
      <c r="J2575" s="122" t="s">
        <v>713</v>
      </c>
      <c r="K2575" s="283">
        <v>23992</v>
      </c>
      <c r="L2575" s="318">
        <v>-33.874915999999999</v>
      </c>
      <c r="M2575" s="318">
        <v>151.15531899999999</v>
      </c>
      <c r="O2575">
        <f>INDEX('MEC - traffic congestion'!$M$145:$M$249,MATCH($D2575,'MEC - traffic congestion'!$C$145:$C$249,0))</f>
        <v>1</v>
      </c>
      <c r="P2575" t="str">
        <f t="shared" si="113"/>
        <v>2022WEEKENDS</v>
      </c>
      <c r="Q2575">
        <f t="shared" si="114"/>
        <v>1</v>
      </c>
      <c r="R2575" s="195" t="str">
        <f t="shared" si="115"/>
        <v>2022LIGHT VEHICLES</v>
      </c>
    </row>
    <row r="2576" spans="3:18" x14ac:dyDescent="0.25">
      <c r="C2576" s="294" t="s">
        <v>939</v>
      </c>
      <c r="D2576" s="317">
        <v>7251</v>
      </c>
      <c r="E2576" s="122" t="s">
        <v>940</v>
      </c>
      <c r="F2576" s="122" t="s">
        <v>789</v>
      </c>
      <c r="G2576" s="122" t="s">
        <v>786</v>
      </c>
      <c r="H2576" s="122" t="s">
        <v>777</v>
      </c>
      <c r="I2576" s="312">
        <v>2023</v>
      </c>
      <c r="J2576" s="122" t="s">
        <v>709</v>
      </c>
      <c r="K2576" s="283">
        <v>4071</v>
      </c>
      <c r="L2576" s="318">
        <v>-33.874915999999999</v>
      </c>
      <c r="M2576" s="318">
        <v>151.15531899999999</v>
      </c>
      <c r="O2576">
        <f>INDEX('MEC - traffic congestion'!$M$145:$M$249,MATCH($D2576,'MEC - traffic congestion'!$C$145:$C$249,0))</f>
        <v>1</v>
      </c>
      <c r="P2576" t="str">
        <f t="shared" si="113"/>
        <v>2023AM PEAK</v>
      </c>
      <c r="Q2576">
        <f t="shared" si="114"/>
        <v>1</v>
      </c>
      <c r="R2576" s="195" t="str">
        <f t="shared" si="115"/>
        <v>2023LIGHT VEHICLES</v>
      </c>
    </row>
    <row r="2577" spans="3:18" x14ac:dyDescent="0.25">
      <c r="C2577" s="294" t="s">
        <v>939</v>
      </c>
      <c r="D2577" s="317">
        <v>7251</v>
      </c>
      <c r="E2577" s="122" t="s">
        <v>940</v>
      </c>
      <c r="F2577" s="122" t="s">
        <v>789</v>
      </c>
      <c r="G2577" s="122" t="s">
        <v>786</v>
      </c>
      <c r="H2577" s="122" t="s">
        <v>777</v>
      </c>
      <c r="I2577" s="312">
        <v>2023</v>
      </c>
      <c r="J2577" s="122" t="s">
        <v>710</v>
      </c>
      <c r="K2577" s="283">
        <v>11881</v>
      </c>
      <c r="L2577" s="318">
        <v>-33.874915999999999</v>
      </c>
      <c r="M2577" s="318">
        <v>151.15531899999999</v>
      </c>
      <c r="O2577">
        <f>INDEX('MEC - traffic congestion'!$M$145:$M$249,MATCH($D2577,'MEC - traffic congestion'!$C$145:$C$249,0))</f>
        <v>1</v>
      </c>
      <c r="P2577" t="str">
        <f t="shared" si="113"/>
        <v>2023OFF PEAK</v>
      </c>
      <c r="Q2577">
        <f t="shared" si="114"/>
        <v>1</v>
      </c>
      <c r="R2577" s="195" t="str">
        <f t="shared" si="115"/>
        <v>2023LIGHT VEHICLES</v>
      </c>
    </row>
    <row r="2578" spans="3:18" x14ac:dyDescent="0.25">
      <c r="C2578" s="294" t="s">
        <v>939</v>
      </c>
      <c r="D2578" s="317">
        <v>7251</v>
      </c>
      <c r="E2578" s="122" t="s">
        <v>940</v>
      </c>
      <c r="F2578" s="122" t="s">
        <v>789</v>
      </c>
      <c r="G2578" s="122" t="s">
        <v>786</v>
      </c>
      <c r="H2578" s="122" t="s">
        <v>777</v>
      </c>
      <c r="I2578" s="312">
        <v>2023</v>
      </c>
      <c r="J2578" s="122" t="s">
        <v>711</v>
      </c>
      <c r="K2578" s="283">
        <v>6627</v>
      </c>
      <c r="L2578" s="318">
        <v>-33.874915999999999</v>
      </c>
      <c r="M2578" s="318">
        <v>151.15531899999999</v>
      </c>
      <c r="O2578">
        <f>INDEX('MEC - traffic congestion'!$M$145:$M$249,MATCH($D2578,'MEC - traffic congestion'!$C$145:$C$249,0))</f>
        <v>1</v>
      </c>
      <c r="P2578" t="str">
        <f t="shared" si="113"/>
        <v>2023PM PEAK</v>
      </c>
      <c r="Q2578">
        <f t="shared" si="114"/>
        <v>1</v>
      </c>
      <c r="R2578" s="195" t="str">
        <f t="shared" si="115"/>
        <v>2023LIGHT VEHICLES</v>
      </c>
    </row>
    <row r="2579" spans="3:18" x14ac:dyDescent="0.25">
      <c r="C2579" s="294" t="s">
        <v>939</v>
      </c>
      <c r="D2579" s="317">
        <v>7251</v>
      </c>
      <c r="E2579" s="122" t="s">
        <v>940</v>
      </c>
      <c r="F2579" s="122" t="s">
        <v>789</v>
      </c>
      <c r="G2579" s="122" t="s">
        <v>786</v>
      </c>
      <c r="H2579" s="122" t="s">
        <v>777</v>
      </c>
      <c r="I2579" s="312">
        <v>2023</v>
      </c>
      <c r="J2579" s="122" t="s">
        <v>713</v>
      </c>
      <c r="K2579" s="283">
        <v>23587</v>
      </c>
      <c r="L2579" s="318">
        <v>-33.874915999999999</v>
      </c>
      <c r="M2579" s="318">
        <v>151.15531899999999</v>
      </c>
      <c r="O2579">
        <f>INDEX('MEC - traffic congestion'!$M$145:$M$249,MATCH($D2579,'MEC - traffic congestion'!$C$145:$C$249,0))</f>
        <v>1</v>
      </c>
      <c r="P2579" t="str">
        <f t="shared" si="113"/>
        <v>2023WEEKENDS</v>
      </c>
      <c r="Q2579">
        <f t="shared" si="114"/>
        <v>1</v>
      </c>
      <c r="R2579" s="195" t="str">
        <f t="shared" si="115"/>
        <v>2023LIGHT VEHICLES</v>
      </c>
    </row>
    <row r="2580" spans="3:18" x14ac:dyDescent="0.25">
      <c r="C2580" s="294" t="s">
        <v>939</v>
      </c>
      <c r="D2580" s="317">
        <v>7251</v>
      </c>
      <c r="E2580" s="122" t="s">
        <v>940</v>
      </c>
      <c r="F2580" s="122" t="s">
        <v>789</v>
      </c>
      <c r="G2580" s="122" t="s">
        <v>786</v>
      </c>
      <c r="H2580" s="122" t="s">
        <v>777</v>
      </c>
      <c r="I2580" s="312">
        <v>2024</v>
      </c>
      <c r="J2580" s="122" t="s">
        <v>709</v>
      </c>
      <c r="K2580" s="283">
        <v>2472</v>
      </c>
      <c r="L2580" s="318">
        <v>-33.874915999999999</v>
      </c>
      <c r="M2580" s="318">
        <v>151.15531899999999</v>
      </c>
      <c r="O2580">
        <f>INDEX('MEC - traffic congestion'!$M$145:$M$249,MATCH($D2580,'MEC - traffic congestion'!$C$145:$C$249,0))</f>
        <v>1</v>
      </c>
      <c r="P2580" t="str">
        <f t="shared" si="113"/>
        <v>2024AM PEAK</v>
      </c>
      <c r="Q2580">
        <f t="shared" si="114"/>
        <v>1</v>
      </c>
      <c r="R2580" s="195" t="str">
        <f t="shared" si="115"/>
        <v>2024LIGHT VEHICLES</v>
      </c>
    </row>
    <row r="2581" spans="3:18" x14ac:dyDescent="0.25">
      <c r="C2581" s="294" t="s">
        <v>939</v>
      </c>
      <c r="D2581" s="317">
        <v>7251</v>
      </c>
      <c r="E2581" s="122" t="s">
        <v>940</v>
      </c>
      <c r="F2581" s="122" t="s">
        <v>789</v>
      </c>
      <c r="G2581" s="122" t="s">
        <v>786</v>
      </c>
      <c r="H2581" s="122" t="s">
        <v>777</v>
      </c>
      <c r="I2581" s="312">
        <v>2024</v>
      </c>
      <c r="J2581" s="122" t="s">
        <v>710</v>
      </c>
      <c r="K2581" s="283">
        <v>7766</v>
      </c>
      <c r="L2581" s="318">
        <v>-33.874915999999999</v>
      </c>
      <c r="M2581" s="318">
        <v>151.15531899999999</v>
      </c>
      <c r="O2581">
        <f>INDEX('MEC - traffic congestion'!$M$145:$M$249,MATCH($D2581,'MEC - traffic congestion'!$C$145:$C$249,0))</f>
        <v>1</v>
      </c>
      <c r="P2581" t="str">
        <f t="shared" ref="P2581:P2644" si="116">IF($O2581=1,$I2581&amp;$J2581,"")</f>
        <v>2024OFF PEAK</v>
      </c>
      <c r="Q2581">
        <f t="shared" ref="Q2581:Q2644" si="117">IF(AND($M2581&gt;150.246,AND($L2581&gt;-34.397,$L2581&lt;-32.662)),1,0)</f>
        <v>1</v>
      </c>
      <c r="R2581" s="195" t="str">
        <f t="shared" ref="R2581:R2644" si="118">IF($O2581=1,$I2581&amp;$H2581,"")</f>
        <v>2024LIGHT VEHICLES</v>
      </c>
    </row>
    <row r="2582" spans="3:18" x14ac:dyDescent="0.25">
      <c r="C2582" s="294" t="s">
        <v>939</v>
      </c>
      <c r="D2582" s="317">
        <v>7251</v>
      </c>
      <c r="E2582" s="122" t="s">
        <v>940</v>
      </c>
      <c r="F2582" s="122" t="s">
        <v>789</v>
      </c>
      <c r="G2582" s="122" t="s">
        <v>786</v>
      </c>
      <c r="H2582" s="122" t="s">
        <v>777</v>
      </c>
      <c r="I2582" s="312">
        <v>2024</v>
      </c>
      <c r="J2582" s="122" t="s">
        <v>711</v>
      </c>
      <c r="K2582" s="283">
        <v>4453</v>
      </c>
      <c r="L2582" s="318">
        <v>-33.874915999999999</v>
      </c>
      <c r="M2582" s="318">
        <v>151.15531899999999</v>
      </c>
      <c r="O2582">
        <f>INDEX('MEC - traffic congestion'!$M$145:$M$249,MATCH($D2582,'MEC - traffic congestion'!$C$145:$C$249,0))</f>
        <v>1</v>
      </c>
      <c r="P2582" t="str">
        <f t="shared" si="116"/>
        <v>2024PM PEAK</v>
      </c>
      <c r="Q2582">
        <f t="shared" si="117"/>
        <v>1</v>
      </c>
      <c r="R2582" s="195" t="str">
        <f t="shared" si="118"/>
        <v>2024LIGHT VEHICLES</v>
      </c>
    </row>
    <row r="2583" spans="3:18" x14ac:dyDescent="0.25">
      <c r="C2583" s="294" t="s">
        <v>939</v>
      </c>
      <c r="D2583" s="317">
        <v>7251</v>
      </c>
      <c r="E2583" s="122" t="s">
        <v>940</v>
      </c>
      <c r="F2583" s="122" t="s">
        <v>789</v>
      </c>
      <c r="G2583" s="122" t="s">
        <v>786</v>
      </c>
      <c r="H2583" s="122" t="s">
        <v>777</v>
      </c>
      <c r="I2583" s="312">
        <v>2024</v>
      </c>
      <c r="J2583" s="122" t="s">
        <v>713</v>
      </c>
      <c r="K2583" s="283">
        <v>14865</v>
      </c>
      <c r="L2583" s="318">
        <v>-33.874915999999999</v>
      </c>
      <c r="M2583" s="318">
        <v>151.15531899999999</v>
      </c>
      <c r="O2583">
        <f>INDEX('MEC - traffic congestion'!$M$145:$M$249,MATCH($D2583,'MEC - traffic congestion'!$C$145:$C$249,0))</f>
        <v>1</v>
      </c>
      <c r="P2583" t="str">
        <f t="shared" si="116"/>
        <v>2024WEEKENDS</v>
      </c>
      <c r="Q2583">
        <f t="shared" si="117"/>
        <v>1</v>
      </c>
      <c r="R2583" s="195" t="str">
        <f t="shared" si="118"/>
        <v>2024LIGHT VEHICLES</v>
      </c>
    </row>
    <row r="2584" spans="3:18" x14ac:dyDescent="0.25">
      <c r="C2584" s="294" t="s">
        <v>941</v>
      </c>
      <c r="D2584" s="317">
        <v>7270</v>
      </c>
      <c r="E2584" s="122" t="s">
        <v>836</v>
      </c>
      <c r="F2584" s="122" t="s">
        <v>942</v>
      </c>
      <c r="G2584" s="122" t="s">
        <v>776</v>
      </c>
      <c r="H2584" s="122" t="s">
        <v>777</v>
      </c>
      <c r="I2584" s="312">
        <v>2018</v>
      </c>
      <c r="J2584" s="122" t="s">
        <v>709</v>
      </c>
      <c r="K2584" s="283">
        <v>6280</v>
      </c>
      <c r="L2584" s="318">
        <v>-33.793303999999999</v>
      </c>
      <c r="M2584" s="318">
        <v>151.11965900000001</v>
      </c>
      <c r="O2584">
        <f>INDEX('MEC - traffic congestion'!$M$145:$M$249,MATCH($D2584,'MEC - traffic congestion'!$C$145:$C$249,0))</f>
        <v>1</v>
      </c>
      <c r="P2584" t="str">
        <f t="shared" si="116"/>
        <v>2018AM PEAK</v>
      </c>
      <c r="Q2584">
        <f t="shared" si="117"/>
        <v>1</v>
      </c>
      <c r="R2584" s="195" t="str">
        <f t="shared" si="118"/>
        <v>2018LIGHT VEHICLES</v>
      </c>
    </row>
    <row r="2585" spans="3:18" x14ac:dyDescent="0.25">
      <c r="C2585" s="294" t="s">
        <v>941</v>
      </c>
      <c r="D2585" s="317">
        <v>7270</v>
      </c>
      <c r="E2585" s="122" t="s">
        <v>836</v>
      </c>
      <c r="F2585" s="122" t="s">
        <v>942</v>
      </c>
      <c r="G2585" s="122" t="s">
        <v>776</v>
      </c>
      <c r="H2585" s="122" t="s">
        <v>777</v>
      </c>
      <c r="I2585" s="312">
        <v>2018</v>
      </c>
      <c r="J2585" s="122" t="s">
        <v>710</v>
      </c>
      <c r="K2585" s="283">
        <v>12227</v>
      </c>
      <c r="L2585" s="318">
        <v>-33.793303999999999</v>
      </c>
      <c r="M2585" s="318">
        <v>151.11965900000001</v>
      </c>
      <c r="O2585">
        <f>INDEX('MEC - traffic congestion'!$M$145:$M$249,MATCH($D2585,'MEC - traffic congestion'!$C$145:$C$249,0))</f>
        <v>1</v>
      </c>
      <c r="P2585" t="str">
        <f t="shared" si="116"/>
        <v>2018OFF PEAK</v>
      </c>
      <c r="Q2585">
        <f t="shared" si="117"/>
        <v>1</v>
      </c>
      <c r="R2585" s="195" t="str">
        <f t="shared" si="118"/>
        <v>2018LIGHT VEHICLES</v>
      </c>
    </row>
    <row r="2586" spans="3:18" x14ac:dyDescent="0.25">
      <c r="C2586" s="294" t="s">
        <v>941</v>
      </c>
      <c r="D2586" s="317">
        <v>7270</v>
      </c>
      <c r="E2586" s="122" t="s">
        <v>836</v>
      </c>
      <c r="F2586" s="122" t="s">
        <v>942</v>
      </c>
      <c r="G2586" s="122" t="s">
        <v>776</v>
      </c>
      <c r="H2586" s="122" t="s">
        <v>777</v>
      </c>
      <c r="I2586" s="312">
        <v>2018</v>
      </c>
      <c r="J2586" s="122" t="s">
        <v>711</v>
      </c>
      <c r="K2586" s="283">
        <v>4685</v>
      </c>
      <c r="L2586" s="318">
        <v>-33.793303999999999</v>
      </c>
      <c r="M2586" s="318">
        <v>151.11965900000001</v>
      </c>
      <c r="O2586">
        <f>INDEX('MEC - traffic congestion'!$M$145:$M$249,MATCH($D2586,'MEC - traffic congestion'!$C$145:$C$249,0))</f>
        <v>1</v>
      </c>
      <c r="P2586" t="str">
        <f t="shared" si="116"/>
        <v>2018PM PEAK</v>
      </c>
      <c r="Q2586">
        <f t="shared" si="117"/>
        <v>1</v>
      </c>
      <c r="R2586" s="195" t="str">
        <f t="shared" si="118"/>
        <v>2018LIGHT VEHICLES</v>
      </c>
    </row>
    <row r="2587" spans="3:18" x14ac:dyDescent="0.25">
      <c r="C2587" s="294" t="s">
        <v>941</v>
      </c>
      <c r="D2587" s="317">
        <v>7270</v>
      </c>
      <c r="E2587" s="122" t="s">
        <v>836</v>
      </c>
      <c r="F2587" s="122" t="s">
        <v>942</v>
      </c>
      <c r="G2587" s="122" t="s">
        <v>776</v>
      </c>
      <c r="H2587" s="122" t="s">
        <v>777</v>
      </c>
      <c r="I2587" s="312">
        <v>2018</v>
      </c>
      <c r="J2587" s="122" t="s">
        <v>712</v>
      </c>
      <c r="K2587" s="283">
        <v>19660</v>
      </c>
      <c r="L2587" s="318">
        <v>-33.793303999999999</v>
      </c>
      <c r="M2587" s="318">
        <v>151.11965900000001</v>
      </c>
      <c r="O2587">
        <f>INDEX('MEC - traffic congestion'!$M$145:$M$249,MATCH($D2587,'MEC - traffic congestion'!$C$145:$C$249,0))</f>
        <v>1</v>
      </c>
      <c r="P2587" t="str">
        <f t="shared" si="116"/>
        <v>2018PUBLIC HOLIDAYS</v>
      </c>
      <c r="Q2587">
        <f t="shared" si="117"/>
        <v>1</v>
      </c>
      <c r="R2587" s="195" t="str">
        <f t="shared" si="118"/>
        <v>2018LIGHT VEHICLES</v>
      </c>
    </row>
    <row r="2588" spans="3:18" x14ac:dyDescent="0.25">
      <c r="C2588" s="294" t="s">
        <v>941</v>
      </c>
      <c r="D2588" s="317">
        <v>7270</v>
      </c>
      <c r="E2588" s="122" t="s">
        <v>836</v>
      </c>
      <c r="F2588" s="122" t="s">
        <v>942</v>
      </c>
      <c r="G2588" s="122" t="s">
        <v>776</v>
      </c>
      <c r="H2588" s="122" t="s">
        <v>777</v>
      </c>
      <c r="I2588" s="312">
        <v>2018</v>
      </c>
      <c r="J2588" s="122" t="s">
        <v>713</v>
      </c>
      <c r="K2588" s="283">
        <v>23785</v>
      </c>
      <c r="L2588" s="318">
        <v>-33.793303999999999</v>
      </c>
      <c r="M2588" s="318">
        <v>151.11965900000001</v>
      </c>
      <c r="O2588">
        <f>INDEX('MEC - traffic congestion'!$M$145:$M$249,MATCH($D2588,'MEC - traffic congestion'!$C$145:$C$249,0))</f>
        <v>1</v>
      </c>
      <c r="P2588" t="str">
        <f t="shared" si="116"/>
        <v>2018WEEKENDS</v>
      </c>
      <c r="Q2588">
        <f t="shared" si="117"/>
        <v>1</v>
      </c>
      <c r="R2588" s="195" t="str">
        <f t="shared" si="118"/>
        <v>2018LIGHT VEHICLES</v>
      </c>
    </row>
    <row r="2589" spans="3:18" x14ac:dyDescent="0.25">
      <c r="C2589" s="294" t="s">
        <v>941</v>
      </c>
      <c r="D2589" s="317">
        <v>7270</v>
      </c>
      <c r="E2589" s="122" t="s">
        <v>836</v>
      </c>
      <c r="F2589" s="122" t="s">
        <v>942</v>
      </c>
      <c r="G2589" s="122" t="s">
        <v>776</v>
      </c>
      <c r="H2589" s="122" t="s">
        <v>777</v>
      </c>
      <c r="I2589" s="312">
        <v>2019</v>
      </c>
      <c r="J2589" s="122" t="s">
        <v>709</v>
      </c>
      <c r="K2589" s="283">
        <v>5996</v>
      </c>
      <c r="L2589" s="318">
        <v>-33.793303999999999</v>
      </c>
      <c r="M2589" s="318">
        <v>151.11965900000001</v>
      </c>
      <c r="O2589">
        <f>INDEX('MEC - traffic congestion'!$M$145:$M$249,MATCH($D2589,'MEC - traffic congestion'!$C$145:$C$249,0))</f>
        <v>1</v>
      </c>
      <c r="P2589" t="str">
        <f t="shared" si="116"/>
        <v>2019AM PEAK</v>
      </c>
      <c r="Q2589">
        <f t="shared" si="117"/>
        <v>1</v>
      </c>
      <c r="R2589" s="195" t="str">
        <f t="shared" si="118"/>
        <v>2019LIGHT VEHICLES</v>
      </c>
    </row>
    <row r="2590" spans="3:18" x14ac:dyDescent="0.25">
      <c r="C2590" s="294" t="s">
        <v>941</v>
      </c>
      <c r="D2590" s="317">
        <v>7270</v>
      </c>
      <c r="E2590" s="122" t="s">
        <v>836</v>
      </c>
      <c r="F2590" s="122" t="s">
        <v>942</v>
      </c>
      <c r="G2590" s="122" t="s">
        <v>776</v>
      </c>
      <c r="H2590" s="122" t="s">
        <v>777</v>
      </c>
      <c r="I2590" s="312">
        <v>2019</v>
      </c>
      <c r="J2590" s="122" t="s">
        <v>710</v>
      </c>
      <c r="K2590" s="283">
        <v>12137</v>
      </c>
      <c r="L2590" s="318">
        <v>-33.793303999999999</v>
      </c>
      <c r="M2590" s="318">
        <v>151.11965900000001</v>
      </c>
      <c r="O2590">
        <f>INDEX('MEC - traffic congestion'!$M$145:$M$249,MATCH($D2590,'MEC - traffic congestion'!$C$145:$C$249,0))</f>
        <v>1</v>
      </c>
      <c r="P2590" t="str">
        <f t="shared" si="116"/>
        <v>2019OFF PEAK</v>
      </c>
      <c r="Q2590">
        <f t="shared" si="117"/>
        <v>1</v>
      </c>
      <c r="R2590" s="195" t="str">
        <f t="shared" si="118"/>
        <v>2019LIGHT VEHICLES</v>
      </c>
    </row>
    <row r="2591" spans="3:18" x14ac:dyDescent="0.25">
      <c r="C2591" s="294" t="s">
        <v>941</v>
      </c>
      <c r="D2591" s="317">
        <v>7270</v>
      </c>
      <c r="E2591" s="122" t="s">
        <v>836</v>
      </c>
      <c r="F2591" s="122" t="s">
        <v>942</v>
      </c>
      <c r="G2591" s="122" t="s">
        <v>776</v>
      </c>
      <c r="H2591" s="122" t="s">
        <v>777</v>
      </c>
      <c r="I2591" s="312">
        <v>2019</v>
      </c>
      <c r="J2591" s="122" t="s">
        <v>711</v>
      </c>
      <c r="K2591" s="283">
        <v>4598</v>
      </c>
      <c r="L2591" s="318">
        <v>-33.793303999999999</v>
      </c>
      <c r="M2591" s="318">
        <v>151.11965900000001</v>
      </c>
      <c r="O2591">
        <f>INDEX('MEC - traffic congestion'!$M$145:$M$249,MATCH($D2591,'MEC - traffic congestion'!$C$145:$C$249,0))</f>
        <v>1</v>
      </c>
      <c r="P2591" t="str">
        <f t="shared" si="116"/>
        <v>2019PM PEAK</v>
      </c>
      <c r="Q2591">
        <f t="shared" si="117"/>
        <v>1</v>
      </c>
      <c r="R2591" s="195" t="str">
        <f t="shared" si="118"/>
        <v>2019LIGHT VEHICLES</v>
      </c>
    </row>
    <row r="2592" spans="3:18" x14ac:dyDescent="0.25">
      <c r="C2592" s="294" t="s">
        <v>941</v>
      </c>
      <c r="D2592" s="317">
        <v>7270</v>
      </c>
      <c r="E2592" s="122" t="s">
        <v>836</v>
      </c>
      <c r="F2592" s="122" t="s">
        <v>942</v>
      </c>
      <c r="G2592" s="122" t="s">
        <v>776</v>
      </c>
      <c r="H2592" s="122" t="s">
        <v>777</v>
      </c>
      <c r="I2592" s="312">
        <v>2019</v>
      </c>
      <c r="J2592" s="122" t="s">
        <v>712</v>
      </c>
      <c r="K2592" s="283">
        <v>19753</v>
      </c>
      <c r="L2592" s="318">
        <v>-33.793303999999999</v>
      </c>
      <c r="M2592" s="318">
        <v>151.11965900000001</v>
      </c>
      <c r="O2592">
        <f>INDEX('MEC - traffic congestion'!$M$145:$M$249,MATCH($D2592,'MEC - traffic congestion'!$C$145:$C$249,0))</f>
        <v>1</v>
      </c>
      <c r="P2592" t="str">
        <f t="shared" si="116"/>
        <v>2019PUBLIC HOLIDAYS</v>
      </c>
      <c r="Q2592">
        <f t="shared" si="117"/>
        <v>1</v>
      </c>
      <c r="R2592" s="195" t="str">
        <f t="shared" si="118"/>
        <v>2019LIGHT VEHICLES</v>
      </c>
    </row>
    <row r="2593" spans="3:18" x14ac:dyDescent="0.25">
      <c r="C2593" s="294" t="s">
        <v>941</v>
      </c>
      <c r="D2593" s="317">
        <v>7270</v>
      </c>
      <c r="E2593" s="122" t="s">
        <v>836</v>
      </c>
      <c r="F2593" s="122" t="s">
        <v>942</v>
      </c>
      <c r="G2593" s="122" t="s">
        <v>776</v>
      </c>
      <c r="H2593" s="122" t="s">
        <v>777</v>
      </c>
      <c r="I2593" s="312">
        <v>2019</v>
      </c>
      <c r="J2593" s="122" t="s">
        <v>713</v>
      </c>
      <c r="K2593" s="283">
        <v>23314</v>
      </c>
      <c r="L2593" s="318">
        <v>-33.793303999999999</v>
      </c>
      <c r="M2593" s="318">
        <v>151.11965900000001</v>
      </c>
      <c r="O2593">
        <f>INDEX('MEC - traffic congestion'!$M$145:$M$249,MATCH($D2593,'MEC - traffic congestion'!$C$145:$C$249,0))</f>
        <v>1</v>
      </c>
      <c r="P2593" t="str">
        <f t="shared" si="116"/>
        <v>2019WEEKENDS</v>
      </c>
      <c r="Q2593">
        <f t="shared" si="117"/>
        <v>1</v>
      </c>
      <c r="R2593" s="195" t="str">
        <f t="shared" si="118"/>
        <v>2019LIGHT VEHICLES</v>
      </c>
    </row>
    <row r="2594" spans="3:18" x14ac:dyDescent="0.25">
      <c r="C2594" s="294" t="s">
        <v>941</v>
      </c>
      <c r="D2594" s="317">
        <v>7270</v>
      </c>
      <c r="E2594" s="122" t="s">
        <v>836</v>
      </c>
      <c r="F2594" s="122" t="s">
        <v>942</v>
      </c>
      <c r="G2594" s="122" t="s">
        <v>776</v>
      </c>
      <c r="H2594" s="122" t="s">
        <v>777</v>
      </c>
      <c r="I2594" s="312">
        <v>2020</v>
      </c>
      <c r="J2594" s="122" t="s">
        <v>709</v>
      </c>
      <c r="K2594" s="283">
        <v>6352</v>
      </c>
      <c r="L2594" s="318">
        <v>-33.793303999999999</v>
      </c>
      <c r="M2594" s="318">
        <v>151.11965900000001</v>
      </c>
      <c r="O2594">
        <f>INDEX('MEC - traffic congestion'!$M$145:$M$249,MATCH($D2594,'MEC - traffic congestion'!$C$145:$C$249,0))</f>
        <v>1</v>
      </c>
      <c r="P2594" t="str">
        <f t="shared" si="116"/>
        <v>2020AM PEAK</v>
      </c>
      <c r="Q2594">
        <f t="shared" si="117"/>
        <v>1</v>
      </c>
      <c r="R2594" s="195" t="str">
        <f t="shared" si="118"/>
        <v>2020LIGHT VEHICLES</v>
      </c>
    </row>
    <row r="2595" spans="3:18" x14ac:dyDescent="0.25">
      <c r="C2595" s="294" t="s">
        <v>941</v>
      </c>
      <c r="D2595" s="317">
        <v>7270</v>
      </c>
      <c r="E2595" s="122" t="s">
        <v>836</v>
      </c>
      <c r="F2595" s="122" t="s">
        <v>942</v>
      </c>
      <c r="G2595" s="122" t="s">
        <v>776</v>
      </c>
      <c r="H2595" s="122" t="s">
        <v>777</v>
      </c>
      <c r="I2595" s="312">
        <v>2020</v>
      </c>
      <c r="J2595" s="122" t="s">
        <v>710</v>
      </c>
      <c r="K2595" s="283">
        <v>11180</v>
      </c>
      <c r="L2595" s="318">
        <v>-33.793303999999999</v>
      </c>
      <c r="M2595" s="318">
        <v>151.11965900000001</v>
      </c>
      <c r="O2595">
        <f>INDEX('MEC - traffic congestion'!$M$145:$M$249,MATCH($D2595,'MEC - traffic congestion'!$C$145:$C$249,0))</f>
        <v>1</v>
      </c>
      <c r="P2595" t="str">
        <f t="shared" si="116"/>
        <v>2020OFF PEAK</v>
      </c>
      <c r="Q2595">
        <f t="shared" si="117"/>
        <v>1</v>
      </c>
      <c r="R2595" s="195" t="str">
        <f t="shared" si="118"/>
        <v>2020LIGHT VEHICLES</v>
      </c>
    </row>
    <row r="2596" spans="3:18" x14ac:dyDescent="0.25">
      <c r="C2596" s="294" t="s">
        <v>941</v>
      </c>
      <c r="D2596" s="317">
        <v>7270</v>
      </c>
      <c r="E2596" s="122" t="s">
        <v>836</v>
      </c>
      <c r="F2596" s="122" t="s">
        <v>942</v>
      </c>
      <c r="G2596" s="122" t="s">
        <v>776</v>
      </c>
      <c r="H2596" s="122" t="s">
        <v>777</v>
      </c>
      <c r="I2596" s="312">
        <v>2020</v>
      </c>
      <c r="J2596" s="122" t="s">
        <v>711</v>
      </c>
      <c r="K2596" s="283">
        <v>5135</v>
      </c>
      <c r="L2596" s="318">
        <v>-33.793303999999999</v>
      </c>
      <c r="M2596" s="318">
        <v>151.11965900000001</v>
      </c>
      <c r="O2596">
        <f>INDEX('MEC - traffic congestion'!$M$145:$M$249,MATCH($D2596,'MEC - traffic congestion'!$C$145:$C$249,0))</f>
        <v>1</v>
      </c>
      <c r="P2596" t="str">
        <f t="shared" si="116"/>
        <v>2020PM PEAK</v>
      </c>
      <c r="Q2596">
        <f t="shared" si="117"/>
        <v>1</v>
      </c>
      <c r="R2596" s="195" t="str">
        <f t="shared" si="118"/>
        <v>2020LIGHT VEHICLES</v>
      </c>
    </row>
    <row r="2597" spans="3:18" x14ac:dyDescent="0.25">
      <c r="C2597" s="294" t="s">
        <v>941</v>
      </c>
      <c r="D2597" s="317">
        <v>7270</v>
      </c>
      <c r="E2597" s="122" t="s">
        <v>836</v>
      </c>
      <c r="F2597" s="122" t="s">
        <v>942</v>
      </c>
      <c r="G2597" s="122" t="s">
        <v>776</v>
      </c>
      <c r="H2597" s="122" t="s">
        <v>777</v>
      </c>
      <c r="I2597" s="312">
        <v>2020</v>
      </c>
      <c r="J2597" s="122" t="s">
        <v>712</v>
      </c>
      <c r="K2597" s="283">
        <v>14616</v>
      </c>
      <c r="L2597" s="318">
        <v>-33.793303999999999</v>
      </c>
      <c r="M2597" s="318">
        <v>151.11965900000001</v>
      </c>
      <c r="O2597">
        <f>INDEX('MEC - traffic congestion'!$M$145:$M$249,MATCH($D2597,'MEC - traffic congestion'!$C$145:$C$249,0))</f>
        <v>1</v>
      </c>
      <c r="P2597" t="str">
        <f t="shared" si="116"/>
        <v>2020PUBLIC HOLIDAYS</v>
      </c>
      <c r="Q2597">
        <f t="shared" si="117"/>
        <v>1</v>
      </c>
      <c r="R2597" s="195" t="str">
        <f t="shared" si="118"/>
        <v>2020LIGHT VEHICLES</v>
      </c>
    </row>
    <row r="2598" spans="3:18" x14ac:dyDescent="0.25">
      <c r="C2598" s="294" t="s">
        <v>941</v>
      </c>
      <c r="D2598" s="317">
        <v>7270</v>
      </c>
      <c r="E2598" s="122" t="s">
        <v>836</v>
      </c>
      <c r="F2598" s="122" t="s">
        <v>942</v>
      </c>
      <c r="G2598" s="122" t="s">
        <v>776</v>
      </c>
      <c r="H2598" s="122" t="s">
        <v>777</v>
      </c>
      <c r="I2598" s="312">
        <v>2020</v>
      </c>
      <c r="J2598" s="122" t="s">
        <v>713</v>
      </c>
      <c r="K2598" s="283">
        <v>20924</v>
      </c>
      <c r="L2598" s="318">
        <v>-33.793303999999999</v>
      </c>
      <c r="M2598" s="318">
        <v>151.11965900000001</v>
      </c>
      <c r="O2598">
        <f>INDEX('MEC - traffic congestion'!$M$145:$M$249,MATCH($D2598,'MEC - traffic congestion'!$C$145:$C$249,0))</f>
        <v>1</v>
      </c>
      <c r="P2598" t="str">
        <f t="shared" si="116"/>
        <v>2020WEEKENDS</v>
      </c>
      <c r="Q2598">
        <f t="shared" si="117"/>
        <v>1</v>
      </c>
      <c r="R2598" s="195" t="str">
        <f t="shared" si="118"/>
        <v>2020LIGHT VEHICLES</v>
      </c>
    </row>
    <row r="2599" spans="3:18" x14ac:dyDescent="0.25">
      <c r="C2599" s="294" t="s">
        <v>941</v>
      </c>
      <c r="D2599" s="317">
        <v>7270</v>
      </c>
      <c r="E2599" s="122" t="s">
        <v>836</v>
      </c>
      <c r="F2599" s="122" t="s">
        <v>942</v>
      </c>
      <c r="G2599" s="122" t="s">
        <v>776</v>
      </c>
      <c r="H2599" s="122" t="s">
        <v>777</v>
      </c>
      <c r="I2599" s="312">
        <v>2021</v>
      </c>
      <c r="J2599" s="122" t="s">
        <v>709</v>
      </c>
      <c r="K2599" s="283">
        <v>5781</v>
      </c>
      <c r="L2599" s="318">
        <v>-33.793303999999999</v>
      </c>
      <c r="M2599" s="318">
        <v>151.11965900000001</v>
      </c>
      <c r="O2599">
        <f>INDEX('MEC - traffic congestion'!$M$145:$M$249,MATCH($D2599,'MEC - traffic congestion'!$C$145:$C$249,0))</f>
        <v>1</v>
      </c>
      <c r="P2599" t="str">
        <f t="shared" si="116"/>
        <v>2021AM PEAK</v>
      </c>
      <c r="Q2599">
        <f t="shared" si="117"/>
        <v>1</v>
      </c>
      <c r="R2599" s="195" t="str">
        <f t="shared" si="118"/>
        <v>2021LIGHT VEHICLES</v>
      </c>
    </row>
    <row r="2600" spans="3:18" x14ac:dyDescent="0.25">
      <c r="C2600" s="294" t="s">
        <v>941</v>
      </c>
      <c r="D2600" s="317">
        <v>7270</v>
      </c>
      <c r="E2600" s="122" t="s">
        <v>836</v>
      </c>
      <c r="F2600" s="122" t="s">
        <v>942</v>
      </c>
      <c r="G2600" s="122" t="s">
        <v>776</v>
      </c>
      <c r="H2600" s="122" t="s">
        <v>777</v>
      </c>
      <c r="I2600" s="312">
        <v>2021</v>
      </c>
      <c r="J2600" s="122" t="s">
        <v>710</v>
      </c>
      <c r="K2600" s="283">
        <v>10239</v>
      </c>
      <c r="L2600" s="318">
        <v>-33.793303999999999</v>
      </c>
      <c r="M2600" s="318">
        <v>151.11965900000001</v>
      </c>
      <c r="O2600">
        <f>INDEX('MEC - traffic congestion'!$M$145:$M$249,MATCH($D2600,'MEC - traffic congestion'!$C$145:$C$249,0))</f>
        <v>1</v>
      </c>
      <c r="P2600" t="str">
        <f t="shared" si="116"/>
        <v>2021OFF PEAK</v>
      </c>
      <c r="Q2600">
        <f t="shared" si="117"/>
        <v>1</v>
      </c>
      <c r="R2600" s="195" t="str">
        <f t="shared" si="118"/>
        <v>2021LIGHT VEHICLES</v>
      </c>
    </row>
    <row r="2601" spans="3:18" x14ac:dyDescent="0.25">
      <c r="C2601" s="294" t="s">
        <v>941</v>
      </c>
      <c r="D2601" s="317">
        <v>7270</v>
      </c>
      <c r="E2601" s="122" t="s">
        <v>836</v>
      </c>
      <c r="F2601" s="122" t="s">
        <v>942</v>
      </c>
      <c r="G2601" s="122" t="s">
        <v>776</v>
      </c>
      <c r="H2601" s="122" t="s">
        <v>777</v>
      </c>
      <c r="I2601" s="312">
        <v>2021</v>
      </c>
      <c r="J2601" s="122" t="s">
        <v>711</v>
      </c>
      <c r="K2601" s="283">
        <v>4815</v>
      </c>
      <c r="L2601" s="318">
        <v>-33.793303999999999</v>
      </c>
      <c r="M2601" s="318">
        <v>151.11965900000001</v>
      </c>
      <c r="O2601">
        <f>INDEX('MEC - traffic congestion'!$M$145:$M$249,MATCH($D2601,'MEC - traffic congestion'!$C$145:$C$249,0))</f>
        <v>1</v>
      </c>
      <c r="P2601" t="str">
        <f t="shared" si="116"/>
        <v>2021PM PEAK</v>
      </c>
      <c r="Q2601">
        <f t="shared" si="117"/>
        <v>1</v>
      </c>
      <c r="R2601" s="195" t="str">
        <f t="shared" si="118"/>
        <v>2021LIGHT VEHICLES</v>
      </c>
    </row>
    <row r="2602" spans="3:18" x14ac:dyDescent="0.25">
      <c r="C2602" s="294" t="s">
        <v>941</v>
      </c>
      <c r="D2602" s="317">
        <v>7270</v>
      </c>
      <c r="E2602" s="122" t="s">
        <v>836</v>
      </c>
      <c r="F2602" s="122" t="s">
        <v>942</v>
      </c>
      <c r="G2602" s="122" t="s">
        <v>776</v>
      </c>
      <c r="H2602" s="122" t="s">
        <v>777</v>
      </c>
      <c r="I2602" s="312">
        <v>2021</v>
      </c>
      <c r="J2602" s="122" t="s">
        <v>713</v>
      </c>
      <c r="K2602" s="283">
        <v>18904</v>
      </c>
      <c r="L2602" s="318">
        <v>-33.793303999999999</v>
      </c>
      <c r="M2602" s="318">
        <v>151.11965900000001</v>
      </c>
      <c r="O2602">
        <f>INDEX('MEC - traffic congestion'!$M$145:$M$249,MATCH($D2602,'MEC - traffic congestion'!$C$145:$C$249,0))</f>
        <v>1</v>
      </c>
      <c r="P2602" t="str">
        <f t="shared" si="116"/>
        <v>2021WEEKENDS</v>
      </c>
      <c r="Q2602">
        <f t="shared" si="117"/>
        <v>1</v>
      </c>
      <c r="R2602" s="195" t="str">
        <f t="shared" si="118"/>
        <v>2021LIGHT VEHICLES</v>
      </c>
    </row>
    <row r="2603" spans="3:18" x14ac:dyDescent="0.25">
      <c r="C2603" s="294" t="s">
        <v>941</v>
      </c>
      <c r="D2603" s="317">
        <v>7270</v>
      </c>
      <c r="E2603" s="122" t="s">
        <v>836</v>
      </c>
      <c r="F2603" s="122" t="s">
        <v>942</v>
      </c>
      <c r="G2603" s="122" t="s">
        <v>776</v>
      </c>
      <c r="H2603" s="122" t="s">
        <v>777</v>
      </c>
      <c r="I2603" s="312">
        <v>2022</v>
      </c>
      <c r="J2603" s="122" t="s">
        <v>709</v>
      </c>
      <c r="K2603" s="283">
        <v>5895</v>
      </c>
      <c r="L2603" s="318">
        <v>-33.793303999999999</v>
      </c>
      <c r="M2603" s="318">
        <v>151.11965900000001</v>
      </c>
      <c r="O2603">
        <f>INDEX('MEC - traffic congestion'!$M$145:$M$249,MATCH($D2603,'MEC - traffic congestion'!$C$145:$C$249,0))</f>
        <v>1</v>
      </c>
      <c r="P2603" t="str">
        <f t="shared" si="116"/>
        <v>2022AM PEAK</v>
      </c>
      <c r="Q2603">
        <f t="shared" si="117"/>
        <v>1</v>
      </c>
      <c r="R2603" s="195" t="str">
        <f t="shared" si="118"/>
        <v>2022LIGHT VEHICLES</v>
      </c>
    </row>
    <row r="2604" spans="3:18" x14ac:dyDescent="0.25">
      <c r="C2604" s="294" t="s">
        <v>941</v>
      </c>
      <c r="D2604" s="317">
        <v>7270</v>
      </c>
      <c r="E2604" s="122" t="s">
        <v>836</v>
      </c>
      <c r="F2604" s="122" t="s">
        <v>942</v>
      </c>
      <c r="G2604" s="122" t="s">
        <v>776</v>
      </c>
      <c r="H2604" s="122" t="s">
        <v>777</v>
      </c>
      <c r="I2604" s="312">
        <v>2022</v>
      </c>
      <c r="J2604" s="122" t="s">
        <v>710</v>
      </c>
      <c r="K2604" s="283">
        <v>11150</v>
      </c>
      <c r="L2604" s="318">
        <v>-33.793303999999999</v>
      </c>
      <c r="M2604" s="318">
        <v>151.11965900000001</v>
      </c>
      <c r="O2604">
        <f>INDEX('MEC - traffic congestion'!$M$145:$M$249,MATCH($D2604,'MEC - traffic congestion'!$C$145:$C$249,0))</f>
        <v>1</v>
      </c>
      <c r="P2604" t="str">
        <f t="shared" si="116"/>
        <v>2022OFF PEAK</v>
      </c>
      <c r="Q2604">
        <f t="shared" si="117"/>
        <v>1</v>
      </c>
      <c r="R2604" s="195" t="str">
        <f t="shared" si="118"/>
        <v>2022LIGHT VEHICLES</v>
      </c>
    </row>
    <row r="2605" spans="3:18" x14ac:dyDescent="0.25">
      <c r="C2605" s="294" t="s">
        <v>941</v>
      </c>
      <c r="D2605" s="317">
        <v>7270</v>
      </c>
      <c r="E2605" s="122" t="s">
        <v>836</v>
      </c>
      <c r="F2605" s="122" t="s">
        <v>942</v>
      </c>
      <c r="G2605" s="122" t="s">
        <v>776</v>
      </c>
      <c r="H2605" s="122" t="s">
        <v>777</v>
      </c>
      <c r="I2605" s="312">
        <v>2022</v>
      </c>
      <c r="J2605" s="122" t="s">
        <v>711</v>
      </c>
      <c r="K2605" s="283">
        <v>5346</v>
      </c>
      <c r="L2605" s="318">
        <v>-33.793303999999999</v>
      </c>
      <c r="M2605" s="318">
        <v>151.11965900000001</v>
      </c>
      <c r="O2605">
        <f>INDEX('MEC - traffic congestion'!$M$145:$M$249,MATCH($D2605,'MEC - traffic congestion'!$C$145:$C$249,0))</f>
        <v>1</v>
      </c>
      <c r="P2605" t="str">
        <f t="shared" si="116"/>
        <v>2022PM PEAK</v>
      </c>
      <c r="Q2605">
        <f t="shared" si="117"/>
        <v>1</v>
      </c>
      <c r="R2605" s="195" t="str">
        <f t="shared" si="118"/>
        <v>2022LIGHT VEHICLES</v>
      </c>
    </row>
    <row r="2606" spans="3:18" x14ac:dyDescent="0.25">
      <c r="C2606" s="294" t="s">
        <v>941</v>
      </c>
      <c r="D2606" s="317">
        <v>7270</v>
      </c>
      <c r="E2606" s="122" t="s">
        <v>836</v>
      </c>
      <c r="F2606" s="122" t="s">
        <v>942</v>
      </c>
      <c r="G2606" s="122" t="s">
        <v>776</v>
      </c>
      <c r="H2606" s="122" t="s">
        <v>777</v>
      </c>
      <c r="I2606" s="312">
        <v>2022</v>
      </c>
      <c r="J2606" s="122" t="s">
        <v>713</v>
      </c>
      <c r="K2606" s="283">
        <v>21724</v>
      </c>
      <c r="L2606" s="318">
        <v>-33.793303999999999</v>
      </c>
      <c r="M2606" s="318">
        <v>151.11965900000001</v>
      </c>
      <c r="O2606">
        <f>INDEX('MEC - traffic congestion'!$M$145:$M$249,MATCH($D2606,'MEC - traffic congestion'!$C$145:$C$249,0))</f>
        <v>1</v>
      </c>
      <c r="P2606" t="str">
        <f t="shared" si="116"/>
        <v>2022WEEKENDS</v>
      </c>
      <c r="Q2606">
        <f t="shared" si="117"/>
        <v>1</v>
      </c>
      <c r="R2606" s="195" t="str">
        <f t="shared" si="118"/>
        <v>2022LIGHT VEHICLES</v>
      </c>
    </row>
    <row r="2607" spans="3:18" x14ac:dyDescent="0.25">
      <c r="C2607" s="294" t="s">
        <v>941</v>
      </c>
      <c r="D2607" s="317">
        <v>7270</v>
      </c>
      <c r="E2607" s="122" t="s">
        <v>836</v>
      </c>
      <c r="F2607" s="122" t="s">
        <v>942</v>
      </c>
      <c r="G2607" s="122" t="s">
        <v>776</v>
      </c>
      <c r="H2607" s="122" t="s">
        <v>777</v>
      </c>
      <c r="I2607" s="312">
        <v>2023</v>
      </c>
      <c r="J2607" s="122" t="s">
        <v>709</v>
      </c>
      <c r="K2607" s="283">
        <v>6223</v>
      </c>
      <c r="L2607" s="318">
        <v>-33.793303999999999</v>
      </c>
      <c r="M2607" s="318">
        <v>151.11965900000001</v>
      </c>
      <c r="O2607">
        <f>INDEX('MEC - traffic congestion'!$M$145:$M$249,MATCH($D2607,'MEC - traffic congestion'!$C$145:$C$249,0))</f>
        <v>1</v>
      </c>
      <c r="P2607" t="str">
        <f t="shared" si="116"/>
        <v>2023AM PEAK</v>
      </c>
      <c r="Q2607">
        <f t="shared" si="117"/>
        <v>1</v>
      </c>
      <c r="R2607" s="195" t="str">
        <f t="shared" si="118"/>
        <v>2023LIGHT VEHICLES</v>
      </c>
    </row>
    <row r="2608" spans="3:18" x14ac:dyDescent="0.25">
      <c r="C2608" s="294" t="s">
        <v>941</v>
      </c>
      <c r="D2608" s="317">
        <v>7270</v>
      </c>
      <c r="E2608" s="122" t="s">
        <v>836</v>
      </c>
      <c r="F2608" s="122" t="s">
        <v>942</v>
      </c>
      <c r="G2608" s="122" t="s">
        <v>776</v>
      </c>
      <c r="H2608" s="122" t="s">
        <v>777</v>
      </c>
      <c r="I2608" s="312">
        <v>2023</v>
      </c>
      <c r="J2608" s="122" t="s">
        <v>710</v>
      </c>
      <c r="K2608" s="283">
        <v>11766</v>
      </c>
      <c r="L2608" s="318">
        <v>-33.793303999999999</v>
      </c>
      <c r="M2608" s="318">
        <v>151.11965900000001</v>
      </c>
      <c r="O2608">
        <f>INDEX('MEC - traffic congestion'!$M$145:$M$249,MATCH($D2608,'MEC - traffic congestion'!$C$145:$C$249,0))</f>
        <v>1</v>
      </c>
      <c r="P2608" t="str">
        <f t="shared" si="116"/>
        <v>2023OFF PEAK</v>
      </c>
      <c r="Q2608">
        <f t="shared" si="117"/>
        <v>1</v>
      </c>
      <c r="R2608" s="195" t="str">
        <f t="shared" si="118"/>
        <v>2023LIGHT VEHICLES</v>
      </c>
    </row>
    <row r="2609" spans="3:18" x14ac:dyDescent="0.25">
      <c r="C2609" s="294" t="s">
        <v>941</v>
      </c>
      <c r="D2609" s="317">
        <v>7270</v>
      </c>
      <c r="E2609" s="122" t="s">
        <v>836</v>
      </c>
      <c r="F2609" s="122" t="s">
        <v>942</v>
      </c>
      <c r="G2609" s="122" t="s">
        <v>776</v>
      </c>
      <c r="H2609" s="122" t="s">
        <v>777</v>
      </c>
      <c r="I2609" s="312">
        <v>2023</v>
      </c>
      <c r="J2609" s="122" t="s">
        <v>711</v>
      </c>
      <c r="K2609" s="283">
        <v>5628</v>
      </c>
      <c r="L2609" s="318">
        <v>-33.793303999999999</v>
      </c>
      <c r="M2609" s="318">
        <v>151.11965900000001</v>
      </c>
      <c r="O2609">
        <f>INDEX('MEC - traffic congestion'!$M$145:$M$249,MATCH($D2609,'MEC - traffic congestion'!$C$145:$C$249,0))</f>
        <v>1</v>
      </c>
      <c r="P2609" t="str">
        <f t="shared" si="116"/>
        <v>2023PM PEAK</v>
      </c>
      <c r="Q2609">
        <f t="shared" si="117"/>
        <v>1</v>
      </c>
      <c r="R2609" s="195" t="str">
        <f t="shared" si="118"/>
        <v>2023LIGHT VEHICLES</v>
      </c>
    </row>
    <row r="2610" spans="3:18" x14ac:dyDescent="0.25">
      <c r="C2610" s="294" t="s">
        <v>941</v>
      </c>
      <c r="D2610" s="317">
        <v>7270</v>
      </c>
      <c r="E2610" s="122" t="s">
        <v>836</v>
      </c>
      <c r="F2610" s="122" t="s">
        <v>942</v>
      </c>
      <c r="G2610" s="122" t="s">
        <v>776</v>
      </c>
      <c r="H2610" s="122" t="s">
        <v>777</v>
      </c>
      <c r="I2610" s="312">
        <v>2023</v>
      </c>
      <c r="J2610" s="122" t="s">
        <v>713</v>
      </c>
      <c r="K2610" s="283">
        <v>23596</v>
      </c>
      <c r="L2610" s="318">
        <v>-33.793303999999999</v>
      </c>
      <c r="M2610" s="318">
        <v>151.11965900000001</v>
      </c>
      <c r="O2610">
        <f>INDEX('MEC - traffic congestion'!$M$145:$M$249,MATCH($D2610,'MEC - traffic congestion'!$C$145:$C$249,0))</f>
        <v>1</v>
      </c>
      <c r="P2610" t="str">
        <f t="shared" si="116"/>
        <v>2023WEEKENDS</v>
      </c>
      <c r="Q2610">
        <f t="shared" si="117"/>
        <v>1</v>
      </c>
      <c r="R2610" s="195" t="str">
        <f t="shared" si="118"/>
        <v>2023LIGHT VEHICLES</v>
      </c>
    </row>
    <row r="2611" spans="3:18" x14ac:dyDescent="0.25">
      <c r="C2611" s="294" t="s">
        <v>941</v>
      </c>
      <c r="D2611" s="317">
        <v>7270</v>
      </c>
      <c r="E2611" s="122" t="s">
        <v>836</v>
      </c>
      <c r="F2611" s="122" t="s">
        <v>942</v>
      </c>
      <c r="G2611" s="122" t="s">
        <v>776</v>
      </c>
      <c r="H2611" s="122" t="s">
        <v>777</v>
      </c>
      <c r="I2611" s="312">
        <v>2024</v>
      </c>
      <c r="J2611" s="122" t="s">
        <v>709</v>
      </c>
      <c r="K2611" s="283">
        <v>6081</v>
      </c>
      <c r="L2611" s="318">
        <v>-33.793303999999999</v>
      </c>
      <c r="M2611" s="318">
        <v>151.11965900000001</v>
      </c>
      <c r="O2611">
        <f>INDEX('MEC - traffic congestion'!$M$145:$M$249,MATCH($D2611,'MEC - traffic congestion'!$C$145:$C$249,0))</f>
        <v>1</v>
      </c>
      <c r="P2611" t="str">
        <f t="shared" si="116"/>
        <v>2024AM PEAK</v>
      </c>
      <c r="Q2611">
        <f t="shared" si="117"/>
        <v>1</v>
      </c>
      <c r="R2611" s="195" t="str">
        <f t="shared" si="118"/>
        <v>2024LIGHT VEHICLES</v>
      </c>
    </row>
    <row r="2612" spans="3:18" x14ac:dyDescent="0.25">
      <c r="C2612" s="294" t="s">
        <v>941</v>
      </c>
      <c r="D2612" s="317">
        <v>7270</v>
      </c>
      <c r="E2612" s="122" t="s">
        <v>836</v>
      </c>
      <c r="F2612" s="122" t="s">
        <v>942</v>
      </c>
      <c r="G2612" s="122" t="s">
        <v>776</v>
      </c>
      <c r="H2612" s="122" t="s">
        <v>777</v>
      </c>
      <c r="I2612" s="312">
        <v>2024</v>
      </c>
      <c r="J2612" s="122" t="s">
        <v>710</v>
      </c>
      <c r="K2612" s="283">
        <v>11727</v>
      </c>
      <c r="L2612" s="318">
        <v>-33.793303999999999</v>
      </c>
      <c r="M2612" s="318">
        <v>151.11965900000001</v>
      </c>
      <c r="O2612">
        <f>INDEX('MEC - traffic congestion'!$M$145:$M$249,MATCH($D2612,'MEC - traffic congestion'!$C$145:$C$249,0))</f>
        <v>1</v>
      </c>
      <c r="P2612" t="str">
        <f t="shared" si="116"/>
        <v>2024OFF PEAK</v>
      </c>
      <c r="Q2612">
        <f t="shared" si="117"/>
        <v>1</v>
      </c>
      <c r="R2612" s="195" t="str">
        <f t="shared" si="118"/>
        <v>2024LIGHT VEHICLES</v>
      </c>
    </row>
    <row r="2613" spans="3:18" x14ac:dyDescent="0.25">
      <c r="C2613" s="294" t="s">
        <v>941</v>
      </c>
      <c r="D2613" s="317">
        <v>7270</v>
      </c>
      <c r="E2613" s="122" t="s">
        <v>836</v>
      </c>
      <c r="F2613" s="122" t="s">
        <v>942</v>
      </c>
      <c r="G2613" s="122" t="s">
        <v>776</v>
      </c>
      <c r="H2613" s="122" t="s">
        <v>777</v>
      </c>
      <c r="I2613" s="312">
        <v>2024</v>
      </c>
      <c r="J2613" s="122" t="s">
        <v>711</v>
      </c>
      <c r="K2613" s="283">
        <v>5119</v>
      </c>
      <c r="L2613" s="318">
        <v>-33.793303999999999</v>
      </c>
      <c r="M2613" s="318">
        <v>151.11965900000001</v>
      </c>
      <c r="O2613">
        <f>INDEX('MEC - traffic congestion'!$M$145:$M$249,MATCH($D2613,'MEC - traffic congestion'!$C$145:$C$249,0))</f>
        <v>1</v>
      </c>
      <c r="P2613" t="str">
        <f t="shared" si="116"/>
        <v>2024PM PEAK</v>
      </c>
      <c r="Q2613">
        <f t="shared" si="117"/>
        <v>1</v>
      </c>
      <c r="R2613" s="195" t="str">
        <f t="shared" si="118"/>
        <v>2024LIGHT VEHICLES</v>
      </c>
    </row>
    <row r="2614" spans="3:18" x14ac:dyDescent="0.25">
      <c r="C2614" s="294" t="s">
        <v>941</v>
      </c>
      <c r="D2614" s="317">
        <v>7270</v>
      </c>
      <c r="E2614" s="122" t="s">
        <v>836</v>
      </c>
      <c r="F2614" s="122" t="s">
        <v>942</v>
      </c>
      <c r="G2614" s="122" t="s">
        <v>776</v>
      </c>
      <c r="H2614" s="122" t="s">
        <v>777</v>
      </c>
      <c r="I2614" s="312">
        <v>2024</v>
      </c>
      <c r="J2614" s="122" t="s">
        <v>713</v>
      </c>
      <c r="K2614" s="283">
        <v>23952</v>
      </c>
      <c r="L2614" s="318">
        <v>-33.793303999999999</v>
      </c>
      <c r="M2614" s="318">
        <v>151.11965900000001</v>
      </c>
      <c r="O2614">
        <f>INDEX('MEC - traffic congestion'!$M$145:$M$249,MATCH($D2614,'MEC - traffic congestion'!$C$145:$C$249,0))</f>
        <v>1</v>
      </c>
      <c r="P2614" t="str">
        <f t="shared" si="116"/>
        <v>2024WEEKENDS</v>
      </c>
      <c r="Q2614">
        <f t="shared" si="117"/>
        <v>1</v>
      </c>
      <c r="R2614" s="195" t="str">
        <f t="shared" si="118"/>
        <v>2024LIGHT VEHICLES</v>
      </c>
    </row>
    <row r="2615" spans="3:18" x14ac:dyDescent="0.25">
      <c r="C2615" s="294" t="s">
        <v>943</v>
      </c>
      <c r="D2615" s="317">
        <v>7272</v>
      </c>
      <c r="E2615" s="122" t="s">
        <v>944</v>
      </c>
      <c r="F2615" s="122" t="s">
        <v>938</v>
      </c>
      <c r="G2615" s="122" t="s">
        <v>778</v>
      </c>
      <c r="H2615" s="122" t="s">
        <v>777</v>
      </c>
      <c r="I2615" s="312">
        <v>2018</v>
      </c>
      <c r="J2615" s="122" t="s">
        <v>709</v>
      </c>
      <c r="K2615" s="283">
        <v>1807</v>
      </c>
      <c r="L2615" s="318">
        <v>-33.916007999999998</v>
      </c>
      <c r="M2615" s="318">
        <v>151.01400799999999</v>
      </c>
      <c r="O2615">
        <f>INDEX('MEC - traffic congestion'!$M$145:$M$249,MATCH($D2615,'MEC - traffic congestion'!$C$145:$C$249,0))</f>
        <v>1</v>
      </c>
      <c r="P2615" t="str">
        <f t="shared" si="116"/>
        <v>2018AM PEAK</v>
      </c>
      <c r="Q2615">
        <f t="shared" si="117"/>
        <v>1</v>
      </c>
      <c r="R2615" s="195" t="str">
        <f t="shared" si="118"/>
        <v>2018LIGHT VEHICLES</v>
      </c>
    </row>
    <row r="2616" spans="3:18" x14ac:dyDescent="0.25">
      <c r="C2616" s="294" t="s">
        <v>943</v>
      </c>
      <c r="D2616" s="317">
        <v>7272</v>
      </c>
      <c r="E2616" s="122" t="s">
        <v>944</v>
      </c>
      <c r="F2616" s="122" t="s">
        <v>938</v>
      </c>
      <c r="G2616" s="122" t="s">
        <v>778</v>
      </c>
      <c r="H2616" s="122" t="s">
        <v>777</v>
      </c>
      <c r="I2616" s="312">
        <v>2018</v>
      </c>
      <c r="J2616" s="122" t="s">
        <v>710</v>
      </c>
      <c r="K2616" s="283">
        <v>4338</v>
      </c>
      <c r="L2616" s="318">
        <v>-33.916007999999998</v>
      </c>
      <c r="M2616" s="318">
        <v>151.01400799999999</v>
      </c>
      <c r="O2616">
        <f>INDEX('MEC - traffic congestion'!$M$145:$M$249,MATCH($D2616,'MEC - traffic congestion'!$C$145:$C$249,0))</f>
        <v>1</v>
      </c>
      <c r="P2616" t="str">
        <f t="shared" si="116"/>
        <v>2018OFF PEAK</v>
      </c>
      <c r="Q2616">
        <f t="shared" si="117"/>
        <v>1</v>
      </c>
      <c r="R2616" s="195" t="str">
        <f t="shared" si="118"/>
        <v>2018LIGHT VEHICLES</v>
      </c>
    </row>
    <row r="2617" spans="3:18" x14ac:dyDescent="0.25">
      <c r="C2617" s="294" t="s">
        <v>943</v>
      </c>
      <c r="D2617" s="317">
        <v>7272</v>
      </c>
      <c r="E2617" s="122" t="s">
        <v>944</v>
      </c>
      <c r="F2617" s="122" t="s">
        <v>938</v>
      </c>
      <c r="G2617" s="122" t="s">
        <v>778</v>
      </c>
      <c r="H2617" s="122" t="s">
        <v>777</v>
      </c>
      <c r="I2617" s="312">
        <v>2018</v>
      </c>
      <c r="J2617" s="122" t="s">
        <v>711</v>
      </c>
      <c r="K2617" s="283">
        <v>2123</v>
      </c>
      <c r="L2617" s="318">
        <v>-33.916007999999998</v>
      </c>
      <c r="M2617" s="318">
        <v>151.01400799999999</v>
      </c>
      <c r="O2617">
        <f>INDEX('MEC - traffic congestion'!$M$145:$M$249,MATCH($D2617,'MEC - traffic congestion'!$C$145:$C$249,0))</f>
        <v>1</v>
      </c>
      <c r="P2617" t="str">
        <f t="shared" si="116"/>
        <v>2018PM PEAK</v>
      </c>
      <c r="Q2617">
        <f t="shared" si="117"/>
        <v>1</v>
      </c>
      <c r="R2617" s="195" t="str">
        <f t="shared" si="118"/>
        <v>2018LIGHT VEHICLES</v>
      </c>
    </row>
    <row r="2618" spans="3:18" x14ac:dyDescent="0.25">
      <c r="C2618" s="294" t="s">
        <v>943</v>
      </c>
      <c r="D2618" s="317">
        <v>7272</v>
      </c>
      <c r="E2618" s="122" t="s">
        <v>944</v>
      </c>
      <c r="F2618" s="122" t="s">
        <v>938</v>
      </c>
      <c r="G2618" s="122" t="s">
        <v>778</v>
      </c>
      <c r="H2618" s="122" t="s">
        <v>777</v>
      </c>
      <c r="I2618" s="312">
        <v>2018</v>
      </c>
      <c r="J2618" s="122" t="s">
        <v>712</v>
      </c>
      <c r="K2618" s="283">
        <v>6358</v>
      </c>
      <c r="L2618" s="318">
        <v>-33.916007999999998</v>
      </c>
      <c r="M2618" s="318">
        <v>151.01400799999999</v>
      </c>
      <c r="O2618">
        <f>INDEX('MEC - traffic congestion'!$M$145:$M$249,MATCH($D2618,'MEC - traffic congestion'!$C$145:$C$249,0))</f>
        <v>1</v>
      </c>
      <c r="P2618" t="str">
        <f t="shared" si="116"/>
        <v>2018PUBLIC HOLIDAYS</v>
      </c>
      <c r="Q2618">
        <f t="shared" si="117"/>
        <v>1</v>
      </c>
      <c r="R2618" s="195" t="str">
        <f t="shared" si="118"/>
        <v>2018LIGHT VEHICLES</v>
      </c>
    </row>
    <row r="2619" spans="3:18" x14ac:dyDescent="0.25">
      <c r="C2619" s="294" t="s">
        <v>943</v>
      </c>
      <c r="D2619" s="317">
        <v>7272</v>
      </c>
      <c r="E2619" s="122" t="s">
        <v>944</v>
      </c>
      <c r="F2619" s="122" t="s">
        <v>938</v>
      </c>
      <c r="G2619" s="122" t="s">
        <v>778</v>
      </c>
      <c r="H2619" s="122" t="s">
        <v>777</v>
      </c>
      <c r="I2619" s="312">
        <v>2018</v>
      </c>
      <c r="J2619" s="122" t="s">
        <v>713</v>
      </c>
      <c r="K2619" s="283">
        <v>7705</v>
      </c>
      <c r="L2619" s="318">
        <v>-33.916007999999998</v>
      </c>
      <c r="M2619" s="318">
        <v>151.01400799999999</v>
      </c>
      <c r="O2619">
        <f>INDEX('MEC - traffic congestion'!$M$145:$M$249,MATCH($D2619,'MEC - traffic congestion'!$C$145:$C$249,0))</f>
        <v>1</v>
      </c>
      <c r="P2619" t="str">
        <f t="shared" si="116"/>
        <v>2018WEEKENDS</v>
      </c>
      <c r="Q2619">
        <f t="shared" si="117"/>
        <v>1</v>
      </c>
      <c r="R2619" s="195" t="str">
        <f t="shared" si="118"/>
        <v>2018LIGHT VEHICLES</v>
      </c>
    </row>
    <row r="2620" spans="3:18" x14ac:dyDescent="0.25">
      <c r="C2620" s="294" t="s">
        <v>943</v>
      </c>
      <c r="D2620" s="317">
        <v>7272</v>
      </c>
      <c r="E2620" s="122" t="s">
        <v>944</v>
      </c>
      <c r="F2620" s="122" t="s">
        <v>938</v>
      </c>
      <c r="G2620" s="122" t="s">
        <v>778</v>
      </c>
      <c r="H2620" s="122" t="s">
        <v>777</v>
      </c>
      <c r="I2620" s="312">
        <v>2019</v>
      </c>
      <c r="J2620" s="122" t="s">
        <v>709</v>
      </c>
      <c r="K2620" s="283">
        <v>1793</v>
      </c>
      <c r="L2620" s="318">
        <v>-33.916007999999998</v>
      </c>
      <c r="M2620" s="318">
        <v>151.01400799999999</v>
      </c>
      <c r="O2620">
        <f>INDEX('MEC - traffic congestion'!$M$145:$M$249,MATCH($D2620,'MEC - traffic congestion'!$C$145:$C$249,0))</f>
        <v>1</v>
      </c>
      <c r="P2620" t="str">
        <f t="shared" si="116"/>
        <v>2019AM PEAK</v>
      </c>
      <c r="Q2620">
        <f t="shared" si="117"/>
        <v>1</v>
      </c>
      <c r="R2620" s="195" t="str">
        <f t="shared" si="118"/>
        <v>2019LIGHT VEHICLES</v>
      </c>
    </row>
    <row r="2621" spans="3:18" x14ac:dyDescent="0.25">
      <c r="C2621" s="294" t="s">
        <v>943</v>
      </c>
      <c r="D2621" s="317">
        <v>7272</v>
      </c>
      <c r="E2621" s="122" t="s">
        <v>944</v>
      </c>
      <c r="F2621" s="122" t="s">
        <v>938</v>
      </c>
      <c r="G2621" s="122" t="s">
        <v>778</v>
      </c>
      <c r="H2621" s="122" t="s">
        <v>777</v>
      </c>
      <c r="I2621" s="312">
        <v>2019</v>
      </c>
      <c r="J2621" s="122" t="s">
        <v>710</v>
      </c>
      <c r="K2621" s="283">
        <v>4339</v>
      </c>
      <c r="L2621" s="318">
        <v>-33.916007999999998</v>
      </c>
      <c r="M2621" s="318">
        <v>151.01400799999999</v>
      </c>
      <c r="O2621">
        <f>INDEX('MEC - traffic congestion'!$M$145:$M$249,MATCH($D2621,'MEC - traffic congestion'!$C$145:$C$249,0))</f>
        <v>1</v>
      </c>
      <c r="P2621" t="str">
        <f t="shared" si="116"/>
        <v>2019OFF PEAK</v>
      </c>
      <c r="Q2621">
        <f t="shared" si="117"/>
        <v>1</v>
      </c>
      <c r="R2621" s="195" t="str">
        <f t="shared" si="118"/>
        <v>2019LIGHT VEHICLES</v>
      </c>
    </row>
    <row r="2622" spans="3:18" x14ac:dyDescent="0.25">
      <c r="C2622" s="294" t="s">
        <v>943</v>
      </c>
      <c r="D2622" s="317">
        <v>7272</v>
      </c>
      <c r="E2622" s="122" t="s">
        <v>944</v>
      </c>
      <c r="F2622" s="122" t="s">
        <v>938</v>
      </c>
      <c r="G2622" s="122" t="s">
        <v>778</v>
      </c>
      <c r="H2622" s="122" t="s">
        <v>777</v>
      </c>
      <c r="I2622" s="312">
        <v>2019</v>
      </c>
      <c r="J2622" s="122" t="s">
        <v>711</v>
      </c>
      <c r="K2622" s="283">
        <v>2074</v>
      </c>
      <c r="L2622" s="318">
        <v>-33.916007999999998</v>
      </c>
      <c r="M2622" s="318">
        <v>151.01400799999999</v>
      </c>
      <c r="O2622">
        <f>INDEX('MEC - traffic congestion'!$M$145:$M$249,MATCH($D2622,'MEC - traffic congestion'!$C$145:$C$249,0))</f>
        <v>1</v>
      </c>
      <c r="P2622" t="str">
        <f t="shared" si="116"/>
        <v>2019PM PEAK</v>
      </c>
      <c r="Q2622">
        <f t="shared" si="117"/>
        <v>1</v>
      </c>
      <c r="R2622" s="195" t="str">
        <f t="shared" si="118"/>
        <v>2019LIGHT VEHICLES</v>
      </c>
    </row>
    <row r="2623" spans="3:18" x14ac:dyDescent="0.25">
      <c r="C2623" s="294" t="s">
        <v>943</v>
      </c>
      <c r="D2623" s="317">
        <v>7272</v>
      </c>
      <c r="E2623" s="122" t="s">
        <v>944</v>
      </c>
      <c r="F2623" s="122" t="s">
        <v>938</v>
      </c>
      <c r="G2623" s="122" t="s">
        <v>778</v>
      </c>
      <c r="H2623" s="122" t="s">
        <v>777</v>
      </c>
      <c r="I2623" s="312">
        <v>2019</v>
      </c>
      <c r="J2623" s="122" t="s">
        <v>712</v>
      </c>
      <c r="K2623" s="283">
        <v>6487</v>
      </c>
      <c r="L2623" s="318">
        <v>-33.916007999999998</v>
      </c>
      <c r="M2623" s="318">
        <v>151.01400799999999</v>
      </c>
      <c r="O2623">
        <f>INDEX('MEC - traffic congestion'!$M$145:$M$249,MATCH($D2623,'MEC - traffic congestion'!$C$145:$C$249,0))</f>
        <v>1</v>
      </c>
      <c r="P2623" t="str">
        <f t="shared" si="116"/>
        <v>2019PUBLIC HOLIDAYS</v>
      </c>
      <c r="Q2623">
        <f t="shared" si="117"/>
        <v>1</v>
      </c>
      <c r="R2623" s="195" t="str">
        <f t="shared" si="118"/>
        <v>2019LIGHT VEHICLES</v>
      </c>
    </row>
    <row r="2624" spans="3:18" x14ac:dyDescent="0.25">
      <c r="C2624" s="294" t="s">
        <v>943</v>
      </c>
      <c r="D2624" s="317">
        <v>7272</v>
      </c>
      <c r="E2624" s="122" t="s">
        <v>944</v>
      </c>
      <c r="F2624" s="122" t="s">
        <v>938</v>
      </c>
      <c r="G2624" s="122" t="s">
        <v>778</v>
      </c>
      <c r="H2624" s="122" t="s">
        <v>777</v>
      </c>
      <c r="I2624" s="312">
        <v>2019</v>
      </c>
      <c r="J2624" s="122" t="s">
        <v>713</v>
      </c>
      <c r="K2624" s="283">
        <v>7755</v>
      </c>
      <c r="L2624" s="318">
        <v>-33.916007999999998</v>
      </c>
      <c r="M2624" s="318">
        <v>151.01400799999999</v>
      </c>
      <c r="O2624">
        <f>INDEX('MEC - traffic congestion'!$M$145:$M$249,MATCH($D2624,'MEC - traffic congestion'!$C$145:$C$249,0))</f>
        <v>1</v>
      </c>
      <c r="P2624" t="str">
        <f t="shared" si="116"/>
        <v>2019WEEKENDS</v>
      </c>
      <c r="Q2624">
        <f t="shared" si="117"/>
        <v>1</v>
      </c>
      <c r="R2624" s="195" t="str">
        <f t="shared" si="118"/>
        <v>2019LIGHT VEHICLES</v>
      </c>
    </row>
    <row r="2625" spans="3:18" x14ac:dyDescent="0.25">
      <c r="C2625" s="294" t="s">
        <v>943</v>
      </c>
      <c r="D2625" s="317">
        <v>7272</v>
      </c>
      <c r="E2625" s="122" t="s">
        <v>944</v>
      </c>
      <c r="F2625" s="122" t="s">
        <v>938</v>
      </c>
      <c r="G2625" s="122" t="s">
        <v>778</v>
      </c>
      <c r="H2625" s="122" t="s">
        <v>777</v>
      </c>
      <c r="I2625" s="312">
        <v>2020</v>
      </c>
      <c r="J2625" s="122" t="s">
        <v>709</v>
      </c>
      <c r="K2625" s="283">
        <v>1638</v>
      </c>
      <c r="L2625" s="318">
        <v>-33.916007999999998</v>
      </c>
      <c r="M2625" s="318">
        <v>151.01400799999999</v>
      </c>
      <c r="O2625">
        <f>INDEX('MEC - traffic congestion'!$M$145:$M$249,MATCH($D2625,'MEC - traffic congestion'!$C$145:$C$249,0))</f>
        <v>1</v>
      </c>
      <c r="P2625" t="str">
        <f t="shared" si="116"/>
        <v>2020AM PEAK</v>
      </c>
      <c r="Q2625">
        <f t="shared" si="117"/>
        <v>1</v>
      </c>
      <c r="R2625" s="195" t="str">
        <f t="shared" si="118"/>
        <v>2020LIGHT VEHICLES</v>
      </c>
    </row>
    <row r="2626" spans="3:18" x14ac:dyDescent="0.25">
      <c r="C2626" s="294" t="s">
        <v>943</v>
      </c>
      <c r="D2626" s="317">
        <v>7272</v>
      </c>
      <c r="E2626" s="122" t="s">
        <v>944</v>
      </c>
      <c r="F2626" s="122" t="s">
        <v>938</v>
      </c>
      <c r="G2626" s="122" t="s">
        <v>778</v>
      </c>
      <c r="H2626" s="122" t="s">
        <v>777</v>
      </c>
      <c r="I2626" s="312">
        <v>2020</v>
      </c>
      <c r="J2626" s="122" t="s">
        <v>710</v>
      </c>
      <c r="K2626" s="283">
        <v>3963</v>
      </c>
      <c r="L2626" s="318">
        <v>-33.916007999999998</v>
      </c>
      <c r="M2626" s="318">
        <v>151.01400799999999</v>
      </c>
      <c r="O2626">
        <f>INDEX('MEC - traffic congestion'!$M$145:$M$249,MATCH($D2626,'MEC - traffic congestion'!$C$145:$C$249,0))</f>
        <v>1</v>
      </c>
      <c r="P2626" t="str">
        <f t="shared" si="116"/>
        <v>2020OFF PEAK</v>
      </c>
      <c r="Q2626">
        <f t="shared" si="117"/>
        <v>1</v>
      </c>
      <c r="R2626" s="195" t="str">
        <f t="shared" si="118"/>
        <v>2020LIGHT VEHICLES</v>
      </c>
    </row>
    <row r="2627" spans="3:18" x14ac:dyDescent="0.25">
      <c r="C2627" s="294" t="s">
        <v>943</v>
      </c>
      <c r="D2627" s="317">
        <v>7272</v>
      </c>
      <c r="E2627" s="122" t="s">
        <v>944</v>
      </c>
      <c r="F2627" s="122" t="s">
        <v>938</v>
      </c>
      <c r="G2627" s="122" t="s">
        <v>778</v>
      </c>
      <c r="H2627" s="122" t="s">
        <v>777</v>
      </c>
      <c r="I2627" s="312">
        <v>2020</v>
      </c>
      <c r="J2627" s="122" t="s">
        <v>711</v>
      </c>
      <c r="K2627" s="283">
        <v>1916</v>
      </c>
      <c r="L2627" s="318">
        <v>-33.916007999999998</v>
      </c>
      <c r="M2627" s="318">
        <v>151.01400799999999</v>
      </c>
      <c r="O2627">
        <f>INDEX('MEC - traffic congestion'!$M$145:$M$249,MATCH($D2627,'MEC - traffic congestion'!$C$145:$C$249,0))</f>
        <v>1</v>
      </c>
      <c r="P2627" t="str">
        <f t="shared" si="116"/>
        <v>2020PM PEAK</v>
      </c>
      <c r="Q2627">
        <f t="shared" si="117"/>
        <v>1</v>
      </c>
      <c r="R2627" s="195" t="str">
        <f t="shared" si="118"/>
        <v>2020LIGHT VEHICLES</v>
      </c>
    </row>
    <row r="2628" spans="3:18" x14ac:dyDescent="0.25">
      <c r="C2628" s="294" t="s">
        <v>943</v>
      </c>
      <c r="D2628" s="317">
        <v>7272</v>
      </c>
      <c r="E2628" s="122" t="s">
        <v>944</v>
      </c>
      <c r="F2628" s="122" t="s">
        <v>938</v>
      </c>
      <c r="G2628" s="122" t="s">
        <v>778</v>
      </c>
      <c r="H2628" s="122" t="s">
        <v>777</v>
      </c>
      <c r="I2628" s="312">
        <v>2020</v>
      </c>
      <c r="J2628" s="122" t="s">
        <v>712</v>
      </c>
      <c r="K2628" s="283">
        <v>5363</v>
      </c>
      <c r="L2628" s="318">
        <v>-33.916007999999998</v>
      </c>
      <c r="M2628" s="318">
        <v>151.01400799999999</v>
      </c>
      <c r="O2628">
        <f>INDEX('MEC - traffic congestion'!$M$145:$M$249,MATCH($D2628,'MEC - traffic congestion'!$C$145:$C$249,0))</f>
        <v>1</v>
      </c>
      <c r="P2628" t="str">
        <f t="shared" si="116"/>
        <v>2020PUBLIC HOLIDAYS</v>
      </c>
      <c r="Q2628">
        <f t="shared" si="117"/>
        <v>1</v>
      </c>
      <c r="R2628" s="195" t="str">
        <f t="shared" si="118"/>
        <v>2020LIGHT VEHICLES</v>
      </c>
    </row>
    <row r="2629" spans="3:18" x14ac:dyDescent="0.25">
      <c r="C2629" s="294" t="s">
        <v>943</v>
      </c>
      <c r="D2629" s="317">
        <v>7272</v>
      </c>
      <c r="E2629" s="122" t="s">
        <v>944</v>
      </c>
      <c r="F2629" s="122" t="s">
        <v>938</v>
      </c>
      <c r="G2629" s="122" t="s">
        <v>778</v>
      </c>
      <c r="H2629" s="122" t="s">
        <v>777</v>
      </c>
      <c r="I2629" s="312">
        <v>2020</v>
      </c>
      <c r="J2629" s="122" t="s">
        <v>713</v>
      </c>
      <c r="K2629" s="283">
        <v>6766</v>
      </c>
      <c r="L2629" s="318">
        <v>-33.916007999999998</v>
      </c>
      <c r="M2629" s="318">
        <v>151.01400799999999</v>
      </c>
      <c r="O2629">
        <f>INDEX('MEC - traffic congestion'!$M$145:$M$249,MATCH($D2629,'MEC - traffic congestion'!$C$145:$C$249,0))</f>
        <v>1</v>
      </c>
      <c r="P2629" t="str">
        <f t="shared" si="116"/>
        <v>2020WEEKENDS</v>
      </c>
      <c r="Q2629">
        <f t="shared" si="117"/>
        <v>1</v>
      </c>
      <c r="R2629" s="195" t="str">
        <f t="shared" si="118"/>
        <v>2020LIGHT VEHICLES</v>
      </c>
    </row>
    <row r="2630" spans="3:18" x14ac:dyDescent="0.25">
      <c r="C2630" s="294" t="s">
        <v>943</v>
      </c>
      <c r="D2630" s="317">
        <v>7272</v>
      </c>
      <c r="E2630" s="122" t="s">
        <v>944</v>
      </c>
      <c r="F2630" s="122" t="s">
        <v>938</v>
      </c>
      <c r="G2630" s="122" t="s">
        <v>778</v>
      </c>
      <c r="H2630" s="122" t="s">
        <v>777</v>
      </c>
      <c r="I2630" s="312">
        <v>2021</v>
      </c>
      <c r="J2630" s="122" t="s">
        <v>709</v>
      </c>
      <c r="K2630" s="283">
        <v>1561</v>
      </c>
      <c r="L2630" s="318">
        <v>-33.916007999999998</v>
      </c>
      <c r="M2630" s="318">
        <v>151.01400799999999</v>
      </c>
      <c r="O2630">
        <f>INDEX('MEC - traffic congestion'!$M$145:$M$249,MATCH($D2630,'MEC - traffic congestion'!$C$145:$C$249,0))</f>
        <v>1</v>
      </c>
      <c r="P2630" t="str">
        <f t="shared" si="116"/>
        <v>2021AM PEAK</v>
      </c>
      <c r="Q2630">
        <f t="shared" si="117"/>
        <v>1</v>
      </c>
      <c r="R2630" s="195" t="str">
        <f t="shared" si="118"/>
        <v>2021LIGHT VEHICLES</v>
      </c>
    </row>
    <row r="2631" spans="3:18" x14ac:dyDescent="0.25">
      <c r="C2631" s="294" t="s">
        <v>943</v>
      </c>
      <c r="D2631" s="317">
        <v>7272</v>
      </c>
      <c r="E2631" s="122" t="s">
        <v>944</v>
      </c>
      <c r="F2631" s="122" t="s">
        <v>938</v>
      </c>
      <c r="G2631" s="122" t="s">
        <v>778</v>
      </c>
      <c r="H2631" s="122" t="s">
        <v>777</v>
      </c>
      <c r="I2631" s="312">
        <v>2021</v>
      </c>
      <c r="J2631" s="122" t="s">
        <v>710</v>
      </c>
      <c r="K2631" s="283">
        <v>3628</v>
      </c>
      <c r="L2631" s="318">
        <v>-33.916007999999998</v>
      </c>
      <c r="M2631" s="318">
        <v>151.01400799999999</v>
      </c>
      <c r="O2631">
        <f>INDEX('MEC - traffic congestion'!$M$145:$M$249,MATCH($D2631,'MEC - traffic congestion'!$C$145:$C$249,0))</f>
        <v>1</v>
      </c>
      <c r="P2631" t="str">
        <f t="shared" si="116"/>
        <v>2021OFF PEAK</v>
      </c>
      <c r="Q2631">
        <f t="shared" si="117"/>
        <v>1</v>
      </c>
      <c r="R2631" s="195" t="str">
        <f t="shared" si="118"/>
        <v>2021LIGHT VEHICLES</v>
      </c>
    </row>
    <row r="2632" spans="3:18" x14ac:dyDescent="0.25">
      <c r="C2632" s="294" t="s">
        <v>943</v>
      </c>
      <c r="D2632" s="317">
        <v>7272</v>
      </c>
      <c r="E2632" s="122" t="s">
        <v>944</v>
      </c>
      <c r="F2632" s="122" t="s">
        <v>938</v>
      </c>
      <c r="G2632" s="122" t="s">
        <v>778</v>
      </c>
      <c r="H2632" s="122" t="s">
        <v>777</v>
      </c>
      <c r="I2632" s="312">
        <v>2021</v>
      </c>
      <c r="J2632" s="122" t="s">
        <v>711</v>
      </c>
      <c r="K2632" s="283">
        <v>1746</v>
      </c>
      <c r="L2632" s="318">
        <v>-33.916007999999998</v>
      </c>
      <c r="M2632" s="318">
        <v>151.01400799999999</v>
      </c>
      <c r="O2632">
        <f>INDEX('MEC - traffic congestion'!$M$145:$M$249,MATCH($D2632,'MEC - traffic congestion'!$C$145:$C$249,0))</f>
        <v>1</v>
      </c>
      <c r="P2632" t="str">
        <f t="shared" si="116"/>
        <v>2021PM PEAK</v>
      </c>
      <c r="Q2632">
        <f t="shared" si="117"/>
        <v>1</v>
      </c>
      <c r="R2632" s="195" t="str">
        <f t="shared" si="118"/>
        <v>2021LIGHT VEHICLES</v>
      </c>
    </row>
    <row r="2633" spans="3:18" x14ac:dyDescent="0.25">
      <c r="C2633" s="294" t="s">
        <v>943</v>
      </c>
      <c r="D2633" s="317">
        <v>7272</v>
      </c>
      <c r="E2633" s="122" t="s">
        <v>944</v>
      </c>
      <c r="F2633" s="122" t="s">
        <v>938</v>
      </c>
      <c r="G2633" s="122" t="s">
        <v>778</v>
      </c>
      <c r="H2633" s="122" t="s">
        <v>777</v>
      </c>
      <c r="I2633" s="312">
        <v>2021</v>
      </c>
      <c r="J2633" s="122" t="s">
        <v>713</v>
      </c>
      <c r="K2633" s="283">
        <v>5998</v>
      </c>
      <c r="L2633" s="318">
        <v>-33.916007999999998</v>
      </c>
      <c r="M2633" s="318">
        <v>151.01400799999999</v>
      </c>
      <c r="O2633">
        <f>INDEX('MEC - traffic congestion'!$M$145:$M$249,MATCH($D2633,'MEC - traffic congestion'!$C$145:$C$249,0))</f>
        <v>1</v>
      </c>
      <c r="P2633" t="str">
        <f t="shared" si="116"/>
        <v>2021WEEKENDS</v>
      </c>
      <c r="Q2633">
        <f t="shared" si="117"/>
        <v>1</v>
      </c>
      <c r="R2633" s="195" t="str">
        <f t="shared" si="118"/>
        <v>2021LIGHT VEHICLES</v>
      </c>
    </row>
    <row r="2634" spans="3:18" x14ac:dyDescent="0.25">
      <c r="C2634" s="294" t="s">
        <v>943</v>
      </c>
      <c r="D2634" s="317">
        <v>7272</v>
      </c>
      <c r="E2634" s="122" t="s">
        <v>944</v>
      </c>
      <c r="F2634" s="122" t="s">
        <v>938</v>
      </c>
      <c r="G2634" s="122" t="s">
        <v>778</v>
      </c>
      <c r="H2634" s="122" t="s">
        <v>777</v>
      </c>
      <c r="I2634" s="312">
        <v>2022</v>
      </c>
      <c r="J2634" s="122" t="s">
        <v>709</v>
      </c>
      <c r="K2634" s="283">
        <v>1689</v>
      </c>
      <c r="L2634" s="318">
        <v>-33.916007999999998</v>
      </c>
      <c r="M2634" s="318">
        <v>151.01400799999999</v>
      </c>
      <c r="O2634">
        <f>INDEX('MEC - traffic congestion'!$M$145:$M$249,MATCH($D2634,'MEC - traffic congestion'!$C$145:$C$249,0))</f>
        <v>1</v>
      </c>
      <c r="P2634" t="str">
        <f t="shared" si="116"/>
        <v>2022AM PEAK</v>
      </c>
      <c r="Q2634">
        <f t="shared" si="117"/>
        <v>1</v>
      </c>
      <c r="R2634" s="195" t="str">
        <f t="shared" si="118"/>
        <v>2022LIGHT VEHICLES</v>
      </c>
    </row>
    <row r="2635" spans="3:18" x14ac:dyDescent="0.25">
      <c r="C2635" s="294" t="s">
        <v>943</v>
      </c>
      <c r="D2635" s="317">
        <v>7272</v>
      </c>
      <c r="E2635" s="122" t="s">
        <v>944</v>
      </c>
      <c r="F2635" s="122" t="s">
        <v>938</v>
      </c>
      <c r="G2635" s="122" t="s">
        <v>778</v>
      </c>
      <c r="H2635" s="122" t="s">
        <v>777</v>
      </c>
      <c r="I2635" s="312">
        <v>2022</v>
      </c>
      <c r="J2635" s="122" t="s">
        <v>710</v>
      </c>
      <c r="K2635" s="283">
        <v>3942</v>
      </c>
      <c r="L2635" s="318">
        <v>-33.916007999999998</v>
      </c>
      <c r="M2635" s="318">
        <v>151.01400799999999</v>
      </c>
      <c r="O2635">
        <f>INDEX('MEC - traffic congestion'!$M$145:$M$249,MATCH($D2635,'MEC - traffic congestion'!$C$145:$C$249,0))</f>
        <v>1</v>
      </c>
      <c r="P2635" t="str">
        <f t="shared" si="116"/>
        <v>2022OFF PEAK</v>
      </c>
      <c r="Q2635">
        <f t="shared" si="117"/>
        <v>1</v>
      </c>
      <c r="R2635" s="195" t="str">
        <f t="shared" si="118"/>
        <v>2022LIGHT VEHICLES</v>
      </c>
    </row>
    <row r="2636" spans="3:18" x14ac:dyDescent="0.25">
      <c r="C2636" s="294" t="s">
        <v>943</v>
      </c>
      <c r="D2636" s="317">
        <v>7272</v>
      </c>
      <c r="E2636" s="122" t="s">
        <v>944</v>
      </c>
      <c r="F2636" s="122" t="s">
        <v>938</v>
      </c>
      <c r="G2636" s="122" t="s">
        <v>778</v>
      </c>
      <c r="H2636" s="122" t="s">
        <v>777</v>
      </c>
      <c r="I2636" s="312">
        <v>2022</v>
      </c>
      <c r="J2636" s="122" t="s">
        <v>711</v>
      </c>
      <c r="K2636" s="283">
        <v>1825</v>
      </c>
      <c r="L2636" s="318">
        <v>-33.916007999999998</v>
      </c>
      <c r="M2636" s="318">
        <v>151.01400799999999</v>
      </c>
      <c r="O2636">
        <f>INDEX('MEC - traffic congestion'!$M$145:$M$249,MATCH($D2636,'MEC - traffic congestion'!$C$145:$C$249,0))</f>
        <v>1</v>
      </c>
      <c r="P2636" t="str">
        <f t="shared" si="116"/>
        <v>2022PM PEAK</v>
      </c>
      <c r="Q2636">
        <f t="shared" si="117"/>
        <v>1</v>
      </c>
      <c r="R2636" s="195" t="str">
        <f t="shared" si="118"/>
        <v>2022LIGHT VEHICLES</v>
      </c>
    </row>
    <row r="2637" spans="3:18" x14ac:dyDescent="0.25">
      <c r="C2637" s="294" t="s">
        <v>943</v>
      </c>
      <c r="D2637" s="317">
        <v>7272</v>
      </c>
      <c r="E2637" s="122" t="s">
        <v>944</v>
      </c>
      <c r="F2637" s="122" t="s">
        <v>938</v>
      </c>
      <c r="G2637" s="122" t="s">
        <v>778</v>
      </c>
      <c r="H2637" s="122" t="s">
        <v>777</v>
      </c>
      <c r="I2637" s="312">
        <v>2022</v>
      </c>
      <c r="J2637" s="122" t="s">
        <v>713</v>
      </c>
      <c r="K2637" s="283">
        <v>6999</v>
      </c>
      <c r="L2637" s="318">
        <v>-33.916007999999998</v>
      </c>
      <c r="M2637" s="318">
        <v>151.01400799999999</v>
      </c>
      <c r="O2637">
        <f>INDEX('MEC - traffic congestion'!$M$145:$M$249,MATCH($D2637,'MEC - traffic congestion'!$C$145:$C$249,0))</f>
        <v>1</v>
      </c>
      <c r="P2637" t="str">
        <f t="shared" si="116"/>
        <v>2022WEEKENDS</v>
      </c>
      <c r="Q2637">
        <f t="shared" si="117"/>
        <v>1</v>
      </c>
      <c r="R2637" s="195" t="str">
        <f t="shared" si="118"/>
        <v>2022LIGHT VEHICLES</v>
      </c>
    </row>
    <row r="2638" spans="3:18" x14ac:dyDescent="0.25">
      <c r="C2638" s="294" t="s">
        <v>943</v>
      </c>
      <c r="D2638" s="317">
        <v>7272</v>
      </c>
      <c r="E2638" s="122" t="s">
        <v>944</v>
      </c>
      <c r="F2638" s="122" t="s">
        <v>938</v>
      </c>
      <c r="G2638" s="122" t="s">
        <v>778</v>
      </c>
      <c r="H2638" s="122" t="s">
        <v>777</v>
      </c>
      <c r="I2638" s="312">
        <v>2023</v>
      </c>
      <c r="J2638" s="122" t="s">
        <v>709</v>
      </c>
      <c r="K2638" s="283">
        <v>1682</v>
      </c>
      <c r="L2638" s="318">
        <v>-33.916007999999998</v>
      </c>
      <c r="M2638" s="318">
        <v>151.01400799999999</v>
      </c>
      <c r="O2638">
        <f>INDEX('MEC - traffic congestion'!$M$145:$M$249,MATCH($D2638,'MEC - traffic congestion'!$C$145:$C$249,0))</f>
        <v>1</v>
      </c>
      <c r="P2638" t="str">
        <f t="shared" si="116"/>
        <v>2023AM PEAK</v>
      </c>
      <c r="Q2638">
        <f t="shared" si="117"/>
        <v>1</v>
      </c>
      <c r="R2638" s="195" t="str">
        <f t="shared" si="118"/>
        <v>2023LIGHT VEHICLES</v>
      </c>
    </row>
    <row r="2639" spans="3:18" x14ac:dyDescent="0.25">
      <c r="C2639" s="294" t="s">
        <v>943</v>
      </c>
      <c r="D2639" s="317">
        <v>7272</v>
      </c>
      <c r="E2639" s="122" t="s">
        <v>944</v>
      </c>
      <c r="F2639" s="122" t="s">
        <v>938</v>
      </c>
      <c r="G2639" s="122" t="s">
        <v>778</v>
      </c>
      <c r="H2639" s="122" t="s">
        <v>777</v>
      </c>
      <c r="I2639" s="312">
        <v>2023</v>
      </c>
      <c r="J2639" s="122" t="s">
        <v>710</v>
      </c>
      <c r="K2639" s="283">
        <v>3969</v>
      </c>
      <c r="L2639" s="318">
        <v>-33.916007999999998</v>
      </c>
      <c r="M2639" s="318">
        <v>151.01400799999999</v>
      </c>
      <c r="O2639">
        <f>INDEX('MEC - traffic congestion'!$M$145:$M$249,MATCH($D2639,'MEC - traffic congestion'!$C$145:$C$249,0))</f>
        <v>1</v>
      </c>
      <c r="P2639" t="str">
        <f t="shared" si="116"/>
        <v>2023OFF PEAK</v>
      </c>
      <c r="Q2639">
        <f t="shared" si="117"/>
        <v>1</v>
      </c>
      <c r="R2639" s="195" t="str">
        <f t="shared" si="118"/>
        <v>2023LIGHT VEHICLES</v>
      </c>
    </row>
    <row r="2640" spans="3:18" x14ac:dyDescent="0.25">
      <c r="C2640" s="294" t="s">
        <v>943</v>
      </c>
      <c r="D2640" s="317">
        <v>7272</v>
      </c>
      <c r="E2640" s="122" t="s">
        <v>944</v>
      </c>
      <c r="F2640" s="122" t="s">
        <v>938</v>
      </c>
      <c r="G2640" s="122" t="s">
        <v>778</v>
      </c>
      <c r="H2640" s="122" t="s">
        <v>777</v>
      </c>
      <c r="I2640" s="312">
        <v>2023</v>
      </c>
      <c r="J2640" s="122" t="s">
        <v>711</v>
      </c>
      <c r="K2640" s="283">
        <v>1839</v>
      </c>
      <c r="L2640" s="318">
        <v>-33.916007999999998</v>
      </c>
      <c r="M2640" s="318">
        <v>151.01400799999999</v>
      </c>
      <c r="O2640">
        <f>INDEX('MEC - traffic congestion'!$M$145:$M$249,MATCH($D2640,'MEC - traffic congestion'!$C$145:$C$249,0))</f>
        <v>1</v>
      </c>
      <c r="P2640" t="str">
        <f t="shared" si="116"/>
        <v>2023PM PEAK</v>
      </c>
      <c r="Q2640">
        <f t="shared" si="117"/>
        <v>1</v>
      </c>
      <c r="R2640" s="195" t="str">
        <f t="shared" si="118"/>
        <v>2023LIGHT VEHICLES</v>
      </c>
    </row>
    <row r="2641" spans="3:18" x14ac:dyDescent="0.25">
      <c r="C2641" s="294" t="s">
        <v>943</v>
      </c>
      <c r="D2641" s="317">
        <v>7272</v>
      </c>
      <c r="E2641" s="122" t="s">
        <v>944</v>
      </c>
      <c r="F2641" s="122" t="s">
        <v>938</v>
      </c>
      <c r="G2641" s="122" t="s">
        <v>778</v>
      </c>
      <c r="H2641" s="122" t="s">
        <v>777</v>
      </c>
      <c r="I2641" s="312">
        <v>2023</v>
      </c>
      <c r="J2641" s="122" t="s">
        <v>713</v>
      </c>
      <c r="K2641" s="283">
        <v>7072</v>
      </c>
      <c r="L2641" s="318">
        <v>-33.916007999999998</v>
      </c>
      <c r="M2641" s="318">
        <v>151.01400799999999</v>
      </c>
      <c r="O2641">
        <f>INDEX('MEC - traffic congestion'!$M$145:$M$249,MATCH($D2641,'MEC - traffic congestion'!$C$145:$C$249,0))</f>
        <v>1</v>
      </c>
      <c r="P2641" t="str">
        <f t="shared" si="116"/>
        <v>2023WEEKENDS</v>
      </c>
      <c r="Q2641">
        <f t="shared" si="117"/>
        <v>1</v>
      </c>
      <c r="R2641" s="195" t="str">
        <f t="shared" si="118"/>
        <v>2023LIGHT VEHICLES</v>
      </c>
    </row>
    <row r="2642" spans="3:18" x14ac:dyDescent="0.25">
      <c r="C2642" s="294" t="s">
        <v>943</v>
      </c>
      <c r="D2642" s="317">
        <v>7272</v>
      </c>
      <c r="E2642" s="122" t="s">
        <v>944</v>
      </c>
      <c r="F2642" s="122" t="s">
        <v>938</v>
      </c>
      <c r="G2642" s="122" t="s">
        <v>778</v>
      </c>
      <c r="H2642" s="122" t="s">
        <v>777</v>
      </c>
      <c r="I2642" s="312">
        <v>2024</v>
      </c>
      <c r="J2642" s="122" t="s">
        <v>709</v>
      </c>
      <c r="K2642" s="283">
        <v>1712</v>
      </c>
      <c r="L2642" s="318">
        <v>-33.916007999999998</v>
      </c>
      <c r="M2642" s="318">
        <v>151.01400799999999</v>
      </c>
      <c r="O2642">
        <f>INDEX('MEC - traffic congestion'!$M$145:$M$249,MATCH($D2642,'MEC - traffic congestion'!$C$145:$C$249,0))</f>
        <v>1</v>
      </c>
      <c r="P2642" t="str">
        <f t="shared" si="116"/>
        <v>2024AM PEAK</v>
      </c>
      <c r="Q2642">
        <f t="shared" si="117"/>
        <v>1</v>
      </c>
      <c r="R2642" s="195" t="str">
        <f t="shared" si="118"/>
        <v>2024LIGHT VEHICLES</v>
      </c>
    </row>
    <row r="2643" spans="3:18" x14ac:dyDescent="0.25">
      <c r="C2643" s="294" t="s">
        <v>943</v>
      </c>
      <c r="D2643" s="317">
        <v>7272</v>
      </c>
      <c r="E2643" s="122" t="s">
        <v>944</v>
      </c>
      <c r="F2643" s="122" t="s">
        <v>938</v>
      </c>
      <c r="G2643" s="122" t="s">
        <v>778</v>
      </c>
      <c r="H2643" s="122" t="s">
        <v>777</v>
      </c>
      <c r="I2643" s="312">
        <v>2024</v>
      </c>
      <c r="J2643" s="122" t="s">
        <v>710</v>
      </c>
      <c r="K2643" s="283">
        <v>4140</v>
      </c>
      <c r="L2643" s="318">
        <v>-33.916007999999998</v>
      </c>
      <c r="M2643" s="318">
        <v>151.01400799999999</v>
      </c>
      <c r="O2643">
        <f>INDEX('MEC - traffic congestion'!$M$145:$M$249,MATCH($D2643,'MEC - traffic congestion'!$C$145:$C$249,0))</f>
        <v>1</v>
      </c>
      <c r="P2643" t="str">
        <f t="shared" si="116"/>
        <v>2024OFF PEAK</v>
      </c>
      <c r="Q2643">
        <f t="shared" si="117"/>
        <v>1</v>
      </c>
      <c r="R2643" s="195" t="str">
        <f t="shared" si="118"/>
        <v>2024LIGHT VEHICLES</v>
      </c>
    </row>
    <row r="2644" spans="3:18" x14ac:dyDescent="0.25">
      <c r="C2644" s="294" t="s">
        <v>943</v>
      </c>
      <c r="D2644" s="317">
        <v>7272</v>
      </c>
      <c r="E2644" s="122" t="s">
        <v>944</v>
      </c>
      <c r="F2644" s="122" t="s">
        <v>938</v>
      </c>
      <c r="G2644" s="122" t="s">
        <v>778</v>
      </c>
      <c r="H2644" s="122" t="s">
        <v>777</v>
      </c>
      <c r="I2644" s="312">
        <v>2024</v>
      </c>
      <c r="J2644" s="122" t="s">
        <v>711</v>
      </c>
      <c r="K2644" s="283">
        <v>1839</v>
      </c>
      <c r="L2644" s="318">
        <v>-33.916007999999998</v>
      </c>
      <c r="M2644" s="318">
        <v>151.01400799999999</v>
      </c>
      <c r="O2644">
        <f>INDEX('MEC - traffic congestion'!$M$145:$M$249,MATCH($D2644,'MEC - traffic congestion'!$C$145:$C$249,0))</f>
        <v>1</v>
      </c>
      <c r="P2644" t="str">
        <f t="shared" si="116"/>
        <v>2024PM PEAK</v>
      </c>
      <c r="Q2644">
        <f t="shared" si="117"/>
        <v>1</v>
      </c>
      <c r="R2644" s="195" t="str">
        <f t="shared" si="118"/>
        <v>2024LIGHT VEHICLES</v>
      </c>
    </row>
    <row r="2645" spans="3:18" x14ac:dyDescent="0.25">
      <c r="C2645" s="294" t="s">
        <v>943</v>
      </c>
      <c r="D2645" s="317">
        <v>7272</v>
      </c>
      <c r="E2645" s="122" t="s">
        <v>944</v>
      </c>
      <c r="F2645" s="122" t="s">
        <v>938</v>
      </c>
      <c r="G2645" s="122" t="s">
        <v>778</v>
      </c>
      <c r="H2645" s="122" t="s">
        <v>777</v>
      </c>
      <c r="I2645" s="312">
        <v>2024</v>
      </c>
      <c r="J2645" s="122" t="s">
        <v>713</v>
      </c>
      <c r="K2645" s="283">
        <v>7347</v>
      </c>
      <c r="L2645" s="318">
        <v>-33.916007999999998</v>
      </c>
      <c r="M2645" s="318">
        <v>151.01400799999999</v>
      </c>
      <c r="O2645">
        <f>INDEX('MEC - traffic congestion'!$M$145:$M$249,MATCH($D2645,'MEC - traffic congestion'!$C$145:$C$249,0))</f>
        <v>1</v>
      </c>
      <c r="P2645" t="str">
        <f t="shared" ref="P2645:P2708" si="119">IF($O2645=1,$I2645&amp;$J2645,"")</f>
        <v>2024WEEKENDS</v>
      </c>
      <c r="Q2645">
        <f t="shared" ref="Q2645:Q2708" si="120">IF(AND($M2645&gt;150.246,AND($L2645&gt;-34.397,$L2645&lt;-32.662)),1,0)</f>
        <v>1</v>
      </c>
      <c r="R2645" s="195" t="str">
        <f t="shared" ref="R2645:R2708" si="121">IF($O2645=1,$I2645&amp;$H2645,"")</f>
        <v>2024LIGHT VEHICLES</v>
      </c>
    </row>
    <row r="2646" spans="3:18" x14ac:dyDescent="0.25">
      <c r="C2646" s="294" t="s">
        <v>945</v>
      </c>
      <c r="D2646" s="317">
        <v>7274</v>
      </c>
      <c r="E2646" s="122" t="s">
        <v>870</v>
      </c>
      <c r="F2646" s="122" t="s">
        <v>946</v>
      </c>
      <c r="G2646" s="122" t="s">
        <v>785</v>
      </c>
      <c r="H2646" s="122" t="s">
        <v>777</v>
      </c>
      <c r="I2646" s="312">
        <v>2018</v>
      </c>
      <c r="J2646" s="122" t="s">
        <v>709</v>
      </c>
      <c r="K2646" s="283">
        <v>4720</v>
      </c>
      <c r="L2646" s="318">
        <v>-33.779201999999998</v>
      </c>
      <c r="M2646" s="318">
        <v>150.81410199999999</v>
      </c>
      <c r="O2646">
        <f>INDEX('MEC - traffic congestion'!$M$145:$M$249,MATCH($D2646,'MEC - traffic congestion'!$C$145:$C$249,0))</f>
        <v>1</v>
      </c>
      <c r="P2646" t="str">
        <f t="shared" si="119"/>
        <v>2018AM PEAK</v>
      </c>
      <c r="Q2646">
        <f t="shared" si="120"/>
        <v>1</v>
      </c>
      <c r="R2646" s="195" t="str">
        <f t="shared" si="121"/>
        <v>2018LIGHT VEHICLES</v>
      </c>
    </row>
    <row r="2647" spans="3:18" x14ac:dyDescent="0.25">
      <c r="C2647" s="294" t="s">
        <v>945</v>
      </c>
      <c r="D2647" s="317">
        <v>7274</v>
      </c>
      <c r="E2647" s="122" t="s">
        <v>870</v>
      </c>
      <c r="F2647" s="122" t="s">
        <v>946</v>
      </c>
      <c r="G2647" s="122" t="s">
        <v>785</v>
      </c>
      <c r="H2647" s="122" t="s">
        <v>777</v>
      </c>
      <c r="I2647" s="312">
        <v>2018</v>
      </c>
      <c r="J2647" s="122" t="s">
        <v>710</v>
      </c>
      <c r="K2647" s="283">
        <v>7622</v>
      </c>
      <c r="L2647" s="318">
        <v>-33.779201999999998</v>
      </c>
      <c r="M2647" s="318">
        <v>150.81410199999999</v>
      </c>
      <c r="O2647">
        <f>INDEX('MEC - traffic congestion'!$M$145:$M$249,MATCH($D2647,'MEC - traffic congestion'!$C$145:$C$249,0))</f>
        <v>1</v>
      </c>
      <c r="P2647" t="str">
        <f t="shared" si="119"/>
        <v>2018OFF PEAK</v>
      </c>
      <c r="Q2647">
        <f t="shared" si="120"/>
        <v>1</v>
      </c>
      <c r="R2647" s="195" t="str">
        <f t="shared" si="121"/>
        <v>2018LIGHT VEHICLES</v>
      </c>
    </row>
    <row r="2648" spans="3:18" x14ac:dyDescent="0.25">
      <c r="C2648" s="294" t="s">
        <v>945</v>
      </c>
      <c r="D2648" s="317">
        <v>7274</v>
      </c>
      <c r="E2648" s="122" t="s">
        <v>870</v>
      </c>
      <c r="F2648" s="122" t="s">
        <v>946</v>
      </c>
      <c r="G2648" s="122" t="s">
        <v>785</v>
      </c>
      <c r="H2648" s="122" t="s">
        <v>777</v>
      </c>
      <c r="I2648" s="312">
        <v>2018</v>
      </c>
      <c r="J2648" s="122" t="s">
        <v>711</v>
      </c>
      <c r="K2648" s="283">
        <v>3548</v>
      </c>
      <c r="L2648" s="318">
        <v>-33.779201999999998</v>
      </c>
      <c r="M2648" s="318">
        <v>150.81410199999999</v>
      </c>
      <c r="O2648">
        <f>INDEX('MEC - traffic congestion'!$M$145:$M$249,MATCH($D2648,'MEC - traffic congestion'!$C$145:$C$249,0))</f>
        <v>1</v>
      </c>
      <c r="P2648" t="str">
        <f t="shared" si="119"/>
        <v>2018PM PEAK</v>
      </c>
      <c r="Q2648">
        <f t="shared" si="120"/>
        <v>1</v>
      </c>
      <c r="R2648" s="195" t="str">
        <f t="shared" si="121"/>
        <v>2018LIGHT VEHICLES</v>
      </c>
    </row>
    <row r="2649" spans="3:18" x14ac:dyDescent="0.25">
      <c r="C2649" s="294" t="s">
        <v>945</v>
      </c>
      <c r="D2649" s="317">
        <v>7274</v>
      </c>
      <c r="E2649" s="122" t="s">
        <v>870</v>
      </c>
      <c r="F2649" s="122" t="s">
        <v>946</v>
      </c>
      <c r="G2649" s="122" t="s">
        <v>785</v>
      </c>
      <c r="H2649" s="122" t="s">
        <v>777</v>
      </c>
      <c r="I2649" s="312">
        <v>2018</v>
      </c>
      <c r="J2649" s="122" t="s">
        <v>712</v>
      </c>
      <c r="K2649" s="283">
        <v>9641</v>
      </c>
      <c r="L2649" s="318">
        <v>-33.779201999999998</v>
      </c>
      <c r="M2649" s="318">
        <v>150.81410199999999</v>
      </c>
      <c r="O2649">
        <f>INDEX('MEC - traffic congestion'!$M$145:$M$249,MATCH($D2649,'MEC - traffic congestion'!$C$145:$C$249,0))</f>
        <v>1</v>
      </c>
      <c r="P2649" t="str">
        <f t="shared" si="119"/>
        <v>2018PUBLIC HOLIDAYS</v>
      </c>
      <c r="Q2649">
        <f t="shared" si="120"/>
        <v>1</v>
      </c>
      <c r="R2649" s="195" t="str">
        <f t="shared" si="121"/>
        <v>2018LIGHT VEHICLES</v>
      </c>
    </row>
    <row r="2650" spans="3:18" x14ac:dyDescent="0.25">
      <c r="C2650" s="294" t="s">
        <v>945</v>
      </c>
      <c r="D2650" s="317">
        <v>7274</v>
      </c>
      <c r="E2650" s="122" t="s">
        <v>870</v>
      </c>
      <c r="F2650" s="122" t="s">
        <v>946</v>
      </c>
      <c r="G2650" s="122" t="s">
        <v>785</v>
      </c>
      <c r="H2650" s="122" t="s">
        <v>777</v>
      </c>
      <c r="I2650" s="312">
        <v>2018</v>
      </c>
      <c r="J2650" s="122" t="s">
        <v>713</v>
      </c>
      <c r="K2650" s="283">
        <v>12862</v>
      </c>
      <c r="L2650" s="318">
        <v>-33.779201999999998</v>
      </c>
      <c r="M2650" s="318">
        <v>150.81410199999999</v>
      </c>
      <c r="O2650">
        <f>INDEX('MEC - traffic congestion'!$M$145:$M$249,MATCH($D2650,'MEC - traffic congestion'!$C$145:$C$249,0))</f>
        <v>1</v>
      </c>
      <c r="P2650" t="str">
        <f t="shared" si="119"/>
        <v>2018WEEKENDS</v>
      </c>
      <c r="Q2650">
        <f t="shared" si="120"/>
        <v>1</v>
      </c>
      <c r="R2650" s="195" t="str">
        <f t="shared" si="121"/>
        <v>2018LIGHT VEHICLES</v>
      </c>
    </row>
    <row r="2651" spans="3:18" x14ac:dyDescent="0.25">
      <c r="C2651" s="294" t="s">
        <v>945</v>
      </c>
      <c r="D2651" s="317">
        <v>7274</v>
      </c>
      <c r="E2651" s="122" t="s">
        <v>870</v>
      </c>
      <c r="F2651" s="122" t="s">
        <v>946</v>
      </c>
      <c r="G2651" s="122" t="s">
        <v>785</v>
      </c>
      <c r="H2651" s="122" t="s">
        <v>777</v>
      </c>
      <c r="I2651" s="312">
        <v>2019</v>
      </c>
      <c r="J2651" s="122" t="s">
        <v>709</v>
      </c>
      <c r="K2651" s="283">
        <v>4557</v>
      </c>
      <c r="L2651" s="318">
        <v>-33.779201999999998</v>
      </c>
      <c r="M2651" s="318">
        <v>150.81410199999999</v>
      </c>
      <c r="O2651">
        <f>INDEX('MEC - traffic congestion'!$M$145:$M$249,MATCH($D2651,'MEC - traffic congestion'!$C$145:$C$249,0))</f>
        <v>1</v>
      </c>
      <c r="P2651" t="str">
        <f t="shared" si="119"/>
        <v>2019AM PEAK</v>
      </c>
      <c r="Q2651">
        <f t="shared" si="120"/>
        <v>1</v>
      </c>
      <c r="R2651" s="195" t="str">
        <f t="shared" si="121"/>
        <v>2019LIGHT VEHICLES</v>
      </c>
    </row>
    <row r="2652" spans="3:18" x14ac:dyDescent="0.25">
      <c r="C2652" s="294" t="s">
        <v>945</v>
      </c>
      <c r="D2652" s="317">
        <v>7274</v>
      </c>
      <c r="E2652" s="122" t="s">
        <v>870</v>
      </c>
      <c r="F2652" s="122" t="s">
        <v>946</v>
      </c>
      <c r="G2652" s="122" t="s">
        <v>785</v>
      </c>
      <c r="H2652" s="122" t="s">
        <v>777</v>
      </c>
      <c r="I2652" s="312">
        <v>2019</v>
      </c>
      <c r="J2652" s="122" t="s">
        <v>710</v>
      </c>
      <c r="K2652" s="283">
        <v>7643</v>
      </c>
      <c r="L2652" s="318">
        <v>-33.779201999999998</v>
      </c>
      <c r="M2652" s="318">
        <v>150.81410199999999</v>
      </c>
      <c r="O2652">
        <f>INDEX('MEC - traffic congestion'!$M$145:$M$249,MATCH($D2652,'MEC - traffic congestion'!$C$145:$C$249,0))</f>
        <v>1</v>
      </c>
      <c r="P2652" t="str">
        <f t="shared" si="119"/>
        <v>2019OFF PEAK</v>
      </c>
      <c r="Q2652">
        <f t="shared" si="120"/>
        <v>1</v>
      </c>
      <c r="R2652" s="195" t="str">
        <f t="shared" si="121"/>
        <v>2019LIGHT VEHICLES</v>
      </c>
    </row>
    <row r="2653" spans="3:18" x14ac:dyDescent="0.25">
      <c r="C2653" s="294" t="s">
        <v>945</v>
      </c>
      <c r="D2653" s="317">
        <v>7274</v>
      </c>
      <c r="E2653" s="122" t="s">
        <v>870</v>
      </c>
      <c r="F2653" s="122" t="s">
        <v>946</v>
      </c>
      <c r="G2653" s="122" t="s">
        <v>785</v>
      </c>
      <c r="H2653" s="122" t="s">
        <v>777</v>
      </c>
      <c r="I2653" s="312">
        <v>2019</v>
      </c>
      <c r="J2653" s="122" t="s">
        <v>711</v>
      </c>
      <c r="K2653" s="283">
        <v>3547</v>
      </c>
      <c r="L2653" s="318">
        <v>-33.779201999999998</v>
      </c>
      <c r="M2653" s="318">
        <v>150.81410199999999</v>
      </c>
      <c r="O2653">
        <f>INDEX('MEC - traffic congestion'!$M$145:$M$249,MATCH($D2653,'MEC - traffic congestion'!$C$145:$C$249,0))</f>
        <v>1</v>
      </c>
      <c r="P2653" t="str">
        <f t="shared" si="119"/>
        <v>2019PM PEAK</v>
      </c>
      <c r="Q2653">
        <f t="shared" si="120"/>
        <v>1</v>
      </c>
      <c r="R2653" s="195" t="str">
        <f t="shared" si="121"/>
        <v>2019LIGHT VEHICLES</v>
      </c>
    </row>
    <row r="2654" spans="3:18" x14ac:dyDescent="0.25">
      <c r="C2654" s="294" t="s">
        <v>945</v>
      </c>
      <c r="D2654" s="317">
        <v>7274</v>
      </c>
      <c r="E2654" s="122" t="s">
        <v>870</v>
      </c>
      <c r="F2654" s="122" t="s">
        <v>946</v>
      </c>
      <c r="G2654" s="122" t="s">
        <v>785</v>
      </c>
      <c r="H2654" s="122" t="s">
        <v>777</v>
      </c>
      <c r="I2654" s="312">
        <v>2019</v>
      </c>
      <c r="J2654" s="122" t="s">
        <v>712</v>
      </c>
      <c r="K2654" s="283">
        <v>9823</v>
      </c>
      <c r="L2654" s="318">
        <v>-33.779201999999998</v>
      </c>
      <c r="M2654" s="318">
        <v>150.81410199999999</v>
      </c>
      <c r="O2654">
        <f>INDEX('MEC - traffic congestion'!$M$145:$M$249,MATCH($D2654,'MEC - traffic congestion'!$C$145:$C$249,0))</f>
        <v>1</v>
      </c>
      <c r="P2654" t="str">
        <f t="shared" si="119"/>
        <v>2019PUBLIC HOLIDAYS</v>
      </c>
      <c r="Q2654">
        <f t="shared" si="120"/>
        <v>1</v>
      </c>
      <c r="R2654" s="195" t="str">
        <f t="shared" si="121"/>
        <v>2019LIGHT VEHICLES</v>
      </c>
    </row>
    <row r="2655" spans="3:18" x14ac:dyDescent="0.25">
      <c r="C2655" s="294" t="s">
        <v>945</v>
      </c>
      <c r="D2655" s="317">
        <v>7274</v>
      </c>
      <c r="E2655" s="122" t="s">
        <v>870</v>
      </c>
      <c r="F2655" s="122" t="s">
        <v>946</v>
      </c>
      <c r="G2655" s="122" t="s">
        <v>785</v>
      </c>
      <c r="H2655" s="122" t="s">
        <v>777</v>
      </c>
      <c r="I2655" s="312">
        <v>2019</v>
      </c>
      <c r="J2655" s="122" t="s">
        <v>713</v>
      </c>
      <c r="K2655" s="283">
        <v>12805</v>
      </c>
      <c r="L2655" s="318">
        <v>-33.779201999999998</v>
      </c>
      <c r="M2655" s="318">
        <v>150.81410199999999</v>
      </c>
      <c r="O2655">
        <f>INDEX('MEC - traffic congestion'!$M$145:$M$249,MATCH($D2655,'MEC - traffic congestion'!$C$145:$C$249,0))</f>
        <v>1</v>
      </c>
      <c r="P2655" t="str">
        <f t="shared" si="119"/>
        <v>2019WEEKENDS</v>
      </c>
      <c r="Q2655">
        <f t="shared" si="120"/>
        <v>1</v>
      </c>
      <c r="R2655" s="195" t="str">
        <f t="shared" si="121"/>
        <v>2019LIGHT VEHICLES</v>
      </c>
    </row>
    <row r="2656" spans="3:18" x14ac:dyDescent="0.25">
      <c r="C2656" s="294" t="s">
        <v>945</v>
      </c>
      <c r="D2656" s="317">
        <v>7274</v>
      </c>
      <c r="E2656" s="122" t="s">
        <v>870</v>
      </c>
      <c r="F2656" s="122" t="s">
        <v>946</v>
      </c>
      <c r="G2656" s="122" t="s">
        <v>785</v>
      </c>
      <c r="H2656" s="122" t="s">
        <v>777</v>
      </c>
      <c r="I2656" s="312">
        <v>2020</v>
      </c>
      <c r="J2656" s="122" t="s">
        <v>709</v>
      </c>
      <c r="K2656" s="283">
        <v>3967</v>
      </c>
      <c r="L2656" s="318">
        <v>-33.779201999999998</v>
      </c>
      <c r="M2656" s="318">
        <v>150.81410199999999</v>
      </c>
      <c r="O2656">
        <f>INDEX('MEC - traffic congestion'!$M$145:$M$249,MATCH($D2656,'MEC - traffic congestion'!$C$145:$C$249,0))</f>
        <v>1</v>
      </c>
      <c r="P2656" t="str">
        <f t="shared" si="119"/>
        <v>2020AM PEAK</v>
      </c>
      <c r="Q2656">
        <f t="shared" si="120"/>
        <v>1</v>
      </c>
      <c r="R2656" s="195" t="str">
        <f t="shared" si="121"/>
        <v>2020LIGHT VEHICLES</v>
      </c>
    </row>
    <row r="2657" spans="3:18" x14ac:dyDescent="0.25">
      <c r="C2657" s="294" t="s">
        <v>945</v>
      </c>
      <c r="D2657" s="317">
        <v>7274</v>
      </c>
      <c r="E2657" s="122" t="s">
        <v>870</v>
      </c>
      <c r="F2657" s="122" t="s">
        <v>946</v>
      </c>
      <c r="G2657" s="122" t="s">
        <v>785</v>
      </c>
      <c r="H2657" s="122" t="s">
        <v>777</v>
      </c>
      <c r="I2657" s="312">
        <v>2020</v>
      </c>
      <c r="J2657" s="122" t="s">
        <v>710</v>
      </c>
      <c r="K2657" s="283">
        <v>7281</v>
      </c>
      <c r="L2657" s="318">
        <v>-33.779201999999998</v>
      </c>
      <c r="M2657" s="318">
        <v>150.81410199999999</v>
      </c>
      <c r="O2657">
        <f>INDEX('MEC - traffic congestion'!$M$145:$M$249,MATCH($D2657,'MEC - traffic congestion'!$C$145:$C$249,0))</f>
        <v>1</v>
      </c>
      <c r="P2657" t="str">
        <f t="shared" si="119"/>
        <v>2020OFF PEAK</v>
      </c>
      <c r="Q2657">
        <f t="shared" si="120"/>
        <v>1</v>
      </c>
      <c r="R2657" s="195" t="str">
        <f t="shared" si="121"/>
        <v>2020LIGHT VEHICLES</v>
      </c>
    </row>
    <row r="2658" spans="3:18" x14ac:dyDescent="0.25">
      <c r="C2658" s="294" t="s">
        <v>945</v>
      </c>
      <c r="D2658" s="317">
        <v>7274</v>
      </c>
      <c r="E2658" s="122" t="s">
        <v>870</v>
      </c>
      <c r="F2658" s="122" t="s">
        <v>946</v>
      </c>
      <c r="G2658" s="122" t="s">
        <v>785</v>
      </c>
      <c r="H2658" s="122" t="s">
        <v>777</v>
      </c>
      <c r="I2658" s="312">
        <v>2020</v>
      </c>
      <c r="J2658" s="122" t="s">
        <v>711</v>
      </c>
      <c r="K2658" s="283">
        <v>3518</v>
      </c>
      <c r="L2658" s="318">
        <v>-33.779201999999998</v>
      </c>
      <c r="M2658" s="318">
        <v>150.81410199999999</v>
      </c>
      <c r="O2658">
        <f>INDEX('MEC - traffic congestion'!$M$145:$M$249,MATCH($D2658,'MEC - traffic congestion'!$C$145:$C$249,0))</f>
        <v>1</v>
      </c>
      <c r="P2658" t="str">
        <f t="shared" si="119"/>
        <v>2020PM PEAK</v>
      </c>
      <c r="Q2658">
        <f t="shared" si="120"/>
        <v>1</v>
      </c>
      <c r="R2658" s="195" t="str">
        <f t="shared" si="121"/>
        <v>2020LIGHT VEHICLES</v>
      </c>
    </row>
    <row r="2659" spans="3:18" x14ac:dyDescent="0.25">
      <c r="C2659" s="294" t="s">
        <v>945</v>
      </c>
      <c r="D2659" s="317">
        <v>7274</v>
      </c>
      <c r="E2659" s="122" t="s">
        <v>870</v>
      </c>
      <c r="F2659" s="122" t="s">
        <v>946</v>
      </c>
      <c r="G2659" s="122" t="s">
        <v>785</v>
      </c>
      <c r="H2659" s="122" t="s">
        <v>777</v>
      </c>
      <c r="I2659" s="312">
        <v>2020</v>
      </c>
      <c r="J2659" s="122" t="s">
        <v>712</v>
      </c>
      <c r="K2659" s="283">
        <v>8576</v>
      </c>
      <c r="L2659" s="318">
        <v>-33.779201999999998</v>
      </c>
      <c r="M2659" s="318">
        <v>150.81410199999999</v>
      </c>
      <c r="O2659">
        <f>INDEX('MEC - traffic congestion'!$M$145:$M$249,MATCH($D2659,'MEC - traffic congestion'!$C$145:$C$249,0))</f>
        <v>1</v>
      </c>
      <c r="P2659" t="str">
        <f t="shared" si="119"/>
        <v>2020PUBLIC HOLIDAYS</v>
      </c>
      <c r="Q2659">
        <f t="shared" si="120"/>
        <v>1</v>
      </c>
      <c r="R2659" s="195" t="str">
        <f t="shared" si="121"/>
        <v>2020LIGHT VEHICLES</v>
      </c>
    </row>
    <row r="2660" spans="3:18" x14ac:dyDescent="0.25">
      <c r="C2660" s="294" t="s">
        <v>945</v>
      </c>
      <c r="D2660" s="317">
        <v>7274</v>
      </c>
      <c r="E2660" s="122" t="s">
        <v>870</v>
      </c>
      <c r="F2660" s="122" t="s">
        <v>946</v>
      </c>
      <c r="G2660" s="122" t="s">
        <v>785</v>
      </c>
      <c r="H2660" s="122" t="s">
        <v>777</v>
      </c>
      <c r="I2660" s="312">
        <v>2020</v>
      </c>
      <c r="J2660" s="122" t="s">
        <v>713</v>
      </c>
      <c r="K2660" s="283">
        <v>11842</v>
      </c>
      <c r="L2660" s="318">
        <v>-33.779201999999998</v>
      </c>
      <c r="M2660" s="318">
        <v>150.81410199999999</v>
      </c>
      <c r="O2660">
        <f>INDEX('MEC - traffic congestion'!$M$145:$M$249,MATCH($D2660,'MEC - traffic congestion'!$C$145:$C$249,0))</f>
        <v>1</v>
      </c>
      <c r="P2660" t="str">
        <f t="shared" si="119"/>
        <v>2020WEEKENDS</v>
      </c>
      <c r="Q2660">
        <f t="shared" si="120"/>
        <v>1</v>
      </c>
      <c r="R2660" s="195" t="str">
        <f t="shared" si="121"/>
        <v>2020LIGHT VEHICLES</v>
      </c>
    </row>
    <row r="2661" spans="3:18" x14ac:dyDescent="0.25">
      <c r="C2661" s="294" t="s">
        <v>945</v>
      </c>
      <c r="D2661" s="317">
        <v>7274</v>
      </c>
      <c r="E2661" s="122" t="s">
        <v>870</v>
      </c>
      <c r="F2661" s="122" t="s">
        <v>946</v>
      </c>
      <c r="G2661" s="122" t="s">
        <v>785</v>
      </c>
      <c r="H2661" s="122" t="s">
        <v>777</v>
      </c>
      <c r="I2661" s="312">
        <v>2021</v>
      </c>
      <c r="J2661" s="122" t="s">
        <v>709</v>
      </c>
      <c r="K2661" s="283">
        <v>3624</v>
      </c>
      <c r="L2661" s="318">
        <v>-33.779201999999998</v>
      </c>
      <c r="M2661" s="318">
        <v>150.81410199999999</v>
      </c>
      <c r="O2661">
        <f>INDEX('MEC - traffic congestion'!$M$145:$M$249,MATCH($D2661,'MEC - traffic congestion'!$C$145:$C$249,0))</f>
        <v>1</v>
      </c>
      <c r="P2661" t="str">
        <f t="shared" si="119"/>
        <v>2021AM PEAK</v>
      </c>
      <c r="Q2661">
        <f t="shared" si="120"/>
        <v>1</v>
      </c>
      <c r="R2661" s="195" t="str">
        <f t="shared" si="121"/>
        <v>2021LIGHT VEHICLES</v>
      </c>
    </row>
    <row r="2662" spans="3:18" x14ac:dyDescent="0.25">
      <c r="C2662" s="294" t="s">
        <v>945</v>
      </c>
      <c r="D2662" s="317">
        <v>7274</v>
      </c>
      <c r="E2662" s="122" t="s">
        <v>870</v>
      </c>
      <c r="F2662" s="122" t="s">
        <v>946</v>
      </c>
      <c r="G2662" s="122" t="s">
        <v>785</v>
      </c>
      <c r="H2662" s="122" t="s">
        <v>777</v>
      </c>
      <c r="I2662" s="312">
        <v>2021</v>
      </c>
      <c r="J2662" s="122" t="s">
        <v>710</v>
      </c>
      <c r="K2662" s="283">
        <v>6735</v>
      </c>
      <c r="L2662" s="318">
        <v>-33.779201999999998</v>
      </c>
      <c r="M2662" s="318">
        <v>150.81410199999999</v>
      </c>
      <c r="O2662">
        <f>INDEX('MEC - traffic congestion'!$M$145:$M$249,MATCH($D2662,'MEC - traffic congestion'!$C$145:$C$249,0))</f>
        <v>1</v>
      </c>
      <c r="P2662" t="str">
        <f t="shared" si="119"/>
        <v>2021OFF PEAK</v>
      </c>
      <c r="Q2662">
        <f t="shared" si="120"/>
        <v>1</v>
      </c>
      <c r="R2662" s="195" t="str">
        <f t="shared" si="121"/>
        <v>2021LIGHT VEHICLES</v>
      </c>
    </row>
    <row r="2663" spans="3:18" x14ac:dyDescent="0.25">
      <c r="C2663" s="294" t="s">
        <v>945</v>
      </c>
      <c r="D2663" s="317">
        <v>7274</v>
      </c>
      <c r="E2663" s="122" t="s">
        <v>870</v>
      </c>
      <c r="F2663" s="122" t="s">
        <v>946</v>
      </c>
      <c r="G2663" s="122" t="s">
        <v>785</v>
      </c>
      <c r="H2663" s="122" t="s">
        <v>777</v>
      </c>
      <c r="I2663" s="312">
        <v>2021</v>
      </c>
      <c r="J2663" s="122" t="s">
        <v>711</v>
      </c>
      <c r="K2663" s="283">
        <v>3204</v>
      </c>
      <c r="L2663" s="318">
        <v>-33.779201999999998</v>
      </c>
      <c r="M2663" s="318">
        <v>150.81410199999999</v>
      </c>
      <c r="O2663">
        <f>INDEX('MEC - traffic congestion'!$M$145:$M$249,MATCH($D2663,'MEC - traffic congestion'!$C$145:$C$249,0))</f>
        <v>1</v>
      </c>
      <c r="P2663" t="str">
        <f t="shared" si="119"/>
        <v>2021PM PEAK</v>
      </c>
      <c r="Q2663">
        <f t="shared" si="120"/>
        <v>1</v>
      </c>
      <c r="R2663" s="195" t="str">
        <f t="shared" si="121"/>
        <v>2021LIGHT VEHICLES</v>
      </c>
    </row>
    <row r="2664" spans="3:18" x14ac:dyDescent="0.25">
      <c r="C2664" s="294" t="s">
        <v>945</v>
      </c>
      <c r="D2664" s="317">
        <v>7274</v>
      </c>
      <c r="E2664" s="122" t="s">
        <v>870</v>
      </c>
      <c r="F2664" s="122" t="s">
        <v>946</v>
      </c>
      <c r="G2664" s="122" t="s">
        <v>785</v>
      </c>
      <c r="H2664" s="122" t="s">
        <v>777</v>
      </c>
      <c r="I2664" s="312">
        <v>2021</v>
      </c>
      <c r="J2664" s="122" t="s">
        <v>713</v>
      </c>
      <c r="K2664" s="283">
        <v>10590</v>
      </c>
      <c r="L2664" s="318">
        <v>-33.779201999999998</v>
      </c>
      <c r="M2664" s="318">
        <v>150.81410199999999</v>
      </c>
      <c r="O2664">
        <f>INDEX('MEC - traffic congestion'!$M$145:$M$249,MATCH($D2664,'MEC - traffic congestion'!$C$145:$C$249,0))</f>
        <v>1</v>
      </c>
      <c r="P2664" t="str">
        <f t="shared" si="119"/>
        <v>2021WEEKENDS</v>
      </c>
      <c r="Q2664">
        <f t="shared" si="120"/>
        <v>1</v>
      </c>
      <c r="R2664" s="195" t="str">
        <f t="shared" si="121"/>
        <v>2021LIGHT VEHICLES</v>
      </c>
    </row>
    <row r="2665" spans="3:18" x14ac:dyDescent="0.25">
      <c r="C2665" s="294" t="s">
        <v>945</v>
      </c>
      <c r="D2665" s="317">
        <v>7274</v>
      </c>
      <c r="E2665" s="122" t="s">
        <v>870</v>
      </c>
      <c r="F2665" s="122" t="s">
        <v>946</v>
      </c>
      <c r="G2665" s="122" t="s">
        <v>785</v>
      </c>
      <c r="H2665" s="122" t="s">
        <v>777</v>
      </c>
      <c r="I2665" s="312">
        <v>2022</v>
      </c>
      <c r="J2665" s="122" t="s">
        <v>709</v>
      </c>
      <c r="K2665" s="283">
        <v>3974</v>
      </c>
      <c r="L2665" s="318">
        <v>-33.779201999999998</v>
      </c>
      <c r="M2665" s="318">
        <v>150.81410199999999</v>
      </c>
      <c r="O2665">
        <f>INDEX('MEC - traffic congestion'!$M$145:$M$249,MATCH($D2665,'MEC - traffic congestion'!$C$145:$C$249,0))</f>
        <v>1</v>
      </c>
      <c r="P2665" t="str">
        <f t="shared" si="119"/>
        <v>2022AM PEAK</v>
      </c>
      <c r="Q2665">
        <f t="shared" si="120"/>
        <v>1</v>
      </c>
      <c r="R2665" s="195" t="str">
        <f t="shared" si="121"/>
        <v>2022LIGHT VEHICLES</v>
      </c>
    </row>
    <row r="2666" spans="3:18" x14ac:dyDescent="0.25">
      <c r="C2666" s="294" t="s">
        <v>945</v>
      </c>
      <c r="D2666" s="317">
        <v>7274</v>
      </c>
      <c r="E2666" s="122" t="s">
        <v>870</v>
      </c>
      <c r="F2666" s="122" t="s">
        <v>946</v>
      </c>
      <c r="G2666" s="122" t="s">
        <v>785</v>
      </c>
      <c r="H2666" s="122" t="s">
        <v>777</v>
      </c>
      <c r="I2666" s="312">
        <v>2022</v>
      </c>
      <c r="J2666" s="122" t="s">
        <v>710</v>
      </c>
      <c r="K2666" s="283">
        <v>7075</v>
      </c>
      <c r="L2666" s="318">
        <v>-33.779201999999998</v>
      </c>
      <c r="M2666" s="318">
        <v>150.81410199999999</v>
      </c>
      <c r="O2666">
        <f>INDEX('MEC - traffic congestion'!$M$145:$M$249,MATCH($D2666,'MEC - traffic congestion'!$C$145:$C$249,0))</f>
        <v>1</v>
      </c>
      <c r="P2666" t="str">
        <f t="shared" si="119"/>
        <v>2022OFF PEAK</v>
      </c>
      <c r="Q2666">
        <f t="shared" si="120"/>
        <v>1</v>
      </c>
      <c r="R2666" s="195" t="str">
        <f t="shared" si="121"/>
        <v>2022LIGHT VEHICLES</v>
      </c>
    </row>
    <row r="2667" spans="3:18" x14ac:dyDescent="0.25">
      <c r="C2667" s="294" t="s">
        <v>945</v>
      </c>
      <c r="D2667" s="317">
        <v>7274</v>
      </c>
      <c r="E2667" s="122" t="s">
        <v>870</v>
      </c>
      <c r="F2667" s="122" t="s">
        <v>946</v>
      </c>
      <c r="G2667" s="122" t="s">
        <v>785</v>
      </c>
      <c r="H2667" s="122" t="s">
        <v>777</v>
      </c>
      <c r="I2667" s="312">
        <v>2022</v>
      </c>
      <c r="J2667" s="122" t="s">
        <v>711</v>
      </c>
      <c r="K2667" s="283">
        <v>3375</v>
      </c>
      <c r="L2667" s="318">
        <v>-33.779201999999998</v>
      </c>
      <c r="M2667" s="318">
        <v>150.81410199999999</v>
      </c>
      <c r="O2667">
        <f>INDEX('MEC - traffic congestion'!$M$145:$M$249,MATCH($D2667,'MEC - traffic congestion'!$C$145:$C$249,0))</f>
        <v>1</v>
      </c>
      <c r="P2667" t="str">
        <f t="shared" si="119"/>
        <v>2022PM PEAK</v>
      </c>
      <c r="Q2667">
        <f t="shared" si="120"/>
        <v>1</v>
      </c>
      <c r="R2667" s="195" t="str">
        <f t="shared" si="121"/>
        <v>2022LIGHT VEHICLES</v>
      </c>
    </row>
    <row r="2668" spans="3:18" x14ac:dyDescent="0.25">
      <c r="C2668" s="294" t="s">
        <v>945</v>
      </c>
      <c r="D2668" s="317">
        <v>7274</v>
      </c>
      <c r="E2668" s="122" t="s">
        <v>870</v>
      </c>
      <c r="F2668" s="122" t="s">
        <v>946</v>
      </c>
      <c r="G2668" s="122" t="s">
        <v>785</v>
      </c>
      <c r="H2668" s="122" t="s">
        <v>777</v>
      </c>
      <c r="I2668" s="312">
        <v>2022</v>
      </c>
      <c r="J2668" s="122" t="s">
        <v>713</v>
      </c>
      <c r="K2668" s="283">
        <v>11767</v>
      </c>
      <c r="L2668" s="318">
        <v>-33.779201999999998</v>
      </c>
      <c r="M2668" s="318">
        <v>150.81410199999999</v>
      </c>
      <c r="O2668">
        <f>INDEX('MEC - traffic congestion'!$M$145:$M$249,MATCH($D2668,'MEC - traffic congestion'!$C$145:$C$249,0))</f>
        <v>1</v>
      </c>
      <c r="P2668" t="str">
        <f t="shared" si="119"/>
        <v>2022WEEKENDS</v>
      </c>
      <c r="Q2668">
        <f t="shared" si="120"/>
        <v>1</v>
      </c>
      <c r="R2668" s="195" t="str">
        <f t="shared" si="121"/>
        <v>2022LIGHT VEHICLES</v>
      </c>
    </row>
    <row r="2669" spans="3:18" x14ac:dyDescent="0.25">
      <c r="C2669" s="294" t="s">
        <v>945</v>
      </c>
      <c r="D2669" s="317">
        <v>7274</v>
      </c>
      <c r="E2669" s="122" t="s">
        <v>870</v>
      </c>
      <c r="F2669" s="122" t="s">
        <v>946</v>
      </c>
      <c r="G2669" s="122" t="s">
        <v>785</v>
      </c>
      <c r="H2669" s="122" t="s">
        <v>777</v>
      </c>
      <c r="I2669" s="312">
        <v>2023</v>
      </c>
      <c r="J2669" s="122" t="s">
        <v>709</v>
      </c>
      <c r="K2669" s="283">
        <v>4433</v>
      </c>
      <c r="L2669" s="318">
        <v>-33.779201999999998</v>
      </c>
      <c r="M2669" s="318">
        <v>150.81410199999999</v>
      </c>
      <c r="O2669">
        <f>INDEX('MEC - traffic congestion'!$M$145:$M$249,MATCH($D2669,'MEC - traffic congestion'!$C$145:$C$249,0))</f>
        <v>1</v>
      </c>
      <c r="P2669" t="str">
        <f t="shared" si="119"/>
        <v>2023AM PEAK</v>
      </c>
      <c r="Q2669">
        <f t="shared" si="120"/>
        <v>1</v>
      </c>
      <c r="R2669" s="195" t="str">
        <f t="shared" si="121"/>
        <v>2023LIGHT VEHICLES</v>
      </c>
    </row>
    <row r="2670" spans="3:18" x14ac:dyDescent="0.25">
      <c r="C2670" s="294" t="s">
        <v>945</v>
      </c>
      <c r="D2670" s="317">
        <v>7274</v>
      </c>
      <c r="E2670" s="122" t="s">
        <v>870</v>
      </c>
      <c r="F2670" s="122" t="s">
        <v>946</v>
      </c>
      <c r="G2670" s="122" t="s">
        <v>785</v>
      </c>
      <c r="H2670" s="122" t="s">
        <v>777</v>
      </c>
      <c r="I2670" s="312">
        <v>2023</v>
      </c>
      <c r="J2670" s="122" t="s">
        <v>710</v>
      </c>
      <c r="K2670" s="283">
        <v>7356</v>
      </c>
      <c r="L2670" s="318">
        <v>-33.779201999999998</v>
      </c>
      <c r="M2670" s="318">
        <v>150.81410199999999</v>
      </c>
      <c r="O2670">
        <f>INDEX('MEC - traffic congestion'!$M$145:$M$249,MATCH($D2670,'MEC - traffic congestion'!$C$145:$C$249,0))</f>
        <v>1</v>
      </c>
      <c r="P2670" t="str">
        <f t="shared" si="119"/>
        <v>2023OFF PEAK</v>
      </c>
      <c r="Q2670">
        <f t="shared" si="120"/>
        <v>1</v>
      </c>
      <c r="R2670" s="195" t="str">
        <f t="shared" si="121"/>
        <v>2023LIGHT VEHICLES</v>
      </c>
    </row>
    <row r="2671" spans="3:18" x14ac:dyDescent="0.25">
      <c r="C2671" s="294" t="s">
        <v>945</v>
      </c>
      <c r="D2671" s="317">
        <v>7274</v>
      </c>
      <c r="E2671" s="122" t="s">
        <v>870</v>
      </c>
      <c r="F2671" s="122" t="s">
        <v>946</v>
      </c>
      <c r="G2671" s="122" t="s">
        <v>785</v>
      </c>
      <c r="H2671" s="122" t="s">
        <v>777</v>
      </c>
      <c r="I2671" s="312">
        <v>2023</v>
      </c>
      <c r="J2671" s="122" t="s">
        <v>711</v>
      </c>
      <c r="K2671" s="283">
        <v>3581</v>
      </c>
      <c r="L2671" s="318">
        <v>-33.779201999999998</v>
      </c>
      <c r="M2671" s="318">
        <v>150.81410199999999</v>
      </c>
      <c r="O2671">
        <f>INDEX('MEC - traffic congestion'!$M$145:$M$249,MATCH($D2671,'MEC - traffic congestion'!$C$145:$C$249,0))</f>
        <v>1</v>
      </c>
      <c r="P2671" t="str">
        <f t="shared" si="119"/>
        <v>2023PM PEAK</v>
      </c>
      <c r="Q2671">
        <f t="shared" si="120"/>
        <v>1</v>
      </c>
      <c r="R2671" s="195" t="str">
        <f t="shared" si="121"/>
        <v>2023LIGHT VEHICLES</v>
      </c>
    </row>
    <row r="2672" spans="3:18" x14ac:dyDescent="0.25">
      <c r="C2672" s="294" t="s">
        <v>945</v>
      </c>
      <c r="D2672" s="317">
        <v>7274</v>
      </c>
      <c r="E2672" s="122" t="s">
        <v>870</v>
      </c>
      <c r="F2672" s="122" t="s">
        <v>946</v>
      </c>
      <c r="G2672" s="122" t="s">
        <v>785</v>
      </c>
      <c r="H2672" s="122" t="s">
        <v>777</v>
      </c>
      <c r="I2672" s="312">
        <v>2023</v>
      </c>
      <c r="J2672" s="122" t="s">
        <v>713</v>
      </c>
      <c r="K2672" s="283">
        <v>12131</v>
      </c>
      <c r="L2672" s="318">
        <v>-33.779201999999998</v>
      </c>
      <c r="M2672" s="318">
        <v>150.81410199999999</v>
      </c>
      <c r="O2672">
        <f>INDEX('MEC - traffic congestion'!$M$145:$M$249,MATCH($D2672,'MEC - traffic congestion'!$C$145:$C$249,0))</f>
        <v>1</v>
      </c>
      <c r="P2672" t="str">
        <f t="shared" si="119"/>
        <v>2023WEEKENDS</v>
      </c>
      <c r="Q2672">
        <f t="shared" si="120"/>
        <v>1</v>
      </c>
      <c r="R2672" s="195" t="str">
        <f t="shared" si="121"/>
        <v>2023LIGHT VEHICLES</v>
      </c>
    </row>
    <row r="2673" spans="3:18" x14ac:dyDescent="0.25">
      <c r="C2673" s="294" t="s">
        <v>945</v>
      </c>
      <c r="D2673" s="317">
        <v>7274</v>
      </c>
      <c r="E2673" s="122" t="s">
        <v>870</v>
      </c>
      <c r="F2673" s="122" t="s">
        <v>946</v>
      </c>
      <c r="G2673" s="122" t="s">
        <v>785</v>
      </c>
      <c r="H2673" s="122" t="s">
        <v>777</v>
      </c>
      <c r="I2673" s="312">
        <v>2024</v>
      </c>
      <c r="J2673" s="122" t="s">
        <v>709</v>
      </c>
      <c r="K2673" s="283">
        <v>3772</v>
      </c>
      <c r="L2673" s="318">
        <v>-33.779201999999998</v>
      </c>
      <c r="M2673" s="318">
        <v>150.81410199999999</v>
      </c>
      <c r="O2673">
        <f>INDEX('MEC - traffic congestion'!$M$145:$M$249,MATCH($D2673,'MEC - traffic congestion'!$C$145:$C$249,0))</f>
        <v>1</v>
      </c>
      <c r="P2673" t="str">
        <f t="shared" si="119"/>
        <v>2024AM PEAK</v>
      </c>
      <c r="Q2673">
        <f t="shared" si="120"/>
        <v>1</v>
      </c>
      <c r="R2673" s="195" t="str">
        <f t="shared" si="121"/>
        <v>2024LIGHT VEHICLES</v>
      </c>
    </row>
    <row r="2674" spans="3:18" x14ac:dyDescent="0.25">
      <c r="C2674" s="294" t="s">
        <v>945</v>
      </c>
      <c r="D2674" s="317">
        <v>7274</v>
      </c>
      <c r="E2674" s="122" t="s">
        <v>870</v>
      </c>
      <c r="F2674" s="122" t="s">
        <v>946</v>
      </c>
      <c r="G2674" s="122" t="s">
        <v>785</v>
      </c>
      <c r="H2674" s="122" t="s">
        <v>777</v>
      </c>
      <c r="I2674" s="312">
        <v>2024</v>
      </c>
      <c r="J2674" s="122" t="s">
        <v>710</v>
      </c>
      <c r="K2674" s="283">
        <v>7099</v>
      </c>
      <c r="L2674" s="318">
        <v>-33.779201999999998</v>
      </c>
      <c r="M2674" s="318">
        <v>150.81410199999999</v>
      </c>
      <c r="O2674">
        <f>INDEX('MEC - traffic congestion'!$M$145:$M$249,MATCH($D2674,'MEC - traffic congestion'!$C$145:$C$249,0))</f>
        <v>1</v>
      </c>
      <c r="P2674" t="str">
        <f t="shared" si="119"/>
        <v>2024OFF PEAK</v>
      </c>
      <c r="Q2674">
        <f t="shared" si="120"/>
        <v>1</v>
      </c>
      <c r="R2674" s="195" t="str">
        <f t="shared" si="121"/>
        <v>2024LIGHT VEHICLES</v>
      </c>
    </row>
    <row r="2675" spans="3:18" x14ac:dyDescent="0.25">
      <c r="C2675" s="294" t="s">
        <v>945</v>
      </c>
      <c r="D2675" s="317">
        <v>7274</v>
      </c>
      <c r="E2675" s="122" t="s">
        <v>870</v>
      </c>
      <c r="F2675" s="122" t="s">
        <v>946</v>
      </c>
      <c r="G2675" s="122" t="s">
        <v>785</v>
      </c>
      <c r="H2675" s="122" t="s">
        <v>777</v>
      </c>
      <c r="I2675" s="312">
        <v>2024</v>
      </c>
      <c r="J2675" s="122" t="s">
        <v>711</v>
      </c>
      <c r="K2675" s="283">
        <v>3441</v>
      </c>
      <c r="L2675" s="318">
        <v>-33.779201999999998</v>
      </c>
      <c r="M2675" s="318">
        <v>150.81410199999999</v>
      </c>
      <c r="O2675">
        <f>INDEX('MEC - traffic congestion'!$M$145:$M$249,MATCH($D2675,'MEC - traffic congestion'!$C$145:$C$249,0))</f>
        <v>1</v>
      </c>
      <c r="P2675" t="str">
        <f t="shared" si="119"/>
        <v>2024PM PEAK</v>
      </c>
      <c r="Q2675">
        <f t="shared" si="120"/>
        <v>1</v>
      </c>
      <c r="R2675" s="195" t="str">
        <f t="shared" si="121"/>
        <v>2024LIGHT VEHICLES</v>
      </c>
    </row>
    <row r="2676" spans="3:18" x14ac:dyDescent="0.25">
      <c r="C2676" s="294" t="s">
        <v>945</v>
      </c>
      <c r="D2676" s="317">
        <v>7274</v>
      </c>
      <c r="E2676" s="122" t="s">
        <v>870</v>
      </c>
      <c r="F2676" s="122" t="s">
        <v>946</v>
      </c>
      <c r="G2676" s="122" t="s">
        <v>785</v>
      </c>
      <c r="H2676" s="122" t="s">
        <v>777</v>
      </c>
      <c r="I2676" s="312">
        <v>2024</v>
      </c>
      <c r="J2676" s="122" t="s">
        <v>713</v>
      </c>
      <c r="K2676" s="283">
        <v>11841</v>
      </c>
      <c r="L2676" s="318">
        <v>-33.779201999999998</v>
      </c>
      <c r="M2676" s="318">
        <v>150.81410199999999</v>
      </c>
      <c r="O2676">
        <f>INDEX('MEC - traffic congestion'!$M$145:$M$249,MATCH($D2676,'MEC - traffic congestion'!$C$145:$C$249,0))</f>
        <v>1</v>
      </c>
      <c r="P2676" t="str">
        <f t="shared" si="119"/>
        <v>2024WEEKENDS</v>
      </c>
      <c r="Q2676">
        <f t="shared" si="120"/>
        <v>1</v>
      </c>
      <c r="R2676" s="195" t="str">
        <f t="shared" si="121"/>
        <v>2024LIGHT VEHICLES</v>
      </c>
    </row>
    <row r="2677" spans="3:18" x14ac:dyDescent="0.25">
      <c r="C2677" s="294" t="s">
        <v>947</v>
      </c>
      <c r="D2677" s="317">
        <v>7275</v>
      </c>
      <c r="E2677" s="122" t="s">
        <v>948</v>
      </c>
      <c r="F2677" s="122" t="s">
        <v>949</v>
      </c>
      <c r="G2677" s="122" t="s">
        <v>776</v>
      </c>
      <c r="H2677" s="122" t="s">
        <v>777</v>
      </c>
      <c r="I2677" s="312">
        <v>2018</v>
      </c>
      <c r="J2677" s="122" t="s">
        <v>709</v>
      </c>
      <c r="K2677" s="283">
        <v>4283</v>
      </c>
      <c r="L2677" s="318">
        <v>-33.894714</v>
      </c>
      <c r="M2677" s="318">
        <v>151.110962</v>
      </c>
      <c r="O2677">
        <f>INDEX('MEC - traffic congestion'!$M$145:$M$249,MATCH($D2677,'MEC - traffic congestion'!$C$145:$C$249,0))</f>
        <v>1</v>
      </c>
      <c r="P2677" t="str">
        <f t="shared" si="119"/>
        <v>2018AM PEAK</v>
      </c>
      <c r="Q2677">
        <f t="shared" si="120"/>
        <v>1</v>
      </c>
      <c r="R2677" s="195" t="str">
        <f t="shared" si="121"/>
        <v>2018LIGHT VEHICLES</v>
      </c>
    </row>
    <row r="2678" spans="3:18" x14ac:dyDescent="0.25">
      <c r="C2678" s="294" t="s">
        <v>947</v>
      </c>
      <c r="D2678" s="317">
        <v>7275</v>
      </c>
      <c r="E2678" s="122" t="s">
        <v>948</v>
      </c>
      <c r="F2678" s="122" t="s">
        <v>949</v>
      </c>
      <c r="G2678" s="122" t="s">
        <v>778</v>
      </c>
      <c r="H2678" s="122" t="s">
        <v>777</v>
      </c>
      <c r="I2678" s="312">
        <v>2018</v>
      </c>
      <c r="J2678" s="122" t="s">
        <v>709</v>
      </c>
      <c r="K2678" s="283">
        <v>1760</v>
      </c>
      <c r="L2678" s="318">
        <v>-33.894714</v>
      </c>
      <c r="M2678" s="318">
        <v>151.110962</v>
      </c>
      <c r="O2678">
        <f>INDEX('MEC - traffic congestion'!$M$145:$M$249,MATCH($D2678,'MEC - traffic congestion'!$C$145:$C$249,0))</f>
        <v>1</v>
      </c>
      <c r="P2678" t="str">
        <f t="shared" si="119"/>
        <v>2018AM PEAK</v>
      </c>
      <c r="Q2678">
        <f t="shared" si="120"/>
        <v>1</v>
      </c>
      <c r="R2678" s="195" t="str">
        <f t="shared" si="121"/>
        <v>2018LIGHT VEHICLES</v>
      </c>
    </row>
    <row r="2679" spans="3:18" x14ac:dyDescent="0.25">
      <c r="C2679" s="294" t="s">
        <v>947</v>
      </c>
      <c r="D2679" s="317">
        <v>7275</v>
      </c>
      <c r="E2679" s="122" t="s">
        <v>948</v>
      </c>
      <c r="F2679" s="122" t="s">
        <v>949</v>
      </c>
      <c r="G2679" s="122" t="s">
        <v>776</v>
      </c>
      <c r="H2679" s="122" t="s">
        <v>777</v>
      </c>
      <c r="I2679" s="312">
        <v>2018</v>
      </c>
      <c r="J2679" s="122" t="s">
        <v>710</v>
      </c>
      <c r="K2679" s="283">
        <v>5793</v>
      </c>
      <c r="L2679" s="318">
        <v>-33.894714</v>
      </c>
      <c r="M2679" s="318">
        <v>151.110962</v>
      </c>
      <c r="O2679">
        <f>INDEX('MEC - traffic congestion'!$M$145:$M$249,MATCH($D2679,'MEC - traffic congestion'!$C$145:$C$249,0))</f>
        <v>1</v>
      </c>
      <c r="P2679" t="str">
        <f t="shared" si="119"/>
        <v>2018OFF PEAK</v>
      </c>
      <c r="Q2679">
        <f t="shared" si="120"/>
        <v>1</v>
      </c>
      <c r="R2679" s="195" t="str">
        <f t="shared" si="121"/>
        <v>2018LIGHT VEHICLES</v>
      </c>
    </row>
    <row r="2680" spans="3:18" x14ac:dyDescent="0.25">
      <c r="C2680" s="294" t="s">
        <v>947</v>
      </c>
      <c r="D2680" s="317">
        <v>7275</v>
      </c>
      <c r="E2680" s="122" t="s">
        <v>948</v>
      </c>
      <c r="F2680" s="122" t="s">
        <v>949</v>
      </c>
      <c r="G2680" s="122" t="s">
        <v>778</v>
      </c>
      <c r="H2680" s="122" t="s">
        <v>777</v>
      </c>
      <c r="I2680" s="312">
        <v>2018</v>
      </c>
      <c r="J2680" s="122" t="s">
        <v>710</v>
      </c>
      <c r="K2680" s="283">
        <v>6345</v>
      </c>
      <c r="L2680" s="318">
        <v>-33.894714</v>
      </c>
      <c r="M2680" s="318">
        <v>151.110962</v>
      </c>
      <c r="O2680">
        <f>INDEX('MEC - traffic congestion'!$M$145:$M$249,MATCH($D2680,'MEC - traffic congestion'!$C$145:$C$249,0))</f>
        <v>1</v>
      </c>
      <c r="P2680" t="str">
        <f t="shared" si="119"/>
        <v>2018OFF PEAK</v>
      </c>
      <c r="Q2680">
        <f t="shared" si="120"/>
        <v>1</v>
      </c>
      <c r="R2680" s="195" t="str">
        <f t="shared" si="121"/>
        <v>2018LIGHT VEHICLES</v>
      </c>
    </row>
    <row r="2681" spans="3:18" x14ac:dyDescent="0.25">
      <c r="C2681" s="294" t="s">
        <v>947</v>
      </c>
      <c r="D2681" s="317">
        <v>7275</v>
      </c>
      <c r="E2681" s="122" t="s">
        <v>948</v>
      </c>
      <c r="F2681" s="122" t="s">
        <v>949</v>
      </c>
      <c r="G2681" s="122" t="s">
        <v>776</v>
      </c>
      <c r="H2681" s="122" t="s">
        <v>777</v>
      </c>
      <c r="I2681" s="312">
        <v>2018</v>
      </c>
      <c r="J2681" s="122" t="s">
        <v>711</v>
      </c>
      <c r="K2681" s="283">
        <v>2661</v>
      </c>
      <c r="L2681" s="318">
        <v>-33.894714</v>
      </c>
      <c r="M2681" s="318">
        <v>151.110962</v>
      </c>
      <c r="O2681">
        <f>INDEX('MEC - traffic congestion'!$M$145:$M$249,MATCH($D2681,'MEC - traffic congestion'!$C$145:$C$249,0))</f>
        <v>1</v>
      </c>
      <c r="P2681" t="str">
        <f t="shared" si="119"/>
        <v>2018PM PEAK</v>
      </c>
      <c r="Q2681">
        <f t="shared" si="120"/>
        <v>1</v>
      </c>
      <c r="R2681" s="195" t="str">
        <f t="shared" si="121"/>
        <v>2018LIGHT VEHICLES</v>
      </c>
    </row>
    <row r="2682" spans="3:18" x14ac:dyDescent="0.25">
      <c r="C2682" s="294" t="s">
        <v>947</v>
      </c>
      <c r="D2682" s="317">
        <v>7275</v>
      </c>
      <c r="E2682" s="122" t="s">
        <v>948</v>
      </c>
      <c r="F2682" s="122" t="s">
        <v>949</v>
      </c>
      <c r="G2682" s="122" t="s">
        <v>778</v>
      </c>
      <c r="H2682" s="122" t="s">
        <v>777</v>
      </c>
      <c r="I2682" s="312">
        <v>2018</v>
      </c>
      <c r="J2682" s="122" t="s">
        <v>711</v>
      </c>
      <c r="K2682" s="283">
        <v>4449</v>
      </c>
      <c r="L2682" s="318">
        <v>-33.894714</v>
      </c>
      <c r="M2682" s="318">
        <v>151.110962</v>
      </c>
      <c r="O2682">
        <f>INDEX('MEC - traffic congestion'!$M$145:$M$249,MATCH($D2682,'MEC - traffic congestion'!$C$145:$C$249,0))</f>
        <v>1</v>
      </c>
      <c r="P2682" t="str">
        <f t="shared" si="119"/>
        <v>2018PM PEAK</v>
      </c>
      <c r="Q2682">
        <f t="shared" si="120"/>
        <v>1</v>
      </c>
      <c r="R2682" s="195" t="str">
        <f t="shared" si="121"/>
        <v>2018LIGHT VEHICLES</v>
      </c>
    </row>
    <row r="2683" spans="3:18" x14ac:dyDescent="0.25">
      <c r="C2683" s="294" t="s">
        <v>947</v>
      </c>
      <c r="D2683" s="317">
        <v>7275</v>
      </c>
      <c r="E2683" s="122" t="s">
        <v>948</v>
      </c>
      <c r="F2683" s="122" t="s">
        <v>949</v>
      </c>
      <c r="G2683" s="122" t="s">
        <v>776</v>
      </c>
      <c r="H2683" s="122" t="s">
        <v>777</v>
      </c>
      <c r="I2683" s="312">
        <v>2018</v>
      </c>
      <c r="J2683" s="122" t="s">
        <v>712</v>
      </c>
      <c r="K2683" s="283">
        <v>9119</v>
      </c>
      <c r="L2683" s="318">
        <v>-33.894714</v>
      </c>
      <c r="M2683" s="318">
        <v>151.110962</v>
      </c>
      <c r="O2683">
        <f>INDEX('MEC - traffic congestion'!$M$145:$M$249,MATCH($D2683,'MEC - traffic congestion'!$C$145:$C$249,0))</f>
        <v>1</v>
      </c>
      <c r="P2683" t="str">
        <f t="shared" si="119"/>
        <v>2018PUBLIC HOLIDAYS</v>
      </c>
      <c r="Q2683">
        <f t="shared" si="120"/>
        <v>1</v>
      </c>
      <c r="R2683" s="195" t="str">
        <f t="shared" si="121"/>
        <v>2018LIGHT VEHICLES</v>
      </c>
    </row>
    <row r="2684" spans="3:18" x14ac:dyDescent="0.25">
      <c r="C2684" s="294" t="s">
        <v>947</v>
      </c>
      <c r="D2684" s="317">
        <v>7275</v>
      </c>
      <c r="E2684" s="122" t="s">
        <v>948</v>
      </c>
      <c r="F2684" s="122" t="s">
        <v>949</v>
      </c>
      <c r="G2684" s="122" t="s">
        <v>778</v>
      </c>
      <c r="H2684" s="122" t="s">
        <v>777</v>
      </c>
      <c r="I2684" s="312">
        <v>2018</v>
      </c>
      <c r="J2684" s="122" t="s">
        <v>712</v>
      </c>
      <c r="K2684" s="283">
        <v>9091</v>
      </c>
      <c r="L2684" s="318">
        <v>-33.894714</v>
      </c>
      <c r="M2684" s="318">
        <v>151.110962</v>
      </c>
      <c r="O2684">
        <f>INDEX('MEC - traffic congestion'!$M$145:$M$249,MATCH($D2684,'MEC - traffic congestion'!$C$145:$C$249,0))</f>
        <v>1</v>
      </c>
      <c r="P2684" t="str">
        <f t="shared" si="119"/>
        <v>2018PUBLIC HOLIDAYS</v>
      </c>
      <c r="Q2684">
        <f t="shared" si="120"/>
        <v>1</v>
      </c>
      <c r="R2684" s="195" t="str">
        <f t="shared" si="121"/>
        <v>2018LIGHT VEHICLES</v>
      </c>
    </row>
    <row r="2685" spans="3:18" x14ac:dyDescent="0.25">
      <c r="C2685" s="294" t="s">
        <v>947</v>
      </c>
      <c r="D2685" s="317">
        <v>7275</v>
      </c>
      <c r="E2685" s="122" t="s">
        <v>948</v>
      </c>
      <c r="F2685" s="122" t="s">
        <v>949</v>
      </c>
      <c r="G2685" s="122" t="s">
        <v>776</v>
      </c>
      <c r="H2685" s="122" t="s">
        <v>777</v>
      </c>
      <c r="I2685" s="312">
        <v>2018</v>
      </c>
      <c r="J2685" s="122" t="s">
        <v>713</v>
      </c>
      <c r="K2685" s="283">
        <v>11536</v>
      </c>
      <c r="L2685" s="318">
        <v>-33.894714</v>
      </c>
      <c r="M2685" s="318">
        <v>151.110962</v>
      </c>
      <c r="O2685">
        <f>INDEX('MEC - traffic congestion'!$M$145:$M$249,MATCH($D2685,'MEC - traffic congestion'!$C$145:$C$249,0))</f>
        <v>1</v>
      </c>
      <c r="P2685" t="str">
        <f t="shared" si="119"/>
        <v>2018WEEKENDS</v>
      </c>
      <c r="Q2685">
        <f t="shared" si="120"/>
        <v>1</v>
      </c>
      <c r="R2685" s="195" t="str">
        <f t="shared" si="121"/>
        <v>2018LIGHT VEHICLES</v>
      </c>
    </row>
    <row r="2686" spans="3:18" x14ac:dyDescent="0.25">
      <c r="C2686" s="294" t="s">
        <v>947</v>
      </c>
      <c r="D2686" s="317">
        <v>7275</v>
      </c>
      <c r="E2686" s="122" t="s">
        <v>948</v>
      </c>
      <c r="F2686" s="122" t="s">
        <v>949</v>
      </c>
      <c r="G2686" s="122" t="s">
        <v>778</v>
      </c>
      <c r="H2686" s="122" t="s">
        <v>777</v>
      </c>
      <c r="I2686" s="312">
        <v>2018</v>
      </c>
      <c r="J2686" s="122" t="s">
        <v>713</v>
      </c>
      <c r="K2686" s="283">
        <v>11599</v>
      </c>
      <c r="L2686" s="318">
        <v>-33.894714</v>
      </c>
      <c r="M2686" s="318">
        <v>151.110962</v>
      </c>
      <c r="O2686">
        <f>INDEX('MEC - traffic congestion'!$M$145:$M$249,MATCH($D2686,'MEC - traffic congestion'!$C$145:$C$249,0))</f>
        <v>1</v>
      </c>
      <c r="P2686" t="str">
        <f t="shared" si="119"/>
        <v>2018WEEKENDS</v>
      </c>
      <c r="Q2686">
        <f t="shared" si="120"/>
        <v>1</v>
      </c>
      <c r="R2686" s="195" t="str">
        <f t="shared" si="121"/>
        <v>2018LIGHT VEHICLES</v>
      </c>
    </row>
    <row r="2687" spans="3:18" x14ac:dyDescent="0.25">
      <c r="C2687" s="294" t="s">
        <v>947</v>
      </c>
      <c r="D2687" s="317">
        <v>7275</v>
      </c>
      <c r="E2687" s="122" t="s">
        <v>948</v>
      </c>
      <c r="F2687" s="122" t="s">
        <v>949</v>
      </c>
      <c r="G2687" s="122" t="s">
        <v>776</v>
      </c>
      <c r="H2687" s="122" t="s">
        <v>777</v>
      </c>
      <c r="I2687" s="312">
        <v>2019</v>
      </c>
      <c r="J2687" s="122" t="s">
        <v>709</v>
      </c>
      <c r="K2687" s="283">
        <v>4173</v>
      </c>
      <c r="L2687" s="318">
        <v>-33.894714</v>
      </c>
      <c r="M2687" s="318">
        <v>151.110962</v>
      </c>
      <c r="O2687">
        <f>INDEX('MEC - traffic congestion'!$M$145:$M$249,MATCH($D2687,'MEC - traffic congestion'!$C$145:$C$249,0))</f>
        <v>1</v>
      </c>
      <c r="P2687" t="str">
        <f t="shared" si="119"/>
        <v>2019AM PEAK</v>
      </c>
      <c r="Q2687">
        <f t="shared" si="120"/>
        <v>1</v>
      </c>
      <c r="R2687" s="195" t="str">
        <f t="shared" si="121"/>
        <v>2019LIGHT VEHICLES</v>
      </c>
    </row>
    <row r="2688" spans="3:18" x14ac:dyDescent="0.25">
      <c r="C2688" s="294" t="s">
        <v>947</v>
      </c>
      <c r="D2688" s="317">
        <v>7275</v>
      </c>
      <c r="E2688" s="122" t="s">
        <v>948</v>
      </c>
      <c r="F2688" s="122" t="s">
        <v>949</v>
      </c>
      <c r="G2688" s="122" t="s">
        <v>778</v>
      </c>
      <c r="H2688" s="122" t="s">
        <v>777</v>
      </c>
      <c r="I2688" s="312">
        <v>2019</v>
      </c>
      <c r="J2688" s="122" t="s">
        <v>709</v>
      </c>
      <c r="K2688" s="283">
        <v>1747</v>
      </c>
      <c r="L2688" s="318">
        <v>-33.894714</v>
      </c>
      <c r="M2688" s="318">
        <v>151.110962</v>
      </c>
      <c r="O2688">
        <f>INDEX('MEC - traffic congestion'!$M$145:$M$249,MATCH($D2688,'MEC - traffic congestion'!$C$145:$C$249,0))</f>
        <v>1</v>
      </c>
      <c r="P2688" t="str">
        <f t="shared" si="119"/>
        <v>2019AM PEAK</v>
      </c>
      <c r="Q2688">
        <f t="shared" si="120"/>
        <v>1</v>
      </c>
      <c r="R2688" s="195" t="str">
        <f t="shared" si="121"/>
        <v>2019LIGHT VEHICLES</v>
      </c>
    </row>
    <row r="2689" spans="3:18" x14ac:dyDescent="0.25">
      <c r="C2689" s="294" t="s">
        <v>947</v>
      </c>
      <c r="D2689" s="317">
        <v>7275</v>
      </c>
      <c r="E2689" s="122" t="s">
        <v>948</v>
      </c>
      <c r="F2689" s="122" t="s">
        <v>949</v>
      </c>
      <c r="G2689" s="122" t="s">
        <v>776</v>
      </c>
      <c r="H2689" s="122" t="s">
        <v>777</v>
      </c>
      <c r="I2689" s="312">
        <v>2019</v>
      </c>
      <c r="J2689" s="122" t="s">
        <v>710</v>
      </c>
      <c r="K2689" s="283">
        <v>5698</v>
      </c>
      <c r="L2689" s="318">
        <v>-33.894714</v>
      </c>
      <c r="M2689" s="318">
        <v>151.110962</v>
      </c>
      <c r="O2689">
        <f>INDEX('MEC - traffic congestion'!$M$145:$M$249,MATCH($D2689,'MEC - traffic congestion'!$C$145:$C$249,0))</f>
        <v>1</v>
      </c>
      <c r="P2689" t="str">
        <f t="shared" si="119"/>
        <v>2019OFF PEAK</v>
      </c>
      <c r="Q2689">
        <f t="shared" si="120"/>
        <v>1</v>
      </c>
      <c r="R2689" s="195" t="str">
        <f t="shared" si="121"/>
        <v>2019LIGHT VEHICLES</v>
      </c>
    </row>
    <row r="2690" spans="3:18" x14ac:dyDescent="0.25">
      <c r="C2690" s="294" t="s">
        <v>947</v>
      </c>
      <c r="D2690" s="317">
        <v>7275</v>
      </c>
      <c r="E2690" s="122" t="s">
        <v>948</v>
      </c>
      <c r="F2690" s="122" t="s">
        <v>949</v>
      </c>
      <c r="G2690" s="122" t="s">
        <v>778</v>
      </c>
      <c r="H2690" s="122" t="s">
        <v>777</v>
      </c>
      <c r="I2690" s="312">
        <v>2019</v>
      </c>
      <c r="J2690" s="122" t="s">
        <v>710</v>
      </c>
      <c r="K2690" s="283">
        <v>6333</v>
      </c>
      <c r="L2690" s="318">
        <v>-33.894714</v>
      </c>
      <c r="M2690" s="318">
        <v>151.110962</v>
      </c>
      <c r="O2690">
        <f>INDEX('MEC - traffic congestion'!$M$145:$M$249,MATCH($D2690,'MEC - traffic congestion'!$C$145:$C$249,0))</f>
        <v>1</v>
      </c>
      <c r="P2690" t="str">
        <f t="shared" si="119"/>
        <v>2019OFF PEAK</v>
      </c>
      <c r="Q2690">
        <f t="shared" si="120"/>
        <v>1</v>
      </c>
      <c r="R2690" s="195" t="str">
        <f t="shared" si="121"/>
        <v>2019LIGHT VEHICLES</v>
      </c>
    </row>
    <row r="2691" spans="3:18" x14ac:dyDescent="0.25">
      <c r="C2691" s="294" t="s">
        <v>947</v>
      </c>
      <c r="D2691" s="317">
        <v>7275</v>
      </c>
      <c r="E2691" s="122" t="s">
        <v>948</v>
      </c>
      <c r="F2691" s="122" t="s">
        <v>949</v>
      </c>
      <c r="G2691" s="122" t="s">
        <v>776</v>
      </c>
      <c r="H2691" s="122" t="s">
        <v>777</v>
      </c>
      <c r="I2691" s="312">
        <v>2019</v>
      </c>
      <c r="J2691" s="122" t="s">
        <v>711</v>
      </c>
      <c r="K2691" s="283">
        <v>2636</v>
      </c>
      <c r="L2691" s="318">
        <v>-33.894714</v>
      </c>
      <c r="M2691" s="318">
        <v>151.110962</v>
      </c>
      <c r="O2691">
        <f>INDEX('MEC - traffic congestion'!$M$145:$M$249,MATCH($D2691,'MEC - traffic congestion'!$C$145:$C$249,0))</f>
        <v>1</v>
      </c>
      <c r="P2691" t="str">
        <f t="shared" si="119"/>
        <v>2019PM PEAK</v>
      </c>
      <c r="Q2691">
        <f t="shared" si="120"/>
        <v>1</v>
      </c>
      <c r="R2691" s="195" t="str">
        <f t="shared" si="121"/>
        <v>2019LIGHT VEHICLES</v>
      </c>
    </row>
    <row r="2692" spans="3:18" x14ac:dyDescent="0.25">
      <c r="C2692" s="294" t="s">
        <v>947</v>
      </c>
      <c r="D2692" s="317">
        <v>7275</v>
      </c>
      <c r="E2692" s="122" t="s">
        <v>948</v>
      </c>
      <c r="F2692" s="122" t="s">
        <v>949</v>
      </c>
      <c r="G2692" s="122" t="s">
        <v>778</v>
      </c>
      <c r="H2692" s="122" t="s">
        <v>777</v>
      </c>
      <c r="I2692" s="312">
        <v>2019</v>
      </c>
      <c r="J2692" s="122" t="s">
        <v>711</v>
      </c>
      <c r="K2692" s="283">
        <v>4419</v>
      </c>
      <c r="L2692" s="318">
        <v>-33.894714</v>
      </c>
      <c r="M2692" s="318">
        <v>151.110962</v>
      </c>
      <c r="O2692">
        <f>INDEX('MEC - traffic congestion'!$M$145:$M$249,MATCH($D2692,'MEC - traffic congestion'!$C$145:$C$249,0))</f>
        <v>1</v>
      </c>
      <c r="P2692" t="str">
        <f t="shared" si="119"/>
        <v>2019PM PEAK</v>
      </c>
      <c r="Q2692">
        <f t="shared" si="120"/>
        <v>1</v>
      </c>
      <c r="R2692" s="195" t="str">
        <f t="shared" si="121"/>
        <v>2019LIGHT VEHICLES</v>
      </c>
    </row>
    <row r="2693" spans="3:18" x14ac:dyDescent="0.25">
      <c r="C2693" s="294" t="s">
        <v>947</v>
      </c>
      <c r="D2693" s="317">
        <v>7275</v>
      </c>
      <c r="E2693" s="122" t="s">
        <v>948</v>
      </c>
      <c r="F2693" s="122" t="s">
        <v>949</v>
      </c>
      <c r="G2693" s="122" t="s">
        <v>776</v>
      </c>
      <c r="H2693" s="122" t="s">
        <v>777</v>
      </c>
      <c r="I2693" s="312">
        <v>2019</v>
      </c>
      <c r="J2693" s="122" t="s">
        <v>712</v>
      </c>
      <c r="K2693" s="283">
        <v>9272</v>
      </c>
      <c r="L2693" s="318">
        <v>-33.894714</v>
      </c>
      <c r="M2693" s="318">
        <v>151.110962</v>
      </c>
      <c r="O2693">
        <f>INDEX('MEC - traffic congestion'!$M$145:$M$249,MATCH($D2693,'MEC - traffic congestion'!$C$145:$C$249,0))</f>
        <v>1</v>
      </c>
      <c r="P2693" t="str">
        <f t="shared" si="119"/>
        <v>2019PUBLIC HOLIDAYS</v>
      </c>
      <c r="Q2693">
        <f t="shared" si="120"/>
        <v>1</v>
      </c>
      <c r="R2693" s="195" t="str">
        <f t="shared" si="121"/>
        <v>2019LIGHT VEHICLES</v>
      </c>
    </row>
    <row r="2694" spans="3:18" x14ac:dyDescent="0.25">
      <c r="C2694" s="294" t="s">
        <v>947</v>
      </c>
      <c r="D2694" s="317">
        <v>7275</v>
      </c>
      <c r="E2694" s="122" t="s">
        <v>948</v>
      </c>
      <c r="F2694" s="122" t="s">
        <v>949</v>
      </c>
      <c r="G2694" s="122" t="s">
        <v>778</v>
      </c>
      <c r="H2694" s="122" t="s">
        <v>777</v>
      </c>
      <c r="I2694" s="312">
        <v>2019</v>
      </c>
      <c r="J2694" s="122" t="s">
        <v>712</v>
      </c>
      <c r="K2694" s="283">
        <v>9527</v>
      </c>
      <c r="L2694" s="318">
        <v>-33.894714</v>
      </c>
      <c r="M2694" s="318">
        <v>151.110962</v>
      </c>
      <c r="O2694">
        <f>INDEX('MEC - traffic congestion'!$M$145:$M$249,MATCH($D2694,'MEC - traffic congestion'!$C$145:$C$249,0))</f>
        <v>1</v>
      </c>
      <c r="P2694" t="str">
        <f t="shared" si="119"/>
        <v>2019PUBLIC HOLIDAYS</v>
      </c>
      <c r="Q2694">
        <f t="shared" si="120"/>
        <v>1</v>
      </c>
      <c r="R2694" s="195" t="str">
        <f t="shared" si="121"/>
        <v>2019LIGHT VEHICLES</v>
      </c>
    </row>
    <row r="2695" spans="3:18" x14ac:dyDescent="0.25">
      <c r="C2695" s="294" t="s">
        <v>947</v>
      </c>
      <c r="D2695" s="317">
        <v>7275</v>
      </c>
      <c r="E2695" s="122" t="s">
        <v>948</v>
      </c>
      <c r="F2695" s="122" t="s">
        <v>949</v>
      </c>
      <c r="G2695" s="122" t="s">
        <v>776</v>
      </c>
      <c r="H2695" s="122" t="s">
        <v>777</v>
      </c>
      <c r="I2695" s="312">
        <v>2019</v>
      </c>
      <c r="J2695" s="122" t="s">
        <v>713</v>
      </c>
      <c r="K2695" s="283">
        <v>11429</v>
      </c>
      <c r="L2695" s="318">
        <v>-33.894714</v>
      </c>
      <c r="M2695" s="318">
        <v>151.110962</v>
      </c>
      <c r="O2695">
        <f>INDEX('MEC - traffic congestion'!$M$145:$M$249,MATCH($D2695,'MEC - traffic congestion'!$C$145:$C$249,0))</f>
        <v>1</v>
      </c>
      <c r="P2695" t="str">
        <f t="shared" si="119"/>
        <v>2019WEEKENDS</v>
      </c>
      <c r="Q2695">
        <f t="shared" si="120"/>
        <v>1</v>
      </c>
      <c r="R2695" s="195" t="str">
        <f t="shared" si="121"/>
        <v>2019LIGHT VEHICLES</v>
      </c>
    </row>
    <row r="2696" spans="3:18" x14ac:dyDescent="0.25">
      <c r="C2696" s="294" t="s">
        <v>947</v>
      </c>
      <c r="D2696" s="317">
        <v>7275</v>
      </c>
      <c r="E2696" s="122" t="s">
        <v>948</v>
      </c>
      <c r="F2696" s="122" t="s">
        <v>949</v>
      </c>
      <c r="G2696" s="122" t="s">
        <v>778</v>
      </c>
      <c r="H2696" s="122" t="s">
        <v>777</v>
      </c>
      <c r="I2696" s="312">
        <v>2019</v>
      </c>
      <c r="J2696" s="122" t="s">
        <v>713</v>
      </c>
      <c r="K2696" s="283">
        <v>11518</v>
      </c>
      <c r="L2696" s="318">
        <v>-33.894714</v>
      </c>
      <c r="M2696" s="318">
        <v>151.110962</v>
      </c>
      <c r="O2696">
        <f>INDEX('MEC - traffic congestion'!$M$145:$M$249,MATCH($D2696,'MEC - traffic congestion'!$C$145:$C$249,0))</f>
        <v>1</v>
      </c>
      <c r="P2696" t="str">
        <f t="shared" si="119"/>
        <v>2019WEEKENDS</v>
      </c>
      <c r="Q2696">
        <f t="shared" si="120"/>
        <v>1</v>
      </c>
      <c r="R2696" s="195" t="str">
        <f t="shared" si="121"/>
        <v>2019LIGHT VEHICLES</v>
      </c>
    </row>
    <row r="2697" spans="3:18" x14ac:dyDescent="0.25">
      <c r="C2697" s="294" t="s">
        <v>947</v>
      </c>
      <c r="D2697" s="317">
        <v>7275</v>
      </c>
      <c r="E2697" s="122" t="s">
        <v>948</v>
      </c>
      <c r="F2697" s="122" t="s">
        <v>949</v>
      </c>
      <c r="G2697" s="122" t="s">
        <v>776</v>
      </c>
      <c r="H2697" s="122" t="s">
        <v>777</v>
      </c>
      <c r="I2697" s="312">
        <v>2020</v>
      </c>
      <c r="J2697" s="122" t="s">
        <v>709</v>
      </c>
      <c r="K2697" s="283">
        <v>3718</v>
      </c>
      <c r="L2697" s="318">
        <v>-33.894714</v>
      </c>
      <c r="M2697" s="318">
        <v>151.110962</v>
      </c>
      <c r="O2697">
        <f>INDEX('MEC - traffic congestion'!$M$145:$M$249,MATCH($D2697,'MEC - traffic congestion'!$C$145:$C$249,0))</f>
        <v>1</v>
      </c>
      <c r="P2697" t="str">
        <f t="shared" si="119"/>
        <v>2020AM PEAK</v>
      </c>
      <c r="Q2697">
        <f t="shared" si="120"/>
        <v>1</v>
      </c>
      <c r="R2697" s="195" t="str">
        <f t="shared" si="121"/>
        <v>2020LIGHT VEHICLES</v>
      </c>
    </row>
    <row r="2698" spans="3:18" x14ac:dyDescent="0.25">
      <c r="C2698" s="294" t="s">
        <v>947</v>
      </c>
      <c r="D2698" s="317">
        <v>7275</v>
      </c>
      <c r="E2698" s="122" t="s">
        <v>948</v>
      </c>
      <c r="F2698" s="122" t="s">
        <v>949</v>
      </c>
      <c r="G2698" s="122" t="s">
        <v>778</v>
      </c>
      <c r="H2698" s="122" t="s">
        <v>777</v>
      </c>
      <c r="I2698" s="312">
        <v>2020</v>
      </c>
      <c r="J2698" s="122" t="s">
        <v>709</v>
      </c>
      <c r="K2698" s="283">
        <v>1757</v>
      </c>
      <c r="L2698" s="318">
        <v>-33.894714</v>
      </c>
      <c r="M2698" s="318">
        <v>151.110962</v>
      </c>
      <c r="O2698">
        <f>INDEX('MEC - traffic congestion'!$M$145:$M$249,MATCH($D2698,'MEC - traffic congestion'!$C$145:$C$249,0))</f>
        <v>1</v>
      </c>
      <c r="P2698" t="str">
        <f t="shared" si="119"/>
        <v>2020AM PEAK</v>
      </c>
      <c r="Q2698">
        <f t="shared" si="120"/>
        <v>1</v>
      </c>
      <c r="R2698" s="195" t="str">
        <f t="shared" si="121"/>
        <v>2020LIGHT VEHICLES</v>
      </c>
    </row>
    <row r="2699" spans="3:18" x14ac:dyDescent="0.25">
      <c r="C2699" s="294" t="s">
        <v>947</v>
      </c>
      <c r="D2699" s="317">
        <v>7275</v>
      </c>
      <c r="E2699" s="122" t="s">
        <v>948</v>
      </c>
      <c r="F2699" s="122" t="s">
        <v>949</v>
      </c>
      <c r="G2699" s="122" t="s">
        <v>776</v>
      </c>
      <c r="H2699" s="122" t="s">
        <v>777</v>
      </c>
      <c r="I2699" s="312">
        <v>2020</v>
      </c>
      <c r="J2699" s="122" t="s">
        <v>710</v>
      </c>
      <c r="K2699" s="283">
        <v>5440</v>
      </c>
      <c r="L2699" s="318">
        <v>-33.894714</v>
      </c>
      <c r="M2699" s="318">
        <v>151.110962</v>
      </c>
      <c r="O2699">
        <f>INDEX('MEC - traffic congestion'!$M$145:$M$249,MATCH($D2699,'MEC - traffic congestion'!$C$145:$C$249,0))</f>
        <v>1</v>
      </c>
      <c r="P2699" t="str">
        <f t="shared" si="119"/>
        <v>2020OFF PEAK</v>
      </c>
      <c r="Q2699">
        <f t="shared" si="120"/>
        <v>1</v>
      </c>
      <c r="R2699" s="195" t="str">
        <f t="shared" si="121"/>
        <v>2020LIGHT VEHICLES</v>
      </c>
    </row>
    <row r="2700" spans="3:18" x14ac:dyDescent="0.25">
      <c r="C2700" s="294" t="s">
        <v>947</v>
      </c>
      <c r="D2700" s="317">
        <v>7275</v>
      </c>
      <c r="E2700" s="122" t="s">
        <v>948</v>
      </c>
      <c r="F2700" s="122" t="s">
        <v>949</v>
      </c>
      <c r="G2700" s="122" t="s">
        <v>778</v>
      </c>
      <c r="H2700" s="122" t="s">
        <v>777</v>
      </c>
      <c r="I2700" s="312">
        <v>2020</v>
      </c>
      <c r="J2700" s="122" t="s">
        <v>710</v>
      </c>
      <c r="K2700" s="283">
        <v>5710</v>
      </c>
      <c r="L2700" s="318">
        <v>-33.894714</v>
      </c>
      <c r="M2700" s="318">
        <v>151.110962</v>
      </c>
      <c r="O2700">
        <f>INDEX('MEC - traffic congestion'!$M$145:$M$249,MATCH($D2700,'MEC - traffic congestion'!$C$145:$C$249,0))</f>
        <v>1</v>
      </c>
      <c r="P2700" t="str">
        <f t="shared" si="119"/>
        <v>2020OFF PEAK</v>
      </c>
      <c r="Q2700">
        <f t="shared" si="120"/>
        <v>1</v>
      </c>
      <c r="R2700" s="195" t="str">
        <f t="shared" si="121"/>
        <v>2020LIGHT VEHICLES</v>
      </c>
    </row>
    <row r="2701" spans="3:18" x14ac:dyDescent="0.25">
      <c r="C2701" s="294" t="s">
        <v>947</v>
      </c>
      <c r="D2701" s="317">
        <v>7275</v>
      </c>
      <c r="E2701" s="122" t="s">
        <v>948</v>
      </c>
      <c r="F2701" s="122" t="s">
        <v>949</v>
      </c>
      <c r="G2701" s="122" t="s">
        <v>776</v>
      </c>
      <c r="H2701" s="122" t="s">
        <v>777</v>
      </c>
      <c r="I2701" s="312">
        <v>2020</v>
      </c>
      <c r="J2701" s="122" t="s">
        <v>711</v>
      </c>
      <c r="K2701" s="283">
        <v>2605</v>
      </c>
      <c r="L2701" s="318">
        <v>-33.894714</v>
      </c>
      <c r="M2701" s="318">
        <v>151.110962</v>
      </c>
      <c r="O2701">
        <f>INDEX('MEC - traffic congestion'!$M$145:$M$249,MATCH($D2701,'MEC - traffic congestion'!$C$145:$C$249,0))</f>
        <v>1</v>
      </c>
      <c r="P2701" t="str">
        <f t="shared" si="119"/>
        <v>2020PM PEAK</v>
      </c>
      <c r="Q2701">
        <f t="shared" si="120"/>
        <v>1</v>
      </c>
      <c r="R2701" s="195" t="str">
        <f t="shared" si="121"/>
        <v>2020LIGHT VEHICLES</v>
      </c>
    </row>
    <row r="2702" spans="3:18" x14ac:dyDescent="0.25">
      <c r="C2702" s="294" t="s">
        <v>947</v>
      </c>
      <c r="D2702" s="317">
        <v>7275</v>
      </c>
      <c r="E2702" s="122" t="s">
        <v>948</v>
      </c>
      <c r="F2702" s="122" t="s">
        <v>949</v>
      </c>
      <c r="G2702" s="122" t="s">
        <v>778</v>
      </c>
      <c r="H2702" s="122" t="s">
        <v>777</v>
      </c>
      <c r="I2702" s="312">
        <v>2020</v>
      </c>
      <c r="J2702" s="122" t="s">
        <v>711</v>
      </c>
      <c r="K2702" s="283">
        <v>4078</v>
      </c>
      <c r="L2702" s="318">
        <v>-33.894714</v>
      </c>
      <c r="M2702" s="318">
        <v>151.110962</v>
      </c>
      <c r="O2702">
        <f>INDEX('MEC - traffic congestion'!$M$145:$M$249,MATCH($D2702,'MEC - traffic congestion'!$C$145:$C$249,0))</f>
        <v>1</v>
      </c>
      <c r="P2702" t="str">
        <f t="shared" si="119"/>
        <v>2020PM PEAK</v>
      </c>
      <c r="Q2702">
        <f t="shared" si="120"/>
        <v>1</v>
      </c>
      <c r="R2702" s="195" t="str">
        <f t="shared" si="121"/>
        <v>2020LIGHT VEHICLES</v>
      </c>
    </row>
    <row r="2703" spans="3:18" x14ac:dyDescent="0.25">
      <c r="C2703" s="294" t="s">
        <v>947</v>
      </c>
      <c r="D2703" s="317">
        <v>7275</v>
      </c>
      <c r="E2703" s="122" t="s">
        <v>948</v>
      </c>
      <c r="F2703" s="122" t="s">
        <v>949</v>
      </c>
      <c r="G2703" s="122" t="s">
        <v>776</v>
      </c>
      <c r="H2703" s="122" t="s">
        <v>777</v>
      </c>
      <c r="I2703" s="312">
        <v>2020</v>
      </c>
      <c r="J2703" s="122" t="s">
        <v>712</v>
      </c>
      <c r="K2703" s="283">
        <v>7667</v>
      </c>
      <c r="L2703" s="318">
        <v>-33.894714</v>
      </c>
      <c r="M2703" s="318">
        <v>151.110962</v>
      </c>
      <c r="O2703">
        <f>INDEX('MEC - traffic congestion'!$M$145:$M$249,MATCH($D2703,'MEC - traffic congestion'!$C$145:$C$249,0))</f>
        <v>1</v>
      </c>
      <c r="P2703" t="str">
        <f t="shared" si="119"/>
        <v>2020PUBLIC HOLIDAYS</v>
      </c>
      <c r="Q2703">
        <f t="shared" si="120"/>
        <v>1</v>
      </c>
      <c r="R2703" s="195" t="str">
        <f t="shared" si="121"/>
        <v>2020LIGHT VEHICLES</v>
      </c>
    </row>
    <row r="2704" spans="3:18" x14ac:dyDescent="0.25">
      <c r="C2704" s="294" t="s">
        <v>947</v>
      </c>
      <c r="D2704" s="317">
        <v>7275</v>
      </c>
      <c r="E2704" s="122" t="s">
        <v>948</v>
      </c>
      <c r="F2704" s="122" t="s">
        <v>949</v>
      </c>
      <c r="G2704" s="122" t="s">
        <v>778</v>
      </c>
      <c r="H2704" s="122" t="s">
        <v>777</v>
      </c>
      <c r="I2704" s="312">
        <v>2020</v>
      </c>
      <c r="J2704" s="122" t="s">
        <v>712</v>
      </c>
      <c r="K2704" s="283">
        <v>8084</v>
      </c>
      <c r="L2704" s="318">
        <v>-33.894714</v>
      </c>
      <c r="M2704" s="318">
        <v>151.110962</v>
      </c>
      <c r="O2704">
        <f>INDEX('MEC - traffic congestion'!$M$145:$M$249,MATCH($D2704,'MEC - traffic congestion'!$C$145:$C$249,0))</f>
        <v>1</v>
      </c>
      <c r="P2704" t="str">
        <f t="shared" si="119"/>
        <v>2020PUBLIC HOLIDAYS</v>
      </c>
      <c r="Q2704">
        <f t="shared" si="120"/>
        <v>1</v>
      </c>
      <c r="R2704" s="195" t="str">
        <f t="shared" si="121"/>
        <v>2020LIGHT VEHICLES</v>
      </c>
    </row>
    <row r="2705" spans="3:18" x14ac:dyDescent="0.25">
      <c r="C2705" s="294" t="s">
        <v>947</v>
      </c>
      <c r="D2705" s="317">
        <v>7275</v>
      </c>
      <c r="E2705" s="122" t="s">
        <v>948</v>
      </c>
      <c r="F2705" s="122" t="s">
        <v>949</v>
      </c>
      <c r="G2705" s="122" t="s">
        <v>776</v>
      </c>
      <c r="H2705" s="122" t="s">
        <v>777</v>
      </c>
      <c r="I2705" s="312">
        <v>2020</v>
      </c>
      <c r="J2705" s="122" t="s">
        <v>713</v>
      </c>
      <c r="K2705" s="283">
        <v>10279</v>
      </c>
      <c r="L2705" s="318">
        <v>-33.894714</v>
      </c>
      <c r="M2705" s="318">
        <v>151.110962</v>
      </c>
      <c r="O2705">
        <f>INDEX('MEC - traffic congestion'!$M$145:$M$249,MATCH($D2705,'MEC - traffic congestion'!$C$145:$C$249,0))</f>
        <v>1</v>
      </c>
      <c r="P2705" t="str">
        <f t="shared" si="119"/>
        <v>2020WEEKENDS</v>
      </c>
      <c r="Q2705">
        <f t="shared" si="120"/>
        <v>1</v>
      </c>
      <c r="R2705" s="195" t="str">
        <f t="shared" si="121"/>
        <v>2020LIGHT VEHICLES</v>
      </c>
    </row>
    <row r="2706" spans="3:18" x14ac:dyDescent="0.25">
      <c r="C2706" s="294" t="s">
        <v>947</v>
      </c>
      <c r="D2706" s="317">
        <v>7275</v>
      </c>
      <c r="E2706" s="122" t="s">
        <v>948</v>
      </c>
      <c r="F2706" s="122" t="s">
        <v>949</v>
      </c>
      <c r="G2706" s="122" t="s">
        <v>778</v>
      </c>
      <c r="H2706" s="122" t="s">
        <v>777</v>
      </c>
      <c r="I2706" s="312">
        <v>2020</v>
      </c>
      <c r="J2706" s="122" t="s">
        <v>713</v>
      </c>
      <c r="K2706" s="283">
        <v>10236</v>
      </c>
      <c r="L2706" s="318">
        <v>-33.894714</v>
      </c>
      <c r="M2706" s="318">
        <v>151.110962</v>
      </c>
      <c r="O2706">
        <f>INDEX('MEC - traffic congestion'!$M$145:$M$249,MATCH($D2706,'MEC - traffic congestion'!$C$145:$C$249,0))</f>
        <v>1</v>
      </c>
      <c r="P2706" t="str">
        <f t="shared" si="119"/>
        <v>2020WEEKENDS</v>
      </c>
      <c r="Q2706">
        <f t="shared" si="120"/>
        <v>1</v>
      </c>
      <c r="R2706" s="195" t="str">
        <f t="shared" si="121"/>
        <v>2020LIGHT VEHICLES</v>
      </c>
    </row>
    <row r="2707" spans="3:18" x14ac:dyDescent="0.25">
      <c r="C2707" s="294" t="s">
        <v>947</v>
      </c>
      <c r="D2707" s="317">
        <v>7275</v>
      </c>
      <c r="E2707" s="122" t="s">
        <v>948</v>
      </c>
      <c r="F2707" s="122" t="s">
        <v>949</v>
      </c>
      <c r="G2707" s="122" t="s">
        <v>776</v>
      </c>
      <c r="H2707" s="122" t="s">
        <v>777</v>
      </c>
      <c r="I2707" s="312">
        <v>2021</v>
      </c>
      <c r="J2707" s="122" t="s">
        <v>709</v>
      </c>
      <c r="K2707" s="283">
        <v>3294</v>
      </c>
      <c r="L2707" s="318">
        <v>-33.894714</v>
      </c>
      <c r="M2707" s="318">
        <v>151.110962</v>
      </c>
      <c r="O2707">
        <f>INDEX('MEC - traffic congestion'!$M$145:$M$249,MATCH($D2707,'MEC - traffic congestion'!$C$145:$C$249,0))</f>
        <v>1</v>
      </c>
      <c r="P2707" t="str">
        <f t="shared" si="119"/>
        <v>2021AM PEAK</v>
      </c>
      <c r="Q2707">
        <f t="shared" si="120"/>
        <v>1</v>
      </c>
      <c r="R2707" s="195" t="str">
        <f t="shared" si="121"/>
        <v>2021LIGHT VEHICLES</v>
      </c>
    </row>
    <row r="2708" spans="3:18" x14ac:dyDescent="0.25">
      <c r="C2708" s="294" t="s">
        <v>947</v>
      </c>
      <c r="D2708" s="317">
        <v>7275</v>
      </c>
      <c r="E2708" s="122" t="s">
        <v>948</v>
      </c>
      <c r="F2708" s="122" t="s">
        <v>949</v>
      </c>
      <c r="G2708" s="122" t="s">
        <v>778</v>
      </c>
      <c r="H2708" s="122" t="s">
        <v>777</v>
      </c>
      <c r="I2708" s="312">
        <v>2021</v>
      </c>
      <c r="J2708" s="122" t="s">
        <v>709</v>
      </c>
      <c r="K2708" s="283">
        <v>1662</v>
      </c>
      <c r="L2708" s="318">
        <v>-33.894714</v>
      </c>
      <c r="M2708" s="318">
        <v>151.110962</v>
      </c>
      <c r="O2708">
        <f>INDEX('MEC - traffic congestion'!$M$145:$M$249,MATCH($D2708,'MEC - traffic congestion'!$C$145:$C$249,0))</f>
        <v>1</v>
      </c>
      <c r="P2708" t="str">
        <f t="shared" si="119"/>
        <v>2021AM PEAK</v>
      </c>
      <c r="Q2708">
        <f t="shared" si="120"/>
        <v>1</v>
      </c>
      <c r="R2708" s="195" t="str">
        <f t="shared" si="121"/>
        <v>2021LIGHT VEHICLES</v>
      </c>
    </row>
    <row r="2709" spans="3:18" x14ac:dyDescent="0.25">
      <c r="C2709" s="294" t="s">
        <v>947</v>
      </c>
      <c r="D2709" s="317">
        <v>7275</v>
      </c>
      <c r="E2709" s="122" t="s">
        <v>948</v>
      </c>
      <c r="F2709" s="122" t="s">
        <v>949</v>
      </c>
      <c r="G2709" s="122" t="s">
        <v>776</v>
      </c>
      <c r="H2709" s="122" t="s">
        <v>777</v>
      </c>
      <c r="I2709" s="312">
        <v>2021</v>
      </c>
      <c r="J2709" s="122" t="s">
        <v>710</v>
      </c>
      <c r="K2709" s="283">
        <v>5038</v>
      </c>
      <c r="L2709" s="318">
        <v>-33.894714</v>
      </c>
      <c r="M2709" s="318">
        <v>151.110962</v>
      </c>
      <c r="O2709">
        <f>INDEX('MEC - traffic congestion'!$M$145:$M$249,MATCH($D2709,'MEC - traffic congestion'!$C$145:$C$249,0))</f>
        <v>1</v>
      </c>
      <c r="P2709" t="str">
        <f t="shared" ref="P2709:P2772" si="122">IF($O2709=1,$I2709&amp;$J2709,"")</f>
        <v>2021OFF PEAK</v>
      </c>
      <c r="Q2709">
        <f t="shared" ref="Q2709:Q2772" si="123">IF(AND($M2709&gt;150.246,AND($L2709&gt;-34.397,$L2709&lt;-32.662)),1,0)</f>
        <v>1</v>
      </c>
      <c r="R2709" s="195" t="str">
        <f t="shared" ref="R2709:R2772" si="124">IF($O2709=1,$I2709&amp;$H2709,"")</f>
        <v>2021LIGHT VEHICLES</v>
      </c>
    </row>
    <row r="2710" spans="3:18" x14ac:dyDescent="0.25">
      <c r="C2710" s="294" t="s">
        <v>947</v>
      </c>
      <c r="D2710" s="317">
        <v>7275</v>
      </c>
      <c r="E2710" s="122" t="s">
        <v>948</v>
      </c>
      <c r="F2710" s="122" t="s">
        <v>949</v>
      </c>
      <c r="G2710" s="122" t="s">
        <v>778</v>
      </c>
      <c r="H2710" s="122" t="s">
        <v>777</v>
      </c>
      <c r="I2710" s="312">
        <v>2021</v>
      </c>
      <c r="J2710" s="122" t="s">
        <v>710</v>
      </c>
      <c r="K2710" s="283">
        <v>5217</v>
      </c>
      <c r="L2710" s="318">
        <v>-33.894714</v>
      </c>
      <c r="M2710" s="318">
        <v>151.110962</v>
      </c>
      <c r="O2710">
        <f>INDEX('MEC - traffic congestion'!$M$145:$M$249,MATCH($D2710,'MEC - traffic congestion'!$C$145:$C$249,0))</f>
        <v>1</v>
      </c>
      <c r="P2710" t="str">
        <f t="shared" si="122"/>
        <v>2021OFF PEAK</v>
      </c>
      <c r="Q2710">
        <f t="shared" si="123"/>
        <v>1</v>
      </c>
      <c r="R2710" s="195" t="str">
        <f t="shared" si="124"/>
        <v>2021LIGHT VEHICLES</v>
      </c>
    </row>
    <row r="2711" spans="3:18" x14ac:dyDescent="0.25">
      <c r="C2711" s="294" t="s">
        <v>947</v>
      </c>
      <c r="D2711" s="317">
        <v>7275</v>
      </c>
      <c r="E2711" s="122" t="s">
        <v>948</v>
      </c>
      <c r="F2711" s="122" t="s">
        <v>949</v>
      </c>
      <c r="G2711" s="122" t="s">
        <v>776</v>
      </c>
      <c r="H2711" s="122" t="s">
        <v>777</v>
      </c>
      <c r="I2711" s="312">
        <v>2021</v>
      </c>
      <c r="J2711" s="122" t="s">
        <v>711</v>
      </c>
      <c r="K2711" s="283">
        <v>2415</v>
      </c>
      <c r="L2711" s="318">
        <v>-33.894714</v>
      </c>
      <c r="M2711" s="318">
        <v>151.110962</v>
      </c>
      <c r="O2711">
        <f>INDEX('MEC - traffic congestion'!$M$145:$M$249,MATCH($D2711,'MEC - traffic congestion'!$C$145:$C$249,0))</f>
        <v>1</v>
      </c>
      <c r="P2711" t="str">
        <f t="shared" si="122"/>
        <v>2021PM PEAK</v>
      </c>
      <c r="Q2711">
        <f t="shared" si="123"/>
        <v>1</v>
      </c>
      <c r="R2711" s="195" t="str">
        <f t="shared" si="124"/>
        <v>2021LIGHT VEHICLES</v>
      </c>
    </row>
    <row r="2712" spans="3:18" x14ac:dyDescent="0.25">
      <c r="C2712" s="294" t="s">
        <v>947</v>
      </c>
      <c r="D2712" s="317">
        <v>7275</v>
      </c>
      <c r="E2712" s="122" t="s">
        <v>948</v>
      </c>
      <c r="F2712" s="122" t="s">
        <v>949</v>
      </c>
      <c r="G2712" s="122" t="s">
        <v>778</v>
      </c>
      <c r="H2712" s="122" t="s">
        <v>777</v>
      </c>
      <c r="I2712" s="312">
        <v>2021</v>
      </c>
      <c r="J2712" s="122" t="s">
        <v>711</v>
      </c>
      <c r="K2712" s="283">
        <v>3592</v>
      </c>
      <c r="L2712" s="318">
        <v>-33.894714</v>
      </c>
      <c r="M2712" s="318">
        <v>151.110962</v>
      </c>
      <c r="O2712">
        <f>INDEX('MEC - traffic congestion'!$M$145:$M$249,MATCH($D2712,'MEC - traffic congestion'!$C$145:$C$249,0))</f>
        <v>1</v>
      </c>
      <c r="P2712" t="str">
        <f t="shared" si="122"/>
        <v>2021PM PEAK</v>
      </c>
      <c r="Q2712">
        <f t="shared" si="123"/>
        <v>1</v>
      </c>
      <c r="R2712" s="195" t="str">
        <f t="shared" si="124"/>
        <v>2021LIGHT VEHICLES</v>
      </c>
    </row>
    <row r="2713" spans="3:18" x14ac:dyDescent="0.25">
      <c r="C2713" s="294" t="s">
        <v>947</v>
      </c>
      <c r="D2713" s="317">
        <v>7275</v>
      </c>
      <c r="E2713" s="122" t="s">
        <v>948</v>
      </c>
      <c r="F2713" s="122" t="s">
        <v>949</v>
      </c>
      <c r="G2713" s="122" t="s">
        <v>776</v>
      </c>
      <c r="H2713" s="122" t="s">
        <v>777</v>
      </c>
      <c r="I2713" s="312">
        <v>2021</v>
      </c>
      <c r="J2713" s="122" t="s">
        <v>713</v>
      </c>
      <c r="K2713" s="283">
        <v>9416</v>
      </c>
      <c r="L2713" s="318">
        <v>-33.894714</v>
      </c>
      <c r="M2713" s="318">
        <v>151.110962</v>
      </c>
      <c r="O2713">
        <f>INDEX('MEC - traffic congestion'!$M$145:$M$249,MATCH($D2713,'MEC - traffic congestion'!$C$145:$C$249,0))</f>
        <v>1</v>
      </c>
      <c r="P2713" t="str">
        <f t="shared" si="122"/>
        <v>2021WEEKENDS</v>
      </c>
      <c r="Q2713">
        <f t="shared" si="123"/>
        <v>1</v>
      </c>
      <c r="R2713" s="195" t="str">
        <f t="shared" si="124"/>
        <v>2021LIGHT VEHICLES</v>
      </c>
    </row>
    <row r="2714" spans="3:18" x14ac:dyDescent="0.25">
      <c r="C2714" s="294" t="s">
        <v>947</v>
      </c>
      <c r="D2714" s="317">
        <v>7275</v>
      </c>
      <c r="E2714" s="122" t="s">
        <v>948</v>
      </c>
      <c r="F2714" s="122" t="s">
        <v>949</v>
      </c>
      <c r="G2714" s="122" t="s">
        <v>778</v>
      </c>
      <c r="H2714" s="122" t="s">
        <v>777</v>
      </c>
      <c r="I2714" s="312">
        <v>2021</v>
      </c>
      <c r="J2714" s="122" t="s">
        <v>713</v>
      </c>
      <c r="K2714" s="283">
        <v>9191</v>
      </c>
      <c r="L2714" s="318">
        <v>-33.894714</v>
      </c>
      <c r="M2714" s="318">
        <v>151.110962</v>
      </c>
      <c r="O2714">
        <f>INDEX('MEC - traffic congestion'!$M$145:$M$249,MATCH($D2714,'MEC - traffic congestion'!$C$145:$C$249,0))</f>
        <v>1</v>
      </c>
      <c r="P2714" t="str">
        <f t="shared" si="122"/>
        <v>2021WEEKENDS</v>
      </c>
      <c r="Q2714">
        <f t="shared" si="123"/>
        <v>1</v>
      </c>
      <c r="R2714" s="195" t="str">
        <f t="shared" si="124"/>
        <v>2021LIGHT VEHICLES</v>
      </c>
    </row>
    <row r="2715" spans="3:18" x14ac:dyDescent="0.25">
      <c r="C2715" s="294" t="s">
        <v>947</v>
      </c>
      <c r="D2715" s="317">
        <v>7275</v>
      </c>
      <c r="E2715" s="122" t="s">
        <v>948</v>
      </c>
      <c r="F2715" s="122" t="s">
        <v>949</v>
      </c>
      <c r="G2715" s="122" t="s">
        <v>776</v>
      </c>
      <c r="H2715" s="122" t="s">
        <v>777</v>
      </c>
      <c r="I2715" s="312">
        <v>2022</v>
      </c>
      <c r="J2715" s="122" t="s">
        <v>709</v>
      </c>
      <c r="K2715" s="283">
        <v>3505</v>
      </c>
      <c r="L2715" s="318">
        <v>-33.894714</v>
      </c>
      <c r="M2715" s="318">
        <v>151.110962</v>
      </c>
      <c r="O2715">
        <f>INDEX('MEC - traffic congestion'!$M$145:$M$249,MATCH($D2715,'MEC - traffic congestion'!$C$145:$C$249,0))</f>
        <v>1</v>
      </c>
      <c r="P2715" t="str">
        <f t="shared" si="122"/>
        <v>2022AM PEAK</v>
      </c>
      <c r="Q2715">
        <f t="shared" si="123"/>
        <v>1</v>
      </c>
      <c r="R2715" s="195" t="str">
        <f t="shared" si="124"/>
        <v>2022LIGHT VEHICLES</v>
      </c>
    </row>
    <row r="2716" spans="3:18" x14ac:dyDescent="0.25">
      <c r="C2716" s="294" t="s">
        <v>947</v>
      </c>
      <c r="D2716" s="317">
        <v>7275</v>
      </c>
      <c r="E2716" s="122" t="s">
        <v>948</v>
      </c>
      <c r="F2716" s="122" t="s">
        <v>949</v>
      </c>
      <c r="G2716" s="122" t="s">
        <v>778</v>
      </c>
      <c r="H2716" s="122" t="s">
        <v>777</v>
      </c>
      <c r="I2716" s="312">
        <v>2022</v>
      </c>
      <c r="J2716" s="122" t="s">
        <v>709</v>
      </c>
      <c r="K2716" s="283">
        <v>1714</v>
      </c>
      <c r="L2716" s="318">
        <v>-33.894714</v>
      </c>
      <c r="M2716" s="318">
        <v>151.110962</v>
      </c>
      <c r="O2716">
        <f>INDEX('MEC - traffic congestion'!$M$145:$M$249,MATCH($D2716,'MEC - traffic congestion'!$C$145:$C$249,0))</f>
        <v>1</v>
      </c>
      <c r="P2716" t="str">
        <f t="shared" si="122"/>
        <v>2022AM PEAK</v>
      </c>
      <c r="Q2716">
        <f t="shared" si="123"/>
        <v>1</v>
      </c>
      <c r="R2716" s="195" t="str">
        <f t="shared" si="124"/>
        <v>2022LIGHT VEHICLES</v>
      </c>
    </row>
    <row r="2717" spans="3:18" x14ac:dyDescent="0.25">
      <c r="C2717" s="294" t="s">
        <v>947</v>
      </c>
      <c r="D2717" s="317">
        <v>7275</v>
      </c>
      <c r="E2717" s="122" t="s">
        <v>948</v>
      </c>
      <c r="F2717" s="122" t="s">
        <v>949</v>
      </c>
      <c r="G2717" s="122" t="s">
        <v>776</v>
      </c>
      <c r="H2717" s="122" t="s">
        <v>777</v>
      </c>
      <c r="I2717" s="312">
        <v>2022</v>
      </c>
      <c r="J2717" s="122" t="s">
        <v>710</v>
      </c>
      <c r="K2717" s="283">
        <v>5277</v>
      </c>
      <c r="L2717" s="318">
        <v>-33.894714</v>
      </c>
      <c r="M2717" s="318">
        <v>151.110962</v>
      </c>
      <c r="O2717">
        <f>INDEX('MEC - traffic congestion'!$M$145:$M$249,MATCH($D2717,'MEC - traffic congestion'!$C$145:$C$249,0))</f>
        <v>1</v>
      </c>
      <c r="P2717" t="str">
        <f t="shared" si="122"/>
        <v>2022OFF PEAK</v>
      </c>
      <c r="Q2717">
        <f t="shared" si="123"/>
        <v>1</v>
      </c>
      <c r="R2717" s="195" t="str">
        <f t="shared" si="124"/>
        <v>2022LIGHT VEHICLES</v>
      </c>
    </row>
    <row r="2718" spans="3:18" x14ac:dyDescent="0.25">
      <c r="C2718" s="294" t="s">
        <v>947</v>
      </c>
      <c r="D2718" s="317">
        <v>7275</v>
      </c>
      <c r="E2718" s="122" t="s">
        <v>948</v>
      </c>
      <c r="F2718" s="122" t="s">
        <v>949</v>
      </c>
      <c r="G2718" s="122" t="s">
        <v>778</v>
      </c>
      <c r="H2718" s="122" t="s">
        <v>777</v>
      </c>
      <c r="I2718" s="312">
        <v>2022</v>
      </c>
      <c r="J2718" s="122" t="s">
        <v>710</v>
      </c>
      <c r="K2718" s="283">
        <v>5554</v>
      </c>
      <c r="L2718" s="318">
        <v>-33.894714</v>
      </c>
      <c r="M2718" s="318">
        <v>151.110962</v>
      </c>
      <c r="O2718">
        <f>INDEX('MEC - traffic congestion'!$M$145:$M$249,MATCH($D2718,'MEC - traffic congestion'!$C$145:$C$249,0))</f>
        <v>1</v>
      </c>
      <c r="P2718" t="str">
        <f t="shared" si="122"/>
        <v>2022OFF PEAK</v>
      </c>
      <c r="Q2718">
        <f t="shared" si="123"/>
        <v>1</v>
      </c>
      <c r="R2718" s="195" t="str">
        <f t="shared" si="124"/>
        <v>2022LIGHT VEHICLES</v>
      </c>
    </row>
    <row r="2719" spans="3:18" x14ac:dyDescent="0.25">
      <c r="C2719" s="294" t="s">
        <v>947</v>
      </c>
      <c r="D2719" s="317">
        <v>7275</v>
      </c>
      <c r="E2719" s="122" t="s">
        <v>948</v>
      </c>
      <c r="F2719" s="122" t="s">
        <v>949</v>
      </c>
      <c r="G2719" s="122" t="s">
        <v>776</v>
      </c>
      <c r="H2719" s="122" t="s">
        <v>777</v>
      </c>
      <c r="I2719" s="312">
        <v>2022</v>
      </c>
      <c r="J2719" s="122" t="s">
        <v>711</v>
      </c>
      <c r="K2719" s="283">
        <v>2517</v>
      </c>
      <c r="L2719" s="318">
        <v>-33.894714</v>
      </c>
      <c r="M2719" s="318">
        <v>151.110962</v>
      </c>
      <c r="O2719">
        <f>INDEX('MEC - traffic congestion'!$M$145:$M$249,MATCH($D2719,'MEC - traffic congestion'!$C$145:$C$249,0))</f>
        <v>1</v>
      </c>
      <c r="P2719" t="str">
        <f t="shared" si="122"/>
        <v>2022PM PEAK</v>
      </c>
      <c r="Q2719">
        <f t="shared" si="123"/>
        <v>1</v>
      </c>
      <c r="R2719" s="195" t="str">
        <f t="shared" si="124"/>
        <v>2022LIGHT VEHICLES</v>
      </c>
    </row>
    <row r="2720" spans="3:18" x14ac:dyDescent="0.25">
      <c r="C2720" s="294" t="s">
        <v>947</v>
      </c>
      <c r="D2720" s="317">
        <v>7275</v>
      </c>
      <c r="E2720" s="122" t="s">
        <v>948</v>
      </c>
      <c r="F2720" s="122" t="s">
        <v>949</v>
      </c>
      <c r="G2720" s="122" t="s">
        <v>778</v>
      </c>
      <c r="H2720" s="122" t="s">
        <v>777</v>
      </c>
      <c r="I2720" s="312">
        <v>2022</v>
      </c>
      <c r="J2720" s="122" t="s">
        <v>711</v>
      </c>
      <c r="K2720" s="283">
        <v>3884</v>
      </c>
      <c r="L2720" s="318">
        <v>-33.894714</v>
      </c>
      <c r="M2720" s="318">
        <v>151.110962</v>
      </c>
      <c r="O2720">
        <f>INDEX('MEC - traffic congestion'!$M$145:$M$249,MATCH($D2720,'MEC - traffic congestion'!$C$145:$C$249,0))</f>
        <v>1</v>
      </c>
      <c r="P2720" t="str">
        <f t="shared" si="122"/>
        <v>2022PM PEAK</v>
      </c>
      <c r="Q2720">
        <f t="shared" si="123"/>
        <v>1</v>
      </c>
      <c r="R2720" s="195" t="str">
        <f t="shared" si="124"/>
        <v>2022LIGHT VEHICLES</v>
      </c>
    </row>
    <row r="2721" spans="3:18" x14ac:dyDescent="0.25">
      <c r="C2721" s="294" t="s">
        <v>947</v>
      </c>
      <c r="D2721" s="317">
        <v>7275</v>
      </c>
      <c r="E2721" s="122" t="s">
        <v>948</v>
      </c>
      <c r="F2721" s="122" t="s">
        <v>949</v>
      </c>
      <c r="G2721" s="122" t="s">
        <v>776</v>
      </c>
      <c r="H2721" s="122" t="s">
        <v>777</v>
      </c>
      <c r="I2721" s="312">
        <v>2022</v>
      </c>
      <c r="J2721" s="122" t="s">
        <v>713</v>
      </c>
      <c r="K2721" s="283">
        <v>10731</v>
      </c>
      <c r="L2721" s="318">
        <v>-33.894714</v>
      </c>
      <c r="M2721" s="318">
        <v>151.110962</v>
      </c>
      <c r="O2721">
        <f>INDEX('MEC - traffic congestion'!$M$145:$M$249,MATCH($D2721,'MEC - traffic congestion'!$C$145:$C$249,0))</f>
        <v>1</v>
      </c>
      <c r="P2721" t="str">
        <f t="shared" si="122"/>
        <v>2022WEEKENDS</v>
      </c>
      <c r="Q2721">
        <f t="shared" si="123"/>
        <v>1</v>
      </c>
      <c r="R2721" s="195" t="str">
        <f t="shared" si="124"/>
        <v>2022LIGHT VEHICLES</v>
      </c>
    </row>
    <row r="2722" spans="3:18" x14ac:dyDescent="0.25">
      <c r="C2722" s="294" t="s">
        <v>947</v>
      </c>
      <c r="D2722" s="317">
        <v>7275</v>
      </c>
      <c r="E2722" s="122" t="s">
        <v>948</v>
      </c>
      <c r="F2722" s="122" t="s">
        <v>949</v>
      </c>
      <c r="G2722" s="122" t="s">
        <v>778</v>
      </c>
      <c r="H2722" s="122" t="s">
        <v>777</v>
      </c>
      <c r="I2722" s="312">
        <v>2022</v>
      </c>
      <c r="J2722" s="122" t="s">
        <v>713</v>
      </c>
      <c r="K2722" s="283">
        <v>10571</v>
      </c>
      <c r="L2722" s="318">
        <v>-33.894714</v>
      </c>
      <c r="M2722" s="318">
        <v>151.110962</v>
      </c>
      <c r="O2722">
        <f>INDEX('MEC - traffic congestion'!$M$145:$M$249,MATCH($D2722,'MEC - traffic congestion'!$C$145:$C$249,0))</f>
        <v>1</v>
      </c>
      <c r="P2722" t="str">
        <f t="shared" si="122"/>
        <v>2022WEEKENDS</v>
      </c>
      <c r="Q2722">
        <f t="shared" si="123"/>
        <v>1</v>
      </c>
      <c r="R2722" s="195" t="str">
        <f t="shared" si="124"/>
        <v>2022LIGHT VEHICLES</v>
      </c>
    </row>
    <row r="2723" spans="3:18" x14ac:dyDescent="0.25">
      <c r="C2723" s="294" t="s">
        <v>947</v>
      </c>
      <c r="D2723" s="317">
        <v>7275</v>
      </c>
      <c r="E2723" s="122" t="s">
        <v>948</v>
      </c>
      <c r="F2723" s="122" t="s">
        <v>949</v>
      </c>
      <c r="G2723" s="122" t="s">
        <v>776</v>
      </c>
      <c r="H2723" s="122" t="s">
        <v>777</v>
      </c>
      <c r="I2723" s="312">
        <v>2023</v>
      </c>
      <c r="J2723" s="122" t="s">
        <v>709</v>
      </c>
      <c r="K2723" s="283">
        <v>3591</v>
      </c>
      <c r="L2723" s="318">
        <v>-33.894714</v>
      </c>
      <c r="M2723" s="318">
        <v>151.110962</v>
      </c>
      <c r="O2723">
        <f>INDEX('MEC - traffic congestion'!$M$145:$M$249,MATCH($D2723,'MEC - traffic congestion'!$C$145:$C$249,0))</f>
        <v>1</v>
      </c>
      <c r="P2723" t="str">
        <f t="shared" si="122"/>
        <v>2023AM PEAK</v>
      </c>
      <c r="Q2723">
        <f t="shared" si="123"/>
        <v>1</v>
      </c>
      <c r="R2723" s="195" t="str">
        <f t="shared" si="124"/>
        <v>2023LIGHT VEHICLES</v>
      </c>
    </row>
    <row r="2724" spans="3:18" x14ac:dyDescent="0.25">
      <c r="C2724" s="294" t="s">
        <v>947</v>
      </c>
      <c r="D2724" s="317">
        <v>7275</v>
      </c>
      <c r="E2724" s="122" t="s">
        <v>948</v>
      </c>
      <c r="F2724" s="122" t="s">
        <v>949</v>
      </c>
      <c r="G2724" s="122" t="s">
        <v>778</v>
      </c>
      <c r="H2724" s="122" t="s">
        <v>777</v>
      </c>
      <c r="I2724" s="312">
        <v>2023</v>
      </c>
      <c r="J2724" s="122" t="s">
        <v>709</v>
      </c>
      <c r="K2724" s="283">
        <v>1699</v>
      </c>
      <c r="L2724" s="318">
        <v>-33.894714</v>
      </c>
      <c r="M2724" s="318">
        <v>151.110962</v>
      </c>
      <c r="O2724">
        <f>INDEX('MEC - traffic congestion'!$M$145:$M$249,MATCH($D2724,'MEC - traffic congestion'!$C$145:$C$249,0))</f>
        <v>1</v>
      </c>
      <c r="P2724" t="str">
        <f t="shared" si="122"/>
        <v>2023AM PEAK</v>
      </c>
      <c r="Q2724">
        <f t="shared" si="123"/>
        <v>1</v>
      </c>
      <c r="R2724" s="195" t="str">
        <f t="shared" si="124"/>
        <v>2023LIGHT VEHICLES</v>
      </c>
    </row>
    <row r="2725" spans="3:18" x14ac:dyDescent="0.25">
      <c r="C2725" s="294" t="s">
        <v>947</v>
      </c>
      <c r="D2725" s="317">
        <v>7275</v>
      </c>
      <c r="E2725" s="122" t="s">
        <v>948</v>
      </c>
      <c r="F2725" s="122" t="s">
        <v>949</v>
      </c>
      <c r="G2725" s="122" t="s">
        <v>776</v>
      </c>
      <c r="H2725" s="122" t="s">
        <v>777</v>
      </c>
      <c r="I2725" s="312">
        <v>2023</v>
      </c>
      <c r="J2725" s="122" t="s">
        <v>710</v>
      </c>
      <c r="K2725" s="283">
        <v>5437</v>
      </c>
      <c r="L2725" s="318">
        <v>-33.894714</v>
      </c>
      <c r="M2725" s="318">
        <v>151.110962</v>
      </c>
      <c r="O2725">
        <f>INDEX('MEC - traffic congestion'!$M$145:$M$249,MATCH($D2725,'MEC - traffic congestion'!$C$145:$C$249,0))</f>
        <v>1</v>
      </c>
      <c r="P2725" t="str">
        <f t="shared" si="122"/>
        <v>2023OFF PEAK</v>
      </c>
      <c r="Q2725">
        <f t="shared" si="123"/>
        <v>1</v>
      </c>
      <c r="R2725" s="195" t="str">
        <f t="shared" si="124"/>
        <v>2023LIGHT VEHICLES</v>
      </c>
    </row>
    <row r="2726" spans="3:18" x14ac:dyDescent="0.25">
      <c r="C2726" s="294" t="s">
        <v>947</v>
      </c>
      <c r="D2726" s="317">
        <v>7275</v>
      </c>
      <c r="E2726" s="122" t="s">
        <v>948</v>
      </c>
      <c r="F2726" s="122" t="s">
        <v>949</v>
      </c>
      <c r="G2726" s="122" t="s">
        <v>778</v>
      </c>
      <c r="H2726" s="122" t="s">
        <v>777</v>
      </c>
      <c r="I2726" s="312">
        <v>2023</v>
      </c>
      <c r="J2726" s="122" t="s">
        <v>710</v>
      </c>
      <c r="K2726" s="283">
        <v>5901</v>
      </c>
      <c r="L2726" s="318">
        <v>-33.894714</v>
      </c>
      <c r="M2726" s="318">
        <v>151.110962</v>
      </c>
      <c r="O2726">
        <f>INDEX('MEC - traffic congestion'!$M$145:$M$249,MATCH($D2726,'MEC - traffic congestion'!$C$145:$C$249,0))</f>
        <v>1</v>
      </c>
      <c r="P2726" t="str">
        <f t="shared" si="122"/>
        <v>2023OFF PEAK</v>
      </c>
      <c r="Q2726">
        <f t="shared" si="123"/>
        <v>1</v>
      </c>
      <c r="R2726" s="195" t="str">
        <f t="shared" si="124"/>
        <v>2023LIGHT VEHICLES</v>
      </c>
    </row>
    <row r="2727" spans="3:18" x14ac:dyDescent="0.25">
      <c r="C2727" s="294" t="s">
        <v>947</v>
      </c>
      <c r="D2727" s="317">
        <v>7275</v>
      </c>
      <c r="E2727" s="122" t="s">
        <v>948</v>
      </c>
      <c r="F2727" s="122" t="s">
        <v>949</v>
      </c>
      <c r="G2727" s="122" t="s">
        <v>776</v>
      </c>
      <c r="H2727" s="122" t="s">
        <v>777</v>
      </c>
      <c r="I2727" s="312">
        <v>2023</v>
      </c>
      <c r="J2727" s="122" t="s">
        <v>711</v>
      </c>
      <c r="K2727" s="283">
        <v>2556</v>
      </c>
      <c r="L2727" s="318">
        <v>-33.894714</v>
      </c>
      <c r="M2727" s="318">
        <v>151.110962</v>
      </c>
      <c r="O2727">
        <f>INDEX('MEC - traffic congestion'!$M$145:$M$249,MATCH($D2727,'MEC - traffic congestion'!$C$145:$C$249,0))</f>
        <v>1</v>
      </c>
      <c r="P2727" t="str">
        <f t="shared" si="122"/>
        <v>2023PM PEAK</v>
      </c>
      <c r="Q2727">
        <f t="shared" si="123"/>
        <v>1</v>
      </c>
      <c r="R2727" s="195" t="str">
        <f t="shared" si="124"/>
        <v>2023LIGHT VEHICLES</v>
      </c>
    </row>
    <row r="2728" spans="3:18" x14ac:dyDescent="0.25">
      <c r="C2728" s="294" t="s">
        <v>947</v>
      </c>
      <c r="D2728" s="317">
        <v>7275</v>
      </c>
      <c r="E2728" s="122" t="s">
        <v>948</v>
      </c>
      <c r="F2728" s="122" t="s">
        <v>949</v>
      </c>
      <c r="G2728" s="122" t="s">
        <v>778</v>
      </c>
      <c r="H2728" s="122" t="s">
        <v>777</v>
      </c>
      <c r="I2728" s="312">
        <v>2023</v>
      </c>
      <c r="J2728" s="122" t="s">
        <v>711</v>
      </c>
      <c r="K2728" s="283">
        <v>3973</v>
      </c>
      <c r="L2728" s="318">
        <v>-33.894714</v>
      </c>
      <c r="M2728" s="318">
        <v>151.110962</v>
      </c>
      <c r="O2728">
        <f>INDEX('MEC - traffic congestion'!$M$145:$M$249,MATCH($D2728,'MEC - traffic congestion'!$C$145:$C$249,0))</f>
        <v>1</v>
      </c>
      <c r="P2728" t="str">
        <f t="shared" si="122"/>
        <v>2023PM PEAK</v>
      </c>
      <c r="Q2728">
        <f t="shared" si="123"/>
        <v>1</v>
      </c>
      <c r="R2728" s="195" t="str">
        <f t="shared" si="124"/>
        <v>2023LIGHT VEHICLES</v>
      </c>
    </row>
    <row r="2729" spans="3:18" x14ac:dyDescent="0.25">
      <c r="C2729" s="294" t="s">
        <v>947</v>
      </c>
      <c r="D2729" s="317">
        <v>7275</v>
      </c>
      <c r="E2729" s="122" t="s">
        <v>948</v>
      </c>
      <c r="F2729" s="122" t="s">
        <v>949</v>
      </c>
      <c r="G2729" s="122" t="s">
        <v>776</v>
      </c>
      <c r="H2729" s="122" t="s">
        <v>777</v>
      </c>
      <c r="I2729" s="312">
        <v>2023</v>
      </c>
      <c r="J2729" s="122" t="s">
        <v>713</v>
      </c>
      <c r="K2729" s="283">
        <v>10795</v>
      </c>
      <c r="L2729" s="318">
        <v>-33.894714</v>
      </c>
      <c r="M2729" s="318">
        <v>151.110962</v>
      </c>
      <c r="O2729">
        <f>INDEX('MEC - traffic congestion'!$M$145:$M$249,MATCH($D2729,'MEC - traffic congestion'!$C$145:$C$249,0))</f>
        <v>1</v>
      </c>
      <c r="P2729" t="str">
        <f t="shared" si="122"/>
        <v>2023WEEKENDS</v>
      </c>
      <c r="Q2729">
        <f t="shared" si="123"/>
        <v>1</v>
      </c>
      <c r="R2729" s="195" t="str">
        <f t="shared" si="124"/>
        <v>2023LIGHT VEHICLES</v>
      </c>
    </row>
    <row r="2730" spans="3:18" x14ac:dyDescent="0.25">
      <c r="C2730" s="294" t="s">
        <v>947</v>
      </c>
      <c r="D2730" s="317">
        <v>7275</v>
      </c>
      <c r="E2730" s="122" t="s">
        <v>948</v>
      </c>
      <c r="F2730" s="122" t="s">
        <v>949</v>
      </c>
      <c r="G2730" s="122" t="s">
        <v>778</v>
      </c>
      <c r="H2730" s="122" t="s">
        <v>777</v>
      </c>
      <c r="I2730" s="312">
        <v>2023</v>
      </c>
      <c r="J2730" s="122" t="s">
        <v>713</v>
      </c>
      <c r="K2730" s="283">
        <v>10739</v>
      </c>
      <c r="L2730" s="318">
        <v>-33.894714</v>
      </c>
      <c r="M2730" s="318">
        <v>151.110962</v>
      </c>
      <c r="O2730">
        <f>INDEX('MEC - traffic congestion'!$M$145:$M$249,MATCH($D2730,'MEC - traffic congestion'!$C$145:$C$249,0))</f>
        <v>1</v>
      </c>
      <c r="P2730" t="str">
        <f t="shared" si="122"/>
        <v>2023WEEKENDS</v>
      </c>
      <c r="Q2730">
        <f t="shared" si="123"/>
        <v>1</v>
      </c>
      <c r="R2730" s="195" t="str">
        <f t="shared" si="124"/>
        <v>2023LIGHT VEHICLES</v>
      </c>
    </row>
    <row r="2731" spans="3:18" x14ac:dyDescent="0.25">
      <c r="C2731" s="294" t="s">
        <v>947</v>
      </c>
      <c r="D2731" s="317">
        <v>7275</v>
      </c>
      <c r="E2731" s="122" t="s">
        <v>948</v>
      </c>
      <c r="F2731" s="122" t="s">
        <v>949</v>
      </c>
      <c r="G2731" s="122" t="s">
        <v>776</v>
      </c>
      <c r="H2731" s="122" t="s">
        <v>777</v>
      </c>
      <c r="I2731" s="312">
        <v>2024</v>
      </c>
      <c r="J2731" s="122" t="s">
        <v>709</v>
      </c>
      <c r="K2731" s="283">
        <v>3455</v>
      </c>
      <c r="L2731" s="318">
        <v>-33.894714</v>
      </c>
      <c r="M2731" s="318">
        <v>151.110962</v>
      </c>
      <c r="O2731">
        <f>INDEX('MEC - traffic congestion'!$M$145:$M$249,MATCH($D2731,'MEC - traffic congestion'!$C$145:$C$249,0))</f>
        <v>1</v>
      </c>
      <c r="P2731" t="str">
        <f t="shared" si="122"/>
        <v>2024AM PEAK</v>
      </c>
      <c r="Q2731">
        <f t="shared" si="123"/>
        <v>1</v>
      </c>
      <c r="R2731" s="195" t="str">
        <f t="shared" si="124"/>
        <v>2024LIGHT VEHICLES</v>
      </c>
    </row>
    <row r="2732" spans="3:18" x14ac:dyDescent="0.25">
      <c r="C2732" s="294" t="s">
        <v>947</v>
      </c>
      <c r="D2732" s="317">
        <v>7275</v>
      </c>
      <c r="E2732" s="122" t="s">
        <v>948</v>
      </c>
      <c r="F2732" s="122" t="s">
        <v>949</v>
      </c>
      <c r="G2732" s="122" t="s">
        <v>778</v>
      </c>
      <c r="H2732" s="122" t="s">
        <v>777</v>
      </c>
      <c r="I2732" s="312">
        <v>2024</v>
      </c>
      <c r="J2732" s="122" t="s">
        <v>709</v>
      </c>
      <c r="K2732" s="283">
        <v>1613</v>
      </c>
      <c r="L2732" s="318">
        <v>-33.894714</v>
      </c>
      <c r="M2732" s="318">
        <v>151.110962</v>
      </c>
      <c r="O2732">
        <f>INDEX('MEC - traffic congestion'!$M$145:$M$249,MATCH($D2732,'MEC - traffic congestion'!$C$145:$C$249,0))</f>
        <v>1</v>
      </c>
      <c r="P2732" t="str">
        <f t="shared" si="122"/>
        <v>2024AM PEAK</v>
      </c>
      <c r="Q2732">
        <f t="shared" si="123"/>
        <v>1</v>
      </c>
      <c r="R2732" s="195" t="str">
        <f t="shared" si="124"/>
        <v>2024LIGHT VEHICLES</v>
      </c>
    </row>
    <row r="2733" spans="3:18" x14ac:dyDescent="0.25">
      <c r="C2733" s="294" t="s">
        <v>947</v>
      </c>
      <c r="D2733" s="317">
        <v>7275</v>
      </c>
      <c r="E2733" s="122" t="s">
        <v>948</v>
      </c>
      <c r="F2733" s="122" t="s">
        <v>949</v>
      </c>
      <c r="G2733" s="122" t="s">
        <v>776</v>
      </c>
      <c r="H2733" s="122" t="s">
        <v>777</v>
      </c>
      <c r="I2733" s="312">
        <v>2024</v>
      </c>
      <c r="J2733" s="122" t="s">
        <v>710</v>
      </c>
      <c r="K2733" s="283">
        <v>5430</v>
      </c>
      <c r="L2733" s="318">
        <v>-33.894714</v>
      </c>
      <c r="M2733" s="318">
        <v>151.110962</v>
      </c>
      <c r="O2733">
        <f>INDEX('MEC - traffic congestion'!$M$145:$M$249,MATCH($D2733,'MEC - traffic congestion'!$C$145:$C$249,0))</f>
        <v>1</v>
      </c>
      <c r="P2733" t="str">
        <f t="shared" si="122"/>
        <v>2024OFF PEAK</v>
      </c>
      <c r="Q2733">
        <f t="shared" si="123"/>
        <v>1</v>
      </c>
      <c r="R2733" s="195" t="str">
        <f t="shared" si="124"/>
        <v>2024LIGHT VEHICLES</v>
      </c>
    </row>
    <row r="2734" spans="3:18" x14ac:dyDescent="0.25">
      <c r="C2734" s="294" t="s">
        <v>947</v>
      </c>
      <c r="D2734" s="317">
        <v>7275</v>
      </c>
      <c r="E2734" s="122" t="s">
        <v>948</v>
      </c>
      <c r="F2734" s="122" t="s">
        <v>949</v>
      </c>
      <c r="G2734" s="122" t="s">
        <v>778</v>
      </c>
      <c r="H2734" s="122" t="s">
        <v>777</v>
      </c>
      <c r="I2734" s="312">
        <v>2024</v>
      </c>
      <c r="J2734" s="122" t="s">
        <v>710</v>
      </c>
      <c r="K2734" s="283">
        <v>5970</v>
      </c>
      <c r="L2734" s="318">
        <v>-33.894714</v>
      </c>
      <c r="M2734" s="318">
        <v>151.110962</v>
      </c>
      <c r="O2734">
        <f>INDEX('MEC - traffic congestion'!$M$145:$M$249,MATCH($D2734,'MEC - traffic congestion'!$C$145:$C$249,0))</f>
        <v>1</v>
      </c>
      <c r="P2734" t="str">
        <f t="shared" si="122"/>
        <v>2024OFF PEAK</v>
      </c>
      <c r="Q2734">
        <f t="shared" si="123"/>
        <v>1</v>
      </c>
      <c r="R2734" s="195" t="str">
        <f t="shared" si="124"/>
        <v>2024LIGHT VEHICLES</v>
      </c>
    </row>
    <row r="2735" spans="3:18" x14ac:dyDescent="0.25">
      <c r="C2735" s="294" t="s">
        <v>947</v>
      </c>
      <c r="D2735" s="317">
        <v>7275</v>
      </c>
      <c r="E2735" s="122" t="s">
        <v>948</v>
      </c>
      <c r="F2735" s="122" t="s">
        <v>949</v>
      </c>
      <c r="G2735" s="122" t="s">
        <v>776</v>
      </c>
      <c r="H2735" s="122" t="s">
        <v>777</v>
      </c>
      <c r="I2735" s="312">
        <v>2024</v>
      </c>
      <c r="J2735" s="122" t="s">
        <v>711</v>
      </c>
      <c r="K2735" s="283">
        <v>2554</v>
      </c>
      <c r="L2735" s="318">
        <v>-33.894714</v>
      </c>
      <c r="M2735" s="318">
        <v>151.110962</v>
      </c>
      <c r="O2735">
        <f>INDEX('MEC - traffic congestion'!$M$145:$M$249,MATCH($D2735,'MEC - traffic congestion'!$C$145:$C$249,0))</f>
        <v>1</v>
      </c>
      <c r="P2735" t="str">
        <f t="shared" si="122"/>
        <v>2024PM PEAK</v>
      </c>
      <c r="Q2735">
        <f t="shared" si="123"/>
        <v>1</v>
      </c>
      <c r="R2735" s="195" t="str">
        <f t="shared" si="124"/>
        <v>2024LIGHT VEHICLES</v>
      </c>
    </row>
    <row r="2736" spans="3:18" x14ac:dyDescent="0.25">
      <c r="C2736" s="294" t="s">
        <v>947</v>
      </c>
      <c r="D2736" s="317">
        <v>7275</v>
      </c>
      <c r="E2736" s="122" t="s">
        <v>948</v>
      </c>
      <c r="F2736" s="122" t="s">
        <v>949</v>
      </c>
      <c r="G2736" s="122" t="s">
        <v>778</v>
      </c>
      <c r="H2736" s="122" t="s">
        <v>777</v>
      </c>
      <c r="I2736" s="312">
        <v>2024</v>
      </c>
      <c r="J2736" s="122" t="s">
        <v>711</v>
      </c>
      <c r="K2736" s="283">
        <v>3794</v>
      </c>
      <c r="L2736" s="318">
        <v>-33.894714</v>
      </c>
      <c r="M2736" s="318">
        <v>151.110962</v>
      </c>
      <c r="O2736">
        <f>INDEX('MEC - traffic congestion'!$M$145:$M$249,MATCH($D2736,'MEC - traffic congestion'!$C$145:$C$249,0))</f>
        <v>1</v>
      </c>
      <c r="P2736" t="str">
        <f t="shared" si="122"/>
        <v>2024PM PEAK</v>
      </c>
      <c r="Q2736">
        <f t="shared" si="123"/>
        <v>1</v>
      </c>
      <c r="R2736" s="195" t="str">
        <f t="shared" si="124"/>
        <v>2024LIGHT VEHICLES</v>
      </c>
    </row>
    <row r="2737" spans="3:18" x14ac:dyDescent="0.25">
      <c r="C2737" s="294" t="s">
        <v>947</v>
      </c>
      <c r="D2737" s="317">
        <v>7275</v>
      </c>
      <c r="E2737" s="122" t="s">
        <v>948</v>
      </c>
      <c r="F2737" s="122" t="s">
        <v>949</v>
      </c>
      <c r="G2737" s="122" t="s">
        <v>776</v>
      </c>
      <c r="H2737" s="122" t="s">
        <v>777</v>
      </c>
      <c r="I2737" s="312">
        <v>2024</v>
      </c>
      <c r="J2737" s="122" t="s">
        <v>713</v>
      </c>
      <c r="K2737" s="283">
        <v>10742</v>
      </c>
      <c r="L2737" s="318">
        <v>-33.894714</v>
      </c>
      <c r="M2737" s="318">
        <v>151.110962</v>
      </c>
      <c r="O2737">
        <f>INDEX('MEC - traffic congestion'!$M$145:$M$249,MATCH($D2737,'MEC - traffic congestion'!$C$145:$C$249,0))</f>
        <v>1</v>
      </c>
      <c r="P2737" t="str">
        <f t="shared" si="122"/>
        <v>2024WEEKENDS</v>
      </c>
      <c r="Q2737">
        <f t="shared" si="123"/>
        <v>1</v>
      </c>
      <c r="R2737" s="195" t="str">
        <f t="shared" si="124"/>
        <v>2024LIGHT VEHICLES</v>
      </c>
    </row>
    <row r="2738" spans="3:18" x14ac:dyDescent="0.25">
      <c r="C2738" s="294" t="s">
        <v>947</v>
      </c>
      <c r="D2738" s="317">
        <v>7275</v>
      </c>
      <c r="E2738" s="122" t="s">
        <v>948</v>
      </c>
      <c r="F2738" s="122" t="s">
        <v>949</v>
      </c>
      <c r="G2738" s="122" t="s">
        <v>778</v>
      </c>
      <c r="H2738" s="122" t="s">
        <v>777</v>
      </c>
      <c r="I2738" s="312">
        <v>2024</v>
      </c>
      <c r="J2738" s="122" t="s">
        <v>713</v>
      </c>
      <c r="K2738" s="283">
        <v>10720</v>
      </c>
      <c r="L2738" s="318">
        <v>-33.894714</v>
      </c>
      <c r="M2738" s="318">
        <v>151.110962</v>
      </c>
      <c r="O2738">
        <f>INDEX('MEC - traffic congestion'!$M$145:$M$249,MATCH($D2738,'MEC - traffic congestion'!$C$145:$C$249,0))</f>
        <v>1</v>
      </c>
      <c r="P2738" t="str">
        <f t="shared" si="122"/>
        <v>2024WEEKENDS</v>
      </c>
      <c r="Q2738">
        <f t="shared" si="123"/>
        <v>1</v>
      </c>
      <c r="R2738" s="195" t="str">
        <f t="shared" si="124"/>
        <v>2024LIGHT VEHICLES</v>
      </c>
    </row>
    <row r="2739" spans="3:18" x14ac:dyDescent="0.25">
      <c r="C2739" s="294" t="s">
        <v>950</v>
      </c>
      <c r="D2739" s="317">
        <v>7289</v>
      </c>
      <c r="E2739" s="122" t="s">
        <v>951</v>
      </c>
      <c r="F2739" s="122" t="s">
        <v>952</v>
      </c>
      <c r="G2739" s="122" t="s">
        <v>786</v>
      </c>
      <c r="H2739" s="122" t="s">
        <v>777</v>
      </c>
      <c r="I2739" s="312">
        <v>2018</v>
      </c>
      <c r="J2739" s="122" t="s">
        <v>709</v>
      </c>
      <c r="K2739" s="283">
        <v>3747</v>
      </c>
      <c r="L2739" s="318">
        <v>-32.906013000000002</v>
      </c>
      <c r="M2739" s="318">
        <v>151.671356</v>
      </c>
      <c r="O2739">
        <f>INDEX('MEC - traffic congestion'!$M$145:$M$249,MATCH($D2739,'MEC - traffic congestion'!$C$145:$C$249,0))</f>
        <v>1</v>
      </c>
      <c r="P2739" t="str">
        <f t="shared" si="122"/>
        <v>2018AM PEAK</v>
      </c>
      <c r="Q2739">
        <f t="shared" si="123"/>
        <v>1</v>
      </c>
      <c r="R2739" s="195" t="str">
        <f t="shared" si="124"/>
        <v>2018LIGHT VEHICLES</v>
      </c>
    </row>
    <row r="2740" spans="3:18" x14ac:dyDescent="0.25">
      <c r="C2740" s="294" t="s">
        <v>950</v>
      </c>
      <c r="D2740" s="317">
        <v>7289</v>
      </c>
      <c r="E2740" s="122" t="s">
        <v>951</v>
      </c>
      <c r="F2740" s="122" t="s">
        <v>952</v>
      </c>
      <c r="G2740" s="122" t="s">
        <v>786</v>
      </c>
      <c r="H2740" s="122" t="s">
        <v>777</v>
      </c>
      <c r="I2740" s="312">
        <v>2018</v>
      </c>
      <c r="J2740" s="122" t="s">
        <v>710</v>
      </c>
      <c r="K2740" s="283">
        <v>8098</v>
      </c>
      <c r="L2740" s="318">
        <v>-32.906013000000002</v>
      </c>
      <c r="M2740" s="318">
        <v>151.671356</v>
      </c>
      <c r="O2740">
        <f>INDEX('MEC - traffic congestion'!$M$145:$M$249,MATCH($D2740,'MEC - traffic congestion'!$C$145:$C$249,0))</f>
        <v>1</v>
      </c>
      <c r="P2740" t="str">
        <f t="shared" si="122"/>
        <v>2018OFF PEAK</v>
      </c>
      <c r="Q2740">
        <f t="shared" si="123"/>
        <v>1</v>
      </c>
      <c r="R2740" s="195" t="str">
        <f t="shared" si="124"/>
        <v>2018LIGHT VEHICLES</v>
      </c>
    </row>
    <row r="2741" spans="3:18" x14ac:dyDescent="0.25">
      <c r="C2741" s="294" t="s">
        <v>950</v>
      </c>
      <c r="D2741" s="317">
        <v>7289</v>
      </c>
      <c r="E2741" s="122" t="s">
        <v>951</v>
      </c>
      <c r="F2741" s="122" t="s">
        <v>952</v>
      </c>
      <c r="G2741" s="122" t="s">
        <v>786</v>
      </c>
      <c r="H2741" s="122" t="s">
        <v>777</v>
      </c>
      <c r="I2741" s="312">
        <v>2018</v>
      </c>
      <c r="J2741" s="122" t="s">
        <v>711</v>
      </c>
      <c r="K2741" s="283">
        <v>5442</v>
      </c>
      <c r="L2741" s="318">
        <v>-32.906013000000002</v>
      </c>
      <c r="M2741" s="318">
        <v>151.671356</v>
      </c>
      <c r="O2741">
        <f>INDEX('MEC - traffic congestion'!$M$145:$M$249,MATCH($D2741,'MEC - traffic congestion'!$C$145:$C$249,0))</f>
        <v>1</v>
      </c>
      <c r="P2741" t="str">
        <f t="shared" si="122"/>
        <v>2018PM PEAK</v>
      </c>
      <c r="Q2741">
        <f t="shared" si="123"/>
        <v>1</v>
      </c>
      <c r="R2741" s="195" t="str">
        <f t="shared" si="124"/>
        <v>2018LIGHT VEHICLES</v>
      </c>
    </row>
    <row r="2742" spans="3:18" x14ac:dyDescent="0.25">
      <c r="C2742" s="294" t="s">
        <v>950</v>
      </c>
      <c r="D2742" s="317">
        <v>7289</v>
      </c>
      <c r="E2742" s="122" t="s">
        <v>951</v>
      </c>
      <c r="F2742" s="122" t="s">
        <v>952</v>
      </c>
      <c r="G2742" s="122" t="s">
        <v>786</v>
      </c>
      <c r="H2742" s="122" t="s">
        <v>777</v>
      </c>
      <c r="I2742" s="312">
        <v>2018</v>
      </c>
      <c r="J2742" s="122" t="s">
        <v>712</v>
      </c>
      <c r="K2742" s="283">
        <v>11409</v>
      </c>
      <c r="L2742" s="318">
        <v>-32.906013000000002</v>
      </c>
      <c r="M2742" s="318">
        <v>151.671356</v>
      </c>
      <c r="O2742">
        <f>INDEX('MEC - traffic congestion'!$M$145:$M$249,MATCH($D2742,'MEC - traffic congestion'!$C$145:$C$249,0))</f>
        <v>1</v>
      </c>
      <c r="P2742" t="str">
        <f t="shared" si="122"/>
        <v>2018PUBLIC HOLIDAYS</v>
      </c>
      <c r="Q2742">
        <f t="shared" si="123"/>
        <v>1</v>
      </c>
      <c r="R2742" s="195" t="str">
        <f t="shared" si="124"/>
        <v>2018LIGHT VEHICLES</v>
      </c>
    </row>
    <row r="2743" spans="3:18" x14ac:dyDescent="0.25">
      <c r="C2743" s="294" t="s">
        <v>950</v>
      </c>
      <c r="D2743" s="317">
        <v>7289</v>
      </c>
      <c r="E2743" s="122" t="s">
        <v>951</v>
      </c>
      <c r="F2743" s="122" t="s">
        <v>952</v>
      </c>
      <c r="G2743" s="122" t="s">
        <v>786</v>
      </c>
      <c r="H2743" s="122" t="s">
        <v>777</v>
      </c>
      <c r="I2743" s="312">
        <v>2018</v>
      </c>
      <c r="J2743" s="122" t="s">
        <v>713</v>
      </c>
      <c r="K2743" s="283">
        <v>14029</v>
      </c>
      <c r="L2743" s="318">
        <v>-32.906013000000002</v>
      </c>
      <c r="M2743" s="318">
        <v>151.671356</v>
      </c>
      <c r="O2743">
        <f>INDEX('MEC - traffic congestion'!$M$145:$M$249,MATCH($D2743,'MEC - traffic congestion'!$C$145:$C$249,0))</f>
        <v>1</v>
      </c>
      <c r="P2743" t="str">
        <f t="shared" si="122"/>
        <v>2018WEEKENDS</v>
      </c>
      <c r="Q2743">
        <f t="shared" si="123"/>
        <v>1</v>
      </c>
      <c r="R2743" s="195" t="str">
        <f t="shared" si="124"/>
        <v>2018LIGHT VEHICLES</v>
      </c>
    </row>
    <row r="2744" spans="3:18" x14ac:dyDescent="0.25">
      <c r="C2744" s="294" t="s">
        <v>950</v>
      </c>
      <c r="D2744" s="317">
        <v>7289</v>
      </c>
      <c r="E2744" s="122" t="s">
        <v>951</v>
      </c>
      <c r="F2744" s="122" t="s">
        <v>952</v>
      </c>
      <c r="G2744" s="122" t="s">
        <v>786</v>
      </c>
      <c r="H2744" s="122" t="s">
        <v>777</v>
      </c>
      <c r="I2744" s="312">
        <v>2019</v>
      </c>
      <c r="J2744" s="122" t="s">
        <v>709</v>
      </c>
      <c r="K2744" s="283">
        <v>3760</v>
      </c>
      <c r="L2744" s="318">
        <v>-32.906013000000002</v>
      </c>
      <c r="M2744" s="318">
        <v>151.671356</v>
      </c>
      <c r="O2744">
        <f>INDEX('MEC - traffic congestion'!$M$145:$M$249,MATCH($D2744,'MEC - traffic congestion'!$C$145:$C$249,0))</f>
        <v>1</v>
      </c>
      <c r="P2744" t="str">
        <f t="shared" si="122"/>
        <v>2019AM PEAK</v>
      </c>
      <c r="Q2744">
        <f t="shared" si="123"/>
        <v>1</v>
      </c>
      <c r="R2744" s="195" t="str">
        <f t="shared" si="124"/>
        <v>2019LIGHT VEHICLES</v>
      </c>
    </row>
    <row r="2745" spans="3:18" x14ac:dyDescent="0.25">
      <c r="C2745" s="294" t="s">
        <v>950</v>
      </c>
      <c r="D2745" s="317">
        <v>7289</v>
      </c>
      <c r="E2745" s="122" t="s">
        <v>951</v>
      </c>
      <c r="F2745" s="122" t="s">
        <v>952</v>
      </c>
      <c r="G2745" s="122" t="s">
        <v>786</v>
      </c>
      <c r="H2745" s="122" t="s">
        <v>777</v>
      </c>
      <c r="I2745" s="312">
        <v>2019</v>
      </c>
      <c r="J2745" s="122" t="s">
        <v>710</v>
      </c>
      <c r="K2745" s="283">
        <v>8029</v>
      </c>
      <c r="L2745" s="318">
        <v>-32.906013000000002</v>
      </c>
      <c r="M2745" s="318">
        <v>151.671356</v>
      </c>
      <c r="O2745">
        <f>INDEX('MEC - traffic congestion'!$M$145:$M$249,MATCH($D2745,'MEC - traffic congestion'!$C$145:$C$249,0))</f>
        <v>1</v>
      </c>
      <c r="P2745" t="str">
        <f t="shared" si="122"/>
        <v>2019OFF PEAK</v>
      </c>
      <c r="Q2745">
        <f t="shared" si="123"/>
        <v>1</v>
      </c>
      <c r="R2745" s="195" t="str">
        <f t="shared" si="124"/>
        <v>2019LIGHT VEHICLES</v>
      </c>
    </row>
    <row r="2746" spans="3:18" x14ac:dyDescent="0.25">
      <c r="C2746" s="294" t="s">
        <v>950</v>
      </c>
      <c r="D2746" s="317">
        <v>7289</v>
      </c>
      <c r="E2746" s="122" t="s">
        <v>951</v>
      </c>
      <c r="F2746" s="122" t="s">
        <v>952</v>
      </c>
      <c r="G2746" s="122" t="s">
        <v>786</v>
      </c>
      <c r="H2746" s="122" t="s">
        <v>777</v>
      </c>
      <c r="I2746" s="312">
        <v>2019</v>
      </c>
      <c r="J2746" s="122" t="s">
        <v>711</v>
      </c>
      <c r="K2746" s="283">
        <v>5335</v>
      </c>
      <c r="L2746" s="318">
        <v>-32.906013000000002</v>
      </c>
      <c r="M2746" s="318">
        <v>151.671356</v>
      </c>
      <c r="O2746">
        <f>INDEX('MEC - traffic congestion'!$M$145:$M$249,MATCH($D2746,'MEC - traffic congestion'!$C$145:$C$249,0))</f>
        <v>1</v>
      </c>
      <c r="P2746" t="str">
        <f t="shared" si="122"/>
        <v>2019PM PEAK</v>
      </c>
      <c r="Q2746">
        <f t="shared" si="123"/>
        <v>1</v>
      </c>
      <c r="R2746" s="195" t="str">
        <f t="shared" si="124"/>
        <v>2019LIGHT VEHICLES</v>
      </c>
    </row>
    <row r="2747" spans="3:18" x14ac:dyDescent="0.25">
      <c r="C2747" s="294" t="s">
        <v>950</v>
      </c>
      <c r="D2747" s="317">
        <v>7289</v>
      </c>
      <c r="E2747" s="122" t="s">
        <v>951</v>
      </c>
      <c r="F2747" s="122" t="s">
        <v>952</v>
      </c>
      <c r="G2747" s="122" t="s">
        <v>786</v>
      </c>
      <c r="H2747" s="122" t="s">
        <v>777</v>
      </c>
      <c r="I2747" s="312">
        <v>2019</v>
      </c>
      <c r="J2747" s="122" t="s">
        <v>712</v>
      </c>
      <c r="K2747" s="283">
        <v>11111</v>
      </c>
      <c r="L2747" s="318">
        <v>-32.906013000000002</v>
      </c>
      <c r="M2747" s="318">
        <v>151.671356</v>
      </c>
      <c r="O2747">
        <f>INDEX('MEC - traffic congestion'!$M$145:$M$249,MATCH($D2747,'MEC - traffic congestion'!$C$145:$C$249,0))</f>
        <v>1</v>
      </c>
      <c r="P2747" t="str">
        <f t="shared" si="122"/>
        <v>2019PUBLIC HOLIDAYS</v>
      </c>
      <c r="Q2747">
        <f t="shared" si="123"/>
        <v>1</v>
      </c>
      <c r="R2747" s="195" t="str">
        <f t="shared" si="124"/>
        <v>2019LIGHT VEHICLES</v>
      </c>
    </row>
    <row r="2748" spans="3:18" x14ac:dyDescent="0.25">
      <c r="C2748" s="294" t="s">
        <v>950</v>
      </c>
      <c r="D2748" s="317">
        <v>7289</v>
      </c>
      <c r="E2748" s="122" t="s">
        <v>951</v>
      </c>
      <c r="F2748" s="122" t="s">
        <v>952</v>
      </c>
      <c r="G2748" s="122" t="s">
        <v>786</v>
      </c>
      <c r="H2748" s="122" t="s">
        <v>777</v>
      </c>
      <c r="I2748" s="312">
        <v>2019</v>
      </c>
      <c r="J2748" s="122" t="s">
        <v>713</v>
      </c>
      <c r="K2748" s="283">
        <v>13727</v>
      </c>
      <c r="L2748" s="318">
        <v>-32.906013000000002</v>
      </c>
      <c r="M2748" s="318">
        <v>151.671356</v>
      </c>
      <c r="O2748">
        <f>INDEX('MEC - traffic congestion'!$M$145:$M$249,MATCH($D2748,'MEC - traffic congestion'!$C$145:$C$249,0))</f>
        <v>1</v>
      </c>
      <c r="P2748" t="str">
        <f t="shared" si="122"/>
        <v>2019WEEKENDS</v>
      </c>
      <c r="Q2748">
        <f t="shared" si="123"/>
        <v>1</v>
      </c>
      <c r="R2748" s="195" t="str">
        <f t="shared" si="124"/>
        <v>2019LIGHT VEHICLES</v>
      </c>
    </row>
    <row r="2749" spans="3:18" x14ac:dyDescent="0.25">
      <c r="C2749" s="294" t="s">
        <v>950</v>
      </c>
      <c r="D2749" s="317">
        <v>7289</v>
      </c>
      <c r="E2749" s="122" t="s">
        <v>951</v>
      </c>
      <c r="F2749" s="122" t="s">
        <v>952</v>
      </c>
      <c r="G2749" s="122" t="s">
        <v>786</v>
      </c>
      <c r="H2749" s="122" t="s">
        <v>777</v>
      </c>
      <c r="I2749" s="312">
        <v>2020</v>
      </c>
      <c r="J2749" s="122" t="s">
        <v>709</v>
      </c>
      <c r="K2749" s="283">
        <v>3557</v>
      </c>
      <c r="L2749" s="318">
        <v>-32.906013000000002</v>
      </c>
      <c r="M2749" s="318">
        <v>151.671356</v>
      </c>
      <c r="O2749">
        <f>INDEX('MEC - traffic congestion'!$M$145:$M$249,MATCH($D2749,'MEC - traffic congestion'!$C$145:$C$249,0))</f>
        <v>1</v>
      </c>
      <c r="P2749" t="str">
        <f t="shared" si="122"/>
        <v>2020AM PEAK</v>
      </c>
      <c r="Q2749">
        <f t="shared" si="123"/>
        <v>1</v>
      </c>
      <c r="R2749" s="195" t="str">
        <f t="shared" si="124"/>
        <v>2020LIGHT VEHICLES</v>
      </c>
    </row>
    <row r="2750" spans="3:18" x14ac:dyDescent="0.25">
      <c r="C2750" s="294" t="s">
        <v>950</v>
      </c>
      <c r="D2750" s="317">
        <v>7289</v>
      </c>
      <c r="E2750" s="122" t="s">
        <v>951</v>
      </c>
      <c r="F2750" s="122" t="s">
        <v>952</v>
      </c>
      <c r="G2750" s="122" t="s">
        <v>786</v>
      </c>
      <c r="H2750" s="122" t="s">
        <v>777</v>
      </c>
      <c r="I2750" s="312">
        <v>2020</v>
      </c>
      <c r="J2750" s="122" t="s">
        <v>710</v>
      </c>
      <c r="K2750" s="283">
        <v>7494</v>
      </c>
      <c r="L2750" s="318">
        <v>-32.906013000000002</v>
      </c>
      <c r="M2750" s="318">
        <v>151.671356</v>
      </c>
      <c r="O2750">
        <f>INDEX('MEC - traffic congestion'!$M$145:$M$249,MATCH($D2750,'MEC - traffic congestion'!$C$145:$C$249,0))</f>
        <v>1</v>
      </c>
      <c r="P2750" t="str">
        <f t="shared" si="122"/>
        <v>2020OFF PEAK</v>
      </c>
      <c r="Q2750">
        <f t="shared" si="123"/>
        <v>1</v>
      </c>
      <c r="R2750" s="195" t="str">
        <f t="shared" si="124"/>
        <v>2020LIGHT VEHICLES</v>
      </c>
    </row>
    <row r="2751" spans="3:18" x14ac:dyDescent="0.25">
      <c r="C2751" s="294" t="s">
        <v>950</v>
      </c>
      <c r="D2751" s="317">
        <v>7289</v>
      </c>
      <c r="E2751" s="122" t="s">
        <v>951</v>
      </c>
      <c r="F2751" s="122" t="s">
        <v>952</v>
      </c>
      <c r="G2751" s="122" t="s">
        <v>786</v>
      </c>
      <c r="H2751" s="122" t="s">
        <v>777</v>
      </c>
      <c r="I2751" s="312">
        <v>2020</v>
      </c>
      <c r="J2751" s="122" t="s">
        <v>711</v>
      </c>
      <c r="K2751" s="283">
        <v>4877</v>
      </c>
      <c r="L2751" s="318">
        <v>-32.906013000000002</v>
      </c>
      <c r="M2751" s="318">
        <v>151.671356</v>
      </c>
      <c r="O2751">
        <f>INDEX('MEC - traffic congestion'!$M$145:$M$249,MATCH($D2751,'MEC - traffic congestion'!$C$145:$C$249,0))</f>
        <v>1</v>
      </c>
      <c r="P2751" t="str">
        <f t="shared" si="122"/>
        <v>2020PM PEAK</v>
      </c>
      <c r="Q2751">
        <f t="shared" si="123"/>
        <v>1</v>
      </c>
      <c r="R2751" s="195" t="str">
        <f t="shared" si="124"/>
        <v>2020LIGHT VEHICLES</v>
      </c>
    </row>
    <row r="2752" spans="3:18" x14ac:dyDescent="0.25">
      <c r="C2752" s="294" t="s">
        <v>950</v>
      </c>
      <c r="D2752" s="317">
        <v>7289</v>
      </c>
      <c r="E2752" s="122" t="s">
        <v>951</v>
      </c>
      <c r="F2752" s="122" t="s">
        <v>952</v>
      </c>
      <c r="G2752" s="122" t="s">
        <v>786</v>
      </c>
      <c r="H2752" s="122" t="s">
        <v>777</v>
      </c>
      <c r="I2752" s="312">
        <v>2020</v>
      </c>
      <c r="J2752" s="122" t="s">
        <v>712</v>
      </c>
      <c r="K2752" s="283">
        <v>9098</v>
      </c>
      <c r="L2752" s="318">
        <v>-32.906013000000002</v>
      </c>
      <c r="M2752" s="318">
        <v>151.671356</v>
      </c>
      <c r="O2752">
        <f>INDEX('MEC - traffic congestion'!$M$145:$M$249,MATCH($D2752,'MEC - traffic congestion'!$C$145:$C$249,0))</f>
        <v>1</v>
      </c>
      <c r="P2752" t="str">
        <f t="shared" si="122"/>
        <v>2020PUBLIC HOLIDAYS</v>
      </c>
      <c r="Q2752">
        <f t="shared" si="123"/>
        <v>1</v>
      </c>
      <c r="R2752" s="195" t="str">
        <f t="shared" si="124"/>
        <v>2020LIGHT VEHICLES</v>
      </c>
    </row>
    <row r="2753" spans="3:18" x14ac:dyDescent="0.25">
      <c r="C2753" s="294" t="s">
        <v>950</v>
      </c>
      <c r="D2753" s="317">
        <v>7289</v>
      </c>
      <c r="E2753" s="122" t="s">
        <v>951</v>
      </c>
      <c r="F2753" s="122" t="s">
        <v>952</v>
      </c>
      <c r="G2753" s="122" t="s">
        <v>786</v>
      </c>
      <c r="H2753" s="122" t="s">
        <v>777</v>
      </c>
      <c r="I2753" s="312">
        <v>2020</v>
      </c>
      <c r="J2753" s="122" t="s">
        <v>713</v>
      </c>
      <c r="K2753" s="283">
        <v>12464</v>
      </c>
      <c r="L2753" s="318">
        <v>-32.906013000000002</v>
      </c>
      <c r="M2753" s="318">
        <v>151.671356</v>
      </c>
      <c r="O2753">
        <f>INDEX('MEC - traffic congestion'!$M$145:$M$249,MATCH($D2753,'MEC - traffic congestion'!$C$145:$C$249,0))</f>
        <v>1</v>
      </c>
      <c r="P2753" t="str">
        <f t="shared" si="122"/>
        <v>2020WEEKENDS</v>
      </c>
      <c r="Q2753">
        <f t="shared" si="123"/>
        <v>1</v>
      </c>
      <c r="R2753" s="195" t="str">
        <f t="shared" si="124"/>
        <v>2020LIGHT VEHICLES</v>
      </c>
    </row>
    <row r="2754" spans="3:18" x14ac:dyDescent="0.25">
      <c r="C2754" s="294" t="s">
        <v>950</v>
      </c>
      <c r="D2754" s="317">
        <v>7289</v>
      </c>
      <c r="E2754" s="122" t="s">
        <v>951</v>
      </c>
      <c r="F2754" s="122" t="s">
        <v>952</v>
      </c>
      <c r="G2754" s="122" t="s">
        <v>786</v>
      </c>
      <c r="H2754" s="122" t="s">
        <v>777</v>
      </c>
      <c r="I2754" s="312">
        <v>2021</v>
      </c>
      <c r="J2754" s="122" t="s">
        <v>709</v>
      </c>
      <c r="K2754" s="283">
        <v>3631</v>
      </c>
      <c r="L2754" s="318">
        <v>-32.906013000000002</v>
      </c>
      <c r="M2754" s="318">
        <v>151.671356</v>
      </c>
      <c r="O2754">
        <f>INDEX('MEC - traffic congestion'!$M$145:$M$249,MATCH($D2754,'MEC - traffic congestion'!$C$145:$C$249,0))</f>
        <v>1</v>
      </c>
      <c r="P2754" t="str">
        <f t="shared" si="122"/>
        <v>2021AM PEAK</v>
      </c>
      <c r="Q2754">
        <f t="shared" si="123"/>
        <v>1</v>
      </c>
      <c r="R2754" s="195" t="str">
        <f t="shared" si="124"/>
        <v>2021LIGHT VEHICLES</v>
      </c>
    </row>
    <row r="2755" spans="3:18" x14ac:dyDescent="0.25">
      <c r="C2755" s="294" t="s">
        <v>950</v>
      </c>
      <c r="D2755" s="317">
        <v>7289</v>
      </c>
      <c r="E2755" s="122" t="s">
        <v>951</v>
      </c>
      <c r="F2755" s="122" t="s">
        <v>952</v>
      </c>
      <c r="G2755" s="122" t="s">
        <v>786</v>
      </c>
      <c r="H2755" s="122" t="s">
        <v>777</v>
      </c>
      <c r="I2755" s="312">
        <v>2021</v>
      </c>
      <c r="J2755" s="122" t="s">
        <v>710</v>
      </c>
      <c r="K2755" s="283">
        <v>7267</v>
      </c>
      <c r="L2755" s="318">
        <v>-32.906013000000002</v>
      </c>
      <c r="M2755" s="318">
        <v>151.671356</v>
      </c>
      <c r="O2755">
        <f>INDEX('MEC - traffic congestion'!$M$145:$M$249,MATCH($D2755,'MEC - traffic congestion'!$C$145:$C$249,0))</f>
        <v>1</v>
      </c>
      <c r="P2755" t="str">
        <f t="shared" si="122"/>
        <v>2021OFF PEAK</v>
      </c>
      <c r="Q2755">
        <f t="shared" si="123"/>
        <v>1</v>
      </c>
      <c r="R2755" s="195" t="str">
        <f t="shared" si="124"/>
        <v>2021LIGHT VEHICLES</v>
      </c>
    </row>
    <row r="2756" spans="3:18" x14ac:dyDescent="0.25">
      <c r="C2756" s="294" t="s">
        <v>950</v>
      </c>
      <c r="D2756" s="317">
        <v>7289</v>
      </c>
      <c r="E2756" s="122" t="s">
        <v>951</v>
      </c>
      <c r="F2756" s="122" t="s">
        <v>952</v>
      </c>
      <c r="G2756" s="122" t="s">
        <v>786</v>
      </c>
      <c r="H2756" s="122" t="s">
        <v>777</v>
      </c>
      <c r="I2756" s="312">
        <v>2021</v>
      </c>
      <c r="J2756" s="122" t="s">
        <v>711</v>
      </c>
      <c r="K2756" s="283">
        <v>4581</v>
      </c>
      <c r="L2756" s="318">
        <v>-32.906013000000002</v>
      </c>
      <c r="M2756" s="318">
        <v>151.671356</v>
      </c>
      <c r="O2756">
        <f>INDEX('MEC - traffic congestion'!$M$145:$M$249,MATCH($D2756,'MEC - traffic congestion'!$C$145:$C$249,0))</f>
        <v>1</v>
      </c>
      <c r="P2756" t="str">
        <f t="shared" si="122"/>
        <v>2021PM PEAK</v>
      </c>
      <c r="Q2756">
        <f t="shared" si="123"/>
        <v>1</v>
      </c>
      <c r="R2756" s="195" t="str">
        <f t="shared" si="124"/>
        <v>2021LIGHT VEHICLES</v>
      </c>
    </row>
    <row r="2757" spans="3:18" x14ac:dyDescent="0.25">
      <c r="C2757" s="294" t="s">
        <v>950</v>
      </c>
      <c r="D2757" s="317">
        <v>7289</v>
      </c>
      <c r="E2757" s="122" t="s">
        <v>951</v>
      </c>
      <c r="F2757" s="122" t="s">
        <v>952</v>
      </c>
      <c r="G2757" s="122" t="s">
        <v>786</v>
      </c>
      <c r="H2757" s="122" t="s">
        <v>777</v>
      </c>
      <c r="I2757" s="312">
        <v>2021</v>
      </c>
      <c r="J2757" s="122" t="s">
        <v>713</v>
      </c>
      <c r="K2757" s="283">
        <v>11879</v>
      </c>
      <c r="L2757" s="318">
        <v>-32.906013000000002</v>
      </c>
      <c r="M2757" s="318">
        <v>151.671356</v>
      </c>
      <c r="O2757">
        <f>INDEX('MEC - traffic congestion'!$M$145:$M$249,MATCH($D2757,'MEC - traffic congestion'!$C$145:$C$249,0))</f>
        <v>1</v>
      </c>
      <c r="P2757" t="str">
        <f t="shared" si="122"/>
        <v>2021WEEKENDS</v>
      </c>
      <c r="Q2757">
        <f t="shared" si="123"/>
        <v>1</v>
      </c>
      <c r="R2757" s="195" t="str">
        <f t="shared" si="124"/>
        <v>2021LIGHT VEHICLES</v>
      </c>
    </row>
    <row r="2758" spans="3:18" x14ac:dyDescent="0.25">
      <c r="C2758" s="294" t="s">
        <v>950</v>
      </c>
      <c r="D2758" s="317">
        <v>7289</v>
      </c>
      <c r="E2758" s="122" t="s">
        <v>951</v>
      </c>
      <c r="F2758" s="122" t="s">
        <v>952</v>
      </c>
      <c r="G2758" s="122" t="s">
        <v>786</v>
      </c>
      <c r="H2758" s="122" t="s">
        <v>777</v>
      </c>
      <c r="I2758" s="312">
        <v>2022</v>
      </c>
      <c r="J2758" s="122" t="s">
        <v>709</v>
      </c>
      <c r="K2758" s="283">
        <v>3949</v>
      </c>
      <c r="L2758" s="318">
        <v>-32.906013000000002</v>
      </c>
      <c r="M2758" s="318">
        <v>151.671356</v>
      </c>
      <c r="O2758">
        <f>INDEX('MEC - traffic congestion'!$M$145:$M$249,MATCH($D2758,'MEC - traffic congestion'!$C$145:$C$249,0))</f>
        <v>1</v>
      </c>
      <c r="P2758" t="str">
        <f t="shared" si="122"/>
        <v>2022AM PEAK</v>
      </c>
      <c r="Q2758">
        <f t="shared" si="123"/>
        <v>1</v>
      </c>
      <c r="R2758" s="195" t="str">
        <f t="shared" si="124"/>
        <v>2022LIGHT VEHICLES</v>
      </c>
    </row>
    <row r="2759" spans="3:18" x14ac:dyDescent="0.25">
      <c r="C2759" s="294" t="s">
        <v>950</v>
      </c>
      <c r="D2759" s="317">
        <v>7289</v>
      </c>
      <c r="E2759" s="122" t="s">
        <v>951</v>
      </c>
      <c r="F2759" s="122" t="s">
        <v>952</v>
      </c>
      <c r="G2759" s="122" t="s">
        <v>786</v>
      </c>
      <c r="H2759" s="122" t="s">
        <v>777</v>
      </c>
      <c r="I2759" s="312">
        <v>2022</v>
      </c>
      <c r="J2759" s="122" t="s">
        <v>710</v>
      </c>
      <c r="K2759" s="283">
        <v>8045</v>
      </c>
      <c r="L2759" s="318">
        <v>-32.906013000000002</v>
      </c>
      <c r="M2759" s="318">
        <v>151.671356</v>
      </c>
      <c r="O2759">
        <f>INDEX('MEC - traffic congestion'!$M$145:$M$249,MATCH($D2759,'MEC - traffic congestion'!$C$145:$C$249,0))</f>
        <v>1</v>
      </c>
      <c r="P2759" t="str">
        <f t="shared" si="122"/>
        <v>2022OFF PEAK</v>
      </c>
      <c r="Q2759">
        <f t="shared" si="123"/>
        <v>1</v>
      </c>
      <c r="R2759" s="195" t="str">
        <f t="shared" si="124"/>
        <v>2022LIGHT VEHICLES</v>
      </c>
    </row>
    <row r="2760" spans="3:18" x14ac:dyDescent="0.25">
      <c r="C2760" s="294" t="s">
        <v>950</v>
      </c>
      <c r="D2760" s="317">
        <v>7289</v>
      </c>
      <c r="E2760" s="122" t="s">
        <v>951</v>
      </c>
      <c r="F2760" s="122" t="s">
        <v>952</v>
      </c>
      <c r="G2760" s="122" t="s">
        <v>786</v>
      </c>
      <c r="H2760" s="122" t="s">
        <v>777</v>
      </c>
      <c r="I2760" s="312">
        <v>2022</v>
      </c>
      <c r="J2760" s="122" t="s">
        <v>711</v>
      </c>
      <c r="K2760" s="283">
        <v>4859</v>
      </c>
      <c r="L2760" s="318">
        <v>-32.906013000000002</v>
      </c>
      <c r="M2760" s="318">
        <v>151.671356</v>
      </c>
      <c r="O2760">
        <f>INDEX('MEC - traffic congestion'!$M$145:$M$249,MATCH($D2760,'MEC - traffic congestion'!$C$145:$C$249,0))</f>
        <v>1</v>
      </c>
      <c r="P2760" t="str">
        <f t="shared" si="122"/>
        <v>2022PM PEAK</v>
      </c>
      <c r="Q2760">
        <f t="shared" si="123"/>
        <v>1</v>
      </c>
      <c r="R2760" s="195" t="str">
        <f t="shared" si="124"/>
        <v>2022LIGHT VEHICLES</v>
      </c>
    </row>
    <row r="2761" spans="3:18" x14ac:dyDescent="0.25">
      <c r="C2761" s="294" t="s">
        <v>950</v>
      </c>
      <c r="D2761" s="317">
        <v>7289</v>
      </c>
      <c r="E2761" s="122" t="s">
        <v>951</v>
      </c>
      <c r="F2761" s="122" t="s">
        <v>952</v>
      </c>
      <c r="G2761" s="122" t="s">
        <v>786</v>
      </c>
      <c r="H2761" s="122" t="s">
        <v>777</v>
      </c>
      <c r="I2761" s="312">
        <v>2022</v>
      </c>
      <c r="J2761" s="122" t="s">
        <v>713</v>
      </c>
      <c r="K2761" s="283">
        <v>13914</v>
      </c>
      <c r="L2761" s="318">
        <v>-32.906013000000002</v>
      </c>
      <c r="M2761" s="318">
        <v>151.671356</v>
      </c>
      <c r="O2761">
        <f>INDEX('MEC - traffic congestion'!$M$145:$M$249,MATCH($D2761,'MEC - traffic congestion'!$C$145:$C$249,0))</f>
        <v>1</v>
      </c>
      <c r="P2761" t="str">
        <f t="shared" si="122"/>
        <v>2022WEEKENDS</v>
      </c>
      <c r="Q2761">
        <f t="shared" si="123"/>
        <v>1</v>
      </c>
      <c r="R2761" s="195" t="str">
        <f t="shared" si="124"/>
        <v>2022LIGHT VEHICLES</v>
      </c>
    </row>
    <row r="2762" spans="3:18" x14ac:dyDescent="0.25">
      <c r="C2762" s="294" t="s">
        <v>950</v>
      </c>
      <c r="D2762" s="317">
        <v>7289</v>
      </c>
      <c r="E2762" s="122" t="s">
        <v>951</v>
      </c>
      <c r="F2762" s="122" t="s">
        <v>952</v>
      </c>
      <c r="G2762" s="122" t="s">
        <v>786</v>
      </c>
      <c r="H2762" s="122" t="s">
        <v>777</v>
      </c>
      <c r="I2762" s="312">
        <v>2023</v>
      </c>
      <c r="J2762" s="122" t="s">
        <v>709</v>
      </c>
      <c r="K2762" s="283">
        <v>4013</v>
      </c>
      <c r="L2762" s="318">
        <v>-32.906013000000002</v>
      </c>
      <c r="M2762" s="318">
        <v>151.671356</v>
      </c>
      <c r="O2762">
        <f>INDEX('MEC - traffic congestion'!$M$145:$M$249,MATCH($D2762,'MEC - traffic congestion'!$C$145:$C$249,0))</f>
        <v>1</v>
      </c>
      <c r="P2762" t="str">
        <f t="shared" si="122"/>
        <v>2023AM PEAK</v>
      </c>
      <c r="Q2762">
        <f t="shared" si="123"/>
        <v>1</v>
      </c>
      <c r="R2762" s="195" t="str">
        <f t="shared" si="124"/>
        <v>2023LIGHT VEHICLES</v>
      </c>
    </row>
    <row r="2763" spans="3:18" x14ac:dyDescent="0.25">
      <c r="C2763" s="294" t="s">
        <v>950</v>
      </c>
      <c r="D2763" s="317">
        <v>7289</v>
      </c>
      <c r="E2763" s="122" t="s">
        <v>951</v>
      </c>
      <c r="F2763" s="122" t="s">
        <v>952</v>
      </c>
      <c r="G2763" s="122" t="s">
        <v>786</v>
      </c>
      <c r="H2763" s="122" t="s">
        <v>777</v>
      </c>
      <c r="I2763" s="312">
        <v>2023</v>
      </c>
      <c r="J2763" s="122" t="s">
        <v>710</v>
      </c>
      <c r="K2763" s="283">
        <v>8384</v>
      </c>
      <c r="L2763" s="318">
        <v>-32.906013000000002</v>
      </c>
      <c r="M2763" s="318">
        <v>151.671356</v>
      </c>
      <c r="O2763">
        <f>INDEX('MEC - traffic congestion'!$M$145:$M$249,MATCH($D2763,'MEC - traffic congestion'!$C$145:$C$249,0))</f>
        <v>1</v>
      </c>
      <c r="P2763" t="str">
        <f t="shared" si="122"/>
        <v>2023OFF PEAK</v>
      </c>
      <c r="Q2763">
        <f t="shared" si="123"/>
        <v>1</v>
      </c>
      <c r="R2763" s="195" t="str">
        <f t="shared" si="124"/>
        <v>2023LIGHT VEHICLES</v>
      </c>
    </row>
    <row r="2764" spans="3:18" x14ac:dyDescent="0.25">
      <c r="C2764" s="294" t="s">
        <v>950</v>
      </c>
      <c r="D2764" s="317">
        <v>7289</v>
      </c>
      <c r="E2764" s="122" t="s">
        <v>951</v>
      </c>
      <c r="F2764" s="122" t="s">
        <v>952</v>
      </c>
      <c r="G2764" s="122" t="s">
        <v>786</v>
      </c>
      <c r="H2764" s="122" t="s">
        <v>777</v>
      </c>
      <c r="I2764" s="312">
        <v>2023</v>
      </c>
      <c r="J2764" s="122" t="s">
        <v>711</v>
      </c>
      <c r="K2764" s="283">
        <v>5204</v>
      </c>
      <c r="L2764" s="318">
        <v>-32.906013000000002</v>
      </c>
      <c r="M2764" s="318">
        <v>151.671356</v>
      </c>
      <c r="O2764">
        <f>INDEX('MEC - traffic congestion'!$M$145:$M$249,MATCH($D2764,'MEC - traffic congestion'!$C$145:$C$249,0))</f>
        <v>1</v>
      </c>
      <c r="P2764" t="str">
        <f t="shared" si="122"/>
        <v>2023PM PEAK</v>
      </c>
      <c r="Q2764">
        <f t="shared" si="123"/>
        <v>1</v>
      </c>
      <c r="R2764" s="195" t="str">
        <f t="shared" si="124"/>
        <v>2023LIGHT VEHICLES</v>
      </c>
    </row>
    <row r="2765" spans="3:18" x14ac:dyDescent="0.25">
      <c r="C2765" s="294" t="s">
        <v>950</v>
      </c>
      <c r="D2765" s="317">
        <v>7289</v>
      </c>
      <c r="E2765" s="122" t="s">
        <v>951</v>
      </c>
      <c r="F2765" s="122" t="s">
        <v>952</v>
      </c>
      <c r="G2765" s="122" t="s">
        <v>786</v>
      </c>
      <c r="H2765" s="122" t="s">
        <v>777</v>
      </c>
      <c r="I2765" s="312">
        <v>2023</v>
      </c>
      <c r="J2765" s="122" t="s">
        <v>713</v>
      </c>
      <c r="K2765" s="283">
        <v>14612</v>
      </c>
      <c r="L2765" s="318">
        <v>-32.906013000000002</v>
      </c>
      <c r="M2765" s="318">
        <v>151.671356</v>
      </c>
      <c r="O2765">
        <f>INDEX('MEC - traffic congestion'!$M$145:$M$249,MATCH($D2765,'MEC - traffic congestion'!$C$145:$C$249,0))</f>
        <v>1</v>
      </c>
      <c r="P2765" t="str">
        <f t="shared" si="122"/>
        <v>2023WEEKENDS</v>
      </c>
      <c r="Q2765">
        <f t="shared" si="123"/>
        <v>1</v>
      </c>
      <c r="R2765" s="195" t="str">
        <f t="shared" si="124"/>
        <v>2023LIGHT VEHICLES</v>
      </c>
    </row>
    <row r="2766" spans="3:18" x14ac:dyDescent="0.25">
      <c r="C2766" s="294" t="s">
        <v>950</v>
      </c>
      <c r="D2766" s="317">
        <v>7289</v>
      </c>
      <c r="E2766" s="122" t="s">
        <v>951</v>
      </c>
      <c r="F2766" s="122" t="s">
        <v>952</v>
      </c>
      <c r="G2766" s="122" t="s">
        <v>786</v>
      </c>
      <c r="H2766" s="122" t="s">
        <v>777</v>
      </c>
      <c r="I2766" s="312">
        <v>2024</v>
      </c>
      <c r="J2766" s="122" t="s">
        <v>709</v>
      </c>
      <c r="K2766" s="283">
        <v>3882</v>
      </c>
      <c r="L2766" s="318">
        <v>-32.906013000000002</v>
      </c>
      <c r="M2766" s="318">
        <v>151.671356</v>
      </c>
      <c r="O2766">
        <f>INDEX('MEC - traffic congestion'!$M$145:$M$249,MATCH($D2766,'MEC - traffic congestion'!$C$145:$C$249,0))</f>
        <v>1</v>
      </c>
      <c r="P2766" t="str">
        <f t="shared" si="122"/>
        <v>2024AM PEAK</v>
      </c>
      <c r="Q2766">
        <f t="shared" si="123"/>
        <v>1</v>
      </c>
      <c r="R2766" s="195" t="str">
        <f t="shared" si="124"/>
        <v>2024LIGHT VEHICLES</v>
      </c>
    </row>
    <row r="2767" spans="3:18" x14ac:dyDescent="0.25">
      <c r="C2767" s="294" t="s">
        <v>950</v>
      </c>
      <c r="D2767" s="317">
        <v>7289</v>
      </c>
      <c r="E2767" s="122" t="s">
        <v>951</v>
      </c>
      <c r="F2767" s="122" t="s">
        <v>952</v>
      </c>
      <c r="G2767" s="122" t="s">
        <v>786</v>
      </c>
      <c r="H2767" s="122" t="s">
        <v>777</v>
      </c>
      <c r="I2767" s="312">
        <v>2024</v>
      </c>
      <c r="J2767" s="122" t="s">
        <v>710</v>
      </c>
      <c r="K2767" s="283">
        <v>8486</v>
      </c>
      <c r="L2767" s="318">
        <v>-32.906013000000002</v>
      </c>
      <c r="M2767" s="318">
        <v>151.671356</v>
      </c>
      <c r="O2767">
        <f>INDEX('MEC - traffic congestion'!$M$145:$M$249,MATCH($D2767,'MEC - traffic congestion'!$C$145:$C$249,0))</f>
        <v>1</v>
      </c>
      <c r="P2767" t="str">
        <f t="shared" si="122"/>
        <v>2024OFF PEAK</v>
      </c>
      <c r="Q2767">
        <f t="shared" si="123"/>
        <v>1</v>
      </c>
      <c r="R2767" s="195" t="str">
        <f t="shared" si="124"/>
        <v>2024LIGHT VEHICLES</v>
      </c>
    </row>
    <row r="2768" spans="3:18" x14ac:dyDescent="0.25">
      <c r="C2768" s="294" t="s">
        <v>950</v>
      </c>
      <c r="D2768" s="317">
        <v>7289</v>
      </c>
      <c r="E2768" s="122" t="s">
        <v>951</v>
      </c>
      <c r="F2768" s="122" t="s">
        <v>952</v>
      </c>
      <c r="G2768" s="122" t="s">
        <v>786</v>
      </c>
      <c r="H2768" s="122" t="s">
        <v>777</v>
      </c>
      <c r="I2768" s="312">
        <v>2024</v>
      </c>
      <c r="J2768" s="122" t="s">
        <v>711</v>
      </c>
      <c r="K2768" s="283">
        <v>5197</v>
      </c>
      <c r="L2768" s="318">
        <v>-32.906013000000002</v>
      </c>
      <c r="M2768" s="318">
        <v>151.671356</v>
      </c>
      <c r="O2768">
        <f>INDEX('MEC - traffic congestion'!$M$145:$M$249,MATCH($D2768,'MEC - traffic congestion'!$C$145:$C$249,0))</f>
        <v>1</v>
      </c>
      <c r="P2768" t="str">
        <f t="shared" si="122"/>
        <v>2024PM PEAK</v>
      </c>
      <c r="Q2768">
        <f t="shared" si="123"/>
        <v>1</v>
      </c>
      <c r="R2768" s="195" t="str">
        <f t="shared" si="124"/>
        <v>2024LIGHT VEHICLES</v>
      </c>
    </row>
    <row r="2769" spans="3:18" x14ac:dyDescent="0.25">
      <c r="C2769" s="294" t="s">
        <v>950</v>
      </c>
      <c r="D2769" s="317">
        <v>7289</v>
      </c>
      <c r="E2769" s="122" t="s">
        <v>951</v>
      </c>
      <c r="F2769" s="122" t="s">
        <v>952</v>
      </c>
      <c r="G2769" s="122" t="s">
        <v>786</v>
      </c>
      <c r="H2769" s="122" t="s">
        <v>777</v>
      </c>
      <c r="I2769" s="312">
        <v>2024</v>
      </c>
      <c r="J2769" s="122" t="s">
        <v>713</v>
      </c>
      <c r="K2769" s="283">
        <v>14750</v>
      </c>
      <c r="L2769" s="318">
        <v>-32.906013000000002</v>
      </c>
      <c r="M2769" s="318">
        <v>151.671356</v>
      </c>
      <c r="O2769">
        <f>INDEX('MEC - traffic congestion'!$M$145:$M$249,MATCH($D2769,'MEC - traffic congestion'!$C$145:$C$249,0))</f>
        <v>1</v>
      </c>
      <c r="P2769" t="str">
        <f t="shared" si="122"/>
        <v>2024WEEKENDS</v>
      </c>
      <c r="Q2769">
        <f t="shared" si="123"/>
        <v>1</v>
      </c>
      <c r="R2769" s="195" t="str">
        <f t="shared" si="124"/>
        <v>2024LIGHT VEHICLES</v>
      </c>
    </row>
    <row r="2770" spans="3:18" x14ac:dyDescent="0.25">
      <c r="C2770" s="294" t="s">
        <v>953</v>
      </c>
      <c r="D2770" s="317">
        <v>74228</v>
      </c>
      <c r="E2770" s="122" t="s">
        <v>954</v>
      </c>
      <c r="F2770" s="122" t="s">
        <v>955</v>
      </c>
      <c r="G2770" s="122" t="s">
        <v>776</v>
      </c>
      <c r="H2770" s="122" t="s">
        <v>777</v>
      </c>
      <c r="I2770" s="312">
        <v>2018</v>
      </c>
      <c r="J2770" s="122" t="s">
        <v>709</v>
      </c>
      <c r="K2770" s="283">
        <v>2691</v>
      </c>
      <c r="L2770" s="318">
        <v>-33.723019000000001</v>
      </c>
      <c r="M2770" s="318">
        <v>151.03660600000001</v>
      </c>
      <c r="O2770">
        <f>INDEX('MEC - traffic congestion'!$M$145:$M$249,MATCH($D2770,'MEC - traffic congestion'!$C$145:$C$249,0))</f>
        <v>1</v>
      </c>
      <c r="P2770" t="str">
        <f t="shared" si="122"/>
        <v>2018AM PEAK</v>
      </c>
      <c r="Q2770">
        <f t="shared" si="123"/>
        <v>1</v>
      </c>
      <c r="R2770" s="195" t="str">
        <f t="shared" si="124"/>
        <v>2018LIGHT VEHICLES</v>
      </c>
    </row>
    <row r="2771" spans="3:18" x14ac:dyDescent="0.25">
      <c r="C2771" s="294" t="s">
        <v>953</v>
      </c>
      <c r="D2771" s="317">
        <v>74228</v>
      </c>
      <c r="E2771" s="122" t="s">
        <v>954</v>
      </c>
      <c r="F2771" s="122" t="s">
        <v>955</v>
      </c>
      <c r="G2771" s="122" t="s">
        <v>778</v>
      </c>
      <c r="H2771" s="122" t="s">
        <v>777</v>
      </c>
      <c r="I2771" s="312">
        <v>2018</v>
      </c>
      <c r="J2771" s="122" t="s">
        <v>709</v>
      </c>
      <c r="K2771" s="283">
        <v>4908</v>
      </c>
      <c r="L2771" s="318">
        <v>-33.723019000000001</v>
      </c>
      <c r="M2771" s="318">
        <v>151.03660600000001</v>
      </c>
      <c r="O2771">
        <f>INDEX('MEC - traffic congestion'!$M$145:$M$249,MATCH($D2771,'MEC - traffic congestion'!$C$145:$C$249,0))</f>
        <v>1</v>
      </c>
      <c r="P2771" t="str">
        <f t="shared" si="122"/>
        <v>2018AM PEAK</v>
      </c>
      <c r="Q2771">
        <f t="shared" si="123"/>
        <v>1</v>
      </c>
      <c r="R2771" s="195" t="str">
        <f t="shared" si="124"/>
        <v>2018LIGHT VEHICLES</v>
      </c>
    </row>
    <row r="2772" spans="3:18" x14ac:dyDescent="0.25">
      <c r="C2772" s="294" t="s">
        <v>953</v>
      </c>
      <c r="D2772" s="317">
        <v>74228</v>
      </c>
      <c r="E2772" s="122" t="s">
        <v>954</v>
      </c>
      <c r="F2772" s="122" t="s">
        <v>955</v>
      </c>
      <c r="G2772" s="122" t="s">
        <v>776</v>
      </c>
      <c r="H2772" s="122" t="s">
        <v>777</v>
      </c>
      <c r="I2772" s="312">
        <v>2018</v>
      </c>
      <c r="J2772" s="122" t="s">
        <v>710</v>
      </c>
      <c r="K2772" s="283">
        <v>6652</v>
      </c>
      <c r="L2772" s="318">
        <v>-33.723019000000001</v>
      </c>
      <c r="M2772" s="318">
        <v>151.03660600000001</v>
      </c>
      <c r="O2772">
        <f>INDEX('MEC - traffic congestion'!$M$145:$M$249,MATCH($D2772,'MEC - traffic congestion'!$C$145:$C$249,0))</f>
        <v>1</v>
      </c>
      <c r="P2772" t="str">
        <f t="shared" si="122"/>
        <v>2018OFF PEAK</v>
      </c>
      <c r="Q2772">
        <f t="shared" si="123"/>
        <v>1</v>
      </c>
      <c r="R2772" s="195" t="str">
        <f t="shared" si="124"/>
        <v>2018LIGHT VEHICLES</v>
      </c>
    </row>
    <row r="2773" spans="3:18" x14ac:dyDescent="0.25">
      <c r="C2773" s="294" t="s">
        <v>953</v>
      </c>
      <c r="D2773" s="317">
        <v>74228</v>
      </c>
      <c r="E2773" s="122" t="s">
        <v>954</v>
      </c>
      <c r="F2773" s="122" t="s">
        <v>955</v>
      </c>
      <c r="G2773" s="122" t="s">
        <v>778</v>
      </c>
      <c r="H2773" s="122" t="s">
        <v>777</v>
      </c>
      <c r="I2773" s="312">
        <v>2018</v>
      </c>
      <c r="J2773" s="122" t="s">
        <v>710</v>
      </c>
      <c r="K2773" s="283">
        <v>6517</v>
      </c>
      <c r="L2773" s="318">
        <v>-33.723019000000001</v>
      </c>
      <c r="M2773" s="318">
        <v>151.03660600000001</v>
      </c>
      <c r="O2773">
        <f>INDEX('MEC - traffic congestion'!$M$145:$M$249,MATCH($D2773,'MEC - traffic congestion'!$C$145:$C$249,0))</f>
        <v>1</v>
      </c>
      <c r="P2773" t="str">
        <f t="shared" ref="P2773:P2836" si="125">IF($O2773=1,$I2773&amp;$J2773,"")</f>
        <v>2018OFF PEAK</v>
      </c>
      <c r="Q2773">
        <f t="shared" ref="Q2773:Q2836" si="126">IF(AND($M2773&gt;150.246,AND($L2773&gt;-34.397,$L2773&lt;-32.662)),1,0)</f>
        <v>1</v>
      </c>
      <c r="R2773" s="195" t="str">
        <f t="shared" ref="R2773:R2836" si="127">IF($O2773=1,$I2773&amp;$H2773,"")</f>
        <v>2018LIGHT VEHICLES</v>
      </c>
    </row>
    <row r="2774" spans="3:18" x14ac:dyDescent="0.25">
      <c r="C2774" s="294" t="s">
        <v>953</v>
      </c>
      <c r="D2774" s="317">
        <v>74228</v>
      </c>
      <c r="E2774" s="122" t="s">
        <v>954</v>
      </c>
      <c r="F2774" s="122" t="s">
        <v>955</v>
      </c>
      <c r="G2774" s="122" t="s">
        <v>776</v>
      </c>
      <c r="H2774" s="122" t="s">
        <v>777</v>
      </c>
      <c r="I2774" s="312">
        <v>2018</v>
      </c>
      <c r="J2774" s="122" t="s">
        <v>711</v>
      </c>
      <c r="K2774" s="283">
        <v>4023</v>
      </c>
      <c r="L2774" s="318">
        <v>-33.723019000000001</v>
      </c>
      <c r="M2774" s="318">
        <v>151.03660600000001</v>
      </c>
      <c r="O2774">
        <f>INDEX('MEC - traffic congestion'!$M$145:$M$249,MATCH($D2774,'MEC - traffic congestion'!$C$145:$C$249,0))</f>
        <v>1</v>
      </c>
      <c r="P2774" t="str">
        <f t="shared" si="125"/>
        <v>2018PM PEAK</v>
      </c>
      <c r="Q2774">
        <f t="shared" si="126"/>
        <v>1</v>
      </c>
      <c r="R2774" s="195" t="str">
        <f t="shared" si="127"/>
        <v>2018LIGHT VEHICLES</v>
      </c>
    </row>
    <row r="2775" spans="3:18" x14ac:dyDescent="0.25">
      <c r="C2775" s="294" t="s">
        <v>953</v>
      </c>
      <c r="D2775" s="317">
        <v>74228</v>
      </c>
      <c r="E2775" s="122" t="s">
        <v>954</v>
      </c>
      <c r="F2775" s="122" t="s">
        <v>955</v>
      </c>
      <c r="G2775" s="122" t="s">
        <v>778</v>
      </c>
      <c r="H2775" s="122" t="s">
        <v>777</v>
      </c>
      <c r="I2775" s="312">
        <v>2018</v>
      </c>
      <c r="J2775" s="122" t="s">
        <v>711</v>
      </c>
      <c r="K2775" s="283">
        <v>3879</v>
      </c>
      <c r="L2775" s="318">
        <v>-33.723019000000001</v>
      </c>
      <c r="M2775" s="318">
        <v>151.03660600000001</v>
      </c>
      <c r="O2775">
        <f>INDEX('MEC - traffic congestion'!$M$145:$M$249,MATCH($D2775,'MEC - traffic congestion'!$C$145:$C$249,0))</f>
        <v>1</v>
      </c>
      <c r="P2775" t="str">
        <f t="shared" si="125"/>
        <v>2018PM PEAK</v>
      </c>
      <c r="Q2775">
        <f t="shared" si="126"/>
        <v>1</v>
      </c>
      <c r="R2775" s="195" t="str">
        <f t="shared" si="127"/>
        <v>2018LIGHT VEHICLES</v>
      </c>
    </row>
    <row r="2776" spans="3:18" x14ac:dyDescent="0.25">
      <c r="C2776" s="294" t="s">
        <v>953</v>
      </c>
      <c r="D2776" s="317">
        <v>74228</v>
      </c>
      <c r="E2776" s="122" t="s">
        <v>954</v>
      </c>
      <c r="F2776" s="122" t="s">
        <v>955</v>
      </c>
      <c r="G2776" s="122" t="s">
        <v>776</v>
      </c>
      <c r="H2776" s="122" t="s">
        <v>777</v>
      </c>
      <c r="I2776" s="312">
        <v>2018</v>
      </c>
      <c r="J2776" s="122" t="s">
        <v>712</v>
      </c>
      <c r="K2776" s="283">
        <v>10630</v>
      </c>
      <c r="L2776" s="318">
        <v>-33.723019000000001</v>
      </c>
      <c r="M2776" s="318">
        <v>151.03660600000001</v>
      </c>
      <c r="O2776">
        <f>INDEX('MEC - traffic congestion'!$M$145:$M$249,MATCH($D2776,'MEC - traffic congestion'!$C$145:$C$249,0))</f>
        <v>1</v>
      </c>
      <c r="P2776" t="str">
        <f t="shared" si="125"/>
        <v>2018PUBLIC HOLIDAYS</v>
      </c>
      <c r="Q2776">
        <f t="shared" si="126"/>
        <v>1</v>
      </c>
      <c r="R2776" s="195" t="str">
        <f t="shared" si="127"/>
        <v>2018LIGHT VEHICLES</v>
      </c>
    </row>
    <row r="2777" spans="3:18" x14ac:dyDescent="0.25">
      <c r="C2777" s="294" t="s">
        <v>953</v>
      </c>
      <c r="D2777" s="317">
        <v>74228</v>
      </c>
      <c r="E2777" s="122" t="s">
        <v>954</v>
      </c>
      <c r="F2777" s="122" t="s">
        <v>955</v>
      </c>
      <c r="G2777" s="122" t="s">
        <v>778</v>
      </c>
      <c r="H2777" s="122" t="s">
        <v>777</v>
      </c>
      <c r="I2777" s="312">
        <v>2018</v>
      </c>
      <c r="J2777" s="122" t="s">
        <v>712</v>
      </c>
      <c r="K2777" s="283">
        <v>11304</v>
      </c>
      <c r="L2777" s="318">
        <v>-33.723019000000001</v>
      </c>
      <c r="M2777" s="318">
        <v>151.03660600000001</v>
      </c>
      <c r="O2777">
        <f>INDEX('MEC - traffic congestion'!$M$145:$M$249,MATCH($D2777,'MEC - traffic congestion'!$C$145:$C$249,0))</f>
        <v>1</v>
      </c>
      <c r="P2777" t="str">
        <f t="shared" si="125"/>
        <v>2018PUBLIC HOLIDAYS</v>
      </c>
      <c r="Q2777">
        <f t="shared" si="126"/>
        <v>1</v>
      </c>
      <c r="R2777" s="195" t="str">
        <f t="shared" si="127"/>
        <v>2018LIGHT VEHICLES</v>
      </c>
    </row>
    <row r="2778" spans="3:18" x14ac:dyDescent="0.25">
      <c r="C2778" s="294" t="s">
        <v>953</v>
      </c>
      <c r="D2778" s="317">
        <v>74228</v>
      </c>
      <c r="E2778" s="122" t="s">
        <v>954</v>
      </c>
      <c r="F2778" s="122" t="s">
        <v>955</v>
      </c>
      <c r="G2778" s="122" t="s">
        <v>776</v>
      </c>
      <c r="H2778" s="122" t="s">
        <v>777</v>
      </c>
      <c r="I2778" s="312">
        <v>2018</v>
      </c>
      <c r="J2778" s="122" t="s">
        <v>713</v>
      </c>
      <c r="K2778" s="283">
        <v>13232</v>
      </c>
      <c r="L2778" s="318">
        <v>-33.723019000000001</v>
      </c>
      <c r="M2778" s="318">
        <v>151.03660600000001</v>
      </c>
      <c r="O2778">
        <f>INDEX('MEC - traffic congestion'!$M$145:$M$249,MATCH($D2778,'MEC - traffic congestion'!$C$145:$C$249,0))</f>
        <v>1</v>
      </c>
      <c r="P2778" t="str">
        <f t="shared" si="125"/>
        <v>2018WEEKENDS</v>
      </c>
      <c r="Q2778">
        <f t="shared" si="126"/>
        <v>1</v>
      </c>
      <c r="R2778" s="195" t="str">
        <f t="shared" si="127"/>
        <v>2018LIGHT VEHICLES</v>
      </c>
    </row>
    <row r="2779" spans="3:18" x14ac:dyDescent="0.25">
      <c r="C2779" s="294" t="s">
        <v>953</v>
      </c>
      <c r="D2779" s="317">
        <v>74228</v>
      </c>
      <c r="E2779" s="122" t="s">
        <v>954</v>
      </c>
      <c r="F2779" s="122" t="s">
        <v>955</v>
      </c>
      <c r="G2779" s="122" t="s">
        <v>778</v>
      </c>
      <c r="H2779" s="122" t="s">
        <v>777</v>
      </c>
      <c r="I2779" s="312">
        <v>2018</v>
      </c>
      <c r="J2779" s="122" t="s">
        <v>713</v>
      </c>
      <c r="K2779" s="283">
        <v>14223</v>
      </c>
      <c r="L2779" s="318">
        <v>-33.723019000000001</v>
      </c>
      <c r="M2779" s="318">
        <v>151.03660600000001</v>
      </c>
      <c r="O2779">
        <f>INDEX('MEC - traffic congestion'!$M$145:$M$249,MATCH($D2779,'MEC - traffic congestion'!$C$145:$C$249,0))</f>
        <v>1</v>
      </c>
      <c r="P2779" t="str">
        <f t="shared" si="125"/>
        <v>2018WEEKENDS</v>
      </c>
      <c r="Q2779">
        <f t="shared" si="126"/>
        <v>1</v>
      </c>
      <c r="R2779" s="195" t="str">
        <f t="shared" si="127"/>
        <v>2018LIGHT VEHICLES</v>
      </c>
    </row>
    <row r="2780" spans="3:18" x14ac:dyDescent="0.25">
      <c r="C2780" s="294" t="s">
        <v>953</v>
      </c>
      <c r="D2780" s="317">
        <v>74228</v>
      </c>
      <c r="E2780" s="122" t="s">
        <v>954</v>
      </c>
      <c r="F2780" s="122" t="s">
        <v>955</v>
      </c>
      <c r="G2780" s="122" t="s">
        <v>776</v>
      </c>
      <c r="H2780" s="122" t="s">
        <v>777</v>
      </c>
      <c r="I2780" s="312">
        <v>2019</v>
      </c>
      <c r="J2780" s="122" t="s">
        <v>709</v>
      </c>
      <c r="K2780" s="283">
        <v>2673</v>
      </c>
      <c r="L2780" s="318">
        <v>-33.723019000000001</v>
      </c>
      <c r="M2780" s="318">
        <v>151.03660600000001</v>
      </c>
      <c r="O2780">
        <f>INDEX('MEC - traffic congestion'!$M$145:$M$249,MATCH($D2780,'MEC - traffic congestion'!$C$145:$C$249,0))</f>
        <v>1</v>
      </c>
      <c r="P2780" t="str">
        <f t="shared" si="125"/>
        <v>2019AM PEAK</v>
      </c>
      <c r="Q2780">
        <f t="shared" si="126"/>
        <v>1</v>
      </c>
      <c r="R2780" s="195" t="str">
        <f t="shared" si="127"/>
        <v>2019LIGHT VEHICLES</v>
      </c>
    </row>
    <row r="2781" spans="3:18" x14ac:dyDescent="0.25">
      <c r="C2781" s="294" t="s">
        <v>953</v>
      </c>
      <c r="D2781" s="317">
        <v>74228</v>
      </c>
      <c r="E2781" s="122" t="s">
        <v>954</v>
      </c>
      <c r="F2781" s="122" t="s">
        <v>955</v>
      </c>
      <c r="G2781" s="122" t="s">
        <v>778</v>
      </c>
      <c r="H2781" s="122" t="s">
        <v>777</v>
      </c>
      <c r="I2781" s="312">
        <v>2019</v>
      </c>
      <c r="J2781" s="122" t="s">
        <v>709</v>
      </c>
      <c r="K2781" s="283">
        <v>4820</v>
      </c>
      <c r="L2781" s="318">
        <v>-33.723019000000001</v>
      </c>
      <c r="M2781" s="318">
        <v>151.03660600000001</v>
      </c>
      <c r="O2781">
        <f>INDEX('MEC - traffic congestion'!$M$145:$M$249,MATCH($D2781,'MEC - traffic congestion'!$C$145:$C$249,0))</f>
        <v>1</v>
      </c>
      <c r="P2781" t="str">
        <f t="shared" si="125"/>
        <v>2019AM PEAK</v>
      </c>
      <c r="Q2781">
        <f t="shared" si="126"/>
        <v>1</v>
      </c>
      <c r="R2781" s="195" t="str">
        <f t="shared" si="127"/>
        <v>2019LIGHT VEHICLES</v>
      </c>
    </row>
    <row r="2782" spans="3:18" x14ac:dyDescent="0.25">
      <c r="C2782" s="294" t="s">
        <v>953</v>
      </c>
      <c r="D2782" s="317">
        <v>74228</v>
      </c>
      <c r="E2782" s="122" t="s">
        <v>954</v>
      </c>
      <c r="F2782" s="122" t="s">
        <v>955</v>
      </c>
      <c r="G2782" s="122" t="s">
        <v>776</v>
      </c>
      <c r="H2782" s="122" t="s">
        <v>777</v>
      </c>
      <c r="I2782" s="312">
        <v>2019</v>
      </c>
      <c r="J2782" s="122" t="s">
        <v>710</v>
      </c>
      <c r="K2782" s="283">
        <v>6592</v>
      </c>
      <c r="L2782" s="318">
        <v>-33.723019000000001</v>
      </c>
      <c r="M2782" s="318">
        <v>151.03660600000001</v>
      </c>
      <c r="O2782">
        <f>INDEX('MEC - traffic congestion'!$M$145:$M$249,MATCH($D2782,'MEC - traffic congestion'!$C$145:$C$249,0))</f>
        <v>1</v>
      </c>
      <c r="P2782" t="str">
        <f t="shared" si="125"/>
        <v>2019OFF PEAK</v>
      </c>
      <c r="Q2782">
        <f t="shared" si="126"/>
        <v>1</v>
      </c>
      <c r="R2782" s="195" t="str">
        <f t="shared" si="127"/>
        <v>2019LIGHT VEHICLES</v>
      </c>
    </row>
    <row r="2783" spans="3:18" x14ac:dyDescent="0.25">
      <c r="C2783" s="294" t="s">
        <v>953</v>
      </c>
      <c r="D2783" s="317">
        <v>74228</v>
      </c>
      <c r="E2783" s="122" t="s">
        <v>954</v>
      </c>
      <c r="F2783" s="122" t="s">
        <v>955</v>
      </c>
      <c r="G2783" s="122" t="s">
        <v>778</v>
      </c>
      <c r="H2783" s="122" t="s">
        <v>777</v>
      </c>
      <c r="I2783" s="312">
        <v>2019</v>
      </c>
      <c r="J2783" s="122" t="s">
        <v>710</v>
      </c>
      <c r="K2783" s="283">
        <v>6433</v>
      </c>
      <c r="L2783" s="318">
        <v>-33.723019000000001</v>
      </c>
      <c r="M2783" s="318">
        <v>151.03660600000001</v>
      </c>
      <c r="O2783">
        <f>INDEX('MEC - traffic congestion'!$M$145:$M$249,MATCH($D2783,'MEC - traffic congestion'!$C$145:$C$249,0))</f>
        <v>1</v>
      </c>
      <c r="P2783" t="str">
        <f t="shared" si="125"/>
        <v>2019OFF PEAK</v>
      </c>
      <c r="Q2783">
        <f t="shared" si="126"/>
        <v>1</v>
      </c>
      <c r="R2783" s="195" t="str">
        <f t="shared" si="127"/>
        <v>2019LIGHT VEHICLES</v>
      </c>
    </row>
    <row r="2784" spans="3:18" x14ac:dyDescent="0.25">
      <c r="C2784" s="294" t="s">
        <v>953</v>
      </c>
      <c r="D2784" s="317">
        <v>74228</v>
      </c>
      <c r="E2784" s="122" t="s">
        <v>954</v>
      </c>
      <c r="F2784" s="122" t="s">
        <v>955</v>
      </c>
      <c r="G2784" s="122" t="s">
        <v>776</v>
      </c>
      <c r="H2784" s="122" t="s">
        <v>777</v>
      </c>
      <c r="I2784" s="312">
        <v>2019</v>
      </c>
      <c r="J2784" s="122" t="s">
        <v>711</v>
      </c>
      <c r="K2784" s="283">
        <v>4002</v>
      </c>
      <c r="L2784" s="318">
        <v>-33.723019000000001</v>
      </c>
      <c r="M2784" s="318">
        <v>151.03660600000001</v>
      </c>
      <c r="O2784">
        <f>INDEX('MEC - traffic congestion'!$M$145:$M$249,MATCH($D2784,'MEC - traffic congestion'!$C$145:$C$249,0))</f>
        <v>1</v>
      </c>
      <c r="P2784" t="str">
        <f t="shared" si="125"/>
        <v>2019PM PEAK</v>
      </c>
      <c r="Q2784">
        <f t="shared" si="126"/>
        <v>1</v>
      </c>
      <c r="R2784" s="195" t="str">
        <f t="shared" si="127"/>
        <v>2019LIGHT VEHICLES</v>
      </c>
    </row>
    <row r="2785" spans="3:18" x14ac:dyDescent="0.25">
      <c r="C2785" s="294" t="s">
        <v>953</v>
      </c>
      <c r="D2785" s="317">
        <v>74228</v>
      </c>
      <c r="E2785" s="122" t="s">
        <v>954</v>
      </c>
      <c r="F2785" s="122" t="s">
        <v>955</v>
      </c>
      <c r="G2785" s="122" t="s">
        <v>778</v>
      </c>
      <c r="H2785" s="122" t="s">
        <v>777</v>
      </c>
      <c r="I2785" s="312">
        <v>2019</v>
      </c>
      <c r="J2785" s="122" t="s">
        <v>711</v>
      </c>
      <c r="K2785" s="283">
        <v>3803</v>
      </c>
      <c r="L2785" s="318">
        <v>-33.723019000000001</v>
      </c>
      <c r="M2785" s="318">
        <v>151.03660600000001</v>
      </c>
      <c r="O2785">
        <f>INDEX('MEC - traffic congestion'!$M$145:$M$249,MATCH($D2785,'MEC - traffic congestion'!$C$145:$C$249,0))</f>
        <v>1</v>
      </c>
      <c r="P2785" t="str">
        <f t="shared" si="125"/>
        <v>2019PM PEAK</v>
      </c>
      <c r="Q2785">
        <f t="shared" si="126"/>
        <v>1</v>
      </c>
      <c r="R2785" s="195" t="str">
        <f t="shared" si="127"/>
        <v>2019LIGHT VEHICLES</v>
      </c>
    </row>
    <row r="2786" spans="3:18" x14ac:dyDescent="0.25">
      <c r="C2786" s="294" t="s">
        <v>953</v>
      </c>
      <c r="D2786" s="317">
        <v>74228</v>
      </c>
      <c r="E2786" s="122" t="s">
        <v>954</v>
      </c>
      <c r="F2786" s="122" t="s">
        <v>955</v>
      </c>
      <c r="G2786" s="122" t="s">
        <v>776</v>
      </c>
      <c r="H2786" s="122" t="s">
        <v>777</v>
      </c>
      <c r="I2786" s="312">
        <v>2019</v>
      </c>
      <c r="J2786" s="122" t="s">
        <v>712</v>
      </c>
      <c r="K2786" s="283">
        <v>10435</v>
      </c>
      <c r="L2786" s="318">
        <v>-33.723019000000001</v>
      </c>
      <c r="M2786" s="318">
        <v>151.03660600000001</v>
      </c>
      <c r="O2786">
        <f>INDEX('MEC - traffic congestion'!$M$145:$M$249,MATCH($D2786,'MEC - traffic congestion'!$C$145:$C$249,0))</f>
        <v>1</v>
      </c>
      <c r="P2786" t="str">
        <f t="shared" si="125"/>
        <v>2019PUBLIC HOLIDAYS</v>
      </c>
      <c r="Q2786">
        <f t="shared" si="126"/>
        <v>1</v>
      </c>
      <c r="R2786" s="195" t="str">
        <f t="shared" si="127"/>
        <v>2019LIGHT VEHICLES</v>
      </c>
    </row>
    <row r="2787" spans="3:18" x14ac:dyDescent="0.25">
      <c r="C2787" s="294" t="s">
        <v>953</v>
      </c>
      <c r="D2787" s="317">
        <v>74228</v>
      </c>
      <c r="E2787" s="122" t="s">
        <v>954</v>
      </c>
      <c r="F2787" s="122" t="s">
        <v>955</v>
      </c>
      <c r="G2787" s="122" t="s">
        <v>778</v>
      </c>
      <c r="H2787" s="122" t="s">
        <v>777</v>
      </c>
      <c r="I2787" s="312">
        <v>2019</v>
      </c>
      <c r="J2787" s="122" t="s">
        <v>712</v>
      </c>
      <c r="K2787" s="283">
        <v>10957</v>
      </c>
      <c r="L2787" s="318">
        <v>-33.723019000000001</v>
      </c>
      <c r="M2787" s="318">
        <v>151.03660600000001</v>
      </c>
      <c r="O2787">
        <f>INDEX('MEC - traffic congestion'!$M$145:$M$249,MATCH($D2787,'MEC - traffic congestion'!$C$145:$C$249,0))</f>
        <v>1</v>
      </c>
      <c r="P2787" t="str">
        <f t="shared" si="125"/>
        <v>2019PUBLIC HOLIDAYS</v>
      </c>
      <c r="Q2787">
        <f t="shared" si="126"/>
        <v>1</v>
      </c>
      <c r="R2787" s="195" t="str">
        <f t="shared" si="127"/>
        <v>2019LIGHT VEHICLES</v>
      </c>
    </row>
    <row r="2788" spans="3:18" x14ac:dyDescent="0.25">
      <c r="C2788" s="294" t="s">
        <v>953</v>
      </c>
      <c r="D2788" s="317">
        <v>74228</v>
      </c>
      <c r="E2788" s="122" t="s">
        <v>954</v>
      </c>
      <c r="F2788" s="122" t="s">
        <v>955</v>
      </c>
      <c r="G2788" s="122" t="s">
        <v>776</v>
      </c>
      <c r="H2788" s="122" t="s">
        <v>777</v>
      </c>
      <c r="I2788" s="312">
        <v>2019</v>
      </c>
      <c r="J2788" s="122" t="s">
        <v>713</v>
      </c>
      <c r="K2788" s="283">
        <v>13127</v>
      </c>
      <c r="L2788" s="318">
        <v>-33.723019000000001</v>
      </c>
      <c r="M2788" s="318">
        <v>151.03660600000001</v>
      </c>
      <c r="O2788">
        <f>INDEX('MEC - traffic congestion'!$M$145:$M$249,MATCH($D2788,'MEC - traffic congestion'!$C$145:$C$249,0))</f>
        <v>1</v>
      </c>
      <c r="P2788" t="str">
        <f t="shared" si="125"/>
        <v>2019WEEKENDS</v>
      </c>
      <c r="Q2788">
        <f t="shared" si="126"/>
        <v>1</v>
      </c>
      <c r="R2788" s="195" t="str">
        <f t="shared" si="127"/>
        <v>2019LIGHT VEHICLES</v>
      </c>
    </row>
    <row r="2789" spans="3:18" x14ac:dyDescent="0.25">
      <c r="C2789" s="294" t="s">
        <v>953</v>
      </c>
      <c r="D2789" s="317">
        <v>74228</v>
      </c>
      <c r="E2789" s="122" t="s">
        <v>954</v>
      </c>
      <c r="F2789" s="122" t="s">
        <v>955</v>
      </c>
      <c r="G2789" s="122" t="s">
        <v>778</v>
      </c>
      <c r="H2789" s="122" t="s">
        <v>777</v>
      </c>
      <c r="I2789" s="312">
        <v>2019</v>
      </c>
      <c r="J2789" s="122" t="s">
        <v>713</v>
      </c>
      <c r="K2789" s="283">
        <v>14151</v>
      </c>
      <c r="L2789" s="318">
        <v>-33.723019000000001</v>
      </c>
      <c r="M2789" s="318">
        <v>151.03660600000001</v>
      </c>
      <c r="O2789">
        <f>INDEX('MEC - traffic congestion'!$M$145:$M$249,MATCH($D2789,'MEC - traffic congestion'!$C$145:$C$249,0))</f>
        <v>1</v>
      </c>
      <c r="P2789" t="str">
        <f t="shared" si="125"/>
        <v>2019WEEKENDS</v>
      </c>
      <c r="Q2789">
        <f t="shared" si="126"/>
        <v>1</v>
      </c>
      <c r="R2789" s="195" t="str">
        <f t="shared" si="127"/>
        <v>2019LIGHT VEHICLES</v>
      </c>
    </row>
    <row r="2790" spans="3:18" x14ac:dyDescent="0.25">
      <c r="C2790" s="294" t="s">
        <v>953</v>
      </c>
      <c r="D2790" s="317">
        <v>74228</v>
      </c>
      <c r="E2790" s="122" t="s">
        <v>954</v>
      </c>
      <c r="F2790" s="122" t="s">
        <v>955</v>
      </c>
      <c r="G2790" s="122" t="s">
        <v>776</v>
      </c>
      <c r="H2790" s="122" t="s">
        <v>777</v>
      </c>
      <c r="I2790" s="312">
        <v>2020</v>
      </c>
      <c r="J2790" s="122" t="s">
        <v>709</v>
      </c>
      <c r="K2790" s="283">
        <v>2571</v>
      </c>
      <c r="L2790" s="318">
        <v>-33.723019000000001</v>
      </c>
      <c r="M2790" s="318">
        <v>151.03660600000001</v>
      </c>
      <c r="O2790">
        <f>INDEX('MEC - traffic congestion'!$M$145:$M$249,MATCH($D2790,'MEC - traffic congestion'!$C$145:$C$249,0))</f>
        <v>1</v>
      </c>
      <c r="P2790" t="str">
        <f t="shared" si="125"/>
        <v>2020AM PEAK</v>
      </c>
      <c r="Q2790">
        <f t="shared" si="126"/>
        <v>1</v>
      </c>
      <c r="R2790" s="195" t="str">
        <f t="shared" si="127"/>
        <v>2020LIGHT VEHICLES</v>
      </c>
    </row>
    <row r="2791" spans="3:18" x14ac:dyDescent="0.25">
      <c r="C2791" s="294" t="s">
        <v>953</v>
      </c>
      <c r="D2791" s="317">
        <v>74228</v>
      </c>
      <c r="E2791" s="122" t="s">
        <v>954</v>
      </c>
      <c r="F2791" s="122" t="s">
        <v>955</v>
      </c>
      <c r="G2791" s="122" t="s">
        <v>778</v>
      </c>
      <c r="H2791" s="122" t="s">
        <v>777</v>
      </c>
      <c r="I2791" s="312">
        <v>2020</v>
      </c>
      <c r="J2791" s="122" t="s">
        <v>709</v>
      </c>
      <c r="K2791" s="283">
        <v>4285</v>
      </c>
      <c r="L2791" s="318">
        <v>-33.723019000000001</v>
      </c>
      <c r="M2791" s="318">
        <v>151.03660600000001</v>
      </c>
      <c r="O2791">
        <f>INDEX('MEC - traffic congestion'!$M$145:$M$249,MATCH($D2791,'MEC - traffic congestion'!$C$145:$C$249,0))</f>
        <v>1</v>
      </c>
      <c r="P2791" t="str">
        <f t="shared" si="125"/>
        <v>2020AM PEAK</v>
      </c>
      <c r="Q2791">
        <f t="shared" si="126"/>
        <v>1</v>
      </c>
      <c r="R2791" s="195" t="str">
        <f t="shared" si="127"/>
        <v>2020LIGHT VEHICLES</v>
      </c>
    </row>
    <row r="2792" spans="3:18" x14ac:dyDescent="0.25">
      <c r="C2792" s="294" t="s">
        <v>953</v>
      </c>
      <c r="D2792" s="317">
        <v>74228</v>
      </c>
      <c r="E2792" s="122" t="s">
        <v>954</v>
      </c>
      <c r="F2792" s="122" t="s">
        <v>955</v>
      </c>
      <c r="G2792" s="122" t="s">
        <v>776</v>
      </c>
      <c r="H2792" s="122" t="s">
        <v>777</v>
      </c>
      <c r="I2792" s="312">
        <v>2020</v>
      </c>
      <c r="J2792" s="122" t="s">
        <v>710</v>
      </c>
      <c r="K2792" s="283">
        <v>5943</v>
      </c>
      <c r="L2792" s="318">
        <v>-33.723019000000001</v>
      </c>
      <c r="M2792" s="318">
        <v>151.03660600000001</v>
      </c>
      <c r="O2792">
        <f>INDEX('MEC - traffic congestion'!$M$145:$M$249,MATCH($D2792,'MEC - traffic congestion'!$C$145:$C$249,0))</f>
        <v>1</v>
      </c>
      <c r="P2792" t="str">
        <f t="shared" si="125"/>
        <v>2020OFF PEAK</v>
      </c>
      <c r="Q2792">
        <f t="shared" si="126"/>
        <v>1</v>
      </c>
      <c r="R2792" s="195" t="str">
        <f t="shared" si="127"/>
        <v>2020LIGHT VEHICLES</v>
      </c>
    </row>
    <row r="2793" spans="3:18" x14ac:dyDescent="0.25">
      <c r="C2793" s="294" t="s">
        <v>953</v>
      </c>
      <c r="D2793" s="317">
        <v>74228</v>
      </c>
      <c r="E2793" s="122" t="s">
        <v>954</v>
      </c>
      <c r="F2793" s="122" t="s">
        <v>955</v>
      </c>
      <c r="G2793" s="122" t="s">
        <v>778</v>
      </c>
      <c r="H2793" s="122" t="s">
        <v>777</v>
      </c>
      <c r="I2793" s="312">
        <v>2020</v>
      </c>
      <c r="J2793" s="122" t="s">
        <v>710</v>
      </c>
      <c r="K2793" s="283">
        <v>6094</v>
      </c>
      <c r="L2793" s="318">
        <v>-33.723019000000001</v>
      </c>
      <c r="M2793" s="318">
        <v>151.03660600000001</v>
      </c>
      <c r="O2793">
        <f>INDEX('MEC - traffic congestion'!$M$145:$M$249,MATCH($D2793,'MEC - traffic congestion'!$C$145:$C$249,0))</f>
        <v>1</v>
      </c>
      <c r="P2793" t="str">
        <f t="shared" si="125"/>
        <v>2020OFF PEAK</v>
      </c>
      <c r="Q2793">
        <f t="shared" si="126"/>
        <v>1</v>
      </c>
      <c r="R2793" s="195" t="str">
        <f t="shared" si="127"/>
        <v>2020LIGHT VEHICLES</v>
      </c>
    </row>
    <row r="2794" spans="3:18" x14ac:dyDescent="0.25">
      <c r="C2794" s="294" t="s">
        <v>953</v>
      </c>
      <c r="D2794" s="317">
        <v>74228</v>
      </c>
      <c r="E2794" s="122" t="s">
        <v>954</v>
      </c>
      <c r="F2794" s="122" t="s">
        <v>955</v>
      </c>
      <c r="G2794" s="122" t="s">
        <v>776</v>
      </c>
      <c r="H2794" s="122" t="s">
        <v>777</v>
      </c>
      <c r="I2794" s="312">
        <v>2020</v>
      </c>
      <c r="J2794" s="122" t="s">
        <v>711</v>
      </c>
      <c r="K2794" s="283">
        <v>3778</v>
      </c>
      <c r="L2794" s="318">
        <v>-33.723019000000001</v>
      </c>
      <c r="M2794" s="318">
        <v>151.03660600000001</v>
      </c>
      <c r="O2794">
        <f>INDEX('MEC - traffic congestion'!$M$145:$M$249,MATCH($D2794,'MEC - traffic congestion'!$C$145:$C$249,0))</f>
        <v>1</v>
      </c>
      <c r="P2794" t="str">
        <f t="shared" si="125"/>
        <v>2020PM PEAK</v>
      </c>
      <c r="Q2794">
        <f t="shared" si="126"/>
        <v>1</v>
      </c>
      <c r="R2794" s="195" t="str">
        <f t="shared" si="127"/>
        <v>2020LIGHT VEHICLES</v>
      </c>
    </row>
    <row r="2795" spans="3:18" x14ac:dyDescent="0.25">
      <c r="C2795" s="294" t="s">
        <v>953</v>
      </c>
      <c r="D2795" s="317">
        <v>74228</v>
      </c>
      <c r="E2795" s="122" t="s">
        <v>954</v>
      </c>
      <c r="F2795" s="122" t="s">
        <v>955</v>
      </c>
      <c r="G2795" s="122" t="s">
        <v>778</v>
      </c>
      <c r="H2795" s="122" t="s">
        <v>777</v>
      </c>
      <c r="I2795" s="312">
        <v>2020</v>
      </c>
      <c r="J2795" s="122" t="s">
        <v>711</v>
      </c>
      <c r="K2795" s="283">
        <v>3639</v>
      </c>
      <c r="L2795" s="318">
        <v>-33.723019000000001</v>
      </c>
      <c r="M2795" s="318">
        <v>151.03660600000001</v>
      </c>
      <c r="O2795">
        <f>INDEX('MEC - traffic congestion'!$M$145:$M$249,MATCH($D2795,'MEC - traffic congestion'!$C$145:$C$249,0))</f>
        <v>1</v>
      </c>
      <c r="P2795" t="str">
        <f t="shared" si="125"/>
        <v>2020PM PEAK</v>
      </c>
      <c r="Q2795">
        <f t="shared" si="126"/>
        <v>1</v>
      </c>
      <c r="R2795" s="195" t="str">
        <f t="shared" si="127"/>
        <v>2020LIGHT VEHICLES</v>
      </c>
    </row>
    <row r="2796" spans="3:18" x14ac:dyDescent="0.25">
      <c r="C2796" s="294" t="s">
        <v>953</v>
      </c>
      <c r="D2796" s="317">
        <v>74228</v>
      </c>
      <c r="E2796" s="122" t="s">
        <v>954</v>
      </c>
      <c r="F2796" s="122" t="s">
        <v>955</v>
      </c>
      <c r="G2796" s="122" t="s">
        <v>776</v>
      </c>
      <c r="H2796" s="122" t="s">
        <v>777</v>
      </c>
      <c r="I2796" s="312">
        <v>2020</v>
      </c>
      <c r="J2796" s="122" t="s">
        <v>712</v>
      </c>
      <c r="K2796" s="283">
        <v>8178</v>
      </c>
      <c r="L2796" s="318">
        <v>-33.723019000000001</v>
      </c>
      <c r="M2796" s="318">
        <v>151.03660600000001</v>
      </c>
      <c r="O2796">
        <f>INDEX('MEC - traffic congestion'!$M$145:$M$249,MATCH($D2796,'MEC - traffic congestion'!$C$145:$C$249,0))</f>
        <v>1</v>
      </c>
      <c r="P2796" t="str">
        <f t="shared" si="125"/>
        <v>2020PUBLIC HOLIDAYS</v>
      </c>
      <c r="Q2796">
        <f t="shared" si="126"/>
        <v>1</v>
      </c>
      <c r="R2796" s="195" t="str">
        <f t="shared" si="127"/>
        <v>2020LIGHT VEHICLES</v>
      </c>
    </row>
    <row r="2797" spans="3:18" x14ac:dyDescent="0.25">
      <c r="C2797" s="294" t="s">
        <v>953</v>
      </c>
      <c r="D2797" s="317">
        <v>74228</v>
      </c>
      <c r="E2797" s="122" t="s">
        <v>954</v>
      </c>
      <c r="F2797" s="122" t="s">
        <v>955</v>
      </c>
      <c r="G2797" s="122" t="s">
        <v>778</v>
      </c>
      <c r="H2797" s="122" t="s">
        <v>777</v>
      </c>
      <c r="I2797" s="312">
        <v>2020</v>
      </c>
      <c r="J2797" s="122" t="s">
        <v>712</v>
      </c>
      <c r="K2797" s="283">
        <v>8611</v>
      </c>
      <c r="L2797" s="318">
        <v>-33.723019000000001</v>
      </c>
      <c r="M2797" s="318">
        <v>151.03660600000001</v>
      </c>
      <c r="O2797">
        <f>INDEX('MEC - traffic congestion'!$M$145:$M$249,MATCH($D2797,'MEC - traffic congestion'!$C$145:$C$249,0))</f>
        <v>1</v>
      </c>
      <c r="P2797" t="str">
        <f t="shared" si="125"/>
        <v>2020PUBLIC HOLIDAYS</v>
      </c>
      <c r="Q2797">
        <f t="shared" si="126"/>
        <v>1</v>
      </c>
      <c r="R2797" s="195" t="str">
        <f t="shared" si="127"/>
        <v>2020LIGHT VEHICLES</v>
      </c>
    </row>
    <row r="2798" spans="3:18" x14ac:dyDescent="0.25">
      <c r="C2798" s="294" t="s">
        <v>953</v>
      </c>
      <c r="D2798" s="317">
        <v>74228</v>
      </c>
      <c r="E2798" s="122" t="s">
        <v>954</v>
      </c>
      <c r="F2798" s="122" t="s">
        <v>955</v>
      </c>
      <c r="G2798" s="122" t="s">
        <v>776</v>
      </c>
      <c r="H2798" s="122" t="s">
        <v>777</v>
      </c>
      <c r="I2798" s="312">
        <v>2020</v>
      </c>
      <c r="J2798" s="122" t="s">
        <v>713</v>
      </c>
      <c r="K2798" s="283">
        <v>11686</v>
      </c>
      <c r="L2798" s="318">
        <v>-33.723019000000001</v>
      </c>
      <c r="M2798" s="318">
        <v>151.03660600000001</v>
      </c>
      <c r="O2798">
        <f>INDEX('MEC - traffic congestion'!$M$145:$M$249,MATCH($D2798,'MEC - traffic congestion'!$C$145:$C$249,0))</f>
        <v>1</v>
      </c>
      <c r="P2798" t="str">
        <f t="shared" si="125"/>
        <v>2020WEEKENDS</v>
      </c>
      <c r="Q2798">
        <f t="shared" si="126"/>
        <v>1</v>
      </c>
      <c r="R2798" s="195" t="str">
        <f t="shared" si="127"/>
        <v>2020LIGHT VEHICLES</v>
      </c>
    </row>
    <row r="2799" spans="3:18" x14ac:dyDescent="0.25">
      <c r="C2799" s="294" t="s">
        <v>953</v>
      </c>
      <c r="D2799" s="317">
        <v>74228</v>
      </c>
      <c r="E2799" s="122" t="s">
        <v>954</v>
      </c>
      <c r="F2799" s="122" t="s">
        <v>955</v>
      </c>
      <c r="G2799" s="122" t="s">
        <v>778</v>
      </c>
      <c r="H2799" s="122" t="s">
        <v>777</v>
      </c>
      <c r="I2799" s="312">
        <v>2020</v>
      </c>
      <c r="J2799" s="122" t="s">
        <v>713</v>
      </c>
      <c r="K2799" s="283">
        <v>12764</v>
      </c>
      <c r="L2799" s="318">
        <v>-33.723019000000001</v>
      </c>
      <c r="M2799" s="318">
        <v>151.03660600000001</v>
      </c>
      <c r="O2799">
        <f>INDEX('MEC - traffic congestion'!$M$145:$M$249,MATCH($D2799,'MEC - traffic congestion'!$C$145:$C$249,0))</f>
        <v>1</v>
      </c>
      <c r="P2799" t="str">
        <f t="shared" si="125"/>
        <v>2020WEEKENDS</v>
      </c>
      <c r="Q2799">
        <f t="shared" si="126"/>
        <v>1</v>
      </c>
      <c r="R2799" s="195" t="str">
        <f t="shared" si="127"/>
        <v>2020LIGHT VEHICLES</v>
      </c>
    </row>
    <row r="2800" spans="3:18" x14ac:dyDescent="0.25">
      <c r="C2800" s="294" t="s">
        <v>953</v>
      </c>
      <c r="D2800" s="317">
        <v>74228</v>
      </c>
      <c r="E2800" s="122" t="s">
        <v>954</v>
      </c>
      <c r="F2800" s="122" t="s">
        <v>955</v>
      </c>
      <c r="G2800" s="122" t="s">
        <v>776</v>
      </c>
      <c r="H2800" s="122" t="s">
        <v>777</v>
      </c>
      <c r="I2800" s="312">
        <v>2021</v>
      </c>
      <c r="J2800" s="122" t="s">
        <v>709</v>
      </c>
      <c r="K2800" s="283">
        <v>2416</v>
      </c>
      <c r="L2800" s="318">
        <v>-33.723019000000001</v>
      </c>
      <c r="M2800" s="318">
        <v>151.03660600000001</v>
      </c>
      <c r="O2800">
        <f>INDEX('MEC - traffic congestion'!$M$145:$M$249,MATCH($D2800,'MEC - traffic congestion'!$C$145:$C$249,0))</f>
        <v>1</v>
      </c>
      <c r="P2800" t="str">
        <f t="shared" si="125"/>
        <v>2021AM PEAK</v>
      </c>
      <c r="Q2800">
        <f t="shared" si="126"/>
        <v>1</v>
      </c>
      <c r="R2800" s="195" t="str">
        <f t="shared" si="127"/>
        <v>2021LIGHT VEHICLES</v>
      </c>
    </row>
    <row r="2801" spans="3:18" x14ac:dyDescent="0.25">
      <c r="C2801" s="294" t="s">
        <v>953</v>
      </c>
      <c r="D2801" s="317">
        <v>74228</v>
      </c>
      <c r="E2801" s="122" t="s">
        <v>954</v>
      </c>
      <c r="F2801" s="122" t="s">
        <v>955</v>
      </c>
      <c r="G2801" s="122" t="s">
        <v>778</v>
      </c>
      <c r="H2801" s="122" t="s">
        <v>777</v>
      </c>
      <c r="I2801" s="312">
        <v>2021</v>
      </c>
      <c r="J2801" s="122" t="s">
        <v>709</v>
      </c>
      <c r="K2801" s="283">
        <v>4039</v>
      </c>
      <c r="L2801" s="318">
        <v>-33.723019000000001</v>
      </c>
      <c r="M2801" s="318">
        <v>151.03660600000001</v>
      </c>
      <c r="O2801">
        <f>INDEX('MEC - traffic congestion'!$M$145:$M$249,MATCH($D2801,'MEC - traffic congestion'!$C$145:$C$249,0))</f>
        <v>1</v>
      </c>
      <c r="P2801" t="str">
        <f t="shared" si="125"/>
        <v>2021AM PEAK</v>
      </c>
      <c r="Q2801">
        <f t="shared" si="126"/>
        <v>1</v>
      </c>
      <c r="R2801" s="195" t="str">
        <f t="shared" si="127"/>
        <v>2021LIGHT VEHICLES</v>
      </c>
    </row>
    <row r="2802" spans="3:18" x14ac:dyDescent="0.25">
      <c r="C2802" s="294" t="s">
        <v>953</v>
      </c>
      <c r="D2802" s="317">
        <v>74228</v>
      </c>
      <c r="E2802" s="122" t="s">
        <v>954</v>
      </c>
      <c r="F2802" s="122" t="s">
        <v>955</v>
      </c>
      <c r="G2802" s="122" t="s">
        <v>776</v>
      </c>
      <c r="H2802" s="122" t="s">
        <v>777</v>
      </c>
      <c r="I2802" s="312">
        <v>2021</v>
      </c>
      <c r="J2802" s="122" t="s">
        <v>710</v>
      </c>
      <c r="K2802" s="283">
        <v>5523</v>
      </c>
      <c r="L2802" s="318">
        <v>-33.723019000000001</v>
      </c>
      <c r="M2802" s="318">
        <v>151.03660600000001</v>
      </c>
      <c r="O2802">
        <f>INDEX('MEC - traffic congestion'!$M$145:$M$249,MATCH($D2802,'MEC - traffic congestion'!$C$145:$C$249,0))</f>
        <v>1</v>
      </c>
      <c r="P2802" t="str">
        <f t="shared" si="125"/>
        <v>2021OFF PEAK</v>
      </c>
      <c r="Q2802">
        <f t="shared" si="126"/>
        <v>1</v>
      </c>
      <c r="R2802" s="195" t="str">
        <f t="shared" si="127"/>
        <v>2021LIGHT VEHICLES</v>
      </c>
    </row>
    <row r="2803" spans="3:18" x14ac:dyDescent="0.25">
      <c r="C2803" s="294" t="s">
        <v>953</v>
      </c>
      <c r="D2803" s="317">
        <v>74228</v>
      </c>
      <c r="E2803" s="122" t="s">
        <v>954</v>
      </c>
      <c r="F2803" s="122" t="s">
        <v>955</v>
      </c>
      <c r="G2803" s="122" t="s">
        <v>778</v>
      </c>
      <c r="H2803" s="122" t="s">
        <v>777</v>
      </c>
      <c r="I2803" s="312">
        <v>2021</v>
      </c>
      <c r="J2803" s="122" t="s">
        <v>710</v>
      </c>
      <c r="K2803" s="283">
        <v>5744</v>
      </c>
      <c r="L2803" s="318">
        <v>-33.723019000000001</v>
      </c>
      <c r="M2803" s="318">
        <v>151.03660600000001</v>
      </c>
      <c r="O2803">
        <f>INDEX('MEC - traffic congestion'!$M$145:$M$249,MATCH($D2803,'MEC - traffic congestion'!$C$145:$C$249,0))</f>
        <v>1</v>
      </c>
      <c r="P2803" t="str">
        <f t="shared" si="125"/>
        <v>2021OFF PEAK</v>
      </c>
      <c r="Q2803">
        <f t="shared" si="126"/>
        <v>1</v>
      </c>
      <c r="R2803" s="195" t="str">
        <f t="shared" si="127"/>
        <v>2021LIGHT VEHICLES</v>
      </c>
    </row>
    <row r="2804" spans="3:18" x14ac:dyDescent="0.25">
      <c r="C2804" s="294" t="s">
        <v>953</v>
      </c>
      <c r="D2804" s="317">
        <v>74228</v>
      </c>
      <c r="E2804" s="122" t="s">
        <v>954</v>
      </c>
      <c r="F2804" s="122" t="s">
        <v>955</v>
      </c>
      <c r="G2804" s="122" t="s">
        <v>776</v>
      </c>
      <c r="H2804" s="122" t="s">
        <v>777</v>
      </c>
      <c r="I2804" s="312">
        <v>2021</v>
      </c>
      <c r="J2804" s="122" t="s">
        <v>711</v>
      </c>
      <c r="K2804" s="283">
        <v>3445</v>
      </c>
      <c r="L2804" s="318">
        <v>-33.723019000000001</v>
      </c>
      <c r="M2804" s="318">
        <v>151.03660600000001</v>
      </c>
      <c r="O2804">
        <f>INDEX('MEC - traffic congestion'!$M$145:$M$249,MATCH($D2804,'MEC - traffic congestion'!$C$145:$C$249,0))</f>
        <v>1</v>
      </c>
      <c r="P2804" t="str">
        <f t="shared" si="125"/>
        <v>2021PM PEAK</v>
      </c>
      <c r="Q2804">
        <f t="shared" si="126"/>
        <v>1</v>
      </c>
      <c r="R2804" s="195" t="str">
        <f t="shared" si="127"/>
        <v>2021LIGHT VEHICLES</v>
      </c>
    </row>
    <row r="2805" spans="3:18" x14ac:dyDescent="0.25">
      <c r="C2805" s="294" t="s">
        <v>953</v>
      </c>
      <c r="D2805" s="317">
        <v>74228</v>
      </c>
      <c r="E2805" s="122" t="s">
        <v>954</v>
      </c>
      <c r="F2805" s="122" t="s">
        <v>955</v>
      </c>
      <c r="G2805" s="122" t="s">
        <v>778</v>
      </c>
      <c r="H2805" s="122" t="s">
        <v>777</v>
      </c>
      <c r="I2805" s="312">
        <v>2021</v>
      </c>
      <c r="J2805" s="122" t="s">
        <v>711</v>
      </c>
      <c r="K2805" s="283">
        <v>3412</v>
      </c>
      <c r="L2805" s="318">
        <v>-33.723019000000001</v>
      </c>
      <c r="M2805" s="318">
        <v>151.03660600000001</v>
      </c>
      <c r="O2805">
        <f>INDEX('MEC - traffic congestion'!$M$145:$M$249,MATCH($D2805,'MEC - traffic congestion'!$C$145:$C$249,0))</f>
        <v>1</v>
      </c>
      <c r="P2805" t="str">
        <f t="shared" si="125"/>
        <v>2021PM PEAK</v>
      </c>
      <c r="Q2805">
        <f t="shared" si="126"/>
        <v>1</v>
      </c>
      <c r="R2805" s="195" t="str">
        <f t="shared" si="127"/>
        <v>2021LIGHT VEHICLES</v>
      </c>
    </row>
    <row r="2806" spans="3:18" x14ac:dyDescent="0.25">
      <c r="C2806" s="294" t="s">
        <v>953</v>
      </c>
      <c r="D2806" s="317">
        <v>74228</v>
      </c>
      <c r="E2806" s="122" t="s">
        <v>954</v>
      </c>
      <c r="F2806" s="122" t="s">
        <v>955</v>
      </c>
      <c r="G2806" s="122" t="s">
        <v>776</v>
      </c>
      <c r="H2806" s="122" t="s">
        <v>777</v>
      </c>
      <c r="I2806" s="312">
        <v>2021</v>
      </c>
      <c r="J2806" s="122" t="s">
        <v>713</v>
      </c>
      <c r="K2806" s="283">
        <v>10331</v>
      </c>
      <c r="L2806" s="318">
        <v>-33.723019000000001</v>
      </c>
      <c r="M2806" s="318">
        <v>151.03660600000001</v>
      </c>
      <c r="O2806">
        <f>INDEX('MEC - traffic congestion'!$M$145:$M$249,MATCH($D2806,'MEC - traffic congestion'!$C$145:$C$249,0))</f>
        <v>1</v>
      </c>
      <c r="P2806" t="str">
        <f t="shared" si="125"/>
        <v>2021WEEKENDS</v>
      </c>
      <c r="Q2806">
        <f t="shared" si="126"/>
        <v>1</v>
      </c>
      <c r="R2806" s="195" t="str">
        <f t="shared" si="127"/>
        <v>2021LIGHT VEHICLES</v>
      </c>
    </row>
    <row r="2807" spans="3:18" x14ac:dyDescent="0.25">
      <c r="C2807" s="294" t="s">
        <v>953</v>
      </c>
      <c r="D2807" s="317">
        <v>74228</v>
      </c>
      <c r="E2807" s="122" t="s">
        <v>954</v>
      </c>
      <c r="F2807" s="122" t="s">
        <v>955</v>
      </c>
      <c r="G2807" s="122" t="s">
        <v>778</v>
      </c>
      <c r="H2807" s="122" t="s">
        <v>777</v>
      </c>
      <c r="I2807" s="312">
        <v>2021</v>
      </c>
      <c r="J2807" s="122" t="s">
        <v>713</v>
      </c>
      <c r="K2807" s="283">
        <v>11717</v>
      </c>
      <c r="L2807" s="318">
        <v>-33.723019000000001</v>
      </c>
      <c r="M2807" s="318">
        <v>151.03660600000001</v>
      </c>
      <c r="O2807">
        <f>INDEX('MEC - traffic congestion'!$M$145:$M$249,MATCH($D2807,'MEC - traffic congestion'!$C$145:$C$249,0))</f>
        <v>1</v>
      </c>
      <c r="P2807" t="str">
        <f t="shared" si="125"/>
        <v>2021WEEKENDS</v>
      </c>
      <c r="Q2807">
        <f t="shared" si="126"/>
        <v>1</v>
      </c>
      <c r="R2807" s="195" t="str">
        <f t="shared" si="127"/>
        <v>2021LIGHT VEHICLES</v>
      </c>
    </row>
    <row r="2808" spans="3:18" x14ac:dyDescent="0.25">
      <c r="C2808" s="294" t="s">
        <v>953</v>
      </c>
      <c r="D2808" s="317">
        <v>74228</v>
      </c>
      <c r="E2808" s="122" t="s">
        <v>954</v>
      </c>
      <c r="F2808" s="122" t="s">
        <v>955</v>
      </c>
      <c r="G2808" s="122" t="s">
        <v>776</v>
      </c>
      <c r="H2808" s="122" t="s">
        <v>777</v>
      </c>
      <c r="I2808" s="312">
        <v>2022</v>
      </c>
      <c r="J2808" s="122" t="s">
        <v>709</v>
      </c>
      <c r="K2808" s="283">
        <v>2585</v>
      </c>
      <c r="L2808" s="318">
        <v>-33.723019000000001</v>
      </c>
      <c r="M2808" s="318">
        <v>151.03660600000001</v>
      </c>
      <c r="O2808">
        <f>INDEX('MEC - traffic congestion'!$M$145:$M$249,MATCH($D2808,'MEC - traffic congestion'!$C$145:$C$249,0))</f>
        <v>1</v>
      </c>
      <c r="P2808" t="str">
        <f t="shared" si="125"/>
        <v>2022AM PEAK</v>
      </c>
      <c r="Q2808">
        <f t="shared" si="126"/>
        <v>1</v>
      </c>
      <c r="R2808" s="195" t="str">
        <f t="shared" si="127"/>
        <v>2022LIGHT VEHICLES</v>
      </c>
    </row>
    <row r="2809" spans="3:18" x14ac:dyDescent="0.25">
      <c r="C2809" s="294" t="s">
        <v>953</v>
      </c>
      <c r="D2809" s="317">
        <v>74228</v>
      </c>
      <c r="E2809" s="122" t="s">
        <v>954</v>
      </c>
      <c r="F2809" s="122" t="s">
        <v>955</v>
      </c>
      <c r="G2809" s="122" t="s">
        <v>778</v>
      </c>
      <c r="H2809" s="122" t="s">
        <v>777</v>
      </c>
      <c r="I2809" s="312">
        <v>2022</v>
      </c>
      <c r="J2809" s="122" t="s">
        <v>709</v>
      </c>
      <c r="K2809" s="283">
        <v>4422</v>
      </c>
      <c r="L2809" s="318">
        <v>-33.723019000000001</v>
      </c>
      <c r="M2809" s="318">
        <v>151.03660600000001</v>
      </c>
      <c r="O2809">
        <f>INDEX('MEC - traffic congestion'!$M$145:$M$249,MATCH($D2809,'MEC - traffic congestion'!$C$145:$C$249,0))</f>
        <v>1</v>
      </c>
      <c r="P2809" t="str">
        <f t="shared" si="125"/>
        <v>2022AM PEAK</v>
      </c>
      <c r="Q2809">
        <f t="shared" si="126"/>
        <v>1</v>
      </c>
      <c r="R2809" s="195" t="str">
        <f t="shared" si="127"/>
        <v>2022LIGHT VEHICLES</v>
      </c>
    </row>
    <row r="2810" spans="3:18" x14ac:dyDescent="0.25">
      <c r="C2810" s="294" t="s">
        <v>953</v>
      </c>
      <c r="D2810" s="317">
        <v>74228</v>
      </c>
      <c r="E2810" s="122" t="s">
        <v>954</v>
      </c>
      <c r="F2810" s="122" t="s">
        <v>955</v>
      </c>
      <c r="G2810" s="122" t="s">
        <v>776</v>
      </c>
      <c r="H2810" s="122" t="s">
        <v>777</v>
      </c>
      <c r="I2810" s="312">
        <v>2022</v>
      </c>
      <c r="J2810" s="122" t="s">
        <v>710</v>
      </c>
      <c r="K2810" s="283">
        <v>6062</v>
      </c>
      <c r="L2810" s="318">
        <v>-33.723019000000001</v>
      </c>
      <c r="M2810" s="318">
        <v>151.03660600000001</v>
      </c>
      <c r="O2810">
        <f>INDEX('MEC - traffic congestion'!$M$145:$M$249,MATCH($D2810,'MEC - traffic congestion'!$C$145:$C$249,0))</f>
        <v>1</v>
      </c>
      <c r="P2810" t="str">
        <f t="shared" si="125"/>
        <v>2022OFF PEAK</v>
      </c>
      <c r="Q2810">
        <f t="shared" si="126"/>
        <v>1</v>
      </c>
      <c r="R2810" s="195" t="str">
        <f t="shared" si="127"/>
        <v>2022LIGHT VEHICLES</v>
      </c>
    </row>
    <row r="2811" spans="3:18" x14ac:dyDescent="0.25">
      <c r="C2811" s="294" t="s">
        <v>953</v>
      </c>
      <c r="D2811" s="317">
        <v>74228</v>
      </c>
      <c r="E2811" s="122" t="s">
        <v>954</v>
      </c>
      <c r="F2811" s="122" t="s">
        <v>955</v>
      </c>
      <c r="G2811" s="122" t="s">
        <v>778</v>
      </c>
      <c r="H2811" s="122" t="s">
        <v>777</v>
      </c>
      <c r="I2811" s="312">
        <v>2022</v>
      </c>
      <c r="J2811" s="122" t="s">
        <v>710</v>
      </c>
      <c r="K2811" s="283">
        <v>6266</v>
      </c>
      <c r="L2811" s="318">
        <v>-33.723019000000001</v>
      </c>
      <c r="M2811" s="318">
        <v>151.03660600000001</v>
      </c>
      <c r="O2811">
        <f>INDEX('MEC - traffic congestion'!$M$145:$M$249,MATCH($D2811,'MEC - traffic congestion'!$C$145:$C$249,0))</f>
        <v>1</v>
      </c>
      <c r="P2811" t="str">
        <f t="shared" si="125"/>
        <v>2022OFF PEAK</v>
      </c>
      <c r="Q2811">
        <f t="shared" si="126"/>
        <v>1</v>
      </c>
      <c r="R2811" s="195" t="str">
        <f t="shared" si="127"/>
        <v>2022LIGHT VEHICLES</v>
      </c>
    </row>
    <row r="2812" spans="3:18" x14ac:dyDescent="0.25">
      <c r="C2812" s="294" t="s">
        <v>953</v>
      </c>
      <c r="D2812" s="317">
        <v>74228</v>
      </c>
      <c r="E2812" s="122" t="s">
        <v>954</v>
      </c>
      <c r="F2812" s="122" t="s">
        <v>955</v>
      </c>
      <c r="G2812" s="122" t="s">
        <v>776</v>
      </c>
      <c r="H2812" s="122" t="s">
        <v>777</v>
      </c>
      <c r="I2812" s="312">
        <v>2022</v>
      </c>
      <c r="J2812" s="122" t="s">
        <v>711</v>
      </c>
      <c r="K2812" s="283">
        <v>3560</v>
      </c>
      <c r="L2812" s="318">
        <v>-33.723019000000001</v>
      </c>
      <c r="M2812" s="318">
        <v>151.03660600000001</v>
      </c>
      <c r="O2812">
        <f>INDEX('MEC - traffic congestion'!$M$145:$M$249,MATCH($D2812,'MEC - traffic congestion'!$C$145:$C$249,0))</f>
        <v>1</v>
      </c>
      <c r="P2812" t="str">
        <f t="shared" si="125"/>
        <v>2022PM PEAK</v>
      </c>
      <c r="Q2812">
        <f t="shared" si="126"/>
        <v>1</v>
      </c>
      <c r="R2812" s="195" t="str">
        <f t="shared" si="127"/>
        <v>2022LIGHT VEHICLES</v>
      </c>
    </row>
    <row r="2813" spans="3:18" x14ac:dyDescent="0.25">
      <c r="C2813" s="294" t="s">
        <v>953</v>
      </c>
      <c r="D2813" s="317">
        <v>74228</v>
      </c>
      <c r="E2813" s="122" t="s">
        <v>954</v>
      </c>
      <c r="F2813" s="122" t="s">
        <v>955</v>
      </c>
      <c r="G2813" s="122" t="s">
        <v>778</v>
      </c>
      <c r="H2813" s="122" t="s">
        <v>777</v>
      </c>
      <c r="I2813" s="312">
        <v>2022</v>
      </c>
      <c r="J2813" s="122" t="s">
        <v>711</v>
      </c>
      <c r="K2813" s="283">
        <v>3798</v>
      </c>
      <c r="L2813" s="318">
        <v>-33.723019000000001</v>
      </c>
      <c r="M2813" s="318">
        <v>151.03660600000001</v>
      </c>
      <c r="O2813">
        <f>INDEX('MEC - traffic congestion'!$M$145:$M$249,MATCH($D2813,'MEC - traffic congestion'!$C$145:$C$249,0))</f>
        <v>1</v>
      </c>
      <c r="P2813" t="str">
        <f t="shared" si="125"/>
        <v>2022PM PEAK</v>
      </c>
      <c r="Q2813">
        <f t="shared" si="126"/>
        <v>1</v>
      </c>
      <c r="R2813" s="195" t="str">
        <f t="shared" si="127"/>
        <v>2022LIGHT VEHICLES</v>
      </c>
    </row>
    <row r="2814" spans="3:18" x14ac:dyDescent="0.25">
      <c r="C2814" s="294" t="s">
        <v>953</v>
      </c>
      <c r="D2814" s="317">
        <v>74228</v>
      </c>
      <c r="E2814" s="122" t="s">
        <v>954</v>
      </c>
      <c r="F2814" s="122" t="s">
        <v>955</v>
      </c>
      <c r="G2814" s="122" t="s">
        <v>776</v>
      </c>
      <c r="H2814" s="122" t="s">
        <v>777</v>
      </c>
      <c r="I2814" s="312">
        <v>2022</v>
      </c>
      <c r="J2814" s="122" t="s">
        <v>713</v>
      </c>
      <c r="K2814" s="283">
        <v>12186</v>
      </c>
      <c r="L2814" s="318">
        <v>-33.723019000000001</v>
      </c>
      <c r="M2814" s="318">
        <v>151.03660600000001</v>
      </c>
      <c r="O2814">
        <f>INDEX('MEC - traffic congestion'!$M$145:$M$249,MATCH($D2814,'MEC - traffic congestion'!$C$145:$C$249,0))</f>
        <v>1</v>
      </c>
      <c r="P2814" t="str">
        <f t="shared" si="125"/>
        <v>2022WEEKENDS</v>
      </c>
      <c r="Q2814">
        <f t="shared" si="126"/>
        <v>1</v>
      </c>
      <c r="R2814" s="195" t="str">
        <f t="shared" si="127"/>
        <v>2022LIGHT VEHICLES</v>
      </c>
    </row>
    <row r="2815" spans="3:18" x14ac:dyDescent="0.25">
      <c r="C2815" s="294" t="s">
        <v>953</v>
      </c>
      <c r="D2815" s="317">
        <v>74228</v>
      </c>
      <c r="E2815" s="122" t="s">
        <v>954</v>
      </c>
      <c r="F2815" s="122" t="s">
        <v>955</v>
      </c>
      <c r="G2815" s="122" t="s">
        <v>778</v>
      </c>
      <c r="H2815" s="122" t="s">
        <v>777</v>
      </c>
      <c r="I2815" s="312">
        <v>2022</v>
      </c>
      <c r="J2815" s="122" t="s">
        <v>713</v>
      </c>
      <c r="K2815" s="283">
        <v>13373</v>
      </c>
      <c r="L2815" s="318">
        <v>-33.723019000000001</v>
      </c>
      <c r="M2815" s="318">
        <v>151.03660600000001</v>
      </c>
      <c r="O2815">
        <f>INDEX('MEC - traffic congestion'!$M$145:$M$249,MATCH($D2815,'MEC - traffic congestion'!$C$145:$C$249,0))</f>
        <v>1</v>
      </c>
      <c r="P2815" t="str">
        <f t="shared" si="125"/>
        <v>2022WEEKENDS</v>
      </c>
      <c r="Q2815">
        <f t="shared" si="126"/>
        <v>1</v>
      </c>
      <c r="R2815" s="195" t="str">
        <f t="shared" si="127"/>
        <v>2022LIGHT VEHICLES</v>
      </c>
    </row>
    <row r="2816" spans="3:18" x14ac:dyDescent="0.25">
      <c r="C2816" s="294" t="s">
        <v>953</v>
      </c>
      <c r="D2816" s="317">
        <v>74228</v>
      </c>
      <c r="E2816" s="122" t="s">
        <v>954</v>
      </c>
      <c r="F2816" s="122" t="s">
        <v>955</v>
      </c>
      <c r="G2816" s="122" t="s">
        <v>776</v>
      </c>
      <c r="H2816" s="122" t="s">
        <v>777</v>
      </c>
      <c r="I2816" s="312">
        <v>2023</v>
      </c>
      <c r="J2816" s="122" t="s">
        <v>709</v>
      </c>
      <c r="K2816" s="283">
        <v>2665</v>
      </c>
      <c r="L2816" s="318">
        <v>-33.723019000000001</v>
      </c>
      <c r="M2816" s="318">
        <v>151.03660600000001</v>
      </c>
      <c r="O2816">
        <f>INDEX('MEC - traffic congestion'!$M$145:$M$249,MATCH($D2816,'MEC - traffic congestion'!$C$145:$C$249,0))</f>
        <v>1</v>
      </c>
      <c r="P2816" t="str">
        <f t="shared" si="125"/>
        <v>2023AM PEAK</v>
      </c>
      <c r="Q2816">
        <f t="shared" si="126"/>
        <v>1</v>
      </c>
      <c r="R2816" s="195" t="str">
        <f t="shared" si="127"/>
        <v>2023LIGHT VEHICLES</v>
      </c>
    </row>
    <row r="2817" spans="3:18" x14ac:dyDescent="0.25">
      <c r="C2817" s="294" t="s">
        <v>953</v>
      </c>
      <c r="D2817" s="317">
        <v>74228</v>
      </c>
      <c r="E2817" s="122" t="s">
        <v>954</v>
      </c>
      <c r="F2817" s="122" t="s">
        <v>955</v>
      </c>
      <c r="G2817" s="122" t="s">
        <v>778</v>
      </c>
      <c r="H2817" s="122" t="s">
        <v>777</v>
      </c>
      <c r="I2817" s="312">
        <v>2023</v>
      </c>
      <c r="J2817" s="122" t="s">
        <v>709</v>
      </c>
      <c r="K2817" s="283">
        <v>4633</v>
      </c>
      <c r="L2817" s="318">
        <v>-33.723019000000001</v>
      </c>
      <c r="M2817" s="318">
        <v>151.03660600000001</v>
      </c>
      <c r="O2817">
        <f>INDEX('MEC - traffic congestion'!$M$145:$M$249,MATCH($D2817,'MEC - traffic congestion'!$C$145:$C$249,0))</f>
        <v>1</v>
      </c>
      <c r="P2817" t="str">
        <f t="shared" si="125"/>
        <v>2023AM PEAK</v>
      </c>
      <c r="Q2817">
        <f t="shared" si="126"/>
        <v>1</v>
      </c>
      <c r="R2817" s="195" t="str">
        <f t="shared" si="127"/>
        <v>2023LIGHT VEHICLES</v>
      </c>
    </row>
    <row r="2818" spans="3:18" x14ac:dyDescent="0.25">
      <c r="C2818" s="294" t="s">
        <v>953</v>
      </c>
      <c r="D2818" s="317">
        <v>74228</v>
      </c>
      <c r="E2818" s="122" t="s">
        <v>954</v>
      </c>
      <c r="F2818" s="122" t="s">
        <v>955</v>
      </c>
      <c r="G2818" s="122" t="s">
        <v>776</v>
      </c>
      <c r="H2818" s="122" t="s">
        <v>777</v>
      </c>
      <c r="I2818" s="312">
        <v>2023</v>
      </c>
      <c r="J2818" s="122" t="s">
        <v>710</v>
      </c>
      <c r="K2818" s="283">
        <v>6377</v>
      </c>
      <c r="L2818" s="318">
        <v>-33.723019000000001</v>
      </c>
      <c r="M2818" s="318">
        <v>151.03660600000001</v>
      </c>
      <c r="O2818">
        <f>INDEX('MEC - traffic congestion'!$M$145:$M$249,MATCH($D2818,'MEC - traffic congestion'!$C$145:$C$249,0))</f>
        <v>1</v>
      </c>
      <c r="P2818" t="str">
        <f t="shared" si="125"/>
        <v>2023OFF PEAK</v>
      </c>
      <c r="Q2818">
        <f t="shared" si="126"/>
        <v>1</v>
      </c>
      <c r="R2818" s="195" t="str">
        <f t="shared" si="127"/>
        <v>2023LIGHT VEHICLES</v>
      </c>
    </row>
    <row r="2819" spans="3:18" x14ac:dyDescent="0.25">
      <c r="C2819" s="294" t="s">
        <v>953</v>
      </c>
      <c r="D2819" s="317">
        <v>74228</v>
      </c>
      <c r="E2819" s="122" t="s">
        <v>954</v>
      </c>
      <c r="F2819" s="122" t="s">
        <v>955</v>
      </c>
      <c r="G2819" s="122" t="s">
        <v>778</v>
      </c>
      <c r="H2819" s="122" t="s">
        <v>777</v>
      </c>
      <c r="I2819" s="312">
        <v>2023</v>
      </c>
      <c r="J2819" s="122" t="s">
        <v>710</v>
      </c>
      <c r="K2819" s="283">
        <v>6471</v>
      </c>
      <c r="L2819" s="318">
        <v>-33.723019000000001</v>
      </c>
      <c r="M2819" s="318">
        <v>151.03660600000001</v>
      </c>
      <c r="O2819">
        <f>INDEX('MEC - traffic congestion'!$M$145:$M$249,MATCH($D2819,'MEC - traffic congestion'!$C$145:$C$249,0))</f>
        <v>1</v>
      </c>
      <c r="P2819" t="str">
        <f t="shared" si="125"/>
        <v>2023OFF PEAK</v>
      </c>
      <c r="Q2819">
        <f t="shared" si="126"/>
        <v>1</v>
      </c>
      <c r="R2819" s="195" t="str">
        <f t="shared" si="127"/>
        <v>2023LIGHT VEHICLES</v>
      </c>
    </row>
    <row r="2820" spans="3:18" x14ac:dyDescent="0.25">
      <c r="C2820" s="294" t="s">
        <v>953</v>
      </c>
      <c r="D2820" s="317">
        <v>74228</v>
      </c>
      <c r="E2820" s="122" t="s">
        <v>954</v>
      </c>
      <c r="F2820" s="122" t="s">
        <v>955</v>
      </c>
      <c r="G2820" s="122" t="s">
        <v>776</v>
      </c>
      <c r="H2820" s="122" t="s">
        <v>777</v>
      </c>
      <c r="I2820" s="312">
        <v>2023</v>
      </c>
      <c r="J2820" s="122" t="s">
        <v>711</v>
      </c>
      <c r="K2820" s="283">
        <v>3821</v>
      </c>
      <c r="L2820" s="318">
        <v>-33.723019000000001</v>
      </c>
      <c r="M2820" s="318">
        <v>151.03660600000001</v>
      </c>
      <c r="O2820">
        <f>INDEX('MEC - traffic congestion'!$M$145:$M$249,MATCH($D2820,'MEC - traffic congestion'!$C$145:$C$249,0))</f>
        <v>1</v>
      </c>
      <c r="P2820" t="str">
        <f t="shared" si="125"/>
        <v>2023PM PEAK</v>
      </c>
      <c r="Q2820">
        <f t="shared" si="126"/>
        <v>1</v>
      </c>
      <c r="R2820" s="195" t="str">
        <f t="shared" si="127"/>
        <v>2023LIGHT VEHICLES</v>
      </c>
    </row>
    <row r="2821" spans="3:18" x14ac:dyDescent="0.25">
      <c r="C2821" s="294" t="s">
        <v>953</v>
      </c>
      <c r="D2821" s="317">
        <v>74228</v>
      </c>
      <c r="E2821" s="122" t="s">
        <v>954</v>
      </c>
      <c r="F2821" s="122" t="s">
        <v>955</v>
      </c>
      <c r="G2821" s="122" t="s">
        <v>778</v>
      </c>
      <c r="H2821" s="122" t="s">
        <v>777</v>
      </c>
      <c r="I2821" s="312">
        <v>2023</v>
      </c>
      <c r="J2821" s="122" t="s">
        <v>711</v>
      </c>
      <c r="K2821" s="283">
        <v>3849</v>
      </c>
      <c r="L2821" s="318">
        <v>-33.723019000000001</v>
      </c>
      <c r="M2821" s="318">
        <v>151.03660600000001</v>
      </c>
      <c r="O2821">
        <f>INDEX('MEC - traffic congestion'!$M$145:$M$249,MATCH($D2821,'MEC - traffic congestion'!$C$145:$C$249,0))</f>
        <v>1</v>
      </c>
      <c r="P2821" t="str">
        <f t="shared" si="125"/>
        <v>2023PM PEAK</v>
      </c>
      <c r="Q2821">
        <f t="shared" si="126"/>
        <v>1</v>
      </c>
      <c r="R2821" s="195" t="str">
        <f t="shared" si="127"/>
        <v>2023LIGHT VEHICLES</v>
      </c>
    </row>
    <row r="2822" spans="3:18" x14ac:dyDescent="0.25">
      <c r="C2822" s="294" t="s">
        <v>953</v>
      </c>
      <c r="D2822" s="317">
        <v>74228</v>
      </c>
      <c r="E2822" s="122" t="s">
        <v>954</v>
      </c>
      <c r="F2822" s="122" t="s">
        <v>955</v>
      </c>
      <c r="G2822" s="122" t="s">
        <v>776</v>
      </c>
      <c r="H2822" s="122" t="s">
        <v>777</v>
      </c>
      <c r="I2822" s="312">
        <v>2023</v>
      </c>
      <c r="J2822" s="122" t="s">
        <v>713</v>
      </c>
      <c r="K2822" s="283">
        <v>12912</v>
      </c>
      <c r="L2822" s="318">
        <v>-33.723019000000001</v>
      </c>
      <c r="M2822" s="318">
        <v>151.03660600000001</v>
      </c>
      <c r="O2822">
        <f>INDEX('MEC - traffic congestion'!$M$145:$M$249,MATCH($D2822,'MEC - traffic congestion'!$C$145:$C$249,0))</f>
        <v>1</v>
      </c>
      <c r="P2822" t="str">
        <f t="shared" si="125"/>
        <v>2023WEEKENDS</v>
      </c>
      <c r="Q2822">
        <f t="shared" si="126"/>
        <v>1</v>
      </c>
      <c r="R2822" s="195" t="str">
        <f t="shared" si="127"/>
        <v>2023LIGHT VEHICLES</v>
      </c>
    </row>
    <row r="2823" spans="3:18" x14ac:dyDescent="0.25">
      <c r="C2823" s="294" t="s">
        <v>953</v>
      </c>
      <c r="D2823" s="317">
        <v>74228</v>
      </c>
      <c r="E2823" s="122" t="s">
        <v>954</v>
      </c>
      <c r="F2823" s="122" t="s">
        <v>955</v>
      </c>
      <c r="G2823" s="122" t="s">
        <v>778</v>
      </c>
      <c r="H2823" s="122" t="s">
        <v>777</v>
      </c>
      <c r="I2823" s="312">
        <v>2023</v>
      </c>
      <c r="J2823" s="122" t="s">
        <v>713</v>
      </c>
      <c r="K2823" s="283">
        <v>14204</v>
      </c>
      <c r="L2823" s="318">
        <v>-33.723019000000001</v>
      </c>
      <c r="M2823" s="318">
        <v>151.03660600000001</v>
      </c>
      <c r="O2823">
        <f>INDEX('MEC - traffic congestion'!$M$145:$M$249,MATCH($D2823,'MEC - traffic congestion'!$C$145:$C$249,0))</f>
        <v>1</v>
      </c>
      <c r="P2823" t="str">
        <f t="shared" si="125"/>
        <v>2023WEEKENDS</v>
      </c>
      <c r="Q2823">
        <f t="shared" si="126"/>
        <v>1</v>
      </c>
      <c r="R2823" s="195" t="str">
        <f t="shared" si="127"/>
        <v>2023LIGHT VEHICLES</v>
      </c>
    </row>
    <row r="2824" spans="3:18" x14ac:dyDescent="0.25">
      <c r="C2824" s="294" t="s">
        <v>953</v>
      </c>
      <c r="D2824" s="317">
        <v>74228</v>
      </c>
      <c r="E2824" s="122" t="s">
        <v>954</v>
      </c>
      <c r="F2824" s="122" t="s">
        <v>955</v>
      </c>
      <c r="G2824" s="122" t="s">
        <v>776</v>
      </c>
      <c r="H2824" s="122" t="s">
        <v>777</v>
      </c>
      <c r="I2824" s="312">
        <v>2024</v>
      </c>
      <c r="J2824" s="122" t="s">
        <v>709</v>
      </c>
      <c r="K2824" s="283">
        <v>2591</v>
      </c>
      <c r="L2824" s="318">
        <v>-33.723019000000001</v>
      </c>
      <c r="M2824" s="318">
        <v>151.03660600000001</v>
      </c>
      <c r="O2824">
        <f>INDEX('MEC - traffic congestion'!$M$145:$M$249,MATCH($D2824,'MEC - traffic congestion'!$C$145:$C$249,0))</f>
        <v>1</v>
      </c>
      <c r="P2824" t="str">
        <f t="shared" si="125"/>
        <v>2024AM PEAK</v>
      </c>
      <c r="Q2824">
        <f t="shared" si="126"/>
        <v>1</v>
      </c>
      <c r="R2824" s="195" t="str">
        <f t="shared" si="127"/>
        <v>2024LIGHT VEHICLES</v>
      </c>
    </row>
    <row r="2825" spans="3:18" x14ac:dyDescent="0.25">
      <c r="C2825" s="294" t="s">
        <v>953</v>
      </c>
      <c r="D2825" s="317">
        <v>74228</v>
      </c>
      <c r="E2825" s="122" t="s">
        <v>954</v>
      </c>
      <c r="F2825" s="122" t="s">
        <v>955</v>
      </c>
      <c r="G2825" s="122" t="s">
        <v>778</v>
      </c>
      <c r="H2825" s="122" t="s">
        <v>777</v>
      </c>
      <c r="I2825" s="312">
        <v>2024</v>
      </c>
      <c r="J2825" s="122" t="s">
        <v>709</v>
      </c>
      <c r="K2825" s="283">
        <v>4537</v>
      </c>
      <c r="L2825" s="318">
        <v>-33.723019000000001</v>
      </c>
      <c r="M2825" s="318">
        <v>151.03660600000001</v>
      </c>
      <c r="O2825">
        <f>INDEX('MEC - traffic congestion'!$M$145:$M$249,MATCH($D2825,'MEC - traffic congestion'!$C$145:$C$249,0))</f>
        <v>1</v>
      </c>
      <c r="P2825" t="str">
        <f t="shared" si="125"/>
        <v>2024AM PEAK</v>
      </c>
      <c r="Q2825">
        <f t="shared" si="126"/>
        <v>1</v>
      </c>
      <c r="R2825" s="195" t="str">
        <f t="shared" si="127"/>
        <v>2024LIGHT VEHICLES</v>
      </c>
    </row>
    <row r="2826" spans="3:18" x14ac:dyDescent="0.25">
      <c r="C2826" s="294" t="s">
        <v>953</v>
      </c>
      <c r="D2826" s="317">
        <v>74228</v>
      </c>
      <c r="E2826" s="122" t="s">
        <v>954</v>
      </c>
      <c r="F2826" s="122" t="s">
        <v>955</v>
      </c>
      <c r="G2826" s="122" t="s">
        <v>776</v>
      </c>
      <c r="H2826" s="122" t="s">
        <v>777</v>
      </c>
      <c r="I2826" s="312">
        <v>2024</v>
      </c>
      <c r="J2826" s="122" t="s">
        <v>710</v>
      </c>
      <c r="K2826" s="283">
        <v>6553</v>
      </c>
      <c r="L2826" s="318">
        <v>-33.723019000000001</v>
      </c>
      <c r="M2826" s="318">
        <v>151.03660600000001</v>
      </c>
      <c r="O2826">
        <f>INDEX('MEC - traffic congestion'!$M$145:$M$249,MATCH($D2826,'MEC - traffic congestion'!$C$145:$C$249,0))</f>
        <v>1</v>
      </c>
      <c r="P2826" t="str">
        <f t="shared" si="125"/>
        <v>2024OFF PEAK</v>
      </c>
      <c r="Q2826">
        <f t="shared" si="126"/>
        <v>1</v>
      </c>
      <c r="R2826" s="195" t="str">
        <f t="shared" si="127"/>
        <v>2024LIGHT VEHICLES</v>
      </c>
    </row>
    <row r="2827" spans="3:18" x14ac:dyDescent="0.25">
      <c r="C2827" s="294" t="s">
        <v>953</v>
      </c>
      <c r="D2827" s="317">
        <v>74228</v>
      </c>
      <c r="E2827" s="122" t="s">
        <v>954</v>
      </c>
      <c r="F2827" s="122" t="s">
        <v>955</v>
      </c>
      <c r="G2827" s="122" t="s">
        <v>778</v>
      </c>
      <c r="H2827" s="122" t="s">
        <v>777</v>
      </c>
      <c r="I2827" s="312">
        <v>2024</v>
      </c>
      <c r="J2827" s="122" t="s">
        <v>710</v>
      </c>
      <c r="K2827" s="283">
        <v>6558</v>
      </c>
      <c r="L2827" s="318">
        <v>-33.723019000000001</v>
      </c>
      <c r="M2827" s="318">
        <v>151.03660600000001</v>
      </c>
      <c r="O2827">
        <f>INDEX('MEC - traffic congestion'!$M$145:$M$249,MATCH($D2827,'MEC - traffic congestion'!$C$145:$C$249,0))</f>
        <v>1</v>
      </c>
      <c r="P2827" t="str">
        <f t="shared" si="125"/>
        <v>2024OFF PEAK</v>
      </c>
      <c r="Q2827">
        <f t="shared" si="126"/>
        <v>1</v>
      </c>
      <c r="R2827" s="195" t="str">
        <f t="shared" si="127"/>
        <v>2024LIGHT VEHICLES</v>
      </c>
    </row>
    <row r="2828" spans="3:18" x14ac:dyDescent="0.25">
      <c r="C2828" s="294" t="s">
        <v>953</v>
      </c>
      <c r="D2828" s="317">
        <v>74228</v>
      </c>
      <c r="E2828" s="122" t="s">
        <v>954</v>
      </c>
      <c r="F2828" s="122" t="s">
        <v>955</v>
      </c>
      <c r="G2828" s="122" t="s">
        <v>776</v>
      </c>
      <c r="H2828" s="122" t="s">
        <v>777</v>
      </c>
      <c r="I2828" s="312">
        <v>2024</v>
      </c>
      <c r="J2828" s="122" t="s">
        <v>711</v>
      </c>
      <c r="K2828" s="283">
        <v>3877</v>
      </c>
      <c r="L2828" s="318">
        <v>-33.723019000000001</v>
      </c>
      <c r="M2828" s="318">
        <v>151.03660600000001</v>
      </c>
      <c r="O2828">
        <f>INDEX('MEC - traffic congestion'!$M$145:$M$249,MATCH($D2828,'MEC - traffic congestion'!$C$145:$C$249,0))</f>
        <v>1</v>
      </c>
      <c r="P2828" t="str">
        <f t="shared" si="125"/>
        <v>2024PM PEAK</v>
      </c>
      <c r="Q2828">
        <f t="shared" si="126"/>
        <v>1</v>
      </c>
      <c r="R2828" s="195" t="str">
        <f t="shared" si="127"/>
        <v>2024LIGHT VEHICLES</v>
      </c>
    </row>
    <row r="2829" spans="3:18" x14ac:dyDescent="0.25">
      <c r="C2829" s="294" t="s">
        <v>953</v>
      </c>
      <c r="D2829" s="317">
        <v>74228</v>
      </c>
      <c r="E2829" s="122" t="s">
        <v>954</v>
      </c>
      <c r="F2829" s="122" t="s">
        <v>955</v>
      </c>
      <c r="G2829" s="122" t="s">
        <v>778</v>
      </c>
      <c r="H2829" s="122" t="s">
        <v>777</v>
      </c>
      <c r="I2829" s="312">
        <v>2024</v>
      </c>
      <c r="J2829" s="122" t="s">
        <v>711</v>
      </c>
      <c r="K2829" s="283">
        <v>3861</v>
      </c>
      <c r="L2829" s="318">
        <v>-33.723019000000001</v>
      </c>
      <c r="M2829" s="318">
        <v>151.03660600000001</v>
      </c>
      <c r="O2829">
        <f>INDEX('MEC - traffic congestion'!$M$145:$M$249,MATCH($D2829,'MEC - traffic congestion'!$C$145:$C$249,0))</f>
        <v>1</v>
      </c>
      <c r="P2829" t="str">
        <f t="shared" si="125"/>
        <v>2024PM PEAK</v>
      </c>
      <c r="Q2829">
        <f t="shared" si="126"/>
        <v>1</v>
      </c>
      <c r="R2829" s="195" t="str">
        <f t="shared" si="127"/>
        <v>2024LIGHT VEHICLES</v>
      </c>
    </row>
    <row r="2830" spans="3:18" x14ac:dyDescent="0.25">
      <c r="C2830" s="294" t="s">
        <v>953</v>
      </c>
      <c r="D2830" s="317">
        <v>74228</v>
      </c>
      <c r="E2830" s="122" t="s">
        <v>954</v>
      </c>
      <c r="F2830" s="122" t="s">
        <v>955</v>
      </c>
      <c r="G2830" s="122" t="s">
        <v>776</v>
      </c>
      <c r="H2830" s="122" t="s">
        <v>777</v>
      </c>
      <c r="I2830" s="312">
        <v>2024</v>
      </c>
      <c r="J2830" s="122" t="s">
        <v>713</v>
      </c>
      <c r="K2830" s="283">
        <v>13318</v>
      </c>
      <c r="L2830" s="318">
        <v>-33.723019000000001</v>
      </c>
      <c r="M2830" s="318">
        <v>151.03660600000001</v>
      </c>
      <c r="O2830">
        <f>INDEX('MEC - traffic congestion'!$M$145:$M$249,MATCH($D2830,'MEC - traffic congestion'!$C$145:$C$249,0))</f>
        <v>1</v>
      </c>
      <c r="P2830" t="str">
        <f t="shared" si="125"/>
        <v>2024WEEKENDS</v>
      </c>
      <c r="Q2830">
        <f t="shared" si="126"/>
        <v>1</v>
      </c>
      <c r="R2830" s="195" t="str">
        <f t="shared" si="127"/>
        <v>2024LIGHT VEHICLES</v>
      </c>
    </row>
    <row r="2831" spans="3:18" x14ac:dyDescent="0.25">
      <c r="C2831" s="294" t="s">
        <v>953</v>
      </c>
      <c r="D2831" s="317">
        <v>74228</v>
      </c>
      <c r="E2831" s="122" t="s">
        <v>954</v>
      </c>
      <c r="F2831" s="122" t="s">
        <v>955</v>
      </c>
      <c r="G2831" s="122" t="s">
        <v>778</v>
      </c>
      <c r="H2831" s="122" t="s">
        <v>777</v>
      </c>
      <c r="I2831" s="312">
        <v>2024</v>
      </c>
      <c r="J2831" s="122" t="s">
        <v>713</v>
      </c>
      <c r="K2831" s="283">
        <v>14354</v>
      </c>
      <c r="L2831" s="318">
        <v>-33.723019000000001</v>
      </c>
      <c r="M2831" s="318">
        <v>151.03660600000001</v>
      </c>
      <c r="O2831">
        <f>INDEX('MEC - traffic congestion'!$M$145:$M$249,MATCH($D2831,'MEC - traffic congestion'!$C$145:$C$249,0))</f>
        <v>1</v>
      </c>
      <c r="P2831" t="str">
        <f t="shared" si="125"/>
        <v>2024WEEKENDS</v>
      </c>
      <c r="Q2831">
        <f t="shared" si="126"/>
        <v>1</v>
      </c>
      <c r="R2831" s="195" t="str">
        <f t="shared" si="127"/>
        <v>2024LIGHT VEHICLES</v>
      </c>
    </row>
    <row r="2832" spans="3:18" x14ac:dyDescent="0.25">
      <c r="C2832" s="294" t="s">
        <v>956</v>
      </c>
      <c r="D2832" s="317">
        <v>74229</v>
      </c>
      <c r="E2832" s="122" t="s">
        <v>957</v>
      </c>
      <c r="F2832" s="122" t="s">
        <v>958</v>
      </c>
      <c r="G2832" s="122" t="s">
        <v>776</v>
      </c>
      <c r="H2832" s="122" t="s">
        <v>777</v>
      </c>
      <c r="I2832" s="312">
        <v>2018</v>
      </c>
      <c r="J2832" s="122" t="s">
        <v>709</v>
      </c>
      <c r="K2832" s="283">
        <v>2454</v>
      </c>
      <c r="L2832" s="318">
        <v>-33.760657999999999</v>
      </c>
      <c r="M2832" s="318">
        <v>151.07962000000001</v>
      </c>
      <c r="O2832">
        <f>INDEX('MEC - traffic congestion'!$M$145:$M$249,MATCH($D2832,'MEC - traffic congestion'!$C$145:$C$249,0))</f>
        <v>1</v>
      </c>
      <c r="P2832" t="str">
        <f t="shared" si="125"/>
        <v>2018AM PEAK</v>
      </c>
      <c r="Q2832">
        <f t="shared" si="126"/>
        <v>1</v>
      </c>
      <c r="R2832" s="195" t="str">
        <f t="shared" si="127"/>
        <v>2018LIGHT VEHICLES</v>
      </c>
    </row>
    <row r="2833" spans="3:18" x14ac:dyDescent="0.25">
      <c r="C2833" s="294" t="s">
        <v>956</v>
      </c>
      <c r="D2833" s="317">
        <v>74229</v>
      </c>
      <c r="E2833" s="122" t="s">
        <v>957</v>
      </c>
      <c r="F2833" s="122" t="s">
        <v>958</v>
      </c>
      <c r="G2833" s="122" t="s">
        <v>778</v>
      </c>
      <c r="H2833" s="122" t="s">
        <v>777</v>
      </c>
      <c r="I2833" s="312">
        <v>2018</v>
      </c>
      <c r="J2833" s="122" t="s">
        <v>709</v>
      </c>
      <c r="K2833" s="283">
        <v>5098</v>
      </c>
      <c r="L2833" s="318">
        <v>-33.760657999999999</v>
      </c>
      <c r="M2833" s="318">
        <v>151.07962000000001</v>
      </c>
      <c r="O2833">
        <f>INDEX('MEC - traffic congestion'!$M$145:$M$249,MATCH($D2833,'MEC - traffic congestion'!$C$145:$C$249,0))</f>
        <v>1</v>
      </c>
      <c r="P2833" t="str">
        <f t="shared" si="125"/>
        <v>2018AM PEAK</v>
      </c>
      <c r="Q2833">
        <f t="shared" si="126"/>
        <v>1</v>
      </c>
      <c r="R2833" s="195" t="str">
        <f t="shared" si="127"/>
        <v>2018LIGHT VEHICLES</v>
      </c>
    </row>
    <row r="2834" spans="3:18" x14ac:dyDescent="0.25">
      <c r="C2834" s="294" t="s">
        <v>956</v>
      </c>
      <c r="D2834" s="317">
        <v>74229</v>
      </c>
      <c r="E2834" s="122" t="s">
        <v>957</v>
      </c>
      <c r="F2834" s="122" t="s">
        <v>958</v>
      </c>
      <c r="G2834" s="122" t="s">
        <v>776</v>
      </c>
      <c r="H2834" s="122" t="s">
        <v>777</v>
      </c>
      <c r="I2834" s="312">
        <v>2018</v>
      </c>
      <c r="J2834" s="122" t="s">
        <v>710</v>
      </c>
      <c r="K2834" s="283">
        <v>6622</v>
      </c>
      <c r="L2834" s="318">
        <v>-33.760657999999999</v>
      </c>
      <c r="M2834" s="318">
        <v>151.07962000000001</v>
      </c>
      <c r="O2834">
        <f>INDEX('MEC - traffic congestion'!$M$145:$M$249,MATCH($D2834,'MEC - traffic congestion'!$C$145:$C$249,0))</f>
        <v>1</v>
      </c>
      <c r="P2834" t="str">
        <f t="shared" si="125"/>
        <v>2018OFF PEAK</v>
      </c>
      <c r="Q2834">
        <f t="shared" si="126"/>
        <v>1</v>
      </c>
      <c r="R2834" s="195" t="str">
        <f t="shared" si="127"/>
        <v>2018LIGHT VEHICLES</v>
      </c>
    </row>
    <row r="2835" spans="3:18" x14ac:dyDescent="0.25">
      <c r="C2835" s="294" t="s">
        <v>956</v>
      </c>
      <c r="D2835" s="317">
        <v>74229</v>
      </c>
      <c r="E2835" s="122" t="s">
        <v>957</v>
      </c>
      <c r="F2835" s="122" t="s">
        <v>958</v>
      </c>
      <c r="G2835" s="122" t="s">
        <v>778</v>
      </c>
      <c r="H2835" s="122" t="s">
        <v>777</v>
      </c>
      <c r="I2835" s="312">
        <v>2018</v>
      </c>
      <c r="J2835" s="122" t="s">
        <v>710</v>
      </c>
      <c r="K2835" s="283">
        <v>5768</v>
      </c>
      <c r="L2835" s="318">
        <v>-33.760657999999999</v>
      </c>
      <c r="M2835" s="318">
        <v>151.07962000000001</v>
      </c>
      <c r="O2835">
        <f>INDEX('MEC - traffic congestion'!$M$145:$M$249,MATCH($D2835,'MEC - traffic congestion'!$C$145:$C$249,0))</f>
        <v>1</v>
      </c>
      <c r="P2835" t="str">
        <f t="shared" si="125"/>
        <v>2018OFF PEAK</v>
      </c>
      <c r="Q2835">
        <f t="shared" si="126"/>
        <v>1</v>
      </c>
      <c r="R2835" s="195" t="str">
        <f t="shared" si="127"/>
        <v>2018LIGHT VEHICLES</v>
      </c>
    </row>
    <row r="2836" spans="3:18" x14ac:dyDescent="0.25">
      <c r="C2836" s="294" t="s">
        <v>956</v>
      </c>
      <c r="D2836" s="317">
        <v>74229</v>
      </c>
      <c r="E2836" s="122" t="s">
        <v>957</v>
      </c>
      <c r="F2836" s="122" t="s">
        <v>958</v>
      </c>
      <c r="G2836" s="122" t="s">
        <v>776</v>
      </c>
      <c r="H2836" s="122" t="s">
        <v>777</v>
      </c>
      <c r="I2836" s="312">
        <v>2018</v>
      </c>
      <c r="J2836" s="122" t="s">
        <v>711</v>
      </c>
      <c r="K2836" s="283">
        <v>4658</v>
      </c>
      <c r="L2836" s="318">
        <v>-33.760657999999999</v>
      </c>
      <c r="M2836" s="318">
        <v>151.07962000000001</v>
      </c>
      <c r="O2836">
        <f>INDEX('MEC - traffic congestion'!$M$145:$M$249,MATCH($D2836,'MEC - traffic congestion'!$C$145:$C$249,0))</f>
        <v>1</v>
      </c>
      <c r="P2836" t="str">
        <f t="shared" si="125"/>
        <v>2018PM PEAK</v>
      </c>
      <c r="Q2836">
        <f t="shared" si="126"/>
        <v>1</v>
      </c>
      <c r="R2836" s="195" t="str">
        <f t="shared" si="127"/>
        <v>2018LIGHT VEHICLES</v>
      </c>
    </row>
    <row r="2837" spans="3:18" x14ac:dyDescent="0.25">
      <c r="C2837" s="294" t="s">
        <v>956</v>
      </c>
      <c r="D2837" s="317">
        <v>74229</v>
      </c>
      <c r="E2837" s="122" t="s">
        <v>957</v>
      </c>
      <c r="F2837" s="122" t="s">
        <v>958</v>
      </c>
      <c r="G2837" s="122" t="s">
        <v>778</v>
      </c>
      <c r="H2837" s="122" t="s">
        <v>777</v>
      </c>
      <c r="I2837" s="312">
        <v>2018</v>
      </c>
      <c r="J2837" s="122" t="s">
        <v>711</v>
      </c>
      <c r="K2837" s="283">
        <v>2639</v>
      </c>
      <c r="L2837" s="318">
        <v>-33.760657999999999</v>
      </c>
      <c r="M2837" s="318">
        <v>151.07962000000001</v>
      </c>
      <c r="O2837">
        <f>INDEX('MEC - traffic congestion'!$M$145:$M$249,MATCH($D2837,'MEC - traffic congestion'!$C$145:$C$249,0))</f>
        <v>1</v>
      </c>
      <c r="P2837" t="str">
        <f t="shared" ref="P2837:P2900" si="128">IF($O2837=1,$I2837&amp;$J2837,"")</f>
        <v>2018PM PEAK</v>
      </c>
      <c r="Q2837">
        <f t="shared" ref="Q2837:Q2900" si="129">IF(AND($M2837&gt;150.246,AND($L2837&gt;-34.397,$L2837&lt;-32.662)),1,0)</f>
        <v>1</v>
      </c>
      <c r="R2837" s="195" t="str">
        <f t="shared" ref="R2837:R2900" si="130">IF($O2837=1,$I2837&amp;$H2837,"")</f>
        <v>2018LIGHT VEHICLES</v>
      </c>
    </row>
    <row r="2838" spans="3:18" x14ac:dyDescent="0.25">
      <c r="C2838" s="294" t="s">
        <v>956</v>
      </c>
      <c r="D2838" s="317">
        <v>74229</v>
      </c>
      <c r="E2838" s="122" t="s">
        <v>957</v>
      </c>
      <c r="F2838" s="122" t="s">
        <v>958</v>
      </c>
      <c r="G2838" s="122" t="s">
        <v>776</v>
      </c>
      <c r="H2838" s="122" t="s">
        <v>777</v>
      </c>
      <c r="I2838" s="312">
        <v>2018</v>
      </c>
      <c r="J2838" s="122" t="s">
        <v>712</v>
      </c>
      <c r="K2838" s="283">
        <v>10998</v>
      </c>
      <c r="L2838" s="318">
        <v>-33.760657999999999</v>
      </c>
      <c r="M2838" s="318">
        <v>151.07962000000001</v>
      </c>
      <c r="O2838">
        <f>INDEX('MEC - traffic congestion'!$M$145:$M$249,MATCH($D2838,'MEC - traffic congestion'!$C$145:$C$249,0))</f>
        <v>1</v>
      </c>
      <c r="P2838" t="str">
        <f t="shared" si="128"/>
        <v>2018PUBLIC HOLIDAYS</v>
      </c>
      <c r="Q2838">
        <f t="shared" si="129"/>
        <v>1</v>
      </c>
      <c r="R2838" s="195" t="str">
        <f t="shared" si="130"/>
        <v>2018LIGHT VEHICLES</v>
      </c>
    </row>
    <row r="2839" spans="3:18" x14ac:dyDescent="0.25">
      <c r="C2839" s="294" t="s">
        <v>956</v>
      </c>
      <c r="D2839" s="317">
        <v>74229</v>
      </c>
      <c r="E2839" s="122" t="s">
        <v>957</v>
      </c>
      <c r="F2839" s="122" t="s">
        <v>958</v>
      </c>
      <c r="G2839" s="122" t="s">
        <v>778</v>
      </c>
      <c r="H2839" s="122" t="s">
        <v>777</v>
      </c>
      <c r="I2839" s="312">
        <v>2018</v>
      </c>
      <c r="J2839" s="122" t="s">
        <v>712</v>
      </c>
      <c r="K2839" s="283">
        <v>10169</v>
      </c>
      <c r="L2839" s="318">
        <v>-33.760657999999999</v>
      </c>
      <c r="M2839" s="318">
        <v>151.07962000000001</v>
      </c>
      <c r="O2839">
        <f>INDEX('MEC - traffic congestion'!$M$145:$M$249,MATCH($D2839,'MEC - traffic congestion'!$C$145:$C$249,0))</f>
        <v>1</v>
      </c>
      <c r="P2839" t="str">
        <f t="shared" si="128"/>
        <v>2018PUBLIC HOLIDAYS</v>
      </c>
      <c r="Q2839">
        <f t="shared" si="129"/>
        <v>1</v>
      </c>
      <c r="R2839" s="195" t="str">
        <f t="shared" si="130"/>
        <v>2018LIGHT VEHICLES</v>
      </c>
    </row>
    <row r="2840" spans="3:18" x14ac:dyDescent="0.25">
      <c r="C2840" s="294" t="s">
        <v>956</v>
      </c>
      <c r="D2840" s="317">
        <v>74229</v>
      </c>
      <c r="E2840" s="122" t="s">
        <v>957</v>
      </c>
      <c r="F2840" s="122" t="s">
        <v>958</v>
      </c>
      <c r="G2840" s="122" t="s">
        <v>776</v>
      </c>
      <c r="H2840" s="122" t="s">
        <v>777</v>
      </c>
      <c r="I2840" s="312">
        <v>2018</v>
      </c>
      <c r="J2840" s="122" t="s">
        <v>713</v>
      </c>
      <c r="K2840" s="283">
        <v>13333</v>
      </c>
      <c r="L2840" s="318">
        <v>-33.760657999999999</v>
      </c>
      <c r="M2840" s="318">
        <v>151.07962000000001</v>
      </c>
      <c r="O2840">
        <f>INDEX('MEC - traffic congestion'!$M$145:$M$249,MATCH($D2840,'MEC - traffic congestion'!$C$145:$C$249,0))</f>
        <v>1</v>
      </c>
      <c r="P2840" t="str">
        <f t="shared" si="128"/>
        <v>2018WEEKENDS</v>
      </c>
      <c r="Q2840">
        <f t="shared" si="129"/>
        <v>1</v>
      </c>
      <c r="R2840" s="195" t="str">
        <f t="shared" si="130"/>
        <v>2018LIGHT VEHICLES</v>
      </c>
    </row>
    <row r="2841" spans="3:18" x14ac:dyDescent="0.25">
      <c r="C2841" s="294" t="s">
        <v>956</v>
      </c>
      <c r="D2841" s="317">
        <v>74229</v>
      </c>
      <c r="E2841" s="122" t="s">
        <v>957</v>
      </c>
      <c r="F2841" s="122" t="s">
        <v>958</v>
      </c>
      <c r="G2841" s="122" t="s">
        <v>778</v>
      </c>
      <c r="H2841" s="122" t="s">
        <v>777</v>
      </c>
      <c r="I2841" s="312">
        <v>2018</v>
      </c>
      <c r="J2841" s="122" t="s">
        <v>713</v>
      </c>
      <c r="K2841" s="283">
        <v>12395</v>
      </c>
      <c r="L2841" s="318">
        <v>-33.760657999999999</v>
      </c>
      <c r="M2841" s="318">
        <v>151.07962000000001</v>
      </c>
      <c r="O2841">
        <f>INDEX('MEC - traffic congestion'!$M$145:$M$249,MATCH($D2841,'MEC - traffic congestion'!$C$145:$C$249,0))</f>
        <v>1</v>
      </c>
      <c r="P2841" t="str">
        <f t="shared" si="128"/>
        <v>2018WEEKENDS</v>
      </c>
      <c r="Q2841">
        <f t="shared" si="129"/>
        <v>1</v>
      </c>
      <c r="R2841" s="195" t="str">
        <f t="shared" si="130"/>
        <v>2018LIGHT VEHICLES</v>
      </c>
    </row>
    <row r="2842" spans="3:18" x14ac:dyDescent="0.25">
      <c r="C2842" s="294" t="s">
        <v>956</v>
      </c>
      <c r="D2842" s="317">
        <v>74229</v>
      </c>
      <c r="E2842" s="122" t="s">
        <v>957</v>
      </c>
      <c r="F2842" s="122" t="s">
        <v>958</v>
      </c>
      <c r="G2842" s="122" t="s">
        <v>776</v>
      </c>
      <c r="H2842" s="122" t="s">
        <v>777</v>
      </c>
      <c r="I2842" s="312">
        <v>2019</v>
      </c>
      <c r="J2842" s="122" t="s">
        <v>709</v>
      </c>
      <c r="K2842" s="283">
        <v>2750</v>
      </c>
      <c r="L2842" s="318">
        <v>-33.760657999999999</v>
      </c>
      <c r="M2842" s="318">
        <v>151.07962000000001</v>
      </c>
      <c r="O2842">
        <f>INDEX('MEC - traffic congestion'!$M$145:$M$249,MATCH($D2842,'MEC - traffic congestion'!$C$145:$C$249,0))</f>
        <v>1</v>
      </c>
      <c r="P2842" t="str">
        <f t="shared" si="128"/>
        <v>2019AM PEAK</v>
      </c>
      <c r="Q2842">
        <f t="shared" si="129"/>
        <v>1</v>
      </c>
      <c r="R2842" s="195" t="str">
        <f t="shared" si="130"/>
        <v>2019LIGHT VEHICLES</v>
      </c>
    </row>
    <row r="2843" spans="3:18" x14ac:dyDescent="0.25">
      <c r="C2843" s="294" t="s">
        <v>956</v>
      </c>
      <c r="D2843" s="317">
        <v>74229</v>
      </c>
      <c r="E2843" s="122" t="s">
        <v>957</v>
      </c>
      <c r="F2843" s="122" t="s">
        <v>958</v>
      </c>
      <c r="G2843" s="122" t="s">
        <v>778</v>
      </c>
      <c r="H2843" s="122" t="s">
        <v>777</v>
      </c>
      <c r="I2843" s="312">
        <v>2019</v>
      </c>
      <c r="J2843" s="122" t="s">
        <v>709</v>
      </c>
      <c r="K2843" s="283">
        <v>5737</v>
      </c>
      <c r="L2843" s="318">
        <v>-33.760657999999999</v>
      </c>
      <c r="M2843" s="318">
        <v>151.07962000000001</v>
      </c>
      <c r="O2843">
        <f>INDEX('MEC - traffic congestion'!$M$145:$M$249,MATCH($D2843,'MEC - traffic congestion'!$C$145:$C$249,0))</f>
        <v>1</v>
      </c>
      <c r="P2843" t="str">
        <f t="shared" si="128"/>
        <v>2019AM PEAK</v>
      </c>
      <c r="Q2843">
        <f t="shared" si="129"/>
        <v>1</v>
      </c>
      <c r="R2843" s="195" t="str">
        <f t="shared" si="130"/>
        <v>2019LIGHT VEHICLES</v>
      </c>
    </row>
    <row r="2844" spans="3:18" x14ac:dyDescent="0.25">
      <c r="C2844" s="294" t="s">
        <v>956</v>
      </c>
      <c r="D2844" s="317">
        <v>74229</v>
      </c>
      <c r="E2844" s="122" t="s">
        <v>957</v>
      </c>
      <c r="F2844" s="122" t="s">
        <v>958</v>
      </c>
      <c r="G2844" s="122" t="s">
        <v>776</v>
      </c>
      <c r="H2844" s="122" t="s">
        <v>777</v>
      </c>
      <c r="I2844" s="312">
        <v>2019</v>
      </c>
      <c r="J2844" s="122" t="s">
        <v>710</v>
      </c>
      <c r="K2844" s="283">
        <v>7434</v>
      </c>
      <c r="L2844" s="318">
        <v>-33.760657999999999</v>
      </c>
      <c r="M2844" s="318">
        <v>151.07962000000001</v>
      </c>
      <c r="O2844">
        <f>INDEX('MEC - traffic congestion'!$M$145:$M$249,MATCH($D2844,'MEC - traffic congestion'!$C$145:$C$249,0))</f>
        <v>1</v>
      </c>
      <c r="P2844" t="str">
        <f t="shared" si="128"/>
        <v>2019OFF PEAK</v>
      </c>
      <c r="Q2844">
        <f t="shared" si="129"/>
        <v>1</v>
      </c>
      <c r="R2844" s="195" t="str">
        <f t="shared" si="130"/>
        <v>2019LIGHT VEHICLES</v>
      </c>
    </row>
    <row r="2845" spans="3:18" x14ac:dyDescent="0.25">
      <c r="C2845" s="294" t="s">
        <v>956</v>
      </c>
      <c r="D2845" s="317">
        <v>74229</v>
      </c>
      <c r="E2845" s="122" t="s">
        <v>957</v>
      </c>
      <c r="F2845" s="122" t="s">
        <v>958</v>
      </c>
      <c r="G2845" s="122" t="s">
        <v>778</v>
      </c>
      <c r="H2845" s="122" t="s">
        <v>777</v>
      </c>
      <c r="I2845" s="312">
        <v>2019</v>
      </c>
      <c r="J2845" s="122" t="s">
        <v>710</v>
      </c>
      <c r="K2845" s="283">
        <v>6516</v>
      </c>
      <c r="L2845" s="318">
        <v>-33.760657999999999</v>
      </c>
      <c r="M2845" s="318">
        <v>151.07962000000001</v>
      </c>
      <c r="O2845">
        <f>INDEX('MEC - traffic congestion'!$M$145:$M$249,MATCH($D2845,'MEC - traffic congestion'!$C$145:$C$249,0))</f>
        <v>1</v>
      </c>
      <c r="P2845" t="str">
        <f t="shared" si="128"/>
        <v>2019OFF PEAK</v>
      </c>
      <c r="Q2845">
        <f t="shared" si="129"/>
        <v>1</v>
      </c>
      <c r="R2845" s="195" t="str">
        <f t="shared" si="130"/>
        <v>2019LIGHT VEHICLES</v>
      </c>
    </row>
    <row r="2846" spans="3:18" x14ac:dyDescent="0.25">
      <c r="C2846" s="294" t="s">
        <v>956</v>
      </c>
      <c r="D2846" s="317">
        <v>74229</v>
      </c>
      <c r="E2846" s="122" t="s">
        <v>957</v>
      </c>
      <c r="F2846" s="122" t="s">
        <v>958</v>
      </c>
      <c r="G2846" s="122" t="s">
        <v>776</v>
      </c>
      <c r="H2846" s="122" t="s">
        <v>777</v>
      </c>
      <c r="I2846" s="312">
        <v>2019</v>
      </c>
      <c r="J2846" s="122" t="s">
        <v>711</v>
      </c>
      <c r="K2846" s="283">
        <v>5436</v>
      </c>
      <c r="L2846" s="318">
        <v>-33.760657999999999</v>
      </c>
      <c r="M2846" s="318">
        <v>151.07962000000001</v>
      </c>
      <c r="O2846">
        <f>INDEX('MEC - traffic congestion'!$M$145:$M$249,MATCH($D2846,'MEC - traffic congestion'!$C$145:$C$249,0))</f>
        <v>1</v>
      </c>
      <c r="P2846" t="str">
        <f t="shared" si="128"/>
        <v>2019PM PEAK</v>
      </c>
      <c r="Q2846">
        <f t="shared" si="129"/>
        <v>1</v>
      </c>
      <c r="R2846" s="195" t="str">
        <f t="shared" si="130"/>
        <v>2019LIGHT VEHICLES</v>
      </c>
    </row>
    <row r="2847" spans="3:18" x14ac:dyDescent="0.25">
      <c r="C2847" s="294" t="s">
        <v>956</v>
      </c>
      <c r="D2847" s="317">
        <v>74229</v>
      </c>
      <c r="E2847" s="122" t="s">
        <v>957</v>
      </c>
      <c r="F2847" s="122" t="s">
        <v>958</v>
      </c>
      <c r="G2847" s="122" t="s">
        <v>778</v>
      </c>
      <c r="H2847" s="122" t="s">
        <v>777</v>
      </c>
      <c r="I2847" s="312">
        <v>2019</v>
      </c>
      <c r="J2847" s="122" t="s">
        <v>711</v>
      </c>
      <c r="K2847" s="283">
        <v>3107</v>
      </c>
      <c r="L2847" s="318">
        <v>-33.760657999999999</v>
      </c>
      <c r="M2847" s="318">
        <v>151.07962000000001</v>
      </c>
      <c r="O2847">
        <f>INDEX('MEC - traffic congestion'!$M$145:$M$249,MATCH($D2847,'MEC - traffic congestion'!$C$145:$C$249,0))</f>
        <v>1</v>
      </c>
      <c r="P2847" t="str">
        <f t="shared" si="128"/>
        <v>2019PM PEAK</v>
      </c>
      <c r="Q2847">
        <f t="shared" si="129"/>
        <v>1</v>
      </c>
      <c r="R2847" s="195" t="str">
        <f t="shared" si="130"/>
        <v>2019LIGHT VEHICLES</v>
      </c>
    </row>
    <row r="2848" spans="3:18" x14ac:dyDescent="0.25">
      <c r="C2848" s="294" t="s">
        <v>956</v>
      </c>
      <c r="D2848" s="317">
        <v>74229</v>
      </c>
      <c r="E2848" s="122" t="s">
        <v>957</v>
      </c>
      <c r="F2848" s="122" t="s">
        <v>958</v>
      </c>
      <c r="G2848" s="122" t="s">
        <v>776</v>
      </c>
      <c r="H2848" s="122" t="s">
        <v>777</v>
      </c>
      <c r="I2848" s="312">
        <v>2019</v>
      </c>
      <c r="J2848" s="122" t="s">
        <v>712</v>
      </c>
      <c r="K2848" s="283">
        <v>11068</v>
      </c>
      <c r="L2848" s="318">
        <v>-33.760657999999999</v>
      </c>
      <c r="M2848" s="318">
        <v>151.07962000000001</v>
      </c>
      <c r="O2848">
        <f>INDEX('MEC - traffic congestion'!$M$145:$M$249,MATCH($D2848,'MEC - traffic congestion'!$C$145:$C$249,0))</f>
        <v>1</v>
      </c>
      <c r="P2848" t="str">
        <f t="shared" si="128"/>
        <v>2019PUBLIC HOLIDAYS</v>
      </c>
      <c r="Q2848">
        <f t="shared" si="129"/>
        <v>1</v>
      </c>
      <c r="R2848" s="195" t="str">
        <f t="shared" si="130"/>
        <v>2019LIGHT VEHICLES</v>
      </c>
    </row>
    <row r="2849" spans="3:18" x14ac:dyDescent="0.25">
      <c r="C2849" s="294" t="s">
        <v>956</v>
      </c>
      <c r="D2849" s="317">
        <v>74229</v>
      </c>
      <c r="E2849" s="122" t="s">
        <v>957</v>
      </c>
      <c r="F2849" s="122" t="s">
        <v>958</v>
      </c>
      <c r="G2849" s="122" t="s">
        <v>778</v>
      </c>
      <c r="H2849" s="122" t="s">
        <v>777</v>
      </c>
      <c r="I2849" s="312">
        <v>2019</v>
      </c>
      <c r="J2849" s="122" t="s">
        <v>712</v>
      </c>
      <c r="K2849" s="283">
        <v>10244</v>
      </c>
      <c r="L2849" s="318">
        <v>-33.760657999999999</v>
      </c>
      <c r="M2849" s="318">
        <v>151.07962000000001</v>
      </c>
      <c r="O2849">
        <f>INDEX('MEC - traffic congestion'!$M$145:$M$249,MATCH($D2849,'MEC - traffic congestion'!$C$145:$C$249,0))</f>
        <v>1</v>
      </c>
      <c r="P2849" t="str">
        <f t="shared" si="128"/>
        <v>2019PUBLIC HOLIDAYS</v>
      </c>
      <c r="Q2849">
        <f t="shared" si="129"/>
        <v>1</v>
      </c>
      <c r="R2849" s="195" t="str">
        <f t="shared" si="130"/>
        <v>2019LIGHT VEHICLES</v>
      </c>
    </row>
    <row r="2850" spans="3:18" x14ac:dyDescent="0.25">
      <c r="C2850" s="294" t="s">
        <v>956</v>
      </c>
      <c r="D2850" s="317">
        <v>74229</v>
      </c>
      <c r="E2850" s="122" t="s">
        <v>957</v>
      </c>
      <c r="F2850" s="122" t="s">
        <v>958</v>
      </c>
      <c r="G2850" s="122" t="s">
        <v>776</v>
      </c>
      <c r="H2850" s="122" t="s">
        <v>777</v>
      </c>
      <c r="I2850" s="312">
        <v>2019</v>
      </c>
      <c r="J2850" s="122" t="s">
        <v>713</v>
      </c>
      <c r="K2850" s="283">
        <v>13805</v>
      </c>
      <c r="L2850" s="318">
        <v>-33.760657999999999</v>
      </c>
      <c r="M2850" s="318">
        <v>151.07962000000001</v>
      </c>
      <c r="O2850">
        <f>INDEX('MEC - traffic congestion'!$M$145:$M$249,MATCH($D2850,'MEC - traffic congestion'!$C$145:$C$249,0))</f>
        <v>1</v>
      </c>
      <c r="P2850" t="str">
        <f t="shared" si="128"/>
        <v>2019WEEKENDS</v>
      </c>
      <c r="Q2850">
        <f t="shared" si="129"/>
        <v>1</v>
      </c>
      <c r="R2850" s="195" t="str">
        <f t="shared" si="130"/>
        <v>2019LIGHT VEHICLES</v>
      </c>
    </row>
    <row r="2851" spans="3:18" x14ac:dyDescent="0.25">
      <c r="C2851" s="294" t="s">
        <v>956</v>
      </c>
      <c r="D2851" s="317">
        <v>74229</v>
      </c>
      <c r="E2851" s="122" t="s">
        <v>957</v>
      </c>
      <c r="F2851" s="122" t="s">
        <v>958</v>
      </c>
      <c r="G2851" s="122" t="s">
        <v>778</v>
      </c>
      <c r="H2851" s="122" t="s">
        <v>777</v>
      </c>
      <c r="I2851" s="312">
        <v>2019</v>
      </c>
      <c r="J2851" s="122" t="s">
        <v>713</v>
      </c>
      <c r="K2851" s="283">
        <v>13284</v>
      </c>
      <c r="L2851" s="318">
        <v>-33.760657999999999</v>
      </c>
      <c r="M2851" s="318">
        <v>151.07962000000001</v>
      </c>
      <c r="O2851">
        <f>INDEX('MEC - traffic congestion'!$M$145:$M$249,MATCH($D2851,'MEC - traffic congestion'!$C$145:$C$249,0))</f>
        <v>1</v>
      </c>
      <c r="P2851" t="str">
        <f t="shared" si="128"/>
        <v>2019WEEKENDS</v>
      </c>
      <c r="Q2851">
        <f t="shared" si="129"/>
        <v>1</v>
      </c>
      <c r="R2851" s="195" t="str">
        <f t="shared" si="130"/>
        <v>2019LIGHT VEHICLES</v>
      </c>
    </row>
    <row r="2852" spans="3:18" x14ac:dyDescent="0.25">
      <c r="C2852" s="294" t="s">
        <v>956</v>
      </c>
      <c r="D2852" s="317">
        <v>74229</v>
      </c>
      <c r="E2852" s="122" t="s">
        <v>957</v>
      </c>
      <c r="F2852" s="122" t="s">
        <v>958</v>
      </c>
      <c r="G2852" s="122" t="s">
        <v>776</v>
      </c>
      <c r="H2852" s="122" t="s">
        <v>777</v>
      </c>
      <c r="I2852" s="312">
        <v>2020</v>
      </c>
      <c r="J2852" s="122" t="s">
        <v>709</v>
      </c>
      <c r="K2852" s="283">
        <v>2634</v>
      </c>
      <c r="L2852" s="318">
        <v>-33.760657999999999</v>
      </c>
      <c r="M2852" s="318">
        <v>151.07962000000001</v>
      </c>
      <c r="O2852">
        <f>INDEX('MEC - traffic congestion'!$M$145:$M$249,MATCH($D2852,'MEC - traffic congestion'!$C$145:$C$249,0))</f>
        <v>1</v>
      </c>
      <c r="P2852" t="str">
        <f t="shared" si="128"/>
        <v>2020AM PEAK</v>
      </c>
      <c r="Q2852">
        <f t="shared" si="129"/>
        <v>1</v>
      </c>
      <c r="R2852" s="195" t="str">
        <f t="shared" si="130"/>
        <v>2020LIGHT VEHICLES</v>
      </c>
    </row>
    <row r="2853" spans="3:18" x14ac:dyDescent="0.25">
      <c r="C2853" s="294" t="s">
        <v>956</v>
      </c>
      <c r="D2853" s="317">
        <v>74229</v>
      </c>
      <c r="E2853" s="122" t="s">
        <v>957</v>
      </c>
      <c r="F2853" s="122" t="s">
        <v>958</v>
      </c>
      <c r="G2853" s="122" t="s">
        <v>778</v>
      </c>
      <c r="H2853" s="122" t="s">
        <v>777</v>
      </c>
      <c r="I2853" s="312">
        <v>2020</v>
      </c>
      <c r="J2853" s="122" t="s">
        <v>709</v>
      </c>
      <c r="K2853" s="283">
        <v>4827</v>
      </c>
      <c r="L2853" s="318">
        <v>-33.760657999999999</v>
      </c>
      <c r="M2853" s="318">
        <v>151.07962000000001</v>
      </c>
      <c r="O2853">
        <f>INDEX('MEC - traffic congestion'!$M$145:$M$249,MATCH($D2853,'MEC - traffic congestion'!$C$145:$C$249,0))</f>
        <v>1</v>
      </c>
      <c r="P2853" t="str">
        <f t="shared" si="128"/>
        <v>2020AM PEAK</v>
      </c>
      <c r="Q2853">
        <f t="shared" si="129"/>
        <v>1</v>
      </c>
      <c r="R2853" s="195" t="str">
        <f t="shared" si="130"/>
        <v>2020LIGHT VEHICLES</v>
      </c>
    </row>
    <row r="2854" spans="3:18" x14ac:dyDescent="0.25">
      <c r="C2854" s="294" t="s">
        <v>956</v>
      </c>
      <c r="D2854" s="317">
        <v>74229</v>
      </c>
      <c r="E2854" s="122" t="s">
        <v>957</v>
      </c>
      <c r="F2854" s="122" t="s">
        <v>958</v>
      </c>
      <c r="G2854" s="122" t="s">
        <v>776</v>
      </c>
      <c r="H2854" s="122" t="s">
        <v>777</v>
      </c>
      <c r="I2854" s="312">
        <v>2020</v>
      </c>
      <c r="J2854" s="122" t="s">
        <v>710</v>
      </c>
      <c r="K2854" s="283">
        <v>6418</v>
      </c>
      <c r="L2854" s="318">
        <v>-33.760657999999999</v>
      </c>
      <c r="M2854" s="318">
        <v>151.07962000000001</v>
      </c>
      <c r="O2854">
        <f>INDEX('MEC - traffic congestion'!$M$145:$M$249,MATCH($D2854,'MEC - traffic congestion'!$C$145:$C$249,0))</f>
        <v>1</v>
      </c>
      <c r="P2854" t="str">
        <f t="shared" si="128"/>
        <v>2020OFF PEAK</v>
      </c>
      <c r="Q2854">
        <f t="shared" si="129"/>
        <v>1</v>
      </c>
      <c r="R2854" s="195" t="str">
        <f t="shared" si="130"/>
        <v>2020LIGHT VEHICLES</v>
      </c>
    </row>
    <row r="2855" spans="3:18" x14ac:dyDescent="0.25">
      <c r="C2855" s="294" t="s">
        <v>956</v>
      </c>
      <c r="D2855" s="317">
        <v>74229</v>
      </c>
      <c r="E2855" s="122" t="s">
        <v>957</v>
      </c>
      <c r="F2855" s="122" t="s">
        <v>958</v>
      </c>
      <c r="G2855" s="122" t="s">
        <v>778</v>
      </c>
      <c r="H2855" s="122" t="s">
        <v>777</v>
      </c>
      <c r="I2855" s="312">
        <v>2020</v>
      </c>
      <c r="J2855" s="122" t="s">
        <v>710</v>
      </c>
      <c r="K2855" s="283">
        <v>5826</v>
      </c>
      <c r="L2855" s="318">
        <v>-33.760657999999999</v>
      </c>
      <c r="M2855" s="318">
        <v>151.07962000000001</v>
      </c>
      <c r="O2855">
        <f>INDEX('MEC - traffic congestion'!$M$145:$M$249,MATCH($D2855,'MEC - traffic congestion'!$C$145:$C$249,0))</f>
        <v>1</v>
      </c>
      <c r="P2855" t="str">
        <f t="shared" si="128"/>
        <v>2020OFF PEAK</v>
      </c>
      <c r="Q2855">
        <f t="shared" si="129"/>
        <v>1</v>
      </c>
      <c r="R2855" s="195" t="str">
        <f t="shared" si="130"/>
        <v>2020LIGHT VEHICLES</v>
      </c>
    </row>
    <row r="2856" spans="3:18" x14ac:dyDescent="0.25">
      <c r="C2856" s="294" t="s">
        <v>956</v>
      </c>
      <c r="D2856" s="317">
        <v>74229</v>
      </c>
      <c r="E2856" s="122" t="s">
        <v>957</v>
      </c>
      <c r="F2856" s="122" t="s">
        <v>958</v>
      </c>
      <c r="G2856" s="122" t="s">
        <v>776</v>
      </c>
      <c r="H2856" s="122" t="s">
        <v>777</v>
      </c>
      <c r="I2856" s="312">
        <v>2020</v>
      </c>
      <c r="J2856" s="122" t="s">
        <v>711</v>
      </c>
      <c r="K2856" s="283">
        <v>4831</v>
      </c>
      <c r="L2856" s="318">
        <v>-33.760657999999999</v>
      </c>
      <c r="M2856" s="318">
        <v>151.07962000000001</v>
      </c>
      <c r="O2856">
        <f>INDEX('MEC - traffic congestion'!$M$145:$M$249,MATCH($D2856,'MEC - traffic congestion'!$C$145:$C$249,0))</f>
        <v>1</v>
      </c>
      <c r="P2856" t="str">
        <f t="shared" si="128"/>
        <v>2020PM PEAK</v>
      </c>
      <c r="Q2856">
        <f t="shared" si="129"/>
        <v>1</v>
      </c>
      <c r="R2856" s="195" t="str">
        <f t="shared" si="130"/>
        <v>2020LIGHT VEHICLES</v>
      </c>
    </row>
    <row r="2857" spans="3:18" x14ac:dyDescent="0.25">
      <c r="C2857" s="294" t="s">
        <v>956</v>
      </c>
      <c r="D2857" s="317">
        <v>74229</v>
      </c>
      <c r="E2857" s="122" t="s">
        <v>957</v>
      </c>
      <c r="F2857" s="122" t="s">
        <v>958</v>
      </c>
      <c r="G2857" s="122" t="s">
        <v>778</v>
      </c>
      <c r="H2857" s="122" t="s">
        <v>777</v>
      </c>
      <c r="I2857" s="312">
        <v>2020</v>
      </c>
      <c r="J2857" s="122" t="s">
        <v>711</v>
      </c>
      <c r="K2857" s="283">
        <v>2894</v>
      </c>
      <c r="L2857" s="318">
        <v>-33.760657999999999</v>
      </c>
      <c r="M2857" s="318">
        <v>151.07962000000001</v>
      </c>
      <c r="O2857">
        <f>INDEX('MEC - traffic congestion'!$M$145:$M$249,MATCH($D2857,'MEC - traffic congestion'!$C$145:$C$249,0))</f>
        <v>1</v>
      </c>
      <c r="P2857" t="str">
        <f t="shared" si="128"/>
        <v>2020PM PEAK</v>
      </c>
      <c r="Q2857">
        <f t="shared" si="129"/>
        <v>1</v>
      </c>
      <c r="R2857" s="195" t="str">
        <f t="shared" si="130"/>
        <v>2020LIGHT VEHICLES</v>
      </c>
    </row>
    <row r="2858" spans="3:18" x14ac:dyDescent="0.25">
      <c r="C2858" s="294" t="s">
        <v>956</v>
      </c>
      <c r="D2858" s="317">
        <v>74229</v>
      </c>
      <c r="E2858" s="122" t="s">
        <v>957</v>
      </c>
      <c r="F2858" s="122" t="s">
        <v>958</v>
      </c>
      <c r="G2858" s="122" t="s">
        <v>776</v>
      </c>
      <c r="H2858" s="122" t="s">
        <v>777</v>
      </c>
      <c r="I2858" s="312">
        <v>2020</v>
      </c>
      <c r="J2858" s="122" t="s">
        <v>712</v>
      </c>
      <c r="K2858" s="283">
        <v>8002</v>
      </c>
      <c r="L2858" s="318">
        <v>-33.760657999999999</v>
      </c>
      <c r="M2858" s="318">
        <v>151.07962000000001</v>
      </c>
      <c r="O2858">
        <f>INDEX('MEC - traffic congestion'!$M$145:$M$249,MATCH($D2858,'MEC - traffic congestion'!$C$145:$C$249,0))</f>
        <v>1</v>
      </c>
      <c r="P2858" t="str">
        <f t="shared" si="128"/>
        <v>2020PUBLIC HOLIDAYS</v>
      </c>
      <c r="Q2858">
        <f t="shared" si="129"/>
        <v>1</v>
      </c>
      <c r="R2858" s="195" t="str">
        <f t="shared" si="130"/>
        <v>2020LIGHT VEHICLES</v>
      </c>
    </row>
    <row r="2859" spans="3:18" x14ac:dyDescent="0.25">
      <c r="C2859" s="294" t="s">
        <v>956</v>
      </c>
      <c r="D2859" s="317">
        <v>74229</v>
      </c>
      <c r="E2859" s="122" t="s">
        <v>957</v>
      </c>
      <c r="F2859" s="122" t="s">
        <v>958</v>
      </c>
      <c r="G2859" s="122" t="s">
        <v>778</v>
      </c>
      <c r="H2859" s="122" t="s">
        <v>777</v>
      </c>
      <c r="I2859" s="312">
        <v>2020</v>
      </c>
      <c r="J2859" s="122" t="s">
        <v>712</v>
      </c>
      <c r="K2859" s="283">
        <v>7553</v>
      </c>
      <c r="L2859" s="318">
        <v>-33.760657999999999</v>
      </c>
      <c r="M2859" s="318">
        <v>151.07962000000001</v>
      </c>
      <c r="O2859">
        <f>INDEX('MEC - traffic congestion'!$M$145:$M$249,MATCH($D2859,'MEC - traffic congestion'!$C$145:$C$249,0))</f>
        <v>1</v>
      </c>
      <c r="P2859" t="str">
        <f t="shared" si="128"/>
        <v>2020PUBLIC HOLIDAYS</v>
      </c>
      <c r="Q2859">
        <f t="shared" si="129"/>
        <v>1</v>
      </c>
      <c r="R2859" s="195" t="str">
        <f t="shared" si="130"/>
        <v>2020LIGHT VEHICLES</v>
      </c>
    </row>
    <row r="2860" spans="3:18" x14ac:dyDescent="0.25">
      <c r="C2860" s="294" t="s">
        <v>956</v>
      </c>
      <c r="D2860" s="317">
        <v>74229</v>
      </c>
      <c r="E2860" s="122" t="s">
        <v>957</v>
      </c>
      <c r="F2860" s="122" t="s">
        <v>958</v>
      </c>
      <c r="G2860" s="122" t="s">
        <v>776</v>
      </c>
      <c r="H2860" s="122" t="s">
        <v>777</v>
      </c>
      <c r="I2860" s="312">
        <v>2020</v>
      </c>
      <c r="J2860" s="122" t="s">
        <v>713</v>
      </c>
      <c r="K2860" s="283">
        <v>11720</v>
      </c>
      <c r="L2860" s="318">
        <v>-33.760657999999999</v>
      </c>
      <c r="M2860" s="318">
        <v>151.07962000000001</v>
      </c>
      <c r="O2860">
        <f>INDEX('MEC - traffic congestion'!$M$145:$M$249,MATCH($D2860,'MEC - traffic congestion'!$C$145:$C$249,0))</f>
        <v>1</v>
      </c>
      <c r="P2860" t="str">
        <f t="shared" si="128"/>
        <v>2020WEEKENDS</v>
      </c>
      <c r="Q2860">
        <f t="shared" si="129"/>
        <v>1</v>
      </c>
      <c r="R2860" s="195" t="str">
        <f t="shared" si="130"/>
        <v>2020LIGHT VEHICLES</v>
      </c>
    </row>
    <row r="2861" spans="3:18" x14ac:dyDescent="0.25">
      <c r="C2861" s="294" t="s">
        <v>956</v>
      </c>
      <c r="D2861" s="317">
        <v>74229</v>
      </c>
      <c r="E2861" s="122" t="s">
        <v>957</v>
      </c>
      <c r="F2861" s="122" t="s">
        <v>958</v>
      </c>
      <c r="G2861" s="122" t="s">
        <v>778</v>
      </c>
      <c r="H2861" s="122" t="s">
        <v>777</v>
      </c>
      <c r="I2861" s="312">
        <v>2020</v>
      </c>
      <c r="J2861" s="122" t="s">
        <v>713</v>
      </c>
      <c r="K2861" s="283">
        <v>11329</v>
      </c>
      <c r="L2861" s="318">
        <v>-33.760657999999999</v>
      </c>
      <c r="M2861" s="318">
        <v>151.07962000000001</v>
      </c>
      <c r="O2861">
        <f>INDEX('MEC - traffic congestion'!$M$145:$M$249,MATCH($D2861,'MEC - traffic congestion'!$C$145:$C$249,0))</f>
        <v>1</v>
      </c>
      <c r="P2861" t="str">
        <f t="shared" si="128"/>
        <v>2020WEEKENDS</v>
      </c>
      <c r="Q2861">
        <f t="shared" si="129"/>
        <v>1</v>
      </c>
      <c r="R2861" s="195" t="str">
        <f t="shared" si="130"/>
        <v>2020LIGHT VEHICLES</v>
      </c>
    </row>
    <row r="2862" spans="3:18" x14ac:dyDescent="0.25">
      <c r="C2862" s="294" t="s">
        <v>956</v>
      </c>
      <c r="D2862" s="317">
        <v>74229</v>
      </c>
      <c r="E2862" s="122" t="s">
        <v>957</v>
      </c>
      <c r="F2862" s="122" t="s">
        <v>958</v>
      </c>
      <c r="G2862" s="122" t="s">
        <v>776</v>
      </c>
      <c r="H2862" s="122" t="s">
        <v>777</v>
      </c>
      <c r="I2862" s="312">
        <v>2021</v>
      </c>
      <c r="J2862" s="122" t="s">
        <v>709</v>
      </c>
      <c r="K2862" s="283">
        <v>2454</v>
      </c>
      <c r="L2862" s="318">
        <v>-33.760657999999999</v>
      </c>
      <c r="M2862" s="318">
        <v>151.07962000000001</v>
      </c>
      <c r="O2862">
        <f>INDEX('MEC - traffic congestion'!$M$145:$M$249,MATCH($D2862,'MEC - traffic congestion'!$C$145:$C$249,0))</f>
        <v>1</v>
      </c>
      <c r="P2862" t="str">
        <f t="shared" si="128"/>
        <v>2021AM PEAK</v>
      </c>
      <c r="Q2862">
        <f t="shared" si="129"/>
        <v>1</v>
      </c>
      <c r="R2862" s="195" t="str">
        <f t="shared" si="130"/>
        <v>2021LIGHT VEHICLES</v>
      </c>
    </row>
    <row r="2863" spans="3:18" x14ac:dyDescent="0.25">
      <c r="C2863" s="294" t="s">
        <v>956</v>
      </c>
      <c r="D2863" s="317">
        <v>74229</v>
      </c>
      <c r="E2863" s="122" t="s">
        <v>957</v>
      </c>
      <c r="F2863" s="122" t="s">
        <v>958</v>
      </c>
      <c r="G2863" s="122" t="s">
        <v>778</v>
      </c>
      <c r="H2863" s="122" t="s">
        <v>777</v>
      </c>
      <c r="I2863" s="312">
        <v>2021</v>
      </c>
      <c r="J2863" s="122" t="s">
        <v>709</v>
      </c>
      <c r="K2863" s="283">
        <v>4165</v>
      </c>
      <c r="L2863" s="318">
        <v>-33.760657999999999</v>
      </c>
      <c r="M2863" s="318">
        <v>151.07962000000001</v>
      </c>
      <c r="O2863">
        <f>INDEX('MEC - traffic congestion'!$M$145:$M$249,MATCH($D2863,'MEC - traffic congestion'!$C$145:$C$249,0))</f>
        <v>1</v>
      </c>
      <c r="P2863" t="str">
        <f t="shared" si="128"/>
        <v>2021AM PEAK</v>
      </c>
      <c r="Q2863">
        <f t="shared" si="129"/>
        <v>1</v>
      </c>
      <c r="R2863" s="195" t="str">
        <f t="shared" si="130"/>
        <v>2021LIGHT VEHICLES</v>
      </c>
    </row>
    <row r="2864" spans="3:18" x14ac:dyDescent="0.25">
      <c r="C2864" s="294" t="s">
        <v>956</v>
      </c>
      <c r="D2864" s="317">
        <v>74229</v>
      </c>
      <c r="E2864" s="122" t="s">
        <v>957</v>
      </c>
      <c r="F2864" s="122" t="s">
        <v>958</v>
      </c>
      <c r="G2864" s="122" t="s">
        <v>776</v>
      </c>
      <c r="H2864" s="122" t="s">
        <v>777</v>
      </c>
      <c r="I2864" s="312">
        <v>2021</v>
      </c>
      <c r="J2864" s="122" t="s">
        <v>710</v>
      </c>
      <c r="K2864" s="283">
        <v>5939</v>
      </c>
      <c r="L2864" s="318">
        <v>-33.760657999999999</v>
      </c>
      <c r="M2864" s="318">
        <v>151.07962000000001</v>
      </c>
      <c r="O2864">
        <f>INDEX('MEC - traffic congestion'!$M$145:$M$249,MATCH($D2864,'MEC - traffic congestion'!$C$145:$C$249,0))</f>
        <v>1</v>
      </c>
      <c r="P2864" t="str">
        <f t="shared" si="128"/>
        <v>2021OFF PEAK</v>
      </c>
      <c r="Q2864">
        <f t="shared" si="129"/>
        <v>1</v>
      </c>
      <c r="R2864" s="195" t="str">
        <f t="shared" si="130"/>
        <v>2021LIGHT VEHICLES</v>
      </c>
    </row>
    <row r="2865" spans="3:18" x14ac:dyDescent="0.25">
      <c r="C2865" s="294" t="s">
        <v>956</v>
      </c>
      <c r="D2865" s="317">
        <v>74229</v>
      </c>
      <c r="E2865" s="122" t="s">
        <v>957</v>
      </c>
      <c r="F2865" s="122" t="s">
        <v>958</v>
      </c>
      <c r="G2865" s="122" t="s">
        <v>778</v>
      </c>
      <c r="H2865" s="122" t="s">
        <v>777</v>
      </c>
      <c r="I2865" s="312">
        <v>2021</v>
      </c>
      <c r="J2865" s="122" t="s">
        <v>710</v>
      </c>
      <c r="K2865" s="283">
        <v>5404</v>
      </c>
      <c r="L2865" s="318">
        <v>-33.760657999999999</v>
      </c>
      <c r="M2865" s="318">
        <v>151.07962000000001</v>
      </c>
      <c r="O2865">
        <f>INDEX('MEC - traffic congestion'!$M$145:$M$249,MATCH($D2865,'MEC - traffic congestion'!$C$145:$C$249,0))</f>
        <v>1</v>
      </c>
      <c r="P2865" t="str">
        <f t="shared" si="128"/>
        <v>2021OFF PEAK</v>
      </c>
      <c r="Q2865">
        <f t="shared" si="129"/>
        <v>1</v>
      </c>
      <c r="R2865" s="195" t="str">
        <f t="shared" si="130"/>
        <v>2021LIGHT VEHICLES</v>
      </c>
    </row>
    <row r="2866" spans="3:18" x14ac:dyDescent="0.25">
      <c r="C2866" s="294" t="s">
        <v>956</v>
      </c>
      <c r="D2866" s="317">
        <v>74229</v>
      </c>
      <c r="E2866" s="122" t="s">
        <v>957</v>
      </c>
      <c r="F2866" s="122" t="s">
        <v>958</v>
      </c>
      <c r="G2866" s="122" t="s">
        <v>776</v>
      </c>
      <c r="H2866" s="122" t="s">
        <v>777</v>
      </c>
      <c r="I2866" s="312">
        <v>2021</v>
      </c>
      <c r="J2866" s="122" t="s">
        <v>711</v>
      </c>
      <c r="K2866" s="283">
        <v>4229</v>
      </c>
      <c r="L2866" s="318">
        <v>-33.760657999999999</v>
      </c>
      <c r="M2866" s="318">
        <v>151.07962000000001</v>
      </c>
      <c r="O2866">
        <f>INDEX('MEC - traffic congestion'!$M$145:$M$249,MATCH($D2866,'MEC - traffic congestion'!$C$145:$C$249,0))</f>
        <v>1</v>
      </c>
      <c r="P2866" t="str">
        <f t="shared" si="128"/>
        <v>2021PM PEAK</v>
      </c>
      <c r="Q2866">
        <f t="shared" si="129"/>
        <v>1</v>
      </c>
      <c r="R2866" s="195" t="str">
        <f t="shared" si="130"/>
        <v>2021LIGHT VEHICLES</v>
      </c>
    </row>
    <row r="2867" spans="3:18" x14ac:dyDescent="0.25">
      <c r="C2867" s="294" t="s">
        <v>956</v>
      </c>
      <c r="D2867" s="317">
        <v>74229</v>
      </c>
      <c r="E2867" s="122" t="s">
        <v>957</v>
      </c>
      <c r="F2867" s="122" t="s">
        <v>958</v>
      </c>
      <c r="G2867" s="122" t="s">
        <v>778</v>
      </c>
      <c r="H2867" s="122" t="s">
        <v>777</v>
      </c>
      <c r="I2867" s="312">
        <v>2021</v>
      </c>
      <c r="J2867" s="122" t="s">
        <v>711</v>
      </c>
      <c r="K2867" s="283">
        <v>2757</v>
      </c>
      <c r="L2867" s="318">
        <v>-33.760657999999999</v>
      </c>
      <c r="M2867" s="318">
        <v>151.07962000000001</v>
      </c>
      <c r="O2867">
        <f>INDEX('MEC - traffic congestion'!$M$145:$M$249,MATCH($D2867,'MEC - traffic congestion'!$C$145:$C$249,0))</f>
        <v>1</v>
      </c>
      <c r="P2867" t="str">
        <f t="shared" si="128"/>
        <v>2021PM PEAK</v>
      </c>
      <c r="Q2867">
        <f t="shared" si="129"/>
        <v>1</v>
      </c>
      <c r="R2867" s="195" t="str">
        <f t="shared" si="130"/>
        <v>2021LIGHT VEHICLES</v>
      </c>
    </row>
    <row r="2868" spans="3:18" x14ac:dyDescent="0.25">
      <c r="C2868" s="294" t="s">
        <v>956</v>
      </c>
      <c r="D2868" s="317">
        <v>74229</v>
      </c>
      <c r="E2868" s="122" t="s">
        <v>957</v>
      </c>
      <c r="F2868" s="122" t="s">
        <v>958</v>
      </c>
      <c r="G2868" s="122" t="s">
        <v>776</v>
      </c>
      <c r="H2868" s="122" t="s">
        <v>777</v>
      </c>
      <c r="I2868" s="312">
        <v>2021</v>
      </c>
      <c r="J2868" s="122" t="s">
        <v>713</v>
      </c>
      <c r="K2868" s="283">
        <v>10821</v>
      </c>
      <c r="L2868" s="318">
        <v>-33.760657999999999</v>
      </c>
      <c r="M2868" s="318">
        <v>151.07962000000001</v>
      </c>
      <c r="O2868">
        <f>INDEX('MEC - traffic congestion'!$M$145:$M$249,MATCH($D2868,'MEC - traffic congestion'!$C$145:$C$249,0))</f>
        <v>1</v>
      </c>
      <c r="P2868" t="str">
        <f t="shared" si="128"/>
        <v>2021WEEKENDS</v>
      </c>
      <c r="Q2868">
        <f t="shared" si="129"/>
        <v>1</v>
      </c>
      <c r="R2868" s="195" t="str">
        <f t="shared" si="130"/>
        <v>2021LIGHT VEHICLES</v>
      </c>
    </row>
    <row r="2869" spans="3:18" x14ac:dyDescent="0.25">
      <c r="C2869" s="294" t="s">
        <v>956</v>
      </c>
      <c r="D2869" s="317">
        <v>74229</v>
      </c>
      <c r="E2869" s="122" t="s">
        <v>957</v>
      </c>
      <c r="F2869" s="122" t="s">
        <v>958</v>
      </c>
      <c r="G2869" s="122" t="s">
        <v>778</v>
      </c>
      <c r="H2869" s="122" t="s">
        <v>777</v>
      </c>
      <c r="I2869" s="312">
        <v>2021</v>
      </c>
      <c r="J2869" s="122" t="s">
        <v>713</v>
      </c>
      <c r="K2869" s="283">
        <v>10581</v>
      </c>
      <c r="L2869" s="318">
        <v>-33.760657999999999</v>
      </c>
      <c r="M2869" s="318">
        <v>151.07962000000001</v>
      </c>
      <c r="O2869">
        <f>INDEX('MEC - traffic congestion'!$M$145:$M$249,MATCH($D2869,'MEC - traffic congestion'!$C$145:$C$249,0))</f>
        <v>1</v>
      </c>
      <c r="P2869" t="str">
        <f t="shared" si="128"/>
        <v>2021WEEKENDS</v>
      </c>
      <c r="Q2869">
        <f t="shared" si="129"/>
        <v>1</v>
      </c>
      <c r="R2869" s="195" t="str">
        <f t="shared" si="130"/>
        <v>2021LIGHT VEHICLES</v>
      </c>
    </row>
    <row r="2870" spans="3:18" x14ac:dyDescent="0.25">
      <c r="C2870" s="294" t="s">
        <v>956</v>
      </c>
      <c r="D2870" s="317">
        <v>74229</v>
      </c>
      <c r="E2870" s="122" t="s">
        <v>957</v>
      </c>
      <c r="F2870" s="122" t="s">
        <v>958</v>
      </c>
      <c r="G2870" s="122" t="s">
        <v>776</v>
      </c>
      <c r="H2870" s="122" t="s">
        <v>777</v>
      </c>
      <c r="I2870" s="312">
        <v>2022</v>
      </c>
      <c r="J2870" s="122" t="s">
        <v>709</v>
      </c>
      <c r="K2870" s="283">
        <v>2750</v>
      </c>
      <c r="L2870" s="318">
        <v>-33.760657999999999</v>
      </c>
      <c r="M2870" s="318">
        <v>151.07962000000001</v>
      </c>
      <c r="O2870">
        <f>INDEX('MEC - traffic congestion'!$M$145:$M$249,MATCH($D2870,'MEC - traffic congestion'!$C$145:$C$249,0))</f>
        <v>1</v>
      </c>
      <c r="P2870" t="str">
        <f t="shared" si="128"/>
        <v>2022AM PEAK</v>
      </c>
      <c r="Q2870">
        <f t="shared" si="129"/>
        <v>1</v>
      </c>
      <c r="R2870" s="195" t="str">
        <f t="shared" si="130"/>
        <v>2022LIGHT VEHICLES</v>
      </c>
    </row>
    <row r="2871" spans="3:18" x14ac:dyDescent="0.25">
      <c r="C2871" s="294" t="s">
        <v>956</v>
      </c>
      <c r="D2871" s="317">
        <v>74229</v>
      </c>
      <c r="E2871" s="122" t="s">
        <v>957</v>
      </c>
      <c r="F2871" s="122" t="s">
        <v>958</v>
      </c>
      <c r="G2871" s="122" t="s">
        <v>778</v>
      </c>
      <c r="H2871" s="122" t="s">
        <v>777</v>
      </c>
      <c r="I2871" s="312">
        <v>2022</v>
      </c>
      <c r="J2871" s="122" t="s">
        <v>709</v>
      </c>
      <c r="K2871" s="283">
        <v>4629</v>
      </c>
      <c r="L2871" s="318">
        <v>-33.760657999999999</v>
      </c>
      <c r="M2871" s="318">
        <v>151.07962000000001</v>
      </c>
      <c r="O2871">
        <f>INDEX('MEC - traffic congestion'!$M$145:$M$249,MATCH($D2871,'MEC - traffic congestion'!$C$145:$C$249,0))</f>
        <v>1</v>
      </c>
      <c r="P2871" t="str">
        <f t="shared" si="128"/>
        <v>2022AM PEAK</v>
      </c>
      <c r="Q2871">
        <f t="shared" si="129"/>
        <v>1</v>
      </c>
      <c r="R2871" s="195" t="str">
        <f t="shared" si="130"/>
        <v>2022LIGHT VEHICLES</v>
      </c>
    </row>
    <row r="2872" spans="3:18" x14ac:dyDescent="0.25">
      <c r="C2872" s="294" t="s">
        <v>956</v>
      </c>
      <c r="D2872" s="317">
        <v>74229</v>
      </c>
      <c r="E2872" s="122" t="s">
        <v>957</v>
      </c>
      <c r="F2872" s="122" t="s">
        <v>958</v>
      </c>
      <c r="G2872" s="122" t="s">
        <v>776</v>
      </c>
      <c r="H2872" s="122" t="s">
        <v>777</v>
      </c>
      <c r="I2872" s="312">
        <v>2022</v>
      </c>
      <c r="J2872" s="122" t="s">
        <v>710</v>
      </c>
      <c r="K2872" s="283">
        <v>6523</v>
      </c>
      <c r="L2872" s="318">
        <v>-33.760657999999999</v>
      </c>
      <c r="M2872" s="318">
        <v>151.07962000000001</v>
      </c>
      <c r="O2872">
        <f>INDEX('MEC - traffic congestion'!$M$145:$M$249,MATCH($D2872,'MEC - traffic congestion'!$C$145:$C$249,0))</f>
        <v>1</v>
      </c>
      <c r="P2872" t="str">
        <f t="shared" si="128"/>
        <v>2022OFF PEAK</v>
      </c>
      <c r="Q2872">
        <f t="shared" si="129"/>
        <v>1</v>
      </c>
      <c r="R2872" s="195" t="str">
        <f t="shared" si="130"/>
        <v>2022LIGHT VEHICLES</v>
      </c>
    </row>
    <row r="2873" spans="3:18" x14ac:dyDescent="0.25">
      <c r="C2873" s="294" t="s">
        <v>956</v>
      </c>
      <c r="D2873" s="317">
        <v>74229</v>
      </c>
      <c r="E2873" s="122" t="s">
        <v>957</v>
      </c>
      <c r="F2873" s="122" t="s">
        <v>958</v>
      </c>
      <c r="G2873" s="122" t="s">
        <v>778</v>
      </c>
      <c r="H2873" s="122" t="s">
        <v>777</v>
      </c>
      <c r="I2873" s="312">
        <v>2022</v>
      </c>
      <c r="J2873" s="122" t="s">
        <v>710</v>
      </c>
      <c r="K2873" s="283">
        <v>5854</v>
      </c>
      <c r="L2873" s="318">
        <v>-33.760657999999999</v>
      </c>
      <c r="M2873" s="318">
        <v>151.07962000000001</v>
      </c>
      <c r="O2873">
        <f>INDEX('MEC - traffic congestion'!$M$145:$M$249,MATCH($D2873,'MEC - traffic congestion'!$C$145:$C$249,0))</f>
        <v>1</v>
      </c>
      <c r="P2873" t="str">
        <f t="shared" si="128"/>
        <v>2022OFF PEAK</v>
      </c>
      <c r="Q2873">
        <f t="shared" si="129"/>
        <v>1</v>
      </c>
      <c r="R2873" s="195" t="str">
        <f t="shared" si="130"/>
        <v>2022LIGHT VEHICLES</v>
      </c>
    </row>
    <row r="2874" spans="3:18" x14ac:dyDescent="0.25">
      <c r="C2874" s="294" t="s">
        <v>956</v>
      </c>
      <c r="D2874" s="317">
        <v>74229</v>
      </c>
      <c r="E2874" s="122" t="s">
        <v>957</v>
      </c>
      <c r="F2874" s="122" t="s">
        <v>958</v>
      </c>
      <c r="G2874" s="122" t="s">
        <v>776</v>
      </c>
      <c r="H2874" s="122" t="s">
        <v>777</v>
      </c>
      <c r="I2874" s="312">
        <v>2022</v>
      </c>
      <c r="J2874" s="122" t="s">
        <v>711</v>
      </c>
      <c r="K2874" s="283">
        <v>4705</v>
      </c>
      <c r="L2874" s="318">
        <v>-33.760657999999999</v>
      </c>
      <c r="M2874" s="318">
        <v>151.07962000000001</v>
      </c>
      <c r="O2874">
        <f>INDEX('MEC - traffic congestion'!$M$145:$M$249,MATCH($D2874,'MEC - traffic congestion'!$C$145:$C$249,0))</f>
        <v>1</v>
      </c>
      <c r="P2874" t="str">
        <f t="shared" si="128"/>
        <v>2022PM PEAK</v>
      </c>
      <c r="Q2874">
        <f t="shared" si="129"/>
        <v>1</v>
      </c>
      <c r="R2874" s="195" t="str">
        <f t="shared" si="130"/>
        <v>2022LIGHT VEHICLES</v>
      </c>
    </row>
    <row r="2875" spans="3:18" x14ac:dyDescent="0.25">
      <c r="C2875" s="294" t="s">
        <v>956</v>
      </c>
      <c r="D2875" s="317">
        <v>74229</v>
      </c>
      <c r="E2875" s="122" t="s">
        <v>957</v>
      </c>
      <c r="F2875" s="122" t="s">
        <v>958</v>
      </c>
      <c r="G2875" s="122" t="s">
        <v>778</v>
      </c>
      <c r="H2875" s="122" t="s">
        <v>777</v>
      </c>
      <c r="I2875" s="312">
        <v>2022</v>
      </c>
      <c r="J2875" s="122" t="s">
        <v>711</v>
      </c>
      <c r="K2875" s="283">
        <v>3189</v>
      </c>
      <c r="L2875" s="318">
        <v>-33.760657999999999</v>
      </c>
      <c r="M2875" s="318">
        <v>151.07962000000001</v>
      </c>
      <c r="O2875">
        <f>INDEX('MEC - traffic congestion'!$M$145:$M$249,MATCH($D2875,'MEC - traffic congestion'!$C$145:$C$249,0))</f>
        <v>1</v>
      </c>
      <c r="P2875" t="str">
        <f t="shared" si="128"/>
        <v>2022PM PEAK</v>
      </c>
      <c r="Q2875">
        <f t="shared" si="129"/>
        <v>1</v>
      </c>
      <c r="R2875" s="195" t="str">
        <f t="shared" si="130"/>
        <v>2022LIGHT VEHICLES</v>
      </c>
    </row>
    <row r="2876" spans="3:18" x14ac:dyDescent="0.25">
      <c r="C2876" s="294" t="s">
        <v>956</v>
      </c>
      <c r="D2876" s="317">
        <v>74229</v>
      </c>
      <c r="E2876" s="122" t="s">
        <v>957</v>
      </c>
      <c r="F2876" s="122" t="s">
        <v>958</v>
      </c>
      <c r="G2876" s="122" t="s">
        <v>776</v>
      </c>
      <c r="H2876" s="122" t="s">
        <v>777</v>
      </c>
      <c r="I2876" s="312">
        <v>2022</v>
      </c>
      <c r="J2876" s="122" t="s">
        <v>713</v>
      </c>
      <c r="K2876" s="283">
        <v>12842</v>
      </c>
      <c r="L2876" s="318">
        <v>-33.760657999999999</v>
      </c>
      <c r="M2876" s="318">
        <v>151.07962000000001</v>
      </c>
      <c r="O2876">
        <f>INDEX('MEC - traffic congestion'!$M$145:$M$249,MATCH($D2876,'MEC - traffic congestion'!$C$145:$C$249,0))</f>
        <v>1</v>
      </c>
      <c r="P2876" t="str">
        <f t="shared" si="128"/>
        <v>2022WEEKENDS</v>
      </c>
      <c r="Q2876">
        <f t="shared" si="129"/>
        <v>1</v>
      </c>
      <c r="R2876" s="195" t="str">
        <f t="shared" si="130"/>
        <v>2022LIGHT VEHICLES</v>
      </c>
    </row>
    <row r="2877" spans="3:18" x14ac:dyDescent="0.25">
      <c r="C2877" s="294" t="s">
        <v>956</v>
      </c>
      <c r="D2877" s="317">
        <v>74229</v>
      </c>
      <c r="E2877" s="122" t="s">
        <v>957</v>
      </c>
      <c r="F2877" s="122" t="s">
        <v>958</v>
      </c>
      <c r="G2877" s="122" t="s">
        <v>778</v>
      </c>
      <c r="H2877" s="122" t="s">
        <v>777</v>
      </c>
      <c r="I2877" s="312">
        <v>2022</v>
      </c>
      <c r="J2877" s="122" t="s">
        <v>713</v>
      </c>
      <c r="K2877" s="283">
        <v>12417</v>
      </c>
      <c r="L2877" s="318">
        <v>-33.760657999999999</v>
      </c>
      <c r="M2877" s="318">
        <v>151.07962000000001</v>
      </c>
      <c r="O2877">
        <f>INDEX('MEC - traffic congestion'!$M$145:$M$249,MATCH($D2877,'MEC - traffic congestion'!$C$145:$C$249,0))</f>
        <v>1</v>
      </c>
      <c r="P2877" t="str">
        <f t="shared" si="128"/>
        <v>2022WEEKENDS</v>
      </c>
      <c r="Q2877">
        <f t="shared" si="129"/>
        <v>1</v>
      </c>
      <c r="R2877" s="195" t="str">
        <f t="shared" si="130"/>
        <v>2022LIGHT VEHICLES</v>
      </c>
    </row>
    <row r="2878" spans="3:18" x14ac:dyDescent="0.25">
      <c r="C2878" s="294" t="s">
        <v>956</v>
      </c>
      <c r="D2878" s="317">
        <v>74229</v>
      </c>
      <c r="E2878" s="122" t="s">
        <v>957</v>
      </c>
      <c r="F2878" s="122" t="s">
        <v>958</v>
      </c>
      <c r="G2878" s="122" t="s">
        <v>776</v>
      </c>
      <c r="H2878" s="122" t="s">
        <v>777</v>
      </c>
      <c r="I2878" s="312">
        <v>2023</v>
      </c>
      <c r="J2878" s="122" t="s">
        <v>709</v>
      </c>
      <c r="K2878" s="283">
        <v>2673</v>
      </c>
      <c r="L2878" s="318">
        <v>-33.760657999999999</v>
      </c>
      <c r="M2878" s="318">
        <v>151.07962000000001</v>
      </c>
      <c r="O2878">
        <f>INDEX('MEC - traffic congestion'!$M$145:$M$249,MATCH($D2878,'MEC - traffic congestion'!$C$145:$C$249,0))</f>
        <v>1</v>
      </c>
      <c r="P2878" t="str">
        <f t="shared" si="128"/>
        <v>2023AM PEAK</v>
      </c>
      <c r="Q2878">
        <f t="shared" si="129"/>
        <v>1</v>
      </c>
      <c r="R2878" s="195" t="str">
        <f t="shared" si="130"/>
        <v>2023LIGHT VEHICLES</v>
      </c>
    </row>
    <row r="2879" spans="3:18" x14ac:dyDescent="0.25">
      <c r="C2879" s="294" t="s">
        <v>956</v>
      </c>
      <c r="D2879" s="317">
        <v>74229</v>
      </c>
      <c r="E2879" s="122" t="s">
        <v>957</v>
      </c>
      <c r="F2879" s="122" t="s">
        <v>958</v>
      </c>
      <c r="G2879" s="122" t="s">
        <v>778</v>
      </c>
      <c r="H2879" s="122" t="s">
        <v>777</v>
      </c>
      <c r="I2879" s="312">
        <v>2023</v>
      </c>
      <c r="J2879" s="122" t="s">
        <v>709</v>
      </c>
      <c r="K2879" s="283">
        <v>4689</v>
      </c>
      <c r="L2879" s="318">
        <v>-33.760657999999999</v>
      </c>
      <c r="M2879" s="318">
        <v>151.07962000000001</v>
      </c>
      <c r="O2879">
        <f>INDEX('MEC - traffic congestion'!$M$145:$M$249,MATCH($D2879,'MEC - traffic congestion'!$C$145:$C$249,0))</f>
        <v>1</v>
      </c>
      <c r="P2879" t="str">
        <f t="shared" si="128"/>
        <v>2023AM PEAK</v>
      </c>
      <c r="Q2879">
        <f t="shared" si="129"/>
        <v>1</v>
      </c>
      <c r="R2879" s="195" t="str">
        <f t="shared" si="130"/>
        <v>2023LIGHT VEHICLES</v>
      </c>
    </row>
    <row r="2880" spans="3:18" x14ac:dyDescent="0.25">
      <c r="C2880" s="294" t="s">
        <v>956</v>
      </c>
      <c r="D2880" s="317">
        <v>74229</v>
      </c>
      <c r="E2880" s="122" t="s">
        <v>957</v>
      </c>
      <c r="F2880" s="122" t="s">
        <v>958</v>
      </c>
      <c r="G2880" s="122" t="s">
        <v>776</v>
      </c>
      <c r="H2880" s="122" t="s">
        <v>777</v>
      </c>
      <c r="I2880" s="312">
        <v>2023</v>
      </c>
      <c r="J2880" s="122" t="s">
        <v>710</v>
      </c>
      <c r="K2880" s="283">
        <v>6592</v>
      </c>
      <c r="L2880" s="318">
        <v>-33.760657999999999</v>
      </c>
      <c r="M2880" s="318">
        <v>151.07962000000001</v>
      </c>
      <c r="O2880">
        <f>INDEX('MEC - traffic congestion'!$M$145:$M$249,MATCH($D2880,'MEC - traffic congestion'!$C$145:$C$249,0))</f>
        <v>1</v>
      </c>
      <c r="P2880" t="str">
        <f t="shared" si="128"/>
        <v>2023OFF PEAK</v>
      </c>
      <c r="Q2880">
        <f t="shared" si="129"/>
        <v>1</v>
      </c>
      <c r="R2880" s="195" t="str">
        <f t="shared" si="130"/>
        <v>2023LIGHT VEHICLES</v>
      </c>
    </row>
    <row r="2881" spans="3:18" x14ac:dyDescent="0.25">
      <c r="C2881" s="294" t="s">
        <v>956</v>
      </c>
      <c r="D2881" s="317">
        <v>74229</v>
      </c>
      <c r="E2881" s="122" t="s">
        <v>957</v>
      </c>
      <c r="F2881" s="122" t="s">
        <v>958</v>
      </c>
      <c r="G2881" s="122" t="s">
        <v>778</v>
      </c>
      <c r="H2881" s="122" t="s">
        <v>777</v>
      </c>
      <c r="I2881" s="312">
        <v>2023</v>
      </c>
      <c r="J2881" s="122" t="s">
        <v>710</v>
      </c>
      <c r="K2881" s="283">
        <v>5973</v>
      </c>
      <c r="L2881" s="318">
        <v>-33.760657999999999</v>
      </c>
      <c r="M2881" s="318">
        <v>151.07962000000001</v>
      </c>
      <c r="O2881">
        <f>INDEX('MEC - traffic congestion'!$M$145:$M$249,MATCH($D2881,'MEC - traffic congestion'!$C$145:$C$249,0))</f>
        <v>1</v>
      </c>
      <c r="P2881" t="str">
        <f t="shared" si="128"/>
        <v>2023OFF PEAK</v>
      </c>
      <c r="Q2881">
        <f t="shared" si="129"/>
        <v>1</v>
      </c>
      <c r="R2881" s="195" t="str">
        <f t="shared" si="130"/>
        <v>2023LIGHT VEHICLES</v>
      </c>
    </row>
    <row r="2882" spans="3:18" x14ac:dyDescent="0.25">
      <c r="C2882" s="294" t="s">
        <v>956</v>
      </c>
      <c r="D2882" s="317">
        <v>74229</v>
      </c>
      <c r="E2882" s="122" t="s">
        <v>957</v>
      </c>
      <c r="F2882" s="122" t="s">
        <v>958</v>
      </c>
      <c r="G2882" s="122" t="s">
        <v>776</v>
      </c>
      <c r="H2882" s="122" t="s">
        <v>777</v>
      </c>
      <c r="I2882" s="312">
        <v>2023</v>
      </c>
      <c r="J2882" s="122" t="s">
        <v>711</v>
      </c>
      <c r="K2882" s="283">
        <v>4752</v>
      </c>
      <c r="L2882" s="318">
        <v>-33.760657999999999</v>
      </c>
      <c r="M2882" s="318">
        <v>151.07962000000001</v>
      </c>
      <c r="O2882">
        <f>INDEX('MEC - traffic congestion'!$M$145:$M$249,MATCH($D2882,'MEC - traffic congestion'!$C$145:$C$249,0))</f>
        <v>1</v>
      </c>
      <c r="P2882" t="str">
        <f t="shared" si="128"/>
        <v>2023PM PEAK</v>
      </c>
      <c r="Q2882">
        <f t="shared" si="129"/>
        <v>1</v>
      </c>
      <c r="R2882" s="195" t="str">
        <f t="shared" si="130"/>
        <v>2023LIGHT VEHICLES</v>
      </c>
    </row>
    <row r="2883" spans="3:18" x14ac:dyDescent="0.25">
      <c r="C2883" s="294" t="s">
        <v>956</v>
      </c>
      <c r="D2883" s="317">
        <v>74229</v>
      </c>
      <c r="E2883" s="122" t="s">
        <v>957</v>
      </c>
      <c r="F2883" s="122" t="s">
        <v>958</v>
      </c>
      <c r="G2883" s="122" t="s">
        <v>778</v>
      </c>
      <c r="H2883" s="122" t="s">
        <v>777</v>
      </c>
      <c r="I2883" s="312">
        <v>2023</v>
      </c>
      <c r="J2883" s="122" t="s">
        <v>711</v>
      </c>
      <c r="K2883" s="283">
        <v>3128</v>
      </c>
      <c r="L2883" s="318">
        <v>-33.760657999999999</v>
      </c>
      <c r="M2883" s="318">
        <v>151.07962000000001</v>
      </c>
      <c r="O2883">
        <f>INDEX('MEC - traffic congestion'!$M$145:$M$249,MATCH($D2883,'MEC - traffic congestion'!$C$145:$C$249,0))</f>
        <v>1</v>
      </c>
      <c r="P2883" t="str">
        <f t="shared" si="128"/>
        <v>2023PM PEAK</v>
      </c>
      <c r="Q2883">
        <f t="shared" si="129"/>
        <v>1</v>
      </c>
      <c r="R2883" s="195" t="str">
        <f t="shared" si="130"/>
        <v>2023LIGHT VEHICLES</v>
      </c>
    </row>
    <row r="2884" spans="3:18" x14ac:dyDescent="0.25">
      <c r="C2884" s="294" t="s">
        <v>956</v>
      </c>
      <c r="D2884" s="317">
        <v>74229</v>
      </c>
      <c r="E2884" s="122" t="s">
        <v>957</v>
      </c>
      <c r="F2884" s="122" t="s">
        <v>958</v>
      </c>
      <c r="G2884" s="122" t="s">
        <v>776</v>
      </c>
      <c r="H2884" s="122" t="s">
        <v>777</v>
      </c>
      <c r="I2884" s="312">
        <v>2023</v>
      </c>
      <c r="J2884" s="122" t="s">
        <v>713</v>
      </c>
      <c r="K2884" s="283">
        <v>13173</v>
      </c>
      <c r="L2884" s="318">
        <v>-33.760657999999999</v>
      </c>
      <c r="M2884" s="318">
        <v>151.07962000000001</v>
      </c>
      <c r="O2884">
        <f>INDEX('MEC - traffic congestion'!$M$145:$M$249,MATCH($D2884,'MEC - traffic congestion'!$C$145:$C$249,0))</f>
        <v>1</v>
      </c>
      <c r="P2884" t="str">
        <f t="shared" si="128"/>
        <v>2023WEEKENDS</v>
      </c>
      <c r="Q2884">
        <f t="shared" si="129"/>
        <v>1</v>
      </c>
      <c r="R2884" s="195" t="str">
        <f t="shared" si="130"/>
        <v>2023LIGHT VEHICLES</v>
      </c>
    </row>
    <row r="2885" spans="3:18" x14ac:dyDescent="0.25">
      <c r="C2885" s="294" t="s">
        <v>956</v>
      </c>
      <c r="D2885" s="317">
        <v>74229</v>
      </c>
      <c r="E2885" s="122" t="s">
        <v>957</v>
      </c>
      <c r="F2885" s="122" t="s">
        <v>958</v>
      </c>
      <c r="G2885" s="122" t="s">
        <v>778</v>
      </c>
      <c r="H2885" s="122" t="s">
        <v>777</v>
      </c>
      <c r="I2885" s="312">
        <v>2023</v>
      </c>
      <c r="J2885" s="122" t="s">
        <v>713</v>
      </c>
      <c r="K2885" s="283">
        <v>12933</v>
      </c>
      <c r="L2885" s="318">
        <v>-33.760657999999999</v>
      </c>
      <c r="M2885" s="318">
        <v>151.07962000000001</v>
      </c>
      <c r="O2885">
        <f>INDEX('MEC - traffic congestion'!$M$145:$M$249,MATCH($D2885,'MEC - traffic congestion'!$C$145:$C$249,0))</f>
        <v>1</v>
      </c>
      <c r="P2885" t="str">
        <f t="shared" si="128"/>
        <v>2023WEEKENDS</v>
      </c>
      <c r="Q2885">
        <f t="shared" si="129"/>
        <v>1</v>
      </c>
      <c r="R2885" s="195" t="str">
        <f t="shared" si="130"/>
        <v>2023LIGHT VEHICLES</v>
      </c>
    </row>
    <row r="2886" spans="3:18" x14ac:dyDescent="0.25">
      <c r="C2886" s="294" t="s">
        <v>956</v>
      </c>
      <c r="D2886" s="317">
        <v>74229</v>
      </c>
      <c r="E2886" s="122" t="s">
        <v>957</v>
      </c>
      <c r="F2886" s="122" t="s">
        <v>958</v>
      </c>
      <c r="G2886" s="122" t="s">
        <v>776</v>
      </c>
      <c r="H2886" s="122" t="s">
        <v>777</v>
      </c>
      <c r="I2886" s="312">
        <v>2024</v>
      </c>
      <c r="J2886" s="122" t="s">
        <v>709</v>
      </c>
      <c r="K2886" s="283">
        <v>2991</v>
      </c>
      <c r="L2886" s="318">
        <v>-33.760657999999999</v>
      </c>
      <c r="M2886" s="318">
        <v>151.07962000000001</v>
      </c>
      <c r="O2886">
        <f>INDEX('MEC - traffic congestion'!$M$145:$M$249,MATCH($D2886,'MEC - traffic congestion'!$C$145:$C$249,0))</f>
        <v>1</v>
      </c>
      <c r="P2886" t="str">
        <f t="shared" si="128"/>
        <v>2024AM PEAK</v>
      </c>
      <c r="Q2886">
        <f t="shared" si="129"/>
        <v>1</v>
      </c>
      <c r="R2886" s="195" t="str">
        <f t="shared" si="130"/>
        <v>2024LIGHT VEHICLES</v>
      </c>
    </row>
    <row r="2887" spans="3:18" x14ac:dyDescent="0.25">
      <c r="C2887" s="294" t="s">
        <v>956</v>
      </c>
      <c r="D2887" s="317">
        <v>74229</v>
      </c>
      <c r="E2887" s="122" t="s">
        <v>957</v>
      </c>
      <c r="F2887" s="122" t="s">
        <v>958</v>
      </c>
      <c r="G2887" s="122" t="s">
        <v>778</v>
      </c>
      <c r="H2887" s="122" t="s">
        <v>777</v>
      </c>
      <c r="I2887" s="312">
        <v>2024</v>
      </c>
      <c r="J2887" s="122" t="s">
        <v>709</v>
      </c>
      <c r="K2887" s="283">
        <v>5090</v>
      </c>
      <c r="L2887" s="318">
        <v>-33.760657999999999</v>
      </c>
      <c r="M2887" s="318">
        <v>151.07962000000001</v>
      </c>
      <c r="O2887">
        <f>INDEX('MEC - traffic congestion'!$M$145:$M$249,MATCH($D2887,'MEC - traffic congestion'!$C$145:$C$249,0))</f>
        <v>1</v>
      </c>
      <c r="P2887" t="str">
        <f t="shared" si="128"/>
        <v>2024AM PEAK</v>
      </c>
      <c r="Q2887">
        <f t="shared" si="129"/>
        <v>1</v>
      </c>
      <c r="R2887" s="195" t="str">
        <f t="shared" si="130"/>
        <v>2024LIGHT VEHICLES</v>
      </c>
    </row>
    <row r="2888" spans="3:18" x14ac:dyDescent="0.25">
      <c r="C2888" s="294" t="s">
        <v>956</v>
      </c>
      <c r="D2888" s="317">
        <v>74229</v>
      </c>
      <c r="E2888" s="122" t="s">
        <v>957</v>
      </c>
      <c r="F2888" s="122" t="s">
        <v>958</v>
      </c>
      <c r="G2888" s="122" t="s">
        <v>776</v>
      </c>
      <c r="H2888" s="122" t="s">
        <v>777</v>
      </c>
      <c r="I2888" s="312">
        <v>2024</v>
      </c>
      <c r="J2888" s="122" t="s">
        <v>710</v>
      </c>
      <c r="K2888" s="283">
        <v>7047</v>
      </c>
      <c r="L2888" s="318">
        <v>-33.760657999999999</v>
      </c>
      <c r="M2888" s="318">
        <v>151.07962000000001</v>
      </c>
      <c r="O2888">
        <f>INDEX('MEC - traffic congestion'!$M$145:$M$249,MATCH($D2888,'MEC - traffic congestion'!$C$145:$C$249,0))</f>
        <v>1</v>
      </c>
      <c r="P2888" t="str">
        <f t="shared" si="128"/>
        <v>2024OFF PEAK</v>
      </c>
      <c r="Q2888">
        <f t="shared" si="129"/>
        <v>1</v>
      </c>
      <c r="R2888" s="195" t="str">
        <f t="shared" si="130"/>
        <v>2024LIGHT VEHICLES</v>
      </c>
    </row>
    <row r="2889" spans="3:18" x14ac:dyDescent="0.25">
      <c r="C2889" s="294" t="s">
        <v>956</v>
      </c>
      <c r="D2889" s="317">
        <v>74229</v>
      </c>
      <c r="E2889" s="122" t="s">
        <v>957</v>
      </c>
      <c r="F2889" s="122" t="s">
        <v>958</v>
      </c>
      <c r="G2889" s="122" t="s">
        <v>778</v>
      </c>
      <c r="H2889" s="122" t="s">
        <v>777</v>
      </c>
      <c r="I2889" s="312">
        <v>2024</v>
      </c>
      <c r="J2889" s="122" t="s">
        <v>710</v>
      </c>
      <c r="K2889" s="283">
        <v>6347</v>
      </c>
      <c r="L2889" s="318">
        <v>-33.760657999999999</v>
      </c>
      <c r="M2889" s="318">
        <v>151.07962000000001</v>
      </c>
      <c r="O2889">
        <f>INDEX('MEC - traffic congestion'!$M$145:$M$249,MATCH($D2889,'MEC - traffic congestion'!$C$145:$C$249,0))</f>
        <v>1</v>
      </c>
      <c r="P2889" t="str">
        <f t="shared" si="128"/>
        <v>2024OFF PEAK</v>
      </c>
      <c r="Q2889">
        <f t="shared" si="129"/>
        <v>1</v>
      </c>
      <c r="R2889" s="195" t="str">
        <f t="shared" si="130"/>
        <v>2024LIGHT VEHICLES</v>
      </c>
    </row>
    <row r="2890" spans="3:18" x14ac:dyDescent="0.25">
      <c r="C2890" s="294" t="s">
        <v>956</v>
      </c>
      <c r="D2890" s="317">
        <v>74229</v>
      </c>
      <c r="E2890" s="122" t="s">
        <v>957</v>
      </c>
      <c r="F2890" s="122" t="s">
        <v>958</v>
      </c>
      <c r="G2890" s="122" t="s">
        <v>776</v>
      </c>
      <c r="H2890" s="122" t="s">
        <v>777</v>
      </c>
      <c r="I2890" s="312">
        <v>2024</v>
      </c>
      <c r="J2890" s="122" t="s">
        <v>711</v>
      </c>
      <c r="K2890" s="283">
        <v>5093</v>
      </c>
      <c r="L2890" s="318">
        <v>-33.760657999999999</v>
      </c>
      <c r="M2890" s="318">
        <v>151.07962000000001</v>
      </c>
      <c r="O2890">
        <f>INDEX('MEC - traffic congestion'!$M$145:$M$249,MATCH($D2890,'MEC - traffic congestion'!$C$145:$C$249,0))</f>
        <v>1</v>
      </c>
      <c r="P2890" t="str">
        <f t="shared" si="128"/>
        <v>2024PM PEAK</v>
      </c>
      <c r="Q2890">
        <f t="shared" si="129"/>
        <v>1</v>
      </c>
      <c r="R2890" s="195" t="str">
        <f t="shared" si="130"/>
        <v>2024LIGHT VEHICLES</v>
      </c>
    </row>
    <row r="2891" spans="3:18" x14ac:dyDescent="0.25">
      <c r="C2891" s="294" t="s">
        <v>956</v>
      </c>
      <c r="D2891" s="317">
        <v>74229</v>
      </c>
      <c r="E2891" s="122" t="s">
        <v>957</v>
      </c>
      <c r="F2891" s="122" t="s">
        <v>958</v>
      </c>
      <c r="G2891" s="122" t="s">
        <v>778</v>
      </c>
      <c r="H2891" s="122" t="s">
        <v>777</v>
      </c>
      <c r="I2891" s="312">
        <v>2024</v>
      </c>
      <c r="J2891" s="122" t="s">
        <v>711</v>
      </c>
      <c r="K2891" s="283">
        <v>3282</v>
      </c>
      <c r="L2891" s="318">
        <v>-33.760657999999999</v>
      </c>
      <c r="M2891" s="318">
        <v>151.07962000000001</v>
      </c>
      <c r="O2891">
        <f>INDEX('MEC - traffic congestion'!$M$145:$M$249,MATCH($D2891,'MEC - traffic congestion'!$C$145:$C$249,0))</f>
        <v>1</v>
      </c>
      <c r="P2891" t="str">
        <f t="shared" si="128"/>
        <v>2024PM PEAK</v>
      </c>
      <c r="Q2891">
        <f t="shared" si="129"/>
        <v>1</v>
      </c>
      <c r="R2891" s="195" t="str">
        <f t="shared" si="130"/>
        <v>2024LIGHT VEHICLES</v>
      </c>
    </row>
    <row r="2892" spans="3:18" x14ac:dyDescent="0.25">
      <c r="C2892" s="294" t="s">
        <v>956</v>
      </c>
      <c r="D2892" s="317">
        <v>74229</v>
      </c>
      <c r="E2892" s="122" t="s">
        <v>957</v>
      </c>
      <c r="F2892" s="122" t="s">
        <v>958</v>
      </c>
      <c r="G2892" s="122" t="s">
        <v>776</v>
      </c>
      <c r="H2892" s="122" t="s">
        <v>777</v>
      </c>
      <c r="I2892" s="312">
        <v>2024</v>
      </c>
      <c r="J2892" s="122" t="s">
        <v>713</v>
      </c>
      <c r="K2892" s="283">
        <v>13575</v>
      </c>
      <c r="L2892" s="318">
        <v>-33.760657999999999</v>
      </c>
      <c r="M2892" s="318">
        <v>151.07962000000001</v>
      </c>
      <c r="O2892">
        <f>INDEX('MEC - traffic congestion'!$M$145:$M$249,MATCH($D2892,'MEC - traffic congestion'!$C$145:$C$249,0))</f>
        <v>1</v>
      </c>
      <c r="P2892" t="str">
        <f t="shared" si="128"/>
        <v>2024WEEKENDS</v>
      </c>
      <c r="Q2892">
        <f t="shared" si="129"/>
        <v>1</v>
      </c>
      <c r="R2892" s="195" t="str">
        <f t="shared" si="130"/>
        <v>2024LIGHT VEHICLES</v>
      </c>
    </row>
    <row r="2893" spans="3:18" x14ac:dyDescent="0.25">
      <c r="C2893" s="294" t="s">
        <v>956</v>
      </c>
      <c r="D2893" s="317">
        <v>74229</v>
      </c>
      <c r="E2893" s="122" t="s">
        <v>957</v>
      </c>
      <c r="F2893" s="122" t="s">
        <v>958</v>
      </c>
      <c r="G2893" s="122" t="s">
        <v>778</v>
      </c>
      <c r="H2893" s="122" t="s">
        <v>777</v>
      </c>
      <c r="I2893" s="312">
        <v>2024</v>
      </c>
      <c r="J2893" s="122" t="s">
        <v>713</v>
      </c>
      <c r="K2893" s="283">
        <v>13716</v>
      </c>
      <c r="L2893" s="318">
        <v>-33.760657999999999</v>
      </c>
      <c r="M2893" s="318">
        <v>151.07962000000001</v>
      </c>
      <c r="O2893">
        <f>INDEX('MEC - traffic congestion'!$M$145:$M$249,MATCH($D2893,'MEC - traffic congestion'!$C$145:$C$249,0))</f>
        <v>1</v>
      </c>
      <c r="P2893" t="str">
        <f t="shared" si="128"/>
        <v>2024WEEKENDS</v>
      </c>
      <c r="Q2893">
        <f t="shared" si="129"/>
        <v>1</v>
      </c>
      <c r="R2893" s="195" t="str">
        <f t="shared" si="130"/>
        <v>2024LIGHT VEHICLES</v>
      </c>
    </row>
    <row r="2894" spans="3:18" x14ac:dyDescent="0.25">
      <c r="C2894" s="294" t="s">
        <v>959</v>
      </c>
      <c r="D2894" s="317">
        <v>83011</v>
      </c>
      <c r="E2894" s="122" t="s">
        <v>960</v>
      </c>
      <c r="F2894" s="122" t="s">
        <v>961</v>
      </c>
      <c r="G2894" s="122" t="s">
        <v>776</v>
      </c>
      <c r="H2894" s="122" t="s">
        <v>777</v>
      </c>
      <c r="I2894" s="312">
        <v>2018</v>
      </c>
      <c r="J2894" s="122" t="s">
        <v>709</v>
      </c>
      <c r="K2894" s="283">
        <v>5438</v>
      </c>
      <c r="L2894" s="318">
        <v>-34.050944999999999</v>
      </c>
      <c r="M2894" s="318">
        <v>150.82540900000001</v>
      </c>
      <c r="O2894">
        <f>INDEX('MEC - traffic congestion'!$M$145:$M$249,MATCH($D2894,'MEC - traffic congestion'!$C$145:$C$249,0))</f>
        <v>0</v>
      </c>
      <c r="P2894" t="str">
        <f t="shared" si="128"/>
        <v/>
      </c>
      <c r="Q2894">
        <f t="shared" si="129"/>
        <v>1</v>
      </c>
      <c r="R2894" s="195" t="str">
        <f t="shared" si="130"/>
        <v/>
      </c>
    </row>
    <row r="2895" spans="3:18" x14ac:dyDescent="0.25">
      <c r="C2895" s="294" t="s">
        <v>959</v>
      </c>
      <c r="D2895" s="317">
        <v>83011</v>
      </c>
      <c r="E2895" s="122" t="s">
        <v>960</v>
      </c>
      <c r="F2895" s="122" t="s">
        <v>961</v>
      </c>
      <c r="G2895" s="122" t="s">
        <v>778</v>
      </c>
      <c r="H2895" s="122" t="s">
        <v>777</v>
      </c>
      <c r="I2895" s="312">
        <v>2018</v>
      </c>
      <c r="J2895" s="122" t="s">
        <v>709</v>
      </c>
      <c r="K2895" s="283">
        <v>4788</v>
      </c>
      <c r="L2895" s="318">
        <v>-34.050944999999999</v>
      </c>
      <c r="M2895" s="318">
        <v>150.82540900000001</v>
      </c>
      <c r="O2895">
        <f>INDEX('MEC - traffic congestion'!$M$145:$M$249,MATCH($D2895,'MEC - traffic congestion'!$C$145:$C$249,0))</f>
        <v>0</v>
      </c>
      <c r="P2895" t="str">
        <f t="shared" si="128"/>
        <v/>
      </c>
      <c r="Q2895">
        <f t="shared" si="129"/>
        <v>1</v>
      </c>
      <c r="R2895" s="195" t="str">
        <f t="shared" si="130"/>
        <v/>
      </c>
    </row>
    <row r="2896" spans="3:18" x14ac:dyDescent="0.25">
      <c r="C2896" s="294" t="s">
        <v>959</v>
      </c>
      <c r="D2896" s="317">
        <v>83011</v>
      </c>
      <c r="E2896" s="122" t="s">
        <v>960</v>
      </c>
      <c r="F2896" s="122" t="s">
        <v>961</v>
      </c>
      <c r="G2896" s="122" t="s">
        <v>776</v>
      </c>
      <c r="H2896" s="122" t="s">
        <v>777</v>
      </c>
      <c r="I2896" s="312">
        <v>2018</v>
      </c>
      <c r="J2896" s="122" t="s">
        <v>710</v>
      </c>
      <c r="K2896" s="283">
        <v>11200</v>
      </c>
      <c r="L2896" s="318">
        <v>-34.050944999999999</v>
      </c>
      <c r="M2896" s="318">
        <v>150.82540900000001</v>
      </c>
      <c r="O2896">
        <f>INDEX('MEC - traffic congestion'!$M$145:$M$249,MATCH($D2896,'MEC - traffic congestion'!$C$145:$C$249,0))</f>
        <v>0</v>
      </c>
      <c r="P2896" t="str">
        <f t="shared" si="128"/>
        <v/>
      </c>
      <c r="Q2896">
        <f t="shared" si="129"/>
        <v>1</v>
      </c>
      <c r="R2896" s="195" t="str">
        <f t="shared" si="130"/>
        <v/>
      </c>
    </row>
    <row r="2897" spans="3:18" x14ac:dyDescent="0.25">
      <c r="C2897" s="294" t="s">
        <v>959</v>
      </c>
      <c r="D2897" s="317">
        <v>83011</v>
      </c>
      <c r="E2897" s="122" t="s">
        <v>960</v>
      </c>
      <c r="F2897" s="122" t="s">
        <v>961</v>
      </c>
      <c r="G2897" s="122" t="s">
        <v>778</v>
      </c>
      <c r="H2897" s="122" t="s">
        <v>777</v>
      </c>
      <c r="I2897" s="312">
        <v>2018</v>
      </c>
      <c r="J2897" s="122" t="s">
        <v>710</v>
      </c>
      <c r="K2897" s="283">
        <v>10052</v>
      </c>
      <c r="L2897" s="318">
        <v>-34.050944999999999</v>
      </c>
      <c r="M2897" s="318">
        <v>150.82540900000001</v>
      </c>
      <c r="O2897">
        <f>INDEX('MEC - traffic congestion'!$M$145:$M$249,MATCH($D2897,'MEC - traffic congestion'!$C$145:$C$249,0))</f>
        <v>0</v>
      </c>
      <c r="P2897" t="str">
        <f t="shared" si="128"/>
        <v/>
      </c>
      <c r="Q2897">
        <f t="shared" si="129"/>
        <v>1</v>
      </c>
      <c r="R2897" s="195" t="str">
        <f t="shared" si="130"/>
        <v/>
      </c>
    </row>
    <row r="2898" spans="3:18" x14ac:dyDescent="0.25">
      <c r="C2898" s="294" t="s">
        <v>959</v>
      </c>
      <c r="D2898" s="317">
        <v>83011</v>
      </c>
      <c r="E2898" s="122" t="s">
        <v>960</v>
      </c>
      <c r="F2898" s="122" t="s">
        <v>961</v>
      </c>
      <c r="G2898" s="122" t="s">
        <v>776</v>
      </c>
      <c r="H2898" s="122" t="s">
        <v>777</v>
      </c>
      <c r="I2898" s="312">
        <v>2018</v>
      </c>
      <c r="J2898" s="122" t="s">
        <v>711</v>
      </c>
      <c r="K2898" s="283">
        <v>5376</v>
      </c>
      <c r="L2898" s="318">
        <v>-34.050944999999999</v>
      </c>
      <c r="M2898" s="318">
        <v>150.82540900000001</v>
      </c>
      <c r="O2898">
        <f>INDEX('MEC - traffic congestion'!$M$145:$M$249,MATCH($D2898,'MEC - traffic congestion'!$C$145:$C$249,0))</f>
        <v>0</v>
      </c>
      <c r="P2898" t="str">
        <f t="shared" si="128"/>
        <v/>
      </c>
      <c r="Q2898">
        <f t="shared" si="129"/>
        <v>1</v>
      </c>
      <c r="R2898" s="195" t="str">
        <f t="shared" si="130"/>
        <v/>
      </c>
    </row>
    <row r="2899" spans="3:18" x14ac:dyDescent="0.25">
      <c r="C2899" s="294" t="s">
        <v>959</v>
      </c>
      <c r="D2899" s="317">
        <v>83011</v>
      </c>
      <c r="E2899" s="122" t="s">
        <v>960</v>
      </c>
      <c r="F2899" s="122" t="s">
        <v>961</v>
      </c>
      <c r="G2899" s="122" t="s">
        <v>778</v>
      </c>
      <c r="H2899" s="122" t="s">
        <v>777</v>
      </c>
      <c r="I2899" s="312">
        <v>2018</v>
      </c>
      <c r="J2899" s="122" t="s">
        <v>711</v>
      </c>
      <c r="K2899" s="283">
        <v>6934</v>
      </c>
      <c r="L2899" s="318">
        <v>-34.050944999999999</v>
      </c>
      <c r="M2899" s="318">
        <v>150.82540900000001</v>
      </c>
      <c r="O2899">
        <f>INDEX('MEC - traffic congestion'!$M$145:$M$249,MATCH($D2899,'MEC - traffic congestion'!$C$145:$C$249,0))</f>
        <v>0</v>
      </c>
      <c r="P2899" t="str">
        <f t="shared" si="128"/>
        <v/>
      </c>
      <c r="Q2899">
        <f t="shared" si="129"/>
        <v>1</v>
      </c>
      <c r="R2899" s="195" t="str">
        <f t="shared" si="130"/>
        <v/>
      </c>
    </row>
    <row r="2900" spans="3:18" x14ac:dyDescent="0.25">
      <c r="C2900" s="294" t="s">
        <v>959</v>
      </c>
      <c r="D2900" s="317">
        <v>83011</v>
      </c>
      <c r="E2900" s="122" t="s">
        <v>960</v>
      </c>
      <c r="F2900" s="122" t="s">
        <v>961</v>
      </c>
      <c r="G2900" s="122" t="s">
        <v>776</v>
      </c>
      <c r="H2900" s="122" t="s">
        <v>777</v>
      </c>
      <c r="I2900" s="312">
        <v>2018</v>
      </c>
      <c r="J2900" s="122" t="s">
        <v>712</v>
      </c>
      <c r="K2900" s="283">
        <v>12770</v>
      </c>
      <c r="L2900" s="318">
        <v>-34.050944999999999</v>
      </c>
      <c r="M2900" s="318">
        <v>150.82540900000001</v>
      </c>
      <c r="O2900">
        <f>INDEX('MEC - traffic congestion'!$M$145:$M$249,MATCH($D2900,'MEC - traffic congestion'!$C$145:$C$249,0))</f>
        <v>0</v>
      </c>
      <c r="P2900" t="str">
        <f t="shared" si="128"/>
        <v/>
      </c>
      <c r="Q2900">
        <f t="shared" si="129"/>
        <v>1</v>
      </c>
      <c r="R2900" s="195" t="str">
        <f t="shared" si="130"/>
        <v/>
      </c>
    </row>
    <row r="2901" spans="3:18" x14ac:dyDescent="0.25">
      <c r="C2901" s="294" t="s">
        <v>959</v>
      </c>
      <c r="D2901" s="317">
        <v>83011</v>
      </c>
      <c r="E2901" s="122" t="s">
        <v>960</v>
      </c>
      <c r="F2901" s="122" t="s">
        <v>961</v>
      </c>
      <c r="G2901" s="122" t="s">
        <v>778</v>
      </c>
      <c r="H2901" s="122" t="s">
        <v>777</v>
      </c>
      <c r="I2901" s="312">
        <v>2018</v>
      </c>
      <c r="J2901" s="122" t="s">
        <v>712</v>
      </c>
      <c r="K2901" s="283">
        <v>12611</v>
      </c>
      <c r="L2901" s="318">
        <v>-34.050944999999999</v>
      </c>
      <c r="M2901" s="318">
        <v>150.82540900000001</v>
      </c>
      <c r="O2901">
        <f>INDEX('MEC - traffic congestion'!$M$145:$M$249,MATCH($D2901,'MEC - traffic congestion'!$C$145:$C$249,0))</f>
        <v>0</v>
      </c>
      <c r="P2901" t="str">
        <f t="shared" ref="P2901:P2964" si="131">IF($O2901=1,$I2901&amp;$J2901,"")</f>
        <v/>
      </c>
      <c r="Q2901">
        <f t="shared" ref="Q2901:Q2964" si="132">IF(AND($M2901&gt;150.246,AND($L2901&gt;-34.397,$L2901&lt;-32.662)),1,0)</f>
        <v>1</v>
      </c>
      <c r="R2901" s="195" t="str">
        <f t="shared" ref="R2901:R2964" si="133">IF($O2901=1,$I2901&amp;$H2901,"")</f>
        <v/>
      </c>
    </row>
    <row r="2902" spans="3:18" x14ac:dyDescent="0.25">
      <c r="C2902" s="294" t="s">
        <v>959</v>
      </c>
      <c r="D2902" s="317">
        <v>83011</v>
      </c>
      <c r="E2902" s="122" t="s">
        <v>960</v>
      </c>
      <c r="F2902" s="122" t="s">
        <v>961</v>
      </c>
      <c r="G2902" s="122" t="s">
        <v>776</v>
      </c>
      <c r="H2902" s="122" t="s">
        <v>777</v>
      </c>
      <c r="I2902" s="312">
        <v>2018</v>
      </c>
      <c r="J2902" s="122" t="s">
        <v>713</v>
      </c>
      <c r="K2902" s="283">
        <v>17273</v>
      </c>
      <c r="L2902" s="318">
        <v>-34.050944999999999</v>
      </c>
      <c r="M2902" s="318">
        <v>150.82540900000001</v>
      </c>
      <c r="O2902">
        <f>INDEX('MEC - traffic congestion'!$M$145:$M$249,MATCH($D2902,'MEC - traffic congestion'!$C$145:$C$249,0))</f>
        <v>0</v>
      </c>
      <c r="P2902" t="str">
        <f t="shared" si="131"/>
        <v/>
      </c>
      <c r="Q2902">
        <f t="shared" si="132"/>
        <v>1</v>
      </c>
      <c r="R2902" s="195" t="str">
        <f t="shared" si="133"/>
        <v/>
      </c>
    </row>
    <row r="2903" spans="3:18" x14ac:dyDescent="0.25">
      <c r="C2903" s="294" t="s">
        <v>959</v>
      </c>
      <c r="D2903" s="317">
        <v>83011</v>
      </c>
      <c r="E2903" s="122" t="s">
        <v>960</v>
      </c>
      <c r="F2903" s="122" t="s">
        <v>961</v>
      </c>
      <c r="G2903" s="122" t="s">
        <v>778</v>
      </c>
      <c r="H2903" s="122" t="s">
        <v>777</v>
      </c>
      <c r="I2903" s="312">
        <v>2018</v>
      </c>
      <c r="J2903" s="122" t="s">
        <v>713</v>
      </c>
      <c r="K2903" s="283">
        <v>16776</v>
      </c>
      <c r="L2903" s="318">
        <v>-34.050944999999999</v>
      </c>
      <c r="M2903" s="318">
        <v>150.82540900000001</v>
      </c>
      <c r="O2903">
        <f>INDEX('MEC - traffic congestion'!$M$145:$M$249,MATCH($D2903,'MEC - traffic congestion'!$C$145:$C$249,0))</f>
        <v>0</v>
      </c>
      <c r="P2903" t="str">
        <f t="shared" si="131"/>
        <v/>
      </c>
      <c r="Q2903">
        <f t="shared" si="132"/>
        <v>1</v>
      </c>
      <c r="R2903" s="195" t="str">
        <f t="shared" si="133"/>
        <v/>
      </c>
    </row>
    <row r="2904" spans="3:18" x14ac:dyDescent="0.25">
      <c r="C2904" s="294" t="s">
        <v>959</v>
      </c>
      <c r="D2904" s="317">
        <v>83011</v>
      </c>
      <c r="E2904" s="122" t="s">
        <v>960</v>
      </c>
      <c r="F2904" s="122" t="s">
        <v>961</v>
      </c>
      <c r="G2904" s="122" t="s">
        <v>776</v>
      </c>
      <c r="H2904" s="122" t="s">
        <v>777</v>
      </c>
      <c r="I2904" s="312">
        <v>2019</v>
      </c>
      <c r="J2904" s="122" t="s">
        <v>709</v>
      </c>
      <c r="K2904" s="283">
        <v>5294</v>
      </c>
      <c r="L2904" s="318">
        <v>-34.050944999999999</v>
      </c>
      <c r="M2904" s="318">
        <v>150.82540900000001</v>
      </c>
      <c r="O2904">
        <f>INDEX('MEC - traffic congestion'!$M$145:$M$249,MATCH($D2904,'MEC - traffic congestion'!$C$145:$C$249,0))</f>
        <v>0</v>
      </c>
      <c r="P2904" t="str">
        <f t="shared" si="131"/>
        <v/>
      </c>
      <c r="Q2904">
        <f t="shared" si="132"/>
        <v>1</v>
      </c>
      <c r="R2904" s="195" t="str">
        <f t="shared" si="133"/>
        <v/>
      </c>
    </row>
    <row r="2905" spans="3:18" x14ac:dyDescent="0.25">
      <c r="C2905" s="294" t="s">
        <v>959</v>
      </c>
      <c r="D2905" s="317">
        <v>83011</v>
      </c>
      <c r="E2905" s="122" t="s">
        <v>960</v>
      </c>
      <c r="F2905" s="122" t="s">
        <v>961</v>
      </c>
      <c r="G2905" s="122" t="s">
        <v>778</v>
      </c>
      <c r="H2905" s="122" t="s">
        <v>777</v>
      </c>
      <c r="I2905" s="312">
        <v>2019</v>
      </c>
      <c r="J2905" s="122" t="s">
        <v>709</v>
      </c>
      <c r="K2905" s="283">
        <v>4686</v>
      </c>
      <c r="L2905" s="318">
        <v>-34.050944999999999</v>
      </c>
      <c r="M2905" s="318">
        <v>150.82540900000001</v>
      </c>
      <c r="O2905">
        <f>INDEX('MEC - traffic congestion'!$M$145:$M$249,MATCH($D2905,'MEC - traffic congestion'!$C$145:$C$249,0))</f>
        <v>0</v>
      </c>
      <c r="P2905" t="str">
        <f t="shared" si="131"/>
        <v/>
      </c>
      <c r="Q2905">
        <f t="shared" si="132"/>
        <v>1</v>
      </c>
      <c r="R2905" s="195" t="str">
        <f t="shared" si="133"/>
        <v/>
      </c>
    </row>
    <row r="2906" spans="3:18" x14ac:dyDescent="0.25">
      <c r="C2906" s="294" t="s">
        <v>959</v>
      </c>
      <c r="D2906" s="317">
        <v>83011</v>
      </c>
      <c r="E2906" s="122" t="s">
        <v>960</v>
      </c>
      <c r="F2906" s="122" t="s">
        <v>961</v>
      </c>
      <c r="G2906" s="122" t="s">
        <v>776</v>
      </c>
      <c r="H2906" s="122" t="s">
        <v>777</v>
      </c>
      <c r="I2906" s="312">
        <v>2019</v>
      </c>
      <c r="J2906" s="122" t="s">
        <v>710</v>
      </c>
      <c r="K2906" s="283">
        <v>10903</v>
      </c>
      <c r="L2906" s="318">
        <v>-34.050944999999999</v>
      </c>
      <c r="M2906" s="318">
        <v>150.82540900000001</v>
      </c>
      <c r="O2906">
        <f>INDEX('MEC - traffic congestion'!$M$145:$M$249,MATCH($D2906,'MEC - traffic congestion'!$C$145:$C$249,0))</f>
        <v>0</v>
      </c>
      <c r="P2906" t="str">
        <f t="shared" si="131"/>
        <v/>
      </c>
      <c r="Q2906">
        <f t="shared" si="132"/>
        <v>1</v>
      </c>
      <c r="R2906" s="195" t="str">
        <f t="shared" si="133"/>
        <v/>
      </c>
    </row>
    <row r="2907" spans="3:18" x14ac:dyDescent="0.25">
      <c r="C2907" s="294" t="s">
        <v>959</v>
      </c>
      <c r="D2907" s="317">
        <v>83011</v>
      </c>
      <c r="E2907" s="122" t="s">
        <v>960</v>
      </c>
      <c r="F2907" s="122" t="s">
        <v>961</v>
      </c>
      <c r="G2907" s="122" t="s">
        <v>778</v>
      </c>
      <c r="H2907" s="122" t="s">
        <v>777</v>
      </c>
      <c r="I2907" s="312">
        <v>2019</v>
      </c>
      <c r="J2907" s="122" t="s">
        <v>710</v>
      </c>
      <c r="K2907" s="283">
        <v>9581</v>
      </c>
      <c r="L2907" s="318">
        <v>-34.050944999999999</v>
      </c>
      <c r="M2907" s="318">
        <v>150.82540900000001</v>
      </c>
      <c r="O2907">
        <f>INDEX('MEC - traffic congestion'!$M$145:$M$249,MATCH($D2907,'MEC - traffic congestion'!$C$145:$C$249,0))</f>
        <v>0</v>
      </c>
      <c r="P2907" t="str">
        <f t="shared" si="131"/>
        <v/>
      </c>
      <c r="Q2907">
        <f t="shared" si="132"/>
        <v>1</v>
      </c>
      <c r="R2907" s="195" t="str">
        <f t="shared" si="133"/>
        <v/>
      </c>
    </row>
    <row r="2908" spans="3:18" x14ac:dyDescent="0.25">
      <c r="C2908" s="294" t="s">
        <v>959</v>
      </c>
      <c r="D2908" s="317">
        <v>83011</v>
      </c>
      <c r="E2908" s="122" t="s">
        <v>960</v>
      </c>
      <c r="F2908" s="122" t="s">
        <v>961</v>
      </c>
      <c r="G2908" s="122" t="s">
        <v>776</v>
      </c>
      <c r="H2908" s="122" t="s">
        <v>777</v>
      </c>
      <c r="I2908" s="312">
        <v>2019</v>
      </c>
      <c r="J2908" s="122" t="s">
        <v>711</v>
      </c>
      <c r="K2908" s="283">
        <v>5346</v>
      </c>
      <c r="L2908" s="318">
        <v>-34.050944999999999</v>
      </c>
      <c r="M2908" s="318">
        <v>150.82540900000001</v>
      </c>
      <c r="O2908">
        <f>INDEX('MEC - traffic congestion'!$M$145:$M$249,MATCH($D2908,'MEC - traffic congestion'!$C$145:$C$249,0))</f>
        <v>0</v>
      </c>
      <c r="P2908" t="str">
        <f t="shared" si="131"/>
        <v/>
      </c>
      <c r="Q2908">
        <f t="shared" si="132"/>
        <v>1</v>
      </c>
      <c r="R2908" s="195" t="str">
        <f t="shared" si="133"/>
        <v/>
      </c>
    </row>
    <row r="2909" spans="3:18" x14ac:dyDescent="0.25">
      <c r="C2909" s="294" t="s">
        <v>959</v>
      </c>
      <c r="D2909" s="317">
        <v>83011</v>
      </c>
      <c r="E2909" s="122" t="s">
        <v>960</v>
      </c>
      <c r="F2909" s="122" t="s">
        <v>961</v>
      </c>
      <c r="G2909" s="122" t="s">
        <v>778</v>
      </c>
      <c r="H2909" s="122" t="s">
        <v>777</v>
      </c>
      <c r="I2909" s="312">
        <v>2019</v>
      </c>
      <c r="J2909" s="122" t="s">
        <v>711</v>
      </c>
      <c r="K2909" s="283">
        <v>6681</v>
      </c>
      <c r="L2909" s="318">
        <v>-34.050944999999999</v>
      </c>
      <c r="M2909" s="318">
        <v>150.82540900000001</v>
      </c>
      <c r="O2909">
        <f>INDEX('MEC - traffic congestion'!$M$145:$M$249,MATCH($D2909,'MEC - traffic congestion'!$C$145:$C$249,0))</f>
        <v>0</v>
      </c>
      <c r="P2909" t="str">
        <f t="shared" si="131"/>
        <v/>
      </c>
      <c r="Q2909">
        <f t="shared" si="132"/>
        <v>1</v>
      </c>
      <c r="R2909" s="195" t="str">
        <f t="shared" si="133"/>
        <v/>
      </c>
    </row>
    <row r="2910" spans="3:18" x14ac:dyDescent="0.25">
      <c r="C2910" s="294" t="s">
        <v>959</v>
      </c>
      <c r="D2910" s="317">
        <v>83011</v>
      </c>
      <c r="E2910" s="122" t="s">
        <v>960</v>
      </c>
      <c r="F2910" s="122" t="s">
        <v>961</v>
      </c>
      <c r="G2910" s="122" t="s">
        <v>776</v>
      </c>
      <c r="H2910" s="122" t="s">
        <v>777</v>
      </c>
      <c r="I2910" s="312">
        <v>2019</v>
      </c>
      <c r="J2910" s="122" t="s">
        <v>712</v>
      </c>
      <c r="K2910" s="283">
        <v>12607</v>
      </c>
      <c r="L2910" s="318">
        <v>-34.050944999999999</v>
      </c>
      <c r="M2910" s="318">
        <v>150.82540900000001</v>
      </c>
      <c r="O2910">
        <f>INDEX('MEC - traffic congestion'!$M$145:$M$249,MATCH($D2910,'MEC - traffic congestion'!$C$145:$C$249,0))</f>
        <v>0</v>
      </c>
      <c r="P2910" t="str">
        <f t="shared" si="131"/>
        <v/>
      </c>
      <c r="Q2910">
        <f t="shared" si="132"/>
        <v>1</v>
      </c>
      <c r="R2910" s="195" t="str">
        <f t="shared" si="133"/>
        <v/>
      </c>
    </row>
    <row r="2911" spans="3:18" x14ac:dyDescent="0.25">
      <c r="C2911" s="294" t="s">
        <v>959</v>
      </c>
      <c r="D2911" s="317">
        <v>83011</v>
      </c>
      <c r="E2911" s="122" t="s">
        <v>960</v>
      </c>
      <c r="F2911" s="122" t="s">
        <v>961</v>
      </c>
      <c r="G2911" s="122" t="s">
        <v>778</v>
      </c>
      <c r="H2911" s="122" t="s">
        <v>777</v>
      </c>
      <c r="I2911" s="312">
        <v>2019</v>
      </c>
      <c r="J2911" s="122" t="s">
        <v>712</v>
      </c>
      <c r="K2911" s="283">
        <v>12615</v>
      </c>
      <c r="L2911" s="318">
        <v>-34.050944999999999</v>
      </c>
      <c r="M2911" s="318">
        <v>150.82540900000001</v>
      </c>
      <c r="O2911">
        <f>INDEX('MEC - traffic congestion'!$M$145:$M$249,MATCH($D2911,'MEC - traffic congestion'!$C$145:$C$249,0))</f>
        <v>0</v>
      </c>
      <c r="P2911" t="str">
        <f t="shared" si="131"/>
        <v/>
      </c>
      <c r="Q2911">
        <f t="shared" si="132"/>
        <v>1</v>
      </c>
      <c r="R2911" s="195" t="str">
        <f t="shared" si="133"/>
        <v/>
      </c>
    </row>
    <row r="2912" spans="3:18" x14ac:dyDescent="0.25">
      <c r="C2912" s="294" t="s">
        <v>959</v>
      </c>
      <c r="D2912" s="317">
        <v>83011</v>
      </c>
      <c r="E2912" s="122" t="s">
        <v>960</v>
      </c>
      <c r="F2912" s="122" t="s">
        <v>961</v>
      </c>
      <c r="G2912" s="122" t="s">
        <v>776</v>
      </c>
      <c r="H2912" s="122" t="s">
        <v>777</v>
      </c>
      <c r="I2912" s="312">
        <v>2019</v>
      </c>
      <c r="J2912" s="122" t="s">
        <v>713</v>
      </c>
      <c r="K2912" s="283">
        <v>16665</v>
      </c>
      <c r="L2912" s="318">
        <v>-34.050944999999999</v>
      </c>
      <c r="M2912" s="318">
        <v>150.82540900000001</v>
      </c>
      <c r="O2912">
        <f>INDEX('MEC - traffic congestion'!$M$145:$M$249,MATCH($D2912,'MEC - traffic congestion'!$C$145:$C$249,0))</f>
        <v>0</v>
      </c>
      <c r="P2912" t="str">
        <f t="shared" si="131"/>
        <v/>
      </c>
      <c r="Q2912">
        <f t="shared" si="132"/>
        <v>1</v>
      </c>
      <c r="R2912" s="195" t="str">
        <f t="shared" si="133"/>
        <v/>
      </c>
    </row>
    <row r="2913" spans="3:18" x14ac:dyDescent="0.25">
      <c r="C2913" s="294" t="s">
        <v>959</v>
      </c>
      <c r="D2913" s="317">
        <v>83011</v>
      </c>
      <c r="E2913" s="122" t="s">
        <v>960</v>
      </c>
      <c r="F2913" s="122" t="s">
        <v>961</v>
      </c>
      <c r="G2913" s="122" t="s">
        <v>778</v>
      </c>
      <c r="H2913" s="122" t="s">
        <v>777</v>
      </c>
      <c r="I2913" s="312">
        <v>2019</v>
      </c>
      <c r="J2913" s="122" t="s">
        <v>713</v>
      </c>
      <c r="K2913" s="283">
        <v>16039</v>
      </c>
      <c r="L2913" s="318">
        <v>-34.050944999999999</v>
      </c>
      <c r="M2913" s="318">
        <v>150.82540900000001</v>
      </c>
      <c r="O2913">
        <f>INDEX('MEC - traffic congestion'!$M$145:$M$249,MATCH($D2913,'MEC - traffic congestion'!$C$145:$C$249,0))</f>
        <v>0</v>
      </c>
      <c r="P2913" t="str">
        <f t="shared" si="131"/>
        <v/>
      </c>
      <c r="Q2913">
        <f t="shared" si="132"/>
        <v>1</v>
      </c>
      <c r="R2913" s="195" t="str">
        <f t="shared" si="133"/>
        <v/>
      </c>
    </row>
    <row r="2914" spans="3:18" x14ac:dyDescent="0.25">
      <c r="C2914" s="294" t="s">
        <v>959</v>
      </c>
      <c r="D2914" s="317">
        <v>83011</v>
      </c>
      <c r="E2914" s="122" t="s">
        <v>960</v>
      </c>
      <c r="F2914" s="122" t="s">
        <v>961</v>
      </c>
      <c r="G2914" s="122" t="s">
        <v>776</v>
      </c>
      <c r="H2914" s="122" t="s">
        <v>777</v>
      </c>
      <c r="I2914" s="312">
        <v>2020</v>
      </c>
      <c r="J2914" s="122" t="s">
        <v>709</v>
      </c>
      <c r="K2914" s="283">
        <v>4508</v>
      </c>
      <c r="L2914" s="318">
        <v>-34.050944999999999</v>
      </c>
      <c r="M2914" s="318">
        <v>150.82540900000001</v>
      </c>
      <c r="O2914">
        <f>INDEX('MEC - traffic congestion'!$M$145:$M$249,MATCH($D2914,'MEC - traffic congestion'!$C$145:$C$249,0))</f>
        <v>0</v>
      </c>
      <c r="P2914" t="str">
        <f t="shared" si="131"/>
        <v/>
      </c>
      <c r="Q2914">
        <f t="shared" si="132"/>
        <v>1</v>
      </c>
      <c r="R2914" s="195" t="str">
        <f t="shared" si="133"/>
        <v/>
      </c>
    </row>
    <row r="2915" spans="3:18" x14ac:dyDescent="0.25">
      <c r="C2915" s="294" t="s">
        <v>959</v>
      </c>
      <c r="D2915" s="317">
        <v>83011</v>
      </c>
      <c r="E2915" s="122" t="s">
        <v>960</v>
      </c>
      <c r="F2915" s="122" t="s">
        <v>961</v>
      </c>
      <c r="G2915" s="122" t="s">
        <v>778</v>
      </c>
      <c r="H2915" s="122" t="s">
        <v>777</v>
      </c>
      <c r="I2915" s="312">
        <v>2020</v>
      </c>
      <c r="J2915" s="122" t="s">
        <v>709</v>
      </c>
      <c r="K2915" s="283">
        <v>4478</v>
      </c>
      <c r="L2915" s="318">
        <v>-34.050944999999999</v>
      </c>
      <c r="M2915" s="318">
        <v>150.82540900000001</v>
      </c>
      <c r="O2915">
        <f>INDEX('MEC - traffic congestion'!$M$145:$M$249,MATCH($D2915,'MEC - traffic congestion'!$C$145:$C$249,0))</f>
        <v>0</v>
      </c>
      <c r="P2915" t="str">
        <f t="shared" si="131"/>
        <v/>
      </c>
      <c r="Q2915">
        <f t="shared" si="132"/>
        <v>1</v>
      </c>
      <c r="R2915" s="195" t="str">
        <f t="shared" si="133"/>
        <v/>
      </c>
    </row>
    <row r="2916" spans="3:18" x14ac:dyDescent="0.25">
      <c r="C2916" s="294" t="s">
        <v>959</v>
      </c>
      <c r="D2916" s="317">
        <v>83011</v>
      </c>
      <c r="E2916" s="122" t="s">
        <v>960</v>
      </c>
      <c r="F2916" s="122" t="s">
        <v>961</v>
      </c>
      <c r="G2916" s="122" t="s">
        <v>776</v>
      </c>
      <c r="H2916" s="122" t="s">
        <v>777</v>
      </c>
      <c r="I2916" s="312">
        <v>2020</v>
      </c>
      <c r="J2916" s="122" t="s">
        <v>710</v>
      </c>
      <c r="K2916" s="283">
        <v>10448</v>
      </c>
      <c r="L2916" s="318">
        <v>-34.050944999999999</v>
      </c>
      <c r="M2916" s="318">
        <v>150.82540900000001</v>
      </c>
      <c r="O2916">
        <f>INDEX('MEC - traffic congestion'!$M$145:$M$249,MATCH($D2916,'MEC - traffic congestion'!$C$145:$C$249,0))</f>
        <v>0</v>
      </c>
      <c r="P2916" t="str">
        <f t="shared" si="131"/>
        <v/>
      </c>
      <c r="Q2916">
        <f t="shared" si="132"/>
        <v>1</v>
      </c>
      <c r="R2916" s="195" t="str">
        <f t="shared" si="133"/>
        <v/>
      </c>
    </row>
    <row r="2917" spans="3:18" x14ac:dyDescent="0.25">
      <c r="C2917" s="294" t="s">
        <v>959</v>
      </c>
      <c r="D2917" s="317">
        <v>83011</v>
      </c>
      <c r="E2917" s="122" t="s">
        <v>960</v>
      </c>
      <c r="F2917" s="122" t="s">
        <v>961</v>
      </c>
      <c r="G2917" s="122" t="s">
        <v>778</v>
      </c>
      <c r="H2917" s="122" t="s">
        <v>777</v>
      </c>
      <c r="I2917" s="312">
        <v>2020</v>
      </c>
      <c r="J2917" s="122" t="s">
        <v>710</v>
      </c>
      <c r="K2917" s="283">
        <v>8016</v>
      </c>
      <c r="L2917" s="318">
        <v>-34.050944999999999</v>
      </c>
      <c r="M2917" s="318">
        <v>150.82540900000001</v>
      </c>
      <c r="O2917">
        <f>INDEX('MEC - traffic congestion'!$M$145:$M$249,MATCH($D2917,'MEC - traffic congestion'!$C$145:$C$249,0))</f>
        <v>0</v>
      </c>
      <c r="P2917" t="str">
        <f t="shared" si="131"/>
        <v/>
      </c>
      <c r="Q2917">
        <f t="shared" si="132"/>
        <v>1</v>
      </c>
      <c r="R2917" s="195" t="str">
        <f t="shared" si="133"/>
        <v/>
      </c>
    </row>
    <row r="2918" spans="3:18" x14ac:dyDescent="0.25">
      <c r="C2918" s="294" t="s">
        <v>959</v>
      </c>
      <c r="D2918" s="317">
        <v>83011</v>
      </c>
      <c r="E2918" s="122" t="s">
        <v>960</v>
      </c>
      <c r="F2918" s="122" t="s">
        <v>961</v>
      </c>
      <c r="G2918" s="122" t="s">
        <v>776</v>
      </c>
      <c r="H2918" s="122" t="s">
        <v>777</v>
      </c>
      <c r="I2918" s="312">
        <v>2020</v>
      </c>
      <c r="J2918" s="122" t="s">
        <v>711</v>
      </c>
      <c r="K2918" s="283">
        <v>4451</v>
      </c>
      <c r="L2918" s="318">
        <v>-34.050944999999999</v>
      </c>
      <c r="M2918" s="318">
        <v>150.82540900000001</v>
      </c>
      <c r="O2918">
        <f>INDEX('MEC - traffic congestion'!$M$145:$M$249,MATCH($D2918,'MEC - traffic congestion'!$C$145:$C$249,0))</f>
        <v>0</v>
      </c>
      <c r="P2918" t="str">
        <f t="shared" si="131"/>
        <v/>
      </c>
      <c r="Q2918">
        <f t="shared" si="132"/>
        <v>1</v>
      </c>
      <c r="R2918" s="195" t="str">
        <f t="shared" si="133"/>
        <v/>
      </c>
    </row>
    <row r="2919" spans="3:18" x14ac:dyDescent="0.25">
      <c r="C2919" s="294" t="s">
        <v>959</v>
      </c>
      <c r="D2919" s="317">
        <v>83011</v>
      </c>
      <c r="E2919" s="122" t="s">
        <v>960</v>
      </c>
      <c r="F2919" s="122" t="s">
        <v>961</v>
      </c>
      <c r="G2919" s="122" t="s">
        <v>778</v>
      </c>
      <c r="H2919" s="122" t="s">
        <v>777</v>
      </c>
      <c r="I2919" s="312">
        <v>2020</v>
      </c>
      <c r="J2919" s="122" t="s">
        <v>711</v>
      </c>
      <c r="K2919" s="283">
        <v>4529</v>
      </c>
      <c r="L2919" s="318">
        <v>-34.050944999999999</v>
      </c>
      <c r="M2919" s="318">
        <v>150.82540900000001</v>
      </c>
      <c r="O2919">
        <f>INDEX('MEC - traffic congestion'!$M$145:$M$249,MATCH($D2919,'MEC - traffic congestion'!$C$145:$C$249,0))</f>
        <v>0</v>
      </c>
      <c r="P2919" t="str">
        <f t="shared" si="131"/>
        <v/>
      </c>
      <c r="Q2919">
        <f t="shared" si="132"/>
        <v>1</v>
      </c>
      <c r="R2919" s="195" t="str">
        <f t="shared" si="133"/>
        <v/>
      </c>
    </row>
    <row r="2920" spans="3:18" x14ac:dyDescent="0.25">
      <c r="C2920" s="294" t="s">
        <v>959</v>
      </c>
      <c r="D2920" s="317">
        <v>83011</v>
      </c>
      <c r="E2920" s="122" t="s">
        <v>960</v>
      </c>
      <c r="F2920" s="122" t="s">
        <v>961</v>
      </c>
      <c r="G2920" s="122" t="s">
        <v>776</v>
      </c>
      <c r="H2920" s="122" t="s">
        <v>777</v>
      </c>
      <c r="I2920" s="312">
        <v>2020</v>
      </c>
      <c r="J2920" s="122" t="s">
        <v>712</v>
      </c>
      <c r="K2920" s="283">
        <v>11871</v>
      </c>
      <c r="L2920" s="318">
        <v>-34.050944999999999</v>
      </c>
      <c r="M2920" s="318">
        <v>150.82540900000001</v>
      </c>
      <c r="O2920">
        <f>INDEX('MEC - traffic congestion'!$M$145:$M$249,MATCH($D2920,'MEC - traffic congestion'!$C$145:$C$249,0))</f>
        <v>0</v>
      </c>
      <c r="P2920" t="str">
        <f t="shared" si="131"/>
        <v/>
      </c>
      <c r="Q2920">
        <f t="shared" si="132"/>
        <v>1</v>
      </c>
      <c r="R2920" s="195" t="str">
        <f t="shared" si="133"/>
        <v/>
      </c>
    </row>
    <row r="2921" spans="3:18" x14ac:dyDescent="0.25">
      <c r="C2921" s="294" t="s">
        <v>959</v>
      </c>
      <c r="D2921" s="317">
        <v>83011</v>
      </c>
      <c r="E2921" s="122" t="s">
        <v>960</v>
      </c>
      <c r="F2921" s="122" t="s">
        <v>961</v>
      </c>
      <c r="G2921" s="122" t="s">
        <v>778</v>
      </c>
      <c r="H2921" s="122" t="s">
        <v>777</v>
      </c>
      <c r="I2921" s="312">
        <v>2020</v>
      </c>
      <c r="J2921" s="122" t="s">
        <v>712</v>
      </c>
      <c r="K2921" s="283">
        <v>10333</v>
      </c>
      <c r="L2921" s="318">
        <v>-34.050944999999999</v>
      </c>
      <c r="M2921" s="318">
        <v>150.82540900000001</v>
      </c>
      <c r="O2921">
        <f>INDEX('MEC - traffic congestion'!$M$145:$M$249,MATCH($D2921,'MEC - traffic congestion'!$C$145:$C$249,0))</f>
        <v>0</v>
      </c>
      <c r="P2921" t="str">
        <f t="shared" si="131"/>
        <v/>
      </c>
      <c r="Q2921">
        <f t="shared" si="132"/>
        <v>1</v>
      </c>
      <c r="R2921" s="195" t="str">
        <f t="shared" si="133"/>
        <v/>
      </c>
    </row>
    <row r="2922" spans="3:18" x14ac:dyDescent="0.25">
      <c r="C2922" s="294" t="s">
        <v>959</v>
      </c>
      <c r="D2922" s="317">
        <v>83011</v>
      </c>
      <c r="E2922" s="122" t="s">
        <v>960</v>
      </c>
      <c r="F2922" s="122" t="s">
        <v>961</v>
      </c>
      <c r="G2922" s="122" t="s">
        <v>776</v>
      </c>
      <c r="H2922" s="122" t="s">
        <v>777</v>
      </c>
      <c r="I2922" s="312">
        <v>2020</v>
      </c>
      <c r="J2922" s="122" t="s">
        <v>713</v>
      </c>
      <c r="K2922" s="283">
        <v>15184</v>
      </c>
      <c r="L2922" s="318">
        <v>-34.050944999999999</v>
      </c>
      <c r="M2922" s="318">
        <v>150.82540900000001</v>
      </c>
      <c r="O2922">
        <f>INDEX('MEC - traffic congestion'!$M$145:$M$249,MATCH($D2922,'MEC - traffic congestion'!$C$145:$C$249,0))</f>
        <v>0</v>
      </c>
      <c r="P2922" t="str">
        <f t="shared" si="131"/>
        <v/>
      </c>
      <c r="Q2922">
        <f t="shared" si="132"/>
        <v>1</v>
      </c>
      <c r="R2922" s="195" t="str">
        <f t="shared" si="133"/>
        <v/>
      </c>
    </row>
    <row r="2923" spans="3:18" x14ac:dyDescent="0.25">
      <c r="C2923" s="294" t="s">
        <v>959</v>
      </c>
      <c r="D2923" s="317">
        <v>83011</v>
      </c>
      <c r="E2923" s="122" t="s">
        <v>960</v>
      </c>
      <c r="F2923" s="122" t="s">
        <v>961</v>
      </c>
      <c r="G2923" s="122" t="s">
        <v>778</v>
      </c>
      <c r="H2923" s="122" t="s">
        <v>777</v>
      </c>
      <c r="I2923" s="312">
        <v>2020</v>
      </c>
      <c r="J2923" s="122" t="s">
        <v>713</v>
      </c>
      <c r="K2923" s="283">
        <v>13543</v>
      </c>
      <c r="L2923" s="318">
        <v>-34.050944999999999</v>
      </c>
      <c r="M2923" s="318">
        <v>150.82540900000001</v>
      </c>
      <c r="O2923">
        <f>INDEX('MEC - traffic congestion'!$M$145:$M$249,MATCH($D2923,'MEC - traffic congestion'!$C$145:$C$249,0))</f>
        <v>0</v>
      </c>
      <c r="P2923" t="str">
        <f t="shared" si="131"/>
        <v/>
      </c>
      <c r="Q2923">
        <f t="shared" si="132"/>
        <v>1</v>
      </c>
      <c r="R2923" s="195" t="str">
        <f t="shared" si="133"/>
        <v/>
      </c>
    </row>
    <row r="2924" spans="3:18" x14ac:dyDescent="0.25">
      <c r="C2924" s="294" t="s">
        <v>962</v>
      </c>
      <c r="D2924" s="317">
        <v>87001</v>
      </c>
      <c r="E2924" s="122" t="s">
        <v>870</v>
      </c>
      <c r="F2924" s="122" t="s">
        <v>963</v>
      </c>
      <c r="G2924" s="122" t="s">
        <v>785</v>
      </c>
      <c r="H2924" s="122" t="s">
        <v>777</v>
      </c>
      <c r="I2924" s="312">
        <v>2018</v>
      </c>
      <c r="J2924" s="122" t="s">
        <v>709</v>
      </c>
      <c r="K2924" s="283">
        <v>3500</v>
      </c>
      <c r="L2924" s="318">
        <v>-33.746132000000003</v>
      </c>
      <c r="M2924" s="318">
        <v>150.681915</v>
      </c>
      <c r="O2924">
        <f>INDEX('MEC - traffic congestion'!$M$145:$M$249,MATCH($D2924,'MEC - traffic congestion'!$C$145:$C$249,0))</f>
        <v>1</v>
      </c>
      <c r="P2924" t="str">
        <f t="shared" si="131"/>
        <v>2018AM PEAK</v>
      </c>
      <c r="Q2924">
        <f t="shared" si="132"/>
        <v>1</v>
      </c>
      <c r="R2924" s="195" t="str">
        <f t="shared" si="133"/>
        <v>2018LIGHT VEHICLES</v>
      </c>
    </row>
    <row r="2925" spans="3:18" x14ac:dyDescent="0.25">
      <c r="C2925" s="294" t="s">
        <v>962</v>
      </c>
      <c r="D2925" s="317">
        <v>87001</v>
      </c>
      <c r="E2925" s="122" t="s">
        <v>870</v>
      </c>
      <c r="F2925" s="122" t="s">
        <v>963</v>
      </c>
      <c r="G2925" s="122" t="s">
        <v>785</v>
      </c>
      <c r="H2925" s="122" t="s">
        <v>777</v>
      </c>
      <c r="I2925" s="312">
        <v>2018</v>
      </c>
      <c r="J2925" s="122" t="s">
        <v>710</v>
      </c>
      <c r="K2925" s="283">
        <v>4855</v>
      </c>
      <c r="L2925" s="318">
        <v>-33.746132000000003</v>
      </c>
      <c r="M2925" s="318">
        <v>150.681915</v>
      </c>
      <c r="O2925">
        <f>INDEX('MEC - traffic congestion'!$M$145:$M$249,MATCH($D2925,'MEC - traffic congestion'!$C$145:$C$249,0))</f>
        <v>1</v>
      </c>
      <c r="P2925" t="str">
        <f t="shared" si="131"/>
        <v>2018OFF PEAK</v>
      </c>
      <c r="Q2925">
        <f t="shared" si="132"/>
        <v>1</v>
      </c>
      <c r="R2925" s="195" t="str">
        <f t="shared" si="133"/>
        <v>2018LIGHT VEHICLES</v>
      </c>
    </row>
    <row r="2926" spans="3:18" x14ac:dyDescent="0.25">
      <c r="C2926" s="294" t="s">
        <v>962</v>
      </c>
      <c r="D2926" s="317">
        <v>87001</v>
      </c>
      <c r="E2926" s="122" t="s">
        <v>870</v>
      </c>
      <c r="F2926" s="122" t="s">
        <v>963</v>
      </c>
      <c r="G2926" s="122" t="s">
        <v>785</v>
      </c>
      <c r="H2926" s="122" t="s">
        <v>777</v>
      </c>
      <c r="I2926" s="312">
        <v>2018</v>
      </c>
      <c r="J2926" s="122" t="s">
        <v>711</v>
      </c>
      <c r="K2926" s="283">
        <v>2198</v>
      </c>
      <c r="L2926" s="318">
        <v>-33.746132000000003</v>
      </c>
      <c r="M2926" s="318">
        <v>150.681915</v>
      </c>
      <c r="O2926">
        <f>INDEX('MEC - traffic congestion'!$M$145:$M$249,MATCH($D2926,'MEC - traffic congestion'!$C$145:$C$249,0))</f>
        <v>1</v>
      </c>
      <c r="P2926" t="str">
        <f t="shared" si="131"/>
        <v>2018PM PEAK</v>
      </c>
      <c r="Q2926">
        <f t="shared" si="132"/>
        <v>1</v>
      </c>
      <c r="R2926" s="195" t="str">
        <f t="shared" si="133"/>
        <v>2018LIGHT VEHICLES</v>
      </c>
    </row>
    <row r="2927" spans="3:18" x14ac:dyDescent="0.25">
      <c r="C2927" s="294" t="s">
        <v>962</v>
      </c>
      <c r="D2927" s="317">
        <v>87001</v>
      </c>
      <c r="E2927" s="122" t="s">
        <v>870</v>
      </c>
      <c r="F2927" s="122" t="s">
        <v>963</v>
      </c>
      <c r="G2927" s="122" t="s">
        <v>785</v>
      </c>
      <c r="H2927" s="122" t="s">
        <v>777</v>
      </c>
      <c r="I2927" s="312">
        <v>2018</v>
      </c>
      <c r="J2927" s="122" t="s">
        <v>712</v>
      </c>
      <c r="K2927" s="283">
        <v>6831</v>
      </c>
      <c r="L2927" s="318">
        <v>-33.746132000000003</v>
      </c>
      <c r="M2927" s="318">
        <v>150.681915</v>
      </c>
      <c r="O2927">
        <f>INDEX('MEC - traffic congestion'!$M$145:$M$249,MATCH($D2927,'MEC - traffic congestion'!$C$145:$C$249,0))</f>
        <v>1</v>
      </c>
      <c r="P2927" t="str">
        <f t="shared" si="131"/>
        <v>2018PUBLIC HOLIDAYS</v>
      </c>
      <c r="Q2927">
        <f t="shared" si="132"/>
        <v>1</v>
      </c>
      <c r="R2927" s="195" t="str">
        <f t="shared" si="133"/>
        <v>2018LIGHT VEHICLES</v>
      </c>
    </row>
    <row r="2928" spans="3:18" x14ac:dyDescent="0.25">
      <c r="C2928" s="294" t="s">
        <v>962</v>
      </c>
      <c r="D2928" s="317">
        <v>87001</v>
      </c>
      <c r="E2928" s="122" t="s">
        <v>870</v>
      </c>
      <c r="F2928" s="122" t="s">
        <v>963</v>
      </c>
      <c r="G2928" s="122" t="s">
        <v>785</v>
      </c>
      <c r="H2928" s="122" t="s">
        <v>777</v>
      </c>
      <c r="I2928" s="312">
        <v>2018</v>
      </c>
      <c r="J2928" s="122" t="s">
        <v>713</v>
      </c>
      <c r="K2928" s="283">
        <v>9676</v>
      </c>
      <c r="L2928" s="318">
        <v>-33.746132000000003</v>
      </c>
      <c r="M2928" s="318">
        <v>150.681915</v>
      </c>
      <c r="O2928">
        <f>INDEX('MEC - traffic congestion'!$M$145:$M$249,MATCH($D2928,'MEC - traffic congestion'!$C$145:$C$249,0))</f>
        <v>1</v>
      </c>
      <c r="P2928" t="str">
        <f t="shared" si="131"/>
        <v>2018WEEKENDS</v>
      </c>
      <c r="Q2928">
        <f t="shared" si="132"/>
        <v>1</v>
      </c>
      <c r="R2928" s="195" t="str">
        <f t="shared" si="133"/>
        <v>2018LIGHT VEHICLES</v>
      </c>
    </row>
    <row r="2929" spans="3:18" x14ac:dyDescent="0.25">
      <c r="C2929" s="294" t="s">
        <v>962</v>
      </c>
      <c r="D2929" s="317">
        <v>87001</v>
      </c>
      <c r="E2929" s="122" t="s">
        <v>870</v>
      </c>
      <c r="F2929" s="122" t="s">
        <v>963</v>
      </c>
      <c r="G2929" s="122" t="s">
        <v>785</v>
      </c>
      <c r="H2929" s="122" t="s">
        <v>777</v>
      </c>
      <c r="I2929" s="312">
        <v>2019</v>
      </c>
      <c r="J2929" s="122" t="s">
        <v>709</v>
      </c>
      <c r="K2929" s="283">
        <v>2719</v>
      </c>
      <c r="L2929" s="318">
        <v>-33.746132000000003</v>
      </c>
      <c r="M2929" s="318">
        <v>150.681915</v>
      </c>
      <c r="O2929">
        <f>INDEX('MEC - traffic congestion'!$M$145:$M$249,MATCH($D2929,'MEC - traffic congestion'!$C$145:$C$249,0))</f>
        <v>1</v>
      </c>
      <c r="P2929" t="str">
        <f t="shared" si="131"/>
        <v>2019AM PEAK</v>
      </c>
      <c r="Q2929">
        <f t="shared" si="132"/>
        <v>1</v>
      </c>
      <c r="R2929" s="195" t="str">
        <f t="shared" si="133"/>
        <v>2019LIGHT VEHICLES</v>
      </c>
    </row>
    <row r="2930" spans="3:18" x14ac:dyDescent="0.25">
      <c r="C2930" s="294" t="s">
        <v>962</v>
      </c>
      <c r="D2930" s="317">
        <v>87001</v>
      </c>
      <c r="E2930" s="122" t="s">
        <v>870</v>
      </c>
      <c r="F2930" s="122" t="s">
        <v>963</v>
      </c>
      <c r="G2930" s="122" t="s">
        <v>785</v>
      </c>
      <c r="H2930" s="122" t="s">
        <v>777</v>
      </c>
      <c r="I2930" s="312">
        <v>2019</v>
      </c>
      <c r="J2930" s="122" t="s">
        <v>710</v>
      </c>
      <c r="K2930" s="283">
        <v>2946</v>
      </c>
      <c r="L2930" s="318">
        <v>-33.746132000000003</v>
      </c>
      <c r="M2930" s="318">
        <v>150.681915</v>
      </c>
      <c r="O2930">
        <f>INDEX('MEC - traffic congestion'!$M$145:$M$249,MATCH($D2930,'MEC - traffic congestion'!$C$145:$C$249,0))</f>
        <v>1</v>
      </c>
      <c r="P2930" t="str">
        <f t="shared" si="131"/>
        <v>2019OFF PEAK</v>
      </c>
      <c r="Q2930">
        <f t="shared" si="132"/>
        <v>1</v>
      </c>
      <c r="R2930" s="195" t="str">
        <f t="shared" si="133"/>
        <v>2019LIGHT VEHICLES</v>
      </c>
    </row>
    <row r="2931" spans="3:18" x14ac:dyDescent="0.25">
      <c r="C2931" s="294" t="s">
        <v>962</v>
      </c>
      <c r="D2931" s="317">
        <v>87001</v>
      </c>
      <c r="E2931" s="122" t="s">
        <v>870</v>
      </c>
      <c r="F2931" s="122" t="s">
        <v>963</v>
      </c>
      <c r="G2931" s="122" t="s">
        <v>785</v>
      </c>
      <c r="H2931" s="122" t="s">
        <v>777</v>
      </c>
      <c r="I2931" s="312">
        <v>2019</v>
      </c>
      <c r="J2931" s="122" t="s">
        <v>711</v>
      </c>
      <c r="K2931" s="283">
        <v>972</v>
      </c>
      <c r="L2931" s="318">
        <v>-33.746132000000003</v>
      </c>
      <c r="M2931" s="318">
        <v>150.681915</v>
      </c>
      <c r="O2931">
        <f>INDEX('MEC - traffic congestion'!$M$145:$M$249,MATCH($D2931,'MEC - traffic congestion'!$C$145:$C$249,0))</f>
        <v>1</v>
      </c>
      <c r="P2931" t="str">
        <f t="shared" si="131"/>
        <v>2019PM PEAK</v>
      </c>
      <c r="Q2931">
        <f t="shared" si="132"/>
        <v>1</v>
      </c>
      <c r="R2931" s="195" t="str">
        <f t="shared" si="133"/>
        <v>2019LIGHT VEHICLES</v>
      </c>
    </row>
    <row r="2932" spans="3:18" x14ac:dyDescent="0.25">
      <c r="C2932" s="294" t="s">
        <v>962</v>
      </c>
      <c r="D2932" s="317">
        <v>87001</v>
      </c>
      <c r="E2932" s="122" t="s">
        <v>870</v>
      </c>
      <c r="F2932" s="122" t="s">
        <v>963</v>
      </c>
      <c r="G2932" s="122" t="s">
        <v>785</v>
      </c>
      <c r="H2932" s="122" t="s">
        <v>777</v>
      </c>
      <c r="I2932" s="312">
        <v>2019</v>
      </c>
      <c r="J2932" s="122" t="s">
        <v>712</v>
      </c>
      <c r="K2932" s="283">
        <v>2913</v>
      </c>
      <c r="L2932" s="318">
        <v>-33.746132000000003</v>
      </c>
      <c r="M2932" s="318">
        <v>150.681915</v>
      </c>
      <c r="O2932">
        <f>INDEX('MEC - traffic congestion'!$M$145:$M$249,MATCH($D2932,'MEC - traffic congestion'!$C$145:$C$249,0))</f>
        <v>1</v>
      </c>
      <c r="P2932" t="str">
        <f t="shared" si="131"/>
        <v>2019PUBLIC HOLIDAYS</v>
      </c>
      <c r="Q2932">
        <f t="shared" si="132"/>
        <v>1</v>
      </c>
      <c r="R2932" s="195" t="str">
        <f t="shared" si="133"/>
        <v>2019LIGHT VEHICLES</v>
      </c>
    </row>
    <row r="2933" spans="3:18" x14ac:dyDescent="0.25">
      <c r="C2933" s="294" t="s">
        <v>962</v>
      </c>
      <c r="D2933" s="317">
        <v>87001</v>
      </c>
      <c r="E2933" s="122" t="s">
        <v>870</v>
      </c>
      <c r="F2933" s="122" t="s">
        <v>963</v>
      </c>
      <c r="G2933" s="122" t="s">
        <v>785</v>
      </c>
      <c r="H2933" s="122" t="s">
        <v>777</v>
      </c>
      <c r="I2933" s="312">
        <v>2019</v>
      </c>
      <c r="J2933" s="122" t="s">
        <v>713</v>
      </c>
      <c r="K2933" s="283">
        <v>5686</v>
      </c>
      <c r="L2933" s="318">
        <v>-33.746132000000003</v>
      </c>
      <c r="M2933" s="318">
        <v>150.681915</v>
      </c>
      <c r="O2933">
        <f>INDEX('MEC - traffic congestion'!$M$145:$M$249,MATCH($D2933,'MEC - traffic congestion'!$C$145:$C$249,0))</f>
        <v>1</v>
      </c>
      <c r="P2933" t="str">
        <f t="shared" si="131"/>
        <v>2019WEEKENDS</v>
      </c>
      <c r="Q2933">
        <f t="shared" si="132"/>
        <v>1</v>
      </c>
      <c r="R2933" s="195" t="str">
        <f t="shared" si="133"/>
        <v>2019LIGHT VEHICLES</v>
      </c>
    </row>
    <row r="2934" spans="3:18" x14ac:dyDescent="0.25">
      <c r="C2934" s="294" t="s">
        <v>962</v>
      </c>
      <c r="D2934" s="317">
        <v>87001</v>
      </c>
      <c r="E2934" s="122" t="s">
        <v>870</v>
      </c>
      <c r="F2934" s="122" t="s">
        <v>963</v>
      </c>
      <c r="G2934" s="122" t="s">
        <v>785</v>
      </c>
      <c r="H2934" s="122" t="s">
        <v>777</v>
      </c>
      <c r="I2934" s="312">
        <v>2020</v>
      </c>
      <c r="J2934" s="122" t="s">
        <v>709</v>
      </c>
      <c r="K2934" s="283">
        <v>2700</v>
      </c>
      <c r="L2934" s="318">
        <v>-33.746132000000003</v>
      </c>
      <c r="M2934" s="318">
        <v>150.681915</v>
      </c>
      <c r="O2934">
        <f>INDEX('MEC - traffic congestion'!$M$145:$M$249,MATCH($D2934,'MEC - traffic congestion'!$C$145:$C$249,0))</f>
        <v>1</v>
      </c>
      <c r="P2934" t="str">
        <f t="shared" si="131"/>
        <v>2020AM PEAK</v>
      </c>
      <c r="Q2934">
        <f t="shared" si="132"/>
        <v>1</v>
      </c>
      <c r="R2934" s="195" t="str">
        <f t="shared" si="133"/>
        <v>2020LIGHT VEHICLES</v>
      </c>
    </row>
    <row r="2935" spans="3:18" x14ac:dyDescent="0.25">
      <c r="C2935" s="294" t="s">
        <v>962</v>
      </c>
      <c r="D2935" s="317">
        <v>87001</v>
      </c>
      <c r="E2935" s="122" t="s">
        <v>870</v>
      </c>
      <c r="F2935" s="122" t="s">
        <v>963</v>
      </c>
      <c r="G2935" s="122" t="s">
        <v>785</v>
      </c>
      <c r="H2935" s="122" t="s">
        <v>777</v>
      </c>
      <c r="I2935" s="312">
        <v>2020</v>
      </c>
      <c r="J2935" s="122" t="s">
        <v>710</v>
      </c>
      <c r="K2935" s="283">
        <v>5187</v>
      </c>
      <c r="L2935" s="318">
        <v>-33.746132000000003</v>
      </c>
      <c r="M2935" s="318">
        <v>150.681915</v>
      </c>
      <c r="O2935">
        <f>INDEX('MEC - traffic congestion'!$M$145:$M$249,MATCH($D2935,'MEC - traffic congestion'!$C$145:$C$249,0))</f>
        <v>1</v>
      </c>
      <c r="P2935" t="str">
        <f t="shared" si="131"/>
        <v>2020OFF PEAK</v>
      </c>
      <c r="Q2935">
        <f t="shared" si="132"/>
        <v>1</v>
      </c>
      <c r="R2935" s="195" t="str">
        <f t="shared" si="133"/>
        <v>2020LIGHT VEHICLES</v>
      </c>
    </row>
    <row r="2936" spans="3:18" x14ac:dyDescent="0.25">
      <c r="C2936" s="294" t="s">
        <v>962</v>
      </c>
      <c r="D2936" s="317">
        <v>87001</v>
      </c>
      <c r="E2936" s="122" t="s">
        <v>870</v>
      </c>
      <c r="F2936" s="122" t="s">
        <v>963</v>
      </c>
      <c r="G2936" s="122" t="s">
        <v>785</v>
      </c>
      <c r="H2936" s="122" t="s">
        <v>777</v>
      </c>
      <c r="I2936" s="312">
        <v>2020</v>
      </c>
      <c r="J2936" s="122" t="s">
        <v>711</v>
      </c>
      <c r="K2936" s="283">
        <v>2426</v>
      </c>
      <c r="L2936" s="318">
        <v>-33.746132000000003</v>
      </c>
      <c r="M2936" s="318">
        <v>150.681915</v>
      </c>
      <c r="O2936">
        <f>INDEX('MEC - traffic congestion'!$M$145:$M$249,MATCH($D2936,'MEC - traffic congestion'!$C$145:$C$249,0))</f>
        <v>1</v>
      </c>
      <c r="P2936" t="str">
        <f t="shared" si="131"/>
        <v>2020PM PEAK</v>
      </c>
      <c r="Q2936">
        <f t="shared" si="132"/>
        <v>1</v>
      </c>
      <c r="R2936" s="195" t="str">
        <f t="shared" si="133"/>
        <v>2020LIGHT VEHICLES</v>
      </c>
    </row>
    <row r="2937" spans="3:18" x14ac:dyDescent="0.25">
      <c r="C2937" s="294" t="s">
        <v>962</v>
      </c>
      <c r="D2937" s="317">
        <v>87001</v>
      </c>
      <c r="E2937" s="122" t="s">
        <v>870</v>
      </c>
      <c r="F2937" s="122" t="s">
        <v>963</v>
      </c>
      <c r="G2937" s="122" t="s">
        <v>785</v>
      </c>
      <c r="H2937" s="122" t="s">
        <v>777</v>
      </c>
      <c r="I2937" s="312">
        <v>2020</v>
      </c>
      <c r="J2937" s="122" t="s">
        <v>712</v>
      </c>
      <c r="K2937" s="283">
        <v>7388</v>
      </c>
      <c r="L2937" s="318">
        <v>-33.746132000000003</v>
      </c>
      <c r="M2937" s="318">
        <v>150.681915</v>
      </c>
      <c r="O2937">
        <f>INDEX('MEC - traffic congestion'!$M$145:$M$249,MATCH($D2937,'MEC - traffic congestion'!$C$145:$C$249,0))</f>
        <v>1</v>
      </c>
      <c r="P2937" t="str">
        <f t="shared" si="131"/>
        <v>2020PUBLIC HOLIDAYS</v>
      </c>
      <c r="Q2937">
        <f t="shared" si="132"/>
        <v>1</v>
      </c>
      <c r="R2937" s="195" t="str">
        <f t="shared" si="133"/>
        <v>2020LIGHT VEHICLES</v>
      </c>
    </row>
    <row r="2938" spans="3:18" x14ac:dyDescent="0.25">
      <c r="C2938" s="294" t="s">
        <v>962</v>
      </c>
      <c r="D2938" s="317">
        <v>87001</v>
      </c>
      <c r="E2938" s="122" t="s">
        <v>870</v>
      </c>
      <c r="F2938" s="122" t="s">
        <v>963</v>
      </c>
      <c r="G2938" s="122" t="s">
        <v>785</v>
      </c>
      <c r="H2938" s="122" t="s">
        <v>777</v>
      </c>
      <c r="I2938" s="312">
        <v>2020</v>
      </c>
      <c r="J2938" s="122" t="s">
        <v>713</v>
      </c>
      <c r="K2938" s="283">
        <v>8003</v>
      </c>
      <c r="L2938" s="318">
        <v>-33.746132000000003</v>
      </c>
      <c r="M2938" s="318">
        <v>150.681915</v>
      </c>
      <c r="O2938">
        <f>INDEX('MEC - traffic congestion'!$M$145:$M$249,MATCH($D2938,'MEC - traffic congestion'!$C$145:$C$249,0))</f>
        <v>1</v>
      </c>
      <c r="P2938" t="str">
        <f t="shared" si="131"/>
        <v>2020WEEKENDS</v>
      </c>
      <c r="Q2938">
        <f t="shared" si="132"/>
        <v>1</v>
      </c>
      <c r="R2938" s="195" t="str">
        <f t="shared" si="133"/>
        <v>2020LIGHT VEHICLES</v>
      </c>
    </row>
    <row r="2939" spans="3:18" x14ac:dyDescent="0.25">
      <c r="C2939" s="294" t="s">
        <v>962</v>
      </c>
      <c r="D2939" s="317">
        <v>87001</v>
      </c>
      <c r="E2939" s="122" t="s">
        <v>870</v>
      </c>
      <c r="F2939" s="122" t="s">
        <v>963</v>
      </c>
      <c r="G2939" s="122" t="s">
        <v>785</v>
      </c>
      <c r="H2939" s="122" t="s">
        <v>777</v>
      </c>
      <c r="I2939" s="312">
        <v>2021</v>
      </c>
      <c r="J2939" s="122" t="s">
        <v>709</v>
      </c>
      <c r="K2939" s="283">
        <v>2264</v>
      </c>
      <c r="L2939" s="318">
        <v>-33.746132000000003</v>
      </c>
      <c r="M2939" s="318">
        <v>150.681915</v>
      </c>
      <c r="O2939">
        <f>INDEX('MEC - traffic congestion'!$M$145:$M$249,MATCH($D2939,'MEC - traffic congestion'!$C$145:$C$249,0))</f>
        <v>1</v>
      </c>
      <c r="P2939" t="str">
        <f t="shared" si="131"/>
        <v>2021AM PEAK</v>
      </c>
      <c r="Q2939">
        <f t="shared" si="132"/>
        <v>1</v>
      </c>
      <c r="R2939" s="195" t="str">
        <f t="shared" si="133"/>
        <v>2021LIGHT VEHICLES</v>
      </c>
    </row>
    <row r="2940" spans="3:18" x14ac:dyDescent="0.25">
      <c r="C2940" s="294" t="s">
        <v>962</v>
      </c>
      <c r="D2940" s="317">
        <v>87001</v>
      </c>
      <c r="E2940" s="122" t="s">
        <v>870</v>
      </c>
      <c r="F2940" s="122" t="s">
        <v>963</v>
      </c>
      <c r="G2940" s="122" t="s">
        <v>785</v>
      </c>
      <c r="H2940" s="122" t="s">
        <v>777</v>
      </c>
      <c r="I2940" s="312">
        <v>2021</v>
      </c>
      <c r="J2940" s="122" t="s">
        <v>710</v>
      </c>
      <c r="K2940" s="283">
        <v>4421</v>
      </c>
      <c r="L2940" s="318">
        <v>-33.746132000000003</v>
      </c>
      <c r="M2940" s="318">
        <v>150.681915</v>
      </c>
      <c r="O2940">
        <f>INDEX('MEC - traffic congestion'!$M$145:$M$249,MATCH($D2940,'MEC - traffic congestion'!$C$145:$C$249,0))</f>
        <v>1</v>
      </c>
      <c r="P2940" t="str">
        <f t="shared" si="131"/>
        <v>2021OFF PEAK</v>
      </c>
      <c r="Q2940">
        <f t="shared" si="132"/>
        <v>1</v>
      </c>
      <c r="R2940" s="195" t="str">
        <f t="shared" si="133"/>
        <v>2021LIGHT VEHICLES</v>
      </c>
    </row>
    <row r="2941" spans="3:18" x14ac:dyDescent="0.25">
      <c r="C2941" s="294" t="s">
        <v>962</v>
      </c>
      <c r="D2941" s="317">
        <v>87001</v>
      </c>
      <c r="E2941" s="122" t="s">
        <v>870</v>
      </c>
      <c r="F2941" s="122" t="s">
        <v>963</v>
      </c>
      <c r="G2941" s="122" t="s">
        <v>785</v>
      </c>
      <c r="H2941" s="122" t="s">
        <v>777</v>
      </c>
      <c r="I2941" s="312">
        <v>2021</v>
      </c>
      <c r="J2941" s="122" t="s">
        <v>711</v>
      </c>
      <c r="K2941" s="283">
        <v>2223</v>
      </c>
      <c r="L2941" s="318">
        <v>-33.746132000000003</v>
      </c>
      <c r="M2941" s="318">
        <v>150.681915</v>
      </c>
      <c r="O2941">
        <f>INDEX('MEC - traffic congestion'!$M$145:$M$249,MATCH($D2941,'MEC - traffic congestion'!$C$145:$C$249,0))</f>
        <v>1</v>
      </c>
      <c r="P2941" t="str">
        <f t="shared" si="131"/>
        <v>2021PM PEAK</v>
      </c>
      <c r="Q2941">
        <f t="shared" si="132"/>
        <v>1</v>
      </c>
      <c r="R2941" s="195" t="str">
        <f t="shared" si="133"/>
        <v>2021LIGHT VEHICLES</v>
      </c>
    </row>
    <row r="2942" spans="3:18" x14ac:dyDescent="0.25">
      <c r="C2942" s="294" t="s">
        <v>962</v>
      </c>
      <c r="D2942" s="317">
        <v>87001</v>
      </c>
      <c r="E2942" s="122" t="s">
        <v>870</v>
      </c>
      <c r="F2942" s="122" t="s">
        <v>963</v>
      </c>
      <c r="G2942" s="122" t="s">
        <v>785</v>
      </c>
      <c r="H2942" s="122" t="s">
        <v>777</v>
      </c>
      <c r="I2942" s="312">
        <v>2021</v>
      </c>
      <c r="J2942" s="122" t="s">
        <v>713</v>
      </c>
      <c r="K2942" s="283">
        <v>7768</v>
      </c>
      <c r="L2942" s="318">
        <v>-33.746132000000003</v>
      </c>
      <c r="M2942" s="318">
        <v>150.681915</v>
      </c>
      <c r="O2942">
        <f>INDEX('MEC - traffic congestion'!$M$145:$M$249,MATCH($D2942,'MEC - traffic congestion'!$C$145:$C$249,0))</f>
        <v>1</v>
      </c>
      <c r="P2942" t="str">
        <f t="shared" si="131"/>
        <v>2021WEEKENDS</v>
      </c>
      <c r="Q2942">
        <f t="shared" si="132"/>
        <v>1</v>
      </c>
      <c r="R2942" s="195" t="str">
        <f t="shared" si="133"/>
        <v>2021LIGHT VEHICLES</v>
      </c>
    </row>
    <row r="2943" spans="3:18" x14ac:dyDescent="0.25">
      <c r="C2943" s="294" t="s">
        <v>962</v>
      </c>
      <c r="D2943" s="317">
        <v>87001</v>
      </c>
      <c r="E2943" s="122" t="s">
        <v>870</v>
      </c>
      <c r="F2943" s="122" t="s">
        <v>963</v>
      </c>
      <c r="G2943" s="122" t="s">
        <v>785</v>
      </c>
      <c r="H2943" s="122" t="s">
        <v>777</v>
      </c>
      <c r="I2943" s="312">
        <v>2022</v>
      </c>
      <c r="J2943" s="122" t="s">
        <v>709</v>
      </c>
      <c r="K2943" s="283">
        <v>2587</v>
      </c>
      <c r="L2943" s="318">
        <v>-33.746132000000003</v>
      </c>
      <c r="M2943" s="318">
        <v>150.681915</v>
      </c>
      <c r="O2943">
        <f>INDEX('MEC - traffic congestion'!$M$145:$M$249,MATCH($D2943,'MEC - traffic congestion'!$C$145:$C$249,0))</f>
        <v>1</v>
      </c>
      <c r="P2943" t="str">
        <f t="shared" si="131"/>
        <v>2022AM PEAK</v>
      </c>
      <c r="Q2943">
        <f t="shared" si="132"/>
        <v>1</v>
      </c>
      <c r="R2943" s="195" t="str">
        <f t="shared" si="133"/>
        <v>2022LIGHT VEHICLES</v>
      </c>
    </row>
    <row r="2944" spans="3:18" x14ac:dyDescent="0.25">
      <c r="C2944" s="294" t="s">
        <v>962</v>
      </c>
      <c r="D2944" s="317">
        <v>87001</v>
      </c>
      <c r="E2944" s="122" t="s">
        <v>870</v>
      </c>
      <c r="F2944" s="122" t="s">
        <v>963</v>
      </c>
      <c r="G2944" s="122" t="s">
        <v>785</v>
      </c>
      <c r="H2944" s="122" t="s">
        <v>777</v>
      </c>
      <c r="I2944" s="312">
        <v>2022</v>
      </c>
      <c r="J2944" s="122" t="s">
        <v>710</v>
      </c>
      <c r="K2944" s="283">
        <v>5445</v>
      </c>
      <c r="L2944" s="318">
        <v>-33.746132000000003</v>
      </c>
      <c r="M2944" s="318">
        <v>150.681915</v>
      </c>
      <c r="O2944">
        <f>INDEX('MEC - traffic congestion'!$M$145:$M$249,MATCH($D2944,'MEC - traffic congestion'!$C$145:$C$249,0))</f>
        <v>1</v>
      </c>
      <c r="P2944" t="str">
        <f t="shared" si="131"/>
        <v>2022OFF PEAK</v>
      </c>
      <c r="Q2944">
        <f t="shared" si="132"/>
        <v>1</v>
      </c>
      <c r="R2944" s="195" t="str">
        <f t="shared" si="133"/>
        <v>2022LIGHT VEHICLES</v>
      </c>
    </row>
    <row r="2945" spans="3:18" x14ac:dyDescent="0.25">
      <c r="C2945" s="294" t="s">
        <v>962</v>
      </c>
      <c r="D2945" s="317">
        <v>87001</v>
      </c>
      <c r="E2945" s="122" t="s">
        <v>870</v>
      </c>
      <c r="F2945" s="122" t="s">
        <v>963</v>
      </c>
      <c r="G2945" s="122" t="s">
        <v>785</v>
      </c>
      <c r="H2945" s="122" t="s">
        <v>777</v>
      </c>
      <c r="I2945" s="312">
        <v>2022</v>
      </c>
      <c r="J2945" s="122" t="s">
        <v>711</v>
      </c>
      <c r="K2945" s="283">
        <v>2944</v>
      </c>
      <c r="L2945" s="318">
        <v>-33.746132000000003</v>
      </c>
      <c r="M2945" s="318">
        <v>150.681915</v>
      </c>
      <c r="O2945">
        <f>INDEX('MEC - traffic congestion'!$M$145:$M$249,MATCH($D2945,'MEC - traffic congestion'!$C$145:$C$249,0))</f>
        <v>1</v>
      </c>
      <c r="P2945" t="str">
        <f t="shared" si="131"/>
        <v>2022PM PEAK</v>
      </c>
      <c r="Q2945">
        <f t="shared" si="132"/>
        <v>1</v>
      </c>
      <c r="R2945" s="195" t="str">
        <f t="shared" si="133"/>
        <v>2022LIGHT VEHICLES</v>
      </c>
    </row>
    <row r="2946" spans="3:18" x14ac:dyDescent="0.25">
      <c r="C2946" s="294" t="s">
        <v>962</v>
      </c>
      <c r="D2946" s="317">
        <v>87001</v>
      </c>
      <c r="E2946" s="122" t="s">
        <v>870</v>
      </c>
      <c r="F2946" s="122" t="s">
        <v>963</v>
      </c>
      <c r="G2946" s="122" t="s">
        <v>785</v>
      </c>
      <c r="H2946" s="122" t="s">
        <v>777</v>
      </c>
      <c r="I2946" s="312">
        <v>2022</v>
      </c>
      <c r="J2946" s="122" t="s">
        <v>713</v>
      </c>
      <c r="K2946" s="283">
        <v>9734</v>
      </c>
      <c r="L2946" s="318">
        <v>-33.746132000000003</v>
      </c>
      <c r="M2946" s="318">
        <v>150.681915</v>
      </c>
      <c r="O2946">
        <f>INDEX('MEC - traffic congestion'!$M$145:$M$249,MATCH($D2946,'MEC - traffic congestion'!$C$145:$C$249,0))</f>
        <v>1</v>
      </c>
      <c r="P2946" t="str">
        <f t="shared" si="131"/>
        <v>2022WEEKENDS</v>
      </c>
      <c r="Q2946">
        <f t="shared" si="132"/>
        <v>1</v>
      </c>
      <c r="R2946" s="195" t="str">
        <f t="shared" si="133"/>
        <v>2022LIGHT VEHICLES</v>
      </c>
    </row>
    <row r="2947" spans="3:18" x14ac:dyDescent="0.25">
      <c r="C2947" s="294" t="s">
        <v>962</v>
      </c>
      <c r="D2947" s="317">
        <v>87001</v>
      </c>
      <c r="E2947" s="122" t="s">
        <v>870</v>
      </c>
      <c r="F2947" s="122" t="s">
        <v>963</v>
      </c>
      <c r="G2947" s="122" t="s">
        <v>785</v>
      </c>
      <c r="H2947" s="122" t="s">
        <v>777</v>
      </c>
      <c r="I2947" s="312">
        <v>2023</v>
      </c>
      <c r="J2947" s="122" t="s">
        <v>709</v>
      </c>
      <c r="K2947" s="283">
        <v>2598</v>
      </c>
      <c r="L2947" s="318">
        <v>-33.746132000000003</v>
      </c>
      <c r="M2947" s="318">
        <v>150.681915</v>
      </c>
      <c r="O2947">
        <f>INDEX('MEC - traffic congestion'!$M$145:$M$249,MATCH($D2947,'MEC - traffic congestion'!$C$145:$C$249,0))</f>
        <v>1</v>
      </c>
      <c r="P2947" t="str">
        <f t="shared" si="131"/>
        <v>2023AM PEAK</v>
      </c>
      <c r="Q2947">
        <f t="shared" si="132"/>
        <v>1</v>
      </c>
      <c r="R2947" s="195" t="str">
        <f t="shared" si="133"/>
        <v>2023LIGHT VEHICLES</v>
      </c>
    </row>
    <row r="2948" spans="3:18" x14ac:dyDescent="0.25">
      <c r="C2948" s="294" t="s">
        <v>962</v>
      </c>
      <c r="D2948" s="317">
        <v>87001</v>
      </c>
      <c r="E2948" s="122" t="s">
        <v>870</v>
      </c>
      <c r="F2948" s="122" t="s">
        <v>963</v>
      </c>
      <c r="G2948" s="122" t="s">
        <v>785</v>
      </c>
      <c r="H2948" s="122" t="s">
        <v>777</v>
      </c>
      <c r="I2948" s="312">
        <v>2023</v>
      </c>
      <c r="J2948" s="122" t="s">
        <v>710</v>
      </c>
      <c r="K2948" s="283">
        <v>5441</v>
      </c>
      <c r="L2948" s="318">
        <v>-33.746132000000003</v>
      </c>
      <c r="M2948" s="318">
        <v>150.681915</v>
      </c>
      <c r="O2948">
        <f>INDEX('MEC - traffic congestion'!$M$145:$M$249,MATCH($D2948,'MEC - traffic congestion'!$C$145:$C$249,0))</f>
        <v>1</v>
      </c>
      <c r="P2948" t="str">
        <f t="shared" si="131"/>
        <v>2023OFF PEAK</v>
      </c>
      <c r="Q2948">
        <f t="shared" si="132"/>
        <v>1</v>
      </c>
      <c r="R2948" s="195" t="str">
        <f t="shared" si="133"/>
        <v>2023LIGHT VEHICLES</v>
      </c>
    </row>
    <row r="2949" spans="3:18" x14ac:dyDescent="0.25">
      <c r="C2949" s="294" t="s">
        <v>962</v>
      </c>
      <c r="D2949" s="317">
        <v>87001</v>
      </c>
      <c r="E2949" s="122" t="s">
        <v>870</v>
      </c>
      <c r="F2949" s="122" t="s">
        <v>963</v>
      </c>
      <c r="G2949" s="122" t="s">
        <v>785</v>
      </c>
      <c r="H2949" s="122" t="s">
        <v>777</v>
      </c>
      <c r="I2949" s="312">
        <v>2023</v>
      </c>
      <c r="J2949" s="122" t="s">
        <v>711</v>
      </c>
      <c r="K2949" s="283">
        <v>3085</v>
      </c>
      <c r="L2949" s="318">
        <v>-33.746132000000003</v>
      </c>
      <c r="M2949" s="318">
        <v>150.681915</v>
      </c>
      <c r="O2949">
        <f>INDEX('MEC - traffic congestion'!$M$145:$M$249,MATCH($D2949,'MEC - traffic congestion'!$C$145:$C$249,0))</f>
        <v>1</v>
      </c>
      <c r="P2949" t="str">
        <f t="shared" si="131"/>
        <v>2023PM PEAK</v>
      </c>
      <c r="Q2949">
        <f t="shared" si="132"/>
        <v>1</v>
      </c>
      <c r="R2949" s="195" t="str">
        <f t="shared" si="133"/>
        <v>2023LIGHT VEHICLES</v>
      </c>
    </row>
    <row r="2950" spans="3:18" x14ac:dyDescent="0.25">
      <c r="C2950" s="294" t="s">
        <v>962</v>
      </c>
      <c r="D2950" s="317">
        <v>87001</v>
      </c>
      <c r="E2950" s="122" t="s">
        <v>870</v>
      </c>
      <c r="F2950" s="122" t="s">
        <v>963</v>
      </c>
      <c r="G2950" s="122" t="s">
        <v>785</v>
      </c>
      <c r="H2950" s="122" t="s">
        <v>777</v>
      </c>
      <c r="I2950" s="312">
        <v>2023</v>
      </c>
      <c r="J2950" s="122" t="s">
        <v>713</v>
      </c>
      <c r="K2950" s="283">
        <v>9823</v>
      </c>
      <c r="L2950" s="318">
        <v>-33.746132000000003</v>
      </c>
      <c r="M2950" s="318">
        <v>150.681915</v>
      </c>
      <c r="O2950">
        <f>INDEX('MEC - traffic congestion'!$M$145:$M$249,MATCH($D2950,'MEC - traffic congestion'!$C$145:$C$249,0))</f>
        <v>1</v>
      </c>
      <c r="P2950" t="str">
        <f t="shared" si="131"/>
        <v>2023WEEKENDS</v>
      </c>
      <c r="Q2950">
        <f t="shared" si="132"/>
        <v>1</v>
      </c>
      <c r="R2950" s="195" t="str">
        <f t="shared" si="133"/>
        <v>2023LIGHT VEHICLES</v>
      </c>
    </row>
    <row r="2951" spans="3:18" x14ac:dyDescent="0.25">
      <c r="C2951" s="294" t="s">
        <v>962</v>
      </c>
      <c r="D2951" s="317">
        <v>87001</v>
      </c>
      <c r="E2951" s="122" t="s">
        <v>870</v>
      </c>
      <c r="F2951" s="122" t="s">
        <v>963</v>
      </c>
      <c r="G2951" s="122" t="s">
        <v>785</v>
      </c>
      <c r="H2951" s="122" t="s">
        <v>777</v>
      </c>
      <c r="I2951" s="312">
        <v>2024</v>
      </c>
      <c r="J2951" s="122" t="s">
        <v>709</v>
      </c>
      <c r="K2951" s="283">
        <v>4468</v>
      </c>
      <c r="L2951" s="318">
        <v>-33.746132000000003</v>
      </c>
      <c r="M2951" s="318">
        <v>150.681915</v>
      </c>
      <c r="O2951">
        <f>INDEX('MEC - traffic congestion'!$M$145:$M$249,MATCH($D2951,'MEC - traffic congestion'!$C$145:$C$249,0))</f>
        <v>1</v>
      </c>
      <c r="P2951" t="str">
        <f t="shared" si="131"/>
        <v>2024AM PEAK</v>
      </c>
      <c r="Q2951">
        <f t="shared" si="132"/>
        <v>1</v>
      </c>
      <c r="R2951" s="195" t="str">
        <f t="shared" si="133"/>
        <v>2024LIGHT VEHICLES</v>
      </c>
    </row>
    <row r="2952" spans="3:18" x14ac:dyDescent="0.25">
      <c r="C2952" s="294" t="s">
        <v>962</v>
      </c>
      <c r="D2952" s="317">
        <v>87001</v>
      </c>
      <c r="E2952" s="122" t="s">
        <v>870</v>
      </c>
      <c r="F2952" s="122" t="s">
        <v>963</v>
      </c>
      <c r="G2952" s="122" t="s">
        <v>785</v>
      </c>
      <c r="H2952" s="122" t="s">
        <v>777</v>
      </c>
      <c r="I2952" s="312">
        <v>2024</v>
      </c>
      <c r="J2952" s="122" t="s">
        <v>710</v>
      </c>
      <c r="K2952" s="283">
        <v>6448</v>
      </c>
      <c r="L2952" s="318">
        <v>-33.746132000000003</v>
      </c>
      <c r="M2952" s="318">
        <v>150.681915</v>
      </c>
      <c r="O2952">
        <f>INDEX('MEC - traffic congestion'!$M$145:$M$249,MATCH($D2952,'MEC - traffic congestion'!$C$145:$C$249,0))</f>
        <v>1</v>
      </c>
      <c r="P2952" t="str">
        <f t="shared" si="131"/>
        <v>2024OFF PEAK</v>
      </c>
      <c r="Q2952">
        <f t="shared" si="132"/>
        <v>1</v>
      </c>
      <c r="R2952" s="195" t="str">
        <f t="shared" si="133"/>
        <v>2024LIGHT VEHICLES</v>
      </c>
    </row>
    <row r="2953" spans="3:18" x14ac:dyDescent="0.25">
      <c r="C2953" s="294" t="s">
        <v>962</v>
      </c>
      <c r="D2953" s="317">
        <v>87001</v>
      </c>
      <c r="E2953" s="122" t="s">
        <v>870</v>
      </c>
      <c r="F2953" s="122" t="s">
        <v>963</v>
      </c>
      <c r="G2953" s="122" t="s">
        <v>785</v>
      </c>
      <c r="H2953" s="122" t="s">
        <v>777</v>
      </c>
      <c r="I2953" s="312">
        <v>2024</v>
      </c>
      <c r="J2953" s="122" t="s">
        <v>711</v>
      </c>
      <c r="K2953" s="283">
        <v>2982</v>
      </c>
      <c r="L2953" s="318">
        <v>-33.746132000000003</v>
      </c>
      <c r="M2953" s="318">
        <v>150.681915</v>
      </c>
      <c r="O2953">
        <f>INDEX('MEC - traffic congestion'!$M$145:$M$249,MATCH($D2953,'MEC - traffic congestion'!$C$145:$C$249,0))</f>
        <v>1</v>
      </c>
      <c r="P2953" t="str">
        <f t="shared" si="131"/>
        <v>2024PM PEAK</v>
      </c>
      <c r="Q2953">
        <f t="shared" si="132"/>
        <v>1</v>
      </c>
      <c r="R2953" s="195" t="str">
        <f t="shared" si="133"/>
        <v>2024LIGHT VEHICLES</v>
      </c>
    </row>
    <row r="2954" spans="3:18" x14ac:dyDescent="0.25">
      <c r="C2954" s="294" t="s">
        <v>962</v>
      </c>
      <c r="D2954" s="317">
        <v>87001</v>
      </c>
      <c r="E2954" s="122" t="s">
        <v>870</v>
      </c>
      <c r="F2954" s="122" t="s">
        <v>963</v>
      </c>
      <c r="G2954" s="122" t="s">
        <v>785</v>
      </c>
      <c r="H2954" s="122" t="s">
        <v>777</v>
      </c>
      <c r="I2954" s="312">
        <v>2024</v>
      </c>
      <c r="J2954" s="122" t="s">
        <v>713</v>
      </c>
      <c r="K2954" s="283">
        <v>10435</v>
      </c>
      <c r="L2954" s="318">
        <v>-33.746132000000003</v>
      </c>
      <c r="M2954" s="318">
        <v>150.681915</v>
      </c>
      <c r="O2954">
        <f>INDEX('MEC - traffic congestion'!$M$145:$M$249,MATCH($D2954,'MEC - traffic congestion'!$C$145:$C$249,0))</f>
        <v>1</v>
      </c>
      <c r="P2954" t="str">
        <f t="shared" si="131"/>
        <v>2024WEEKENDS</v>
      </c>
      <c r="Q2954">
        <f t="shared" si="132"/>
        <v>1</v>
      </c>
      <c r="R2954" s="195" t="str">
        <f t="shared" si="133"/>
        <v>2024LIGHT VEHICLES</v>
      </c>
    </row>
    <row r="2955" spans="3:18" x14ac:dyDescent="0.25">
      <c r="C2955" s="294" t="s">
        <v>964</v>
      </c>
      <c r="D2955" s="317">
        <v>9658</v>
      </c>
      <c r="E2955" s="122" t="s">
        <v>912</v>
      </c>
      <c r="F2955" s="122" t="s">
        <v>965</v>
      </c>
      <c r="G2955" s="122" t="s">
        <v>786</v>
      </c>
      <c r="H2955" s="122" t="s">
        <v>777</v>
      </c>
      <c r="I2955" s="312">
        <v>2018</v>
      </c>
      <c r="J2955" s="122" t="s">
        <v>709</v>
      </c>
      <c r="K2955" s="283">
        <v>4228</v>
      </c>
      <c r="L2955" s="318">
        <v>-33.793529999999997</v>
      </c>
      <c r="M2955" s="318">
        <v>151.01882900000001</v>
      </c>
      <c r="O2955">
        <f>INDEX('MEC - traffic congestion'!$M$145:$M$249,MATCH($D2955,'MEC - traffic congestion'!$C$145:$C$249,0))</f>
        <v>1</v>
      </c>
      <c r="P2955" t="str">
        <f t="shared" si="131"/>
        <v>2018AM PEAK</v>
      </c>
      <c r="Q2955">
        <f t="shared" si="132"/>
        <v>1</v>
      </c>
      <c r="R2955" s="195" t="str">
        <f t="shared" si="133"/>
        <v>2018LIGHT VEHICLES</v>
      </c>
    </row>
    <row r="2956" spans="3:18" x14ac:dyDescent="0.25">
      <c r="C2956" s="294" t="s">
        <v>964</v>
      </c>
      <c r="D2956" s="317">
        <v>9658</v>
      </c>
      <c r="E2956" s="122" t="s">
        <v>912</v>
      </c>
      <c r="F2956" s="122" t="s">
        <v>965</v>
      </c>
      <c r="G2956" s="122" t="s">
        <v>786</v>
      </c>
      <c r="H2956" s="122" t="s">
        <v>777</v>
      </c>
      <c r="I2956" s="312">
        <v>2018</v>
      </c>
      <c r="J2956" s="122" t="s">
        <v>710</v>
      </c>
      <c r="K2956" s="283">
        <v>7591</v>
      </c>
      <c r="L2956" s="318">
        <v>-33.793529999999997</v>
      </c>
      <c r="M2956" s="318">
        <v>151.01882900000001</v>
      </c>
      <c r="O2956">
        <f>INDEX('MEC - traffic congestion'!$M$145:$M$249,MATCH($D2956,'MEC - traffic congestion'!$C$145:$C$249,0))</f>
        <v>1</v>
      </c>
      <c r="P2956" t="str">
        <f t="shared" si="131"/>
        <v>2018OFF PEAK</v>
      </c>
      <c r="Q2956">
        <f t="shared" si="132"/>
        <v>1</v>
      </c>
      <c r="R2956" s="195" t="str">
        <f t="shared" si="133"/>
        <v>2018LIGHT VEHICLES</v>
      </c>
    </row>
    <row r="2957" spans="3:18" x14ac:dyDescent="0.25">
      <c r="C2957" s="294" t="s">
        <v>964</v>
      </c>
      <c r="D2957" s="317">
        <v>9658</v>
      </c>
      <c r="E2957" s="122" t="s">
        <v>912</v>
      </c>
      <c r="F2957" s="122" t="s">
        <v>965</v>
      </c>
      <c r="G2957" s="122" t="s">
        <v>786</v>
      </c>
      <c r="H2957" s="122" t="s">
        <v>777</v>
      </c>
      <c r="I2957" s="312">
        <v>2018</v>
      </c>
      <c r="J2957" s="122" t="s">
        <v>711</v>
      </c>
      <c r="K2957" s="283">
        <v>4127</v>
      </c>
      <c r="L2957" s="318">
        <v>-33.793529999999997</v>
      </c>
      <c r="M2957" s="318">
        <v>151.01882900000001</v>
      </c>
      <c r="O2957">
        <f>INDEX('MEC - traffic congestion'!$M$145:$M$249,MATCH($D2957,'MEC - traffic congestion'!$C$145:$C$249,0))</f>
        <v>1</v>
      </c>
      <c r="P2957" t="str">
        <f t="shared" si="131"/>
        <v>2018PM PEAK</v>
      </c>
      <c r="Q2957">
        <f t="shared" si="132"/>
        <v>1</v>
      </c>
      <c r="R2957" s="195" t="str">
        <f t="shared" si="133"/>
        <v>2018LIGHT VEHICLES</v>
      </c>
    </row>
    <row r="2958" spans="3:18" x14ac:dyDescent="0.25">
      <c r="C2958" s="294" t="s">
        <v>964</v>
      </c>
      <c r="D2958" s="317">
        <v>9658</v>
      </c>
      <c r="E2958" s="122" t="s">
        <v>912</v>
      </c>
      <c r="F2958" s="122" t="s">
        <v>965</v>
      </c>
      <c r="G2958" s="122" t="s">
        <v>786</v>
      </c>
      <c r="H2958" s="122" t="s">
        <v>777</v>
      </c>
      <c r="I2958" s="312">
        <v>2018</v>
      </c>
      <c r="J2958" s="122" t="s">
        <v>712</v>
      </c>
      <c r="K2958" s="283">
        <v>12582</v>
      </c>
      <c r="L2958" s="318">
        <v>-33.793529999999997</v>
      </c>
      <c r="M2958" s="318">
        <v>151.01882900000001</v>
      </c>
      <c r="O2958">
        <f>INDEX('MEC - traffic congestion'!$M$145:$M$249,MATCH($D2958,'MEC - traffic congestion'!$C$145:$C$249,0))</f>
        <v>1</v>
      </c>
      <c r="P2958" t="str">
        <f t="shared" si="131"/>
        <v>2018PUBLIC HOLIDAYS</v>
      </c>
      <c r="Q2958">
        <f t="shared" si="132"/>
        <v>1</v>
      </c>
      <c r="R2958" s="195" t="str">
        <f t="shared" si="133"/>
        <v>2018LIGHT VEHICLES</v>
      </c>
    </row>
    <row r="2959" spans="3:18" x14ac:dyDescent="0.25">
      <c r="C2959" s="294" t="s">
        <v>964</v>
      </c>
      <c r="D2959" s="317">
        <v>9658</v>
      </c>
      <c r="E2959" s="122" t="s">
        <v>912</v>
      </c>
      <c r="F2959" s="122" t="s">
        <v>965</v>
      </c>
      <c r="G2959" s="122" t="s">
        <v>786</v>
      </c>
      <c r="H2959" s="122" t="s">
        <v>777</v>
      </c>
      <c r="I2959" s="312">
        <v>2018</v>
      </c>
      <c r="J2959" s="122" t="s">
        <v>713</v>
      </c>
      <c r="K2959" s="283">
        <v>14814</v>
      </c>
      <c r="L2959" s="318">
        <v>-33.793529999999997</v>
      </c>
      <c r="M2959" s="318">
        <v>151.01882900000001</v>
      </c>
      <c r="O2959">
        <f>INDEX('MEC - traffic congestion'!$M$145:$M$249,MATCH($D2959,'MEC - traffic congestion'!$C$145:$C$249,0))</f>
        <v>1</v>
      </c>
      <c r="P2959" t="str">
        <f t="shared" si="131"/>
        <v>2018WEEKENDS</v>
      </c>
      <c r="Q2959">
        <f t="shared" si="132"/>
        <v>1</v>
      </c>
      <c r="R2959" s="195" t="str">
        <f t="shared" si="133"/>
        <v>2018LIGHT VEHICLES</v>
      </c>
    </row>
    <row r="2960" spans="3:18" x14ac:dyDescent="0.25">
      <c r="C2960" s="294" t="s">
        <v>964</v>
      </c>
      <c r="D2960" s="317">
        <v>9658</v>
      </c>
      <c r="E2960" s="122" t="s">
        <v>912</v>
      </c>
      <c r="F2960" s="122" t="s">
        <v>965</v>
      </c>
      <c r="G2960" s="122" t="s">
        <v>786</v>
      </c>
      <c r="H2960" s="122" t="s">
        <v>777</v>
      </c>
      <c r="I2960" s="312">
        <v>2019</v>
      </c>
      <c r="J2960" s="122" t="s">
        <v>709</v>
      </c>
      <c r="K2960" s="283">
        <v>4194</v>
      </c>
      <c r="L2960" s="318">
        <v>-33.793529999999997</v>
      </c>
      <c r="M2960" s="318">
        <v>151.01882900000001</v>
      </c>
      <c r="O2960">
        <f>INDEX('MEC - traffic congestion'!$M$145:$M$249,MATCH($D2960,'MEC - traffic congestion'!$C$145:$C$249,0))</f>
        <v>1</v>
      </c>
      <c r="P2960" t="str">
        <f t="shared" si="131"/>
        <v>2019AM PEAK</v>
      </c>
      <c r="Q2960">
        <f t="shared" si="132"/>
        <v>1</v>
      </c>
      <c r="R2960" s="195" t="str">
        <f t="shared" si="133"/>
        <v>2019LIGHT VEHICLES</v>
      </c>
    </row>
    <row r="2961" spans="3:18" x14ac:dyDescent="0.25">
      <c r="C2961" s="294" t="s">
        <v>964</v>
      </c>
      <c r="D2961" s="317">
        <v>9658</v>
      </c>
      <c r="E2961" s="122" t="s">
        <v>912</v>
      </c>
      <c r="F2961" s="122" t="s">
        <v>965</v>
      </c>
      <c r="G2961" s="122" t="s">
        <v>786</v>
      </c>
      <c r="H2961" s="122" t="s">
        <v>777</v>
      </c>
      <c r="I2961" s="312">
        <v>2019</v>
      </c>
      <c r="J2961" s="122" t="s">
        <v>710</v>
      </c>
      <c r="K2961" s="283">
        <v>7682</v>
      </c>
      <c r="L2961" s="318">
        <v>-33.793529999999997</v>
      </c>
      <c r="M2961" s="318">
        <v>151.01882900000001</v>
      </c>
      <c r="O2961">
        <f>INDEX('MEC - traffic congestion'!$M$145:$M$249,MATCH($D2961,'MEC - traffic congestion'!$C$145:$C$249,0))</f>
        <v>1</v>
      </c>
      <c r="P2961" t="str">
        <f t="shared" si="131"/>
        <v>2019OFF PEAK</v>
      </c>
      <c r="Q2961">
        <f t="shared" si="132"/>
        <v>1</v>
      </c>
      <c r="R2961" s="195" t="str">
        <f t="shared" si="133"/>
        <v>2019LIGHT VEHICLES</v>
      </c>
    </row>
    <row r="2962" spans="3:18" x14ac:dyDescent="0.25">
      <c r="C2962" s="294" t="s">
        <v>964</v>
      </c>
      <c r="D2962" s="317">
        <v>9658</v>
      </c>
      <c r="E2962" s="122" t="s">
        <v>912</v>
      </c>
      <c r="F2962" s="122" t="s">
        <v>965</v>
      </c>
      <c r="G2962" s="122" t="s">
        <v>786</v>
      </c>
      <c r="H2962" s="122" t="s">
        <v>777</v>
      </c>
      <c r="I2962" s="312">
        <v>2019</v>
      </c>
      <c r="J2962" s="122" t="s">
        <v>711</v>
      </c>
      <c r="K2962" s="283">
        <v>3981</v>
      </c>
      <c r="L2962" s="318">
        <v>-33.793529999999997</v>
      </c>
      <c r="M2962" s="318">
        <v>151.01882900000001</v>
      </c>
      <c r="O2962">
        <f>INDEX('MEC - traffic congestion'!$M$145:$M$249,MATCH($D2962,'MEC - traffic congestion'!$C$145:$C$249,0))</f>
        <v>1</v>
      </c>
      <c r="P2962" t="str">
        <f t="shared" si="131"/>
        <v>2019PM PEAK</v>
      </c>
      <c r="Q2962">
        <f t="shared" si="132"/>
        <v>1</v>
      </c>
      <c r="R2962" s="195" t="str">
        <f t="shared" si="133"/>
        <v>2019LIGHT VEHICLES</v>
      </c>
    </row>
    <row r="2963" spans="3:18" x14ac:dyDescent="0.25">
      <c r="C2963" s="294" t="s">
        <v>964</v>
      </c>
      <c r="D2963" s="317">
        <v>9658</v>
      </c>
      <c r="E2963" s="122" t="s">
        <v>912</v>
      </c>
      <c r="F2963" s="122" t="s">
        <v>965</v>
      </c>
      <c r="G2963" s="122" t="s">
        <v>786</v>
      </c>
      <c r="H2963" s="122" t="s">
        <v>777</v>
      </c>
      <c r="I2963" s="312">
        <v>2019</v>
      </c>
      <c r="J2963" s="122" t="s">
        <v>712</v>
      </c>
      <c r="K2963" s="283">
        <v>12217</v>
      </c>
      <c r="L2963" s="318">
        <v>-33.793529999999997</v>
      </c>
      <c r="M2963" s="318">
        <v>151.01882900000001</v>
      </c>
      <c r="O2963">
        <f>INDEX('MEC - traffic congestion'!$M$145:$M$249,MATCH($D2963,'MEC - traffic congestion'!$C$145:$C$249,0))</f>
        <v>1</v>
      </c>
      <c r="P2963" t="str">
        <f t="shared" si="131"/>
        <v>2019PUBLIC HOLIDAYS</v>
      </c>
      <c r="Q2963">
        <f t="shared" si="132"/>
        <v>1</v>
      </c>
      <c r="R2963" s="195" t="str">
        <f t="shared" si="133"/>
        <v>2019LIGHT VEHICLES</v>
      </c>
    </row>
    <row r="2964" spans="3:18" x14ac:dyDescent="0.25">
      <c r="C2964" s="294" t="s">
        <v>964</v>
      </c>
      <c r="D2964" s="317">
        <v>9658</v>
      </c>
      <c r="E2964" s="122" t="s">
        <v>912</v>
      </c>
      <c r="F2964" s="122" t="s">
        <v>965</v>
      </c>
      <c r="G2964" s="122" t="s">
        <v>786</v>
      </c>
      <c r="H2964" s="122" t="s">
        <v>777</v>
      </c>
      <c r="I2964" s="312">
        <v>2019</v>
      </c>
      <c r="J2964" s="122" t="s">
        <v>713</v>
      </c>
      <c r="K2964" s="283">
        <v>14989</v>
      </c>
      <c r="L2964" s="318">
        <v>-33.793529999999997</v>
      </c>
      <c r="M2964" s="318">
        <v>151.01882900000001</v>
      </c>
      <c r="O2964">
        <f>INDEX('MEC - traffic congestion'!$M$145:$M$249,MATCH($D2964,'MEC - traffic congestion'!$C$145:$C$249,0))</f>
        <v>1</v>
      </c>
      <c r="P2964" t="str">
        <f t="shared" si="131"/>
        <v>2019WEEKENDS</v>
      </c>
      <c r="Q2964">
        <f t="shared" si="132"/>
        <v>1</v>
      </c>
      <c r="R2964" s="195" t="str">
        <f t="shared" si="133"/>
        <v>2019LIGHT VEHICLES</v>
      </c>
    </row>
    <row r="2965" spans="3:18" x14ac:dyDescent="0.25">
      <c r="C2965" s="294" t="s">
        <v>964</v>
      </c>
      <c r="D2965" s="317">
        <v>9658</v>
      </c>
      <c r="E2965" s="122" t="s">
        <v>912</v>
      </c>
      <c r="F2965" s="122" t="s">
        <v>965</v>
      </c>
      <c r="G2965" s="122" t="s">
        <v>786</v>
      </c>
      <c r="H2965" s="122" t="s">
        <v>777</v>
      </c>
      <c r="I2965" s="312">
        <v>2020</v>
      </c>
      <c r="J2965" s="122" t="s">
        <v>709</v>
      </c>
      <c r="K2965" s="283">
        <v>3869</v>
      </c>
      <c r="L2965" s="318">
        <v>-33.793529999999997</v>
      </c>
      <c r="M2965" s="318">
        <v>151.01882900000001</v>
      </c>
      <c r="O2965">
        <f>INDEX('MEC - traffic congestion'!$M$145:$M$249,MATCH($D2965,'MEC - traffic congestion'!$C$145:$C$249,0))</f>
        <v>1</v>
      </c>
      <c r="P2965" t="str">
        <f t="shared" ref="P2965:P3028" si="134">IF($O2965=1,$I2965&amp;$J2965,"")</f>
        <v>2020AM PEAK</v>
      </c>
      <c r="Q2965">
        <f t="shared" ref="Q2965:Q3028" si="135">IF(AND($M2965&gt;150.246,AND($L2965&gt;-34.397,$L2965&lt;-32.662)),1,0)</f>
        <v>1</v>
      </c>
      <c r="R2965" s="195" t="str">
        <f t="shared" ref="R2965:R3028" si="136">IF($O2965=1,$I2965&amp;$H2965,"")</f>
        <v>2020LIGHT VEHICLES</v>
      </c>
    </row>
    <row r="2966" spans="3:18" x14ac:dyDescent="0.25">
      <c r="C2966" s="294" t="s">
        <v>964</v>
      </c>
      <c r="D2966" s="317">
        <v>9658</v>
      </c>
      <c r="E2966" s="122" t="s">
        <v>912</v>
      </c>
      <c r="F2966" s="122" t="s">
        <v>965</v>
      </c>
      <c r="G2966" s="122" t="s">
        <v>786</v>
      </c>
      <c r="H2966" s="122" t="s">
        <v>777</v>
      </c>
      <c r="I2966" s="312">
        <v>2020</v>
      </c>
      <c r="J2966" s="122" t="s">
        <v>710</v>
      </c>
      <c r="K2966" s="283">
        <v>7215</v>
      </c>
      <c r="L2966" s="318">
        <v>-33.793529999999997</v>
      </c>
      <c r="M2966" s="318">
        <v>151.01882900000001</v>
      </c>
      <c r="O2966">
        <f>INDEX('MEC - traffic congestion'!$M$145:$M$249,MATCH($D2966,'MEC - traffic congestion'!$C$145:$C$249,0))</f>
        <v>1</v>
      </c>
      <c r="P2966" t="str">
        <f t="shared" si="134"/>
        <v>2020OFF PEAK</v>
      </c>
      <c r="Q2966">
        <f t="shared" si="135"/>
        <v>1</v>
      </c>
      <c r="R2966" s="195" t="str">
        <f t="shared" si="136"/>
        <v>2020LIGHT VEHICLES</v>
      </c>
    </row>
    <row r="2967" spans="3:18" x14ac:dyDescent="0.25">
      <c r="C2967" s="294" t="s">
        <v>964</v>
      </c>
      <c r="D2967" s="317">
        <v>9658</v>
      </c>
      <c r="E2967" s="122" t="s">
        <v>912</v>
      </c>
      <c r="F2967" s="122" t="s">
        <v>965</v>
      </c>
      <c r="G2967" s="122" t="s">
        <v>786</v>
      </c>
      <c r="H2967" s="122" t="s">
        <v>777</v>
      </c>
      <c r="I2967" s="312">
        <v>2020</v>
      </c>
      <c r="J2967" s="122" t="s">
        <v>711</v>
      </c>
      <c r="K2967" s="283">
        <v>3731</v>
      </c>
      <c r="L2967" s="318">
        <v>-33.793529999999997</v>
      </c>
      <c r="M2967" s="318">
        <v>151.01882900000001</v>
      </c>
      <c r="O2967">
        <f>INDEX('MEC - traffic congestion'!$M$145:$M$249,MATCH($D2967,'MEC - traffic congestion'!$C$145:$C$249,0))</f>
        <v>1</v>
      </c>
      <c r="P2967" t="str">
        <f t="shared" si="134"/>
        <v>2020PM PEAK</v>
      </c>
      <c r="Q2967">
        <f t="shared" si="135"/>
        <v>1</v>
      </c>
      <c r="R2967" s="195" t="str">
        <f t="shared" si="136"/>
        <v>2020LIGHT VEHICLES</v>
      </c>
    </row>
    <row r="2968" spans="3:18" x14ac:dyDescent="0.25">
      <c r="C2968" s="294" t="s">
        <v>964</v>
      </c>
      <c r="D2968" s="317">
        <v>9658</v>
      </c>
      <c r="E2968" s="122" t="s">
        <v>912</v>
      </c>
      <c r="F2968" s="122" t="s">
        <v>965</v>
      </c>
      <c r="G2968" s="122" t="s">
        <v>786</v>
      </c>
      <c r="H2968" s="122" t="s">
        <v>777</v>
      </c>
      <c r="I2968" s="312">
        <v>2020</v>
      </c>
      <c r="J2968" s="122" t="s">
        <v>712</v>
      </c>
      <c r="K2968" s="283">
        <v>9969</v>
      </c>
      <c r="L2968" s="318">
        <v>-33.793529999999997</v>
      </c>
      <c r="M2968" s="318">
        <v>151.01882900000001</v>
      </c>
      <c r="O2968">
        <f>INDEX('MEC - traffic congestion'!$M$145:$M$249,MATCH($D2968,'MEC - traffic congestion'!$C$145:$C$249,0))</f>
        <v>1</v>
      </c>
      <c r="P2968" t="str">
        <f t="shared" si="134"/>
        <v>2020PUBLIC HOLIDAYS</v>
      </c>
      <c r="Q2968">
        <f t="shared" si="135"/>
        <v>1</v>
      </c>
      <c r="R2968" s="195" t="str">
        <f t="shared" si="136"/>
        <v>2020LIGHT VEHICLES</v>
      </c>
    </row>
    <row r="2969" spans="3:18" x14ac:dyDescent="0.25">
      <c r="C2969" s="294" t="s">
        <v>964</v>
      </c>
      <c r="D2969" s="317">
        <v>9658</v>
      </c>
      <c r="E2969" s="122" t="s">
        <v>912</v>
      </c>
      <c r="F2969" s="122" t="s">
        <v>965</v>
      </c>
      <c r="G2969" s="122" t="s">
        <v>786</v>
      </c>
      <c r="H2969" s="122" t="s">
        <v>777</v>
      </c>
      <c r="I2969" s="312">
        <v>2020</v>
      </c>
      <c r="J2969" s="122" t="s">
        <v>713</v>
      </c>
      <c r="K2969" s="283">
        <v>13483</v>
      </c>
      <c r="L2969" s="318">
        <v>-33.793529999999997</v>
      </c>
      <c r="M2969" s="318">
        <v>151.01882900000001</v>
      </c>
      <c r="O2969">
        <f>INDEX('MEC - traffic congestion'!$M$145:$M$249,MATCH($D2969,'MEC - traffic congestion'!$C$145:$C$249,0))</f>
        <v>1</v>
      </c>
      <c r="P2969" t="str">
        <f t="shared" si="134"/>
        <v>2020WEEKENDS</v>
      </c>
      <c r="Q2969">
        <f t="shared" si="135"/>
        <v>1</v>
      </c>
      <c r="R2969" s="195" t="str">
        <f t="shared" si="136"/>
        <v>2020LIGHT VEHICLES</v>
      </c>
    </row>
    <row r="2970" spans="3:18" x14ac:dyDescent="0.25">
      <c r="C2970" s="294" t="s">
        <v>964</v>
      </c>
      <c r="D2970" s="317">
        <v>9658</v>
      </c>
      <c r="E2970" s="122" t="s">
        <v>912</v>
      </c>
      <c r="F2970" s="122" t="s">
        <v>965</v>
      </c>
      <c r="G2970" s="122" t="s">
        <v>786</v>
      </c>
      <c r="H2970" s="122" t="s">
        <v>777</v>
      </c>
      <c r="I2970" s="312">
        <v>2021</v>
      </c>
      <c r="J2970" s="122" t="s">
        <v>709</v>
      </c>
      <c r="K2970" s="283">
        <v>3489</v>
      </c>
      <c r="L2970" s="318">
        <v>-33.793529999999997</v>
      </c>
      <c r="M2970" s="318">
        <v>151.01882900000001</v>
      </c>
      <c r="O2970">
        <f>INDEX('MEC - traffic congestion'!$M$145:$M$249,MATCH($D2970,'MEC - traffic congestion'!$C$145:$C$249,0))</f>
        <v>1</v>
      </c>
      <c r="P2970" t="str">
        <f t="shared" si="134"/>
        <v>2021AM PEAK</v>
      </c>
      <c r="Q2970">
        <f t="shared" si="135"/>
        <v>1</v>
      </c>
      <c r="R2970" s="195" t="str">
        <f t="shared" si="136"/>
        <v>2021LIGHT VEHICLES</v>
      </c>
    </row>
    <row r="2971" spans="3:18" x14ac:dyDescent="0.25">
      <c r="C2971" s="294" t="s">
        <v>964</v>
      </c>
      <c r="D2971" s="317">
        <v>9658</v>
      </c>
      <c r="E2971" s="122" t="s">
        <v>912</v>
      </c>
      <c r="F2971" s="122" t="s">
        <v>965</v>
      </c>
      <c r="G2971" s="122" t="s">
        <v>786</v>
      </c>
      <c r="H2971" s="122" t="s">
        <v>777</v>
      </c>
      <c r="I2971" s="312">
        <v>2021</v>
      </c>
      <c r="J2971" s="122" t="s">
        <v>710</v>
      </c>
      <c r="K2971" s="283">
        <v>6702</v>
      </c>
      <c r="L2971" s="318">
        <v>-33.793529999999997</v>
      </c>
      <c r="M2971" s="318">
        <v>151.01882900000001</v>
      </c>
      <c r="O2971">
        <f>INDEX('MEC - traffic congestion'!$M$145:$M$249,MATCH($D2971,'MEC - traffic congestion'!$C$145:$C$249,0))</f>
        <v>1</v>
      </c>
      <c r="P2971" t="str">
        <f t="shared" si="134"/>
        <v>2021OFF PEAK</v>
      </c>
      <c r="Q2971">
        <f t="shared" si="135"/>
        <v>1</v>
      </c>
      <c r="R2971" s="195" t="str">
        <f t="shared" si="136"/>
        <v>2021LIGHT VEHICLES</v>
      </c>
    </row>
    <row r="2972" spans="3:18" x14ac:dyDescent="0.25">
      <c r="C2972" s="294" t="s">
        <v>964</v>
      </c>
      <c r="D2972" s="317">
        <v>9658</v>
      </c>
      <c r="E2972" s="122" t="s">
        <v>912</v>
      </c>
      <c r="F2972" s="122" t="s">
        <v>965</v>
      </c>
      <c r="G2972" s="122" t="s">
        <v>786</v>
      </c>
      <c r="H2972" s="122" t="s">
        <v>777</v>
      </c>
      <c r="I2972" s="312">
        <v>2021</v>
      </c>
      <c r="J2972" s="122" t="s">
        <v>711</v>
      </c>
      <c r="K2972" s="283">
        <v>3377</v>
      </c>
      <c r="L2972" s="318">
        <v>-33.793529999999997</v>
      </c>
      <c r="M2972" s="318">
        <v>151.01882900000001</v>
      </c>
      <c r="O2972">
        <f>INDEX('MEC - traffic congestion'!$M$145:$M$249,MATCH($D2972,'MEC - traffic congestion'!$C$145:$C$249,0))</f>
        <v>1</v>
      </c>
      <c r="P2972" t="str">
        <f t="shared" si="134"/>
        <v>2021PM PEAK</v>
      </c>
      <c r="Q2972">
        <f t="shared" si="135"/>
        <v>1</v>
      </c>
      <c r="R2972" s="195" t="str">
        <f t="shared" si="136"/>
        <v>2021LIGHT VEHICLES</v>
      </c>
    </row>
    <row r="2973" spans="3:18" x14ac:dyDescent="0.25">
      <c r="C2973" s="294" t="s">
        <v>964</v>
      </c>
      <c r="D2973" s="317">
        <v>9658</v>
      </c>
      <c r="E2973" s="122" t="s">
        <v>912</v>
      </c>
      <c r="F2973" s="122" t="s">
        <v>965</v>
      </c>
      <c r="G2973" s="122" t="s">
        <v>786</v>
      </c>
      <c r="H2973" s="122" t="s">
        <v>777</v>
      </c>
      <c r="I2973" s="312">
        <v>2021</v>
      </c>
      <c r="J2973" s="122" t="s">
        <v>713</v>
      </c>
      <c r="K2973" s="283">
        <v>11976</v>
      </c>
      <c r="L2973" s="318">
        <v>-33.793529999999997</v>
      </c>
      <c r="M2973" s="318">
        <v>151.01882900000001</v>
      </c>
      <c r="O2973">
        <f>INDEX('MEC - traffic congestion'!$M$145:$M$249,MATCH($D2973,'MEC - traffic congestion'!$C$145:$C$249,0))</f>
        <v>1</v>
      </c>
      <c r="P2973" t="str">
        <f t="shared" si="134"/>
        <v>2021WEEKENDS</v>
      </c>
      <c r="Q2973">
        <f t="shared" si="135"/>
        <v>1</v>
      </c>
      <c r="R2973" s="195" t="str">
        <f t="shared" si="136"/>
        <v>2021LIGHT VEHICLES</v>
      </c>
    </row>
    <row r="2974" spans="3:18" x14ac:dyDescent="0.25">
      <c r="C2974" s="294" t="s">
        <v>964</v>
      </c>
      <c r="D2974" s="317">
        <v>9658</v>
      </c>
      <c r="E2974" s="122" t="s">
        <v>912</v>
      </c>
      <c r="F2974" s="122" t="s">
        <v>965</v>
      </c>
      <c r="G2974" s="122" t="s">
        <v>786</v>
      </c>
      <c r="H2974" s="122" t="s">
        <v>777</v>
      </c>
      <c r="I2974" s="312">
        <v>2022</v>
      </c>
      <c r="J2974" s="122" t="s">
        <v>709</v>
      </c>
      <c r="K2974" s="283">
        <v>3608</v>
      </c>
      <c r="L2974" s="318">
        <v>-33.793529999999997</v>
      </c>
      <c r="M2974" s="318">
        <v>151.01882900000001</v>
      </c>
      <c r="O2974">
        <f>INDEX('MEC - traffic congestion'!$M$145:$M$249,MATCH($D2974,'MEC - traffic congestion'!$C$145:$C$249,0))</f>
        <v>1</v>
      </c>
      <c r="P2974" t="str">
        <f t="shared" si="134"/>
        <v>2022AM PEAK</v>
      </c>
      <c r="Q2974">
        <f t="shared" si="135"/>
        <v>1</v>
      </c>
      <c r="R2974" s="195" t="str">
        <f t="shared" si="136"/>
        <v>2022LIGHT VEHICLES</v>
      </c>
    </row>
    <row r="2975" spans="3:18" x14ac:dyDescent="0.25">
      <c r="C2975" s="294" t="s">
        <v>964</v>
      </c>
      <c r="D2975" s="317">
        <v>9658</v>
      </c>
      <c r="E2975" s="122" t="s">
        <v>912</v>
      </c>
      <c r="F2975" s="122" t="s">
        <v>965</v>
      </c>
      <c r="G2975" s="122" t="s">
        <v>786</v>
      </c>
      <c r="H2975" s="122" t="s">
        <v>777</v>
      </c>
      <c r="I2975" s="312">
        <v>2022</v>
      </c>
      <c r="J2975" s="122" t="s">
        <v>710</v>
      </c>
      <c r="K2975" s="283">
        <v>7327</v>
      </c>
      <c r="L2975" s="318">
        <v>-33.793529999999997</v>
      </c>
      <c r="M2975" s="318">
        <v>151.01882900000001</v>
      </c>
      <c r="O2975">
        <f>INDEX('MEC - traffic congestion'!$M$145:$M$249,MATCH($D2975,'MEC - traffic congestion'!$C$145:$C$249,0))</f>
        <v>1</v>
      </c>
      <c r="P2975" t="str">
        <f t="shared" si="134"/>
        <v>2022OFF PEAK</v>
      </c>
      <c r="Q2975">
        <f t="shared" si="135"/>
        <v>1</v>
      </c>
      <c r="R2975" s="195" t="str">
        <f t="shared" si="136"/>
        <v>2022LIGHT VEHICLES</v>
      </c>
    </row>
    <row r="2976" spans="3:18" x14ac:dyDescent="0.25">
      <c r="C2976" s="294" t="s">
        <v>964</v>
      </c>
      <c r="D2976" s="317">
        <v>9658</v>
      </c>
      <c r="E2976" s="122" t="s">
        <v>912</v>
      </c>
      <c r="F2976" s="122" t="s">
        <v>965</v>
      </c>
      <c r="G2976" s="122" t="s">
        <v>786</v>
      </c>
      <c r="H2976" s="122" t="s">
        <v>777</v>
      </c>
      <c r="I2976" s="312">
        <v>2022</v>
      </c>
      <c r="J2976" s="122" t="s">
        <v>711</v>
      </c>
      <c r="K2976" s="283">
        <v>3776</v>
      </c>
      <c r="L2976" s="318">
        <v>-33.793529999999997</v>
      </c>
      <c r="M2976" s="318">
        <v>151.01882900000001</v>
      </c>
      <c r="O2976">
        <f>INDEX('MEC - traffic congestion'!$M$145:$M$249,MATCH($D2976,'MEC - traffic congestion'!$C$145:$C$249,0))</f>
        <v>1</v>
      </c>
      <c r="P2976" t="str">
        <f t="shared" si="134"/>
        <v>2022PM PEAK</v>
      </c>
      <c r="Q2976">
        <f t="shared" si="135"/>
        <v>1</v>
      </c>
      <c r="R2976" s="195" t="str">
        <f t="shared" si="136"/>
        <v>2022LIGHT VEHICLES</v>
      </c>
    </row>
    <row r="2977" spans="3:18" x14ac:dyDescent="0.25">
      <c r="C2977" s="294" t="s">
        <v>964</v>
      </c>
      <c r="D2977" s="317">
        <v>9658</v>
      </c>
      <c r="E2977" s="122" t="s">
        <v>912</v>
      </c>
      <c r="F2977" s="122" t="s">
        <v>965</v>
      </c>
      <c r="G2977" s="122" t="s">
        <v>786</v>
      </c>
      <c r="H2977" s="122" t="s">
        <v>777</v>
      </c>
      <c r="I2977" s="312">
        <v>2022</v>
      </c>
      <c r="J2977" s="122" t="s">
        <v>713</v>
      </c>
      <c r="K2977" s="283">
        <v>13830</v>
      </c>
      <c r="L2977" s="318">
        <v>-33.793529999999997</v>
      </c>
      <c r="M2977" s="318">
        <v>151.01882900000001</v>
      </c>
      <c r="O2977">
        <f>INDEX('MEC - traffic congestion'!$M$145:$M$249,MATCH($D2977,'MEC - traffic congestion'!$C$145:$C$249,0))</f>
        <v>1</v>
      </c>
      <c r="P2977" t="str">
        <f t="shared" si="134"/>
        <v>2022WEEKENDS</v>
      </c>
      <c r="Q2977">
        <f t="shared" si="135"/>
        <v>1</v>
      </c>
      <c r="R2977" s="195" t="str">
        <f t="shared" si="136"/>
        <v>2022LIGHT VEHICLES</v>
      </c>
    </row>
    <row r="2978" spans="3:18" x14ac:dyDescent="0.25">
      <c r="C2978" s="294" t="s">
        <v>964</v>
      </c>
      <c r="D2978" s="317">
        <v>9658</v>
      </c>
      <c r="E2978" s="122" t="s">
        <v>912</v>
      </c>
      <c r="F2978" s="122" t="s">
        <v>965</v>
      </c>
      <c r="G2978" s="122" t="s">
        <v>786</v>
      </c>
      <c r="H2978" s="122" t="s">
        <v>777</v>
      </c>
      <c r="I2978" s="312">
        <v>2023</v>
      </c>
      <c r="J2978" s="122" t="s">
        <v>709</v>
      </c>
      <c r="K2978" s="283">
        <v>3465</v>
      </c>
      <c r="L2978" s="318">
        <v>-33.793529999999997</v>
      </c>
      <c r="M2978" s="318">
        <v>151.01882900000001</v>
      </c>
      <c r="O2978">
        <f>INDEX('MEC - traffic congestion'!$M$145:$M$249,MATCH($D2978,'MEC - traffic congestion'!$C$145:$C$249,0))</f>
        <v>1</v>
      </c>
      <c r="P2978" t="str">
        <f t="shared" si="134"/>
        <v>2023AM PEAK</v>
      </c>
      <c r="Q2978">
        <f t="shared" si="135"/>
        <v>1</v>
      </c>
      <c r="R2978" s="195" t="str">
        <f t="shared" si="136"/>
        <v>2023LIGHT VEHICLES</v>
      </c>
    </row>
    <row r="2979" spans="3:18" x14ac:dyDescent="0.25">
      <c r="C2979" s="294" t="s">
        <v>964</v>
      </c>
      <c r="D2979" s="317">
        <v>9658</v>
      </c>
      <c r="E2979" s="122" t="s">
        <v>912</v>
      </c>
      <c r="F2979" s="122" t="s">
        <v>965</v>
      </c>
      <c r="G2979" s="122" t="s">
        <v>786</v>
      </c>
      <c r="H2979" s="122" t="s">
        <v>777</v>
      </c>
      <c r="I2979" s="312">
        <v>2023</v>
      </c>
      <c r="J2979" s="122" t="s">
        <v>710</v>
      </c>
      <c r="K2979" s="283">
        <v>7045</v>
      </c>
      <c r="L2979" s="318">
        <v>-33.793529999999997</v>
      </c>
      <c r="M2979" s="318">
        <v>151.01882900000001</v>
      </c>
      <c r="O2979">
        <f>INDEX('MEC - traffic congestion'!$M$145:$M$249,MATCH($D2979,'MEC - traffic congestion'!$C$145:$C$249,0))</f>
        <v>1</v>
      </c>
      <c r="P2979" t="str">
        <f t="shared" si="134"/>
        <v>2023OFF PEAK</v>
      </c>
      <c r="Q2979">
        <f t="shared" si="135"/>
        <v>1</v>
      </c>
      <c r="R2979" s="195" t="str">
        <f t="shared" si="136"/>
        <v>2023LIGHT VEHICLES</v>
      </c>
    </row>
    <row r="2980" spans="3:18" x14ac:dyDescent="0.25">
      <c r="C2980" s="294" t="s">
        <v>964</v>
      </c>
      <c r="D2980" s="317">
        <v>9658</v>
      </c>
      <c r="E2980" s="122" t="s">
        <v>912</v>
      </c>
      <c r="F2980" s="122" t="s">
        <v>965</v>
      </c>
      <c r="G2980" s="122" t="s">
        <v>786</v>
      </c>
      <c r="H2980" s="122" t="s">
        <v>777</v>
      </c>
      <c r="I2980" s="312">
        <v>2023</v>
      </c>
      <c r="J2980" s="122" t="s">
        <v>711</v>
      </c>
      <c r="K2980" s="283">
        <v>3525</v>
      </c>
      <c r="L2980" s="318">
        <v>-33.793529999999997</v>
      </c>
      <c r="M2980" s="318">
        <v>151.01882900000001</v>
      </c>
      <c r="O2980">
        <f>INDEX('MEC - traffic congestion'!$M$145:$M$249,MATCH($D2980,'MEC - traffic congestion'!$C$145:$C$249,0))</f>
        <v>1</v>
      </c>
      <c r="P2980" t="str">
        <f t="shared" si="134"/>
        <v>2023PM PEAK</v>
      </c>
      <c r="Q2980">
        <f t="shared" si="135"/>
        <v>1</v>
      </c>
      <c r="R2980" s="195" t="str">
        <f t="shared" si="136"/>
        <v>2023LIGHT VEHICLES</v>
      </c>
    </row>
    <row r="2981" spans="3:18" x14ac:dyDescent="0.25">
      <c r="C2981" s="294" t="s">
        <v>964</v>
      </c>
      <c r="D2981" s="317">
        <v>9658</v>
      </c>
      <c r="E2981" s="122" t="s">
        <v>912</v>
      </c>
      <c r="F2981" s="122" t="s">
        <v>965</v>
      </c>
      <c r="G2981" s="122" t="s">
        <v>786</v>
      </c>
      <c r="H2981" s="122" t="s">
        <v>777</v>
      </c>
      <c r="I2981" s="312">
        <v>2023</v>
      </c>
      <c r="J2981" s="122" t="s">
        <v>713</v>
      </c>
      <c r="K2981" s="283">
        <v>12017</v>
      </c>
      <c r="L2981" s="318">
        <v>-33.793529999999997</v>
      </c>
      <c r="M2981" s="318">
        <v>151.01882900000001</v>
      </c>
      <c r="O2981">
        <f>INDEX('MEC - traffic congestion'!$M$145:$M$249,MATCH($D2981,'MEC - traffic congestion'!$C$145:$C$249,0))</f>
        <v>1</v>
      </c>
      <c r="P2981" t="str">
        <f t="shared" si="134"/>
        <v>2023WEEKENDS</v>
      </c>
      <c r="Q2981">
        <f t="shared" si="135"/>
        <v>1</v>
      </c>
      <c r="R2981" s="195" t="str">
        <f t="shared" si="136"/>
        <v>2023LIGHT VEHICLES</v>
      </c>
    </row>
    <row r="2982" spans="3:18" x14ac:dyDescent="0.25">
      <c r="C2982" s="294" t="s">
        <v>966</v>
      </c>
      <c r="D2982" s="317">
        <v>9827</v>
      </c>
      <c r="E2982" s="122" t="s">
        <v>847</v>
      </c>
      <c r="F2982" s="122" t="s">
        <v>967</v>
      </c>
      <c r="G2982" s="122" t="s">
        <v>778</v>
      </c>
      <c r="H2982" s="122" t="s">
        <v>777</v>
      </c>
      <c r="I2982" s="312">
        <v>2018</v>
      </c>
      <c r="J2982" s="122" t="s">
        <v>709</v>
      </c>
      <c r="K2982" s="283">
        <v>4584</v>
      </c>
      <c r="L2982" s="318">
        <v>-33.719954999999999</v>
      </c>
      <c r="M2982" s="318">
        <v>151.29811100000001</v>
      </c>
      <c r="O2982">
        <f>INDEX('MEC - traffic congestion'!$M$145:$M$249,MATCH($D2982,'MEC - traffic congestion'!$C$145:$C$249,0))</f>
        <v>1</v>
      </c>
      <c r="P2982" t="str">
        <f t="shared" si="134"/>
        <v>2018AM PEAK</v>
      </c>
      <c r="Q2982">
        <f t="shared" si="135"/>
        <v>1</v>
      </c>
      <c r="R2982" s="195" t="str">
        <f t="shared" si="136"/>
        <v>2018LIGHT VEHICLES</v>
      </c>
    </row>
    <row r="2983" spans="3:18" x14ac:dyDescent="0.25">
      <c r="C2983" s="294" t="s">
        <v>966</v>
      </c>
      <c r="D2983" s="317">
        <v>9827</v>
      </c>
      <c r="E2983" s="122" t="s">
        <v>847</v>
      </c>
      <c r="F2983" s="122" t="s">
        <v>967</v>
      </c>
      <c r="G2983" s="122" t="s">
        <v>778</v>
      </c>
      <c r="H2983" s="122" t="s">
        <v>777</v>
      </c>
      <c r="I2983" s="312">
        <v>2018</v>
      </c>
      <c r="J2983" s="122" t="s">
        <v>710</v>
      </c>
      <c r="K2983" s="283">
        <v>8074</v>
      </c>
      <c r="L2983" s="318">
        <v>-33.719954999999999</v>
      </c>
      <c r="M2983" s="318">
        <v>151.29811100000001</v>
      </c>
      <c r="O2983">
        <f>INDEX('MEC - traffic congestion'!$M$145:$M$249,MATCH($D2983,'MEC - traffic congestion'!$C$145:$C$249,0))</f>
        <v>1</v>
      </c>
      <c r="P2983" t="str">
        <f t="shared" si="134"/>
        <v>2018OFF PEAK</v>
      </c>
      <c r="Q2983">
        <f t="shared" si="135"/>
        <v>1</v>
      </c>
      <c r="R2983" s="195" t="str">
        <f t="shared" si="136"/>
        <v>2018LIGHT VEHICLES</v>
      </c>
    </row>
    <row r="2984" spans="3:18" x14ac:dyDescent="0.25">
      <c r="C2984" s="294" t="s">
        <v>966</v>
      </c>
      <c r="D2984" s="317">
        <v>9827</v>
      </c>
      <c r="E2984" s="122" t="s">
        <v>847</v>
      </c>
      <c r="F2984" s="122" t="s">
        <v>967</v>
      </c>
      <c r="G2984" s="122" t="s">
        <v>778</v>
      </c>
      <c r="H2984" s="122" t="s">
        <v>777</v>
      </c>
      <c r="I2984" s="312">
        <v>2018</v>
      </c>
      <c r="J2984" s="122" t="s">
        <v>711</v>
      </c>
      <c r="K2984" s="283">
        <v>5157</v>
      </c>
      <c r="L2984" s="318">
        <v>-33.719954999999999</v>
      </c>
      <c r="M2984" s="318">
        <v>151.29811100000001</v>
      </c>
      <c r="O2984">
        <f>INDEX('MEC - traffic congestion'!$M$145:$M$249,MATCH($D2984,'MEC - traffic congestion'!$C$145:$C$249,0))</f>
        <v>1</v>
      </c>
      <c r="P2984" t="str">
        <f t="shared" si="134"/>
        <v>2018PM PEAK</v>
      </c>
      <c r="Q2984">
        <f t="shared" si="135"/>
        <v>1</v>
      </c>
      <c r="R2984" s="195" t="str">
        <f t="shared" si="136"/>
        <v>2018LIGHT VEHICLES</v>
      </c>
    </row>
    <row r="2985" spans="3:18" x14ac:dyDescent="0.25">
      <c r="C2985" s="294" t="s">
        <v>966</v>
      </c>
      <c r="D2985" s="317">
        <v>9827</v>
      </c>
      <c r="E2985" s="122" t="s">
        <v>847</v>
      </c>
      <c r="F2985" s="122" t="s">
        <v>967</v>
      </c>
      <c r="G2985" s="122" t="s">
        <v>778</v>
      </c>
      <c r="H2985" s="122" t="s">
        <v>777</v>
      </c>
      <c r="I2985" s="312">
        <v>2018</v>
      </c>
      <c r="J2985" s="122" t="s">
        <v>712</v>
      </c>
      <c r="K2985" s="283">
        <v>12707</v>
      </c>
      <c r="L2985" s="318">
        <v>-33.719954999999999</v>
      </c>
      <c r="M2985" s="318">
        <v>151.29811100000001</v>
      </c>
      <c r="O2985">
        <f>INDEX('MEC - traffic congestion'!$M$145:$M$249,MATCH($D2985,'MEC - traffic congestion'!$C$145:$C$249,0))</f>
        <v>1</v>
      </c>
      <c r="P2985" t="str">
        <f t="shared" si="134"/>
        <v>2018PUBLIC HOLIDAYS</v>
      </c>
      <c r="Q2985">
        <f t="shared" si="135"/>
        <v>1</v>
      </c>
      <c r="R2985" s="195" t="str">
        <f t="shared" si="136"/>
        <v>2018LIGHT VEHICLES</v>
      </c>
    </row>
    <row r="2986" spans="3:18" x14ac:dyDescent="0.25">
      <c r="C2986" s="294" t="s">
        <v>966</v>
      </c>
      <c r="D2986" s="317">
        <v>9827</v>
      </c>
      <c r="E2986" s="122" t="s">
        <v>847</v>
      </c>
      <c r="F2986" s="122" t="s">
        <v>967</v>
      </c>
      <c r="G2986" s="122" t="s">
        <v>778</v>
      </c>
      <c r="H2986" s="122" t="s">
        <v>777</v>
      </c>
      <c r="I2986" s="312">
        <v>2018</v>
      </c>
      <c r="J2986" s="122" t="s">
        <v>713</v>
      </c>
      <c r="K2986" s="283">
        <v>16188</v>
      </c>
      <c r="L2986" s="318">
        <v>-33.719954999999999</v>
      </c>
      <c r="M2986" s="318">
        <v>151.29811100000001</v>
      </c>
      <c r="O2986">
        <f>INDEX('MEC - traffic congestion'!$M$145:$M$249,MATCH($D2986,'MEC - traffic congestion'!$C$145:$C$249,0))</f>
        <v>1</v>
      </c>
      <c r="P2986" t="str">
        <f t="shared" si="134"/>
        <v>2018WEEKENDS</v>
      </c>
      <c r="Q2986">
        <f t="shared" si="135"/>
        <v>1</v>
      </c>
      <c r="R2986" s="195" t="str">
        <f t="shared" si="136"/>
        <v>2018LIGHT VEHICLES</v>
      </c>
    </row>
    <row r="2987" spans="3:18" x14ac:dyDescent="0.25">
      <c r="C2987" s="294" t="s">
        <v>966</v>
      </c>
      <c r="D2987" s="317">
        <v>9827</v>
      </c>
      <c r="E2987" s="122" t="s">
        <v>847</v>
      </c>
      <c r="F2987" s="122" t="s">
        <v>967</v>
      </c>
      <c r="G2987" s="122" t="s">
        <v>778</v>
      </c>
      <c r="H2987" s="122" t="s">
        <v>777</v>
      </c>
      <c r="I2987" s="312">
        <v>2019</v>
      </c>
      <c r="J2987" s="122" t="s">
        <v>709</v>
      </c>
      <c r="K2987" s="283">
        <v>4345</v>
      </c>
      <c r="L2987" s="318">
        <v>-33.719954999999999</v>
      </c>
      <c r="M2987" s="318">
        <v>151.29811100000001</v>
      </c>
      <c r="O2987">
        <f>INDEX('MEC - traffic congestion'!$M$145:$M$249,MATCH($D2987,'MEC - traffic congestion'!$C$145:$C$249,0))</f>
        <v>1</v>
      </c>
      <c r="P2987" t="str">
        <f t="shared" si="134"/>
        <v>2019AM PEAK</v>
      </c>
      <c r="Q2987">
        <f t="shared" si="135"/>
        <v>1</v>
      </c>
      <c r="R2987" s="195" t="str">
        <f t="shared" si="136"/>
        <v>2019LIGHT VEHICLES</v>
      </c>
    </row>
    <row r="2988" spans="3:18" x14ac:dyDescent="0.25">
      <c r="C2988" s="294" t="s">
        <v>966</v>
      </c>
      <c r="D2988" s="317">
        <v>9827</v>
      </c>
      <c r="E2988" s="122" t="s">
        <v>847</v>
      </c>
      <c r="F2988" s="122" t="s">
        <v>967</v>
      </c>
      <c r="G2988" s="122" t="s">
        <v>778</v>
      </c>
      <c r="H2988" s="122" t="s">
        <v>777</v>
      </c>
      <c r="I2988" s="312">
        <v>2019</v>
      </c>
      <c r="J2988" s="122" t="s">
        <v>710</v>
      </c>
      <c r="K2988" s="283">
        <v>7928</v>
      </c>
      <c r="L2988" s="318">
        <v>-33.719954999999999</v>
      </c>
      <c r="M2988" s="318">
        <v>151.29811100000001</v>
      </c>
      <c r="O2988">
        <f>INDEX('MEC - traffic congestion'!$M$145:$M$249,MATCH($D2988,'MEC - traffic congestion'!$C$145:$C$249,0))</f>
        <v>1</v>
      </c>
      <c r="P2988" t="str">
        <f t="shared" si="134"/>
        <v>2019OFF PEAK</v>
      </c>
      <c r="Q2988">
        <f t="shared" si="135"/>
        <v>1</v>
      </c>
      <c r="R2988" s="195" t="str">
        <f t="shared" si="136"/>
        <v>2019LIGHT VEHICLES</v>
      </c>
    </row>
    <row r="2989" spans="3:18" x14ac:dyDescent="0.25">
      <c r="C2989" s="294" t="s">
        <v>966</v>
      </c>
      <c r="D2989" s="317">
        <v>9827</v>
      </c>
      <c r="E2989" s="122" t="s">
        <v>847</v>
      </c>
      <c r="F2989" s="122" t="s">
        <v>967</v>
      </c>
      <c r="G2989" s="122" t="s">
        <v>778</v>
      </c>
      <c r="H2989" s="122" t="s">
        <v>777</v>
      </c>
      <c r="I2989" s="312">
        <v>2019</v>
      </c>
      <c r="J2989" s="122" t="s">
        <v>711</v>
      </c>
      <c r="K2989" s="283">
        <v>5060</v>
      </c>
      <c r="L2989" s="318">
        <v>-33.719954999999999</v>
      </c>
      <c r="M2989" s="318">
        <v>151.29811100000001</v>
      </c>
      <c r="O2989">
        <f>INDEX('MEC - traffic congestion'!$M$145:$M$249,MATCH($D2989,'MEC - traffic congestion'!$C$145:$C$249,0))</f>
        <v>1</v>
      </c>
      <c r="P2989" t="str">
        <f t="shared" si="134"/>
        <v>2019PM PEAK</v>
      </c>
      <c r="Q2989">
        <f t="shared" si="135"/>
        <v>1</v>
      </c>
      <c r="R2989" s="195" t="str">
        <f t="shared" si="136"/>
        <v>2019LIGHT VEHICLES</v>
      </c>
    </row>
    <row r="2990" spans="3:18" x14ac:dyDescent="0.25">
      <c r="C2990" s="294" t="s">
        <v>966</v>
      </c>
      <c r="D2990" s="317">
        <v>9827</v>
      </c>
      <c r="E2990" s="122" t="s">
        <v>847</v>
      </c>
      <c r="F2990" s="122" t="s">
        <v>967</v>
      </c>
      <c r="G2990" s="122" t="s">
        <v>778</v>
      </c>
      <c r="H2990" s="122" t="s">
        <v>777</v>
      </c>
      <c r="I2990" s="312">
        <v>2019</v>
      </c>
      <c r="J2990" s="122" t="s">
        <v>712</v>
      </c>
      <c r="K2990" s="283">
        <v>12374</v>
      </c>
      <c r="L2990" s="318">
        <v>-33.719954999999999</v>
      </c>
      <c r="M2990" s="318">
        <v>151.29811100000001</v>
      </c>
      <c r="O2990">
        <f>INDEX('MEC - traffic congestion'!$M$145:$M$249,MATCH($D2990,'MEC - traffic congestion'!$C$145:$C$249,0))</f>
        <v>1</v>
      </c>
      <c r="P2990" t="str">
        <f t="shared" si="134"/>
        <v>2019PUBLIC HOLIDAYS</v>
      </c>
      <c r="Q2990">
        <f t="shared" si="135"/>
        <v>1</v>
      </c>
      <c r="R2990" s="195" t="str">
        <f t="shared" si="136"/>
        <v>2019LIGHT VEHICLES</v>
      </c>
    </row>
    <row r="2991" spans="3:18" x14ac:dyDescent="0.25">
      <c r="C2991" s="294" t="s">
        <v>966</v>
      </c>
      <c r="D2991" s="317">
        <v>9827</v>
      </c>
      <c r="E2991" s="122" t="s">
        <v>847</v>
      </c>
      <c r="F2991" s="122" t="s">
        <v>967</v>
      </c>
      <c r="G2991" s="122" t="s">
        <v>778</v>
      </c>
      <c r="H2991" s="122" t="s">
        <v>777</v>
      </c>
      <c r="I2991" s="312">
        <v>2019</v>
      </c>
      <c r="J2991" s="122" t="s">
        <v>713</v>
      </c>
      <c r="K2991" s="283">
        <v>15901</v>
      </c>
      <c r="L2991" s="318">
        <v>-33.719954999999999</v>
      </c>
      <c r="M2991" s="318">
        <v>151.29811100000001</v>
      </c>
      <c r="O2991">
        <f>INDEX('MEC - traffic congestion'!$M$145:$M$249,MATCH($D2991,'MEC - traffic congestion'!$C$145:$C$249,0))</f>
        <v>1</v>
      </c>
      <c r="P2991" t="str">
        <f t="shared" si="134"/>
        <v>2019WEEKENDS</v>
      </c>
      <c r="Q2991">
        <f t="shared" si="135"/>
        <v>1</v>
      </c>
      <c r="R2991" s="195" t="str">
        <f t="shared" si="136"/>
        <v>2019LIGHT VEHICLES</v>
      </c>
    </row>
    <row r="2992" spans="3:18" x14ac:dyDescent="0.25">
      <c r="C2992" s="294" t="s">
        <v>966</v>
      </c>
      <c r="D2992" s="317">
        <v>9827</v>
      </c>
      <c r="E2992" s="122" t="s">
        <v>847</v>
      </c>
      <c r="F2992" s="122" t="s">
        <v>967</v>
      </c>
      <c r="G2992" s="122" t="s">
        <v>778</v>
      </c>
      <c r="H2992" s="122" t="s">
        <v>777</v>
      </c>
      <c r="I2992" s="312">
        <v>2020</v>
      </c>
      <c r="J2992" s="122" t="s">
        <v>709</v>
      </c>
      <c r="K2992" s="283">
        <v>3915</v>
      </c>
      <c r="L2992" s="318">
        <v>-33.719954999999999</v>
      </c>
      <c r="M2992" s="318">
        <v>151.29811100000001</v>
      </c>
      <c r="O2992">
        <f>INDEX('MEC - traffic congestion'!$M$145:$M$249,MATCH($D2992,'MEC - traffic congestion'!$C$145:$C$249,0))</f>
        <v>1</v>
      </c>
      <c r="P2992" t="str">
        <f t="shared" si="134"/>
        <v>2020AM PEAK</v>
      </c>
      <c r="Q2992">
        <f t="shared" si="135"/>
        <v>1</v>
      </c>
      <c r="R2992" s="195" t="str">
        <f t="shared" si="136"/>
        <v>2020LIGHT VEHICLES</v>
      </c>
    </row>
    <row r="2993" spans="3:18" x14ac:dyDescent="0.25">
      <c r="C2993" s="294" t="s">
        <v>966</v>
      </c>
      <c r="D2993" s="317">
        <v>9827</v>
      </c>
      <c r="E2993" s="122" t="s">
        <v>847</v>
      </c>
      <c r="F2993" s="122" t="s">
        <v>967</v>
      </c>
      <c r="G2993" s="122" t="s">
        <v>778</v>
      </c>
      <c r="H2993" s="122" t="s">
        <v>777</v>
      </c>
      <c r="I2993" s="312">
        <v>2020</v>
      </c>
      <c r="J2993" s="122" t="s">
        <v>710</v>
      </c>
      <c r="K2993" s="283">
        <v>7420</v>
      </c>
      <c r="L2993" s="318">
        <v>-33.719954999999999</v>
      </c>
      <c r="M2993" s="318">
        <v>151.29811100000001</v>
      </c>
      <c r="O2993">
        <f>INDEX('MEC - traffic congestion'!$M$145:$M$249,MATCH($D2993,'MEC - traffic congestion'!$C$145:$C$249,0))</f>
        <v>1</v>
      </c>
      <c r="P2993" t="str">
        <f t="shared" si="134"/>
        <v>2020OFF PEAK</v>
      </c>
      <c r="Q2993">
        <f t="shared" si="135"/>
        <v>1</v>
      </c>
      <c r="R2993" s="195" t="str">
        <f t="shared" si="136"/>
        <v>2020LIGHT VEHICLES</v>
      </c>
    </row>
    <row r="2994" spans="3:18" x14ac:dyDescent="0.25">
      <c r="C2994" s="294" t="s">
        <v>966</v>
      </c>
      <c r="D2994" s="317">
        <v>9827</v>
      </c>
      <c r="E2994" s="122" t="s">
        <v>847</v>
      </c>
      <c r="F2994" s="122" t="s">
        <v>967</v>
      </c>
      <c r="G2994" s="122" t="s">
        <v>778</v>
      </c>
      <c r="H2994" s="122" t="s">
        <v>777</v>
      </c>
      <c r="I2994" s="312">
        <v>2020</v>
      </c>
      <c r="J2994" s="122" t="s">
        <v>711</v>
      </c>
      <c r="K2994" s="283">
        <v>4718</v>
      </c>
      <c r="L2994" s="318">
        <v>-33.719954999999999</v>
      </c>
      <c r="M2994" s="318">
        <v>151.29811100000001</v>
      </c>
      <c r="O2994">
        <f>INDEX('MEC - traffic congestion'!$M$145:$M$249,MATCH($D2994,'MEC - traffic congestion'!$C$145:$C$249,0))</f>
        <v>1</v>
      </c>
      <c r="P2994" t="str">
        <f t="shared" si="134"/>
        <v>2020PM PEAK</v>
      </c>
      <c r="Q2994">
        <f t="shared" si="135"/>
        <v>1</v>
      </c>
      <c r="R2994" s="195" t="str">
        <f t="shared" si="136"/>
        <v>2020LIGHT VEHICLES</v>
      </c>
    </row>
    <row r="2995" spans="3:18" x14ac:dyDescent="0.25">
      <c r="C2995" s="294" t="s">
        <v>966</v>
      </c>
      <c r="D2995" s="317">
        <v>9827</v>
      </c>
      <c r="E2995" s="122" t="s">
        <v>847</v>
      </c>
      <c r="F2995" s="122" t="s">
        <v>967</v>
      </c>
      <c r="G2995" s="122" t="s">
        <v>778</v>
      </c>
      <c r="H2995" s="122" t="s">
        <v>777</v>
      </c>
      <c r="I2995" s="312">
        <v>2020</v>
      </c>
      <c r="J2995" s="122" t="s">
        <v>712</v>
      </c>
      <c r="K2995" s="283">
        <v>9269</v>
      </c>
      <c r="L2995" s="318">
        <v>-33.719954999999999</v>
      </c>
      <c r="M2995" s="318">
        <v>151.29811100000001</v>
      </c>
      <c r="O2995">
        <f>INDEX('MEC - traffic congestion'!$M$145:$M$249,MATCH($D2995,'MEC - traffic congestion'!$C$145:$C$249,0))</f>
        <v>1</v>
      </c>
      <c r="P2995" t="str">
        <f t="shared" si="134"/>
        <v>2020PUBLIC HOLIDAYS</v>
      </c>
      <c r="Q2995">
        <f t="shared" si="135"/>
        <v>1</v>
      </c>
      <c r="R2995" s="195" t="str">
        <f t="shared" si="136"/>
        <v>2020LIGHT VEHICLES</v>
      </c>
    </row>
    <row r="2996" spans="3:18" x14ac:dyDescent="0.25">
      <c r="C2996" s="294" t="s">
        <v>966</v>
      </c>
      <c r="D2996" s="317">
        <v>9827</v>
      </c>
      <c r="E2996" s="122" t="s">
        <v>847</v>
      </c>
      <c r="F2996" s="122" t="s">
        <v>967</v>
      </c>
      <c r="G2996" s="122" t="s">
        <v>778</v>
      </c>
      <c r="H2996" s="122" t="s">
        <v>777</v>
      </c>
      <c r="I2996" s="312">
        <v>2020</v>
      </c>
      <c r="J2996" s="122" t="s">
        <v>713</v>
      </c>
      <c r="K2996" s="283">
        <v>14685</v>
      </c>
      <c r="L2996" s="318">
        <v>-33.719954999999999</v>
      </c>
      <c r="M2996" s="318">
        <v>151.29811100000001</v>
      </c>
      <c r="O2996">
        <f>INDEX('MEC - traffic congestion'!$M$145:$M$249,MATCH($D2996,'MEC - traffic congestion'!$C$145:$C$249,0))</f>
        <v>1</v>
      </c>
      <c r="P2996" t="str">
        <f t="shared" si="134"/>
        <v>2020WEEKENDS</v>
      </c>
      <c r="Q2996">
        <f t="shared" si="135"/>
        <v>1</v>
      </c>
      <c r="R2996" s="195" t="str">
        <f t="shared" si="136"/>
        <v>2020LIGHT VEHICLES</v>
      </c>
    </row>
    <row r="2997" spans="3:18" x14ac:dyDescent="0.25">
      <c r="C2997" s="294" t="s">
        <v>966</v>
      </c>
      <c r="D2997" s="317">
        <v>9827</v>
      </c>
      <c r="E2997" s="122" t="s">
        <v>847</v>
      </c>
      <c r="F2997" s="122" t="s">
        <v>967</v>
      </c>
      <c r="G2997" s="122" t="s">
        <v>778</v>
      </c>
      <c r="H2997" s="122" t="s">
        <v>777</v>
      </c>
      <c r="I2997" s="312">
        <v>2021</v>
      </c>
      <c r="J2997" s="122" t="s">
        <v>709</v>
      </c>
      <c r="K2997" s="283">
        <v>3613</v>
      </c>
      <c r="L2997" s="318">
        <v>-33.719954999999999</v>
      </c>
      <c r="M2997" s="318">
        <v>151.29811100000001</v>
      </c>
      <c r="O2997">
        <f>INDEX('MEC - traffic congestion'!$M$145:$M$249,MATCH($D2997,'MEC - traffic congestion'!$C$145:$C$249,0))</f>
        <v>1</v>
      </c>
      <c r="P2997" t="str">
        <f t="shared" si="134"/>
        <v>2021AM PEAK</v>
      </c>
      <c r="Q2997">
        <f t="shared" si="135"/>
        <v>1</v>
      </c>
      <c r="R2997" s="195" t="str">
        <f t="shared" si="136"/>
        <v>2021LIGHT VEHICLES</v>
      </c>
    </row>
    <row r="2998" spans="3:18" x14ac:dyDescent="0.25">
      <c r="C2998" s="294" t="s">
        <v>966</v>
      </c>
      <c r="D2998" s="317">
        <v>9827</v>
      </c>
      <c r="E2998" s="122" t="s">
        <v>847</v>
      </c>
      <c r="F2998" s="122" t="s">
        <v>967</v>
      </c>
      <c r="G2998" s="122" t="s">
        <v>778</v>
      </c>
      <c r="H2998" s="122" t="s">
        <v>777</v>
      </c>
      <c r="I2998" s="312">
        <v>2021</v>
      </c>
      <c r="J2998" s="122" t="s">
        <v>710</v>
      </c>
      <c r="K2998" s="283">
        <v>6963</v>
      </c>
      <c r="L2998" s="318">
        <v>-33.719954999999999</v>
      </c>
      <c r="M2998" s="318">
        <v>151.29811100000001</v>
      </c>
      <c r="O2998">
        <f>INDEX('MEC - traffic congestion'!$M$145:$M$249,MATCH($D2998,'MEC - traffic congestion'!$C$145:$C$249,0))</f>
        <v>1</v>
      </c>
      <c r="P2998" t="str">
        <f t="shared" si="134"/>
        <v>2021OFF PEAK</v>
      </c>
      <c r="Q2998">
        <f t="shared" si="135"/>
        <v>1</v>
      </c>
      <c r="R2998" s="195" t="str">
        <f t="shared" si="136"/>
        <v>2021LIGHT VEHICLES</v>
      </c>
    </row>
    <row r="2999" spans="3:18" x14ac:dyDescent="0.25">
      <c r="C2999" s="294" t="s">
        <v>966</v>
      </c>
      <c r="D2999" s="317">
        <v>9827</v>
      </c>
      <c r="E2999" s="122" t="s">
        <v>847</v>
      </c>
      <c r="F2999" s="122" t="s">
        <v>967</v>
      </c>
      <c r="G2999" s="122" t="s">
        <v>778</v>
      </c>
      <c r="H2999" s="122" t="s">
        <v>777</v>
      </c>
      <c r="I2999" s="312">
        <v>2021</v>
      </c>
      <c r="J2999" s="122" t="s">
        <v>711</v>
      </c>
      <c r="K2999" s="283">
        <v>4394</v>
      </c>
      <c r="L2999" s="318">
        <v>-33.719954999999999</v>
      </c>
      <c r="M2999" s="318">
        <v>151.29811100000001</v>
      </c>
      <c r="O2999">
        <f>INDEX('MEC - traffic congestion'!$M$145:$M$249,MATCH($D2999,'MEC - traffic congestion'!$C$145:$C$249,0))</f>
        <v>1</v>
      </c>
      <c r="P2999" t="str">
        <f t="shared" si="134"/>
        <v>2021PM PEAK</v>
      </c>
      <c r="Q2999">
        <f t="shared" si="135"/>
        <v>1</v>
      </c>
      <c r="R2999" s="195" t="str">
        <f t="shared" si="136"/>
        <v>2021LIGHT VEHICLES</v>
      </c>
    </row>
    <row r="3000" spans="3:18" x14ac:dyDescent="0.25">
      <c r="C3000" s="294" t="s">
        <v>966</v>
      </c>
      <c r="D3000" s="317">
        <v>9827</v>
      </c>
      <c r="E3000" s="122" t="s">
        <v>847</v>
      </c>
      <c r="F3000" s="122" t="s">
        <v>967</v>
      </c>
      <c r="G3000" s="122" t="s">
        <v>778</v>
      </c>
      <c r="H3000" s="122" t="s">
        <v>777</v>
      </c>
      <c r="I3000" s="312">
        <v>2021</v>
      </c>
      <c r="J3000" s="122" t="s">
        <v>713</v>
      </c>
      <c r="K3000" s="283">
        <v>13022</v>
      </c>
      <c r="L3000" s="318">
        <v>-33.719954999999999</v>
      </c>
      <c r="M3000" s="318">
        <v>151.29811100000001</v>
      </c>
      <c r="O3000">
        <f>INDEX('MEC - traffic congestion'!$M$145:$M$249,MATCH($D3000,'MEC - traffic congestion'!$C$145:$C$249,0))</f>
        <v>1</v>
      </c>
      <c r="P3000" t="str">
        <f t="shared" si="134"/>
        <v>2021WEEKENDS</v>
      </c>
      <c r="Q3000">
        <f t="shared" si="135"/>
        <v>1</v>
      </c>
      <c r="R3000" s="195" t="str">
        <f t="shared" si="136"/>
        <v>2021LIGHT VEHICLES</v>
      </c>
    </row>
    <row r="3001" spans="3:18" x14ac:dyDescent="0.25">
      <c r="C3001" s="294" t="s">
        <v>966</v>
      </c>
      <c r="D3001" s="317">
        <v>9827</v>
      </c>
      <c r="E3001" s="122" t="s">
        <v>847</v>
      </c>
      <c r="F3001" s="122" t="s">
        <v>967</v>
      </c>
      <c r="G3001" s="122" t="s">
        <v>778</v>
      </c>
      <c r="H3001" s="122" t="s">
        <v>777</v>
      </c>
      <c r="I3001" s="312">
        <v>2022</v>
      </c>
      <c r="J3001" s="122" t="s">
        <v>709</v>
      </c>
      <c r="K3001" s="283">
        <v>3565</v>
      </c>
      <c r="L3001" s="318">
        <v>-33.719954999999999</v>
      </c>
      <c r="M3001" s="318">
        <v>151.29811100000001</v>
      </c>
      <c r="O3001">
        <f>INDEX('MEC - traffic congestion'!$M$145:$M$249,MATCH($D3001,'MEC - traffic congestion'!$C$145:$C$249,0))</f>
        <v>1</v>
      </c>
      <c r="P3001" t="str">
        <f t="shared" si="134"/>
        <v>2022AM PEAK</v>
      </c>
      <c r="Q3001">
        <f t="shared" si="135"/>
        <v>1</v>
      </c>
      <c r="R3001" s="195" t="str">
        <f t="shared" si="136"/>
        <v>2022LIGHT VEHICLES</v>
      </c>
    </row>
    <row r="3002" spans="3:18" x14ac:dyDescent="0.25">
      <c r="C3002" s="294" t="s">
        <v>966</v>
      </c>
      <c r="D3002" s="317">
        <v>9827</v>
      </c>
      <c r="E3002" s="122" t="s">
        <v>847</v>
      </c>
      <c r="F3002" s="122" t="s">
        <v>967</v>
      </c>
      <c r="G3002" s="122" t="s">
        <v>778</v>
      </c>
      <c r="H3002" s="122" t="s">
        <v>777</v>
      </c>
      <c r="I3002" s="312">
        <v>2022</v>
      </c>
      <c r="J3002" s="122" t="s">
        <v>710</v>
      </c>
      <c r="K3002" s="283">
        <v>6925</v>
      </c>
      <c r="L3002" s="318">
        <v>-33.719954999999999</v>
      </c>
      <c r="M3002" s="318">
        <v>151.29811100000001</v>
      </c>
      <c r="O3002">
        <f>INDEX('MEC - traffic congestion'!$M$145:$M$249,MATCH($D3002,'MEC - traffic congestion'!$C$145:$C$249,0))</f>
        <v>1</v>
      </c>
      <c r="P3002" t="str">
        <f t="shared" si="134"/>
        <v>2022OFF PEAK</v>
      </c>
      <c r="Q3002">
        <f t="shared" si="135"/>
        <v>1</v>
      </c>
      <c r="R3002" s="195" t="str">
        <f t="shared" si="136"/>
        <v>2022LIGHT VEHICLES</v>
      </c>
    </row>
    <row r="3003" spans="3:18" x14ac:dyDescent="0.25">
      <c r="C3003" s="294" t="s">
        <v>966</v>
      </c>
      <c r="D3003" s="317">
        <v>9827</v>
      </c>
      <c r="E3003" s="122" t="s">
        <v>847</v>
      </c>
      <c r="F3003" s="122" t="s">
        <v>967</v>
      </c>
      <c r="G3003" s="122" t="s">
        <v>778</v>
      </c>
      <c r="H3003" s="122" t="s">
        <v>777</v>
      </c>
      <c r="I3003" s="312">
        <v>2022</v>
      </c>
      <c r="J3003" s="122" t="s">
        <v>711</v>
      </c>
      <c r="K3003" s="283">
        <v>4383</v>
      </c>
      <c r="L3003" s="318">
        <v>-33.719954999999999</v>
      </c>
      <c r="M3003" s="318">
        <v>151.29811100000001</v>
      </c>
      <c r="O3003">
        <f>INDEX('MEC - traffic congestion'!$M$145:$M$249,MATCH($D3003,'MEC - traffic congestion'!$C$145:$C$249,0))</f>
        <v>1</v>
      </c>
      <c r="P3003" t="str">
        <f t="shared" si="134"/>
        <v>2022PM PEAK</v>
      </c>
      <c r="Q3003">
        <f t="shared" si="135"/>
        <v>1</v>
      </c>
      <c r="R3003" s="195" t="str">
        <f t="shared" si="136"/>
        <v>2022LIGHT VEHICLES</v>
      </c>
    </row>
    <row r="3004" spans="3:18" x14ac:dyDescent="0.25">
      <c r="C3004" s="294" t="s">
        <v>966</v>
      </c>
      <c r="D3004" s="317">
        <v>9827</v>
      </c>
      <c r="E3004" s="122" t="s">
        <v>847</v>
      </c>
      <c r="F3004" s="122" t="s">
        <v>967</v>
      </c>
      <c r="G3004" s="122" t="s">
        <v>778</v>
      </c>
      <c r="H3004" s="122" t="s">
        <v>777</v>
      </c>
      <c r="I3004" s="312">
        <v>2022</v>
      </c>
      <c r="J3004" s="122" t="s">
        <v>713</v>
      </c>
      <c r="K3004" s="283">
        <v>13176</v>
      </c>
      <c r="L3004" s="318">
        <v>-33.719954999999999</v>
      </c>
      <c r="M3004" s="318">
        <v>151.29811100000001</v>
      </c>
      <c r="O3004">
        <f>INDEX('MEC - traffic congestion'!$M$145:$M$249,MATCH($D3004,'MEC - traffic congestion'!$C$145:$C$249,0))</f>
        <v>1</v>
      </c>
      <c r="P3004" t="str">
        <f t="shared" si="134"/>
        <v>2022WEEKENDS</v>
      </c>
      <c r="Q3004">
        <f t="shared" si="135"/>
        <v>1</v>
      </c>
      <c r="R3004" s="195" t="str">
        <f t="shared" si="136"/>
        <v>2022LIGHT VEHICLES</v>
      </c>
    </row>
    <row r="3005" spans="3:18" x14ac:dyDescent="0.25">
      <c r="C3005" s="294" t="s">
        <v>966</v>
      </c>
      <c r="D3005" s="317">
        <v>9827</v>
      </c>
      <c r="E3005" s="122" t="s">
        <v>847</v>
      </c>
      <c r="F3005" s="122" t="s">
        <v>967</v>
      </c>
      <c r="G3005" s="122" t="s">
        <v>778</v>
      </c>
      <c r="H3005" s="122" t="s">
        <v>777</v>
      </c>
      <c r="I3005" s="312">
        <v>2023</v>
      </c>
      <c r="J3005" s="122" t="s">
        <v>709</v>
      </c>
      <c r="K3005" s="283">
        <v>3628</v>
      </c>
      <c r="L3005" s="318">
        <v>-33.719954999999999</v>
      </c>
      <c r="M3005" s="318">
        <v>151.29811100000001</v>
      </c>
      <c r="O3005">
        <f>INDEX('MEC - traffic congestion'!$M$145:$M$249,MATCH($D3005,'MEC - traffic congestion'!$C$145:$C$249,0))</f>
        <v>1</v>
      </c>
      <c r="P3005" t="str">
        <f t="shared" si="134"/>
        <v>2023AM PEAK</v>
      </c>
      <c r="Q3005">
        <f t="shared" si="135"/>
        <v>1</v>
      </c>
      <c r="R3005" s="195" t="str">
        <f t="shared" si="136"/>
        <v>2023LIGHT VEHICLES</v>
      </c>
    </row>
    <row r="3006" spans="3:18" x14ac:dyDescent="0.25">
      <c r="C3006" s="294" t="s">
        <v>966</v>
      </c>
      <c r="D3006" s="317">
        <v>9827</v>
      </c>
      <c r="E3006" s="122" t="s">
        <v>847</v>
      </c>
      <c r="F3006" s="122" t="s">
        <v>967</v>
      </c>
      <c r="G3006" s="122" t="s">
        <v>778</v>
      </c>
      <c r="H3006" s="122" t="s">
        <v>777</v>
      </c>
      <c r="I3006" s="312">
        <v>2023</v>
      </c>
      <c r="J3006" s="122" t="s">
        <v>710</v>
      </c>
      <c r="K3006" s="283">
        <v>6979</v>
      </c>
      <c r="L3006" s="318">
        <v>-33.719954999999999</v>
      </c>
      <c r="M3006" s="318">
        <v>151.29811100000001</v>
      </c>
      <c r="O3006">
        <f>INDEX('MEC - traffic congestion'!$M$145:$M$249,MATCH($D3006,'MEC - traffic congestion'!$C$145:$C$249,0))</f>
        <v>1</v>
      </c>
      <c r="P3006" t="str">
        <f t="shared" si="134"/>
        <v>2023OFF PEAK</v>
      </c>
      <c r="Q3006">
        <f t="shared" si="135"/>
        <v>1</v>
      </c>
      <c r="R3006" s="195" t="str">
        <f t="shared" si="136"/>
        <v>2023LIGHT VEHICLES</v>
      </c>
    </row>
    <row r="3007" spans="3:18" x14ac:dyDescent="0.25">
      <c r="C3007" s="294" t="s">
        <v>966</v>
      </c>
      <c r="D3007" s="317">
        <v>9827</v>
      </c>
      <c r="E3007" s="122" t="s">
        <v>847</v>
      </c>
      <c r="F3007" s="122" t="s">
        <v>967</v>
      </c>
      <c r="G3007" s="122" t="s">
        <v>778</v>
      </c>
      <c r="H3007" s="122" t="s">
        <v>777</v>
      </c>
      <c r="I3007" s="312">
        <v>2023</v>
      </c>
      <c r="J3007" s="122" t="s">
        <v>711</v>
      </c>
      <c r="K3007" s="283">
        <v>4457</v>
      </c>
      <c r="L3007" s="318">
        <v>-33.719954999999999</v>
      </c>
      <c r="M3007" s="318">
        <v>151.29811100000001</v>
      </c>
      <c r="O3007">
        <f>INDEX('MEC - traffic congestion'!$M$145:$M$249,MATCH($D3007,'MEC - traffic congestion'!$C$145:$C$249,0))</f>
        <v>1</v>
      </c>
      <c r="P3007" t="str">
        <f t="shared" si="134"/>
        <v>2023PM PEAK</v>
      </c>
      <c r="Q3007">
        <f t="shared" si="135"/>
        <v>1</v>
      </c>
      <c r="R3007" s="195" t="str">
        <f t="shared" si="136"/>
        <v>2023LIGHT VEHICLES</v>
      </c>
    </row>
    <row r="3008" spans="3:18" x14ac:dyDescent="0.25">
      <c r="C3008" s="294" t="s">
        <v>966</v>
      </c>
      <c r="D3008" s="317">
        <v>9827</v>
      </c>
      <c r="E3008" s="122" t="s">
        <v>847</v>
      </c>
      <c r="F3008" s="122" t="s">
        <v>967</v>
      </c>
      <c r="G3008" s="122" t="s">
        <v>778</v>
      </c>
      <c r="H3008" s="122" t="s">
        <v>777</v>
      </c>
      <c r="I3008" s="312">
        <v>2023</v>
      </c>
      <c r="J3008" s="122" t="s">
        <v>713</v>
      </c>
      <c r="K3008" s="283">
        <v>13647</v>
      </c>
      <c r="L3008" s="318">
        <v>-33.719954999999999</v>
      </c>
      <c r="M3008" s="318">
        <v>151.29811100000001</v>
      </c>
      <c r="O3008">
        <f>INDEX('MEC - traffic congestion'!$M$145:$M$249,MATCH($D3008,'MEC - traffic congestion'!$C$145:$C$249,0))</f>
        <v>1</v>
      </c>
      <c r="P3008" t="str">
        <f t="shared" si="134"/>
        <v>2023WEEKENDS</v>
      </c>
      <c r="Q3008">
        <f t="shared" si="135"/>
        <v>1</v>
      </c>
      <c r="R3008" s="195" t="str">
        <f t="shared" si="136"/>
        <v>2023LIGHT VEHICLES</v>
      </c>
    </row>
    <row r="3009" spans="3:18" x14ac:dyDescent="0.25">
      <c r="C3009" s="294" t="s">
        <v>966</v>
      </c>
      <c r="D3009" s="317">
        <v>9827</v>
      </c>
      <c r="E3009" s="122" t="s">
        <v>847</v>
      </c>
      <c r="F3009" s="122" t="s">
        <v>967</v>
      </c>
      <c r="G3009" s="122" t="s">
        <v>778</v>
      </c>
      <c r="H3009" s="122" t="s">
        <v>777</v>
      </c>
      <c r="I3009" s="312">
        <v>2024</v>
      </c>
      <c r="J3009" s="122" t="s">
        <v>709</v>
      </c>
      <c r="K3009" s="283">
        <v>3615</v>
      </c>
      <c r="L3009" s="318">
        <v>-33.719954999999999</v>
      </c>
      <c r="M3009" s="318">
        <v>151.29811100000001</v>
      </c>
      <c r="O3009">
        <f>INDEX('MEC - traffic congestion'!$M$145:$M$249,MATCH($D3009,'MEC - traffic congestion'!$C$145:$C$249,0))</f>
        <v>1</v>
      </c>
      <c r="P3009" t="str">
        <f t="shared" si="134"/>
        <v>2024AM PEAK</v>
      </c>
      <c r="Q3009">
        <f t="shared" si="135"/>
        <v>1</v>
      </c>
      <c r="R3009" s="195" t="str">
        <f t="shared" si="136"/>
        <v>2024LIGHT VEHICLES</v>
      </c>
    </row>
    <row r="3010" spans="3:18" x14ac:dyDescent="0.25">
      <c r="C3010" s="294" t="s">
        <v>966</v>
      </c>
      <c r="D3010" s="317">
        <v>9827</v>
      </c>
      <c r="E3010" s="122" t="s">
        <v>847</v>
      </c>
      <c r="F3010" s="122" t="s">
        <v>967</v>
      </c>
      <c r="G3010" s="122" t="s">
        <v>778</v>
      </c>
      <c r="H3010" s="122" t="s">
        <v>777</v>
      </c>
      <c r="I3010" s="312">
        <v>2024</v>
      </c>
      <c r="J3010" s="122" t="s">
        <v>710</v>
      </c>
      <c r="K3010" s="283">
        <v>7109</v>
      </c>
      <c r="L3010" s="318">
        <v>-33.719954999999999</v>
      </c>
      <c r="M3010" s="318">
        <v>151.29811100000001</v>
      </c>
      <c r="O3010">
        <f>INDEX('MEC - traffic congestion'!$M$145:$M$249,MATCH($D3010,'MEC - traffic congestion'!$C$145:$C$249,0))</f>
        <v>1</v>
      </c>
      <c r="P3010" t="str">
        <f t="shared" si="134"/>
        <v>2024OFF PEAK</v>
      </c>
      <c r="Q3010">
        <f t="shared" si="135"/>
        <v>1</v>
      </c>
      <c r="R3010" s="195" t="str">
        <f t="shared" si="136"/>
        <v>2024LIGHT VEHICLES</v>
      </c>
    </row>
    <row r="3011" spans="3:18" x14ac:dyDescent="0.25">
      <c r="C3011" s="294" t="s">
        <v>966</v>
      </c>
      <c r="D3011" s="317">
        <v>9827</v>
      </c>
      <c r="E3011" s="122" t="s">
        <v>847</v>
      </c>
      <c r="F3011" s="122" t="s">
        <v>967</v>
      </c>
      <c r="G3011" s="122" t="s">
        <v>778</v>
      </c>
      <c r="H3011" s="122" t="s">
        <v>777</v>
      </c>
      <c r="I3011" s="312">
        <v>2024</v>
      </c>
      <c r="J3011" s="122" t="s">
        <v>711</v>
      </c>
      <c r="K3011" s="283">
        <v>4502</v>
      </c>
      <c r="L3011" s="318">
        <v>-33.719954999999999</v>
      </c>
      <c r="M3011" s="318">
        <v>151.29811100000001</v>
      </c>
      <c r="O3011">
        <f>INDEX('MEC - traffic congestion'!$M$145:$M$249,MATCH($D3011,'MEC - traffic congestion'!$C$145:$C$249,0))</f>
        <v>1</v>
      </c>
      <c r="P3011" t="str">
        <f t="shared" si="134"/>
        <v>2024PM PEAK</v>
      </c>
      <c r="Q3011">
        <f t="shared" si="135"/>
        <v>1</v>
      </c>
      <c r="R3011" s="195" t="str">
        <f t="shared" si="136"/>
        <v>2024LIGHT VEHICLES</v>
      </c>
    </row>
    <row r="3012" spans="3:18" x14ac:dyDescent="0.25">
      <c r="C3012" s="294" t="s">
        <v>966</v>
      </c>
      <c r="D3012" s="317">
        <v>9827</v>
      </c>
      <c r="E3012" s="122" t="s">
        <v>847</v>
      </c>
      <c r="F3012" s="122" t="s">
        <v>967</v>
      </c>
      <c r="G3012" s="122" t="s">
        <v>778</v>
      </c>
      <c r="H3012" s="122" t="s">
        <v>777</v>
      </c>
      <c r="I3012" s="312">
        <v>2024</v>
      </c>
      <c r="J3012" s="122" t="s">
        <v>713</v>
      </c>
      <c r="K3012" s="283">
        <v>13951</v>
      </c>
      <c r="L3012" s="318">
        <v>-33.719954999999999</v>
      </c>
      <c r="M3012" s="318">
        <v>151.29811100000001</v>
      </c>
      <c r="O3012">
        <f>INDEX('MEC - traffic congestion'!$M$145:$M$249,MATCH($D3012,'MEC - traffic congestion'!$C$145:$C$249,0))</f>
        <v>1</v>
      </c>
      <c r="P3012" t="str">
        <f t="shared" si="134"/>
        <v>2024WEEKENDS</v>
      </c>
      <c r="Q3012">
        <f t="shared" si="135"/>
        <v>1</v>
      </c>
      <c r="R3012" s="195" t="str">
        <f t="shared" si="136"/>
        <v>2024LIGHT VEHICLES</v>
      </c>
    </row>
    <row r="3013" spans="3:18" x14ac:dyDescent="0.25">
      <c r="C3013" s="294" t="s">
        <v>968</v>
      </c>
      <c r="D3013" s="317" t="s">
        <v>730</v>
      </c>
      <c r="E3013" s="122" t="s">
        <v>894</v>
      </c>
      <c r="F3013" s="122" t="s">
        <v>895</v>
      </c>
      <c r="G3013" s="122" t="s">
        <v>785</v>
      </c>
      <c r="H3013" s="122" t="s">
        <v>777</v>
      </c>
      <c r="I3013" s="312">
        <v>2018</v>
      </c>
      <c r="J3013" s="122" t="s">
        <v>709</v>
      </c>
      <c r="K3013" s="283">
        <v>3057</v>
      </c>
      <c r="L3013" s="318">
        <v>-34.033203</v>
      </c>
      <c r="M3013" s="318">
        <v>151.09252900000001</v>
      </c>
      <c r="O3013">
        <f>INDEX('MEC - traffic congestion'!$M$145:$M$249,MATCH($D3013,'MEC - traffic congestion'!$C$145:$C$249,0))</f>
        <v>1</v>
      </c>
      <c r="P3013" t="str">
        <f t="shared" si="134"/>
        <v>2018AM PEAK</v>
      </c>
      <c r="Q3013">
        <f t="shared" si="135"/>
        <v>1</v>
      </c>
      <c r="R3013" s="195" t="str">
        <f t="shared" si="136"/>
        <v>2018LIGHT VEHICLES</v>
      </c>
    </row>
    <row r="3014" spans="3:18" x14ac:dyDescent="0.25">
      <c r="C3014" s="294" t="s">
        <v>968</v>
      </c>
      <c r="D3014" s="317" t="s">
        <v>730</v>
      </c>
      <c r="E3014" s="122" t="s">
        <v>894</v>
      </c>
      <c r="F3014" s="122" t="s">
        <v>895</v>
      </c>
      <c r="G3014" s="122" t="s">
        <v>786</v>
      </c>
      <c r="H3014" s="122" t="s">
        <v>777</v>
      </c>
      <c r="I3014" s="312">
        <v>2018</v>
      </c>
      <c r="J3014" s="122" t="s">
        <v>709</v>
      </c>
      <c r="K3014" s="283">
        <v>1567</v>
      </c>
      <c r="L3014" s="318">
        <v>-34.033203</v>
      </c>
      <c r="M3014" s="318">
        <v>151.09252900000001</v>
      </c>
      <c r="O3014">
        <f>INDEX('MEC - traffic congestion'!$M$145:$M$249,MATCH($D3014,'MEC - traffic congestion'!$C$145:$C$249,0))</f>
        <v>1</v>
      </c>
      <c r="P3014" t="str">
        <f t="shared" si="134"/>
        <v>2018AM PEAK</v>
      </c>
      <c r="Q3014">
        <f t="shared" si="135"/>
        <v>1</v>
      </c>
      <c r="R3014" s="195" t="str">
        <f t="shared" si="136"/>
        <v>2018LIGHT VEHICLES</v>
      </c>
    </row>
    <row r="3015" spans="3:18" x14ac:dyDescent="0.25">
      <c r="C3015" s="294" t="s">
        <v>968</v>
      </c>
      <c r="D3015" s="317" t="s">
        <v>730</v>
      </c>
      <c r="E3015" s="122" t="s">
        <v>894</v>
      </c>
      <c r="F3015" s="122" t="s">
        <v>895</v>
      </c>
      <c r="G3015" s="122" t="s">
        <v>785</v>
      </c>
      <c r="H3015" s="122" t="s">
        <v>777</v>
      </c>
      <c r="I3015" s="312">
        <v>2018</v>
      </c>
      <c r="J3015" s="122" t="s">
        <v>710</v>
      </c>
      <c r="K3015" s="283">
        <v>5391</v>
      </c>
      <c r="L3015" s="318">
        <v>-34.033203</v>
      </c>
      <c r="M3015" s="318">
        <v>151.09252900000001</v>
      </c>
      <c r="O3015">
        <f>INDEX('MEC - traffic congestion'!$M$145:$M$249,MATCH($D3015,'MEC - traffic congestion'!$C$145:$C$249,0))</f>
        <v>1</v>
      </c>
      <c r="P3015" t="str">
        <f t="shared" si="134"/>
        <v>2018OFF PEAK</v>
      </c>
      <c r="Q3015">
        <f t="shared" si="135"/>
        <v>1</v>
      </c>
      <c r="R3015" s="195" t="str">
        <f t="shared" si="136"/>
        <v>2018LIGHT VEHICLES</v>
      </c>
    </row>
    <row r="3016" spans="3:18" x14ac:dyDescent="0.25">
      <c r="C3016" s="294" t="s">
        <v>968</v>
      </c>
      <c r="D3016" s="317" t="s">
        <v>730</v>
      </c>
      <c r="E3016" s="122" t="s">
        <v>894</v>
      </c>
      <c r="F3016" s="122" t="s">
        <v>895</v>
      </c>
      <c r="G3016" s="122" t="s">
        <v>786</v>
      </c>
      <c r="H3016" s="122" t="s">
        <v>777</v>
      </c>
      <c r="I3016" s="312">
        <v>2018</v>
      </c>
      <c r="J3016" s="122" t="s">
        <v>710</v>
      </c>
      <c r="K3016" s="283">
        <v>5922</v>
      </c>
      <c r="L3016" s="318">
        <v>-34.033203</v>
      </c>
      <c r="M3016" s="318">
        <v>151.09252900000001</v>
      </c>
      <c r="O3016">
        <f>INDEX('MEC - traffic congestion'!$M$145:$M$249,MATCH($D3016,'MEC - traffic congestion'!$C$145:$C$249,0))</f>
        <v>1</v>
      </c>
      <c r="P3016" t="str">
        <f t="shared" si="134"/>
        <v>2018OFF PEAK</v>
      </c>
      <c r="Q3016">
        <f t="shared" si="135"/>
        <v>1</v>
      </c>
      <c r="R3016" s="195" t="str">
        <f t="shared" si="136"/>
        <v>2018LIGHT VEHICLES</v>
      </c>
    </row>
    <row r="3017" spans="3:18" x14ac:dyDescent="0.25">
      <c r="C3017" s="294" t="s">
        <v>968</v>
      </c>
      <c r="D3017" s="317" t="s">
        <v>730</v>
      </c>
      <c r="E3017" s="122" t="s">
        <v>894</v>
      </c>
      <c r="F3017" s="122" t="s">
        <v>895</v>
      </c>
      <c r="G3017" s="122" t="s">
        <v>785</v>
      </c>
      <c r="H3017" s="122" t="s">
        <v>777</v>
      </c>
      <c r="I3017" s="312">
        <v>2018</v>
      </c>
      <c r="J3017" s="122" t="s">
        <v>711</v>
      </c>
      <c r="K3017" s="283">
        <v>2979</v>
      </c>
      <c r="L3017" s="318">
        <v>-34.033203</v>
      </c>
      <c r="M3017" s="318">
        <v>151.09252900000001</v>
      </c>
      <c r="O3017">
        <f>INDEX('MEC - traffic congestion'!$M$145:$M$249,MATCH($D3017,'MEC - traffic congestion'!$C$145:$C$249,0))</f>
        <v>1</v>
      </c>
      <c r="P3017" t="str">
        <f t="shared" si="134"/>
        <v>2018PM PEAK</v>
      </c>
      <c r="Q3017">
        <f t="shared" si="135"/>
        <v>1</v>
      </c>
      <c r="R3017" s="195" t="str">
        <f t="shared" si="136"/>
        <v>2018LIGHT VEHICLES</v>
      </c>
    </row>
    <row r="3018" spans="3:18" x14ac:dyDescent="0.25">
      <c r="C3018" s="294" t="s">
        <v>968</v>
      </c>
      <c r="D3018" s="317" t="s">
        <v>730</v>
      </c>
      <c r="E3018" s="122" t="s">
        <v>894</v>
      </c>
      <c r="F3018" s="122" t="s">
        <v>895</v>
      </c>
      <c r="G3018" s="122" t="s">
        <v>786</v>
      </c>
      <c r="H3018" s="122" t="s">
        <v>777</v>
      </c>
      <c r="I3018" s="312">
        <v>2018</v>
      </c>
      <c r="J3018" s="122" t="s">
        <v>711</v>
      </c>
      <c r="K3018" s="283">
        <v>4326</v>
      </c>
      <c r="L3018" s="318">
        <v>-34.033203</v>
      </c>
      <c r="M3018" s="318">
        <v>151.09252900000001</v>
      </c>
      <c r="O3018">
        <f>INDEX('MEC - traffic congestion'!$M$145:$M$249,MATCH($D3018,'MEC - traffic congestion'!$C$145:$C$249,0))</f>
        <v>1</v>
      </c>
      <c r="P3018" t="str">
        <f t="shared" si="134"/>
        <v>2018PM PEAK</v>
      </c>
      <c r="Q3018">
        <f t="shared" si="135"/>
        <v>1</v>
      </c>
      <c r="R3018" s="195" t="str">
        <f t="shared" si="136"/>
        <v>2018LIGHT VEHICLES</v>
      </c>
    </row>
    <row r="3019" spans="3:18" x14ac:dyDescent="0.25">
      <c r="C3019" s="294" t="s">
        <v>968</v>
      </c>
      <c r="D3019" s="317" t="s">
        <v>730</v>
      </c>
      <c r="E3019" s="122" t="s">
        <v>894</v>
      </c>
      <c r="F3019" s="122" t="s">
        <v>895</v>
      </c>
      <c r="G3019" s="122" t="s">
        <v>785</v>
      </c>
      <c r="H3019" s="122" t="s">
        <v>777</v>
      </c>
      <c r="I3019" s="312">
        <v>2018</v>
      </c>
      <c r="J3019" s="122" t="s">
        <v>712</v>
      </c>
      <c r="K3019" s="283">
        <v>7902</v>
      </c>
      <c r="L3019" s="318">
        <v>-34.033203</v>
      </c>
      <c r="M3019" s="318">
        <v>151.09252900000001</v>
      </c>
      <c r="O3019">
        <f>INDEX('MEC - traffic congestion'!$M$145:$M$249,MATCH($D3019,'MEC - traffic congestion'!$C$145:$C$249,0))</f>
        <v>1</v>
      </c>
      <c r="P3019" t="str">
        <f t="shared" si="134"/>
        <v>2018PUBLIC HOLIDAYS</v>
      </c>
      <c r="Q3019">
        <f t="shared" si="135"/>
        <v>1</v>
      </c>
      <c r="R3019" s="195" t="str">
        <f t="shared" si="136"/>
        <v>2018LIGHT VEHICLES</v>
      </c>
    </row>
    <row r="3020" spans="3:18" x14ac:dyDescent="0.25">
      <c r="C3020" s="294" t="s">
        <v>968</v>
      </c>
      <c r="D3020" s="317" t="s">
        <v>730</v>
      </c>
      <c r="E3020" s="122" t="s">
        <v>894</v>
      </c>
      <c r="F3020" s="122" t="s">
        <v>895</v>
      </c>
      <c r="G3020" s="122" t="s">
        <v>786</v>
      </c>
      <c r="H3020" s="122" t="s">
        <v>777</v>
      </c>
      <c r="I3020" s="312">
        <v>2018</v>
      </c>
      <c r="J3020" s="122" t="s">
        <v>712</v>
      </c>
      <c r="K3020" s="283">
        <v>7401</v>
      </c>
      <c r="L3020" s="318">
        <v>-34.033203</v>
      </c>
      <c r="M3020" s="318">
        <v>151.09252900000001</v>
      </c>
      <c r="O3020">
        <f>INDEX('MEC - traffic congestion'!$M$145:$M$249,MATCH($D3020,'MEC - traffic congestion'!$C$145:$C$249,0))</f>
        <v>1</v>
      </c>
      <c r="P3020" t="str">
        <f t="shared" si="134"/>
        <v>2018PUBLIC HOLIDAYS</v>
      </c>
      <c r="Q3020">
        <f t="shared" si="135"/>
        <v>1</v>
      </c>
      <c r="R3020" s="195" t="str">
        <f t="shared" si="136"/>
        <v>2018LIGHT VEHICLES</v>
      </c>
    </row>
    <row r="3021" spans="3:18" x14ac:dyDescent="0.25">
      <c r="C3021" s="294" t="s">
        <v>968</v>
      </c>
      <c r="D3021" s="317" t="s">
        <v>730</v>
      </c>
      <c r="E3021" s="122" t="s">
        <v>894</v>
      </c>
      <c r="F3021" s="122" t="s">
        <v>895</v>
      </c>
      <c r="G3021" s="122" t="s">
        <v>785</v>
      </c>
      <c r="H3021" s="122" t="s">
        <v>777</v>
      </c>
      <c r="I3021" s="312">
        <v>2018</v>
      </c>
      <c r="J3021" s="122" t="s">
        <v>713</v>
      </c>
      <c r="K3021" s="283">
        <v>10697</v>
      </c>
      <c r="L3021" s="318">
        <v>-34.033203</v>
      </c>
      <c r="M3021" s="318">
        <v>151.09252900000001</v>
      </c>
      <c r="O3021">
        <f>INDEX('MEC - traffic congestion'!$M$145:$M$249,MATCH($D3021,'MEC - traffic congestion'!$C$145:$C$249,0))</f>
        <v>1</v>
      </c>
      <c r="P3021" t="str">
        <f t="shared" si="134"/>
        <v>2018WEEKENDS</v>
      </c>
      <c r="Q3021">
        <f t="shared" si="135"/>
        <v>1</v>
      </c>
      <c r="R3021" s="195" t="str">
        <f t="shared" si="136"/>
        <v>2018LIGHT VEHICLES</v>
      </c>
    </row>
    <row r="3022" spans="3:18" x14ac:dyDescent="0.25">
      <c r="C3022" s="294" t="s">
        <v>968</v>
      </c>
      <c r="D3022" s="317" t="s">
        <v>730</v>
      </c>
      <c r="E3022" s="122" t="s">
        <v>894</v>
      </c>
      <c r="F3022" s="122" t="s">
        <v>895</v>
      </c>
      <c r="G3022" s="122" t="s">
        <v>786</v>
      </c>
      <c r="H3022" s="122" t="s">
        <v>777</v>
      </c>
      <c r="I3022" s="312">
        <v>2018</v>
      </c>
      <c r="J3022" s="122" t="s">
        <v>713</v>
      </c>
      <c r="K3022" s="283">
        <v>11186</v>
      </c>
      <c r="L3022" s="318">
        <v>-34.033203</v>
      </c>
      <c r="M3022" s="318">
        <v>151.09252900000001</v>
      </c>
      <c r="O3022">
        <f>INDEX('MEC - traffic congestion'!$M$145:$M$249,MATCH($D3022,'MEC - traffic congestion'!$C$145:$C$249,0))</f>
        <v>1</v>
      </c>
      <c r="P3022" t="str">
        <f t="shared" si="134"/>
        <v>2018WEEKENDS</v>
      </c>
      <c r="Q3022">
        <f t="shared" si="135"/>
        <v>1</v>
      </c>
      <c r="R3022" s="195" t="str">
        <f t="shared" si="136"/>
        <v>2018LIGHT VEHICLES</v>
      </c>
    </row>
    <row r="3023" spans="3:18" x14ac:dyDescent="0.25">
      <c r="C3023" s="294" t="s">
        <v>968</v>
      </c>
      <c r="D3023" s="317" t="s">
        <v>730</v>
      </c>
      <c r="E3023" s="122" t="s">
        <v>894</v>
      </c>
      <c r="F3023" s="122" t="s">
        <v>895</v>
      </c>
      <c r="G3023" s="122" t="s">
        <v>785</v>
      </c>
      <c r="H3023" s="122" t="s">
        <v>777</v>
      </c>
      <c r="I3023" s="312">
        <v>2019</v>
      </c>
      <c r="J3023" s="122" t="s">
        <v>709</v>
      </c>
      <c r="K3023" s="283">
        <v>2953</v>
      </c>
      <c r="L3023" s="318">
        <v>-34.033203</v>
      </c>
      <c r="M3023" s="318">
        <v>151.09252900000001</v>
      </c>
      <c r="O3023">
        <f>INDEX('MEC - traffic congestion'!$M$145:$M$249,MATCH($D3023,'MEC - traffic congestion'!$C$145:$C$249,0))</f>
        <v>1</v>
      </c>
      <c r="P3023" t="str">
        <f t="shared" si="134"/>
        <v>2019AM PEAK</v>
      </c>
      <c r="Q3023">
        <f t="shared" si="135"/>
        <v>1</v>
      </c>
      <c r="R3023" s="195" t="str">
        <f t="shared" si="136"/>
        <v>2019LIGHT VEHICLES</v>
      </c>
    </row>
    <row r="3024" spans="3:18" x14ac:dyDescent="0.25">
      <c r="C3024" s="294" t="s">
        <v>968</v>
      </c>
      <c r="D3024" s="317" t="s">
        <v>730</v>
      </c>
      <c r="E3024" s="122" t="s">
        <v>894</v>
      </c>
      <c r="F3024" s="122" t="s">
        <v>895</v>
      </c>
      <c r="G3024" s="122" t="s">
        <v>786</v>
      </c>
      <c r="H3024" s="122" t="s">
        <v>777</v>
      </c>
      <c r="I3024" s="312">
        <v>2019</v>
      </c>
      <c r="J3024" s="122" t="s">
        <v>709</v>
      </c>
      <c r="K3024" s="283">
        <v>1563</v>
      </c>
      <c r="L3024" s="318">
        <v>-34.033203</v>
      </c>
      <c r="M3024" s="318">
        <v>151.09252900000001</v>
      </c>
      <c r="O3024">
        <f>INDEX('MEC - traffic congestion'!$M$145:$M$249,MATCH($D3024,'MEC - traffic congestion'!$C$145:$C$249,0))</f>
        <v>1</v>
      </c>
      <c r="P3024" t="str">
        <f t="shared" si="134"/>
        <v>2019AM PEAK</v>
      </c>
      <c r="Q3024">
        <f t="shared" si="135"/>
        <v>1</v>
      </c>
      <c r="R3024" s="195" t="str">
        <f t="shared" si="136"/>
        <v>2019LIGHT VEHICLES</v>
      </c>
    </row>
    <row r="3025" spans="3:18" x14ac:dyDescent="0.25">
      <c r="C3025" s="294" t="s">
        <v>968</v>
      </c>
      <c r="D3025" s="317" t="s">
        <v>730</v>
      </c>
      <c r="E3025" s="122" t="s">
        <v>894</v>
      </c>
      <c r="F3025" s="122" t="s">
        <v>895</v>
      </c>
      <c r="G3025" s="122" t="s">
        <v>785</v>
      </c>
      <c r="H3025" s="122" t="s">
        <v>777</v>
      </c>
      <c r="I3025" s="312">
        <v>2019</v>
      </c>
      <c r="J3025" s="122" t="s">
        <v>710</v>
      </c>
      <c r="K3025" s="283">
        <v>5228</v>
      </c>
      <c r="L3025" s="318">
        <v>-34.033203</v>
      </c>
      <c r="M3025" s="318">
        <v>151.09252900000001</v>
      </c>
      <c r="O3025">
        <f>INDEX('MEC - traffic congestion'!$M$145:$M$249,MATCH($D3025,'MEC - traffic congestion'!$C$145:$C$249,0))</f>
        <v>1</v>
      </c>
      <c r="P3025" t="str">
        <f t="shared" si="134"/>
        <v>2019OFF PEAK</v>
      </c>
      <c r="Q3025">
        <f t="shared" si="135"/>
        <v>1</v>
      </c>
      <c r="R3025" s="195" t="str">
        <f t="shared" si="136"/>
        <v>2019LIGHT VEHICLES</v>
      </c>
    </row>
    <row r="3026" spans="3:18" x14ac:dyDescent="0.25">
      <c r="C3026" s="294" t="s">
        <v>968</v>
      </c>
      <c r="D3026" s="317" t="s">
        <v>730</v>
      </c>
      <c r="E3026" s="122" t="s">
        <v>894</v>
      </c>
      <c r="F3026" s="122" t="s">
        <v>895</v>
      </c>
      <c r="G3026" s="122" t="s">
        <v>786</v>
      </c>
      <c r="H3026" s="122" t="s">
        <v>777</v>
      </c>
      <c r="I3026" s="312">
        <v>2019</v>
      </c>
      <c r="J3026" s="122" t="s">
        <v>710</v>
      </c>
      <c r="K3026" s="283">
        <v>5868</v>
      </c>
      <c r="L3026" s="318">
        <v>-34.033203</v>
      </c>
      <c r="M3026" s="318">
        <v>151.09252900000001</v>
      </c>
      <c r="O3026">
        <f>INDEX('MEC - traffic congestion'!$M$145:$M$249,MATCH($D3026,'MEC - traffic congestion'!$C$145:$C$249,0))</f>
        <v>1</v>
      </c>
      <c r="P3026" t="str">
        <f t="shared" si="134"/>
        <v>2019OFF PEAK</v>
      </c>
      <c r="Q3026">
        <f t="shared" si="135"/>
        <v>1</v>
      </c>
      <c r="R3026" s="195" t="str">
        <f t="shared" si="136"/>
        <v>2019LIGHT VEHICLES</v>
      </c>
    </row>
    <row r="3027" spans="3:18" x14ac:dyDescent="0.25">
      <c r="C3027" s="294" t="s">
        <v>968</v>
      </c>
      <c r="D3027" s="317" t="s">
        <v>730</v>
      </c>
      <c r="E3027" s="122" t="s">
        <v>894</v>
      </c>
      <c r="F3027" s="122" t="s">
        <v>895</v>
      </c>
      <c r="G3027" s="122" t="s">
        <v>785</v>
      </c>
      <c r="H3027" s="122" t="s">
        <v>777</v>
      </c>
      <c r="I3027" s="312">
        <v>2019</v>
      </c>
      <c r="J3027" s="122" t="s">
        <v>711</v>
      </c>
      <c r="K3027" s="283">
        <v>2833</v>
      </c>
      <c r="L3027" s="318">
        <v>-34.033203</v>
      </c>
      <c r="M3027" s="318">
        <v>151.09252900000001</v>
      </c>
      <c r="O3027">
        <f>INDEX('MEC - traffic congestion'!$M$145:$M$249,MATCH($D3027,'MEC - traffic congestion'!$C$145:$C$249,0))</f>
        <v>1</v>
      </c>
      <c r="P3027" t="str">
        <f t="shared" si="134"/>
        <v>2019PM PEAK</v>
      </c>
      <c r="Q3027">
        <f t="shared" si="135"/>
        <v>1</v>
      </c>
      <c r="R3027" s="195" t="str">
        <f t="shared" si="136"/>
        <v>2019LIGHT VEHICLES</v>
      </c>
    </row>
    <row r="3028" spans="3:18" x14ac:dyDescent="0.25">
      <c r="C3028" s="294" t="s">
        <v>968</v>
      </c>
      <c r="D3028" s="317" t="s">
        <v>730</v>
      </c>
      <c r="E3028" s="122" t="s">
        <v>894</v>
      </c>
      <c r="F3028" s="122" t="s">
        <v>895</v>
      </c>
      <c r="G3028" s="122" t="s">
        <v>786</v>
      </c>
      <c r="H3028" s="122" t="s">
        <v>777</v>
      </c>
      <c r="I3028" s="312">
        <v>2019</v>
      </c>
      <c r="J3028" s="122" t="s">
        <v>711</v>
      </c>
      <c r="K3028" s="283">
        <v>4314</v>
      </c>
      <c r="L3028" s="318">
        <v>-34.033203</v>
      </c>
      <c r="M3028" s="318">
        <v>151.09252900000001</v>
      </c>
      <c r="O3028">
        <f>INDEX('MEC - traffic congestion'!$M$145:$M$249,MATCH($D3028,'MEC - traffic congestion'!$C$145:$C$249,0))</f>
        <v>1</v>
      </c>
      <c r="P3028" t="str">
        <f t="shared" si="134"/>
        <v>2019PM PEAK</v>
      </c>
      <c r="Q3028">
        <f t="shared" si="135"/>
        <v>1</v>
      </c>
      <c r="R3028" s="195" t="str">
        <f t="shared" si="136"/>
        <v>2019LIGHT VEHICLES</v>
      </c>
    </row>
    <row r="3029" spans="3:18" x14ac:dyDescent="0.25">
      <c r="C3029" s="294" t="s">
        <v>968</v>
      </c>
      <c r="D3029" s="317" t="s">
        <v>730</v>
      </c>
      <c r="E3029" s="122" t="s">
        <v>894</v>
      </c>
      <c r="F3029" s="122" t="s">
        <v>895</v>
      </c>
      <c r="G3029" s="122" t="s">
        <v>785</v>
      </c>
      <c r="H3029" s="122" t="s">
        <v>777</v>
      </c>
      <c r="I3029" s="312">
        <v>2019</v>
      </c>
      <c r="J3029" s="122" t="s">
        <v>712</v>
      </c>
      <c r="K3029" s="283">
        <v>7878</v>
      </c>
      <c r="L3029" s="318">
        <v>-34.033203</v>
      </c>
      <c r="M3029" s="318">
        <v>151.09252900000001</v>
      </c>
      <c r="O3029">
        <f>INDEX('MEC - traffic congestion'!$M$145:$M$249,MATCH($D3029,'MEC - traffic congestion'!$C$145:$C$249,0))</f>
        <v>1</v>
      </c>
      <c r="P3029" t="str">
        <f t="shared" ref="P3029:P3092" si="137">IF($O3029=1,$I3029&amp;$J3029,"")</f>
        <v>2019PUBLIC HOLIDAYS</v>
      </c>
      <c r="Q3029">
        <f t="shared" ref="Q3029:Q3092" si="138">IF(AND($M3029&gt;150.246,AND($L3029&gt;-34.397,$L3029&lt;-32.662)),1,0)</f>
        <v>1</v>
      </c>
      <c r="R3029" s="195" t="str">
        <f t="shared" ref="R3029:R3092" si="139">IF($O3029=1,$I3029&amp;$H3029,"")</f>
        <v>2019LIGHT VEHICLES</v>
      </c>
    </row>
    <row r="3030" spans="3:18" x14ac:dyDescent="0.25">
      <c r="C3030" s="294" t="s">
        <v>968</v>
      </c>
      <c r="D3030" s="317" t="s">
        <v>730</v>
      </c>
      <c r="E3030" s="122" t="s">
        <v>894</v>
      </c>
      <c r="F3030" s="122" t="s">
        <v>895</v>
      </c>
      <c r="G3030" s="122" t="s">
        <v>786</v>
      </c>
      <c r="H3030" s="122" t="s">
        <v>777</v>
      </c>
      <c r="I3030" s="312">
        <v>2019</v>
      </c>
      <c r="J3030" s="122" t="s">
        <v>712</v>
      </c>
      <c r="K3030" s="283">
        <v>7435</v>
      </c>
      <c r="L3030" s="318">
        <v>-34.033203</v>
      </c>
      <c r="M3030" s="318">
        <v>151.09252900000001</v>
      </c>
      <c r="O3030">
        <f>INDEX('MEC - traffic congestion'!$M$145:$M$249,MATCH($D3030,'MEC - traffic congestion'!$C$145:$C$249,0))</f>
        <v>1</v>
      </c>
      <c r="P3030" t="str">
        <f t="shared" si="137"/>
        <v>2019PUBLIC HOLIDAYS</v>
      </c>
      <c r="Q3030">
        <f t="shared" si="138"/>
        <v>1</v>
      </c>
      <c r="R3030" s="195" t="str">
        <f t="shared" si="139"/>
        <v>2019LIGHT VEHICLES</v>
      </c>
    </row>
    <row r="3031" spans="3:18" x14ac:dyDescent="0.25">
      <c r="C3031" s="294" t="s">
        <v>968</v>
      </c>
      <c r="D3031" s="317" t="s">
        <v>730</v>
      </c>
      <c r="E3031" s="122" t="s">
        <v>894</v>
      </c>
      <c r="F3031" s="122" t="s">
        <v>895</v>
      </c>
      <c r="G3031" s="122" t="s">
        <v>785</v>
      </c>
      <c r="H3031" s="122" t="s">
        <v>777</v>
      </c>
      <c r="I3031" s="312">
        <v>2019</v>
      </c>
      <c r="J3031" s="122" t="s">
        <v>713</v>
      </c>
      <c r="K3031" s="283">
        <v>10414</v>
      </c>
      <c r="L3031" s="318">
        <v>-34.033203</v>
      </c>
      <c r="M3031" s="318">
        <v>151.09252900000001</v>
      </c>
      <c r="O3031">
        <f>INDEX('MEC - traffic congestion'!$M$145:$M$249,MATCH($D3031,'MEC - traffic congestion'!$C$145:$C$249,0))</f>
        <v>1</v>
      </c>
      <c r="P3031" t="str">
        <f t="shared" si="137"/>
        <v>2019WEEKENDS</v>
      </c>
      <c r="Q3031">
        <f t="shared" si="138"/>
        <v>1</v>
      </c>
      <c r="R3031" s="195" t="str">
        <f t="shared" si="139"/>
        <v>2019LIGHT VEHICLES</v>
      </c>
    </row>
    <row r="3032" spans="3:18" x14ac:dyDescent="0.25">
      <c r="C3032" s="294" t="s">
        <v>968</v>
      </c>
      <c r="D3032" s="317" t="s">
        <v>730</v>
      </c>
      <c r="E3032" s="122" t="s">
        <v>894</v>
      </c>
      <c r="F3032" s="122" t="s">
        <v>895</v>
      </c>
      <c r="G3032" s="122" t="s">
        <v>786</v>
      </c>
      <c r="H3032" s="122" t="s">
        <v>777</v>
      </c>
      <c r="I3032" s="312">
        <v>2019</v>
      </c>
      <c r="J3032" s="122" t="s">
        <v>713</v>
      </c>
      <c r="K3032" s="283">
        <v>11081</v>
      </c>
      <c r="L3032" s="318">
        <v>-34.033203</v>
      </c>
      <c r="M3032" s="318">
        <v>151.09252900000001</v>
      </c>
      <c r="O3032">
        <f>INDEX('MEC - traffic congestion'!$M$145:$M$249,MATCH($D3032,'MEC - traffic congestion'!$C$145:$C$249,0))</f>
        <v>1</v>
      </c>
      <c r="P3032" t="str">
        <f t="shared" si="137"/>
        <v>2019WEEKENDS</v>
      </c>
      <c r="Q3032">
        <f t="shared" si="138"/>
        <v>1</v>
      </c>
      <c r="R3032" s="195" t="str">
        <f t="shared" si="139"/>
        <v>2019LIGHT VEHICLES</v>
      </c>
    </row>
    <row r="3033" spans="3:18" x14ac:dyDescent="0.25">
      <c r="C3033" s="294" t="s">
        <v>968</v>
      </c>
      <c r="D3033" s="317" t="s">
        <v>730</v>
      </c>
      <c r="E3033" s="122" t="s">
        <v>894</v>
      </c>
      <c r="F3033" s="122" t="s">
        <v>895</v>
      </c>
      <c r="G3033" s="122" t="s">
        <v>785</v>
      </c>
      <c r="H3033" s="122" t="s">
        <v>777</v>
      </c>
      <c r="I3033" s="312">
        <v>2020</v>
      </c>
      <c r="J3033" s="122" t="s">
        <v>709</v>
      </c>
      <c r="K3033" s="283">
        <v>2751</v>
      </c>
      <c r="L3033" s="318">
        <v>-34.033203</v>
      </c>
      <c r="M3033" s="318">
        <v>151.09252900000001</v>
      </c>
      <c r="O3033">
        <f>INDEX('MEC - traffic congestion'!$M$145:$M$249,MATCH($D3033,'MEC - traffic congestion'!$C$145:$C$249,0))</f>
        <v>1</v>
      </c>
      <c r="P3033" t="str">
        <f t="shared" si="137"/>
        <v>2020AM PEAK</v>
      </c>
      <c r="Q3033">
        <f t="shared" si="138"/>
        <v>1</v>
      </c>
      <c r="R3033" s="195" t="str">
        <f t="shared" si="139"/>
        <v>2020LIGHT VEHICLES</v>
      </c>
    </row>
    <row r="3034" spans="3:18" x14ac:dyDescent="0.25">
      <c r="C3034" s="294" t="s">
        <v>968</v>
      </c>
      <c r="D3034" s="317" t="s">
        <v>730</v>
      </c>
      <c r="E3034" s="122" t="s">
        <v>894</v>
      </c>
      <c r="F3034" s="122" t="s">
        <v>895</v>
      </c>
      <c r="G3034" s="122" t="s">
        <v>786</v>
      </c>
      <c r="H3034" s="122" t="s">
        <v>777</v>
      </c>
      <c r="I3034" s="312">
        <v>2020</v>
      </c>
      <c r="J3034" s="122" t="s">
        <v>709</v>
      </c>
      <c r="K3034" s="283">
        <v>1606</v>
      </c>
      <c r="L3034" s="318">
        <v>-34.033203</v>
      </c>
      <c r="M3034" s="318">
        <v>151.09252900000001</v>
      </c>
      <c r="O3034">
        <f>INDEX('MEC - traffic congestion'!$M$145:$M$249,MATCH($D3034,'MEC - traffic congestion'!$C$145:$C$249,0))</f>
        <v>1</v>
      </c>
      <c r="P3034" t="str">
        <f t="shared" si="137"/>
        <v>2020AM PEAK</v>
      </c>
      <c r="Q3034">
        <f t="shared" si="138"/>
        <v>1</v>
      </c>
      <c r="R3034" s="195" t="str">
        <f t="shared" si="139"/>
        <v>2020LIGHT VEHICLES</v>
      </c>
    </row>
    <row r="3035" spans="3:18" x14ac:dyDescent="0.25">
      <c r="C3035" s="294" t="s">
        <v>968</v>
      </c>
      <c r="D3035" s="317" t="s">
        <v>730</v>
      </c>
      <c r="E3035" s="122" t="s">
        <v>894</v>
      </c>
      <c r="F3035" s="122" t="s">
        <v>895</v>
      </c>
      <c r="G3035" s="122" t="s">
        <v>785</v>
      </c>
      <c r="H3035" s="122" t="s">
        <v>777</v>
      </c>
      <c r="I3035" s="312">
        <v>2020</v>
      </c>
      <c r="J3035" s="122" t="s">
        <v>710</v>
      </c>
      <c r="K3035" s="283">
        <v>4942</v>
      </c>
      <c r="L3035" s="318">
        <v>-34.033203</v>
      </c>
      <c r="M3035" s="318">
        <v>151.09252900000001</v>
      </c>
      <c r="O3035">
        <f>INDEX('MEC - traffic congestion'!$M$145:$M$249,MATCH($D3035,'MEC - traffic congestion'!$C$145:$C$249,0))</f>
        <v>1</v>
      </c>
      <c r="P3035" t="str">
        <f t="shared" si="137"/>
        <v>2020OFF PEAK</v>
      </c>
      <c r="Q3035">
        <f t="shared" si="138"/>
        <v>1</v>
      </c>
      <c r="R3035" s="195" t="str">
        <f t="shared" si="139"/>
        <v>2020LIGHT VEHICLES</v>
      </c>
    </row>
    <row r="3036" spans="3:18" x14ac:dyDescent="0.25">
      <c r="C3036" s="294" t="s">
        <v>968</v>
      </c>
      <c r="D3036" s="317" t="s">
        <v>730</v>
      </c>
      <c r="E3036" s="122" t="s">
        <v>894</v>
      </c>
      <c r="F3036" s="122" t="s">
        <v>895</v>
      </c>
      <c r="G3036" s="122" t="s">
        <v>786</v>
      </c>
      <c r="H3036" s="122" t="s">
        <v>777</v>
      </c>
      <c r="I3036" s="312">
        <v>2020</v>
      </c>
      <c r="J3036" s="122" t="s">
        <v>710</v>
      </c>
      <c r="K3036" s="283">
        <v>5441</v>
      </c>
      <c r="L3036" s="318">
        <v>-34.033203</v>
      </c>
      <c r="M3036" s="318">
        <v>151.09252900000001</v>
      </c>
      <c r="O3036">
        <f>INDEX('MEC - traffic congestion'!$M$145:$M$249,MATCH($D3036,'MEC - traffic congestion'!$C$145:$C$249,0))</f>
        <v>1</v>
      </c>
      <c r="P3036" t="str">
        <f t="shared" si="137"/>
        <v>2020OFF PEAK</v>
      </c>
      <c r="Q3036">
        <f t="shared" si="138"/>
        <v>1</v>
      </c>
      <c r="R3036" s="195" t="str">
        <f t="shared" si="139"/>
        <v>2020LIGHT VEHICLES</v>
      </c>
    </row>
    <row r="3037" spans="3:18" x14ac:dyDescent="0.25">
      <c r="C3037" s="294" t="s">
        <v>968</v>
      </c>
      <c r="D3037" s="317" t="s">
        <v>730</v>
      </c>
      <c r="E3037" s="122" t="s">
        <v>894</v>
      </c>
      <c r="F3037" s="122" t="s">
        <v>895</v>
      </c>
      <c r="G3037" s="122" t="s">
        <v>785</v>
      </c>
      <c r="H3037" s="122" t="s">
        <v>777</v>
      </c>
      <c r="I3037" s="312">
        <v>2020</v>
      </c>
      <c r="J3037" s="122" t="s">
        <v>711</v>
      </c>
      <c r="K3037" s="283">
        <v>2661</v>
      </c>
      <c r="L3037" s="318">
        <v>-34.033203</v>
      </c>
      <c r="M3037" s="318">
        <v>151.09252900000001</v>
      </c>
      <c r="O3037">
        <f>INDEX('MEC - traffic congestion'!$M$145:$M$249,MATCH($D3037,'MEC - traffic congestion'!$C$145:$C$249,0))</f>
        <v>1</v>
      </c>
      <c r="P3037" t="str">
        <f t="shared" si="137"/>
        <v>2020PM PEAK</v>
      </c>
      <c r="Q3037">
        <f t="shared" si="138"/>
        <v>1</v>
      </c>
      <c r="R3037" s="195" t="str">
        <f t="shared" si="139"/>
        <v>2020LIGHT VEHICLES</v>
      </c>
    </row>
    <row r="3038" spans="3:18" x14ac:dyDescent="0.25">
      <c r="C3038" s="294" t="s">
        <v>968</v>
      </c>
      <c r="D3038" s="317" t="s">
        <v>730</v>
      </c>
      <c r="E3038" s="122" t="s">
        <v>894</v>
      </c>
      <c r="F3038" s="122" t="s">
        <v>895</v>
      </c>
      <c r="G3038" s="122" t="s">
        <v>786</v>
      </c>
      <c r="H3038" s="122" t="s">
        <v>777</v>
      </c>
      <c r="I3038" s="312">
        <v>2020</v>
      </c>
      <c r="J3038" s="122" t="s">
        <v>711</v>
      </c>
      <c r="K3038" s="283">
        <v>4088</v>
      </c>
      <c r="L3038" s="318">
        <v>-34.033203</v>
      </c>
      <c r="M3038" s="318">
        <v>151.09252900000001</v>
      </c>
      <c r="O3038">
        <f>INDEX('MEC - traffic congestion'!$M$145:$M$249,MATCH($D3038,'MEC - traffic congestion'!$C$145:$C$249,0))</f>
        <v>1</v>
      </c>
      <c r="P3038" t="str">
        <f t="shared" si="137"/>
        <v>2020PM PEAK</v>
      </c>
      <c r="Q3038">
        <f t="shared" si="138"/>
        <v>1</v>
      </c>
      <c r="R3038" s="195" t="str">
        <f t="shared" si="139"/>
        <v>2020LIGHT VEHICLES</v>
      </c>
    </row>
    <row r="3039" spans="3:18" x14ac:dyDescent="0.25">
      <c r="C3039" s="294" t="s">
        <v>968</v>
      </c>
      <c r="D3039" s="317" t="s">
        <v>730</v>
      </c>
      <c r="E3039" s="122" t="s">
        <v>894</v>
      </c>
      <c r="F3039" s="122" t="s">
        <v>895</v>
      </c>
      <c r="G3039" s="122" t="s">
        <v>785</v>
      </c>
      <c r="H3039" s="122" t="s">
        <v>777</v>
      </c>
      <c r="I3039" s="312">
        <v>2020</v>
      </c>
      <c r="J3039" s="122" t="s">
        <v>712</v>
      </c>
      <c r="K3039" s="283">
        <v>6272</v>
      </c>
      <c r="L3039" s="318">
        <v>-34.033203</v>
      </c>
      <c r="M3039" s="318">
        <v>151.09252900000001</v>
      </c>
      <c r="O3039">
        <f>INDEX('MEC - traffic congestion'!$M$145:$M$249,MATCH($D3039,'MEC - traffic congestion'!$C$145:$C$249,0))</f>
        <v>1</v>
      </c>
      <c r="P3039" t="str">
        <f t="shared" si="137"/>
        <v>2020PUBLIC HOLIDAYS</v>
      </c>
      <c r="Q3039">
        <f t="shared" si="138"/>
        <v>1</v>
      </c>
      <c r="R3039" s="195" t="str">
        <f t="shared" si="139"/>
        <v>2020LIGHT VEHICLES</v>
      </c>
    </row>
    <row r="3040" spans="3:18" x14ac:dyDescent="0.25">
      <c r="C3040" s="294" t="s">
        <v>968</v>
      </c>
      <c r="D3040" s="317" t="s">
        <v>730</v>
      </c>
      <c r="E3040" s="122" t="s">
        <v>894</v>
      </c>
      <c r="F3040" s="122" t="s">
        <v>895</v>
      </c>
      <c r="G3040" s="122" t="s">
        <v>786</v>
      </c>
      <c r="H3040" s="122" t="s">
        <v>777</v>
      </c>
      <c r="I3040" s="312">
        <v>2020</v>
      </c>
      <c r="J3040" s="122" t="s">
        <v>712</v>
      </c>
      <c r="K3040" s="283">
        <v>6136</v>
      </c>
      <c r="L3040" s="318">
        <v>-34.033203</v>
      </c>
      <c r="M3040" s="318">
        <v>151.09252900000001</v>
      </c>
      <c r="O3040">
        <f>INDEX('MEC - traffic congestion'!$M$145:$M$249,MATCH($D3040,'MEC - traffic congestion'!$C$145:$C$249,0))</f>
        <v>1</v>
      </c>
      <c r="P3040" t="str">
        <f t="shared" si="137"/>
        <v>2020PUBLIC HOLIDAYS</v>
      </c>
      <c r="Q3040">
        <f t="shared" si="138"/>
        <v>1</v>
      </c>
      <c r="R3040" s="195" t="str">
        <f t="shared" si="139"/>
        <v>2020LIGHT VEHICLES</v>
      </c>
    </row>
    <row r="3041" spans="3:18" x14ac:dyDescent="0.25">
      <c r="C3041" s="294" t="s">
        <v>968</v>
      </c>
      <c r="D3041" s="317" t="s">
        <v>730</v>
      </c>
      <c r="E3041" s="122" t="s">
        <v>894</v>
      </c>
      <c r="F3041" s="122" t="s">
        <v>895</v>
      </c>
      <c r="G3041" s="122" t="s">
        <v>785</v>
      </c>
      <c r="H3041" s="122" t="s">
        <v>777</v>
      </c>
      <c r="I3041" s="312">
        <v>2020</v>
      </c>
      <c r="J3041" s="122" t="s">
        <v>713</v>
      </c>
      <c r="K3041" s="283">
        <v>9354</v>
      </c>
      <c r="L3041" s="318">
        <v>-34.033203</v>
      </c>
      <c r="M3041" s="318">
        <v>151.09252900000001</v>
      </c>
      <c r="O3041">
        <f>INDEX('MEC - traffic congestion'!$M$145:$M$249,MATCH($D3041,'MEC - traffic congestion'!$C$145:$C$249,0))</f>
        <v>1</v>
      </c>
      <c r="P3041" t="str">
        <f t="shared" si="137"/>
        <v>2020WEEKENDS</v>
      </c>
      <c r="Q3041">
        <f t="shared" si="138"/>
        <v>1</v>
      </c>
      <c r="R3041" s="195" t="str">
        <f t="shared" si="139"/>
        <v>2020LIGHT VEHICLES</v>
      </c>
    </row>
    <row r="3042" spans="3:18" x14ac:dyDescent="0.25">
      <c r="C3042" s="294" t="s">
        <v>968</v>
      </c>
      <c r="D3042" s="317" t="s">
        <v>730</v>
      </c>
      <c r="E3042" s="122" t="s">
        <v>894</v>
      </c>
      <c r="F3042" s="122" t="s">
        <v>895</v>
      </c>
      <c r="G3042" s="122" t="s">
        <v>786</v>
      </c>
      <c r="H3042" s="122" t="s">
        <v>777</v>
      </c>
      <c r="I3042" s="312">
        <v>2020</v>
      </c>
      <c r="J3042" s="122" t="s">
        <v>713</v>
      </c>
      <c r="K3042" s="283">
        <v>9879</v>
      </c>
      <c r="L3042" s="318">
        <v>-34.033203</v>
      </c>
      <c r="M3042" s="318">
        <v>151.09252900000001</v>
      </c>
      <c r="O3042">
        <f>INDEX('MEC - traffic congestion'!$M$145:$M$249,MATCH($D3042,'MEC - traffic congestion'!$C$145:$C$249,0))</f>
        <v>1</v>
      </c>
      <c r="P3042" t="str">
        <f t="shared" si="137"/>
        <v>2020WEEKENDS</v>
      </c>
      <c r="Q3042">
        <f t="shared" si="138"/>
        <v>1</v>
      </c>
      <c r="R3042" s="195" t="str">
        <f t="shared" si="139"/>
        <v>2020LIGHT VEHICLES</v>
      </c>
    </row>
    <row r="3043" spans="3:18" x14ac:dyDescent="0.25">
      <c r="C3043" s="294" t="s">
        <v>968</v>
      </c>
      <c r="D3043" s="317" t="s">
        <v>730</v>
      </c>
      <c r="E3043" s="122" t="s">
        <v>894</v>
      </c>
      <c r="F3043" s="122" t="s">
        <v>895</v>
      </c>
      <c r="G3043" s="122" t="s">
        <v>785</v>
      </c>
      <c r="H3043" s="122" t="s">
        <v>777</v>
      </c>
      <c r="I3043" s="312">
        <v>2021</v>
      </c>
      <c r="J3043" s="122" t="s">
        <v>709</v>
      </c>
      <c r="K3043" s="283">
        <v>2669</v>
      </c>
      <c r="L3043" s="318">
        <v>-34.033203</v>
      </c>
      <c r="M3043" s="318">
        <v>151.09252900000001</v>
      </c>
      <c r="O3043">
        <f>INDEX('MEC - traffic congestion'!$M$145:$M$249,MATCH($D3043,'MEC - traffic congestion'!$C$145:$C$249,0))</f>
        <v>1</v>
      </c>
      <c r="P3043" t="str">
        <f t="shared" si="137"/>
        <v>2021AM PEAK</v>
      </c>
      <c r="Q3043">
        <f t="shared" si="138"/>
        <v>1</v>
      </c>
      <c r="R3043" s="195" t="str">
        <f t="shared" si="139"/>
        <v>2021LIGHT VEHICLES</v>
      </c>
    </row>
    <row r="3044" spans="3:18" x14ac:dyDescent="0.25">
      <c r="C3044" s="294" t="s">
        <v>968</v>
      </c>
      <c r="D3044" s="317" t="s">
        <v>730</v>
      </c>
      <c r="E3044" s="122" t="s">
        <v>894</v>
      </c>
      <c r="F3044" s="122" t="s">
        <v>895</v>
      </c>
      <c r="G3044" s="122" t="s">
        <v>786</v>
      </c>
      <c r="H3044" s="122" t="s">
        <v>777</v>
      </c>
      <c r="I3044" s="312">
        <v>2021</v>
      </c>
      <c r="J3044" s="122" t="s">
        <v>709</v>
      </c>
      <c r="K3044" s="283">
        <v>1578</v>
      </c>
      <c r="L3044" s="318">
        <v>-34.033203</v>
      </c>
      <c r="M3044" s="318">
        <v>151.09252900000001</v>
      </c>
      <c r="O3044">
        <f>INDEX('MEC - traffic congestion'!$M$145:$M$249,MATCH($D3044,'MEC - traffic congestion'!$C$145:$C$249,0))</f>
        <v>1</v>
      </c>
      <c r="P3044" t="str">
        <f t="shared" si="137"/>
        <v>2021AM PEAK</v>
      </c>
      <c r="Q3044">
        <f t="shared" si="138"/>
        <v>1</v>
      </c>
      <c r="R3044" s="195" t="str">
        <f t="shared" si="139"/>
        <v>2021LIGHT VEHICLES</v>
      </c>
    </row>
    <row r="3045" spans="3:18" x14ac:dyDescent="0.25">
      <c r="C3045" s="294" t="s">
        <v>968</v>
      </c>
      <c r="D3045" s="317" t="s">
        <v>730</v>
      </c>
      <c r="E3045" s="122" t="s">
        <v>894</v>
      </c>
      <c r="F3045" s="122" t="s">
        <v>895</v>
      </c>
      <c r="G3045" s="122" t="s">
        <v>785</v>
      </c>
      <c r="H3045" s="122" t="s">
        <v>777</v>
      </c>
      <c r="I3045" s="312">
        <v>2021</v>
      </c>
      <c r="J3045" s="122" t="s">
        <v>710</v>
      </c>
      <c r="K3045" s="283">
        <v>4657</v>
      </c>
      <c r="L3045" s="318">
        <v>-34.033203</v>
      </c>
      <c r="M3045" s="318">
        <v>151.09252900000001</v>
      </c>
      <c r="O3045">
        <f>INDEX('MEC - traffic congestion'!$M$145:$M$249,MATCH($D3045,'MEC - traffic congestion'!$C$145:$C$249,0))</f>
        <v>1</v>
      </c>
      <c r="P3045" t="str">
        <f t="shared" si="137"/>
        <v>2021OFF PEAK</v>
      </c>
      <c r="Q3045">
        <f t="shared" si="138"/>
        <v>1</v>
      </c>
      <c r="R3045" s="195" t="str">
        <f t="shared" si="139"/>
        <v>2021LIGHT VEHICLES</v>
      </c>
    </row>
    <row r="3046" spans="3:18" x14ac:dyDescent="0.25">
      <c r="C3046" s="294" t="s">
        <v>968</v>
      </c>
      <c r="D3046" s="317" t="s">
        <v>730</v>
      </c>
      <c r="E3046" s="122" t="s">
        <v>894</v>
      </c>
      <c r="F3046" s="122" t="s">
        <v>895</v>
      </c>
      <c r="G3046" s="122" t="s">
        <v>786</v>
      </c>
      <c r="H3046" s="122" t="s">
        <v>777</v>
      </c>
      <c r="I3046" s="312">
        <v>2021</v>
      </c>
      <c r="J3046" s="122" t="s">
        <v>710</v>
      </c>
      <c r="K3046" s="283">
        <v>5075</v>
      </c>
      <c r="L3046" s="318">
        <v>-34.033203</v>
      </c>
      <c r="M3046" s="318">
        <v>151.09252900000001</v>
      </c>
      <c r="O3046">
        <f>INDEX('MEC - traffic congestion'!$M$145:$M$249,MATCH($D3046,'MEC - traffic congestion'!$C$145:$C$249,0))</f>
        <v>1</v>
      </c>
      <c r="P3046" t="str">
        <f t="shared" si="137"/>
        <v>2021OFF PEAK</v>
      </c>
      <c r="Q3046">
        <f t="shared" si="138"/>
        <v>1</v>
      </c>
      <c r="R3046" s="195" t="str">
        <f t="shared" si="139"/>
        <v>2021LIGHT VEHICLES</v>
      </c>
    </row>
    <row r="3047" spans="3:18" x14ac:dyDescent="0.25">
      <c r="C3047" s="294" t="s">
        <v>968</v>
      </c>
      <c r="D3047" s="317" t="s">
        <v>730</v>
      </c>
      <c r="E3047" s="122" t="s">
        <v>894</v>
      </c>
      <c r="F3047" s="122" t="s">
        <v>895</v>
      </c>
      <c r="G3047" s="122" t="s">
        <v>785</v>
      </c>
      <c r="H3047" s="122" t="s">
        <v>777</v>
      </c>
      <c r="I3047" s="312">
        <v>2021</v>
      </c>
      <c r="J3047" s="122" t="s">
        <v>711</v>
      </c>
      <c r="K3047" s="283">
        <v>2502</v>
      </c>
      <c r="L3047" s="318">
        <v>-34.033203</v>
      </c>
      <c r="M3047" s="318">
        <v>151.09252900000001</v>
      </c>
      <c r="O3047">
        <f>INDEX('MEC - traffic congestion'!$M$145:$M$249,MATCH($D3047,'MEC - traffic congestion'!$C$145:$C$249,0))</f>
        <v>1</v>
      </c>
      <c r="P3047" t="str">
        <f t="shared" si="137"/>
        <v>2021PM PEAK</v>
      </c>
      <c r="Q3047">
        <f t="shared" si="138"/>
        <v>1</v>
      </c>
      <c r="R3047" s="195" t="str">
        <f t="shared" si="139"/>
        <v>2021LIGHT VEHICLES</v>
      </c>
    </row>
    <row r="3048" spans="3:18" x14ac:dyDescent="0.25">
      <c r="C3048" s="294" t="s">
        <v>968</v>
      </c>
      <c r="D3048" s="317" t="s">
        <v>730</v>
      </c>
      <c r="E3048" s="122" t="s">
        <v>894</v>
      </c>
      <c r="F3048" s="122" t="s">
        <v>895</v>
      </c>
      <c r="G3048" s="122" t="s">
        <v>786</v>
      </c>
      <c r="H3048" s="122" t="s">
        <v>777</v>
      </c>
      <c r="I3048" s="312">
        <v>2021</v>
      </c>
      <c r="J3048" s="122" t="s">
        <v>711</v>
      </c>
      <c r="K3048" s="283">
        <v>3628</v>
      </c>
      <c r="L3048" s="318">
        <v>-34.033203</v>
      </c>
      <c r="M3048" s="318">
        <v>151.09252900000001</v>
      </c>
      <c r="O3048">
        <f>INDEX('MEC - traffic congestion'!$M$145:$M$249,MATCH($D3048,'MEC - traffic congestion'!$C$145:$C$249,0))</f>
        <v>1</v>
      </c>
      <c r="P3048" t="str">
        <f t="shared" si="137"/>
        <v>2021PM PEAK</v>
      </c>
      <c r="Q3048">
        <f t="shared" si="138"/>
        <v>1</v>
      </c>
      <c r="R3048" s="195" t="str">
        <f t="shared" si="139"/>
        <v>2021LIGHT VEHICLES</v>
      </c>
    </row>
    <row r="3049" spans="3:18" x14ac:dyDescent="0.25">
      <c r="C3049" s="294" t="s">
        <v>968</v>
      </c>
      <c r="D3049" s="317" t="s">
        <v>730</v>
      </c>
      <c r="E3049" s="122" t="s">
        <v>894</v>
      </c>
      <c r="F3049" s="122" t="s">
        <v>895</v>
      </c>
      <c r="G3049" s="122" t="s">
        <v>785</v>
      </c>
      <c r="H3049" s="122" t="s">
        <v>777</v>
      </c>
      <c r="I3049" s="312">
        <v>2021</v>
      </c>
      <c r="J3049" s="122" t="s">
        <v>713</v>
      </c>
      <c r="K3049" s="283">
        <v>8425</v>
      </c>
      <c r="L3049" s="318">
        <v>-34.033203</v>
      </c>
      <c r="M3049" s="318">
        <v>151.09252900000001</v>
      </c>
      <c r="O3049">
        <f>INDEX('MEC - traffic congestion'!$M$145:$M$249,MATCH($D3049,'MEC - traffic congestion'!$C$145:$C$249,0))</f>
        <v>1</v>
      </c>
      <c r="P3049" t="str">
        <f t="shared" si="137"/>
        <v>2021WEEKENDS</v>
      </c>
      <c r="Q3049">
        <f t="shared" si="138"/>
        <v>1</v>
      </c>
      <c r="R3049" s="195" t="str">
        <f t="shared" si="139"/>
        <v>2021LIGHT VEHICLES</v>
      </c>
    </row>
    <row r="3050" spans="3:18" x14ac:dyDescent="0.25">
      <c r="C3050" s="294" t="s">
        <v>968</v>
      </c>
      <c r="D3050" s="317" t="s">
        <v>730</v>
      </c>
      <c r="E3050" s="122" t="s">
        <v>894</v>
      </c>
      <c r="F3050" s="122" t="s">
        <v>895</v>
      </c>
      <c r="G3050" s="122" t="s">
        <v>786</v>
      </c>
      <c r="H3050" s="122" t="s">
        <v>777</v>
      </c>
      <c r="I3050" s="312">
        <v>2021</v>
      </c>
      <c r="J3050" s="122" t="s">
        <v>713</v>
      </c>
      <c r="K3050" s="283">
        <v>8968</v>
      </c>
      <c r="L3050" s="318">
        <v>-34.033203</v>
      </c>
      <c r="M3050" s="318">
        <v>151.09252900000001</v>
      </c>
      <c r="O3050">
        <f>INDEX('MEC - traffic congestion'!$M$145:$M$249,MATCH($D3050,'MEC - traffic congestion'!$C$145:$C$249,0))</f>
        <v>1</v>
      </c>
      <c r="P3050" t="str">
        <f t="shared" si="137"/>
        <v>2021WEEKENDS</v>
      </c>
      <c r="Q3050">
        <f t="shared" si="138"/>
        <v>1</v>
      </c>
      <c r="R3050" s="195" t="str">
        <f t="shared" si="139"/>
        <v>2021LIGHT VEHICLES</v>
      </c>
    </row>
    <row r="3051" spans="3:18" x14ac:dyDescent="0.25">
      <c r="C3051" s="294" t="s">
        <v>968</v>
      </c>
      <c r="D3051" s="317" t="s">
        <v>730</v>
      </c>
      <c r="E3051" s="122" t="s">
        <v>894</v>
      </c>
      <c r="F3051" s="122" t="s">
        <v>895</v>
      </c>
      <c r="G3051" s="122" t="s">
        <v>785</v>
      </c>
      <c r="H3051" s="122" t="s">
        <v>777</v>
      </c>
      <c r="I3051" s="312">
        <v>2022</v>
      </c>
      <c r="J3051" s="122" t="s">
        <v>709</v>
      </c>
      <c r="K3051" s="283">
        <v>2878</v>
      </c>
      <c r="L3051" s="318">
        <v>-34.033203</v>
      </c>
      <c r="M3051" s="318">
        <v>151.09252900000001</v>
      </c>
      <c r="O3051">
        <f>INDEX('MEC - traffic congestion'!$M$145:$M$249,MATCH($D3051,'MEC - traffic congestion'!$C$145:$C$249,0))</f>
        <v>1</v>
      </c>
      <c r="P3051" t="str">
        <f t="shared" si="137"/>
        <v>2022AM PEAK</v>
      </c>
      <c r="Q3051">
        <f t="shared" si="138"/>
        <v>1</v>
      </c>
      <c r="R3051" s="195" t="str">
        <f t="shared" si="139"/>
        <v>2022LIGHT VEHICLES</v>
      </c>
    </row>
    <row r="3052" spans="3:18" x14ac:dyDescent="0.25">
      <c r="C3052" s="294" t="s">
        <v>968</v>
      </c>
      <c r="D3052" s="317" t="s">
        <v>730</v>
      </c>
      <c r="E3052" s="122" t="s">
        <v>894</v>
      </c>
      <c r="F3052" s="122" t="s">
        <v>895</v>
      </c>
      <c r="G3052" s="122" t="s">
        <v>786</v>
      </c>
      <c r="H3052" s="122" t="s">
        <v>777</v>
      </c>
      <c r="I3052" s="312">
        <v>2022</v>
      </c>
      <c r="J3052" s="122" t="s">
        <v>709</v>
      </c>
      <c r="K3052" s="283">
        <v>1670</v>
      </c>
      <c r="L3052" s="318">
        <v>-34.033203</v>
      </c>
      <c r="M3052" s="318">
        <v>151.09252900000001</v>
      </c>
      <c r="O3052">
        <f>INDEX('MEC - traffic congestion'!$M$145:$M$249,MATCH($D3052,'MEC - traffic congestion'!$C$145:$C$249,0))</f>
        <v>1</v>
      </c>
      <c r="P3052" t="str">
        <f t="shared" si="137"/>
        <v>2022AM PEAK</v>
      </c>
      <c r="Q3052">
        <f t="shared" si="138"/>
        <v>1</v>
      </c>
      <c r="R3052" s="195" t="str">
        <f t="shared" si="139"/>
        <v>2022LIGHT VEHICLES</v>
      </c>
    </row>
    <row r="3053" spans="3:18" x14ac:dyDescent="0.25">
      <c r="C3053" s="294" t="s">
        <v>968</v>
      </c>
      <c r="D3053" s="317" t="s">
        <v>730</v>
      </c>
      <c r="E3053" s="122" t="s">
        <v>894</v>
      </c>
      <c r="F3053" s="122" t="s">
        <v>895</v>
      </c>
      <c r="G3053" s="122" t="s">
        <v>785</v>
      </c>
      <c r="H3053" s="122" t="s">
        <v>777</v>
      </c>
      <c r="I3053" s="312">
        <v>2022</v>
      </c>
      <c r="J3053" s="122" t="s">
        <v>710</v>
      </c>
      <c r="K3053" s="283">
        <v>5042</v>
      </c>
      <c r="L3053" s="318">
        <v>-34.033203</v>
      </c>
      <c r="M3053" s="318">
        <v>151.09252900000001</v>
      </c>
      <c r="O3053">
        <f>INDEX('MEC - traffic congestion'!$M$145:$M$249,MATCH($D3053,'MEC - traffic congestion'!$C$145:$C$249,0))</f>
        <v>1</v>
      </c>
      <c r="P3053" t="str">
        <f t="shared" si="137"/>
        <v>2022OFF PEAK</v>
      </c>
      <c r="Q3053">
        <f t="shared" si="138"/>
        <v>1</v>
      </c>
      <c r="R3053" s="195" t="str">
        <f t="shared" si="139"/>
        <v>2022LIGHT VEHICLES</v>
      </c>
    </row>
    <row r="3054" spans="3:18" x14ac:dyDescent="0.25">
      <c r="C3054" s="294" t="s">
        <v>968</v>
      </c>
      <c r="D3054" s="317" t="s">
        <v>730</v>
      </c>
      <c r="E3054" s="122" t="s">
        <v>894</v>
      </c>
      <c r="F3054" s="122" t="s">
        <v>895</v>
      </c>
      <c r="G3054" s="122" t="s">
        <v>786</v>
      </c>
      <c r="H3054" s="122" t="s">
        <v>777</v>
      </c>
      <c r="I3054" s="312">
        <v>2022</v>
      </c>
      <c r="J3054" s="122" t="s">
        <v>710</v>
      </c>
      <c r="K3054" s="283">
        <v>5523</v>
      </c>
      <c r="L3054" s="318">
        <v>-34.033203</v>
      </c>
      <c r="M3054" s="318">
        <v>151.09252900000001</v>
      </c>
      <c r="O3054">
        <f>INDEX('MEC - traffic congestion'!$M$145:$M$249,MATCH($D3054,'MEC - traffic congestion'!$C$145:$C$249,0))</f>
        <v>1</v>
      </c>
      <c r="P3054" t="str">
        <f t="shared" si="137"/>
        <v>2022OFF PEAK</v>
      </c>
      <c r="Q3054">
        <f t="shared" si="138"/>
        <v>1</v>
      </c>
      <c r="R3054" s="195" t="str">
        <f t="shared" si="139"/>
        <v>2022LIGHT VEHICLES</v>
      </c>
    </row>
    <row r="3055" spans="3:18" x14ac:dyDescent="0.25">
      <c r="C3055" s="294" t="s">
        <v>968</v>
      </c>
      <c r="D3055" s="317" t="s">
        <v>730</v>
      </c>
      <c r="E3055" s="122" t="s">
        <v>894</v>
      </c>
      <c r="F3055" s="122" t="s">
        <v>895</v>
      </c>
      <c r="G3055" s="122" t="s">
        <v>785</v>
      </c>
      <c r="H3055" s="122" t="s">
        <v>777</v>
      </c>
      <c r="I3055" s="312">
        <v>2022</v>
      </c>
      <c r="J3055" s="122" t="s">
        <v>711</v>
      </c>
      <c r="K3055" s="283">
        <v>2753</v>
      </c>
      <c r="L3055" s="318">
        <v>-34.033203</v>
      </c>
      <c r="M3055" s="318">
        <v>151.09252900000001</v>
      </c>
      <c r="O3055">
        <f>INDEX('MEC - traffic congestion'!$M$145:$M$249,MATCH($D3055,'MEC - traffic congestion'!$C$145:$C$249,0))</f>
        <v>1</v>
      </c>
      <c r="P3055" t="str">
        <f t="shared" si="137"/>
        <v>2022PM PEAK</v>
      </c>
      <c r="Q3055">
        <f t="shared" si="138"/>
        <v>1</v>
      </c>
      <c r="R3055" s="195" t="str">
        <f t="shared" si="139"/>
        <v>2022LIGHT VEHICLES</v>
      </c>
    </row>
    <row r="3056" spans="3:18" x14ac:dyDescent="0.25">
      <c r="C3056" s="294" t="s">
        <v>968</v>
      </c>
      <c r="D3056" s="317" t="s">
        <v>730</v>
      </c>
      <c r="E3056" s="122" t="s">
        <v>894</v>
      </c>
      <c r="F3056" s="122" t="s">
        <v>895</v>
      </c>
      <c r="G3056" s="122" t="s">
        <v>786</v>
      </c>
      <c r="H3056" s="122" t="s">
        <v>777</v>
      </c>
      <c r="I3056" s="312">
        <v>2022</v>
      </c>
      <c r="J3056" s="122" t="s">
        <v>711</v>
      </c>
      <c r="K3056" s="283">
        <v>3984</v>
      </c>
      <c r="L3056" s="318">
        <v>-34.033203</v>
      </c>
      <c r="M3056" s="318">
        <v>151.09252900000001</v>
      </c>
      <c r="O3056">
        <f>INDEX('MEC - traffic congestion'!$M$145:$M$249,MATCH($D3056,'MEC - traffic congestion'!$C$145:$C$249,0))</f>
        <v>1</v>
      </c>
      <c r="P3056" t="str">
        <f t="shared" si="137"/>
        <v>2022PM PEAK</v>
      </c>
      <c r="Q3056">
        <f t="shared" si="138"/>
        <v>1</v>
      </c>
      <c r="R3056" s="195" t="str">
        <f t="shared" si="139"/>
        <v>2022LIGHT VEHICLES</v>
      </c>
    </row>
    <row r="3057" spans="3:18" x14ac:dyDescent="0.25">
      <c r="C3057" s="294" t="s">
        <v>968</v>
      </c>
      <c r="D3057" s="317" t="s">
        <v>730</v>
      </c>
      <c r="E3057" s="122" t="s">
        <v>894</v>
      </c>
      <c r="F3057" s="122" t="s">
        <v>895</v>
      </c>
      <c r="G3057" s="122" t="s">
        <v>785</v>
      </c>
      <c r="H3057" s="122" t="s">
        <v>777</v>
      </c>
      <c r="I3057" s="312">
        <v>2022</v>
      </c>
      <c r="J3057" s="122" t="s">
        <v>713</v>
      </c>
      <c r="K3057" s="283">
        <v>9491</v>
      </c>
      <c r="L3057" s="318">
        <v>-34.033203</v>
      </c>
      <c r="M3057" s="318">
        <v>151.09252900000001</v>
      </c>
      <c r="O3057">
        <f>INDEX('MEC - traffic congestion'!$M$145:$M$249,MATCH($D3057,'MEC - traffic congestion'!$C$145:$C$249,0))</f>
        <v>1</v>
      </c>
      <c r="P3057" t="str">
        <f t="shared" si="137"/>
        <v>2022WEEKENDS</v>
      </c>
      <c r="Q3057">
        <f t="shared" si="138"/>
        <v>1</v>
      </c>
      <c r="R3057" s="195" t="str">
        <f t="shared" si="139"/>
        <v>2022LIGHT VEHICLES</v>
      </c>
    </row>
    <row r="3058" spans="3:18" x14ac:dyDescent="0.25">
      <c r="C3058" s="294" t="s">
        <v>968</v>
      </c>
      <c r="D3058" s="317" t="s">
        <v>730</v>
      </c>
      <c r="E3058" s="122" t="s">
        <v>894</v>
      </c>
      <c r="F3058" s="122" t="s">
        <v>895</v>
      </c>
      <c r="G3058" s="122" t="s">
        <v>786</v>
      </c>
      <c r="H3058" s="122" t="s">
        <v>777</v>
      </c>
      <c r="I3058" s="312">
        <v>2022</v>
      </c>
      <c r="J3058" s="122" t="s">
        <v>713</v>
      </c>
      <c r="K3058" s="283">
        <v>10152</v>
      </c>
      <c r="L3058" s="318">
        <v>-34.033203</v>
      </c>
      <c r="M3058" s="318">
        <v>151.09252900000001</v>
      </c>
      <c r="O3058">
        <f>INDEX('MEC - traffic congestion'!$M$145:$M$249,MATCH($D3058,'MEC - traffic congestion'!$C$145:$C$249,0))</f>
        <v>1</v>
      </c>
      <c r="P3058" t="str">
        <f t="shared" si="137"/>
        <v>2022WEEKENDS</v>
      </c>
      <c r="Q3058">
        <f t="shared" si="138"/>
        <v>1</v>
      </c>
      <c r="R3058" s="195" t="str">
        <f t="shared" si="139"/>
        <v>2022LIGHT VEHICLES</v>
      </c>
    </row>
    <row r="3059" spans="3:18" x14ac:dyDescent="0.25">
      <c r="C3059" s="294" t="s">
        <v>968</v>
      </c>
      <c r="D3059" s="317" t="s">
        <v>730</v>
      </c>
      <c r="E3059" s="122" t="s">
        <v>894</v>
      </c>
      <c r="F3059" s="122" t="s">
        <v>895</v>
      </c>
      <c r="G3059" s="122" t="s">
        <v>785</v>
      </c>
      <c r="H3059" s="122" t="s">
        <v>777</v>
      </c>
      <c r="I3059" s="312">
        <v>2023</v>
      </c>
      <c r="J3059" s="122" t="s">
        <v>709</v>
      </c>
      <c r="K3059" s="283">
        <v>2933</v>
      </c>
      <c r="L3059" s="318">
        <v>-34.033203</v>
      </c>
      <c r="M3059" s="318">
        <v>151.09252900000001</v>
      </c>
      <c r="O3059">
        <f>INDEX('MEC - traffic congestion'!$M$145:$M$249,MATCH($D3059,'MEC - traffic congestion'!$C$145:$C$249,0))</f>
        <v>1</v>
      </c>
      <c r="P3059" t="str">
        <f t="shared" si="137"/>
        <v>2023AM PEAK</v>
      </c>
      <c r="Q3059">
        <f t="shared" si="138"/>
        <v>1</v>
      </c>
      <c r="R3059" s="195" t="str">
        <f t="shared" si="139"/>
        <v>2023LIGHT VEHICLES</v>
      </c>
    </row>
    <row r="3060" spans="3:18" x14ac:dyDescent="0.25">
      <c r="C3060" s="294" t="s">
        <v>968</v>
      </c>
      <c r="D3060" s="317" t="s">
        <v>730</v>
      </c>
      <c r="E3060" s="122" t="s">
        <v>894</v>
      </c>
      <c r="F3060" s="122" t="s">
        <v>895</v>
      </c>
      <c r="G3060" s="122" t="s">
        <v>786</v>
      </c>
      <c r="H3060" s="122" t="s">
        <v>777</v>
      </c>
      <c r="I3060" s="312">
        <v>2023</v>
      </c>
      <c r="J3060" s="122" t="s">
        <v>709</v>
      </c>
      <c r="K3060" s="283">
        <v>1808</v>
      </c>
      <c r="L3060" s="318">
        <v>-34.033203</v>
      </c>
      <c r="M3060" s="318">
        <v>151.09252900000001</v>
      </c>
      <c r="O3060">
        <f>INDEX('MEC - traffic congestion'!$M$145:$M$249,MATCH($D3060,'MEC - traffic congestion'!$C$145:$C$249,0))</f>
        <v>1</v>
      </c>
      <c r="P3060" t="str">
        <f t="shared" si="137"/>
        <v>2023AM PEAK</v>
      </c>
      <c r="Q3060">
        <f t="shared" si="138"/>
        <v>1</v>
      </c>
      <c r="R3060" s="195" t="str">
        <f t="shared" si="139"/>
        <v>2023LIGHT VEHICLES</v>
      </c>
    </row>
    <row r="3061" spans="3:18" x14ac:dyDescent="0.25">
      <c r="C3061" s="294" t="s">
        <v>968</v>
      </c>
      <c r="D3061" s="317" t="s">
        <v>730</v>
      </c>
      <c r="E3061" s="122" t="s">
        <v>894</v>
      </c>
      <c r="F3061" s="122" t="s">
        <v>895</v>
      </c>
      <c r="G3061" s="122" t="s">
        <v>785</v>
      </c>
      <c r="H3061" s="122" t="s">
        <v>777</v>
      </c>
      <c r="I3061" s="312">
        <v>2023</v>
      </c>
      <c r="J3061" s="122" t="s">
        <v>710</v>
      </c>
      <c r="K3061" s="283">
        <v>5123</v>
      </c>
      <c r="L3061" s="318">
        <v>-34.033203</v>
      </c>
      <c r="M3061" s="318">
        <v>151.09252900000001</v>
      </c>
      <c r="O3061">
        <f>INDEX('MEC - traffic congestion'!$M$145:$M$249,MATCH($D3061,'MEC - traffic congestion'!$C$145:$C$249,0))</f>
        <v>1</v>
      </c>
      <c r="P3061" t="str">
        <f t="shared" si="137"/>
        <v>2023OFF PEAK</v>
      </c>
      <c r="Q3061">
        <f t="shared" si="138"/>
        <v>1</v>
      </c>
      <c r="R3061" s="195" t="str">
        <f t="shared" si="139"/>
        <v>2023LIGHT VEHICLES</v>
      </c>
    </row>
    <row r="3062" spans="3:18" x14ac:dyDescent="0.25">
      <c r="C3062" s="294" t="s">
        <v>968</v>
      </c>
      <c r="D3062" s="317" t="s">
        <v>730</v>
      </c>
      <c r="E3062" s="122" t="s">
        <v>894</v>
      </c>
      <c r="F3062" s="122" t="s">
        <v>895</v>
      </c>
      <c r="G3062" s="122" t="s">
        <v>786</v>
      </c>
      <c r="H3062" s="122" t="s">
        <v>777</v>
      </c>
      <c r="I3062" s="312">
        <v>2023</v>
      </c>
      <c r="J3062" s="122" t="s">
        <v>710</v>
      </c>
      <c r="K3062" s="283">
        <v>5694</v>
      </c>
      <c r="L3062" s="318">
        <v>-34.033203</v>
      </c>
      <c r="M3062" s="318">
        <v>151.09252900000001</v>
      </c>
      <c r="O3062">
        <f>INDEX('MEC - traffic congestion'!$M$145:$M$249,MATCH($D3062,'MEC - traffic congestion'!$C$145:$C$249,0))</f>
        <v>1</v>
      </c>
      <c r="P3062" t="str">
        <f t="shared" si="137"/>
        <v>2023OFF PEAK</v>
      </c>
      <c r="Q3062">
        <f t="shared" si="138"/>
        <v>1</v>
      </c>
      <c r="R3062" s="195" t="str">
        <f t="shared" si="139"/>
        <v>2023LIGHT VEHICLES</v>
      </c>
    </row>
    <row r="3063" spans="3:18" x14ac:dyDescent="0.25">
      <c r="C3063" s="294" t="s">
        <v>968</v>
      </c>
      <c r="D3063" s="317" t="s">
        <v>730</v>
      </c>
      <c r="E3063" s="122" t="s">
        <v>894</v>
      </c>
      <c r="F3063" s="122" t="s">
        <v>895</v>
      </c>
      <c r="G3063" s="122" t="s">
        <v>785</v>
      </c>
      <c r="H3063" s="122" t="s">
        <v>777</v>
      </c>
      <c r="I3063" s="312">
        <v>2023</v>
      </c>
      <c r="J3063" s="122" t="s">
        <v>711</v>
      </c>
      <c r="K3063" s="283">
        <v>2839</v>
      </c>
      <c r="L3063" s="318">
        <v>-34.033203</v>
      </c>
      <c r="M3063" s="318">
        <v>151.09252900000001</v>
      </c>
      <c r="O3063">
        <f>INDEX('MEC - traffic congestion'!$M$145:$M$249,MATCH($D3063,'MEC - traffic congestion'!$C$145:$C$249,0))</f>
        <v>1</v>
      </c>
      <c r="P3063" t="str">
        <f t="shared" si="137"/>
        <v>2023PM PEAK</v>
      </c>
      <c r="Q3063">
        <f t="shared" si="138"/>
        <v>1</v>
      </c>
      <c r="R3063" s="195" t="str">
        <f t="shared" si="139"/>
        <v>2023LIGHT VEHICLES</v>
      </c>
    </row>
    <row r="3064" spans="3:18" x14ac:dyDescent="0.25">
      <c r="C3064" s="294" t="s">
        <v>968</v>
      </c>
      <c r="D3064" s="317" t="s">
        <v>730</v>
      </c>
      <c r="E3064" s="122" t="s">
        <v>894</v>
      </c>
      <c r="F3064" s="122" t="s">
        <v>895</v>
      </c>
      <c r="G3064" s="122" t="s">
        <v>786</v>
      </c>
      <c r="H3064" s="122" t="s">
        <v>777</v>
      </c>
      <c r="I3064" s="312">
        <v>2023</v>
      </c>
      <c r="J3064" s="122" t="s">
        <v>711</v>
      </c>
      <c r="K3064" s="283">
        <v>4216</v>
      </c>
      <c r="L3064" s="318">
        <v>-34.033203</v>
      </c>
      <c r="M3064" s="318">
        <v>151.09252900000001</v>
      </c>
      <c r="O3064">
        <f>INDEX('MEC - traffic congestion'!$M$145:$M$249,MATCH($D3064,'MEC - traffic congestion'!$C$145:$C$249,0))</f>
        <v>1</v>
      </c>
      <c r="P3064" t="str">
        <f t="shared" si="137"/>
        <v>2023PM PEAK</v>
      </c>
      <c r="Q3064">
        <f t="shared" si="138"/>
        <v>1</v>
      </c>
      <c r="R3064" s="195" t="str">
        <f t="shared" si="139"/>
        <v>2023LIGHT VEHICLES</v>
      </c>
    </row>
    <row r="3065" spans="3:18" x14ac:dyDescent="0.25">
      <c r="C3065" s="294" t="s">
        <v>968</v>
      </c>
      <c r="D3065" s="317" t="s">
        <v>730</v>
      </c>
      <c r="E3065" s="122" t="s">
        <v>894</v>
      </c>
      <c r="F3065" s="122" t="s">
        <v>895</v>
      </c>
      <c r="G3065" s="122" t="s">
        <v>785</v>
      </c>
      <c r="H3065" s="122" t="s">
        <v>777</v>
      </c>
      <c r="I3065" s="312">
        <v>2023</v>
      </c>
      <c r="J3065" s="122" t="s">
        <v>713</v>
      </c>
      <c r="K3065" s="283">
        <v>9946</v>
      </c>
      <c r="L3065" s="318">
        <v>-34.033203</v>
      </c>
      <c r="M3065" s="318">
        <v>151.09252900000001</v>
      </c>
      <c r="O3065">
        <f>INDEX('MEC - traffic congestion'!$M$145:$M$249,MATCH($D3065,'MEC - traffic congestion'!$C$145:$C$249,0))</f>
        <v>1</v>
      </c>
      <c r="P3065" t="str">
        <f t="shared" si="137"/>
        <v>2023WEEKENDS</v>
      </c>
      <c r="Q3065">
        <f t="shared" si="138"/>
        <v>1</v>
      </c>
      <c r="R3065" s="195" t="str">
        <f t="shared" si="139"/>
        <v>2023LIGHT VEHICLES</v>
      </c>
    </row>
    <row r="3066" spans="3:18" x14ac:dyDescent="0.25">
      <c r="C3066" s="294" t="s">
        <v>968</v>
      </c>
      <c r="D3066" s="317" t="s">
        <v>730</v>
      </c>
      <c r="E3066" s="122" t="s">
        <v>894</v>
      </c>
      <c r="F3066" s="122" t="s">
        <v>895</v>
      </c>
      <c r="G3066" s="122" t="s">
        <v>786</v>
      </c>
      <c r="H3066" s="122" t="s">
        <v>777</v>
      </c>
      <c r="I3066" s="312">
        <v>2023</v>
      </c>
      <c r="J3066" s="122" t="s">
        <v>713</v>
      </c>
      <c r="K3066" s="283">
        <v>10737</v>
      </c>
      <c r="L3066" s="318">
        <v>-34.033203</v>
      </c>
      <c r="M3066" s="318">
        <v>151.09252900000001</v>
      </c>
      <c r="O3066">
        <f>INDEX('MEC - traffic congestion'!$M$145:$M$249,MATCH($D3066,'MEC - traffic congestion'!$C$145:$C$249,0))</f>
        <v>1</v>
      </c>
      <c r="P3066" t="str">
        <f t="shared" si="137"/>
        <v>2023WEEKENDS</v>
      </c>
      <c r="Q3066">
        <f t="shared" si="138"/>
        <v>1</v>
      </c>
      <c r="R3066" s="195" t="str">
        <f t="shared" si="139"/>
        <v>2023LIGHT VEHICLES</v>
      </c>
    </row>
    <row r="3067" spans="3:18" x14ac:dyDescent="0.25">
      <c r="C3067" s="294" t="s">
        <v>968</v>
      </c>
      <c r="D3067" s="317" t="s">
        <v>730</v>
      </c>
      <c r="E3067" s="122" t="s">
        <v>894</v>
      </c>
      <c r="F3067" s="122" t="s">
        <v>895</v>
      </c>
      <c r="G3067" s="122" t="s">
        <v>785</v>
      </c>
      <c r="H3067" s="122" t="s">
        <v>777</v>
      </c>
      <c r="I3067" s="312">
        <v>2024</v>
      </c>
      <c r="J3067" s="122" t="s">
        <v>709</v>
      </c>
      <c r="K3067" s="283">
        <v>2634</v>
      </c>
      <c r="L3067" s="318">
        <v>-34.033203</v>
      </c>
      <c r="M3067" s="318">
        <v>151.09252900000001</v>
      </c>
      <c r="O3067">
        <f>INDEX('MEC - traffic congestion'!$M$145:$M$249,MATCH($D3067,'MEC - traffic congestion'!$C$145:$C$249,0))</f>
        <v>1</v>
      </c>
      <c r="P3067" t="str">
        <f t="shared" si="137"/>
        <v>2024AM PEAK</v>
      </c>
      <c r="Q3067">
        <f t="shared" si="138"/>
        <v>1</v>
      </c>
      <c r="R3067" s="195" t="str">
        <f t="shared" si="139"/>
        <v>2024LIGHT VEHICLES</v>
      </c>
    </row>
    <row r="3068" spans="3:18" x14ac:dyDescent="0.25">
      <c r="C3068" s="294" t="s">
        <v>968</v>
      </c>
      <c r="D3068" s="317" t="s">
        <v>730</v>
      </c>
      <c r="E3068" s="122" t="s">
        <v>894</v>
      </c>
      <c r="F3068" s="122" t="s">
        <v>895</v>
      </c>
      <c r="G3068" s="122" t="s">
        <v>785</v>
      </c>
      <c r="H3068" s="122" t="s">
        <v>777</v>
      </c>
      <c r="I3068" s="312">
        <v>2024</v>
      </c>
      <c r="J3068" s="122" t="s">
        <v>710</v>
      </c>
      <c r="K3068" s="283">
        <v>5046</v>
      </c>
      <c r="L3068" s="318">
        <v>-34.033203</v>
      </c>
      <c r="M3068" s="318">
        <v>151.09252900000001</v>
      </c>
      <c r="O3068">
        <f>INDEX('MEC - traffic congestion'!$M$145:$M$249,MATCH($D3068,'MEC - traffic congestion'!$C$145:$C$249,0))</f>
        <v>1</v>
      </c>
      <c r="P3068" t="str">
        <f t="shared" si="137"/>
        <v>2024OFF PEAK</v>
      </c>
      <c r="Q3068">
        <f t="shared" si="138"/>
        <v>1</v>
      </c>
      <c r="R3068" s="195" t="str">
        <f t="shared" si="139"/>
        <v>2024LIGHT VEHICLES</v>
      </c>
    </row>
    <row r="3069" spans="3:18" x14ac:dyDescent="0.25">
      <c r="C3069" s="294" t="s">
        <v>968</v>
      </c>
      <c r="D3069" s="317" t="s">
        <v>730</v>
      </c>
      <c r="E3069" s="122" t="s">
        <v>894</v>
      </c>
      <c r="F3069" s="122" t="s">
        <v>895</v>
      </c>
      <c r="G3069" s="122" t="s">
        <v>785</v>
      </c>
      <c r="H3069" s="122" t="s">
        <v>777</v>
      </c>
      <c r="I3069" s="312">
        <v>2024</v>
      </c>
      <c r="J3069" s="122" t="s">
        <v>711</v>
      </c>
      <c r="K3069" s="283">
        <v>2639</v>
      </c>
      <c r="L3069" s="318">
        <v>-34.033203</v>
      </c>
      <c r="M3069" s="318">
        <v>151.09252900000001</v>
      </c>
      <c r="O3069">
        <f>INDEX('MEC - traffic congestion'!$M$145:$M$249,MATCH($D3069,'MEC - traffic congestion'!$C$145:$C$249,0))</f>
        <v>1</v>
      </c>
      <c r="P3069" t="str">
        <f t="shared" si="137"/>
        <v>2024PM PEAK</v>
      </c>
      <c r="Q3069">
        <f t="shared" si="138"/>
        <v>1</v>
      </c>
      <c r="R3069" s="195" t="str">
        <f t="shared" si="139"/>
        <v>2024LIGHT VEHICLES</v>
      </c>
    </row>
    <row r="3070" spans="3:18" x14ac:dyDescent="0.25">
      <c r="C3070" s="294" t="s">
        <v>968</v>
      </c>
      <c r="D3070" s="317" t="s">
        <v>730</v>
      </c>
      <c r="E3070" s="122" t="s">
        <v>894</v>
      </c>
      <c r="F3070" s="122" t="s">
        <v>895</v>
      </c>
      <c r="G3070" s="122" t="s">
        <v>785</v>
      </c>
      <c r="H3070" s="122" t="s">
        <v>777</v>
      </c>
      <c r="I3070" s="312">
        <v>2024</v>
      </c>
      <c r="J3070" s="122" t="s">
        <v>713</v>
      </c>
      <c r="K3070" s="283">
        <v>9805</v>
      </c>
      <c r="L3070" s="318">
        <v>-34.033203</v>
      </c>
      <c r="M3070" s="318">
        <v>151.09252900000001</v>
      </c>
      <c r="O3070">
        <f>INDEX('MEC - traffic congestion'!$M$145:$M$249,MATCH($D3070,'MEC - traffic congestion'!$C$145:$C$249,0))</f>
        <v>1</v>
      </c>
      <c r="P3070" t="str">
        <f t="shared" si="137"/>
        <v>2024WEEKENDS</v>
      </c>
      <c r="Q3070">
        <f t="shared" si="138"/>
        <v>1</v>
      </c>
      <c r="R3070" s="195" t="str">
        <f t="shared" si="139"/>
        <v>2024LIGHT VEHICLES</v>
      </c>
    </row>
    <row r="3071" spans="3:18" x14ac:dyDescent="0.25">
      <c r="C3071" s="294" t="s">
        <v>969</v>
      </c>
      <c r="D3071" s="317" t="s">
        <v>731</v>
      </c>
      <c r="E3071" s="122" t="s">
        <v>806</v>
      </c>
      <c r="F3071" s="122" t="s">
        <v>837</v>
      </c>
      <c r="G3071" s="122" t="s">
        <v>785</v>
      </c>
      <c r="H3071" s="122" t="s">
        <v>777</v>
      </c>
      <c r="I3071" s="312">
        <v>2018</v>
      </c>
      <c r="J3071" s="122" t="s">
        <v>709</v>
      </c>
      <c r="K3071" s="283">
        <v>7679</v>
      </c>
      <c r="L3071" s="318">
        <v>-33.819687000000002</v>
      </c>
      <c r="M3071" s="318">
        <v>151.11741599999999</v>
      </c>
      <c r="O3071">
        <f>INDEX('MEC - traffic congestion'!$M$145:$M$249,MATCH($D3071,'MEC - traffic congestion'!$C$145:$C$249,0))</f>
        <v>1</v>
      </c>
      <c r="P3071" t="str">
        <f t="shared" si="137"/>
        <v>2018AM PEAK</v>
      </c>
      <c r="Q3071">
        <f t="shared" si="138"/>
        <v>1</v>
      </c>
      <c r="R3071" s="195" t="str">
        <f t="shared" si="139"/>
        <v>2018LIGHT VEHICLES</v>
      </c>
    </row>
    <row r="3072" spans="3:18" x14ac:dyDescent="0.25">
      <c r="C3072" s="294" t="s">
        <v>969</v>
      </c>
      <c r="D3072" s="317" t="s">
        <v>731</v>
      </c>
      <c r="E3072" s="122" t="s">
        <v>806</v>
      </c>
      <c r="F3072" s="122" t="s">
        <v>837</v>
      </c>
      <c r="G3072" s="122" t="s">
        <v>786</v>
      </c>
      <c r="H3072" s="122" t="s">
        <v>777</v>
      </c>
      <c r="I3072" s="312">
        <v>2018</v>
      </c>
      <c r="J3072" s="122" t="s">
        <v>709</v>
      </c>
      <c r="K3072" s="283">
        <v>4782</v>
      </c>
      <c r="L3072" s="318">
        <v>-33.819687000000002</v>
      </c>
      <c r="M3072" s="318">
        <v>151.11741599999999</v>
      </c>
      <c r="O3072">
        <f>INDEX('MEC - traffic congestion'!$M$145:$M$249,MATCH($D3072,'MEC - traffic congestion'!$C$145:$C$249,0))</f>
        <v>1</v>
      </c>
      <c r="P3072" t="str">
        <f t="shared" si="137"/>
        <v>2018AM PEAK</v>
      </c>
      <c r="Q3072">
        <f t="shared" si="138"/>
        <v>1</v>
      </c>
      <c r="R3072" s="195" t="str">
        <f t="shared" si="139"/>
        <v>2018LIGHT VEHICLES</v>
      </c>
    </row>
    <row r="3073" spans="3:18" x14ac:dyDescent="0.25">
      <c r="C3073" s="294" t="s">
        <v>969</v>
      </c>
      <c r="D3073" s="317" t="s">
        <v>731</v>
      </c>
      <c r="E3073" s="122" t="s">
        <v>806</v>
      </c>
      <c r="F3073" s="122" t="s">
        <v>837</v>
      </c>
      <c r="G3073" s="122" t="s">
        <v>785</v>
      </c>
      <c r="H3073" s="122" t="s">
        <v>777</v>
      </c>
      <c r="I3073" s="312">
        <v>2018</v>
      </c>
      <c r="J3073" s="122" t="s">
        <v>710</v>
      </c>
      <c r="K3073" s="283">
        <v>12667</v>
      </c>
      <c r="L3073" s="318">
        <v>-33.819687000000002</v>
      </c>
      <c r="M3073" s="318">
        <v>151.11741599999999</v>
      </c>
      <c r="O3073">
        <f>INDEX('MEC - traffic congestion'!$M$145:$M$249,MATCH($D3073,'MEC - traffic congestion'!$C$145:$C$249,0))</f>
        <v>1</v>
      </c>
      <c r="P3073" t="str">
        <f t="shared" si="137"/>
        <v>2018OFF PEAK</v>
      </c>
      <c r="Q3073">
        <f t="shared" si="138"/>
        <v>1</v>
      </c>
      <c r="R3073" s="195" t="str">
        <f t="shared" si="139"/>
        <v>2018LIGHT VEHICLES</v>
      </c>
    </row>
    <row r="3074" spans="3:18" x14ac:dyDescent="0.25">
      <c r="C3074" s="294" t="s">
        <v>969</v>
      </c>
      <c r="D3074" s="317" t="s">
        <v>731</v>
      </c>
      <c r="E3074" s="122" t="s">
        <v>806</v>
      </c>
      <c r="F3074" s="122" t="s">
        <v>837</v>
      </c>
      <c r="G3074" s="122" t="s">
        <v>786</v>
      </c>
      <c r="H3074" s="122" t="s">
        <v>777</v>
      </c>
      <c r="I3074" s="312">
        <v>2018</v>
      </c>
      <c r="J3074" s="122" t="s">
        <v>710</v>
      </c>
      <c r="K3074" s="283">
        <v>12368</v>
      </c>
      <c r="L3074" s="318">
        <v>-33.819687000000002</v>
      </c>
      <c r="M3074" s="318">
        <v>151.11741599999999</v>
      </c>
      <c r="O3074">
        <f>INDEX('MEC - traffic congestion'!$M$145:$M$249,MATCH($D3074,'MEC - traffic congestion'!$C$145:$C$249,0))</f>
        <v>1</v>
      </c>
      <c r="P3074" t="str">
        <f t="shared" si="137"/>
        <v>2018OFF PEAK</v>
      </c>
      <c r="Q3074">
        <f t="shared" si="138"/>
        <v>1</v>
      </c>
      <c r="R3074" s="195" t="str">
        <f t="shared" si="139"/>
        <v>2018LIGHT VEHICLES</v>
      </c>
    </row>
    <row r="3075" spans="3:18" x14ac:dyDescent="0.25">
      <c r="C3075" s="294" t="s">
        <v>969</v>
      </c>
      <c r="D3075" s="317" t="s">
        <v>731</v>
      </c>
      <c r="E3075" s="122" t="s">
        <v>806</v>
      </c>
      <c r="F3075" s="122" t="s">
        <v>837</v>
      </c>
      <c r="G3075" s="122" t="s">
        <v>785</v>
      </c>
      <c r="H3075" s="122" t="s">
        <v>777</v>
      </c>
      <c r="I3075" s="312">
        <v>2018</v>
      </c>
      <c r="J3075" s="122" t="s">
        <v>711</v>
      </c>
      <c r="K3075" s="283">
        <v>7293</v>
      </c>
      <c r="L3075" s="318">
        <v>-33.819687000000002</v>
      </c>
      <c r="M3075" s="318">
        <v>151.11741599999999</v>
      </c>
      <c r="O3075">
        <f>INDEX('MEC - traffic congestion'!$M$145:$M$249,MATCH($D3075,'MEC - traffic congestion'!$C$145:$C$249,0))</f>
        <v>1</v>
      </c>
      <c r="P3075" t="str">
        <f t="shared" si="137"/>
        <v>2018PM PEAK</v>
      </c>
      <c r="Q3075">
        <f t="shared" si="138"/>
        <v>1</v>
      </c>
      <c r="R3075" s="195" t="str">
        <f t="shared" si="139"/>
        <v>2018LIGHT VEHICLES</v>
      </c>
    </row>
    <row r="3076" spans="3:18" x14ac:dyDescent="0.25">
      <c r="C3076" s="294" t="s">
        <v>969</v>
      </c>
      <c r="D3076" s="317" t="s">
        <v>731</v>
      </c>
      <c r="E3076" s="122" t="s">
        <v>806</v>
      </c>
      <c r="F3076" s="122" t="s">
        <v>837</v>
      </c>
      <c r="G3076" s="122" t="s">
        <v>786</v>
      </c>
      <c r="H3076" s="122" t="s">
        <v>777</v>
      </c>
      <c r="I3076" s="312">
        <v>2018</v>
      </c>
      <c r="J3076" s="122" t="s">
        <v>711</v>
      </c>
      <c r="K3076" s="283">
        <v>6280</v>
      </c>
      <c r="L3076" s="318">
        <v>-33.819687000000002</v>
      </c>
      <c r="M3076" s="318">
        <v>151.11741599999999</v>
      </c>
      <c r="O3076">
        <f>INDEX('MEC - traffic congestion'!$M$145:$M$249,MATCH($D3076,'MEC - traffic congestion'!$C$145:$C$249,0))</f>
        <v>1</v>
      </c>
      <c r="P3076" t="str">
        <f t="shared" si="137"/>
        <v>2018PM PEAK</v>
      </c>
      <c r="Q3076">
        <f t="shared" si="138"/>
        <v>1</v>
      </c>
      <c r="R3076" s="195" t="str">
        <f t="shared" si="139"/>
        <v>2018LIGHT VEHICLES</v>
      </c>
    </row>
    <row r="3077" spans="3:18" x14ac:dyDescent="0.25">
      <c r="C3077" s="294" t="s">
        <v>969</v>
      </c>
      <c r="D3077" s="317" t="s">
        <v>731</v>
      </c>
      <c r="E3077" s="122" t="s">
        <v>806</v>
      </c>
      <c r="F3077" s="122" t="s">
        <v>837</v>
      </c>
      <c r="G3077" s="122" t="s">
        <v>785</v>
      </c>
      <c r="H3077" s="122" t="s">
        <v>777</v>
      </c>
      <c r="I3077" s="312">
        <v>2018</v>
      </c>
      <c r="J3077" s="122" t="s">
        <v>712</v>
      </c>
      <c r="K3077" s="283">
        <v>18689</v>
      </c>
      <c r="L3077" s="318">
        <v>-33.819687000000002</v>
      </c>
      <c r="M3077" s="318">
        <v>151.11741599999999</v>
      </c>
      <c r="O3077">
        <f>INDEX('MEC - traffic congestion'!$M$145:$M$249,MATCH($D3077,'MEC - traffic congestion'!$C$145:$C$249,0))</f>
        <v>1</v>
      </c>
      <c r="P3077" t="str">
        <f t="shared" si="137"/>
        <v>2018PUBLIC HOLIDAYS</v>
      </c>
      <c r="Q3077">
        <f t="shared" si="138"/>
        <v>1</v>
      </c>
      <c r="R3077" s="195" t="str">
        <f t="shared" si="139"/>
        <v>2018LIGHT VEHICLES</v>
      </c>
    </row>
    <row r="3078" spans="3:18" x14ac:dyDescent="0.25">
      <c r="C3078" s="294" t="s">
        <v>969</v>
      </c>
      <c r="D3078" s="317" t="s">
        <v>731</v>
      </c>
      <c r="E3078" s="122" t="s">
        <v>806</v>
      </c>
      <c r="F3078" s="122" t="s">
        <v>837</v>
      </c>
      <c r="G3078" s="122" t="s">
        <v>786</v>
      </c>
      <c r="H3078" s="122" t="s">
        <v>777</v>
      </c>
      <c r="I3078" s="312">
        <v>2018</v>
      </c>
      <c r="J3078" s="122" t="s">
        <v>712</v>
      </c>
      <c r="K3078" s="283">
        <v>17249</v>
      </c>
      <c r="L3078" s="318">
        <v>-33.819687000000002</v>
      </c>
      <c r="M3078" s="318">
        <v>151.11741599999999</v>
      </c>
      <c r="O3078">
        <f>INDEX('MEC - traffic congestion'!$M$145:$M$249,MATCH($D3078,'MEC - traffic congestion'!$C$145:$C$249,0))</f>
        <v>1</v>
      </c>
      <c r="P3078" t="str">
        <f t="shared" si="137"/>
        <v>2018PUBLIC HOLIDAYS</v>
      </c>
      <c r="Q3078">
        <f t="shared" si="138"/>
        <v>1</v>
      </c>
      <c r="R3078" s="195" t="str">
        <f t="shared" si="139"/>
        <v>2018LIGHT VEHICLES</v>
      </c>
    </row>
    <row r="3079" spans="3:18" x14ac:dyDescent="0.25">
      <c r="C3079" s="294" t="s">
        <v>969</v>
      </c>
      <c r="D3079" s="317" t="s">
        <v>731</v>
      </c>
      <c r="E3079" s="122" t="s">
        <v>806</v>
      </c>
      <c r="F3079" s="122" t="s">
        <v>837</v>
      </c>
      <c r="G3079" s="122" t="s">
        <v>785</v>
      </c>
      <c r="H3079" s="122" t="s">
        <v>777</v>
      </c>
      <c r="I3079" s="312">
        <v>2018</v>
      </c>
      <c r="J3079" s="122" t="s">
        <v>713</v>
      </c>
      <c r="K3079" s="283">
        <v>24759</v>
      </c>
      <c r="L3079" s="318">
        <v>-33.819687000000002</v>
      </c>
      <c r="M3079" s="318">
        <v>151.11741599999999</v>
      </c>
      <c r="O3079">
        <f>INDEX('MEC - traffic congestion'!$M$145:$M$249,MATCH($D3079,'MEC - traffic congestion'!$C$145:$C$249,0))</f>
        <v>1</v>
      </c>
      <c r="P3079" t="str">
        <f t="shared" si="137"/>
        <v>2018WEEKENDS</v>
      </c>
      <c r="Q3079">
        <f t="shared" si="138"/>
        <v>1</v>
      </c>
      <c r="R3079" s="195" t="str">
        <f t="shared" si="139"/>
        <v>2018LIGHT VEHICLES</v>
      </c>
    </row>
    <row r="3080" spans="3:18" x14ac:dyDescent="0.25">
      <c r="C3080" s="294" t="s">
        <v>969</v>
      </c>
      <c r="D3080" s="317" t="s">
        <v>731</v>
      </c>
      <c r="E3080" s="122" t="s">
        <v>806</v>
      </c>
      <c r="F3080" s="122" t="s">
        <v>837</v>
      </c>
      <c r="G3080" s="122" t="s">
        <v>786</v>
      </c>
      <c r="H3080" s="122" t="s">
        <v>777</v>
      </c>
      <c r="I3080" s="312">
        <v>2018</v>
      </c>
      <c r="J3080" s="122" t="s">
        <v>713</v>
      </c>
      <c r="K3080" s="283">
        <v>23061</v>
      </c>
      <c r="L3080" s="318">
        <v>-33.819687000000002</v>
      </c>
      <c r="M3080" s="318">
        <v>151.11741599999999</v>
      </c>
      <c r="O3080">
        <f>INDEX('MEC - traffic congestion'!$M$145:$M$249,MATCH($D3080,'MEC - traffic congestion'!$C$145:$C$249,0))</f>
        <v>1</v>
      </c>
      <c r="P3080" t="str">
        <f t="shared" si="137"/>
        <v>2018WEEKENDS</v>
      </c>
      <c r="Q3080">
        <f t="shared" si="138"/>
        <v>1</v>
      </c>
      <c r="R3080" s="195" t="str">
        <f t="shared" si="139"/>
        <v>2018LIGHT VEHICLES</v>
      </c>
    </row>
    <row r="3081" spans="3:18" x14ac:dyDescent="0.25">
      <c r="C3081" s="294" t="s">
        <v>969</v>
      </c>
      <c r="D3081" s="317" t="s">
        <v>731</v>
      </c>
      <c r="E3081" s="122" t="s">
        <v>806</v>
      </c>
      <c r="F3081" s="122" t="s">
        <v>837</v>
      </c>
      <c r="G3081" s="122" t="s">
        <v>785</v>
      </c>
      <c r="H3081" s="122" t="s">
        <v>777</v>
      </c>
      <c r="I3081" s="312">
        <v>2019</v>
      </c>
      <c r="J3081" s="122" t="s">
        <v>709</v>
      </c>
      <c r="K3081" s="283">
        <v>7547</v>
      </c>
      <c r="L3081" s="318">
        <v>-33.819687000000002</v>
      </c>
      <c r="M3081" s="318">
        <v>151.11741599999999</v>
      </c>
      <c r="O3081">
        <f>INDEX('MEC - traffic congestion'!$M$145:$M$249,MATCH($D3081,'MEC - traffic congestion'!$C$145:$C$249,0))</f>
        <v>1</v>
      </c>
      <c r="P3081" t="str">
        <f t="shared" si="137"/>
        <v>2019AM PEAK</v>
      </c>
      <c r="Q3081">
        <f t="shared" si="138"/>
        <v>1</v>
      </c>
      <c r="R3081" s="195" t="str">
        <f t="shared" si="139"/>
        <v>2019LIGHT VEHICLES</v>
      </c>
    </row>
    <row r="3082" spans="3:18" x14ac:dyDescent="0.25">
      <c r="C3082" s="294" t="s">
        <v>969</v>
      </c>
      <c r="D3082" s="317" t="s">
        <v>731</v>
      </c>
      <c r="E3082" s="122" t="s">
        <v>806</v>
      </c>
      <c r="F3082" s="122" t="s">
        <v>837</v>
      </c>
      <c r="G3082" s="122" t="s">
        <v>786</v>
      </c>
      <c r="H3082" s="122" t="s">
        <v>777</v>
      </c>
      <c r="I3082" s="312">
        <v>2019</v>
      </c>
      <c r="J3082" s="122" t="s">
        <v>709</v>
      </c>
      <c r="K3082" s="283">
        <v>4592</v>
      </c>
      <c r="L3082" s="318">
        <v>-33.819687000000002</v>
      </c>
      <c r="M3082" s="318">
        <v>151.11741599999999</v>
      </c>
      <c r="O3082">
        <f>INDEX('MEC - traffic congestion'!$M$145:$M$249,MATCH($D3082,'MEC - traffic congestion'!$C$145:$C$249,0))</f>
        <v>1</v>
      </c>
      <c r="P3082" t="str">
        <f t="shared" si="137"/>
        <v>2019AM PEAK</v>
      </c>
      <c r="Q3082">
        <f t="shared" si="138"/>
        <v>1</v>
      </c>
      <c r="R3082" s="195" t="str">
        <f t="shared" si="139"/>
        <v>2019LIGHT VEHICLES</v>
      </c>
    </row>
    <row r="3083" spans="3:18" x14ac:dyDescent="0.25">
      <c r="C3083" s="294" t="s">
        <v>969</v>
      </c>
      <c r="D3083" s="317" t="s">
        <v>731</v>
      </c>
      <c r="E3083" s="122" t="s">
        <v>806</v>
      </c>
      <c r="F3083" s="122" t="s">
        <v>837</v>
      </c>
      <c r="G3083" s="122" t="s">
        <v>785</v>
      </c>
      <c r="H3083" s="122" t="s">
        <v>777</v>
      </c>
      <c r="I3083" s="312">
        <v>2019</v>
      </c>
      <c r="J3083" s="122" t="s">
        <v>710</v>
      </c>
      <c r="K3083" s="283">
        <v>12366</v>
      </c>
      <c r="L3083" s="318">
        <v>-33.819687000000002</v>
      </c>
      <c r="M3083" s="318">
        <v>151.11741599999999</v>
      </c>
      <c r="O3083">
        <f>INDEX('MEC - traffic congestion'!$M$145:$M$249,MATCH($D3083,'MEC - traffic congestion'!$C$145:$C$249,0))</f>
        <v>1</v>
      </c>
      <c r="P3083" t="str">
        <f t="shared" si="137"/>
        <v>2019OFF PEAK</v>
      </c>
      <c r="Q3083">
        <f t="shared" si="138"/>
        <v>1</v>
      </c>
      <c r="R3083" s="195" t="str">
        <f t="shared" si="139"/>
        <v>2019LIGHT VEHICLES</v>
      </c>
    </row>
    <row r="3084" spans="3:18" x14ac:dyDescent="0.25">
      <c r="C3084" s="294" t="s">
        <v>969</v>
      </c>
      <c r="D3084" s="317" t="s">
        <v>731</v>
      </c>
      <c r="E3084" s="122" t="s">
        <v>806</v>
      </c>
      <c r="F3084" s="122" t="s">
        <v>837</v>
      </c>
      <c r="G3084" s="122" t="s">
        <v>786</v>
      </c>
      <c r="H3084" s="122" t="s">
        <v>777</v>
      </c>
      <c r="I3084" s="312">
        <v>2019</v>
      </c>
      <c r="J3084" s="122" t="s">
        <v>710</v>
      </c>
      <c r="K3084" s="283">
        <v>11958</v>
      </c>
      <c r="L3084" s="318">
        <v>-33.819687000000002</v>
      </c>
      <c r="M3084" s="318">
        <v>151.11741599999999</v>
      </c>
      <c r="O3084">
        <f>INDEX('MEC - traffic congestion'!$M$145:$M$249,MATCH($D3084,'MEC - traffic congestion'!$C$145:$C$249,0))</f>
        <v>1</v>
      </c>
      <c r="P3084" t="str">
        <f t="shared" si="137"/>
        <v>2019OFF PEAK</v>
      </c>
      <c r="Q3084">
        <f t="shared" si="138"/>
        <v>1</v>
      </c>
      <c r="R3084" s="195" t="str">
        <f t="shared" si="139"/>
        <v>2019LIGHT VEHICLES</v>
      </c>
    </row>
    <row r="3085" spans="3:18" x14ac:dyDescent="0.25">
      <c r="C3085" s="294" t="s">
        <v>969</v>
      </c>
      <c r="D3085" s="317" t="s">
        <v>731</v>
      </c>
      <c r="E3085" s="122" t="s">
        <v>806</v>
      </c>
      <c r="F3085" s="122" t="s">
        <v>837</v>
      </c>
      <c r="G3085" s="122" t="s">
        <v>785</v>
      </c>
      <c r="H3085" s="122" t="s">
        <v>777</v>
      </c>
      <c r="I3085" s="312">
        <v>2019</v>
      </c>
      <c r="J3085" s="122" t="s">
        <v>711</v>
      </c>
      <c r="K3085" s="283">
        <v>7023</v>
      </c>
      <c r="L3085" s="318">
        <v>-33.819687000000002</v>
      </c>
      <c r="M3085" s="318">
        <v>151.11741599999999</v>
      </c>
      <c r="O3085">
        <f>INDEX('MEC - traffic congestion'!$M$145:$M$249,MATCH($D3085,'MEC - traffic congestion'!$C$145:$C$249,0))</f>
        <v>1</v>
      </c>
      <c r="P3085" t="str">
        <f t="shared" si="137"/>
        <v>2019PM PEAK</v>
      </c>
      <c r="Q3085">
        <f t="shared" si="138"/>
        <v>1</v>
      </c>
      <c r="R3085" s="195" t="str">
        <f t="shared" si="139"/>
        <v>2019LIGHT VEHICLES</v>
      </c>
    </row>
    <row r="3086" spans="3:18" x14ac:dyDescent="0.25">
      <c r="C3086" s="294" t="s">
        <v>969</v>
      </c>
      <c r="D3086" s="317" t="s">
        <v>731</v>
      </c>
      <c r="E3086" s="122" t="s">
        <v>806</v>
      </c>
      <c r="F3086" s="122" t="s">
        <v>837</v>
      </c>
      <c r="G3086" s="122" t="s">
        <v>786</v>
      </c>
      <c r="H3086" s="122" t="s">
        <v>777</v>
      </c>
      <c r="I3086" s="312">
        <v>2019</v>
      </c>
      <c r="J3086" s="122" t="s">
        <v>711</v>
      </c>
      <c r="K3086" s="283">
        <v>6191</v>
      </c>
      <c r="L3086" s="318">
        <v>-33.819687000000002</v>
      </c>
      <c r="M3086" s="318">
        <v>151.11741599999999</v>
      </c>
      <c r="O3086">
        <f>INDEX('MEC - traffic congestion'!$M$145:$M$249,MATCH($D3086,'MEC - traffic congestion'!$C$145:$C$249,0))</f>
        <v>1</v>
      </c>
      <c r="P3086" t="str">
        <f t="shared" si="137"/>
        <v>2019PM PEAK</v>
      </c>
      <c r="Q3086">
        <f t="shared" si="138"/>
        <v>1</v>
      </c>
      <c r="R3086" s="195" t="str">
        <f t="shared" si="139"/>
        <v>2019LIGHT VEHICLES</v>
      </c>
    </row>
    <row r="3087" spans="3:18" x14ac:dyDescent="0.25">
      <c r="C3087" s="294" t="s">
        <v>969</v>
      </c>
      <c r="D3087" s="317" t="s">
        <v>731</v>
      </c>
      <c r="E3087" s="122" t="s">
        <v>806</v>
      </c>
      <c r="F3087" s="122" t="s">
        <v>837</v>
      </c>
      <c r="G3087" s="122" t="s">
        <v>785</v>
      </c>
      <c r="H3087" s="122" t="s">
        <v>777</v>
      </c>
      <c r="I3087" s="312">
        <v>2019</v>
      </c>
      <c r="J3087" s="122" t="s">
        <v>712</v>
      </c>
      <c r="K3087" s="283">
        <v>18501</v>
      </c>
      <c r="L3087" s="318">
        <v>-33.819687000000002</v>
      </c>
      <c r="M3087" s="318">
        <v>151.11741599999999</v>
      </c>
      <c r="O3087">
        <f>INDEX('MEC - traffic congestion'!$M$145:$M$249,MATCH($D3087,'MEC - traffic congestion'!$C$145:$C$249,0))</f>
        <v>1</v>
      </c>
      <c r="P3087" t="str">
        <f t="shared" si="137"/>
        <v>2019PUBLIC HOLIDAYS</v>
      </c>
      <c r="Q3087">
        <f t="shared" si="138"/>
        <v>1</v>
      </c>
      <c r="R3087" s="195" t="str">
        <f t="shared" si="139"/>
        <v>2019LIGHT VEHICLES</v>
      </c>
    </row>
    <row r="3088" spans="3:18" x14ac:dyDescent="0.25">
      <c r="C3088" s="294" t="s">
        <v>969</v>
      </c>
      <c r="D3088" s="317" t="s">
        <v>731</v>
      </c>
      <c r="E3088" s="122" t="s">
        <v>806</v>
      </c>
      <c r="F3088" s="122" t="s">
        <v>837</v>
      </c>
      <c r="G3088" s="122" t="s">
        <v>786</v>
      </c>
      <c r="H3088" s="122" t="s">
        <v>777</v>
      </c>
      <c r="I3088" s="312">
        <v>2019</v>
      </c>
      <c r="J3088" s="122" t="s">
        <v>712</v>
      </c>
      <c r="K3088" s="283">
        <v>17559</v>
      </c>
      <c r="L3088" s="318">
        <v>-33.819687000000002</v>
      </c>
      <c r="M3088" s="318">
        <v>151.11741599999999</v>
      </c>
      <c r="O3088">
        <f>INDEX('MEC - traffic congestion'!$M$145:$M$249,MATCH($D3088,'MEC - traffic congestion'!$C$145:$C$249,0))</f>
        <v>1</v>
      </c>
      <c r="P3088" t="str">
        <f t="shared" si="137"/>
        <v>2019PUBLIC HOLIDAYS</v>
      </c>
      <c r="Q3088">
        <f t="shared" si="138"/>
        <v>1</v>
      </c>
      <c r="R3088" s="195" t="str">
        <f t="shared" si="139"/>
        <v>2019LIGHT VEHICLES</v>
      </c>
    </row>
    <row r="3089" spans="3:18" x14ac:dyDescent="0.25">
      <c r="C3089" s="294" t="s">
        <v>969</v>
      </c>
      <c r="D3089" s="317" t="s">
        <v>731</v>
      </c>
      <c r="E3089" s="122" t="s">
        <v>806</v>
      </c>
      <c r="F3089" s="122" t="s">
        <v>837</v>
      </c>
      <c r="G3089" s="122" t="s">
        <v>785</v>
      </c>
      <c r="H3089" s="122" t="s">
        <v>777</v>
      </c>
      <c r="I3089" s="312">
        <v>2019</v>
      </c>
      <c r="J3089" s="122" t="s">
        <v>713</v>
      </c>
      <c r="K3089" s="283">
        <v>24178</v>
      </c>
      <c r="L3089" s="318">
        <v>-33.819687000000002</v>
      </c>
      <c r="M3089" s="318">
        <v>151.11741599999999</v>
      </c>
      <c r="O3089">
        <f>INDEX('MEC - traffic congestion'!$M$145:$M$249,MATCH($D3089,'MEC - traffic congestion'!$C$145:$C$249,0))</f>
        <v>1</v>
      </c>
      <c r="P3089" t="str">
        <f t="shared" si="137"/>
        <v>2019WEEKENDS</v>
      </c>
      <c r="Q3089">
        <f t="shared" si="138"/>
        <v>1</v>
      </c>
      <c r="R3089" s="195" t="str">
        <f t="shared" si="139"/>
        <v>2019LIGHT VEHICLES</v>
      </c>
    </row>
    <row r="3090" spans="3:18" x14ac:dyDescent="0.25">
      <c r="C3090" s="294" t="s">
        <v>969</v>
      </c>
      <c r="D3090" s="317" t="s">
        <v>731</v>
      </c>
      <c r="E3090" s="122" t="s">
        <v>806</v>
      </c>
      <c r="F3090" s="122" t="s">
        <v>837</v>
      </c>
      <c r="G3090" s="122" t="s">
        <v>786</v>
      </c>
      <c r="H3090" s="122" t="s">
        <v>777</v>
      </c>
      <c r="I3090" s="312">
        <v>2019</v>
      </c>
      <c r="J3090" s="122" t="s">
        <v>713</v>
      </c>
      <c r="K3090" s="283">
        <v>22403</v>
      </c>
      <c r="L3090" s="318">
        <v>-33.819687000000002</v>
      </c>
      <c r="M3090" s="318">
        <v>151.11741599999999</v>
      </c>
      <c r="O3090">
        <f>INDEX('MEC - traffic congestion'!$M$145:$M$249,MATCH($D3090,'MEC - traffic congestion'!$C$145:$C$249,0))</f>
        <v>1</v>
      </c>
      <c r="P3090" t="str">
        <f t="shared" si="137"/>
        <v>2019WEEKENDS</v>
      </c>
      <c r="Q3090">
        <f t="shared" si="138"/>
        <v>1</v>
      </c>
      <c r="R3090" s="195" t="str">
        <f t="shared" si="139"/>
        <v>2019LIGHT VEHICLES</v>
      </c>
    </row>
    <row r="3091" spans="3:18" x14ac:dyDescent="0.25">
      <c r="C3091" s="294" t="s">
        <v>969</v>
      </c>
      <c r="D3091" s="317" t="s">
        <v>731</v>
      </c>
      <c r="E3091" s="122" t="s">
        <v>806</v>
      </c>
      <c r="F3091" s="122" t="s">
        <v>837</v>
      </c>
      <c r="G3091" s="122" t="s">
        <v>785</v>
      </c>
      <c r="H3091" s="122" t="s">
        <v>777</v>
      </c>
      <c r="I3091" s="312">
        <v>2020</v>
      </c>
      <c r="J3091" s="122" t="s">
        <v>709</v>
      </c>
      <c r="K3091" s="283">
        <v>7234</v>
      </c>
      <c r="L3091" s="318">
        <v>-33.819687000000002</v>
      </c>
      <c r="M3091" s="318">
        <v>151.11741599999999</v>
      </c>
      <c r="O3091">
        <f>INDEX('MEC - traffic congestion'!$M$145:$M$249,MATCH($D3091,'MEC - traffic congestion'!$C$145:$C$249,0))</f>
        <v>1</v>
      </c>
      <c r="P3091" t="str">
        <f t="shared" si="137"/>
        <v>2020AM PEAK</v>
      </c>
      <c r="Q3091">
        <f t="shared" si="138"/>
        <v>1</v>
      </c>
      <c r="R3091" s="195" t="str">
        <f t="shared" si="139"/>
        <v>2020LIGHT VEHICLES</v>
      </c>
    </row>
    <row r="3092" spans="3:18" x14ac:dyDescent="0.25">
      <c r="C3092" s="294" t="s">
        <v>969</v>
      </c>
      <c r="D3092" s="317" t="s">
        <v>731</v>
      </c>
      <c r="E3092" s="122" t="s">
        <v>806</v>
      </c>
      <c r="F3092" s="122" t="s">
        <v>837</v>
      </c>
      <c r="G3092" s="122" t="s">
        <v>786</v>
      </c>
      <c r="H3092" s="122" t="s">
        <v>777</v>
      </c>
      <c r="I3092" s="312">
        <v>2020</v>
      </c>
      <c r="J3092" s="122" t="s">
        <v>709</v>
      </c>
      <c r="K3092" s="283">
        <v>4213</v>
      </c>
      <c r="L3092" s="318">
        <v>-33.819687000000002</v>
      </c>
      <c r="M3092" s="318">
        <v>151.11741599999999</v>
      </c>
      <c r="O3092">
        <f>INDEX('MEC - traffic congestion'!$M$145:$M$249,MATCH($D3092,'MEC - traffic congestion'!$C$145:$C$249,0))</f>
        <v>1</v>
      </c>
      <c r="P3092" t="str">
        <f t="shared" si="137"/>
        <v>2020AM PEAK</v>
      </c>
      <c r="Q3092">
        <f t="shared" si="138"/>
        <v>1</v>
      </c>
      <c r="R3092" s="195" t="str">
        <f t="shared" si="139"/>
        <v>2020LIGHT VEHICLES</v>
      </c>
    </row>
    <row r="3093" spans="3:18" x14ac:dyDescent="0.25">
      <c r="C3093" s="294" t="s">
        <v>969</v>
      </c>
      <c r="D3093" s="317" t="s">
        <v>731</v>
      </c>
      <c r="E3093" s="122" t="s">
        <v>806</v>
      </c>
      <c r="F3093" s="122" t="s">
        <v>837</v>
      </c>
      <c r="G3093" s="122" t="s">
        <v>785</v>
      </c>
      <c r="H3093" s="122" t="s">
        <v>777</v>
      </c>
      <c r="I3093" s="312">
        <v>2020</v>
      </c>
      <c r="J3093" s="122" t="s">
        <v>710</v>
      </c>
      <c r="K3093" s="283">
        <v>11145</v>
      </c>
      <c r="L3093" s="318">
        <v>-33.819687000000002</v>
      </c>
      <c r="M3093" s="318">
        <v>151.11741599999999</v>
      </c>
      <c r="O3093">
        <f>INDEX('MEC - traffic congestion'!$M$145:$M$249,MATCH($D3093,'MEC - traffic congestion'!$C$145:$C$249,0))</f>
        <v>1</v>
      </c>
      <c r="P3093" t="str">
        <f t="shared" ref="P3093:P3156" si="140">IF($O3093=1,$I3093&amp;$J3093,"")</f>
        <v>2020OFF PEAK</v>
      </c>
      <c r="Q3093">
        <f t="shared" ref="Q3093:Q3156" si="141">IF(AND($M3093&gt;150.246,AND($L3093&gt;-34.397,$L3093&lt;-32.662)),1,0)</f>
        <v>1</v>
      </c>
      <c r="R3093" s="195" t="str">
        <f t="shared" ref="R3093:R3156" si="142">IF($O3093=1,$I3093&amp;$H3093,"")</f>
        <v>2020LIGHT VEHICLES</v>
      </c>
    </row>
    <row r="3094" spans="3:18" x14ac:dyDescent="0.25">
      <c r="C3094" s="294" t="s">
        <v>969</v>
      </c>
      <c r="D3094" s="317" t="s">
        <v>731</v>
      </c>
      <c r="E3094" s="122" t="s">
        <v>806</v>
      </c>
      <c r="F3094" s="122" t="s">
        <v>837</v>
      </c>
      <c r="G3094" s="122" t="s">
        <v>786</v>
      </c>
      <c r="H3094" s="122" t="s">
        <v>777</v>
      </c>
      <c r="I3094" s="312">
        <v>2020</v>
      </c>
      <c r="J3094" s="122" t="s">
        <v>710</v>
      </c>
      <c r="K3094" s="283">
        <v>10483</v>
      </c>
      <c r="L3094" s="318">
        <v>-33.819687000000002</v>
      </c>
      <c r="M3094" s="318">
        <v>151.11741599999999</v>
      </c>
      <c r="O3094">
        <f>INDEX('MEC - traffic congestion'!$M$145:$M$249,MATCH($D3094,'MEC - traffic congestion'!$C$145:$C$249,0))</f>
        <v>1</v>
      </c>
      <c r="P3094" t="str">
        <f t="shared" si="140"/>
        <v>2020OFF PEAK</v>
      </c>
      <c r="Q3094">
        <f t="shared" si="141"/>
        <v>1</v>
      </c>
      <c r="R3094" s="195" t="str">
        <f t="shared" si="142"/>
        <v>2020LIGHT VEHICLES</v>
      </c>
    </row>
    <row r="3095" spans="3:18" x14ac:dyDescent="0.25">
      <c r="C3095" s="294" t="s">
        <v>969</v>
      </c>
      <c r="D3095" s="317" t="s">
        <v>731</v>
      </c>
      <c r="E3095" s="122" t="s">
        <v>806</v>
      </c>
      <c r="F3095" s="122" t="s">
        <v>837</v>
      </c>
      <c r="G3095" s="122" t="s">
        <v>785</v>
      </c>
      <c r="H3095" s="122" t="s">
        <v>777</v>
      </c>
      <c r="I3095" s="312">
        <v>2020</v>
      </c>
      <c r="J3095" s="122" t="s">
        <v>711</v>
      </c>
      <c r="K3095" s="283">
        <v>6398</v>
      </c>
      <c r="L3095" s="318">
        <v>-33.819687000000002</v>
      </c>
      <c r="M3095" s="318">
        <v>151.11741599999999</v>
      </c>
      <c r="O3095">
        <f>INDEX('MEC - traffic congestion'!$M$145:$M$249,MATCH($D3095,'MEC - traffic congestion'!$C$145:$C$249,0))</f>
        <v>1</v>
      </c>
      <c r="P3095" t="str">
        <f t="shared" si="140"/>
        <v>2020PM PEAK</v>
      </c>
      <c r="Q3095">
        <f t="shared" si="141"/>
        <v>1</v>
      </c>
      <c r="R3095" s="195" t="str">
        <f t="shared" si="142"/>
        <v>2020LIGHT VEHICLES</v>
      </c>
    </row>
    <row r="3096" spans="3:18" x14ac:dyDescent="0.25">
      <c r="C3096" s="294" t="s">
        <v>969</v>
      </c>
      <c r="D3096" s="317" t="s">
        <v>731</v>
      </c>
      <c r="E3096" s="122" t="s">
        <v>806</v>
      </c>
      <c r="F3096" s="122" t="s">
        <v>837</v>
      </c>
      <c r="G3096" s="122" t="s">
        <v>786</v>
      </c>
      <c r="H3096" s="122" t="s">
        <v>777</v>
      </c>
      <c r="I3096" s="312">
        <v>2020</v>
      </c>
      <c r="J3096" s="122" t="s">
        <v>711</v>
      </c>
      <c r="K3096" s="283">
        <v>6170</v>
      </c>
      <c r="L3096" s="318">
        <v>-33.819687000000002</v>
      </c>
      <c r="M3096" s="318">
        <v>151.11741599999999</v>
      </c>
      <c r="O3096">
        <f>INDEX('MEC - traffic congestion'!$M$145:$M$249,MATCH($D3096,'MEC - traffic congestion'!$C$145:$C$249,0))</f>
        <v>1</v>
      </c>
      <c r="P3096" t="str">
        <f t="shared" si="140"/>
        <v>2020PM PEAK</v>
      </c>
      <c r="Q3096">
        <f t="shared" si="141"/>
        <v>1</v>
      </c>
      <c r="R3096" s="195" t="str">
        <f t="shared" si="142"/>
        <v>2020LIGHT VEHICLES</v>
      </c>
    </row>
    <row r="3097" spans="3:18" x14ac:dyDescent="0.25">
      <c r="C3097" s="294" t="s">
        <v>969</v>
      </c>
      <c r="D3097" s="317" t="s">
        <v>731</v>
      </c>
      <c r="E3097" s="122" t="s">
        <v>806</v>
      </c>
      <c r="F3097" s="122" t="s">
        <v>837</v>
      </c>
      <c r="G3097" s="122" t="s">
        <v>785</v>
      </c>
      <c r="H3097" s="122" t="s">
        <v>777</v>
      </c>
      <c r="I3097" s="312">
        <v>2020</v>
      </c>
      <c r="J3097" s="122" t="s">
        <v>712</v>
      </c>
      <c r="K3097" s="283">
        <v>14673</v>
      </c>
      <c r="L3097" s="318">
        <v>-33.819687000000002</v>
      </c>
      <c r="M3097" s="318">
        <v>151.11741599999999</v>
      </c>
      <c r="O3097">
        <f>INDEX('MEC - traffic congestion'!$M$145:$M$249,MATCH($D3097,'MEC - traffic congestion'!$C$145:$C$249,0))</f>
        <v>1</v>
      </c>
      <c r="P3097" t="str">
        <f t="shared" si="140"/>
        <v>2020PUBLIC HOLIDAYS</v>
      </c>
      <c r="Q3097">
        <f t="shared" si="141"/>
        <v>1</v>
      </c>
      <c r="R3097" s="195" t="str">
        <f t="shared" si="142"/>
        <v>2020LIGHT VEHICLES</v>
      </c>
    </row>
    <row r="3098" spans="3:18" x14ac:dyDescent="0.25">
      <c r="C3098" s="294" t="s">
        <v>969</v>
      </c>
      <c r="D3098" s="317" t="s">
        <v>731</v>
      </c>
      <c r="E3098" s="122" t="s">
        <v>806</v>
      </c>
      <c r="F3098" s="122" t="s">
        <v>837</v>
      </c>
      <c r="G3098" s="122" t="s">
        <v>786</v>
      </c>
      <c r="H3098" s="122" t="s">
        <v>777</v>
      </c>
      <c r="I3098" s="312">
        <v>2020</v>
      </c>
      <c r="J3098" s="122" t="s">
        <v>712</v>
      </c>
      <c r="K3098" s="283">
        <v>13894</v>
      </c>
      <c r="L3098" s="318">
        <v>-33.819687000000002</v>
      </c>
      <c r="M3098" s="318">
        <v>151.11741599999999</v>
      </c>
      <c r="O3098">
        <f>INDEX('MEC - traffic congestion'!$M$145:$M$249,MATCH($D3098,'MEC - traffic congestion'!$C$145:$C$249,0))</f>
        <v>1</v>
      </c>
      <c r="P3098" t="str">
        <f t="shared" si="140"/>
        <v>2020PUBLIC HOLIDAYS</v>
      </c>
      <c r="Q3098">
        <f t="shared" si="141"/>
        <v>1</v>
      </c>
      <c r="R3098" s="195" t="str">
        <f t="shared" si="142"/>
        <v>2020LIGHT VEHICLES</v>
      </c>
    </row>
    <row r="3099" spans="3:18" x14ac:dyDescent="0.25">
      <c r="C3099" s="294" t="s">
        <v>969</v>
      </c>
      <c r="D3099" s="317" t="s">
        <v>731</v>
      </c>
      <c r="E3099" s="122" t="s">
        <v>806</v>
      </c>
      <c r="F3099" s="122" t="s">
        <v>837</v>
      </c>
      <c r="G3099" s="122" t="s">
        <v>785</v>
      </c>
      <c r="H3099" s="122" t="s">
        <v>777</v>
      </c>
      <c r="I3099" s="312">
        <v>2020</v>
      </c>
      <c r="J3099" s="122" t="s">
        <v>713</v>
      </c>
      <c r="K3099" s="283">
        <v>21363</v>
      </c>
      <c r="L3099" s="318">
        <v>-33.819687000000002</v>
      </c>
      <c r="M3099" s="318">
        <v>151.11741599999999</v>
      </c>
      <c r="O3099">
        <f>INDEX('MEC - traffic congestion'!$M$145:$M$249,MATCH($D3099,'MEC - traffic congestion'!$C$145:$C$249,0))</f>
        <v>1</v>
      </c>
      <c r="P3099" t="str">
        <f t="shared" si="140"/>
        <v>2020WEEKENDS</v>
      </c>
      <c r="Q3099">
        <f t="shared" si="141"/>
        <v>1</v>
      </c>
      <c r="R3099" s="195" t="str">
        <f t="shared" si="142"/>
        <v>2020LIGHT VEHICLES</v>
      </c>
    </row>
    <row r="3100" spans="3:18" x14ac:dyDescent="0.25">
      <c r="C3100" s="294" t="s">
        <v>969</v>
      </c>
      <c r="D3100" s="317" t="s">
        <v>731</v>
      </c>
      <c r="E3100" s="122" t="s">
        <v>806</v>
      </c>
      <c r="F3100" s="122" t="s">
        <v>837</v>
      </c>
      <c r="G3100" s="122" t="s">
        <v>786</v>
      </c>
      <c r="H3100" s="122" t="s">
        <v>777</v>
      </c>
      <c r="I3100" s="312">
        <v>2020</v>
      </c>
      <c r="J3100" s="122" t="s">
        <v>713</v>
      </c>
      <c r="K3100" s="283">
        <v>19335</v>
      </c>
      <c r="L3100" s="318">
        <v>-33.819687000000002</v>
      </c>
      <c r="M3100" s="318">
        <v>151.11741599999999</v>
      </c>
      <c r="O3100">
        <f>INDEX('MEC - traffic congestion'!$M$145:$M$249,MATCH($D3100,'MEC - traffic congestion'!$C$145:$C$249,0))</f>
        <v>1</v>
      </c>
      <c r="P3100" t="str">
        <f t="shared" si="140"/>
        <v>2020WEEKENDS</v>
      </c>
      <c r="Q3100">
        <f t="shared" si="141"/>
        <v>1</v>
      </c>
      <c r="R3100" s="195" t="str">
        <f t="shared" si="142"/>
        <v>2020LIGHT VEHICLES</v>
      </c>
    </row>
    <row r="3101" spans="3:18" x14ac:dyDescent="0.25">
      <c r="C3101" s="294" t="s">
        <v>969</v>
      </c>
      <c r="D3101" s="317" t="s">
        <v>731</v>
      </c>
      <c r="E3101" s="122" t="s">
        <v>806</v>
      </c>
      <c r="F3101" s="122" t="s">
        <v>837</v>
      </c>
      <c r="G3101" s="122" t="s">
        <v>785</v>
      </c>
      <c r="H3101" s="122" t="s">
        <v>777</v>
      </c>
      <c r="I3101" s="312">
        <v>2021</v>
      </c>
      <c r="J3101" s="122" t="s">
        <v>709</v>
      </c>
      <c r="K3101" s="283">
        <v>6622</v>
      </c>
      <c r="L3101" s="318">
        <v>-33.819687000000002</v>
      </c>
      <c r="M3101" s="318">
        <v>151.11741599999999</v>
      </c>
      <c r="O3101">
        <f>INDEX('MEC - traffic congestion'!$M$145:$M$249,MATCH($D3101,'MEC - traffic congestion'!$C$145:$C$249,0))</f>
        <v>1</v>
      </c>
      <c r="P3101" t="str">
        <f t="shared" si="140"/>
        <v>2021AM PEAK</v>
      </c>
      <c r="Q3101">
        <f t="shared" si="141"/>
        <v>1</v>
      </c>
      <c r="R3101" s="195" t="str">
        <f t="shared" si="142"/>
        <v>2021LIGHT VEHICLES</v>
      </c>
    </row>
    <row r="3102" spans="3:18" x14ac:dyDescent="0.25">
      <c r="C3102" s="294" t="s">
        <v>969</v>
      </c>
      <c r="D3102" s="317" t="s">
        <v>731</v>
      </c>
      <c r="E3102" s="122" t="s">
        <v>806</v>
      </c>
      <c r="F3102" s="122" t="s">
        <v>837</v>
      </c>
      <c r="G3102" s="122" t="s">
        <v>786</v>
      </c>
      <c r="H3102" s="122" t="s">
        <v>777</v>
      </c>
      <c r="I3102" s="312">
        <v>2021</v>
      </c>
      <c r="J3102" s="122" t="s">
        <v>709</v>
      </c>
      <c r="K3102" s="283">
        <v>3964</v>
      </c>
      <c r="L3102" s="318">
        <v>-33.819687000000002</v>
      </c>
      <c r="M3102" s="318">
        <v>151.11741599999999</v>
      </c>
      <c r="O3102">
        <f>INDEX('MEC - traffic congestion'!$M$145:$M$249,MATCH($D3102,'MEC - traffic congestion'!$C$145:$C$249,0))</f>
        <v>1</v>
      </c>
      <c r="P3102" t="str">
        <f t="shared" si="140"/>
        <v>2021AM PEAK</v>
      </c>
      <c r="Q3102">
        <f t="shared" si="141"/>
        <v>1</v>
      </c>
      <c r="R3102" s="195" t="str">
        <f t="shared" si="142"/>
        <v>2021LIGHT VEHICLES</v>
      </c>
    </row>
    <row r="3103" spans="3:18" x14ac:dyDescent="0.25">
      <c r="C3103" s="294" t="s">
        <v>969</v>
      </c>
      <c r="D3103" s="317" t="s">
        <v>731</v>
      </c>
      <c r="E3103" s="122" t="s">
        <v>806</v>
      </c>
      <c r="F3103" s="122" t="s">
        <v>837</v>
      </c>
      <c r="G3103" s="122" t="s">
        <v>785</v>
      </c>
      <c r="H3103" s="122" t="s">
        <v>777</v>
      </c>
      <c r="I3103" s="312">
        <v>2021</v>
      </c>
      <c r="J3103" s="122" t="s">
        <v>710</v>
      </c>
      <c r="K3103" s="283">
        <v>10582</v>
      </c>
      <c r="L3103" s="318">
        <v>-33.819687000000002</v>
      </c>
      <c r="M3103" s="318">
        <v>151.11741599999999</v>
      </c>
      <c r="O3103">
        <f>INDEX('MEC - traffic congestion'!$M$145:$M$249,MATCH($D3103,'MEC - traffic congestion'!$C$145:$C$249,0))</f>
        <v>1</v>
      </c>
      <c r="P3103" t="str">
        <f t="shared" si="140"/>
        <v>2021OFF PEAK</v>
      </c>
      <c r="Q3103">
        <f t="shared" si="141"/>
        <v>1</v>
      </c>
      <c r="R3103" s="195" t="str">
        <f t="shared" si="142"/>
        <v>2021LIGHT VEHICLES</v>
      </c>
    </row>
    <row r="3104" spans="3:18" x14ac:dyDescent="0.25">
      <c r="C3104" s="294" t="s">
        <v>969</v>
      </c>
      <c r="D3104" s="317" t="s">
        <v>731</v>
      </c>
      <c r="E3104" s="122" t="s">
        <v>806</v>
      </c>
      <c r="F3104" s="122" t="s">
        <v>837</v>
      </c>
      <c r="G3104" s="122" t="s">
        <v>786</v>
      </c>
      <c r="H3104" s="122" t="s">
        <v>777</v>
      </c>
      <c r="I3104" s="312">
        <v>2021</v>
      </c>
      <c r="J3104" s="122" t="s">
        <v>710</v>
      </c>
      <c r="K3104" s="283">
        <v>9915</v>
      </c>
      <c r="L3104" s="318">
        <v>-33.819687000000002</v>
      </c>
      <c r="M3104" s="318">
        <v>151.11741599999999</v>
      </c>
      <c r="O3104">
        <f>INDEX('MEC - traffic congestion'!$M$145:$M$249,MATCH($D3104,'MEC - traffic congestion'!$C$145:$C$249,0))</f>
        <v>1</v>
      </c>
      <c r="P3104" t="str">
        <f t="shared" si="140"/>
        <v>2021OFF PEAK</v>
      </c>
      <c r="Q3104">
        <f t="shared" si="141"/>
        <v>1</v>
      </c>
      <c r="R3104" s="195" t="str">
        <f t="shared" si="142"/>
        <v>2021LIGHT VEHICLES</v>
      </c>
    </row>
    <row r="3105" spans="3:18" x14ac:dyDescent="0.25">
      <c r="C3105" s="294" t="s">
        <v>969</v>
      </c>
      <c r="D3105" s="317" t="s">
        <v>731</v>
      </c>
      <c r="E3105" s="122" t="s">
        <v>806</v>
      </c>
      <c r="F3105" s="122" t="s">
        <v>837</v>
      </c>
      <c r="G3105" s="122" t="s">
        <v>785</v>
      </c>
      <c r="H3105" s="122" t="s">
        <v>777</v>
      </c>
      <c r="I3105" s="312">
        <v>2021</v>
      </c>
      <c r="J3105" s="122" t="s">
        <v>711</v>
      </c>
      <c r="K3105" s="283">
        <v>5999</v>
      </c>
      <c r="L3105" s="318">
        <v>-33.819687000000002</v>
      </c>
      <c r="M3105" s="318">
        <v>151.11741599999999</v>
      </c>
      <c r="O3105">
        <f>INDEX('MEC - traffic congestion'!$M$145:$M$249,MATCH($D3105,'MEC - traffic congestion'!$C$145:$C$249,0))</f>
        <v>1</v>
      </c>
      <c r="P3105" t="str">
        <f t="shared" si="140"/>
        <v>2021PM PEAK</v>
      </c>
      <c r="Q3105">
        <f t="shared" si="141"/>
        <v>1</v>
      </c>
      <c r="R3105" s="195" t="str">
        <f t="shared" si="142"/>
        <v>2021LIGHT VEHICLES</v>
      </c>
    </row>
    <row r="3106" spans="3:18" x14ac:dyDescent="0.25">
      <c r="C3106" s="294" t="s">
        <v>969</v>
      </c>
      <c r="D3106" s="317" t="s">
        <v>731</v>
      </c>
      <c r="E3106" s="122" t="s">
        <v>806</v>
      </c>
      <c r="F3106" s="122" t="s">
        <v>837</v>
      </c>
      <c r="G3106" s="122" t="s">
        <v>786</v>
      </c>
      <c r="H3106" s="122" t="s">
        <v>777</v>
      </c>
      <c r="I3106" s="312">
        <v>2021</v>
      </c>
      <c r="J3106" s="122" t="s">
        <v>711</v>
      </c>
      <c r="K3106" s="283">
        <v>5627</v>
      </c>
      <c r="L3106" s="318">
        <v>-33.819687000000002</v>
      </c>
      <c r="M3106" s="318">
        <v>151.11741599999999</v>
      </c>
      <c r="O3106">
        <f>INDEX('MEC - traffic congestion'!$M$145:$M$249,MATCH($D3106,'MEC - traffic congestion'!$C$145:$C$249,0))</f>
        <v>1</v>
      </c>
      <c r="P3106" t="str">
        <f t="shared" si="140"/>
        <v>2021PM PEAK</v>
      </c>
      <c r="Q3106">
        <f t="shared" si="141"/>
        <v>1</v>
      </c>
      <c r="R3106" s="195" t="str">
        <f t="shared" si="142"/>
        <v>2021LIGHT VEHICLES</v>
      </c>
    </row>
    <row r="3107" spans="3:18" x14ac:dyDescent="0.25">
      <c r="C3107" s="294" t="s">
        <v>969</v>
      </c>
      <c r="D3107" s="317" t="s">
        <v>731</v>
      </c>
      <c r="E3107" s="122" t="s">
        <v>806</v>
      </c>
      <c r="F3107" s="122" t="s">
        <v>837</v>
      </c>
      <c r="G3107" s="122" t="s">
        <v>785</v>
      </c>
      <c r="H3107" s="122" t="s">
        <v>777</v>
      </c>
      <c r="I3107" s="312">
        <v>2021</v>
      </c>
      <c r="J3107" s="122" t="s">
        <v>713</v>
      </c>
      <c r="K3107" s="283">
        <v>20053</v>
      </c>
      <c r="L3107" s="318">
        <v>-33.819687000000002</v>
      </c>
      <c r="M3107" s="318">
        <v>151.11741599999999</v>
      </c>
      <c r="O3107">
        <f>INDEX('MEC - traffic congestion'!$M$145:$M$249,MATCH($D3107,'MEC - traffic congestion'!$C$145:$C$249,0))</f>
        <v>1</v>
      </c>
      <c r="P3107" t="str">
        <f t="shared" si="140"/>
        <v>2021WEEKENDS</v>
      </c>
      <c r="Q3107">
        <f t="shared" si="141"/>
        <v>1</v>
      </c>
      <c r="R3107" s="195" t="str">
        <f t="shared" si="142"/>
        <v>2021LIGHT VEHICLES</v>
      </c>
    </row>
    <row r="3108" spans="3:18" x14ac:dyDescent="0.25">
      <c r="C3108" s="294" t="s">
        <v>969</v>
      </c>
      <c r="D3108" s="317" t="s">
        <v>731</v>
      </c>
      <c r="E3108" s="122" t="s">
        <v>806</v>
      </c>
      <c r="F3108" s="122" t="s">
        <v>837</v>
      </c>
      <c r="G3108" s="122" t="s">
        <v>786</v>
      </c>
      <c r="H3108" s="122" t="s">
        <v>777</v>
      </c>
      <c r="I3108" s="312">
        <v>2021</v>
      </c>
      <c r="J3108" s="122" t="s">
        <v>713</v>
      </c>
      <c r="K3108" s="283">
        <v>18016</v>
      </c>
      <c r="L3108" s="318">
        <v>-33.819687000000002</v>
      </c>
      <c r="M3108" s="318">
        <v>151.11741599999999</v>
      </c>
      <c r="O3108">
        <f>INDEX('MEC - traffic congestion'!$M$145:$M$249,MATCH($D3108,'MEC - traffic congestion'!$C$145:$C$249,0))</f>
        <v>1</v>
      </c>
      <c r="P3108" t="str">
        <f t="shared" si="140"/>
        <v>2021WEEKENDS</v>
      </c>
      <c r="Q3108">
        <f t="shared" si="141"/>
        <v>1</v>
      </c>
      <c r="R3108" s="195" t="str">
        <f t="shared" si="142"/>
        <v>2021LIGHT VEHICLES</v>
      </c>
    </row>
    <row r="3109" spans="3:18" x14ac:dyDescent="0.25">
      <c r="C3109" s="294" t="s">
        <v>969</v>
      </c>
      <c r="D3109" s="317" t="s">
        <v>731</v>
      </c>
      <c r="E3109" s="122" t="s">
        <v>806</v>
      </c>
      <c r="F3109" s="122" t="s">
        <v>837</v>
      </c>
      <c r="G3109" s="122" t="s">
        <v>785</v>
      </c>
      <c r="H3109" s="122" t="s">
        <v>777</v>
      </c>
      <c r="I3109" s="312">
        <v>2022</v>
      </c>
      <c r="J3109" s="122" t="s">
        <v>709</v>
      </c>
      <c r="K3109" s="283">
        <v>6836</v>
      </c>
      <c r="L3109" s="318">
        <v>-33.819687000000002</v>
      </c>
      <c r="M3109" s="318">
        <v>151.11741599999999</v>
      </c>
      <c r="O3109">
        <f>INDEX('MEC - traffic congestion'!$M$145:$M$249,MATCH($D3109,'MEC - traffic congestion'!$C$145:$C$249,0))</f>
        <v>1</v>
      </c>
      <c r="P3109" t="str">
        <f t="shared" si="140"/>
        <v>2022AM PEAK</v>
      </c>
      <c r="Q3109">
        <f t="shared" si="141"/>
        <v>1</v>
      </c>
      <c r="R3109" s="195" t="str">
        <f t="shared" si="142"/>
        <v>2022LIGHT VEHICLES</v>
      </c>
    </row>
    <row r="3110" spans="3:18" x14ac:dyDescent="0.25">
      <c r="C3110" s="294" t="s">
        <v>969</v>
      </c>
      <c r="D3110" s="317" t="s">
        <v>731</v>
      </c>
      <c r="E3110" s="122" t="s">
        <v>806</v>
      </c>
      <c r="F3110" s="122" t="s">
        <v>837</v>
      </c>
      <c r="G3110" s="122" t="s">
        <v>786</v>
      </c>
      <c r="H3110" s="122" t="s">
        <v>777</v>
      </c>
      <c r="I3110" s="312">
        <v>2022</v>
      </c>
      <c r="J3110" s="122" t="s">
        <v>709</v>
      </c>
      <c r="K3110" s="283">
        <v>4032</v>
      </c>
      <c r="L3110" s="318">
        <v>-33.819687000000002</v>
      </c>
      <c r="M3110" s="318">
        <v>151.11741599999999</v>
      </c>
      <c r="O3110">
        <f>INDEX('MEC - traffic congestion'!$M$145:$M$249,MATCH($D3110,'MEC - traffic congestion'!$C$145:$C$249,0))</f>
        <v>1</v>
      </c>
      <c r="P3110" t="str">
        <f t="shared" si="140"/>
        <v>2022AM PEAK</v>
      </c>
      <c r="Q3110">
        <f t="shared" si="141"/>
        <v>1</v>
      </c>
      <c r="R3110" s="195" t="str">
        <f t="shared" si="142"/>
        <v>2022LIGHT VEHICLES</v>
      </c>
    </row>
    <row r="3111" spans="3:18" x14ac:dyDescent="0.25">
      <c r="C3111" s="294" t="s">
        <v>969</v>
      </c>
      <c r="D3111" s="317" t="s">
        <v>731</v>
      </c>
      <c r="E3111" s="122" t="s">
        <v>806</v>
      </c>
      <c r="F3111" s="122" t="s">
        <v>837</v>
      </c>
      <c r="G3111" s="122" t="s">
        <v>785</v>
      </c>
      <c r="H3111" s="122" t="s">
        <v>777</v>
      </c>
      <c r="I3111" s="312">
        <v>2022</v>
      </c>
      <c r="J3111" s="122" t="s">
        <v>710</v>
      </c>
      <c r="K3111" s="283">
        <v>11311</v>
      </c>
      <c r="L3111" s="318">
        <v>-33.819687000000002</v>
      </c>
      <c r="M3111" s="318">
        <v>151.11741599999999</v>
      </c>
      <c r="O3111">
        <f>INDEX('MEC - traffic congestion'!$M$145:$M$249,MATCH($D3111,'MEC - traffic congestion'!$C$145:$C$249,0))</f>
        <v>1</v>
      </c>
      <c r="P3111" t="str">
        <f t="shared" si="140"/>
        <v>2022OFF PEAK</v>
      </c>
      <c r="Q3111">
        <f t="shared" si="141"/>
        <v>1</v>
      </c>
      <c r="R3111" s="195" t="str">
        <f t="shared" si="142"/>
        <v>2022LIGHT VEHICLES</v>
      </c>
    </row>
    <row r="3112" spans="3:18" x14ac:dyDescent="0.25">
      <c r="C3112" s="294" t="s">
        <v>969</v>
      </c>
      <c r="D3112" s="317" t="s">
        <v>731</v>
      </c>
      <c r="E3112" s="122" t="s">
        <v>806</v>
      </c>
      <c r="F3112" s="122" t="s">
        <v>837</v>
      </c>
      <c r="G3112" s="122" t="s">
        <v>786</v>
      </c>
      <c r="H3112" s="122" t="s">
        <v>777</v>
      </c>
      <c r="I3112" s="312">
        <v>2022</v>
      </c>
      <c r="J3112" s="122" t="s">
        <v>710</v>
      </c>
      <c r="K3112" s="283">
        <v>10966</v>
      </c>
      <c r="L3112" s="318">
        <v>-33.819687000000002</v>
      </c>
      <c r="M3112" s="318">
        <v>151.11741599999999</v>
      </c>
      <c r="O3112">
        <f>INDEX('MEC - traffic congestion'!$M$145:$M$249,MATCH($D3112,'MEC - traffic congestion'!$C$145:$C$249,0))</f>
        <v>1</v>
      </c>
      <c r="P3112" t="str">
        <f t="shared" si="140"/>
        <v>2022OFF PEAK</v>
      </c>
      <c r="Q3112">
        <f t="shared" si="141"/>
        <v>1</v>
      </c>
      <c r="R3112" s="195" t="str">
        <f t="shared" si="142"/>
        <v>2022LIGHT VEHICLES</v>
      </c>
    </row>
    <row r="3113" spans="3:18" x14ac:dyDescent="0.25">
      <c r="C3113" s="294" t="s">
        <v>969</v>
      </c>
      <c r="D3113" s="317" t="s">
        <v>731</v>
      </c>
      <c r="E3113" s="122" t="s">
        <v>806</v>
      </c>
      <c r="F3113" s="122" t="s">
        <v>837</v>
      </c>
      <c r="G3113" s="122" t="s">
        <v>785</v>
      </c>
      <c r="H3113" s="122" t="s">
        <v>777</v>
      </c>
      <c r="I3113" s="312">
        <v>2022</v>
      </c>
      <c r="J3113" s="122" t="s">
        <v>711</v>
      </c>
      <c r="K3113" s="283">
        <v>6173</v>
      </c>
      <c r="L3113" s="318">
        <v>-33.819687000000002</v>
      </c>
      <c r="M3113" s="318">
        <v>151.11741599999999</v>
      </c>
      <c r="O3113">
        <f>INDEX('MEC - traffic congestion'!$M$145:$M$249,MATCH($D3113,'MEC - traffic congestion'!$C$145:$C$249,0))</f>
        <v>1</v>
      </c>
      <c r="P3113" t="str">
        <f t="shared" si="140"/>
        <v>2022PM PEAK</v>
      </c>
      <c r="Q3113">
        <f t="shared" si="141"/>
        <v>1</v>
      </c>
      <c r="R3113" s="195" t="str">
        <f t="shared" si="142"/>
        <v>2022LIGHT VEHICLES</v>
      </c>
    </row>
    <row r="3114" spans="3:18" x14ac:dyDescent="0.25">
      <c r="C3114" s="294" t="s">
        <v>969</v>
      </c>
      <c r="D3114" s="317" t="s">
        <v>731</v>
      </c>
      <c r="E3114" s="122" t="s">
        <v>806</v>
      </c>
      <c r="F3114" s="122" t="s">
        <v>837</v>
      </c>
      <c r="G3114" s="122" t="s">
        <v>786</v>
      </c>
      <c r="H3114" s="122" t="s">
        <v>777</v>
      </c>
      <c r="I3114" s="312">
        <v>2022</v>
      </c>
      <c r="J3114" s="122" t="s">
        <v>711</v>
      </c>
      <c r="K3114" s="283">
        <v>5870</v>
      </c>
      <c r="L3114" s="318">
        <v>-33.819687000000002</v>
      </c>
      <c r="M3114" s="318">
        <v>151.11741599999999</v>
      </c>
      <c r="O3114">
        <f>INDEX('MEC - traffic congestion'!$M$145:$M$249,MATCH($D3114,'MEC - traffic congestion'!$C$145:$C$249,0))</f>
        <v>1</v>
      </c>
      <c r="P3114" t="str">
        <f t="shared" si="140"/>
        <v>2022PM PEAK</v>
      </c>
      <c r="Q3114">
        <f t="shared" si="141"/>
        <v>1</v>
      </c>
      <c r="R3114" s="195" t="str">
        <f t="shared" si="142"/>
        <v>2022LIGHT VEHICLES</v>
      </c>
    </row>
    <row r="3115" spans="3:18" x14ac:dyDescent="0.25">
      <c r="C3115" s="294" t="s">
        <v>969</v>
      </c>
      <c r="D3115" s="317" t="s">
        <v>731</v>
      </c>
      <c r="E3115" s="122" t="s">
        <v>806</v>
      </c>
      <c r="F3115" s="122" t="s">
        <v>837</v>
      </c>
      <c r="G3115" s="122" t="s">
        <v>785</v>
      </c>
      <c r="H3115" s="122" t="s">
        <v>777</v>
      </c>
      <c r="I3115" s="312">
        <v>2022</v>
      </c>
      <c r="J3115" s="122" t="s">
        <v>713</v>
      </c>
      <c r="K3115" s="283">
        <v>22414</v>
      </c>
      <c r="L3115" s="318">
        <v>-33.819687000000002</v>
      </c>
      <c r="M3115" s="318">
        <v>151.11741599999999</v>
      </c>
      <c r="O3115">
        <f>INDEX('MEC - traffic congestion'!$M$145:$M$249,MATCH($D3115,'MEC - traffic congestion'!$C$145:$C$249,0))</f>
        <v>1</v>
      </c>
      <c r="P3115" t="str">
        <f t="shared" si="140"/>
        <v>2022WEEKENDS</v>
      </c>
      <c r="Q3115">
        <f t="shared" si="141"/>
        <v>1</v>
      </c>
      <c r="R3115" s="195" t="str">
        <f t="shared" si="142"/>
        <v>2022LIGHT VEHICLES</v>
      </c>
    </row>
    <row r="3116" spans="3:18" x14ac:dyDescent="0.25">
      <c r="C3116" s="294" t="s">
        <v>969</v>
      </c>
      <c r="D3116" s="317" t="s">
        <v>731</v>
      </c>
      <c r="E3116" s="122" t="s">
        <v>806</v>
      </c>
      <c r="F3116" s="122" t="s">
        <v>837</v>
      </c>
      <c r="G3116" s="122" t="s">
        <v>786</v>
      </c>
      <c r="H3116" s="122" t="s">
        <v>777</v>
      </c>
      <c r="I3116" s="312">
        <v>2022</v>
      </c>
      <c r="J3116" s="122" t="s">
        <v>713</v>
      </c>
      <c r="K3116" s="283">
        <v>20542</v>
      </c>
      <c r="L3116" s="318">
        <v>-33.819687000000002</v>
      </c>
      <c r="M3116" s="318">
        <v>151.11741599999999</v>
      </c>
      <c r="O3116">
        <f>INDEX('MEC - traffic congestion'!$M$145:$M$249,MATCH($D3116,'MEC - traffic congestion'!$C$145:$C$249,0))</f>
        <v>1</v>
      </c>
      <c r="P3116" t="str">
        <f t="shared" si="140"/>
        <v>2022WEEKENDS</v>
      </c>
      <c r="Q3116">
        <f t="shared" si="141"/>
        <v>1</v>
      </c>
      <c r="R3116" s="195" t="str">
        <f t="shared" si="142"/>
        <v>2022LIGHT VEHICLES</v>
      </c>
    </row>
    <row r="3117" spans="3:18" x14ac:dyDescent="0.25">
      <c r="C3117" s="294" t="s">
        <v>969</v>
      </c>
      <c r="D3117" s="317" t="s">
        <v>731</v>
      </c>
      <c r="E3117" s="122" t="s">
        <v>806</v>
      </c>
      <c r="F3117" s="122" t="s">
        <v>837</v>
      </c>
      <c r="G3117" s="122" t="s">
        <v>785</v>
      </c>
      <c r="H3117" s="122" t="s">
        <v>777</v>
      </c>
      <c r="I3117" s="312">
        <v>2023</v>
      </c>
      <c r="J3117" s="122" t="s">
        <v>709</v>
      </c>
      <c r="K3117" s="283">
        <v>6948</v>
      </c>
      <c r="L3117" s="318">
        <v>-33.819687000000002</v>
      </c>
      <c r="M3117" s="318">
        <v>151.11741599999999</v>
      </c>
      <c r="O3117">
        <f>INDEX('MEC - traffic congestion'!$M$145:$M$249,MATCH($D3117,'MEC - traffic congestion'!$C$145:$C$249,0))</f>
        <v>1</v>
      </c>
      <c r="P3117" t="str">
        <f t="shared" si="140"/>
        <v>2023AM PEAK</v>
      </c>
      <c r="Q3117">
        <f t="shared" si="141"/>
        <v>1</v>
      </c>
      <c r="R3117" s="195" t="str">
        <f t="shared" si="142"/>
        <v>2023LIGHT VEHICLES</v>
      </c>
    </row>
    <row r="3118" spans="3:18" x14ac:dyDescent="0.25">
      <c r="C3118" s="294" t="s">
        <v>969</v>
      </c>
      <c r="D3118" s="317" t="s">
        <v>731</v>
      </c>
      <c r="E3118" s="122" t="s">
        <v>806</v>
      </c>
      <c r="F3118" s="122" t="s">
        <v>837</v>
      </c>
      <c r="G3118" s="122" t="s">
        <v>786</v>
      </c>
      <c r="H3118" s="122" t="s">
        <v>777</v>
      </c>
      <c r="I3118" s="312">
        <v>2023</v>
      </c>
      <c r="J3118" s="122" t="s">
        <v>709</v>
      </c>
      <c r="K3118" s="283">
        <v>3975</v>
      </c>
      <c r="L3118" s="318">
        <v>-33.819687000000002</v>
      </c>
      <c r="M3118" s="318">
        <v>151.11741599999999</v>
      </c>
      <c r="O3118">
        <f>INDEX('MEC - traffic congestion'!$M$145:$M$249,MATCH($D3118,'MEC - traffic congestion'!$C$145:$C$249,0))</f>
        <v>1</v>
      </c>
      <c r="P3118" t="str">
        <f t="shared" si="140"/>
        <v>2023AM PEAK</v>
      </c>
      <c r="Q3118">
        <f t="shared" si="141"/>
        <v>1</v>
      </c>
      <c r="R3118" s="195" t="str">
        <f t="shared" si="142"/>
        <v>2023LIGHT VEHICLES</v>
      </c>
    </row>
    <row r="3119" spans="3:18" x14ac:dyDescent="0.25">
      <c r="C3119" s="294" t="s">
        <v>969</v>
      </c>
      <c r="D3119" s="317" t="s">
        <v>731</v>
      </c>
      <c r="E3119" s="122" t="s">
        <v>806</v>
      </c>
      <c r="F3119" s="122" t="s">
        <v>837</v>
      </c>
      <c r="G3119" s="122" t="s">
        <v>785</v>
      </c>
      <c r="H3119" s="122" t="s">
        <v>777</v>
      </c>
      <c r="I3119" s="312">
        <v>2023</v>
      </c>
      <c r="J3119" s="122" t="s">
        <v>710</v>
      </c>
      <c r="K3119" s="283">
        <v>11698</v>
      </c>
      <c r="L3119" s="318">
        <v>-33.819687000000002</v>
      </c>
      <c r="M3119" s="318">
        <v>151.11741599999999</v>
      </c>
      <c r="O3119">
        <f>INDEX('MEC - traffic congestion'!$M$145:$M$249,MATCH($D3119,'MEC - traffic congestion'!$C$145:$C$249,0))</f>
        <v>1</v>
      </c>
      <c r="P3119" t="str">
        <f t="shared" si="140"/>
        <v>2023OFF PEAK</v>
      </c>
      <c r="Q3119">
        <f t="shared" si="141"/>
        <v>1</v>
      </c>
      <c r="R3119" s="195" t="str">
        <f t="shared" si="142"/>
        <v>2023LIGHT VEHICLES</v>
      </c>
    </row>
    <row r="3120" spans="3:18" x14ac:dyDescent="0.25">
      <c r="C3120" s="294" t="s">
        <v>969</v>
      </c>
      <c r="D3120" s="317" t="s">
        <v>731</v>
      </c>
      <c r="E3120" s="122" t="s">
        <v>806</v>
      </c>
      <c r="F3120" s="122" t="s">
        <v>837</v>
      </c>
      <c r="G3120" s="122" t="s">
        <v>786</v>
      </c>
      <c r="H3120" s="122" t="s">
        <v>777</v>
      </c>
      <c r="I3120" s="312">
        <v>2023</v>
      </c>
      <c r="J3120" s="122" t="s">
        <v>710</v>
      </c>
      <c r="K3120" s="283">
        <v>10919</v>
      </c>
      <c r="L3120" s="318">
        <v>-33.819687000000002</v>
      </c>
      <c r="M3120" s="318">
        <v>151.11741599999999</v>
      </c>
      <c r="O3120">
        <f>INDEX('MEC - traffic congestion'!$M$145:$M$249,MATCH($D3120,'MEC - traffic congestion'!$C$145:$C$249,0))</f>
        <v>1</v>
      </c>
      <c r="P3120" t="str">
        <f t="shared" si="140"/>
        <v>2023OFF PEAK</v>
      </c>
      <c r="Q3120">
        <f t="shared" si="141"/>
        <v>1</v>
      </c>
      <c r="R3120" s="195" t="str">
        <f t="shared" si="142"/>
        <v>2023LIGHT VEHICLES</v>
      </c>
    </row>
    <row r="3121" spans="3:18" x14ac:dyDescent="0.25">
      <c r="C3121" s="294" t="s">
        <v>969</v>
      </c>
      <c r="D3121" s="317" t="s">
        <v>731</v>
      </c>
      <c r="E3121" s="122" t="s">
        <v>806</v>
      </c>
      <c r="F3121" s="122" t="s">
        <v>837</v>
      </c>
      <c r="G3121" s="122" t="s">
        <v>785</v>
      </c>
      <c r="H3121" s="122" t="s">
        <v>777</v>
      </c>
      <c r="I3121" s="312">
        <v>2023</v>
      </c>
      <c r="J3121" s="122" t="s">
        <v>711</v>
      </c>
      <c r="K3121" s="283">
        <v>6390</v>
      </c>
      <c r="L3121" s="318">
        <v>-33.819687000000002</v>
      </c>
      <c r="M3121" s="318">
        <v>151.11741599999999</v>
      </c>
      <c r="O3121">
        <f>INDEX('MEC - traffic congestion'!$M$145:$M$249,MATCH($D3121,'MEC - traffic congestion'!$C$145:$C$249,0))</f>
        <v>1</v>
      </c>
      <c r="P3121" t="str">
        <f t="shared" si="140"/>
        <v>2023PM PEAK</v>
      </c>
      <c r="Q3121">
        <f t="shared" si="141"/>
        <v>1</v>
      </c>
      <c r="R3121" s="195" t="str">
        <f t="shared" si="142"/>
        <v>2023LIGHT VEHICLES</v>
      </c>
    </row>
    <row r="3122" spans="3:18" x14ac:dyDescent="0.25">
      <c r="C3122" s="294" t="s">
        <v>969</v>
      </c>
      <c r="D3122" s="317" t="s">
        <v>731</v>
      </c>
      <c r="E3122" s="122" t="s">
        <v>806</v>
      </c>
      <c r="F3122" s="122" t="s">
        <v>837</v>
      </c>
      <c r="G3122" s="122" t="s">
        <v>786</v>
      </c>
      <c r="H3122" s="122" t="s">
        <v>777</v>
      </c>
      <c r="I3122" s="312">
        <v>2023</v>
      </c>
      <c r="J3122" s="122" t="s">
        <v>711</v>
      </c>
      <c r="K3122" s="283">
        <v>5576</v>
      </c>
      <c r="L3122" s="318">
        <v>-33.819687000000002</v>
      </c>
      <c r="M3122" s="318">
        <v>151.11741599999999</v>
      </c>
      <c r="O3122">
        <f>INDEX('MEC - traffic congestion'!$M$145:$M$249,MATCH($D3122,'MEC - traffic congestion'!$C$145:$C$249,0))</f>
        <v>1</v>
      </c>
      <c r="P3122" t="str">
        <f t="shared" si="140"/>
        <v>2023PM PEAK</v>
      </c>
      <c r="Q3122">
        <f t="shared" si="141"/>
        <v>1</v>
      </c>
      <c r="R3122" s="195" t="str">
        <f t="shared" si="142"/>
        <v>2023LIGHT VEHICLES</v>
      </c>
    </row>
    <row r="3123" spans="3:18" x14ac:dyDescent="0.25">
      <c r="C3123" s="294" t="s">
        <v>969</v>
      </c>
      <c r="D3123" s="317" t="s">
        <v>731</v>
      </c>
      <c r="E3123" s="122" t="s">
        <v>806</v>
      </c>
      <c r="F3123" s="122" t="s">
        <v>837</v>
      </c>
      <c r="G3123" s="122" t="s">
        <v>785</v>
      </c>
      <c r="H3123" s="122" t="s">
        <v>777</v>
      </c>
      <c r="I3123" s="312">
        <v>2023</v>
      </c>
      <c r="J3123" s="122" t="s">
        <v>713</v>
      </c>
      <c r="K3123" s="283">
        <v>23725</v>
      </c>
      <c r="L3123" s="318">
        <v>-33.819687000000002</v>
      </c>
      <c r="M3123" s="318">
        <v>151.11741599999999</v>
      </c>
      <c r="O3123">
        <f>INDEX('MEC - traffic congestion'!$M$145:$M$249,MATCH($D3123,'MEC - traffic congestion'!$C$145:$C$249,0))</f>
        <v>1</v>
      </c>
      <c r="P3123" t="str">
        <f t="shared" si="140"/>
        <v>2023WEEKENDS</v>
      </c>
      <c r="Q3123">
        <f t="shared" si="141"/>
        <v>1</v>
      </c>
      <c r="R3123" s="195" t="str">
        <f t="shared" si="142"/>
        <v>2023LIGHT VEHICLES</v>
      </c>
    </row>
    <row r="3124" spans="3:18" x14ac:dyDescent="0.25">
      <c r="C3124" s="294" t="s">
        <v>969</v>
      </c>
      <c r="D3124" s="317" t="s">
        <v>731</v>
      </c>
      <c r="E3124" s="122" t="s">
        <v>806</v>
      </c>
      <c r="F3124" s="122" t="s">
        <v>837</v>
      </c>
      <c r="G3124" s="122" t="s">
        <v>786</v>
      </c>
      <c r="H3124" s="122" t="s">
        <v>777</v>
      </c>
      <c r="I3124" s="312">
        <v>2023</v>
      </c>
      <c r="J3124" s="122" t="s">
        <v>713</v>
      </c>
      <c r="K3124" s="283">
        <v>20992</v>
      </c>
      <c r="L3124" s="318">
        <v>-33.819687000000002</v>
      </c>
      <c r="M3124" s="318">
        <v>151.11741599999999</v>
      </c>
      <c r="O3124">
        <f>INDEX('MEC - traffic congestion'!$M$145:$M$249,MATCH($D3124,'MEC - traffic congestion'!$C$145:$C$249,0))</f>
        <v>1</v>
      </c>
      <c r="P3124" t="str">
        <f t="shared" si="140"/>
        <v>2023WEEKENDS</v>
      </c>
      <c r="Q3124">
        <f t="shared" si="141"/>
        <v>1</v>
      </c>
      <c r="R3124" s="195" t="str">
        <f t="shared" si="142"/>
        <v>2023LIGHT VEHICLES</v>
      </c>
    </row>
    <row r="3125" spans="3:18" x14ac:dyDescent="0.25">
      <c r="C3125" s="294" t="s">
        <v>969</v>
      </c>
      <c r="D3125" s="317" t="s">
        <v>731</v>
      </c>
      <c r="E3125" s="122" t="s">
        <v>806</v>
      </c>
      <c r="F3125" s="122" t="s">
        <v>837</v>
      </c>
      <c r="G3125" s="122" t="s">
        <v>785</v>
      </c>
      <c r="H3125" s="122" t="s">
        <v>777</v>
      </c>
      <c r="I3125" s="312">
        <v>2024</v>
      </c>
      <c r="J3125" s="122" t="s">
        <v>709</v>
      </c>
      <c r="K3125" s="283">
        <v>6298</v>
      </c>
      <c r="L3125" s="318">
        <v>-33.819687000000002</v>
      </c>
      <c r="M3125" s="318">
        <v>151.11741599999999</v>
      </c>
      <c r="O3125">
        <f>INDEX('MEC - traffic congestion'!$M$145:$M$249,MATCH($D3125,'MEC - traffic congestion'!$C$145:$C$249,0))</f>
        <v>1</v>
      </c>
      <c r="P3125" t="str">
        <f t="shared" si="140"/>
        <v>2024AM PEAK</v>
      </c>
      <c r="Q3125">
        <f t="shared" si="141"/>
        <v>1</v>
      </c>
      <c r="R3125" s="195" t="str">
        <f t="shared" si="142"/>
        <v>2024LIGHT VEHICLES</v>
      </c>
    </row>
    <row r="3126" spans="3:18" x14ac:dyDescent="0.25">
      <c r="C3126" s="294" t="s">
        <v>969</v>
      </c>
      <c r="D3126" s="317" t="s">
        <v>731</v>
      </c>
      <c r="E3126" s="122" t="s">
        <v>806</v>
      </c>
      <c r="F3126" s="122" t="s">
        <v>837</v>
      </c>
      <c r="G3126" s="122" t="s">
        <v>785</v>
      </c>
      <c r="H3126" s="122" t="s">
        <v>777</v>
      </c>
      <c r="I3126" s="312">
        <v>2024</v>
      </c>
      <c r="J3126" s="122" t="s">
        <v>710</v>
      </c>
      <c r="K3126" s="283">
        <v>11838</v>
      </c>
      <c r="L3126" s="318">
        <v>-33.819687000000002</v>
      </c>
      <c r="M3126" s="318">
        <v>151.11741599999999</v>
      </c>
      <c r="O3126">
        <f>INDEX('MEC - traffic congestion'!$M$145:$M$249,MATCH($D3126,'MEC - traffic congestion'!$C$145:$C$249,0))</f>
        <v>1</v>
      </c>
      <c r="P3126" t="str">
        <f t="shared" si="140"/>
        <v>2024OFF PEAK</v>
      </c>
      <c r="Q3126">
        <f t="shared" si="141"/>
        <v>1</v>
      </c>
      <c r="R3126" s="195" t="str">
        <f t="shared" si="142"/>
        <v>2024LIGHT VEHICLES</v>
      </c>
    </row>
    <row r="3127" spans="3:18" x14ac:dyDescent="0.25">
      <c r="C3127" s="294" t="s">
        <v>969</v>
      </c>
      <c r="D3127" s="317" t="s">
        <v>731</v>
      </c>
      <c r="E3127" s="122" t="s">
        <v>806</v>
      </c>
      <c r="F3127" s="122" t="s">
        <v>837</v>
      </c>
      <c r="G3127" s="122" t="s">
        <v>785</v>
      </c>
      <c r="H3127" s="122" t="s">
        <v>777</v>
      </c>
      <c r="I3127" s="312">
        <v>2024</v>
      </c>
      <c r="J3127" s="122" t="s">
        <v>711</v>
      </c>
      <c r="K3127" s="283">
        <v>6349</v>
      </c>
      <c r="L3127" s="318">
        <v>-33.819687000000002</v>
      </c>
      <c r="M3127" s="318">
        <v>151.11741599999999</v>
      </c>
      <c r="O3127">
        <f>INDEX('MEC - traffic congestion'!$M$145:$M$249,MATCH($D3127,'MEC - traffic congestion'!$C$145:$C$249,0))</f>
        <v>1</v>
      </c>
      <c r="P3127" t="str">
        <f t="shared" si="140"/>
        <v>2024PM PEAK</v>
      </c>
      <c r="Q3127">
        <f t="shared" si="141"/>
        <v>1</v>
      </c>
      <c r="R3127" s="195" t="str">
        <f t="shared" si="142"/>
        <v>2024LIGHT VEHICLES</v>
      </c>
    </row>
    <row r="3128" spans="3:18" x14ac:dyDescent="0.25">
      <c r="C3128" s="294" t="s">
        <v>969</v>
      </c>
      <c r="D3128" s="317" t="s">
        <v>731</v>
      </c>
      <c r="E3128" s="122" t="s">
        <v>806</v>
      </c>
      <c r="F3128" s="122" t="s">
        <v>837</v>
      </c>
      <c r="G3128" s="122" t="s">
        <v>785</v>
      </c>
      <c r="H3128" s="122" t="s">
        <v>777</v>
      </c>
      <c r="I3128" s="312">
        <v>2024</v>
      </c>
      <c r="J3128" s="122" t="s">
        <v>713</v>
      </c>
      <c r="K3128" s="283">
        <v>23585</v>
      </c>
      <c r="L3128" s="318">
        <v>-33.819687000000002</v>
      </c>
      <c r="M3128" s="318">
        <v>151.11741599999999</v>
      </c>
      <c r="O3128">
        <f>INDEX('MEC - traffic congestion'!$M$145:$M$249,MATCH($D3128,'MEC - traffic congestion'!$C$145:$C$249,0))</f>
        <v>1</v>
      </c>
      <c r="P3128" t="str">
        <f t="shared" si="140"/>
        <v>2024WEEKENDS</v>
      </c>
      <c r="Q3128">
        <f t="shared" si="141"/>
        <v>1</v>
      </c>
      <c r="R3128" s="195" t="str">
        <f t="shared" si="142"/>
        <v>2024LIGHT VEHICLES</v>
      </c>
    </row>
    <row r="3129" spans="3:18" x14ac:dyDescent="0.25">
      <c r="C3129" s="294" t="s">
        <v>970</v>
      </c>
      <c r="D3129" s="317">
        <v>9849</v>
      </c>
      <c r="E3129" s="122" t="s">
        <v>971</v>
      </c>
      <c r="F3129" s="122" t="s">
        <v>972</v>
      </c>
      <c r="G3129" s="122" t="s">
        <v>776</v>
      </c>
      <c r="H3129" s="122" t="s">
        <v>777</v>
      </c>
      <c r="I3129" s="312">
        <v>2018</v>
      </c>
      <c r="J3129" s="122" t="s">
        <v>709</v>
      </c>
      <c r="K3129" s="283">
        <v>3291</v>
      </c>
      <c r="L3129" s="318">
        <v>-33.877974999999999</v>
      </c>
      <c r="M3129" s="318">
        <v>151.09318500000001</v>
      </c>
      <c r="O3129">
        <f>INDEX('MEC - traffic congestion'!$M$145:$M$249,MATCH($D3129,'MEC - traffic congestion'!$C$145:$C$249,0))</f>
        <v>1</v>
      </c>
      <c r="P3129" t="str">
        <f t="shared" si="140"/>
        <v>2018AM PEAK</v>
      </c>
      <c r="Q3129">
        <f t="shared" si="141"/>
        <v>1</v>
      </c>
      <c r="R3129" s="195" t="str">
        <f t="shared" si="142"/>
        <v>2018LIGHT VEHICLES</v>
      </c>
    </row>
    <row r="3130" spans="3:18" x14ac:dyDescent="0.25">
      <c r="C3130" s="294" t="s">
        <v>970</v>
      </c>
      <c r="D3130" s="317">
        <v>9849</v>
      </c>
      <c r="E3130" s="122" t="s">
        <v>971</v>
      </c>
      <c r="F3130" s="122" t="s">
        <v>972</v>
      </c>
      <c r="G3130" s="122" t="s">
        <v>778</v>
      </c>
      <c r="H3130" s="122" t="s">
        <v>777</v>
      </c>
      <c r="I3130" s="312">
        <v>2018</v>
      </c>
      <c r="J3130" s="122" t="s">
        <v>709</v>
      </c>
      <c r="K3130" s="283">
        <v>1905</v>
      </c>
      <c r="L3130" s="318">
        <v>-33.877974999999999</v>
      </c>
      <c r="M3130" s="318">
        <v>151.09318500000001</v>
      </c>
      <c r="O3130">
        <f>INDEX('MEC - traffic congestion'!$M$145:$M$249,MATCH($D3130,'MEC - traffic congestion'!$C$145:$C$249,0))</f>
        <v>1</v>
      </c>
      <c r="P3130" t="str">
        <f t="shared" si="140"/>
        <v>2018AM PEAK</v>
      </c>
      <c r="Q3130">
        <f t="shared" si="141"/>
        <v>1</v>
      </c>
      <c r="R3130" s="195" t="str">
        <f t="shared" si="142"/>
        <v>2018LIGHT VEHICLES</v>
      </c>
    </row>
    <row r="3131" spans="3:18" x14ac:dyDescent="0.25">
      <c r="C3131" s="294" t="s">
        <v>970</v>
      </c>
      <c r="D3131" s="317">
        <v>9849</v>
      </c>
      <c r="E3131" s="122" t="s">
        <v>971</v>
      </c>
      <c r="F3131" s="122" t="s">
        <v>972</v>
      </c>
      <c r="G3131" s="122" t="s">
        <v>776</v>
      </c>
      <c r="H3131" s="122" t="s">
        <v>777</v>
      </c>
      <c r="I3131" s="312">
        <v>2018</v>
      </c>
      <c r="J3131" s="122" t="s">
        <v>710</v>
      </c>
      <c r="K3131" s="283">
        <v>4386</v>
      </c>
      <c r="L3131" s="318">
        <v>-33.877974999999999</v>
      </c>
      <c r="M3131" s="318">
        <v>151.09318500000001</v>
      </c>
      <c r="O3131">
        <f>INDEX('MEC - traffic congestion'!$M$145:$M$249,MATCH($D3131,'MEC - traffic congestion'!$C$145:$C$249,0))</f>
        <v>1</v>
      </c>
      <c r="P3131" t="str">
        <f t="shared" si="140"/>
        <v>2018OFF PEAK</v>
      </c>
      <c r="Q3131">
        <f t="shared" si="141"/>
        <v>1</v>
      </c>
      <c r="R3131" s="195" t="str">
        <f t="shared" si="142"/>
        <v>2018LIGHT VEHICLES</v>
      </c>
    </row>
    <row r="3132" spans="3:18" x14ac:dyDescent="0.25">
      <c r="C3132" s="294" t="s">
        <v>970</v>
      </c>
      <c r="D3132" s="317">
        <v>9849</v>
      </c>
      <c r="E3132" s="122" t="s">
        <v>971</v>
      </c>
      <c r="F3132" s="122" t="s">
        <v>972</v>
      </c>
      <c r="G3132" s="122" t="s">
        <v>778</v>
      </c>
      <c r="H3132" s="122" t="s">
        <v>777</v>
      </c>
      <c r="I3132" s="312">
        <v>2018</v>
      </c>
      <c r="J3132" s="122" t="s">
        <v>710</v>
      </c>
      <c r="K3132" s="283">
        <v>4688</v>
      </c>
      <c r="L3132" s="318">
        <v>-33.877974999999999</v>
      </c>
      <c r="M3132" s="318">
        <v>151.09318500000001</v>
      </c>
      <c r="O3132">
        <f>INDEX('MEC - traffic congestion'!$M$145:$M$249,MATCH($D3132,'MEC - traffic congestion'!$C$145:$C$249,0))</f>
        <v>1</v>
      </c>
      <c r="P3132" t="str">
        <f t="shared" si="140"/>
        <v>2018OFF PEAK</v>
      </c>
      <c r="Q3132">
        <f t="shared" si="141"/>
        <v>1</v>
      </c>
      <c r="R3132" s="195" t="str">
        <f t="shared" si="142"/>
        <v>2018LIGHT VEHICLES</v>
      </c>
    </row>
    <row r="3133" spans="3:18" x14ac:dyDescent="0.25">
      <c r="C3133" s="294" t="s">
        <v>970</v>
      </c>
      <c r="D3133" s="317">
        <v>9849</v>
      </c>
      <c r="E3133" s="122" t="s">
        <v>971</v>
      </c>
      <c r="F3133" s="122" t="s">
        <v>972</v>
      </c>
      <c r="G3133" s="122" t="s">
        <v>776</v>
      </c>
      <c r="H3133" s="122" t="s">
        <v>777</v>
      </c>
      <c r="I3133" s="312">
        <v>2018</v>
      </c>
      <c r="J3133" s="122" t="s">
        <v>711</v>
      </c>
      <c r="K3133" s="283">
        <v>2556</v>
      </c>
      <c r="L3133" s="318">
        <v>-33.877974999999999</v>
      </c>
      <c r="M3133" s="318">
        <v>151.09318500000001</v>
      </c>
      <c r="O3133">
        <f>INDEX('MEC - traffic congestion'!$M$145:$M$249,MATCH($D3133,'MEC - traffic congestion'!$C$145:$C$249,0))</f>
        <v>1</v>
      </c>
      <c r="P3133" t="str">
        <f t="shared" si="140"/>
        <v>2018PM PEAK</v>
      </c>
      <c r="Q3133">
        <f t="shared" si="141"/>
        <v>1</v>
      </c>
      <c r="R3133" s="195" t="str">
        <f t="shared" si="142"/>
        <v>2018LIGHT VEHICLES</v>
      </c>
    </row>
    <row r="3134" spans="3:18" x14ac:dyDescent="0.25">
      <c r="C3134" s="294" t="s">
        <v>970</v>
      </c>
      <c r="D3134" s="317">
        <v>9849</v>
      </c>
      <c r="E3134" s="122" t="s">
        <v>971</v>
      </c>
      <c r="F3134" s="122" t="s">
        <v>972</v>
      </c>
      <c r="G3134" s="122" t="s">
        <v>778</v>
      </c>
      <c r="H3134" s="122" t="s">
        <v>777</v>
      </c>
      <c r="I3134" s="312">
        <v>2018</v>
      </c>
      <c r="J3134" s="122" t="s">
        <v>711</v>
      </c>
      <c r="K3134" s="283">
        <v>3512</v>
      </c>
      <c r="L3134" s="318">
        <v>-33.877974999999999</v>
      </c>
      <c r="M3134" s="318">
        <v>151.09318500000001</v>
      </c>
      <c r="O3134">
        <f>INDEX('MEC - traffic congestion'!$M$145:$M$249,MATCH($D3134,'MEC - traffic congestion'!$C$145:$C$249,0))</f>
        <v>1</v>
      </c>
      <c r="P3134" t="str">
        <f t="shared" si="140"/>
        <v>2018PM PEAK</v>
      </c>
      <c r="Q3134">
        <f t="shared" si="141"/>
        <v>1</v>
      </c>
      <c r="R3134" s="195" t="str">
        <f t="shared" si="142"/>
        <v>2018LIGHT VEHICLES</v>
      </c>
    </row>
    <row r="3135" spans="3:18" x14ac:dyDescent="0.25">
      <c r="C3135" s="294" t="s">
        <v>970</v>
      </c>
      <c r="D3135" s="317">
        <v>9849</v>
      </c>
      <c r="E3135" s="122" t="s">
        <v>971</v>
      </c>
      <c r="F3135" s="122" t="s">
        <v>972</v>
      </c>
      <c r="G3135" s="122" t="s">
        <v>776</v>
      </c>
      <c r="H3135" s="122" t="s">
        <v>777</v>
      </c>
      <c r="I3135" s="312">
        <v>2018</v>
      </c>
      <c r="J3135" s="122" t="s">
        <v>712</v>
      </c>
      <c r="K3135" s="283">
        <v>6880</v>
      </c>
      <c r="L3135" s="318">
        <v>-33.877974999999999</v>
      </c>
      <c r="M3135" s="318">
        <v>151.09318500000001</v>
      </c>
      <c r="O3135">
        <f>INDEX('MEC - traffic congestion'!$M$145:$M$249,MATCH($D3135,'MEC - traffic congestion'!$C$145:$C$249,0))</f>
        <v>1</v>
      </c>
      <c r="P3135" t="str">
        <f t="shared" si="140"/>
        <v>2018PUBLIC HOLIDAYS</v>
      </c>
      <c r="Q3135">
        <f t="shared" si="141"/>
        <v>1</v>
      </c>
      <c r="R3135" s="195" t="str">
        <f t="shared" si="142"/>
        <v>2018LIGHT VEHICLES</v>
      </c>
    </row>
    <row r="3136" spans="3:18" x14ac:dyDescent="0.25">
      <c r="C3136" s="294" t="s">
        <v>970</v>
      </c>
      <c r="D3136" s="317">
        <v>9849</v>
      </c>
      <c r="E3136" s="122" t="s">
        <v>971</v>
      </c>
      <c r="F3136" s="122" t="s">
        <v>972</v>
      </c>
      <c r="G3136" s="122" t="s">
        <v>778</v>
      </c>
      <c r="H3136" s="122" t="s">
        <v>777</v>
      </c>
      <c r="I3136" s="312">
        <v>2018</v>
      </c>
      <c r="J3136" s="122" t="s">
        <v>712</v>
      </c>
      <c r="K3136" s="283">
        <v>7221</v>
      </c>
      <c r="L3136" s="318">
        <v>-33.877974999999999</v>
      </c>
      <c r="M3136" s="318">
        <v>151.09318500000001</v>
      </c>
      <c r="O3136">
        <f>INDEX('MEC - traffic congestion'!$M$145:$M$249,MATCH($D3136,'MEC - traffic congestion'!$C$145:$C$249,0))</f>
        <v>1</v>
      </c>
      <c r="P3136" t="str">
        <f t="shared" si="140"/>
        <v>2018PUBLIC HOLIDAYS</v>
      </c>
      <c r="Q3136">
        <f t="shared" si="141"/>
        <v>1</v>
      </c>
      <c r="R3136" s="195" t="str">
        <f t="shared" si="142"/>
        <v>2018LIGHT VEHICLES</v>
      </c>
    </row>
    <row r="3137" spans="3:18" x14ac:dyDescent="0.25">
      <c r="C3137" s="294" t="s">
        <v>970</v>
      </c>
      <c r="D3137" s="317">
        <v>9849</v>
      </c>
      <c r="E3137" s="122" t="s">
        <v>971</v>
      </c>
      <c r="F3137" s="122" t="s">
        <v>972</v>
      </c>
      <c r="G3137" s="122" t="s">
        <v>776</v>
      </c>
      <c r="H3137" s="122" t="s">
        <v>777</v>
      </c>
      <c r="I3137" s="312">
        <v>2018</v>
      </c>
      <c r="J3137" s="122" t="s">
        <v>713</v>
      </c>
      <c r="K3137" s="283">
        <v>8189</v>
      </c>
      <c r="L3137" s="318">
        <v>-33.877974999999999</v>
      </c>
      <c r="M3137" s="318">
        <v>151.09318500000001</v>
      </c>
      <c r="O3137">
        <f>INDEX('MEC - traffic congestion'!$M$145:$M$249,MATCH($D3137,'MEC - traffic congestion'!$C$145:$C$249,0))</f>
        <v>1</v>
      </c>
      <c r="P3137" t="str">
        <f t="shared" si="140"/>
        <v>2018WEEKENDS</v>
      </c>
      <c r="Q3137">
        <f t="shared" si="141"/>
        <v>1</v>
      </c>
      <c r="R3137" s="195" t="str">
        <f t="shared" si="142"/>
        <v>2018LIGHT VEHICLES</v>
      </c>
    </row>
    <row r="3138" spans="3:18" x14ac:dyDescent="0.25">
      <c r="C3138" s="294" t="s">
        <v>970</v>
      </c>
      <c r="D3138" s="317">
        <v>9849</v>
      </c>
      <c r="E3138" s="122" t="s">
        <v>971</v>
      </c>
      <c r="F3138" s="122" t="s">
        <v>972</v>
      </c>
      <c r="G3138" s="122" t="s">
        <v>778</v>
      </c>
      <c r="H3138" s="122" t="s">
        <v>777</v>
      </c>
      <c r="I3138" s="312">
        <v>2018</v>
      </c>
      <c r="J3138" s="122" t="s">
        <v>713</v>
      </c>
      <c r="K3138" s="283">
        <v>8152</v>
      </c>
      <c r="L3138" s="318">
        <v>-33.877974999999999</v>
      </c>
      <c r="M3138" s="318">
        <v>151.09318500000001</v>
      </c>
      <c r="O3138">
        <f>INDEX('MEC - traffic congestion'!$M$145:$M$249,MATCH($D3138,'MEC - traffic congestion'!$C$145:$C$249,0))</f>
        <v>1</v>
      </c>
      <c r="P3138" t="str">
        <f t="shared" si="140"/>
        <v>2018WEEKENDS</v>
      </c>
      <c r="Q3138">
        <f t="shared" si="141"/>
        <v>1</v>
      </c>
      <c r="R3138" s="195" t="str">
        <f t="shared" si="142"/>
        <v>2018LIGHT VEHICLES</v>
      </c>
    </row>
    <row r="3139" spans="3:18" x14ac:dyDescent="0.25">
      <c r="C3139" s="294" t="s">
        <v>970</v>
      </c>
      <c r="D3139" s="317">
        <v>9849</v>
      </c>
      <c r="E3139" s="122" t="s">
        <v>971</v>
      </c>
      <c r="F3139" s="122" t="s">
        <v>972</v>
      </c>
      <c r="G3139" s="122" t="s">
        <v>776</v>
      </c>
      <c r="H3139" s="122" t="s">
        <v>777</v>
      </c>
      <c r="I3139" s="312">
        <v>2019</v>
      </c>
      <c r="J3139" s="122" t="s">
        <v>709</v>
      </c>
      <c r="K3139" s="283">
        <v>3197</v>
      </c>
      <c r="L3139" s="318">
        <v>-33.877974999999999</v>
      </c>
      <c r="M3139" s="318">
        <v>151.09318500000001</v>
      </c>
      <c r="O3139">
        <f>INDEX('MEC - traffic congestion'!$M$145:$M$249,MATCH($D3139,'MEC - traffic congestion'!$C$145:$C$249,0))</f>
        <v>1</v>
      </c>
      <c r="P3139" t="str">
        <f t="shared" si="140"/>
        <v>2019AM PEAK</v>
      </c>
      <c r="Q3139">
        <f t="shared" si="141"/>
        <v>1</v>
      </c>
      <c r="R3139" s="195" t="str">
        <f t="shared" si="142"/>
        <v>2019LIGHT VEHICLES</v>
      </c>
    </row>
    <row r="3140" spans="3:18" x14ac:dyDescent="0.25">
      <c r="C3140" s="294" t="s">
        <v>970</v>
      </c>
      <c r="D3140" s="317">
        <v>9849</v>
      </c>
      <c r="E3140" s="122" t="s">
        <v>971</v>
      </c>
      <c r="F3140" s="122" t="s">
        <v>972</v>
      </c>
      <c r="G3140" s="122" t="s">
        <v>778</v>
      </c>
      <c r="H3140" s="122" t="s">
        <v>777</v>
      </c>
      <c r="I3140" s="312">
        <v>2019</v>
      </c>
      <c r="J3140" s="122" t="s">
        <v>709</v>
      </c>
      <c r="K3140" s="283">
        <v>1908</v>
      </c>
      <c r="L3140" s="318">
        <v>-33.877974999999999</v>
      </c>
      <c r="M3140" s="318">
        <v>151.09318500000001</v>
      </c>
      <c r="O3140">
        <f>INDEX('MEC - traffic congestion'!$M$145:$M$249,MATCH($D3140,'MEC - traffic congestion'!$C$145:$C$249,0))</f>
        <v>1</v>
      </c>
      <c r="P3140" t="str">
        <f t="shared" si="140"/>
        <v>2019AM PEAK</v>
      </c>
      <c r="Q3140">
        <f t="shared" si="141"/>
        <v>1</v>
      </c>
      <c r="R3140" s="195" t="str">
        <f t="shared" si="142"/>
        <v>2019LIGHT VEHICLES</v>
      </c>
    </row>
    <row r="3141" spans="3:18" x14ac:dyDescent="0.25">
      <c r="C3141" s="294" t="s">
        <v>970</v>
      </c>
      <c r="D3141" s="317">
        <v>9849</v>
      </c>
      <c r="E3141" s="122" t="s">
        <v>971</v>
      </c>
      <c r="F3141" s="122" t="s">
        <v>972</v>
      </c>
      <c r="G3141" s="122" t="s">
        <v>776</v>
      </c>
      <c r="H3141" s="122" t="s">
        <v>777</v>
      </c>
      <c r="I3141" s="312">
        <v>2019</v>
      </c>
      <c r="J3141" s="122" t="s">
        <v>710</v>
      </c>
      <c r="K3141" s="283">
        <v>4197</v>
      </c>
      <c r="L3141" s="318">
        <v>-33.877974999999999</v>
      </c>
      <c r="M3141" s="318">
        <v>151.09318500000001</v>
      </c>
      <c r="O3141">
        <f>INDEX('MEC - traffic congestion'!$M$145:$M$249,MATCH($D3141,'MEC - traffic congestion'!$C$145:$C$249,0))</f>
        <v>1</v>
      </c>
      <c r="P3141" t="str">
        <f t="shared" si="140"/>
        <v>2019OFF PEAK</v>
      </c>
      <c r="Q3141">
        <f t="shared" si="141"/>
        <v>1</v>
      </c>
      <c r="R3141" s="195" t="str">
        <f t="shared" si="142"/>
        <v>2019LIGHT VEHICLES</v>
      </c>
    </row>
    <row r="3142" spans="3:18" x14ac:dyDescent="0.25">
      <c r="C3142" s="294" t="s">
        <v>970</v>
      </c>
      <c r="D3142" s="317">
        <v>9849</v>
      </c>
      <c r="E3142" s="122" t="s">
        <v>971</v>
      </c>
      <c r="F3142" s="122" t="s">
        <v>972</v>
      </c>
      <c r="G3142" s="122" t="s">
        <v>778</v>
      </c>
      <c r="H3142" s="122" t="s">
        <v>777</v>
      </c>
      <c r="I3142" s="312">
        <v>2019</v>
      </c>
      <c r="J3142" s="122" t="s">
        <v>710</v>
      </c>
      <c r="K3142" s="283">
        <v>4594</v>
      </c>
      <c r="L3142" s="318">
        <v>-33.877974999999999</v>
      </c>
      <c r="M3142" s="318">
        <v>151.09318500000001</v>
      </c>
      <c r="O3142">
        <f>INDEX('MEC - traffic congestion'!$M$145:$M$249,MATCH($D3142,'MEC - traffic congestion'!$C$145:$C$249,0))</f>
        <v>1</v>
      </c>
      <c r="P3142" t="str">
        <f t="shared" si="140"/>
        <v>2019OFF PEAK</v>
      </c>
      <c r="Q3142">
        <f t="shared" si="141"/>
        <v>1</v>
      </c>
      <c r="R3142" s="195" t="str">
        <f t="shared" si="142"/>
        <v>2019LIGHT VEHICLES</v>
      </c>
    </row>
    <row r="3143" spans="3:18" x14ac:dyDescent="0.25">
      <c r="C3143" s="294" t="s">
        <v>970</v>
      </c>
      <c r="D3143" s="317">
        <v>9849</v>
      </c>
      <c r="E3143" s="122" t="s">
        <v>971</v>
      </c>
      <c r="F3143" s="122" t="s">
        <v>972</v>
      </c>
      <c r="G3143" s="122" t="s">
        <v>776</v>
      </c>
      <c r="H3143" s="122" t="s">
        <v>777</v>
      </c>
      <c r="I3143" s="312">
        <v>2019</v>
      </c>
      <c r="J3143" s="122" t="s">
        <v>711</v>
      </c>
      <c r="K3143" s="283">
        <v>2433</v>
      </c>
      <c r="L3143" s="318">
        <v>-33.877974999999999</v>
      </c>
      <c r="M3143" s="318">
        <v>151.09318500000001</v>
      </c>
      <c r="O3143">
        <f>INDEX('MEC - traffic congestion'!$M$145:$M$249,MATCH($D3143,'MEC - traffic congestion'!$C$145:$C$249,0))</f>
        <v>1</v>
      </c>
      <c r="P3143" t="str">
        <f t="shared" si="140"/>
        <v>2019PM PEAK</v>
      </c>
      <c r="Q3143">
        <f t="shared" si="141"/>
        <v>1</v>
      </c>
      <c r="R3143" s="195" t="str">
        <f t="shared" si="142"/>
        <v>2019LIGHT VEHICLES</v>
      </c>
    </row>
    <row r="3144" spans="3:18" x14ac:dyDescent="0.25">
      <c r="C3144" s="294" t="s">
        <v>970</v>
      </c>
      <c r="D3144" s="317">
        <v>9849</v>
      </c>
      <c r="E3144" s="122" t="s">
        <v>971</v>
      </c>
      <c r="F3144" s="122" t="s">
        <v>972</v>
      </c>
      <c r="G3144" s="122" t="s">
        <v>778</v>
      </c>
      <c r="H3144" s="122" t="s">
        <v>777</v>
      </c>
      <c r="I3144" s="312">
        <v>2019</v>
      </c>
      <c r="J3144" s="122" t="s">
        <v>711</v>
      </c>
      <c r="K3144" s="283">
        <v>3536</v>
      </c>
      <c r="L3144" s="318">
        <v>-33.877974999999999</v>
      </c>
      <c r="M3144" s="318">
        <v>151.09318500000001</v>
      </c>
      <c r="O3144">
        <f>INDEX('MEC - traffic congestion'!$M$145:$M$249,MATCH($D3144,'MEC - traffic congestion'!$C$145:$C$249,0))</f>
        <v>1</v>
      </c>
      <c r="P3144" t="str">
        <f t="shared" si="140"/>
        <v>2019PM PEAK</v>
      </c>
      <c r="Q3144">
        <f t="shared" si="141"/>
        <v>1</v>
      </c>
      <c r="R3144" s="195" t="str">
        <f t="shared" si="142"/>
        <v>2019LIGHT VEHICLES</v>
      </c>
    </row>
    <row r="3145" spans="3:18" x14ac:dyDescent="0.25">
      <c r="C3145" s="294" t="s">
        <v>970</v>
      </c>
      <c r="D3145" s="317">
        <v>9849</v>
      </c>
      <c r="E3145" s="122" t="s">
        <v>971</v>
      </c>
      <c r="F3145" s="122" t="s">
        <v>972</v>
      </c>
      <c r="G3145" s="122" t="s">
        <v>776</v>
      </c>
      <c r="H3145" s="122" t="s">
        <v>777</v>
      </c>
      <c r="I3145" s="312">
        <v>2019</v>
      </c>
      <c r="J3145" s="122" t="s">
        <v>712</v>
      </c>
      <c r="K3145" s="283">
        <v>6679</v>
      </c>
      <c r="L3145" s="318">
        <v>-33.877974999999999</v>
      </c>
      <c r="M3145" s="318">
        <v>151.09318500000001</v>
      </c>
      <c r="O3145">
        <f>INDEX('MEC - traffic congestion'!$M$145:$M$249,MATCH($D3145,'MEC - traffic congestion'!$C$145:$C$249,0))</f>
        <v>1</v>
      </c>
      <c r="P3145" t="str">
        <f t="shared" si="140"/>
        <v>2019PUBLIC HOLIDAYS</v>
      </c>
      <c r="Q3145">
        <f t="shared" si="141"/>
        <v>1</v>
      </c>
      <c r="R3145" s="195" t="str">
        <f t="shared" si="142"/>
        <v>2019LIGHT VEHICLES</v>
      </c>
    </row>
    <row r="3146" spans="3:18" x14ac:dyDescent="0.25">
      <c r="C3146" s="294" t="s">
        <v>970</v>
      </c>
      <c r="D3146" s="317">
        <v>9849</v>
      </c>
      <c r="E3146" s="122" t="s">
        <v>971</v>
      </c>
      <c r="F3146" s="122" t="s">
        <v>972</v>
      </c>
      <c r="G3146" s="122" t="s">
        <v>778</v>
      </c>
      <c r="H3146" s="122" t="s">
        <v>777</v>
      </c>
      <c r="I3146" s="312">
        <v>2019</v>
      </c>
      <c r="J3146" s="122" t="s">
        <v>712</v>
      </c>
      <c r="K3146" s="283">
        <v>6942</v>
      </c>
      <c r="L3146" s="318">
        <v>-33.877974999999999</v>
      </c>
      <c r="M3146" s="318">
        <v>151.09318500000001</v>
      </c>
      <c r="O3146">
        <f>INDEX('MEC - traffic congestion'!$M$145:$M$249,MATCH($D3146,'MEC - traffic congestion'!$C$145:$C$249,0))</f>
        <v>1</v>
      </c>
      <c r="P3146" t="str">
        <f t="shared" si="140"/>
        <v>2019PUBLIC HOLIDAYS</v>
      </c>
      <c r="Q3146">
        <f t="shared" si="141"/>
        <v>1</v>
      </c>
      <c r="R3146" s="195" t="str">
        <f t="shared" si="142"/>
        <v>2019LIGHT VEHICLES</v>
      </c>
    </row>
    <row r="3147" spans="3:18" x14ac:dyDescent="0.25">
      <c r="C3147" s="294" t="s">
        <v>970</v>
      </c>
      <c r="D3147" s="317">
        <v>9849</v>
      </c>
      <c r="E3147" s="122" t="s">
        <v>971</v>
      </c>
      <c r="F3147" s="122" t="s">
        <v>972</v>
      </c>
      <c r="G3147" s="122" t="s">
        <v>776</v>
      </c>
      <c r="H3147" s="122" t="s">
        <v>777</v>
      </c>
      <c r="I3147" s="312">
        <v>2019</v>
      </c>
      <c r="J3147" s="122" t="s">
        <v>713</v>
      </c>
      <c r="K3147" s="283">
        <v>7982</v>
      </c>
      <c r="L3147" s="318">
        <v>-33.877974999999999</v>
      </c>
      <c r="M3147" s="318">
        <v>151.09318500000001</v>
      </c>
      <c r="O3147">
        <f>INDEX('MEC - traffic congestion'!$M$145:$M$249,MATCH($D3147,'MEC - traffic congestion'!$C$145:$C$249,0))</f>
        <v>1</v>
      </c>
      <c r="P3147" t="str">
        <f t="shared" si="140"/>
        <v>2019WEEKENDS</v>
      </c>
      <c r="Q3147">
        <f t="shared" si="141"/>
        <v>1</v>
      </c>
      <c r="R3147" s="195" t="str">
        <f t="shared" si="142"/>
        <v>2019LIGHT VEHICLES</v>
      </c>
    </row>
    <row r="3148" spans="3:18" x14ac:dyDescent="0.25">
      <c r="C3148" s="294" t="s">
        <v>970</v>
      </c>
      <c r="D3148" s="317">
        <v>9849</v>
      </c>
      <c r="E3148" s="122" t="s">
        <v>971</v>
      </c>
      <c r="F3148" s="122" t="s">
        <v>972</v>
      </c>
      <c r="G3148" s="122" t="s">
        <v>778</v>
      </c>
      <c r="H3148" s="122" t="s">
        <v>777</v>
      </c>
      <c r="I3148" s="312">
        <v>2019</v>
      </c>
      <c r="J3148" s="122" t="s">
        <v>713</v>
      </c>
      <c r="K3148" s="283">
        <v>8103</v>
      </c>
      <c r="L3148" s="318">
        <v>-33.877974999999999</v>
      </c>
      <c r="M3148" s="318">
        <v>151.09318500000001</v>
      </c>
      <c r="O3148">
        <f>INDEX('MEC - traffic congestion'!$M$145:$M$249,MATCH($D3148,'MEC - traffic congestion'!$C$145:$C$249,0))</f>
        <v>1</v>
      </c>
      <c r="P3148" t="str">
        <f t="shared" si="140"/>
        <v>2019WEEKENDS</v>
      </c>
      <c r="Q3148">
        <f t="shared" si="141"/>
        <v>1</v>
      </c>
      <c r="R3148" s="195" t="str">
        <f t="shared" si="142"/>
        <v>2019LIGHT VEHICLES</v>
      </c>
    </row>
    <row r="3149" spans="3:18" x14ac:dyDescent="0.25">
      <c r="C3149" s="294" t="s">
        <v>970</v>
      </c>
      <c r="D3149" s="317">
        <v>9849</v>
      </c>
      <c r="E3149" s="122" t="s">
        <v>971</v>
      </c>
      <c r="F3149" s="122" t="s">
        <v>972</v>
      </c>
      <c r="G3149" s="122" t="s">
        <v>776</v>
      </c>
      <c r="H3149" s="122" t="s">
        <v>777</v>
      </c>
      <c r="I3149" s="312">
        <v>2020</v>
      </c>
      <c r="J3149" s="122" t="s">
        <v>709</v>
      </c>
      <c r="K3149" s="283">
        <v>2652</v>
      </c>
      <c r="L3149" s="318">
        <v>-33.877974999999999</v>
      </c>
      <c r="M3149" s="318">
        <v>151.09318500000001</v>
      </c>
      <c r="O3149">
        <f>INDEX('MEC - traffic congestion'!$M$145:$M$249,MATCH($D3149,'MEC - traffic congestion'!$C$145:$C$249,0))</f>
        <v>1</v>
      </c>
      <c r="P3149" t="str">
        <f t="shared" si="140"/>
        <v>2020AM PEAK</v>
      </c>
      <c r="Q3149">
        <f t="shared" si="141"/>
        <v>1</v>
      </c>
      <c r="R3149" s="195" t="str">
        <f t="shared" si="142"/>
        <v>2020LIGHT VEHICLES</v>
      </c>
    </row>
    <row r="3150" spans="3:18" x14ac:dyDescent="0.25">
      <c r="C3150" s="294" t="s">
        <v>970</v>
      </c>
      <c r="D3150" s="317">
        <v>9849</v>
      </c>
      <c r="E3150" s="122" t="s">
        <v>971</v>
      </c>
      <c r="F3150" s="122" t="s">
        <v>972</v>
      </c>
      <c r="G3150" s="122" t="s">
        <v>778</v>
      </c>
      <c r="H3150" s="122" t="s">
        <v>777</v>
      </c>
      <c r="I3150" s="312">
        <v>2020</v>
      </c>
      <c r="J3150" s="122" t="s">
        <v>709</v>
      </c>
      <c r="K3150" s="283">
        <v>1669</v>
      </c>
      <c r="L3150" s="318">
        <v>-33.877974999999999</v>
      </c>
      <c r="M3150" s="318">
        <v>151.09318500000001</v>
      </c>
      <c r="O3150">
        <f>INDEX('MEC - traffic congestion'!$M$145:$M$249,MATCH($D3150,'MEC - traffic congestion'!$C$145:$C$249,0))</f>
        <v>1</v>
      </c>
      <c r="P3150" t="str">
        <f t="shared" si="140"/>
        <v>2020AM PEAK</v>
      </c>
      <c r="Q3150">
        <f t="shared" si="141"/>
        <v>1</v>
      </c>
      <c r="R3150" s="195" t="str">
        <f t="shared" si="142"/>
        <v>2020LIGHT VEHICLES</v>
      </c>
    </row>
    <row r="3151" spans="3:18" x14ac:dyDescent="0.25">
      <c r="C3151" s="294" t="s">
        <v>970</v>
      </c>
      <c r="D3151" s="317">
        <v>9849</v>
      </c>
      <c r="E3151" s="122" t="s">
        <v>971</v>
      </c>
      <c r="F3151" s="122" t="s">
        <v>972</v>
      </c>
      <c r="G3151" s="122" t="s">
        <v>776</v>
      </c>
      <c r="H3151" s="122" t="s">
        <v>777</v>
      </c>
      <c r="I3151" s="312">
        <v>2020</v>
      </c>
      <c r="J3151" s="122" t="s">
        <v>710</v>
      </c>
      <c r="K3151" s="283">
        <v>3808</v>
      </c>
      <c r="L3151" s="318">
        <v>-33.877974999999999</v>
      </c>
      <c r="M3151" s="318">
        <v>151.09318500000001</v>
      </c>
      <c r="O3151">
        <f>INDEX('MEC - traffic congestion'!$M$145:$M$249,MATCH($D3151,'MEC - traffic congestion'!$C$145:$C$249,0))</f>
        <v>1</v>
      </c>
      <c r="P3151" t="str">
        <f t="shared" si="140"/>
        <v>2020OFF PEAK</v>
      </c>
      <c r="Q3151">
        <f t="shared" si="141"/>
        <v>1</v>
      </c>
      <c r="R3151" s="195" t="str">
        <f t="shared" si="142"/>
        <v>2020LIGHT VEHICLES</v>
      </c>
    </row>
    <row r="3152" spans="3:18" x14ac:dyDescent="0.25">
      <c r="C3152" s="294" t="s">
        <v>970</v>
      </c>
      <c r="D3152" s="317">
        <v>9849</v>
      </c>
      <c r="E3152" s="122" t="s">
        <v>971</v>
      </c>
      <c r="F3152" s="122" t="s">
        <v>972</v>
      </c>
      <c r="G3152" s="122" t="s">
        <v>778</v>
      </c>
      <c r="H3152" s="122" t="s">
        <v>777</v>
      </c>
      <c r="I3152" s="312">
        <v>2020</v>
      </c>
      <c r="J3152" s="122" t="s">
        <v>710</v>
      </c>
      <c r="K3152" s="283">
        <v>4102</v>
      </c>
      <c r="L3152" s="318">
        <v>-33.877974999999999</v>
      </c>
      <c r="M3152" s="318">
        <v>151.09318500000001</v>
      </c>
      <c r="O3152">
        <f>INDEX('MEC - traffic congestion'!$M$145:$M$249,MATCH($D3152,'MEC - traffic congestion'!$C$145:$C$249,0))</f>
        <v>1</v>
      </c>
      <c r="P3152" t="str">
        <f t="shared" si="140"/>
        <v>2020OFF PEAK</v>
      </c>
      <c r="Q3152">
        <f t="shared" si="141"/>
        <v>1</v>
      </c>
      <c r="R3152" s="195" t="str">
        <f t="shared" si="142"/>
        <v>2020LIGHT VEHICLES</v>
      </c>
    </row>
    <row r="3153" spans="3:18" x14ac:dyDescent="0.25">
      <c r="C3153" s="294" t="s">
        <v>970</v>
      </c>
      <c r="D3153" s="317">
        <v>9849</v>
      </c>
      <c r="E3153" s="122" t="s">
        <v>971</v>
      </c>
      <c r="F3153" s="122" t="s">
        <v>972</v>
      </c>
      <c r="G3153" s="122" t="s">
        <v>776</v>
      </c>
      <c r="H3153" s="122" t="s">
        <v>777</v>
      </c>
      <c r="I3153" s="312">
        <v>2020</v>
      </c>
      <c r="J3153" s="122" t="s">
        <v>711</v>
      </c>
      <c r="K3153" s="283">
        <v>2254</v>
      </c>
      <c r="L3153" s="318">
        <v>-33.877974999999999</v>
      </c>
      <c r="M3153" s="318">
        <v>151.09318500000001</v>
      </c>
      <c r="O3153">
        <f>INDEX('MEC - traffic congestion'!$M$145:$M$249,MATCH($D3153,'MEC - traffic congestion'!$C$145:$C$249,0))</f>
        <v>1</v>
      </c>
      <c r="P3153" t="str">
        <f t="shared" si="140"/>
        <v>2020PM PEAK</v>
      </c>
      <c r="Q3153">
        <f t="shared" si="141"/>
        <v>1</v>
      </c>
      <c r="R3153" s="195" t="str">
        <f t="shared" si="142"/>
        <v>2020LIGHT VEHICLES</v>
      </c>
    </row>
    <row r="3154" spans="3:18" x14ac:dyDescent="0.25">
      <c r="C3154" s="294" t="s">
        <v>970</v>
      </c>
      <c r="D3154" s="317">
        <v>9849</v>
      </c>
      <c r="E3154" s="122" t="s">
        <v>971</v>
      </c>
      <c r="F3154" s="122" t="s">
        <v>972</v>
      </c>
      <c r="G3154" s="122" t="s">
        <v>778</v>
      </c>
      <c r="H3154" s="122" t="s">
        <v>777</v>
      </c>
      <c r="I3154" s="312">
        <v>2020</v>
      </c>
      <c r="J3154" s="122" t="s">
        <v>711</v>
      </c>
      <c r="K3154" s="283">
        <v>3223</v>
      </c>
      <c r="L3154" s="318">
        <v>-33.877974999999999</v>
      </c>
      <c r="M3154" s="318">
        <v>151.09318500000001</v>
      </c>
      <c r="O3154">
        <f>INDEX('MEC - traffic congestion'!$M$145:$M$249,MATCH($D3154,'MEC - traffic congestion'!$C$145:$C$249,0))</f>
        <v>1</v>
      </c>
      <c r="P3154" t="str">
        <f t="shared" si="140"/>
        <v>2020PM PEAK</v>
      </c>
      <c r="Q3154">
        <f t="shared" si="141"/>
        <v>1</v>
      </c>
      <c r="R3154" s="195" t="str">
        <f t="shared" si="142"/>
        <v>2020LIGHT VEHICLES</v>
      </c>
    </row>
    <row r="3155" spans="3:18" x14ac:dyDescent="0.25">
      <c r="C3155" s="294" t="s">
        <v>970</v>
      </c>
      <c r="D3155" s="317">
        <v>9849</v>
      </c>
      <c r="E3155" s="122" t="s">
        <v>971</v>
      </c>
      <c r="F3155" s="122" t="s">
        <v>972</v>
      </c>
      <c r="G3155" s="122" t="s">
        <v>776</v>
      </c>
      <c r="H3155" s="122" t="s">
        <v>777</v>
      </c>
      <c r="I3155" s="312">
        <v>2020</v>
      </c>
      <c r="J3155" s="122" t="s">
        <v>712</v>
      </c>
      <c r="K3155" s="283">
        <v>5035</v>
      </c>
      <c r="L3155" s="318">
        <v>-33.877974999999999</v>
      </c>
      <c r="M3155" s="318">
        <v>151.09318500000001</v>
      </c>
      <c r="O3155">
        <f>INDEX('MEC - traffic congestion'!$M$145:$M$249,MATCH($D3155,'MEC - traffic congestion'!$C$145:$C$249,0))</f>
        <v>1</v>
      </c>
      <c r="P3155" t="str">
        <f t="shared" si="140"/>
        <v>2020PUBLIC HOLIDAYS</v>
      </c>
      <c r="Q3155">
        <f t="shared" si="141"/>
        <v>1</v>
      </c>
      <c r="R3155" s="195" t="str">
        <f t="shared" si="142"/>
        <v>2020LIGHT VEHICLES</v>
      </c>
    </row>
    <row r="3156" spans="3:18" x14ac:dyDescent="0.25">
      <c r="C3156" s="294" t="s">
        <v>970</v>
      </c>
      <c r="D3156" s="317">
        <v>9849</v>
      </c>
      <c r="E3156" s="122" t="s">
        <v>971</v>
      </c>
      <c r="F3156" s="122" t="s">
        <v>972</v>
      </c>
      <c r="G3156" s="122" t="s">
        <v>778</v>
      </c>
      <c r="H3156" s="122" t="s">
        <v>777</v>
      </c>
      <c r="I3156" s="312">
        <v>2020</v>
      </c>
      <c r="J3156" s="122" t="s">
        <v>712</v>
      </c>
      <c r="K3156" s="283">
        <v>5314</v>
      </c>
      <c r="L3156" s="318">
        <v>-33.877974999999999</v>
      </c>
      <c r="M3156" s="318">
        <v>151.09318500000001</v>
      </c>
      <c r="O3156">
        <f>INDEX('MEC - traffic congestion'!$M$145:$M$249,MATCH($D3156,'MEC - traffic congestion'!$C$145:$C$249,0))</f>
        <v>1</v>
      </c>
      <c r="P3156" t="str">
        <f t="shared" si="140"/>
        <v>2020PUBLIC HOLIDAYS</v>
      </c>
      <c r="Q3156">
        <f t="shared" si="141"/>
        <v>1</v>
      </c>
      <c r="R3156" s="195" t="str">
        <f t="shared" si="142"/>
        <v>2020LIGHT VEHICLES</v>
      </c>
    </row>
    <row r="3157" spans="3:18" x14ac:dyDescent="0.25">
      <c r="C3157" s="294" t="s">
        <v>970</v>
      </c>
      <c r="D3157" s="317">
        <v>9849</v>
      </c>
      <c r="E3157" s="122" t="s">
        <v>971</v>
      </c>
      <c r="F3157" s="122" t="s">
        <v>972</v>
      </c>
      <c r="G3157" s="122" t="s">
        <v>776</v>
      </c>
      <c r="H3157" s="122" t="s">
        <v>777</v>
      </c>
      <c r="I3157" s="312">
        <v>2020</v>
      </c>
      <c r="J3157" s="122" t="s">
        <v>713</v>
      </c>
      <c r="K3157" s="283">
        <v>6872</v>
      </c>
      <c r="L3157" s="318">
        <v>-33.877974999999999</v>
      </c>
      <c r="M3157" s="318">
        <v>151.09318500000001</v>
      </c>
      <c r="O3157">
        <f>INDEX('MEC - traffic congestion'!$M$145:$M$249,MATCH($D3157,'MEC - traffic congestion'!$C$145:$C$249,0))</f>
        <v>1</v>
      </c>
      <c r="P3157" t="str">
        <f t="shared" ref="P3157:P3220" si="143">IF($O3157=1,$I3157&amp;$J3157,"")</f>
        <v>2020WEEKENDS</v>
      </c>
      <c r="Q3157">
        <f t="shared" ref="Q3157:Q3220" si="144">IF(AND($M3157&gt;150.246,AND($L3157&gt;-34.397,$L3157&lt;-32.662)),1,0)</f>
        <v>1</v>
      </c>
      <c r="R3157" s="195" t="str">
        <f t="shared" ref="R3157:R3220" si="145">IF($O3157=1,$I3157&amp;$H3157,"")</f>
        <v>2020LIGHT VEHICLES</v>
      </c>
    </row>
    <row r="3158" spans="3:18" x14ac:dyDescent="0.25">
      <c r="C3158" s="294" t="s">
        <v>970</v>
      </c>
      <c r="D3158" s="317">
        <v>9849</v>
      </c>
      <c r="E3158" s="122" t="s">
        <v>971</v>
      </c>
      <c r="F3158" s="122" t="s">
        <v>972</v>
      </c>
      <c r="G3158" s="122" t="s">
        <v>778</v>
      </c>
      <c r="H3158" s="122" t="s">
        <v>777</v>
      </c>
      <c r="I3158" s="312">
        <v>2020</v>
      </c>
      <c r="J3158" s="122" t="s">
        <v>713</v>
      </c>
      <c r="K3158" s="283">
        <v>6968</v>
      </c>
      <c r="L3158" s="318">
        <v>-33.877974999999999</v>
      </c>
      <c r="M3158" s="318">
        <v>151.09318500000001</v>
      </c>
      <c r="O3158">
        <f>INDEX('MEC - traffic congestion'!$M$145:$M$249,MATCH($D3158,'MEC - traffic congestion'!$C$145:$C$249,0))</f>
        <v>1</v>
      </c>
      <c r="P3158" t="str">
        <f t="shared" si="143"/>
        <v>2020WEEKENDS</v>
      </c>
      <c r="Q3158">
        <f t="shared" si="144"/>
        <v>1</v>
      </c>
      <c r="R3158" s="195" t="str">
        <f t="shared" si="145"/>
        <v>2020LIGHT VEHICLES</v>
      </c>
    </row>
    <row r="3159" spans="3:18" x14ac:dyDescent="0.25">
      <c r="C3159" s="294" t="s">
        <v>970</v>
      </c>
      <c r="D3159" s="317">
        <v>9849</v>
      </c>
      <c r="E3159" s="122" t="s">
        <v>971</v>
      </c>
      <c r="F3159" s="122" t="s">
        <v>972</v>
      </c>
      <c r="G3159" s="122" t="s">
        <v>776</v>
      </c>
      <c r="H3159" s="122" t="s">
        <v>777</v>
      </c>
      <c r="I3159" s="312">
        <v>2021</v>
      </c>
      <c r="J3159" s="122" t="s">
        <v>709</v>
      </c>
      <c r="K3159" s="283">
        <v>2454</v>
      </c>
      <c r="L3159" s="318">
        <v>-33.877974999999999</v>
      </c>
      <c r="M3159" s="318">
        <v>151.09318500000001</v>
      </c>
      <c r="O3159">
        <f>INDEX('MEC - traffic congestion'!$M$145:$M$249,MATCH($D3159,'MEC - traffic congestion'!$C$145:$C$249,0))</f>
        <v>1</v>
      </c>
      <c r="P3159" t="str">
        <f t="shared" si="143"/>
        <v>2021AM PEAK</v>
      </c>
      <c r="Q3159">
        <f t="shared" si="144"/>
        <v>1</v>
      </c>
      <c r="R3159" s="195" t="str">
        <f t="shared" si="145"/>
        <v>2021LIGHT VEHICLES</v>
      </c>
    </row>
    <row r="3160" spans="3:18" x14ac:dyDescent="0.25">
      <c r="C3160" s="294" t="s">
        <v>970</v>
      </c>
      <c r="D3160" s="317">
        <v>9849</v>
      </c>
      <c r="E3160" s="122" t="s">
        <v>971</v>
      </c>
      <c r="F3160" s="122" t="s">
        <v>972</v>
      </c>
      <c r="G3160" s="122" t="s">
        <v>778</v>
      </c>
      <c r="H3160" s="122" t="s">
        <v>777</v>
      </c>
      <c r="I3160" s="312">
        <v>2021</v>
      </c>
      <c r="J3160" s="122" t="s">
        <v>709</v>
      </c>
      <c r="K3160" s="283">
        <v>1562</v>
      </c>
      <c r="L3160" s="318">
        <v>-33.877974999999999</v>
      </c>
      <c r="M3160" s="318">
        <v>151.09318500000001</v>
      </c>
      <c r="O3160">
        <f>INDEX('MEC - traffic congestion'!$M$145:$M$249,MATCH($D3160,'MEC - traffic congestion'!$C$145:$C$249,0))</f>
        <v>1</v>
      </c>
      <c r="P3160" t="str">
        <f t="shared" si="143"/>
        <v>2021AM PEAK</v>
      </c>
      <c r="Q3160">
        <f t="shared" si="144"/>
        <v>1</v>
      </c>
      <c r="R3160" s="195" t="str">
        <f t="shared" si="145"/>
        <v>2021LIGHT VEHICLES</v>
      </c>
    </row>
    <row r="3161" spans="3:18" x14ac:dyDescent="0.25">
      <c r="C3161" s="294" t="s">
        <v>970</v>
      </c>
      <c r="D3161" s="317">
        <v>9849</v>
      </c>
      <c r="E3161" s="122" t="s">
        <v>971</v>
      </c>
      <c r="F3161" s="122" t="s">
        <v>972</v>
      </c>
      <c r="G3161" s="122" t="s">
        <v>776</v>
      </c>
      <c r="H3161" s="122" t="s">
        <v>777</v>
      </c>
      <c r="I3161" s="312">
        <v>2021</v>
      </c>
      <c r="J3161" s="122" t="s">
        <v>710</v>
      </c>
      <c r="K3161" s="283">
        <v>3593</v>
      </c>
      <c r="L3161" s="318">
        <v>-33.877974999999999</v>
      </c>
      <c r="M3161" s="318">
        <v>151.09318500000001</v>
      </c>
      <c r="O3161">
        <f>INDEX('MEC - traffic congestion'!$M$145:$M$249,MATCH($D3161,'MEC - traffic congestion'!$C$145:$C$249,0))</f>
        <v>1</v>
      </c>
      <c r="P3161" t="str">
        <f t="shared" si="143"/>
        <v>2021OFF PEAK</v>
      </c>
      <c r="Q3161">
        <f t="shared" si="144"/>
        <v>1</v>
      </c>
      <c r="R3161" s="195" t="str">
        <f t="shared" si="145"/>
        <v>2021LIGHT VEHICLES</v>
      </c>
    </row>
    <row r="3162" spans="3:18" x14ac:dyDescent="0.25">
      <c r="C3162" s="294" t="s">
        <v>970</v>
      </c>
      <c r="D3162" s="317">
        <v>9849</v>
      </c>
      <c r="E3162" s="122" t="s">
        <v>971</v>
      </c>
      <c r="F3162" s="122" t="s">
        <v>972</v>
      </c>
      <c r="G3162" s="122" t="s">
        <v>778</v>
      </c>
      <c r="H3162" s="122" t="s">
        <v>777</v>
      </c>
      <c r="I3162" s="312">
        <v>2021</v>
      </c>
      <c r="J3162" s="122" t="s">
        <v>710</v>
      </c>
      <c r="K3162" s="283">
        <v>3827</v>
      </c>
      <c r="L3162" s="318">
        <v>-33.877974999999999</v>
      </c>
      <c r="M3162" s="318">
        <v>151.09318500000001</v>
      </c>
      <c r="O3162">
        <f>INDEX('MEC - traffic congestion'!$M$145:$M$249,MATCH($D3162,'MEC - traffic congestion'!$C$145:$C$249,0))</f>
        <v>1</v>
      </c>
      <c r="P3162" t="str">
        <f t="shared" si="143"/>
        <v>2021OFF PEAK</v>
      </c>
      <c r="Q3162">
        <f t="shared" si="144"/>
        <v>1</v>
      </c>
      <c r="R3162" s="195" t="str">
        <f t="shared" si="145"/>
        <v>2021LIGHT VEHICLES</v>
      </c>
    </row>
    <row r="3163" spans="3:18" x14ac:dyDescent="0.25">
      <c r="C3163" s="294" t="s">
        <v>970</v>
      </c>
      <c r="D3163" s="317">
        <v>9849</v>
      </c>
      <c r="E3163" s="122" t="s">
        <v>971</v>
      </c>
      <c r="F3163" s="122" t="s">
        <v>972</v>
      </c>
      <c r="G3163" s="122" t="s">
        <v>776</v>
      </c>
      <c r="H3163" s="122" t="s">
        <v>777</v>
      </c>
      <c r="I3163" s="312">
        <v>2021</v>
      </c>
      <c r="J3163" s="122" t="s">
        <v>711</v>
      </c>
      <c r="K3163" s="283">
        <v>2106</v>
      </c>
      <c r="L3163" s="318">
        <v>-33.877974999999999</v>
      </c>
      <c r="M3163" s="318">
        <v>151.09318500000001</v>
      </c>
      <c r="O3163">
        <f>INDEX('MEC - traffic congestion'!$M$145:$M$249,MATCH($D3163,'MEC - traffic congestion'!$C$145:$C$249,0))</f>
        <v>1</v>
      </c>
      <c r="P3163" t="str">
        <f t="shared" si="143"/>
        <v>2021PM PEAK</v>
      </c>
      <c r="Q3163">
        <f t="shared" si="144"/>
        <v>1</v>
      </c>
      <c r="R3163" s="195" t="str">
        <f t="shared" si="145"/>
        <v>2021LIGHT VEHICLES</v>
      </c>
    </row>
    <row r="3164" spans="3:18" x14ac:dyDescent="0.25">
      <c r="C3164" s="294" t="s">
        <v>970</v>
      </c>
      <c r="D3164" s="317">
        <v>9849</v>
      </c>
      <c r="E3164" s="122" t="s">
        <v>971</v>
      </c>
      <c r="F3164" s="122" t="s">
        <v>972</v>
      </c>
      <c r="G3164" s="122" t="s">
        <v>778</v>
      </c>
      <c r="H3164" s="122" t="s">
        <v>777</v>
      </c>
      <c r="I3164" s="312">
        <v>2021</v>
      </c>
      <c r="J3164" s="122" t="s">
        <v>711</v>
      </c>
      <c r="K3164" s="283">
        <v>2877</v>
      </c>
      <c r="L3164" s="318">
        <v>-33.877974999999999</v>
      </c>
      <c r="M3164" s="318">
        <v>151.09318500000001</v>
      </c>
      <c r="O3164">
        <f>INDEX('MEC - traffic congestion'!$M$145:$M$249,MATCH($D3164,'MEC - traffic congestion'!$C$145:$C$249,0))</f>
        <v>1</v>
      </c>
      <c r="P3164" t="str">
        <f t="shared" si="143"/>
        <v>2021PM PEAK</v>
      </c>
      <c r="Q3164">
        <f t="shared" si="144"/>
        <v>1</v>
      </c>
      <c r="R3164" s="195" t="str">
        <f t="shared" si="145"/>
        <v>2021LIGHT VEHICLES</v>
      </c>
    </row>
    <row r="3165" spans="3:18" x14ac:dyDescent="0.25">
      <c r="C3165" s="294" t="s">
        <v>970</v>
      </c>
      <c r="D3165" s="317">
        <v>9849</v>
      </c>
      <c r="E3165" s="122" t="s">
        <v>971</v>
      </c>
      <c r="F3165" s="122" t="s">
        <v>972</v>
      </c>
      <c r="G3165" s="122" t="s">
        <v>776</v>
      </c>
      <c r="H3165" s="122" t="s">
        <v>777</v>
      </c>
      <c r="I3165" s="312">
        <v>2021</v>
      </c>
      <c r="J3165" s="122" t="s">
        <v>713</v>
      </c>
      <c r="K3165" s="283">
        <v>6422</v>
      </c>
      <c r="L3165" s="318">
        <v>-33.877974999999999</v>
      </c>
      <c r="M3165" s="318">
        <v>151.09318500000001</v>
      </c>
      <c r="O3165">
        <f>INDEX('MEC - traffic congestion'!$M$145:$M$249,MATCH($D3165,'MEC - traffic congestion'!$C$145:$C$249,0))</f>
        <v>1</v>
      </c>
      <c r="P3165" t="str">
        <f t="shared" si="143"/>
        <v>2021WEEKENDS</v>
      </c>
      <c r="Q3165">
        <f t="shared" si="144"/>
        <v>1</v>
      </c>
      <c r="R3165" s="195" t="str">
        <f t="shared" si="145"/>
        <v>2021LIGHT VEHICLES</v>
      </c>
    </row>
    <row r="3166" spans="3:18" x14ac:dyDescent="0.25">
      <c r="C3166" s="294" t="s">
        <v>970</v>
      </c>
      <c r="D3166" s="317">
        <v>9849</v>
      </c>
      <c r="E3166" s="122" t="s">
        <v>971</v>
      </c>
      <c r="F3166" s="122" t="s">
        <v>972</v>
      </c>
      <c r="G3166" s="122" t="s">
        <v>778</v>
      </c>
      <c r="H3166" s="122" t="s">
        <v>777</v>
      </c>
      <c r="I3166" s="312">
        <v>2021</v>
      </c>
      <c r="J3166" s="122" t="s">
        <v>713</v>
      </c>
      <c r="K3166" s="283">
        <v>6547</v>
      </c>
      <c r="L3166" s="318">
        <v>-33.877974999999999</v>
      </c>
      <c r="M3166" s="318">
        <v>151.09318500000001</v>
      </c>
      <c r="O3166">
        <f>INDEX('MEC - traffic congestion'!$M$145:$M$249,MATCH($D3166,'MEC - traffic congestion'!$C$145:$C$249,0))</f>
        <v>1</v>
      </c>
      <c r="P3166" t="str">
        <f t="shared" si="143"/>
        <v>2021WEEKENDS</v>
      </c>
      <c r="Q3166">
        <f t="shared" si="144"/>
        <v>1</v>
      </c>
      <c r="R3166" s="195" t="str">
        <f t="shared" si="145"/>
        <v>2021LIGHT VEHICLES</v>
      </c>
    </row>
    <row r="3167" spans="3:18" x14ac:dyDescent="0.25">
      <c r="C3167" s="294" t="s">
        <v>970</v>
      </c>
      <c r="D3167" s="317">
        <v>9849</v>
      </c>
      <c r="E3167" s="122" t="s">
        <v>971</v>
      </c>
      <c r="F3167" s="122" t="s">
        <v>972</v>
      </c>
      <c r="G3167" s="122" t="s">
        <v>776</v>
      </c>
      <c r="H3167" s="122" t="s">
        <v>777</v>
      </c>
      <c r="I3167" s="312">
        <v>2022</v>
      </c>
      <c r="J3167" s="122" t="s">
        <v>709</v>
      </c>
      <c r="K3167" s="283">
        <v>2615</v>
      </c>
      <c r="L3167" s="318">
        <v>-33.877974999999999</v>
      </c>
      <c r="M3167" s="318">
        <v>151.09318500000001</v>
      </c>
      <c r="O3167">
        <f>INDEX('MEC - traffic congestion'!$M$145:$M$249,MATCH($D3167,'MEC - traffic congestion'!$C$145:$C$249,0))</f>
        <v>1</v>
      </c>
      <c r="P3167" t="str">
        <f t="shared" si="143"/>
        <v>2022AM PEAK</v>
      </c>
      <c r="Q3167">
        <f t="shared" si="144"/>
        <v>1</v>
      </c>
      <c r="R3167" s="195" t="str">
        <f t="shared" si="145"/>
        <v>2022LIGHT VEHICLES</v>
      </c>
    </row>
    <row r="3168" spans="3:18" x14ac:dyDescent="0.25">
      <c r="C3168" s="294" t="s">
        <v>970</v>
      </c>
      <c r="D3168" s="317">
        <v>9849</v>
      </c>
      <c r="E3168" s="122" t="s">
        <v>971</v>
      </c>
      <c r="F3168" s="122" t="s">
        <v>972</v>
      </c>
      <c r="G3168" s="122" t="s">
        <v>778</v>
      </c>
      <c r="H3168" s="122" t="s">
        <v>777</v>
      </c>
      <c r="I3168" s="312">
        <v>2022</v>
      </c>
      <c r="J3168" s="122" t="s">
        <v>709</v>
      </c>
      <c r="K3168" s="283">
        <v>1681</v>
      </c>
      <c r="L3168" s="318">
        <v>-33.877974999999999</v>
      </c>
      <c r="M3168" s="318">
        <v>151.09318500000001</v>
      </c>
      <c r="O3168">
        <f>INDEX('MEC - traffic congestion'!$M$145:$M$249,MATCH($D3168,'MEC - traffic congestion'!$C$145:$C$249,0))</f>
        <v>1</v>
      </c>
      <c r="P3168" t="str">
        <f t="shared" si="143"/>
        <v>2022AM PEAK</v>
      </c>
      <c r="Q3168">
        <f t="shared" si="144"/>
        <v>1</v>
      </c>
      <c r="R3168" s="195" t="str">
        <f t="shared" si="145"/>
        <v>2022LIGHT VEHICLES</v>
      </c>
    </row>
    <row r="3169" spans="3:18" x14ac:dyDescent="0.25">
      <c r="C3169" s="294" t="s">
        <v>970</v>
      </c>
      <c r="D3169" s="317">
        <v>9849</v>
      </c>
      <c r="E3169" s="122" t="s">
        <v>971</v>
      </c>
      <c r="F3169" s="122" t="s">
        <v>972</v>
      </c>
      <c r="G3169" s="122" t="s">
        <v>776</v>
      </c>
      <c r="H3169" s="122" t="s">
        <v>777</v>
      </c>
      <c r="I3169" s="312">
        <v>2022</v>
      </c>
      <c r="J3169" s="122" t="s">
        <v>710</v>
      </c>
      <c r="K3169" s="283">
        <v>3703</v>
      </c>
      <c r="L3169" s="318">
        <v>-33.877974999999999</v>
      </c>
      <c r="M3169" s="318">
        <v>151.09318500000001</v>
      </c>
      <c r="O3169">
        <f>INDEX('MEC - traffic congestion'!$M$145:$M$249,MATCH($D3169,'MEC - traffic congestion'!$C$145:$C$249,0))</f>
        <v>1</v>
      </c>
      <c r="P3169" t="str">
        <f t="shared" si="143"/>
        <v>2022OFF PEAK</v>
      </c>
      <c r="Q3169">
        <f t="shared" si="144"/>
        <v>1</v>
      </c>
      <c r="R3169" s="195" t="str">
        <f t="shared" si="145"/>
        <v>2022LIGHT VEHICLES</v>
      </c>
    </row>
    <row r="3170" spans="3:18" x14ac:dyDescent="0.25">
      <c r="C3170" s="294" t="s">
        <v>970</v>
      </c>
      <c r="D3170" s="317">
        <v>9849</v>
      </c>
      <c r="E3170" s="122" t="s">
        <v>971</v>
      </c>
      <c r="F3170" s="122" t="s">
        <v>972</v>
      </c>
      <c r="G3170" s="122" t="s">
        <v>778</v>
      </c>
      <c r="H3170" s="122" t="s">
        <v>777</v>
      </c>
      <c r="I3170" s="312">
        <v>2022</v>
      </c>
      <c r="J3170" s="122" t="s">
        <v>710</v>
      </c>
      <c r="K3170" s="283">
        <v>4065</v>
      </c>
      <c r="L3170" s="318">
        <v>-33.877974999999999</v>
      </c>
      <c r="M3170" s="318">
        <v>151.09318500000001</v>
      </c>
      <c r="O3170">
        <f>INDEX('MEC - traffic congestion'!$M$145:$M$249,MATCH($D3170,'MEC - traffic congestion'!$C$145:$C$249,0))</f>
        <v>1</v>
      </c>
      <c r="P3170" t="str">
        <f t="shared" si="143"/>
        <v>2022OFF PEAK</v>
      </c>
      <c r="Q3170">
        <f t="shared" si="144"/>
        <v>1</v>
      </c>
      <c r="R3170" s="195" t="str">
        <f t="shared" si="145"/>
        <v>2022LIGHT VEHICLES</v>
      </c>
    </row>
    <row r="3171" spans="3:18" x14ac:dyDescent="0.25">
      <c r="C3171" s="294" t="s">
        <v>970</v>
      </c>
      <c r="D3171" s="317">
        <v>9849</v>
      </c>
      <c r="E3171" s="122" t="s">
        <v>971</v>
      </c>
      <c r="F3171" s="122" t="s">
        <v>972</v>
      </c>
      <c r="G3171" s="122" t="s">
        <v>776</v>
      </c>
      <c r="H3171" s="122" t="s">
        <v>777</v>
      </c>
      <c r="I3171" s="312">
        <v>2022</v>
      </c>
      <c r="J3171" s="122" t="s">
        <v>711</v>
      </c>
      <c r="K3171" s="283">
        <v>2248</v>
      </c>
      <c r="L3171" s="318">
        <v>-33.877974999999999</v>
      </c>
      <c r="M3171" s="318">
        <v>151.09318500000001</v>
      </c>
      <c r="O3171">
        <f>INDEX('MEC - traffic congestion'!$M$145:$M$249,MATCH($D3171,'MEC - traffic congestion'!$C$145:$C$249,0))</f>
        <v>1</v>
      </c>
      <c r="P3171" t="str">
        <f t="shared" si="143"/>
        <v>2022PM PEAK</v>
      </c>
      <c r="Q3171">
        <f t="shared" si="144"/>
        <v>1</v>
      </c>
      <c r="R3171" s="195" t="str">
        <f t="shared" si="145"/>
        <v>2022LIGHT VEHICLES</v>
      </c>
    </row>
    <row r="3172" spans="3:18" x14ac:dyDescent="0.25">
      <c r="C3172" s="294" t="s">
        <v>970</v>
      </c>
      <c r="D3172" s="317">
        <v>9849</v>
      </c>
      <c r="E3172" s="122" t="s">
        <v>971</v>
      </c>
      <c r="F3172" s="122" t="s">
        <v>972</v>
      </c>
      <c r="G3172" s="122" t="s">
        <v>778</v>
      </c>
      <c r="H3172" s="122" t="s">
        <v>777</v>
      </c>
      <c r="I3172" s="312">
        <v>2022</v>
      </c>
      <c r="J3172" s="122" t="s">
        <v>711</v>
      </c>
      <c r="K3172" s="283">
        <v>3069</v>
      </c>
      <c r="L3172" s="318">
        <v>-33.877974999999999</v>
      </c>
      <c r="M3172" s="318">
        <v>151.09318500000001</v>
      </c>
      <c r="O3172">
        <f>INDEX('MEC - traffic congestion'!$M$145:$M$249,MATCH($D3172,'MEC - traffic congestion'!$C$145:$C$249,0))</f>
        <v>1</v>
      </c>
      <c r="P3172" t="str">
        <f t="shared" si="143"/>
        <v>2022PM PEAK</v>
      </c>
      <c r="Q3172">
        <f t="shared" si="144"/>
        <v>1</v>
      </c>
      <c r="R3172" s="195" t="str">
        <f t="shared" si="145"/>
        <v>2022LIGHT VEHICLES</v>
      </c>
    </row>
    <row r="3173" spans="3:18" x14ac:dyDescent="0.25">
      <c r="C3173" s="294" t="s">
        <v>970</v>
      </c>
      <c r="D3173" s="317">
        <v>9849</v>
      </c>
      <c r="E3173" s="122" t="s">
        <v>971</v>
      </c>
      <c r="F3173" s="122" t="s">
        <v>972</v>
      </c>
      <c r="G3173" s="122" t="s">
        <v>776</v>
      </c>
      <c r="H3173" s="122" t="s">
        <v>777</v>
      </c>
      <c r="I3173" s="312">
        <v>2022</v>
      </c>
      <c r="J3173" s="122" t="s">
        <v>713</v>
      </c>
      <c r="K3173" s="283">
        <v>7485</v>
      </c>
      <c r="L3173" s="318">
        <v>-33.877974999999999</v>
      </c>
      <c r="M3173" s="318">
        <v>151.09318500000001</v>
      </c>
      <c r="O3173">
        <f>INDEX('MEC - traffic congestion'!$M$145:$M$249,MATCH($D3173,'MEC - traffic congestion'!$C$145:$C$249,0))</f>
        <v>1</v>
      </c>
      <c r="P3173" t="str">
        <f t="shared" si="143"/>
        <v>2022WEEKENDS</v>
      </c>
      <c r="Q3173">
        <f t="shared" si="144"/>
        <v>1</v>
      </c>
      <c r="R3173" s="195" t="str">
        <f t="shared" si="145"/>
        <v>2022LIGHT VEHICLES</v>
      </c>
    </row>
    <row r="3174" spans="3:18" x14ac:dyDescent="0.25">
      <c r="C3174" s="294" t="s">
        <v>970</v>
      </c>
      <c r="D3174" s="317">
        <v>9849</v>
      </c>
      <c r="E3174" s="122" t="s">
        <v>971</v>
      </c>
      <c r="F3174" s="122" t="s">
        <v>972</v>
      </c>
      <c r="G3174" s="122" t="s">
        <v>778</v>
      </c>
      <c r="H3174" s="122" t="s">
        <v>777</v>
      </c>
      <c r="I3174" s="312">
        <v>2022</v>
      </c>
      <c r="J3174" s="122" t="s">
        <v>713</v>
      </c>
      <c r="K3174" s="283">
        <v>7754</v>
      </c>
      <c r="L3174" s="318">
        <v>-33.877974999999999</v>
      </c>
      <c r="M3174" s="318">
        <v>151.09318500000001</v>
      </c>
      <c r="O3174">
        <f>INDEX('MEC - traffic congestion'!$M$145:$M$249,MATCH($D3174,'MEC - traffic congestion'!$C$145:$C$249,0))</f>
        <v>1</v>
      </c>
      <c r="P3174" t="str">
        <f t="shared" si="143"/>
        <v>2022WEEKENDS</v>
      </c>
      <c r="Q3174">
        <f t="shared" si="144"/>
        <v>1</v>
      </c>
      <c r="R3174" s="195" t="str">
        <f t="shared" si="145"/>
        <v>2022LIGHT VEHICLES</v>
      </c>
    </row>
    <row r="3175" spans="3:18" x14ac:dyDescent="0.25">
      <c r="C3175" s="294" t="s">
        <v>970</v>
      </c>
      <c r="D3175" s="317">
        <v>9849</v>
      </c>
      <c r="E3175" s="122" t="s">
        <v>971</v>
      </c>
      <c r="F3175" s="122" t="s">
        <v>972</v>
      </c>
      <c r="G3175" s="122" t="s">
        <v>776</v>
      </c>
      <c r="H3175" s="122" t="s">
        <v>777</v>
      </c>
      <c r="I3175" s="312">
        <v>2023</v>
      </c>
      <c r="J3175" s="122" t="s">
        <v>709</v>
      </c>
      <c r="K3175" s="283">
        <v>2844</v>
      </c>
      <c r="L3175" s="318">
        <v>-33.877974999999999</v>
      </c>
      <c r="M3175" s="318">
        <v>151.09318500000001</v>
      </c>
      <c r="O3175">
        <f>INDEX('MEC - traffic congestion'!$M$145:$M$249,MATCH($D3175,'MEC - traffic congestion'!$C$145:$C$249,0))</f>
        <v>1</v>
      </c>
      <c r="P3175" t="str">
        <f t="shared" si="143"/>
        <v>2023AM PEAK</v>
      </c>
      <c r="Q3175">
        <f t="shared" si="144"/>
        <v>1</v>
      </c>
      <c r="R3175" s="195" t="str">
        <f t="shared" si="145"/>
        <v>2023LIGHT VEHICLES</v>
      </c>
    </row>
    <row r="3176" spans="3:18" x14ac:dyDescent="0.25">
      <c r="C3176" s="294" t="s">
        <v>970</v>
      </c>
      <c r="D3176" s="317">
        <v>9849</v>
      </c>
      <c r="E3176" s="122" t="s">
        <v>971</v>
      </c>
      <c r="F3176" s="122" t="s">
        <v>972</v>
      </c>
      <c r="G3176" s="122" t="s">
        <v>778</v>
      </c>
      <c r="H3176" s="122" t="s">
        <v>777</v>
      </c>
      <c r="I3176" s="312">
        <v>2023</v>
      </c>
      <c r="J3176" s="122" t="s">
        <v>709</v>
      </c>
      <c r="K3176" s="283">
        <v>1744</v>
      </c>
      <c r="L3176" s="318">
        <v>-33.877974999999999</v>
      </c>
      <c r="M3176" s="318">
        <v>151.09318500000001</v>
      </c>
      <c r="O3176">
        <f>INDEX('MEC - traffic congestion'!$M$145:$M$249,MATCH($D3176,'MEC - traffic congestion'!$C$145:$C$249,0))</f>
        <v>1</v>
      </c>
      <c r="P3176" t="str">
        <f t="shared" si="143"/>
        <v>2023AM PEAK</v>
      </c>
      <c r="Q3176">
        <f t="shared" si="144"/>
        <v>1</v>
      </c>
      <c r="R3176" s="195" t="str">
        <f t="shared" si="145"/>
        <v>2023LIGHT VEHICLES</v>
      </c>
    </row>
    <row r="3177" spans="3:18" x14ac:dyDescent="0.25">
      <c r="C3177" s="294" t="s">
        <v>970</v>
      </c>
      <c r="D3177" s="317">
        <v>9849</v>
      </c>
      <c r="E3177" s="122" t="s">
        <v>971</v>
      </c>
      <c r="F3177" s="122" t="s">
        <v>972</v>
      </c>
      <c r="G3177" s="122" t="s">
        <v>776</v>
      </c>
      <c r="H3177" s="122" t="s">
        <v>777</v>
      </c>
      <c r="I3177" s="312">
        <v>2023</v>
      </c>
      <c r="J3177" s="122" t="s">
        <v>710</v>
      </c>
      <c r="K3177" s="283">
        <v>3939</v>
      </c>
      <c r="L3177" s="318">
        <v>-33.877974999999999</v>
      </c>
      <c r="M3177" s="318">
        <v>151.09318500000001</v>
      </c>
      <c r="O3177">
        <f>INDEX('MEC - traffic congestion'!$M$145:$M$249,MATCH($D3177,'MEC - traffic congestion'!$C$145:$C$249,0))</f>
        <v>1</v>
      </c>
      <c r="P3177" t="str">
        <f t="shared" si="143"/>
        <v>2023OFF PEAK</v>
      </c>
      <c r="Q3177">
        <f t="shared" si="144"/>
        <v>1</v>
      </c>
      <c r="R3177" s="195" t="str">
        <f t="shared" si="145"/>
        <v>2023LIGHT VEHICLES</v>
      </c>
    </row>
    <row r="3178" spans="3:18" x14ac:dyDescent="0.25">
      <c r="C3178" s="294" t="s">
        <v>970</v>
      </c>
      <c r="D3178" s="317">
        <v>9849</v>
      </c>
      <c r="E3178" s="122" t="s">
        <v>971</v>
      </c>
      <c r="F3178" s="122" t="s">
        <v>972</v>
      </c>
      <c r="G3178" s="122" t="s">
        <v>778</v>
      </c>
      <c r="H3178" s="122" t="s">
        <v>777</v>
      </c>
      <c r="I3178" s="312">
        <v>2023</v>
      </c>
      <c r="J3178" s="122" t="s">
        <v>710</v>
      </c>
      <c r="K3178" s="283">
        <v>4319</v>
      </c>
      <c r="L3178" s="318">
        <v>-33.877974999999999</v>
      </c>
      <c r="M3178" s="318">
        <v>151.09318500000001</v>
      </c>
      <c r="O3178">
        <f>INDEX('MEC - traffic congestion'!$M$145:$M$249,MATCH($D3178,'MEC - traffic congestion'!$C$145:$C$249,0))</f>
        <v>1</v>
      </c>
      <c r="P3178" t="str">
        <f t="shared" si="143"/>
        <v>2023OFF PEAK</v>
      </c>
      <c r="Q3178">
        <f t="shared" si="144"/>
        <v>1</v>
      </c>
      <c r="R3178" s="195" t="str">
        <f t="shared" si="145"/>
        <v>2023LIGHT VEHICLES</v>
      </c>
    </row>
    <row r="3179" spans="3:18" x14ac:dyDescent="0.25">
      <c r="C3179" s="294" t="s">
        <v>970</v>
      </c>
      <c r="D3179" s="317">
        <v>9849</v>
      </c>
      <c r="E3179" s="122" t="s">
        <v>971</v>
      </c>
      <c r="F3179" s="122" t="s">
        <v>972</v>
      </c>
      <c r="G3179" s="122" t="s">
        <v>776</v>
      </c>
      <c r="H3179" s="122" t="s">
        <v>777</v>
      </c>
      <c r="I3179" s="312">
        <v>2023</v>
      </c>
      <c r="J3179" s="122" t="s">
        <v>711</v>
      </c>
      <c r="K3179" s="283">
        <v>2382</v>
      </c>
      <c r="L3179" s="318">
        <v>-33.877974999999999</v>
      </c>
      <c r="M3179" s="318">
        <v>151.09318500000001</v>
      </c>
      <c r="O3179">
        <f>INDEX('MEC - traffic congestion'!$M$145:$M$249,MATCH($D3179,'MEC - traffic congestion'!$C$145:$C$249,0))</f>
        <v>1</v>
      </c>
      <c r="P3179" t="str">
        <f t="shared" si="143"/>
        <v>2023PM PEAK</v>
      </c>
      <c r="Q3179">
        <f t="shared" si="144"/>
        <v>1</v>
      </c>
      <c r="R3179" s="195" t="str">
        <f t="shared" si="145"/>
        <v>2023LIGHT VEHICLES</v>
      </c>
    </row>
    <row r="3180" spans="3:18" x14ac:dyDescent="0.25">
      <c r="C3180" s="294" t="s">
        <v>970</v>
      </c>
      <c r="D3180" s="317">
        <v>9849</v>
      </c>
      <c r="E3180" s="122" t="s">
        <v>971</v>
      </c>
      <c r="F3180" s="122" t="s">
        <v>972</v>
      </c>
      <c r="G3180" s="122" t="s">
        <v>778</v>
      </c>
      <c r="H3180" s="122" t="s">
        <v>777</v>
      </c>
      <c r="I3180" s="312">
        <v>2023</v>
      </c>
      <c r="J3180" s="122" t="s">
        <v>711</v>
      </c>
      <c r="K3180" s="283">
        <v>3260</v>
      </c>
      <c r="L3180" s="318">
        <v>-33.877974999999999</v>
      </c>
      <c r="M3180" s="318">
        <v>151.09318500000001</v>
      </c>
      <c r="O3180">
        <f>INDEX('MEC - traffic congestion'!$M$145:$M$249,MATCH($D3180,'MEC - traffic congestion'!$C$145:$C$249,0))</f>
        <v>1</v>
      </c>
      <c r="P3180" t="str">
        <f t="shared" si="143"/>
        <v>2023PM PEAK</v>
      </c>
      <c r="Q3180">
        <f t="shared" si="144"/>
        <v>1</v>
      </c>
      <c r="R3180" s="195" t="str">
        <f t="shared" si="145"/>
        <v>2023LIGHT VEHICLES</v>
      </c>
    </row>
    <row r="3181" spans="3:18" x14ac:dyDescent="0.25">
      <c r="C3181" s="294" t="s">
        <v>970</v>
      </c>
      <c r="D3181" s="317">
        <v>9849</v>
      </c>
      <c r="E3181" s="122" t="s">
        <v>971</v>
      </c>
      <c r="F3181" s="122" t="s">
        <v>972</v>
      </c>
      <c r="G3181" s="122" t="s">
        <v>776</v>
      </c>
      <c r="H3181" s="122" t="s">
        <v>777</v>
      </c>
      <c r="I3181" s="312">
        <v>2023</v>
      </c>
      <c r="J3181" s="122" t="s">
        <v>713</v>
      </c>
      <c r="K3181" s="283">
        <v>7746</v>
      </c>
      <c r="L3181" s="318">
        <v>-33.877974999999999</v>
      </c>
      <c r="M3181" s="318">
        <v>151.09318500000001</v>
      </c>
      <c r="O3181">
        <f>INDEX('MEC - traffic congestion'!$M$145:$M$249,MATCH($D3181,'MEC - traffic congestion'!$C$145:$C$249,0))</f>
        <v>1</v>
      </c>
      <c r="P3181" t="str">
        <f t="shared" si="143"/>
        <v>2023WEEKENDS</v>
      </c>
      <c r="Q3181">
        <f t="shared" si="144"/>
        <v>1</v>
      </c>
      <c r="R3181" s="195" t="str">
        <f t="shared" si="145"/>
        <v>2023LIGHT VEHICLES</v>
      </c>
    </row>
    <row r="3182" spans="3:18" x14ac:dyDescent="0.25">
      <c r="C3182" s="294" t="s">
        <v>970</v>
      </c>
      <c r="D3182" s="317">
        <v>9849</v>
      </c>
      <c r="E3182" s="122" t="s">
        <v>971</v>
      </c>
      <c r="F3182" s="122" t="s">
        <v>972</v>
      </c>
      <c r="G3182" s="122" t="s">
        <v>778</v>
      </c>
      <c r="H3182" s="122" t="s">
        <v>777</v>
      </c>
      <c r="I3182" s="312">
        <v>2023</v>
      </c>
      <c r="J3182" s="122" t="s">
        <v>713</v>
      </c>
      <c r="K3182" s="283">
        <v>7943</v>
      </c>
      <c r="L3182" s="318">
        <v>-33.877974999999999</v>
      </c>
      <c r="M3182" s="318">
        <v>151.09318500000001</v>
      </c>
      <c r="O3182">
        <f>INDEX('MEC - traffic congestion'!$M$145:$M$249,MATCH($D3182,'MEC - traffic congestion'!$C$145:$C$249,0))</f>
        <v>1</v>
      </c>
      <c r="P3182" t="str">
        <f t="shared" si="143"/>
        <v>2023WEEKENDS</v>
      </c>
      <c r="Q3182">
        <f t="shared" si="144"/>
        <v>1</v>
      </c>
      <c r="R3182" s="195" t="str">
        <f t="shared" si="145"/>
        <v>2023LIGHT VEHICLES</v>
      </c>
    </row>
    <row r="3183" spans="3:18" x14ac:dyDescent="0.25">
      <c r="C3183" s="294" t="s">
        <v>970</v>
      </c>
      <c r="D3183" s="317">
        <v>9849</v>
      </c>
      <c r="E3183" s="122" t="s">
        <v>971</v>
      </c>
      <c r="F3183" s="122" t="s">
        <v>972</v>
      </c>
      <c r="G3183" s="122" t="s">
        <v>776</v>
      </c>
      <c r="H3183" s="122" t="s">
        <v>777</v>
      </c>
      <c r="I3183" s="312">
        <v>2024</v>
      </c>
      <c r="J3183" s="122" t="s">
        <v>709</v>
      </c>
      <c r="K3183" s="283">
        <v>2797</v>
      </c>
      <c r="L3183" s="318">
        <v>-33.877974999999999</v>
      </c>
      <c r="M3183" s="318">
        <v>151.09318500000001</v>
      </c>
      <c r="O3183">
        <f>INDEX('MEC - traffic congestion'!$M$145:$M$249,MATCH($D3183,'MEC - traffic congestion'!$C$145:$C$249,0))</f>
        <v>1</v>
      </c>
      <c r="P3183" t="str">
        <f t="shared" si="143"/>
        <v>2024AM PEAK</v>
      </c>
      <c r="Q3183">
        <f t="shared" si="144"/>
        <v>1</v>
      </c>
      <c r="R3183" s="195" t="str">
        <f t="shared" si="145"/>
        <v>2024LIGHT VEHICLES</v>
      </c>
    </row>
    <row r="3184" spans="3:18" x14ac:dyDescent="0.25">
      <c r="C3184" s="294" t="s">
        <v>970</v>
      </c>
      <c r="D3184" s="317">
        <v>9849</v>
      </c>
      <c r="E3184" s="122" t="s">
        <v>971</v>
      </c>
      <c r="F3184" s="122" t="s">
        <v>972</v>
      </c>
      <c r="G3184" s="122" t="s">
        <v>778</v>
      </c>
      <c r="H3184" s="122" t="s">
        <v>777</v>
      </c>
      <c r="I3184" s="312">
        <v>2024</v>
      </c>
      <c r="J3184" s="122" t="s">
        <v>709</v>
      </c>
      <c r="K3184" s="283">
        <v>1764</v>
      </c>
      <c r="L3184" s="318">
        <v>-33.877974999999999</v>
      </c>
      <c r="M3184" s="318">
        <v>151.09318500000001</v>
      </c>
      <c r="O3184">
        <f>INDEX('MEC - traffic congestion'!$M$145:$M$249,MATCH($D3184,'MEC - traffic congestion'!$C$145:$C$249,0))</f>
        <v>1</v>
      </c>
      <c r="P3184" t="str">
        <f t="shared" si="143"/>
        <v>2024AM PEAK</v>
      </c>
      <c r="Q3184">
        <f t="shared" si="144"/>
        <v>1</v>
      </c>
      <c r="R3184" s="195" t="str">
        <f t="shared" si="145"/>
        <v>2024LIGHT VEHICLES</v>
      </c>
    </row>
    <row r="3185" spans="3:18" x14ac:dyDescent="0.25">
      <c r="C3185" s="294" t="s">
        <v>970</v>
      </c>
      <c r="D3185" s="317">
        <v>9849</v>
      </c>
      <c r="E3185" s="122" t="s">
        <v>971</v>
      </c>
      <c r="F3185" s="122" t="s">
        <v>972</v>
      </c>
      <c r="G3185" s="122" t="s">
        <v>776</v>
      </c>
      <c r="H3185" s="122" t="s">
        <v>777</v>
      </c>
      <c r="I3185" s="312">
        <v>2024</v>
      </c>
      <c r="J3185" s="122" t="s">
        <v>710</v>
      </c>
      <c r="K3185" s="283">
        <v>4098</v>
      </c>
      <c r="L3185" s="318">
        <v>-33.877974999999999</v>
      </c>
      <c r="M3185" s="318">
        <v>151.09318500000001</v>
      </c>
      <c r="O3185">
        <f>INDEX('MEC - traffic congestion'!$M$145:$M$249,MATCH($D3185,'MEC - traffic congestion'!$C$145:$C$249,0))</f>
        <v>1</v>
      </c>
      <c r="P3185" t="str">
        <f t="shared" si="143"/>
        <v>2024OFF PEAK</v>
      </c>
      <c r="Q3185">
        <f t="shared" si="144"/>
        <v>1</v>
      </c>
      <c r="R3185" s="195" t="str">
        <f t="shared" si="145"/>
        <v>2024LIGHT VEHICLES</v>
      </c>
    </row>
    <row r="3186" spans="3:18" x14ac:dyDescent="0.25">
      <c r="C3186" s="294" t="s">
        <v>970</v>
      </c>
      <c r="D3186" s="317">
        <v>9849</v>
      </c>
      <c r="E3186" s="122" t="s">
        <v>971</v>
      </c>
      <c r="F3186" s="122" t="s">
        <v>972</v>
      </c>
      <c r="G3186" s="122" t="s">
        <v>778</v>
      </c>
      <c r="H3186" s="122" t="s">
        <v>777</v>
      </c>
      <c r="I3186" s="312">
        <v>2024</v>
      </c>
      <c r="J3186" s="122" t="s">
        <v>710</v>
      </c>
      <c r="K3186" s="283">
        <v>4530</v>
      </c>
      <c r="L3186" s="318">
        <v>-33.877974999999999</v>
      </c>
      <c r="M3186" s="318">
        <v>151.09318500000001</v>
      </c>
      <c r="O3186">
        <f>INDEX('MEC - traffic congestion'!$M$145:$M$249,MATCH($D3186,'MEC - traffic congestion'!$C$145:$C$249,0))</f>
        <v>1</v>
      </c>
      <c r="P3186" t="str">
        <f t="shared" si="143"/>
        <v>2024OFF PEAK</v>
      </c>
      <c r="Q3186">
        <f t="shared" si="144"/>
        <v>1</v>
      </c>
      <c r="R3186" s="195" t="str">
        <f t="shared" si="145"/>
        <v>2024LIGHT VEHICLES</v>
      </c>
    </row>
    <row r="3187" spans="3:18" x14ac:dyDescent="0.25">
      <c r="C3187" s="294" t="s">
        <v>970</v>
      </c>
      <c r="D3187" s="317">
        <v>9849</v>
      </c>
      <c r="E3187" s="122" t="s">
        <v>971</v>
      </c>
      <c r="F3187" s="122" t="s">
        <v>972</v>
      </c>
      <c r="G3187" s="122" t="s">
        <v>776</v>
      </c>
      <c r="H3187" s="122" t="s">
        <v>777</v>
      </c>
      <c r="I3187" s="312">
        <v>2024</v>
      </c>
      <c r="J3187" s="122" t="s">
        <v>711</v>
      </c>
      <c r="K3187" s="283">
        <v>2368</v>
      </c>
      <c r="L3187" s="318">
        <v>-33.877974999999999</v>
      </c>
      <c r="M3187" s="318">
        <v>151.09318500000001</v>
      </c>
      <c r="O3187">
        <f>INDEX('MEC - traffic congestion'!$M$145:$M$249,MATCH($D3187,'MEC - traffic congestion'!$C$145:$C$249,0))</f>
        <v>1</v>
      </c>
      <c r="P3187" t="str">
        <f t="shared" si="143"/>
        <v>2024PM PEAK</v>
      </c>
      <c r="Q3187">
        <f t="shared" si="144"/>
        <v>1</v>
      </c>
      <c r="R3187" s="195" t="str">
        <f t="shared" si="145"/>
        <v>2024LIGHT VEHICLES</v>
      </c>
    </row>
    <row r="3188" spans="3:18" x14ac:dyDescent="0.25">
      <c r="C3188" s="294" t="s">
        <v>970</v>
      </c>
      <c r="D3188" s="317">
        <v>9849</v>
      </c>
      <c r="E3188" s="122" t="s">
        <v>971</v>
      </c>
      <c r="F3188" s="122" t="s">
        <v>972</v>
      </c>
      <c r="G3188" s="122" t="s">
        <v>778</v>
      </c>
      <c r="H3188" s="122" t="s">
        <v>777</v>
      </c>
      <c r="I3188" s="312">
        <v>2024</v>
      </c>
      <c r="J3188" s="122" t="s">
        <v>711</v>
      </c>
      <c r="K3188" s="283">
        <v>3284</v>
      </c>
      <c r="L3188" s="318">
        <v>-33.877974999999999</v>
      </c>
      <c r="M3188" s="318">
        <v>151.09318500000001</v>
      </c>
      <c r="O3188">
        <f>INDEX('MEC - traffic congestion'!$M$145:$M$249,MATCH($D3188,'MEC - traffic congestion'!$C$145:$C$249,0))</f>
        <v>1</v>
      </c>
      <c r="P3188" t="str">
        <f t="shared" si="143"/>
        <v>2024PM PEAK</v>
      </c>
      <c r="Q3188">
        <f t="shared" si="144"/>
        <v>1</v>
      </c>
      <c r="R3188" s="195" t="str">
        <f t="shared" si="145"/>
        <v>2024LIGHT VEHICLES</v>
      </c>
    </row>
    <row r="3189" spans="3:18" x14ac:dyDescent="0.25">
      <c r="C3189" s="294" t="s">
        <v>970</v>
      </c>
      <c r="D3189" s="317">
        <v>9849</v>
      </c>
      <c r="E3189" s="122" t="s">
        <v>971</v>
      </c>
      <c r="F3189" s="122" t="s">
        <v>972</v>
      </c>
      <c r="G3189" s="122" t="s">
        <v>776</v>
      </c>
      <c r="H3189" s="122" t="s">
        <v>777</v>
      </c>
      <c r="I3189" s="312">
        <v>2024</v>
      </c>
      <c r="J3189" s="122" t="s">
        <v>713</v>
      </c>
      <c r="K3189" s="283">
        <v>7759</v>
      </c>
      <c r="L3189" s="318">
        <v>-33.877974999999999</v>
      </c>
      <c r="M3189" s="318">
        <v>151.09318500000001</v>
      </c>
      <c r="O3189">
        <f>INDEX('MEC - traffic congestion'!$M$145:$M$249,MATCH($D3189,'MEC - traffic congestion'!$C$145:$C$249,0))</f>
        <v>1</v>
      </c>
      <c r="P3189" t="str">
        <f t="shared" si="143"/>
        <v>2024WEEKENDS</v>
      </c>
      <c r="Q3189">
        <f t="shared" si="144"/>
        <v>1</v>
      </c>
      <c r="R3189" s="195" t="str">
        <f t="shared" si="145"/>
        <v>2024LIGHT VEHICLES</v>
      </c>
    </row>
    <row r="3190" spans="3:18" x14ac:dyDescent="0.25">
      <c r="C3190" s="294" t="s">
        <v>970</v>
      </c>
      <c r="D3190" s="317">
        <v>9849</v>
      </c>
      <c r="E3190" s="122" t="s">
        <v>971</v>
      </c>
      <c r="F3190" s="122" t="s">
        <v>972</v>
      </c>
      <c r="G3190" s="122" t="s">
        <v>778</v>
      </c>
      <c r="H3190" s="122" t="s">
        <v>777</v>
      </c>
      <c r="I3190" s="312">
        <v>2024</v>
      </c>
      <c r="J3190" s="122" t="s">
        <v>713</v>
      </c>
      <c r="K3190" s="283">
        <v>7902</v>
      </c>
      <c r="L3190" s="318">
        <v>-33.877974999999999</v>
      </c>
      <c r="M3190" s="318">
        <v>151.09318500000001</v>
      </c>
      <c r="O3190">
        <f>INDEX('MEC - traffic congestion'!$M$145:$M$249,MATCH($D3190,'MEC - traffic congestion'!$C$145:$C$249,0))</f>
        <v>1</v>
      </c>
      <c r="P3190" t="str">
        <f t="shared" si="143"/>
        <v>2024WEEKENDS</v>
      </c>
      <c r="Q3190">
        <f t="shared" si="144"/>
        <v>1</v>
      </c>
      <c r="R3190" s="195" t="str">
        <f t="shared" si="145"/>
        <v>2024LIGHT VEHICLES</v>
      </c>
    </row>
    <row r="3191" spans="3:18" x14ac:dyDescent="0.25">
      <c r="C3191" s="294" t="s">
        <v>973</v>
      </c>
      <c r="D3191" s="317" t="s">
        <v>732</v>
      </c>
      <c r="E3191" s="122" t="s">
        <v>974</v>
      </c>
      <c r="F3191" s="122" t="s">
        <v>975</v>
      </c>
      <c r="G3191" s="122" t="s">
        <v>776</v>
      </c>
      <c r="H3191" s="122" t="s">
        <v>777</v>
      </c>
      <c r="I3191" s="312">
        <v>2018</v>
      </c>
      <c r="J3191" s="122" t="s">
        <v>709</v>
      </c>
      <c r="K3191" s="283">
        <v>2546</v>
      </c>
      <c r="L3191" s="318">
        <v>-34.309756999999998</v>
      </c>
      <c r="M3191" s="318">
        <v>150.60140999999999</v>
      </c>
      <c r="O3191">
        <f>INDEX('MEC - traffic congestion'!$M$145:$M$249,MATCH($D3191,'MEC - traffic congestion'!$C$145:$C$249,0))</f>
        <v>1</v>
      </c>
      <c r="P3191" t="str">
        <f t="shared" si="143"/>
        <v>2018AM PEAK</v>
      </c>
      <c r="Q3191">
        <f t="shared" si="144"/>
        <v>1</v>
      </c>
      <c r="R3191" s="195" t="str">
        <f t="shared" si="145"/>
        <v>2018LIGHT VEHICLES</v>
      </c>
    </row>
    <row r="3192" spans="3:18" x14ac:dyDescent="0.25">
      <c r="C3192" s="294" t="s">
        <v>973</v>
      </c>
      <c r="D3192" s="317" t="s">
        <v>732</v>
      </c>
      <c r="E3192" s="122" t="s">
        <v>974</v>
      </c>
      <c r="F3192" s="122" t="s">
        <v>975</v>
      </c>
      <c r="G3192" s="122" t="s">
        <v>778</v>
      </c>
      <c r="H3192" s="122" t="s">
        <v>777</v>
      </c>
      <c r="I3192" s="312">
        <v>2018</v>
      </c>
      <c r="J3192" s="122" t="s">
        <v>709</v>
      </c>
      <c r="K3192" s="283">
        <v>3188</v>
      </c>
      <c r="L3192" s="318">
        <v>-34.309756999999998</v>
      </c>
      <c r="M3192" s="318">
        <v>150.60140999999999</v>
      </c>
      <c r="O3192">
        <f>INDEX('MEC - traffic congestion'!$M$145:$M$249,MATCH($D3192,'MEC - traffic congestion'!$C$145:$C$249,0))</f>
        <v>1</v>
      </c>
      <c r="P3192" t="str">
        <f t="shared" si="143"/>
        <v>2018AM PEAK</v>
      </c>
      <c r="Q3192">
        <f t="shared" si="144"/>
        <v>1</v>
      </c>
      <c r="R3192" s="195" t="str">
        <f t="shared" si="145"/>
        <v>2018LIGHT VEHICLES</v>
      </c>
    </row>
    <row r="3193" spans="3:18" x14ac:dyDescent="0.25">
      <c r="C3193" s="294" t="s">
        <v>973</v>
      </c>
      <c r="D3193" s="317" t="s">
        <v>732</v>
      </c>
      <c r="E3193" s="122" t="s">
        <v>974</v>
      </c>
      <c r="F3193" s="122" t="s">
        <v>975</v>
      </c>
      <c r="G3193" s="122" t="s">
        <v>776</v>
      </c>
      <c r="H3193" s="122" t="s">
        <v>777</v>
      </c>
      <c r="I3193" s="312">
        <v>2018</v>
      </c>
      <c r="J3193" s="122" t="s">
        <v>710</v>
      </c>
      <c r="K3193" s="283">
        <v>6162</v>
      </c>
      <c r="L3193" s="318">
        <v>-34.309756999999998</v>
      </c>
      <c r="M3193" s="318">
        <v>150.60140999999999</v>
      </c>
      <c r="O3193">
        <f>INDEX('MEC - traffic congestion'!$M$145:$M$249,MATCH($D3193,'MEC - traffic congestion'!$C$145:$C$249,0))</f>
        <v>1</v>
      </c>
      <c r="P3193" t="str">
        <f t="shared" si="143"/>
        <v>2018OFF PEAK</v>
      </c>
      <c r="Q3193">
        <f t="shared" si="144"/>
        <v>1</v>
      </c>
      <c r="R3193" s="195" t="str">
        <f t="shared" si="145"/>
        <v>2018LIGHT VEHICLES</v>
      </c>
    </row>
    <row r="3194" spans="3:18" x14ac:dyDescent="0.25">
      <c r="C3194" s="294" t="s">
        <v>973</v>
      </c>
      <c r="D3194" s="317" t="s">
        <v>732</v>
      </c>
      <c r="E3194" s="122" t="s">
        <v>974</v>
      </c>
      <c r="F3194" s="122" t="s">
        <v>975</v>
      </c>
      <c r="G3194" s="122" t="s">
        <v>778</v>
      </c>
      <c r="H3194" s="122" t="s">
        <v>777</v>
      </c>
      <c r="I3194" s="312">
        <v>2018</v>
      </c>
      <c r="J3194" s="122" t="s">
        <v>710</v>
      </c>
      <c r="K3194" s="283">
        <v>6389</v>
      </c>
      <c r="L3194" s="318">
        <v>-34.309756999999998</v>
      </c>
      <c r="M3194" s="318">
        <v>150.60140999999999</v>
      </c>
      <c r="O3194">
        <f>INDEX('MEC - traffic congestion'!$M$145:$M$249,MATCH($D3194,'MEC - traffic congestion'!$C$145:$C$249,0))</f>
        <v>1</v>
      </c>
      <c r="P3194" t="str">
        <f t="shared" si="143"/>
        <v>2018OFF PEAK</v>
      </c>
      <c r="Q3194">
        <f t="shared" si="144"/>
        <v>1</v>
      </c>
      <c r="R3194" s="195" t="str">
        <f t="shared" si="145"/>
        <v>2018LIGHT VEHICLES</v>
      </c>
    </row>
    <row r="3195" spans="3:18" x14ac:dyDescent="0.25">
      <c r="C3195" s="294" t="s">
        <v>973</v>
      </c>
      <c r="D3195" s="317" t="s">
        <v>732</v>
      </c>
      <c r="E3195" s="122" t="s">
        <v>974</v>
      </c>
      <c r="F3195" s="122" t="s">
        <v>975</v>
      </c>
      <c r="G3195" s="122" t="s">
        <v>776</v>
      </c>
      <c r="H3195" s="122" t="s">
        <v>777</v>
      </c>
      <c r="I3195" s="312">
        <v>2018</v>
      </c>
      <c r="J3195" s="122" t="s">
        <v>711</v>
      </c>
      <c r="K3195" s="283">
        <v>4021</v>
      </c>
      <c r="L3195" s="318">
        <v>-34.309756999999998</v>
      </c>
      <c r="M3195" s="318">
        <v>150.60140999999999</v>
      </c>
      <c r="O3195">
        <f>INDEX('MEC - traffic congestion'!$M$145:$M$249,MATCH($D3195,'MEC - traffic congestion'!$C$145:$C$249,0))</f>
        <v>1</v>
      </c>
      <c r="P3195" t="str">
        <f t="shared" si="143"/>
        <v>2018PM PEAK</v>
      </c>
      <c r="Q3195">
        <f t="shared" si="144"/>
        <v>1</v>
      </c>
      <c r="R3195" s="195" t="str">
        <f t="shared" si="145"/>
        <v>2018LIGHT VEHICLES</v>
      </c>
    </row>
    <row r="3196" spans="3:18" x14ac:dyDescent="0.25">
      <c r="C3196" s="294" t="s">
        <v>973</v>
      </c>
      <c r="D3196" s="317" t="s">
        <v>732</v>
      </c>
      <c r="E3196" s="122" t="s">
        <v>974</v>
      </c>
      <c r="F3196" s="122" t="s">
        <v>975</v>
      </c>
      <c r="G3196" s="122" t="s">
        <v>778</v>
      </c>
      <c r="H3196" s="122" t="s">
        <v>777</v>
      </c>
      <c r="I3196" s="312">
        <v>2018</v>
      </c>
      <c r="J3196" s="122" t="s">
        <v>711</v>
      </c>
      <c r="K3196" s="283">
        <v>3651</v>
      </c>
      <c r="L3196" s="318">
        <v>-34.309756999999998</v>
      </c>
      <c r="M3196" s="318">
        <v>150.60140999999999</v>
      </c>
      <c r="O3196">
        <f>INDEX('MEC - traffic congestion'!$M$145:$M$249,MATCH($D3196,'MEC - traffic congestion'!$C$145:$C$249,0))</f>
        <v>1</v>
      </c>
      <c r="P3196" t="str">
        <f t="shared" si="143"/>
        <v>2018PM PEAK</v>
      </c>
      <c r="Q3196">
        <f t="shared" si="144"/>
        <v>1</v>
      </c>
      <c r="R3196" s="195" t="str">
        <f t="shared" si="145"/>
        <v>2018LIGHT VEHICLES</v>
      </c>
    </row>
    <row r="3197" spans="3:18" x14ac:dyDescent="0.25">
      <c r="C3197" s="294" t="s">
        <v>973</v>
      </c>
      <c r="D3197" s="317" t="s">
        <v>732</v>
      </c>
      <c r="E3197" s="122" t="s">
        <v>974</v>
      </c>
      <c r="F3197" s="122" t="s">
        <v>975</v>
      </c>
      <c r="G3197" s="122" t="s">
        <v>776</v>
      </c>
      <c r="H3197" s="122" t="s">
        <v>777</v>
      </c>
      <c r="I3197" s="312">
        <v>2018</v>
      </c>
      <c r="J3197" s="122" t="s">
        <v>712</v>
      </c>
      <c r="K3197" s="283">
        <v>16538</v>
      </c>
      <c r="L3197" s="318">
        <v>-34.309756999999998</v>
      </c>
      <c r="M3197" s="318">
        <v>150.60140999999999</v>
      </c>
      <c r="O3197">
        <f>INDEX('MEC - traffic congestion'!$M$145:$M$249,MATCH($D3197,'MEC - traffic congestion'!$C$145:$C$249,0))</f>
        <v>1</v>
      </c>
      <c r="P3197" t="str">
        <f t="shared" si="143"/>
        <v>2018PUBLIC HOLIDAYS</v>
      </c>
      <c r="Q3197">
        <f t="shared" si="144"/>
        <v>1</v>
      </c>
      <c r="R3197" s="195" t="str">
        <f t="shared" si="145"/>
        <v>2018LIGHT VEHICLES</v>
      </c>
    </row>
    <row r="3198" spans="3:18" x14ac:dyDescent="0.25">
      <c r="C3198" s="294" t="s">
        <v>973</v>
      </c>
      <c r="D3198" s="317" t="s">
        <v>732</v>
      </c>
      <c r="E3198" s="122" t="s">
        <v>974</v>
      </c>
      <c r="F3198" s="122" t="s">
        <v>975</v>
      </c>
      <c r="G3198" s="122" t="s">
        <v>778</v>
      </c>
      <c r="H3198" s="122" t="s">
        <v>777</v>
      </c>
      <c r="I3198" s="312">
        <v>2018</v>
      </c>
      <c r="J3198" s="122" t="s">
        <v>712</v>
      </c>
      <c r="K3198" s="283">
        <v>16719</v>
      </c>
      <c r="L3198" s="318">
        <v>-34.309756999999998</v>
      </c>
      <c r="M3198" s="318">
        <v>150.60140999999999</v>
      </c>
      <c r="O3198">
        <f>INDEX('MEC - traffic congestion'!$M$145:$M$249,MATCH($D3198,'MEC - traffic congestion'!$C$145:$C$249,0))</f>
        <v>1</v>
      </c>
      <c r="P3198" t="str">
        <f t="shared" si="143"/>
        <v>2018PUBLIC HOLIDAYS</v>
      </c>
      <c r="Q3198">
        <f t="shared" si="144"/>
        <v>1</v>
      </c>
      <c r="R3198" s="195" t="str">
        <f t="shared" si="145"/>
        <v>2018LIGHT VEHICLES</v>
      </c>
    </row>
    <row r="3199" spans="3:18" x14ac:dyDescent="0.25">
      <c r="C3199" s="294" t="s">
        <v>973</v>
      </c>
      <c r="D3199" s="317" t="s">
        <v>732</v>
      </c>
      <c r="E3199" s="122" t="s">
        <v>974</v>
      </c>
      <c r="F3199" s="122" t="s">
        <v>975</v>
      </c>
      <c r="G3199" s="122" t="s">
        <v>776</v>
      </c>
      <c r="H3199" s="122" t="s">
        <v>777</v>
      </c>
      <c r="I3199" s="312">
        <v>2018</v>
      </c>
      <c r="J3199" s="122" t="s">
        <v>713</v>
      </c>
      <c r="K3199" s="283">
        <v>16956</v>
      </c>
      <c r="L3199" s="318">
        <v>-34.309756999999998</v>
      </c>
      <c r="M3199" s="318">
        <v>150.60140999999999</v>
      </c>
      <c r="O3199">
        <f>INDEX('MEC - traffic congestion'!$M$145:$M$249,MATCH($D3199,'MEC - traffic congestion'!$C$145:$C$249,0))</f>
        <v>1</v>
      </c>
      <c r="P3199" t="str">
        <f t="shared" si="143"/>
        <v>2018WEEKENDS</v>
      </c>
      <c r="Q3199">
        <f t="shared" si="144"/>
        <v>1</v>
      </c>
      <c r="R3199" s="195" t="str">
        <f t="shared" si="145"/>
        <v>2018LIGHT VEHICLES</v>
      </c>
    </row>
    <row r="3200" spans="3:18" x14ac:dyDescent="0.25">
      <c r="C3200" s="294" t="s">
        <v>973</v>
      </c>
      <c r="D3200" s="317" t="s">
        <v>732</v>
      </c>
      <c r="E3200" s="122" t="s">
        <v>974</v>
      </c>
      <c r="F3200" s="122" t="s">
        <v>975</v>
      </c>
      <c r="G3200" s="122" t="s">
        <v>778</v>
      </c>
      <c r="H3200" s="122" t="s">
        <v>777</v>
      </c>
      <c r="I3200" s="312">
        <v>2018</v>
      </c>
      <c r="J3200" s="122" t="s">
        <v>713</v>
      </c>
      <c r="K3200" s="283">
        <v>16509</v>
      </c>
      <c r="L3200" s="318">
        <v>-34.309756999999998</v>
      </c>
      <c r="M3200" s="318">
        <v>150.60140999999999</v>
      </c>
      <c r="O3200">
        <f>INDEX('MEC - traffic congestion'!$M$145:$M$249,MATCH($D3200,'MEC - traffic congestion'!$C$145:$C$249,0))</f>
        <v>1</v>
      </c>
      <c r="P3200" t="str">
        <f t="shared" si="143"/>
        <v>2018WEEKENDS</v>
      </c>
      <c r="Q3200">
        <f t="shared" si="144"/>
        <v>1</v>
      </c>
      <c r="R3200" s="195" t="str">
        <f t="shared" si="145"/>
        <v>2018LIGHT VEHICLES</v>
      </c>
    </row>
    <row r="3201" spans="3:18" x14ac:dyDescent="0.25">
      <c r="C3201" s="294" t="s">
        <v>973</v>
      </c>
      <c r="D3201" s="317" t="s">
        <v>732</v>
      </c>
      <c r="E3201" s="122" t="s">
        <v>974</v>
      </c>
      <c r="F3201" s="122" t="s">
        <v>975</v>
      </c>
      <c r="G3201" s="122" t="s">
        <v>776</v>
      </c>
      <c r="H3201" s="122" t="s">
        <v>777</v>
      </c>
      <c r="I3201" s="312">
        <v>2019</v>
      </c>
      <c r="J3201" s="122" t="s">
        <v>709</v>
      </c>
      <c r="K3201" s="283">
        <v>2523</v>
      </c>
      <c r="L3201" s="318">
        <v>-34.309756999999998</v>
      </c>
      <c r="M3201" s="318">
        <v>150.60140999999999</v>
      </c>
      <c r="O3201">
        <f>INDEX('MEC - traffic congestion'!$M$145:$M$249,MATCH($D3201,'MEC - traffic congestion'!$C$145:$C$249,0))</f>
        <v>1</v>
      </c>
      <c r="P3201" t="str">
        <f t="shared" si="143"/>
        <v>2019AM PEAK</v>
      </c>
      <c r="Q3201">
        <f t="shared" si="144"/>
        <v>1</v>
      </c>
      <c r="R3201" s="195" t="str">
        <f t="shared" si="145"/>
        <v>2019LIGHT VEHICLES</v>
      </c>
    </row>
    <row r="3202" spans="3:18" x14ac:dyDescent="0.25">
      <c r="C3202" s="294" t="s">
        <v>973</v>
      </c>
      <c r="D3202" s="317" t="s">
        <v>732</v>
      </c>
      <c r="E3202" s="122" t="s">
        <v>974</v>
      </c>
      <c r="F3202" s="122" t="s">
        <v>975</v>
      </c>
      <c r="G3202" s="122" t="s">
        <v>778</v>
      </c>
      <c r="H3202" s="122" t="s">
        <v>777</v>
      </c>
      <c r="I3202" s="312">
        <v>2019</v>
      </c>
      <c r="J3202" s="122" t="s">
        <v>709</v>
      </c>
      <c r="K3202" s="283">
        <v>3230</v>
      </c>
      <c r="L3202" s="318">
        <v>-34.309756999999998</v>
      </c>
      <c r="M3202" s="318">
        <v>150.60140999999999</v>
      </c>
      <c r="O3202">
        <f>INDEX('MEC - traffic congestion'!$M$145:$M$249,MATCH($D3202,'MEC - traffic congestion'!$C$145:$C$249,0))</f>
        <v>1</v>
      </c>
      <c r="P3202" t="str">
        <f t="shared" si="143"/>
        <v>2019AM PEAK</v>
      </c>
      <c r="Q3202">
        <f t="shared" si="144"/>
        <v>1</v>
      </c>
      <c r="R3202" s="195" t="str">
        <f t="shared" si="145"/>
        <v>2019LIGHT VEHICLES</v>
      </c>
    </row>
    <row r="3203" spans="3:18" x14ac:dyDescent="0.25">
      <c r="C3203" s="294" t="s">
        <v>973</v>
      </c>
      <c r="D3203" s="317" t="s">
        <v>732</v>
      </c>
      <c r="E3203" s="122" t="s">
        <v>974</v>
      </c>
      <c r="F3203" s="122" t="s">
        <v>975</v>
      </c>
      <c r="G3203" s="122" t="s">
        <v>776</v>
      </c>
      <c r="H3203" s="122" t="s">
        <v>777</v>
      </c>
      <c r="I3203" s="312">
        <v>2019</v>
      </c>
      <c r="J3203" s="122" t="s">
        <v>710</v>
      </c>
      <c r="K3203" s="283">
        <v>6185</v>
      </c>
      <c r="L3203" s="318">
        <v>-34.309756999999998</v>
      </c>
      <c r="M3203" s="318">
        <v>150.60140999999999</v>
      </c>
      <c r="O3203">
        <f>INDEX('MEC - traffic congestion'!$M$145:$M$249,MATCH($D3203,'MEC - traffic congestion'!$C$145:$C$249,0))</f>
        <v>1</v>
      </c>
      <c r="P3203" t="str">
        <f t="shared" si="143"/>
        <v>2019OFF PEAK</v>
      </c>
      <c r="Q3203">
        <f t="shared" si="144"/>
        <v>1</v>
      </c>
      <c r="R3203" s="195" t="str">
        <f t="shared" si="145"/>
        <v>2019LIGHT VEHICLES</v>
      </c>
    </row>
    <row r="3204" spans="3:18" x14ac:dyDescent="0.25">
      <c r="C3204" s="294" t="s">
        <v>973</v>
      </c>
      <c r="D3204" s="317" t="s">
        <v>732</v>
      </c>
      <c r="E3204" s="122" t="s">
        <v>974</v>
      </c>
      <c r="F3204" s="122" t="s">
        <v>975</v>
      </c>
      <c r="G3204" s="122" t="s">
        <v>778</v>
      </c>
      <c r="H3204" s="122" t="s">
        <v>777</v>
      </c>
      <c r="I3204" s="312">
        <v>2019</v>
      </c>
      <c r="J3204" s="122" t="s">
        <v>710</v>
      </c>
      <c r="K3204" s="283">
        <v>6316</v>
      </c>
      <c r="L3204" s="318">
        <v>-34.309756999999998</v>
      </c>
      <c r="M3204" s="318">
        <v>150.60140999999999</v>
      </c>
      <c r="O3204">
        <f>INDEX('MEC - traffic congestion'!$M$145:$M$249,MATCH($D3204,'MEC - traffic congestion'!$C$145:$C$249,0))</f>
        <v>1</v>
      </c>
      <c r="P3204" t="str">
        <f t="shared" si="143"/>
        <v>2019OFF PEAK</v>
      </c>
      <c r="Q3204">
        <f t="shared" si="144"/>
        <v>1</v>
      </c>
      <c r="R3204" s="195" t="str">
        <f t="shared" si="145"/>
        <v>2019LIGHT VEHICLES</v>
      </c>
    </row>
    <row r="3205" spans="3:18" x14ac:dyDescent="0.25">
      <c r="C3205" s="294" t="s">
        <v>973</v>
      </c>
      <c r="D3205" s="317" t="s">
        <v>732</v>
      </c>
      <c r="E3205" s="122" t="s">
        <v>974</v>
      </c>
      <c r="F3205" s="122" t="s">
        <v>975</v>
      </c>
      <c r="G3205" s="122" t="s">
        <v>776</v>
      </c>
      <c r="H3205" s="122" t="s">
        <v>777</v>
      </c>
      <c r="I3205" s="312">
        <v>2019</v>
      </c>
      <c r="J3205" s="122" t="s">
        <v>711</v>
      </c>
      <c r="K3205" s="283">
        <v>3994</v>
      </c>
      <c r="L3205" s="318">
        <v>-34.309756999999998</v>
      </c>
      <c r="M3205" s="318">
        <v>150.60140999999999</v>
      </c>
      <c r="O3205">
        <f>INDEX('MEC - traffic congestion'!$M$145:$M$249,MATCH($D3205,'MEC - traffic congestion'!$C$145:$C$249,0))</f>
        <v>1</v>
      </c>
      <c r="P3205" t="str">
        <f t="shared" si="143"/>
        <v>2019PM PEAK</v>
      </c>
      <c r="Q3205">
        <f t="shared" si="144"/>
        <v>1</v>
      </c>
      <c r="R3205" s="195" t="str">
        <f t="shared" si="145"/>
        <v>2019LIGHT VEHICLES</v>
      </c>
    </row>
    <row r="3206" spans="3:18" x14ac:dyDescent="0.25">
      <c r="C3206" s="294" t="s">
        <v>973</v>
      </c>
      <c r="D3206" s="317" t="s">
        <v>732</v>
      </c>
      <c r="E3206" s="122" t="s">
        <v>974</v>
      </c>
      <c r="F3206" s="122" t="s">
        <v>975</v>
      </c>
      <c r="G3206" s="122" t="s">
        <v>778</v>
      </c>
      <c r="H3206" s="122" t="s">
        <v>777</v>
      </c>
      <c r="I3206" s="312">
        <v>2019</v>
      </c>
      <c r="J3206" s="122" t="s">
        <v>711</v>
      </c>
      <c r="K3206" s="283">
        <v>3590</v>
      </c>
      <c r="L3206" s="318">
        <v>-34.309756999999998</v>
      </c>
      <c r="M3206" s="318">
        <v>150.60140999999999</v>
      </c>
      <c r="O3206">
        <f>INDEX('MEC - traffic congestion'!$M$145:$M$249,MATCH($D3206,'MEC - traffic congestion'!$C$145:$C$249,0))</f>
        <v>1</v>
      </c>
      <c r="P3206" t="str">
        <f t="shared" si="143"/>
        <v>2019PM PEAK</v>
      </c>
      <c r="Q3206">
        <f t="shared" si="144"/>
        <v>1</v>
      </c>
      <c r="R3206" s="195" t="str">
        <f t="shared" si="145"/>
        <v>2019LIGHT VEHICLES</v>
      </c>
    </row>
    <row r="3207" spans="3:18" x14ac:dyDescent="0.25">
      <c r="C3207" s="294" t="s">
        <v>973</v>
      </c>
      <c r="D3207" s="317" t="s">
        <v>732</v>
      </c>
      <c r="E3207" s="122" t="s">
        <v>974</v>
      </c>
      <c r="F3207" s="122" t="s">
        <v>975</v>
      </c>
      <c r="G3207" s="122" t="s">
        <v>776</v>
      </c>
      <c r="H3207" s="122" t="s">
        <v>777</v>
      </c>
      <c r="I3207" s="312">
        <v>2019</v>
      </c>
      <c r="J3207" s="122" t="s">
        <v>712</v>
      </c>
      <c r="K3207" s="283">
        <v>16626</v>
      </c>
      <c r="L3207" s="318">
        <v>-34.309756999999998</v>
      </c>
      <c r="M3207" s="318">
        <v>150.60140999999999</v>
      </c>
      <c r="O3207">
        <f>INDEX('MEC - traffic congestion'!$M$145:$M$249,MATCH($D3207,'MEC - traffic congestion'!$C$145:$C$249,0))</f>
        <v>1</v>
      </c>
      <c r="P3207" t="str">
        <f t="shared" si="143"/>
        <v>2019PUBLIC HOLIDAYS</v>
      </c>
      <c r="Q3207">
        <f t="shared" si="144"/>
        <v>1</v>
      </c>
      <c r="R3207" s="195" t="str">
        <f t="shared" si="145"/>
        <v>2019LIGHT VEHICLES</v>
      </c>
    </row>
    <row r="3208" spans="3:18" x14ac:dyDescent="0.25">
      <c r="C3208" s="294" t="s">
        <v>973</v>
      </c>
      <c r="D3208" s="317" t="s">
        <v>732</v>
      </c>
      <c r="E3208" s="122" t="s">
        <v>974</v>
      </c>
      <c r="F3208" s="122" t="s">
        <v>975</v>
      </c>
      <c r="G3208" s="122" t="s">
        <v>778</v>
      </c>
      <c r="H3208" s="122" t="s">
        <v>777</v>
      </c>
      <c r="I3208" s="312">
        <v>2019</v>
      </c>
      <c r="J3208" s="122" t="s">
        <v>712</v>
      </c>
      <c r="K3208" s="283">
        <v>17117</v>
      </c>
      <c r="L3208" s="318">
        <v>-34.309756999999998</v>
      </c>
      <c r="M3208" s="318">
        <v>150.60140999999999</v>
      </c>
      <c r="O3208">
        <f>INDEX('MEC - traffic congestion'!$M$145:$M$249,MATCH($D3208,'MEC - traffic congestion'!$C$145:$C$249,0))</f>
        <v>1</v>
      </c>
      <c r="P3208" t="str">
        <f t="shared" si="143"/>
        <v>2019PUBLIC HOLIDAYS</v>
      </c>
      <c r="Q3208">
        <f t="shared" si="144"/>
        <v>1</v>
      </c>
      <c r="R3208" s="195" t="str">
        <f t="shared" si="145"/>
        <v>2019LIGHT VEHICLES</v>
      </c>
    </row>
    <row r="3209" spans="3:18" x14ac:dyDescent="0.25">
      <c r="C3209" s="294" t="s">
        <v>973</v>
      </c>
      <c r="D3209" s="317" t="s">
        <v>732</v>
      </c>
      <c r="E3209" s="122" t="s">
        <v>974</v>
      </c>
      <c r="F3209" s="122" t="s">
        <v>975</v>
      </c>
      <c r="G3209" s="122" t="s">
        <v>776</v>
      </c>
      <c r="H3209" s="122" t="s">
        <v>777</v>
      </c>
      <c r="I3209" s="312">
        <v>2019</v>
      </c>
      <c r="J3209" s="122" t="s">
        <v>713</v>
      </c>
      <c r="K3209" s="283">
        <v>16889</v>
      </c>
      <c r="L3209" s="318">
        <v>-34.309756999999998</v>
      </c>
      <c r="M3209" s="318">
        <v>150.60140999999999</v>
      </c>
      <c r="O3209">
        <f>INDEX('MEC - traffic congestion'!$M$145:$M$249,MATCH($D3209,'MEC - traffic congestion'!$C$145:$C$249,0))</f>
        <v>1</v>
      </c>
      <c r="P3209" t="str">
        <f t="shared" si="143"/>
        <v>2019WEEKENDS</v>
      </c>
      <c r="Q3209">
        <f t="shared" si="144"/>
        <v>1</v>
      </c>
      <c r="R3209" s="195" t="str">
        <f t="shared" si="145"/>
        <v>2019LIGHT VEHICLES</v>
      </c>
    </row>
    <row r="3210" spans="3:18" x14ac:dyDescent="0.25">
      <c r="C3210" s="294" t="s">
        <v>973</v>
      </c>
      <c r="D3210" s="317" t="s">
        <v>732</v>
      </c>
      <c r="E3210" s="122" t="s">
        <v>974</v>
      </c>
      <c r="F3210" s="122" t="s">
        <v>975</v>
      </c>
      <c r="G3210" s="122" t="s">
        <v>778</v>
      </c>
      <c r="H3210" s="122" t="s">
        <v>777</v>
      </c>
      <c r="I3210" s="312">
        <v>2019</v>
      </c>
      <c r="J3210" s="122" t="s">
        <v>713</v>
      </c>
      <c r="K3210" s="283">
        <v>16444</v>
      </c>
      <c r="L3210" s="318">
        <v>-34.309756999999998</v>
      </c>
      <c r="M3210" s="318">
        <v>150.60140999999999</v>
      </c>
      <c r="O3210">
        <f>INDEX('MEC - traffic congestion'!$M$145:$M$249,MATCH($D3210,'MEC - traffic congestion'!$C$145:$C$249,0))</f>
        <v>1</v>
      </c>
      <c r="P3210" t="str">
        <f t="shared" si="143"/>
        <v>2019WEEKENDS</v>
      </c>
      <c r="Q3210">
        <f t="shared" si="144"/>
        <v>1</v>
      </c>
      <c r="R3210" s="195" t="str">
        <f t="shared" si="145"/>
        <v>2019LIGHT VEHICLES</v>
      </c>
    </row>
    <row r="3211" spans="3:18" x14ac:dyDescent="0.25">
      <c r="C3211" s="294" t="s">
        <v>973</v>
      </c>
      <c r="D3211" s="317" t="s">
        <v>732</v>
      </c>
      <c r="E3211" s="122" t="s">
        <v>974</v>
      </c>
      <c r="F3211" s="122" t="s">
        <v>975</v>
      </c>
      <c r="G3211" s="122" t="s">
        <v>776</v>
      </c>
      <c r="H3211" s="122" t="s">
        <v>777</v>
      </c>
      <c r="I3211" s="312">
        <v>2020</v>
      </c>
      <c r="J3211" s="122" t="s">
        <v>709</v>
      </c>
      <c r="K3211" s="283">
        <v>2143</v>
      </c>
      <c r="L3211" s="318">
        <v>-34.309756999999998</v>
      </c>
      <c r="M3211" s="318">
        <v>150.60140999999999</v>
      </c>
      <c r="O3211">
        <f>INDEX('MEC - traffic congestion'!$M$145:$M$249,MATCH($D3211,'MEC - traffic congestion'!$C$145:$C$249,0))</f>
        <v>1</v>
      </c>
      <c r="P3211" t="str">
        <f t="shared" si="143"/>
        <v>2020AM PEAK</v>
      </c>
      <c r="Q3211">
        <f t="shared" si="144"/>
        <v>1</v>
      </c>
      <c r="R3211" s="195" t="str">
        <f t="shared" si="145"/>
        <v>2020LIGHT VEHICLES</v>
      </c>
    </row>
    <row r="3212" spans="3:18" x14ac:dyDescent="0.25">
      <c r="C3212" s="294" t="s">
        <v>973</v>
      </c>
      <c r="D3212" s="317" t="s">
        <v>732</v>
      </c>
      <c r="E3212" s="122" t="s">
        <v>974</v>
      </c>
      <c r="F3212" s="122" t="s">
        <v>975</v>
      </c>
      <c r="G3212" s="122" t="s">
        <v>778</v>
      </c>
      <c r="H3212" s="122" t="s">
        <v>777</v>
      </c>
      <c r="I3212" s="312">
        <v>2020</v>
      </c>
      <c r="J3212" s="122" t="s">
        <v>709</v>
      </c>
      <c r="K3212" s="283">
        <v>2928</v>
      </c>
      <c r="L3212" s="318">
        <v>-34.309756999999998</v>
      </c>
      <c r="M3212" s="318">
        <v>150.60140999999999</v>
      </c>
      <c r="O3212">
        <f>INDEX('MEC - traffic congestion'!$M$145:$M$249,MATCH($D3212,'MEC - traffic congestion'!$C$145:$C$249,0))</f>
        <v>1</v>
      </c>
      <c r="P3212" t="str">
        <f t="shared" si="143"/>
        <v>2020AM PEAK</v>
      </c>
      <c r="Q3212">
        <f t="shared" si="144"/>
        <v>1</v>
      </c>
      <c r="R3212" s="195" t="str">
        <f t="shared" si="145"/>
        <v>2020LIGHT VEHICLES</v>
      </c>
    </row>
    <row r="3213" spans="3:18" x14ac:dyDescent="0.25">
      <c r="C3213" s="294" t="s">
        <v>973</v>
      </c>
      <c r="D3213" s="317" t="s">
        <v>732</v>
      </c>
      <c r="E3213" s="122" t="s">
        <v>974</v>
      </c>
      <c r="F3213" s="122" t="s">
        <v>975</v>
      </c>
      <c r="G3213" s="122" t="s">
        <v>776</v>
      </c>
      <c r="H3213" s="122" t="s">
        <v>777</v>
      </c>
      <c r="I3213" s="312">
        <v>2020</v>
      </c>
      <c r="J3213" s="122" t="s">
        <v>710</v>
      </c>
      <c r="K3213" s="283">
        <v>5178</v>
      </c>
      <c r="L3213" s="318">
        <v>-34.309756999999998</v>
      </c>
      <c r="M3213" s="318">
        <v>150.60140999999999</v>
      </c>
      <c r="O3213">
        <f>INDEX('MEC - traffic congestion'!$M$145:$M$249,MATCH($D3213,'MEC - traffic congestion'!$C$145:$C$249,0))</f>
        <v>1</v>
      </c>
      <c r="P3213" t="str">
        <f t="shared" si="143"/>
        <v>2020OFF PEAK</v>
      </c>
      <c r="Q3213">
        <f t="shared" si="144"/>
        <v>1</v>
      </c>
      <c r="R3213" s="195" t="str">
        <f t="shared" si="145"/>
        <v>2020LIGHT VEHICLES</v>
      </c>
    </row>
    <row r="3214" spans="3:18" x14ac:dyDescent="0.25">
      <c r="C3214" s="294" t="s">
        <v>973</v>
      </c>
      <c r="D3214" s="317" t="s">
        <v>732</v>
      </c>
      <c r="E3214" s="122" t="s">
        <v>974</v>
      </c>
      <c r="F3214" s="122" t="s">
        <v>975</v>
      </c>
      <c r="G3214" s="122" t="s">
        <v>778</v>
      </c>
      <c r="H3214" s="122" t="s">
        <v>777</v>
      </c>
      <c r="I3214" s="312">
        <v>2020</v>
      </c>
      <c r="J3214" s="122" t="s">
        <v>710</v>
      </c>
      <c r="K3214" s="283">
        <v>5449</v>
      </c>
      <c r="L3214" s="318">
        <v>-34.309756999999998</v>
      </c>
      <c r="M3214" s="318">
        <v>150.60140999999999</v>
      </c>
      <c r="O3214">
        <f>INDEX('MEC - traffic congestion'!$M$145:$M$249,MATCH($D3214,'MEC - traffic congestion'!$C$145:$C$249,0))</f>
        <v>1</v>
      </c>
      <c r="P3214" t="str">
        <f t="shared" si="143"/>
        <v>2020OFF PEAK</v>
      </c>
      <c r="Q3214">
        <f t="shared" si="144"/>
        <v>1</v>
      </c>
      <c r="R3214" s="195" t="str">
        <f t="shared" si="145"/>
        <v>2020LIGHT VEHICLES</v>
      </c>
    </row>
    <row r="3215" spans="3:18" x14ac:dyDescent="0.25">
      <c r="C3215" s="294" t="s">
        <v>973</v>
      </c>
      <c r="D3215" s="317" t="s">
        <v>732</v>
      </c>
      <c r="E3215" s="122" t="s">
        <v>974</v>
      </c>
      <c r="F3215" s="122" t="s">
        <v>975</v>
      </c>
      <c r="G3215" s="122" t="s">
        <v>776</v>
      </c>
      <c r="H3215" s="122" t="s">
        <v>777</v>
      </c>
      <c r="I3215" s="312">
        <v>2020</v>
      </c>
      <c r="J3215" s="122" t="s">
        <v>711</v>
      </c>
      <c r="K3215" s="283">
        <v>3530</v>
      </c>
      <c r="L3215" s="318">
        <v>-34.309756999999998</v>
      </c>
      <c r="M3215" s="318">
        <v>150.60140999999999</v>
      </c>
      <c r="O3215">
        <f>INDEX('MEC - traffic congestion'!$M$145:$M$249,MATCH($D3215,'MEC - traffic congestion'!$C$145:$C$249,0))</f>
        <v>1</v>
      </c>
      <c r="P3215" t="str">
        <f t="shared" si="143"/>
        <v>2020PM PEAK</v>
      </c>
      <c r="Q3215">
        <f t="shared" si="144"/>
        <v>1</v>
      </c>
      <c r="R3215" s="195" t="str">
        <f t="shared" si="145"/>
        <v>2020LIGHT VEHICLES</v>
      </c>
    </row>
    <row r="3216" spans="3:18" x14ac:dyDescent="0.25">
      <c r="C3216" s="294" t="s">
        <v>973</v>
      </c>
      <c r="D3216" s="317" t="s">
        <v>732</v>
      </c>
      <c r="E3216" s="122" t="s">
        <v>974</v>
      </c>
      <c r="F3216" s="122" t="s">
        <v>975</v>
      </c>
      <c r="G3216" s="122" t="s">
        <v>778</v>
      </c>
      <c r="H3216" s="122" t="s">
        <v>777</v>
      </c>
      <c r="I3216" s="312">
        <v>2020</v>
      </c>
      <c r="J3216" s="122" t="s">
        <v>711</v>
      </c>
      <c r="K3216" s="283">
        <v>3138</v>
      </c>
      <c r="L3216" s="318">
        <v>-34.309756999999998</v>
      </c>
      <c r="M3216" s="318">
        <v>150.60140999999999</v>
      </c>
      <c r="O3216">
        <f>INDEX('MEC - traffic congestion'!$M$145:$M$249,MATCH($D3216,'MEC - traffic congestion'!$C$145:$C$249,0))</f>
        <v>1</v>
      </c>
      <c r="P3216" t="str">
        <f t="shared" si="143"/>
        <v>2020PM PEAK</v>
      </c>
      <c r="Q3216">
        <f t="shared" si="144"/>
        <v>1</v>
      </c>
      <c r="R3216" s="195" t="str">
        <f t="shared" si="145"/>
        <v>2020LIGHT VEHICLES</v>
      </c>
    </row>
    <row r="3217" spans="3:18" x14ac:dyDescent="0.25">
      <c r="C3217" s="294" t="s">
        <v>973</v>
      </c>
      <c r="D3217" s="317" t="s">
        <v>732</v>
      </c>
      <c r="E3217" s="122" t="s">
        <v>974</v>
      </c>
      <c r="F3217" s="122" t="s">
        <v>975</v>
      </c>
      <c r="G3217" s="122" t="s">
        <v>776</v>
      </c>
      <c r="H3217" s="122" t="s">
        <v>777</v>
      </c>
      <c r="I3217" s="312">
        <v>2020</v>
      </c>
      <c r="J3217" s="122" t="s">
        <v>712</v>
      </c>
      <c r="K3217" s="283">
        <v>7530</v>
      </c>
      <c r="L3217" s="318">
        <v>-34.309756999999998</v>
      </c>
      <c r="M3217" s="318">
        <v>150.60140999999999</v>
      </c>
      <c r="O3217">
        <f>INDEX('MEC - traffic congestion'!$M$145:$M$249,MATCH($D3217,'MEC - traffic congestion'!$C$145:$C$249,0))</f>
        <v>1</v>
      </c>
      <c r="P3217" t="str">
        <f t="shared" si="143"/>
        <v>2020PUBLIC HOLIDAYS</v>
      </c>
      <c r="Q3217">
        <f t="shared" si="144"/>
        <v>1</v>
      </c>
      <c r="R3217" s="195" t="str">
        <f t="shared" si="145"/>
        <v>2020LIGHT VEHICLES</v>
      </c>
    </row>
    <row r="3218" spans="3:18" x14ac:dyDescent="0.25">
      <c r="C3218" s="294" t="s">
        <v>973</v>
      </c>
      <c r="D3218" s="317" t="s">
        <v>732</v>
      </c>
      <c r="E3218" s="122" t="s">
        <v>974</v>
      </c>
      <c r="F3218" s="122" t="s">
        <v>975</v>
      </c>
      <c r="G3218" s="122" t="s">
        <v>778</v>
      </c>
      <c r="H3218" s="122" t="s">
        <v>777</v>
      </c>
      <c r="I3218" s="312">
        <v>2020</v>
      </c>
      <c r="J3218" s="122" t="s">
        <v>712</v>
      </c>
      <c r="K3218" s="283">
        <v>10996</v>
      </c>
      <c r="L3218" s="318">
        <v>-34.309756999999998</v>
      </c>
      <c r="M3218" s="318">
        <v>150.60140999999999</v>
      </c>
      <c r="O3218">
        <f>INDEX('MEC - traffic congestion'!$M$145:$M$249,MATCH($D3218,'MEC - traffic congestion'!$C$145:$C$249,0))</f>
        <v>1</v>
      </c>
      <c r="P3218" t="str">
        <f t="shared" si="143"/>
        <v>2020PUBLIC HOLIDAYS</v>
      </c>
      <c r="Q3218">
        <f t="shared" si="144"/>
        <v>1</v>
      </c>
      <c r="R3218" s="195" t="str">
        <f t="shared" si="145"/>
        <v>2020LIGHT VEHICLES</v>
      </c>
    </row>
    <row r="3219" spans="3:18" x14ac:dyDescent="0.25">
      <c r="C3219" s="294" t="s">
        <v>973</v>
      </c>
      <c r="D3219" s="317" t="s">
        <v>732</v>
      </c>
      <c r="E3219" s="122" t="s">
        <v>974</v>
      </c>
      <c r="F3219" s="122" t="s">
        <v>975</v>
      </c>
      <c r="G3219" s="122" t="s">
        <v>776</v>
      </c>
      <c r="H3219" s="122" t="s">
        <v>777</v>
      </c>
      <c r="I3219" s="312">
        <v>2020</v>
      </c>
      <c r="J3219" s="122" t="s">
        <v>713</v>
      </c>
      <c r="K3219" s="283">
        <v>13618</v>
      </c>
      <c r="L3219" s="318">
        <v>-34.309756999999998</v>
      </c>
      <c r="M3219" s="318">
        <v>150.60140999999999</v>
      </c>
      <c r="O3219">
        <f>INDEX('MEC - traffic congestion'!$M$145:$M$249,MATCH($D3219,'MEC - traffic congestion'!$C$145:$C$249,0))</f>
        <v>1</v>
      </c>
      <c r="P3219" t="str">
        <f t="shared" si="143"/>
        <v>2020WEEKENDS</v>
      </c>
      <c r="Q3219">
        <f t="shared" si="144"/>
        <v>1</v>
      </c>
      <c r="R3219" s="195" t="str">
        <f t="shared" si="145"/>
        <v>2020LIGHT VEHICLES</v>
      </c>
    </row>
    <row r="3220" spans="3:18" x14ac:dyDescent="0.25">
      <c r="C3220" s="294" t="s">
        <v>973</v>
      </c>
      <c r="D3220" s="317" t="s">
        <v>732</v>
      </c>
      <c r="E3220" s="122" t="s">
        <v>974</v>
      </c>
      <c r="F3220" s="122" t="s">
        <v>975</v>
      </c>
      <c r="G3220" s="122" t="s">
        <v>778</v>
      </c>
      <c r="H3220" s="122" t="s">
        <v>777</v>
      </c>
      <c r="I3220" s="312">
        <v>2020</v>
      </c>
      <c r="J3220" s="122" t="s">
        <v>713</v>
      </c>
      <c r="K3220" s="283">
        <v>13104</v>
      </c>
      <c r="L3220" s="318">
        <v>-34.309756999999998</v>
      </c>
      <c r="M3220" s="318">
        <v>150.60140999999999</v>
      </c>
      <c r="O3220">
        <f>INDEX('MEC - traffic congestion'!$M$145:$M$249,MATCH($D3220,'MEC - traffic congestion'!$C$145:$C$249,0))</f>
        <v>1</v>
      </c>
      <c r="P3220" t="str">
        <f t="shared" si="143"/>
        <v>2020WEEKENDS</v>
      </c>
      <c r="Q3220">
        <f t="shared" si="144"/>
        <v>1</v>
      </c>
      <c r="R3220" s="195" t="str">
        <f t="shared" si="145"/>
        <v>2020LIGHT VEHICLES</v>
      </c>
    </row>
    <row r="3221" spans="3:18" x14ac:dyDescent="0.25">
      <c r="C3221" s="294" t="s">
        <v>973</v>
      </c>
      <c r="D3221" s="317" t="s">
        <v>732</v>
      </c>
      <c r="E3221" s="122" t="s">
        <v>974</v>
      </c>
      <c r="F3221" s="122" t="s">
        <v>975</v>
      </c>
      <c r="G3221" s="122" t="s">
        <v>776</v>
      </c>
      <c r="H3221" s="122" t="s">
        <v>777</v>
      </c>
      <c r="I3221" s="312">
        <v>2021</v>
      </c>
      <c r="J3221" s="122" t="s">
        <v>709</v>
      </c>
      <c r="K3221" s="283">
        <v>1919</v>
      </c>
      <c r="L3221" s="318">
        <v>-34.309756999999998</v>
      </c>
      <c r="M3221" s="318">
        <v>150.60140999999999</v>
      </c>
      <c r="O3221">
        <f>INDEX('MEC - traffic congestion'!$M$145:$M$249,MATCH($D3221,'MEC - traffic congestion'!$C$145:$C$249,0))</f>
        <v>1</v>
      </c>
      <c r="P3221" t="str">
        <f t="shared" ref="P3221:P3284" si="146">IF($O3221=1,$I3221&amp;$J3221,"")</f>
        <v>2021AM PEAK</v>
      </c>
      <c r="Q3221">
        <f t="shared" ref="Q3221:Q3284" si="147">IF(AND($M3221&gt;150.246,AND($L3221&gt;-34.397,$L3221&lt;-32.662)),1,0)</f>
        <v>1</v>
      </c>
      <c r="R3221" s="195" t="str">
        <f t="shared" ref="R3221:R3284" si="148">IF($O3221=1,$I3221&amp;$H3221,"")</f>
        <v>2021LIGHT VEHICLES</v>
      </c>
    </row>
    <row r="3222" spans="3:18" x14ac:dyDescent="0.25">
      <c r="C3222" s="294" t="s">
        <v>973</v>
      </c>
      <c r="D3222" s="317" t="s">
        <v>732</v>
      </c>
      <c r="E3222" s="122" t="s">
        <v>974</v>
      </c>
      <c r="F3222" s="122" t="s">
        <v>975</v>
      </c>
      <c r="G3222" s="122" t="s">
        <v>778</v>
      </c>
      <c r="H3222" s="122" t="s">
        <v>777</v>
      </c>
      <c r="I3222" s="312">
        <v>2021</v>
      </c>
      <c r="J3222" s="122" t="s">
        <v>709</v>
      </c>
      <c r="K3222" s="283">
        <v>2842</v>
      </c>
      <c r="L3222" s="318">
        <v>-34.309756999999998</v>
      </c>
      <c r="M3222" s="318">
        <v>150.60140999999999</v>
      </c>
      <c r="O3222">
        <f>INDEX('MEC - traffic congestion'!$M$145:$M$249,MATCH($D3222,'MEC - traffic congestion'!$C$145:$C$249,0))</f>
        <v>1</v>
      </c>
      <c r="P3222" t="str">
        <f t="shared" si="146"/>
        <v>2021AM PEAK</v>
      </c>
      <c r="Q3222">
        <f t="shared" si="147"/>
        <v>1</v>
      </c>
      <c r="R3222" s="195" t="str">
        <f t="shared" si="148"/>
        <v>2021LIGHT VEHICLES</v>
      </c>
    </row>
    <row r="3223" spans="3:18" x14ac:dyDescent="0.25">
      <c r="C3223" s="294" t="s">
        <v>973</v>
      </c>
      <c r="D3223" s="317" t="s">
        <v>732</v>
      </c>
      <c r="E3223" s="122" t="s">
        <v>974</v>
      </c>
      <c r="F3223" s="122" t="s">
        <v>975</v>
      </c>
      <c r="G3223" s="122" t="s">
        <v>776</v>
      </c>
      <c r="H3223" s="122" t="s">
        <v>777</v>
      </c>
      <c r="I3223" s="312">
        <v>2021</v>
      </c>
      <c r="J3223" s="122" t="s">
        <v>710</v>
      </c>
      <c r="K3223" s="283">
        <v>4748</v>
      </c>
      <c r="L3223" s="318">
        <v>-34.309756999999998</v>
      </c>
      <c r="M3223" s="318">
        <v>150.60140999999999</v>
      </c>
      <c r="O3223">
        <f>INDEX('MEC - traffic congestion'!$M$145:$M$249,MATCH($D3223,'MEC - traffic congestion'!$C$145:$C$249,0))</f>
        <v>1</v>
      </c>
      <c r="P3223" t="str">
        <f t="shared" si="146"/>
        <v>2021OFF PEAK</v>
      </c>
      <c r="Q3223">
        <f t="shared" si="147"/>
        <v>1</v>
      </c>
      <c r="R3223" s="195" t="str">
        <f t="shared" si="148"/>
        <v>2021LIGHT VEHICLES</v>
      </c>
    </row>
    <row r="3224" spans="3:18" x14ac:dyDescent="0.25">
      <c r="C3224" s="294" t="s">
        <v>973</v>
      </c>
      <c r="D3224" s="317" t="s">
        <v>732</v>
      </c>
      <c r="E3224" s="122" t="s">
        <v>974</v>
      </c>
      <c r="F3224" s="122" t="s">
        <v>975</v>
      </c>
      <c r="G3224" s="122" t="s">
        <v>778</v>
      </c>
      <c r="H3224" s="122" t="s">
        <v>777</v>
      </c>
      <c r="I3224" s="312">
        <v>2021</v>
      </c>
      <c r="J3224" s="122" t="s">
        <v>710</v>
      </c>
      <c r="K3224" s="283">
        <v>4847</v>
      </c>
      <c r="L3224" s="318">
        <v>-34.309756999999998</v>
      </c>
      <c r="M3224" s="318">
        <v>150.60140999999999</v>
      </c>
      <c r="O3224">
        <f>INDEX('MEC - traffic congestion'!$M$145:$M$249,MATCH($D3224,'MEC - traffic congestion'!$C$145:$C$249,0))</f>
        <v>1</v>
      </c>
      <c r="P3224" t="str">
        <f t="shared" si="146"/>
        <v>2021OFF PEAK</v>
      </c>
      <c r="Q3224">
        <f t="shared" si="147"/>
        <v>1</v>
      </c>
      <c r="R3224" s="195" t="str">
        <f t="shared" si="148"/>
        <v>2021LIGHT VEHICLES</v>
      </c>
    </row>
    <row r="3225" spans="3:18" x14ac:dyDescent="0.25">
      <c r="C3225" s="294" t="s">
        <v>973</v>
      </c>
      <c r="D3225" s="317" t="s">
        <v>732</v>
      </c>
      <c r="E3225" s="122" t="s">
        <v>974</v>
      </c>
      <c r="F3225" s="122" t="s">
        <v>975</v>
      </c>
      <c r="G3225" s="122" t="s">
        <v>776</v>
      </c>
      <c r="H3225" s="122" t="s">
        <v>777</v>
      </c>
      <c r="I3225" s="312">
        <v>2021</v>
      </c>
      <c r="J3225" s="122" t="s">
        <v>711</v>
      </c>
      <c r="K3225" s="283">
        <v>3206</v>
      </c>
      <c r="L3225" s="318">
        <v>-34.309756999999998</v>
      </c>
      <c r="M3225" s="318">
        <v>150.60140999999999</v>
      </c>
      <c r="O3225">
        <f>INDEX('MEC - traffic congestion'!$M$145:$M$249,MATCH($D3225,'MEC - traffic congestion'!$C$145:$C$249,0))</f>
        <v>1</v>
      </c>
      <c r="P3225" t="str">
        <f t="shared" si="146"/>
        <v>2021PM PEAK</v>
      </c>
      <c r="Q3225">
        <f t="shared" si="147"/>
        <v>1</v>
      </c>
      <c r="R3225" s="195" t="str">
        <f t="shared" si="148"/>
        <v>2021LIGHT VEHICLES</v>
      </c>
    </row>
    <row r="3226" spans="3:18" x14ac:dyDescent="0.25">
      <c r="C3226" s="294" t="s">
        <v>973</v>
      </c>
      <c r="D3226" s="317" t="s">
        <v>732</v>
      </c>
      <c r="E3226" s="122" t="s">
        <v>974</v>
      </c>
      <c r="F3226" s="122" t="s">
        <v>975</v>
      </c>
      <c r="G3226" s="122" t="s">
        <v>778</v>
      </c>
      <c r="H3226" s="122" t="s">
        <v>777</v>
      </c>
      <c r="I3226" s="312">
        <v>2021</v>
      </c>
      <c r="J3226" s="122" t="s">
        <v>711</v>
      </c>
      <c r="K3226" s="283">
        <v>2638</v>
      </c>
      <c r="L3226" s="318">
        <v>-34.309756999999998</v>
      </c>
      <c r="M3226" s="318">
        <v>150.60140999999999</v>
      </c>
      <c r="O3226">
        <f>INDEX('MEC - traffic congestion'!$M$145:$M$249,MATCH($D3226,'MEC - traffic congestion'!$C$145:$C$249,0))</f>
        <v>1</v>
      </c>
      <c r="P3226" t="str">
        <f t="shared" si="146"/>
        <v>2021PM PEAK</v>
      </c>
      <c r="Q3226">
        <f t="shared" si="147"/>
        <v>1</v>
      </c>
      <c r="R3226" s="195" t="str">
        <f t="shared" si="148"/>
        <v>2021LIGHT VEHICLES</v>
      </c>
    </row>
    <row r="3227" spans="3:18" x14ac:dyDescent="0.25">
      <c r="C3227" s="294" t="s">
        <v>973</v>
      </c>
      <c r="D3227" s="317" t="s">
        <v>732</v>
      </c>
      <c r="E3227" s="122" t="s">
        <v>974</v>
      </c>
      <c r="F3227" s="122" t="s">
        <v>975</v>
      </c>
      <c r="G3227" s="122" t="s">
        <v>776</v>
      </c>
      <c r="H3227" s="122" t="s">
        <v>777</v>
      </c>
      <c r="I3227" s="312">
        <v>2021</v>
      </c>
      <c r="J3227" s="122" t="s">
        <v>713</v>
      </c>
      <c r="K3227" s="283">
        <v>11487</v>
      </c>
      <c r="L3227" s="318">
        <v>-34.309756999999998</v>
      </c>
      <c r="M3227" s="318">
        <v>150.60140999999999</v>
      </c>
      <c r="O3227">
        <f>INDEX('MEC - traffic congestion'!$M$145:$M$249,MATCH($D3227,'MEC - traffic congestion'!$C$145:$C$249,0))</f>
        <v>1</v>
      </c>
      <c r="P3227" t="str">
        <f t="shared" si="146"/>
        <v>2021WEEKENDS</v>
      </c>
      <c r="Q3227">
        <f t="shared" si="147"/>
        <v>1</v>
      </c>
      <c r="R3227" s="195" t="str">
        <f t="shared" si="148"/>
        <v>2021LIGHT VEHICLES</v>
      </c>
    </row>
    <row r="3228" spans="3:18" x14ac:dyDescent="0.25">
      <c r="C3228" s="294" t="s">
        <v>973</v>
      </c>
      <c r="D3228" s="317" t="s">
        <v>732</v>
      </c>
      <c r="E3228" s="122" t="s">
        <v>974</v>
      </c>
      <c r="F3228" s="122" t="s">
        <v>975</v>
      </c>
      <c r="G3228" s="122" t="s">
        <v>778</v>
      </c>
      <c r="H3228" s="122" t="s">
        <v>777</v>
      </c>
      <c r="I3228" s="312">
        <v>2021</v>
      </c>
      <c r="J3228" s="122" t="s">
        <v>713</v>
      </c>
      <c r="K3228" s="283">
        <v>11522</v>
      </c>
      <c r="L3228" s="318">
        <v>-34.309756999999998</v>
      </c>
      <c r="M3228" s="318">
        <v>150.60140999999999</v>
      </c>
      <c r="O3228">
        <f>INDEX('MEC - traffic congestion'!$M$145:$M$249,MATCH($D3228,'MEC - traffic congestion'!$C$145:$C$249,0))</f>
        <v>1</v>
      </c>
      <c r="P3228" t="str">
        <f t="shared" si="146"/>
        <v>2021WEEKENDS</v>
      </c>
      <c r="Q3228">
        <f t="shared" si="147"/>
        <v>1</v>
      </c>
      <c r="R3228" s="195" t="str">
        <f t="shared" si="148"/>
        <v>2021LIGHT VEHICLES</v>
      </c>
    </row>
    <row r="3229" spans="3:18" x14ac:dyDescent="0.25">
      <c r="C3229" s="294" t="s">
        <v>973</v>
      </c>
      <c r="D3229" s="317" t="s">
        <v>732</v>
      </c>
      <c r="E3229" s="122" t="s">
        <v>974</v>
      </c>
      <c r="F3229" s="122" t="s">
        <v>975</v>
      </c>
      <c r="G3229" s="122" t="s">
        <v>776</v>
      </c>
      <c r="H3229" s="122" t="s">
        <v>777</v>
      </c>
      <c r="I3229" s="312">
        <v>2022</v>
      </c>
      <c r="J3229" s="122" t="s">
        <v>709</v>
      </c>
      <c r="K3229" s="283">
        <v>2330</v>
      </c>
      <c r="L3229" s="318">
        <v>-34.309756999999998</v>
      </c>
      <c r="M3229" s="318">
        <v>150.60140999999999</v>
      </c>
      <c r="O3229">
        <f>INDEX('MEC - traffic congestion'!$M$145:$M$249,MATCH($D3229,'MEC - traffic congestion'!$C$145:$C$249,0))</f>
        <v>1</v>
      </c>
      <c r="P3229" t="str">
        <f t="shared" si="146"/>
        <v>2022AM PEAK</v>
      </c>
      <c r="Q3229">
        <f t="shared" si="147"/>
        <v>1</v>
      </c>
      <c r="R3229" s="195" t="str">
        <f t="shared" si="148"/>
        <v>2022LIGHT VEHICLES</v>
      </c>
    </row>
    <row r="3230" spans="3:18" x14ac:dyDescent="0.25">
      <c r="C3230" s="294" t="s">
        <v>973</v>
      </c>
      <c r="D3230" s="317" t="s">
        <v>732</v>
      </c>
      <c r="E3230" s="122" t="s">
        <v>974</v>
      </c>
      <c r="F3230" s="122" t="s">
        <v>975</v>
      </c>
      <c r="G3230" s="122" t="s">
        <v>778</v>
      </c>
      <c r="H3230" s="122" t="s">
        <v>777</v>
      </c>
      <c r="I3230" s="312">
        <v>2022</v>
      </c>
      <c r="J3230" s="122" t="s">
        <v>709</v>
      </c>
      <c r="K3230" s="283">
        <v>3451</v>
      </c>
      <c r="L3230" s="318">
        <v>-34.309756999999998</v>
      </c>
      <c r="M3230" s="318">
        <v>150.60140999999999</v>
      </c>
      <c r="O3230">
        <f>INDEX('MEC - traffic congestion'!$M$145:$M$249,MATCH($D3230,'MEC - traffic congestion'!$C$145:$C$249,0))</f>
        <v>1</v>
      </c>
      <c r="P3230" t="str">
        <f t="shared" si="146"/>
        <v>2022AM PEAK</v>
      </c>
      <c r="Q3230">
        <f t="shared" si="147"/>
        <v>1</v>
      </c>
      <c r="R3230" s="195" t="str">
        <f t="shared" si="148"/>
        <v>2022LIGHT VEHICLES</v>
      </c>
    </row>
    <row r="3231" spans="3:18" x14ac:dyDescent="0.25">
      <c r="C3231" s="294" t="s">
        <v>973</v>
      </c>
      <c r="D3231" s="317" t="s">
        <v>732</v>
      </c>
      <c r="E3231" s="122" t="s">
        <v>974</v>
      </c>
      <c r="F3231" s="122" t="s">
        <v>975</v>
      </c>
      <c r="G3231" s="122" t="s">
        <v>776</v>
      </c>
      <c r="H3231" s="122" t="s">
        <v>777</v>
      </c>
      <c r="I3231" s="312">
        <v>2022</v>
      </c>
      <c r="J3231" s="122" t="s">
        <v>710</v>
      </c>
      <c r="K3231" s="283">
        <v>6227</v>
      </c>
      <c r="L3231" s="318">
        <v>-34.309756999999998</v>
      </c>
      <c r="M3231" s="318">
        <v>150.60140999999999</v>
      </c>
      <c r="O3231">
        <f>INDEX('MEC - traffic congestion'!$M$145:$M$249,MATCH($D3231,'MEC - traffic congestion'!$C$145:$C$249,0))</f>
        <v>1</v>
      </c>
      <c r="P3231" t="str">
        <f t="shared" si="146"/>
        <v>2022OFF PEAK</v>
      </c>
      <c r="Q3231">
        <f t="shared" si="147"/>
        <v>1</v>
      </c>
      <c r="R3231" s="195" t="str">
        <f t="shared" si="148"/>
        <v>2022LIGHT VEHICLES</v>
      </c>
    </row>
    <row r="3232" spans="3:18" x14ac:dyDescent="0.25">
      <c r="C3232" s="294" t="s">
        <v>973</v>
      </c>
      <c r="D3232" s="317" t="s">
        <v>732</v>
      </c>
      <c r="E3232" s="122" t="s">
        <v>974</v>
      </c>
      <c r="F3232" s="122" t="s">
        <v>975</v>
      </c>
      <c r="G3232" s="122" t="s">
        <v>778</v>
      </c>
      <c r="H3232" s="122" t="s">
        <v>777</v>
      </c>
      <c r="I3232" s="312">
        <v>2022</v>
      </c>
      <c r="J3232" s="122" t="s">
        <v>710</v>
      </c>
      <c r="K3232" s="283">
        <v>6457</v>
      </c>
      <c r="L3232" s="318">
        <v>-34.309756999999998</v>
      </c>
      <c r="M3232" s="318">
        <v>150.60140999999999</v>
      </c>
      <c r="O3232">
        <f>INDEX('MEC - traffic congestion'!$M$145:$M$249,MATCH($D3232,'MEC - traffic congestion'!$C$145:$C$249,0))</f>
        <v>1</v>
      </c>
      <c r="P3232" t="str">
        <f t="shared" si="146"/>
        <v>2022OFF PEAK</v>
      </c>
      <c r="Q3232">
        <f t="shared" si="147"/>
        <v>1</v>
      </c>
      <c r="R3232" s="195" t="str">
        <f t="shared" si="148"/>
        <v>2022LIGHT VEHICLES</v>
      </c>
    </row>
    <row r="3233" spans="3:18" x14ac:dyDescent="0.25">
      <c r="C3233" s="294" t="s">
        <v>973</v>
      </c>
      <c r="D3233" s="317" t="s">
        <v>732</v>
      </c>
      <c r="E3233" s="122" t="s">
        <v>974</v>
      </c>
      <c r="F3233" s="122" t="s">
        <v>975</v>
      </c>
      <c r="G3233" s="122" t="s">
        <v>776</v>
      </c>
      <c r="H3233" s="122" t="s">
        <v>777</v>
      </c>
      <c r="I3233" s="312">
        <v>2022</v>
      </c>
      <c r="J3233" s="122" t="s">
        <v>711</v>
      </c>
      <c r="K3233" s="283">
        <v>4123</v>
      </c>
      <c r="L3233" s="318">
        <v>-34.309756999999998</v>
      </c>
      <c r="M3233" s="318">
        <v>150.60140999999999</v>
      </c>
      <c r="O3233">
        <f>INDEX('MEC - traffic congestion'!$M$145:$M$249,MATCH($D3233,'MEC - traffic congestion'!$C$145:$C$249,0))</f>
        <v>1</v>
      </c>
      <c r="P3233" t="str">
        <f t="shared" si="146"/>
        <v>2022PM PEAK</v>
      </c>
      <c r="Q3233">
        <f t="shared" si="147"/>
        <v>1</v>
      </c>
      <c r="R3233" s="195" t="str">
        <f t="shared" si="148"/>
        <v>2022LIGHT VEHICLES</v>
      </c>
    </row>
    <row r="3234" spans="3:18" x14ac:dyDescent="0.25">
      <c r="C3234" s="294" t="s">
        <v>973</v>
      </c>
      <c r="D3234" s="317" t="s">
        <v>732</v>
      </c>
      <c r="E3234" s="122" t="s">
        <v>974</v>
      </c>
      <c r="F3234" s="122" t="s">
        <v>975</v>
      </c>
      <c r="G3234" s="122" t="s">
        <v>778</v>
      </c>
      <c r="H3234" s="122" t="s">
        <v>777</v>
      </c>
      <c r="I3234" s="312">
        <v>2022</v>
      </c>
      <c r="J3234" s="122" t="s">
        <v>711</v>
      </c>
      <c r="K3234" s="283">
        <v>3320</v>
      </c>
      <c r="L3234" s="318">
        <v>-34.309756999999998</v>
      </c>
      <c r="M3234" s="318">
        <v>150.60140999999999</v>
      </c>
      <c r="O3234">
        <f>INDEX('MEC - traffic congestion'!$M$145:$M$249,MATCH($D3234,'MEC - traffic congestion'!$C$145:$C$249,0))</f>
        <v>1</v>
      </c>
      <c r="P3234" t="str">
        <f t="shared" si="146"/>
        <v>2022PM PEAK</v>
      </c>
      <c r="Q3234">
        <f t="shared" si="147"/>
        <v>1</v>
      </c>
      <c r="R3234" s="195" t="str">
        <f t="shared" si="148"/>
        <v>2022LIGHT VEHICLES</v>
      </c>
    </row>
    <row r="3235" spans="3:18" x14ac:dyDescent="0.25">
      <c r="C3235" s="294" t="s">
        <v>973</v>
      </c>
      <c r="D3235" s="317" t="s">
        <v>732</v>
      </c>
      <c r="E3235" s="122" t="s">
        <v>974</v>
      </c>
      <c r="F3235" s="122" t="s">
        <v>975</v>
      </c>
      <c r="G3235" s="122" t="s">
        <v>776</v>
      </c>
      <c r="H3235" s="122" t="s">
        <v>777</v>
      </c>
      <c r="I3235" s="312">
        <v>2022</v>
      </c>
      <c r="J3235" s="122" t="s">
        <v>713</v>
      </c>
      <c r="K3235" s="283">
        <v>16586</v>
      </c>
      <c r="L3235" s="318">
        <v>-34.309756999999998</v>
      </c>
      <c r="M3235" s="318">
        <v>150.60140999999999</v>
      </c>
      <c r="O3235">
        <f>INDEX('MEC - traffic congestion'!$M$145:$M$249,MATCH($D3235,'MEC - traffic congestion'!$C$145:$C$249,0))</f>
        <v>1</v>
      </c>
      <c r="P3235" t="str">
        <f t="shared" si="146"/>
        <v>2022WEEKENDS</v>
      </c>
      <c r="Q3235">
        <f t="shared" si="147"/>
        <v>1</v>
      </c>
      <c r="R3235" s="195" t="str">
        <f t="shared" si="148"/>
        <v>2022LIGHT VEHICLES</v>
      </c>
    </row>
    <row r="3236" spans="3:18" x14ac:dyDescent="0.25">
      <c r="C3236" s="294" t="s">
        <v>973</v>
      </c>
      <c r="D3236" s="317" t="s">
        <v>732</v>
      </c>
      <c r="E3236" s="122" t="s">
        <v>974</v>
      </c>
      <c r="F3236" s="122" t="s">
        <v>975</v>
      </c>
      <c r="G3236" s="122" t="s">
        <v>778</v>
      </c>
      <c r="H3236" s="122" t="s">
        <v>777</v>
      </c>
      <c r="I3236" s="312">
        <v>2022</v>
      </c>
      <c r="J3236" s="122" t="s">
        <v>713</v>
      </c>
      <c r="K3236" s="283">
        <v>16192</v>
      </c>
      <c r="L3236" s="318">
        <v>-34.309756999999998</v>
      </c>
      <c r="M3236" s="318">
        <v>150.60140999999999</v>
      </c>
      <c r="O3236">
        <f>INDEX('MEC - traffic congestion'!$M$145:$M$249,MATCH($D3236,'MEC - traffic congestion'!$C$145:$C$249,0))</f>
        <v>1</v>
      </c>
      <c r="P3236" t="str">
        <f t="shared" si="146"/>
        <v>2022WEEKENDS</v>
      </c>
      <c r="Q3236">
        <f t="shared" si="147"/>
        <v>1</v>
      </c>
      <c r="R3236" s="195" t="str">
        <f t="shared" si="148"/>
        <v>2022LIGHT VEHICLES</v>
      </c>
    </row>
    <row r="3237" spans="3:18" x14ac:dyDescent="0.25">
      <c r="C3237" s="294" t="s">
        <v>973</v>
      </c>
      <c r="D3237" s="317" t="s">
        <v>732</v>
      </c>
      <c r="E3237" s="122" t="s">
        <v>974</v>
      </c>
      <c r="F3237" s="122" t="s">
        <v>975</v>
      </c>
      <c r="G3237" s="122" t="s">
        <v>776</v>
      </c>
      <c r="H3237" s="122" t="s">
        <v>777</v>
      </c>
      <c r="I3237" s="312">
        <v>2023</v>
      </c>
      <c r="J3237" s="122" t="s">
        <v>709</v>
      </c>
      <c r="K3237" s="283">
        <v>2447</v>
      </c>
      <c r="L3237" s="318">
        <v>-34.309756999999998</v>
      </c>
      <c r="M3237" s="318">
        <v>150.60140999999999</v>
      </c>
      <c r="O3237">
        <f>INDEX('MEC - traffic congestion'!$M$145:$M$249,MATCH($D3237,'MEC - traffic congestion'!$C$145:$C$249,0))</f>
        <v>1</v>
      </c>
      <c r="P3237" t="str">
        <f t="shared" si="146"/>
        <v>2023AM PEAK</v>
      </c>
      <c r="Q3237">
        <f t="shared" si="147"/>
        <v>1</v>
      </c>
      <c r="R3237" s="195" t="str">
        <f t="shared" si="148"/>
        <v>2023LIGHT VEHICLES</v>
      </c>
    </row>
    <row r="3238" spans="3:18" x14ac:dyDescent="0.25">
      <c r="C3238" s="294" t="s">
        <v>973</v>
      </c>
      <c r="D3238" s="317" t="s">
        <v>732</v>
      </c>
      <c r="E3238" s="122" t="s">
        <v>974</v>
      </c>
      <c r="F3238" s="122" t="s">
        <v>975</v>
      </c>
      <c r="G3238" s="122" t="s">
        <v>778</v>
      </c>
      <c r="H3238" s="122" t="s">
        <v>777</v>
      </c>
      <c r="I3238" s="312">
        <v>2023</v>
      </c>
      <c r="J3238" s="122" t="s">
        <v>709</v>
      </c>
      <c r="K3238" s="283">
        <v>3452</v>
      </c>
      <c r="L3238" s="318">
        <v>-34.309756999999998</v>
      </c>
      <c r="M3238" s="318">
        <v>150.60140999999999</v>
      </c>
      <c r="O3238">
        <f>INDEX('MEC - traffic congestion'!$M$145:$M$249,MATCH($D3238,'MEC - traffic congestion'!$C$145:$C$249,0))</f>
        <v>1</v>
      </c>
      <c r="P3238" t="str">
        <f t="shared" si="146"/>
        <v>2023AM PEAK</v>
      </c>
      <c r="Q3238">
        <f t="shared" si="147"/>
        <v>1</v>
      </c>
      <c r="R3238" s="195" t="str">
        <f t="shared" si="148"/>
        <v>2023LIGHT VEHICLES</v>
      </c>
    </row>
    <row r="3239" spans="3:18" x14ac:dyDescent="0.25">
      <c r="C3239" s="294" t="s">
        <v>973</v>
      </c>
      <c r="D3239" s="317" t="s">
        <v>732</v>
      </c>
      <c r="E3239" s="122" t="s">
        <v>974</v>
      </c>
      <c r="F3239" s="122" t="s">
        <v>975</v>
      </c>
      <c r="G3239" s="122" t="s">
        <v>776</v>
      </c>
      <c r="H3239" s="122" t="s">
        <v>777</v>
      </c>
      <c r="I3239" s="312">
        <v>2023</v>
      </c>
      <c r="J3239" s="122" t="s">
        <v>710</v>
      </c>
      <c r="K3239" s="283">
        <v>6365</v>
      </c>
      <c r="L3239" s="318">
        <v>-34.309756999999998</v>
      </c>
      <c r="M3239" s="318">
        <v>150.60140999999999</v>
      </c>
      <c r="O3239">
        <f>INDEX('MEC - traffic congestion'!$M$145:$M$249,MATCH($D3239,'MEC - traffic congestion'!$C$145:$C$249,0))</f>
        <v>1</v>
      </c>
      <c r="P3239" t="str">
        <f t="shared" si="146"/>
        <v>2023OFF PEAK</v>
      </c>
      <c r="Q3239">
        <f t="shared" si="147"/>
        <v>1</v>
      </c>
      <c r="R3239" s="195" t="str">
        <f t="shared" si="148"/>
        <v>2023LIGHT VEHICLES</v>
      </c>
    </row>
    <row r="3240" spans="3:18" x14ac:dyDescent="0.25">
      <c r="C3240" s="294" t="s">
        <v>973</v>
      </c>
      <c r="D3240" s="317" t="s">
        <v>732</v>
      </c>
      <c r="E3240" s="122" t="s">
        <v>974</v>
      </c>
      <c r="F3240" s="122" t="s">
        <v>975</v>
      </c>
      <c r="G3240" s="122" t="s">
        <v>778</v>
      </c>
      <c r="H3240" s="122" t="s">
        <v>777</v>
      </c>
      <c r="I3240" s="312">
        <v>2023</v>
      </c>
      <c r="J3240" s="122" t="s">
        <v>710</v>
      </c>
      <c r="K3240" s="283">
        <v>6483</v>
      </c>
      <c r="L3240" s="318">
        <v>-34.309756999999998</v>
      </c>
      <c r="M3240" s="318">
        <v>150.60140999999999</v>
      </c>
      <c r="O3240">
        <f>INDEX('MEC - traffic congestion'!$M$145:$M$249,MATCH($D3240,'MEC - traffic congestion'!$C$145:$C$249,0))</f>
        <v>1</v>
      </c>
      <c r="P3240" t="str">
        <f t="shared" si="146"/>
        <v>2023OFF PEAK</v>
      </c>
      <c r="Q3240">
        <f t="shared" si="147"/>
        <v>1</v>
      </c>
      <c r="R3240" s="195" t="str">
        <f t="shared" si="148"/>
        <v>2023LIGHT VEHICLES</v>
      </c>
    </row>
    <row r="3241" spans="3:18" x14ac:dyDescent="0.25">
      <c r="C3241" s="294" t="s">
        <v>973</v>
      </c>
      <c r="D3241" s="317" t="s">
        <v>732</v>
      </c>
      <c r="E3241" s="122" t="s">
        <v>974</v>
      </c>
      <c r="F3241" s="122" t="s">
        <v>975</v>
      </c>
      <c r="G3241" s="122" t="s">
        <v>776</v>
      </c>
      <c r="H3241" s="122" t="s">
        <v>777</v>
      </c>
      <c r="I3241" s="312">
        <v>2023</v>
      </c>
      <c r="J3241" s="122" t="s">
        <v>711</v>
      </c>
      <c r="K3241" s="283">
        <v>4153</v>
      </c>
      <c r="L3241" s="318">
        <v>-34.309756999999998</v>
      </c>
      <c r="M3241" s="318">
        <v>150.60140999999999</v>
      </c>
      <c r="O3241">
        <f>INDEX('MEC - traffic congestion'!$M$145:$M$249,MATCH($D3241,'MEC - traffic congestion'!$C$145:$C$249,0))</f>
        <v>1</v>
      </c>
      <c r="P3241" t="str">
        <f t="shared" si="146"/>
        <v>2023PM PEAK</v>
      </c>
      <c r="Q3241">
        <f t="shared" si="147"/>
        <v>1</v>
      </c>
      <c r="R3241" s="195" t="str">
        <f t="shared" si="148"/>
        <v>2023LIGHT VEHICLES</v>
      </c>
    </row>
    <row r="3242" spans="3:18" x14ac:dyDescent="0.25">
      <c r="C3242" s="294" t="s">
        <v>973</v>
      </c>
      <c r="D3242" s="317" t="s">
        <v>732</v>
      </c>
      <c r="E3242" s="122" t="s">
        <v>974</v>
      </c>
      <c r="F3242" s="122" t="s">
        <v>975</v>
      </c>
      <c r="G3242" s="122" t="s">
        <v>778</v>
      </c>
      <c r="H3242" s="122" t="s">
        <v>777</v>
      </c>
      <c r="I3242" s="312">
        <v>2023</v>
      </c>
      <c r="J3242" s="122" t="s">
        <v>711</v>
      </c>
      <c r="K3242" s="283">
        <v>3398</v>
      </c>
      <c r="L3242" s="318">
        <v>-34.309756999999998</v>
      </c>
      <c r="M3242" s="318">
        <v>150.60140999999999</v>
      </c>
      <c r="O3242">
        <f>INDEX('MEC - traffic congestion'!$M$145:$M$249,MATCH($D3242,'MEC - traffic congestion'!$C$145:$C$249,0))</f>
        <v>1</v>
      </c>
      <c r="P3242" t="str">
        <f t="shared" si="146"/>
        <v>2023PM PEAK</v>
      </c>
      <c r="Q3242">
        <f t="shared" si="147"/>
        <v>1</v>
      </c>
      <c r="R3242" s="195" t="str">
        <f t="shared" si="148"/>
        <v>2023LIGHT VEHICLES</v>
      </c>
    </row>
    <row r="3243" spans="3:18" x14ac:dyDescent="0.25">
      <c r="C3243" s="294" t="s">
        <v>973</v>
      </c>
      <c r="D3243" s="317" t="s">
        <v>732</v>
      </c>
      <c r="E3243" s="122" t="s">
        <v>974</v>
      </c>
      <c r="F3243" s="122" t="s">
        <v>975</v>
      </c>
      <c r="G3243" s="122" t="s">
        <v>776</v>
      </c>
      <c r="H3243" s="122" t="s">
        <v>777</v>
      </c>
      <c r="I3243" s="312">
        <v>2023</v>
      </c>
      <c r="J3243" s="122" t="s">
        <v>713</v>
      </c>
      <c r="K3243" s="283">
        <v>16796</v>
      </c>
      <c r="L3243" s="318">
        <v>-34.309756999999998</v>
      </c>
      <c r="M3243" s="318">
        <v>150.60140999999999</v>
      </c>
      <c r="O3243">
        <f>INDEX('MEC - traffic congestion'!$M$145:$M$249,MATCH($D3243,'MEC - traffic congestion'!$C$145:$C$249,0))</f>
        <v>1</v>
      </c>
      <c r="P3243" t="str">
        <f t="shared" si="146"/>
        <v>2023WEEKENDS</v>
      </c>
      <c r="Q3243">
        <f t="shared" si="147"/>
        <v>1</v>
      </c>
      <c r="R3243" s="195" t="str">
        <f t="shared" si="148"/>
        <v>2023LIGHT VEHICLES</v>
      </c>
    </row>
    <row r="3244" spans="3:18" x14ac:dyDescent="0.25">
      <c r="C3244" s="294" t="s">
        <v>973</v>
      </c>
      <c r="D3244" s="317" t="s">
        <v>732</v>
      </c>
      <c r="E3244" s="122" t="s">
        <v>974</v>
      </c>
      <c r="F3244" s="122" t="s">
        <v>975</v>
      </c>
      <c r="G3244" s="122" t="s">
        <v>778</v>
      </c>
      <c r="H3244" s="122" t="s">
        <v>777</v>
      </c>
      <c r="I3244" s="312">
        <v>2023</v>
      </c>
      <c r="J3244" s="122" t="s">
        <v>713</v>
      </c>
      <c r="K3244" s="283">
        <v>16138</v>
      </c>
      <c r="L3244" s="318">
        <v>-34.309756999999998</v>
      </c>
      <c r="M3244" s="318">
        <v>150.60140999999999</v>
      </c>
      <c r="O3244">
        <f>INDEX('MEC - traffic congestion'!$M$145:$M$249,MATCH($D3244,'MEC - traffic congestion'!$C$145:$C$249,0))</f>
        <v>1</v>
      </c>
      <c r="P3244" t="str">
        <f t="shared" si="146"/>
        <v>2023WEEKENDS</v>
      </c>
      <c r="Q3244">
        <f t="shared" si="147"/>
        <v>1</v>
      </c>
      <c r="R3244" s="195" t="str">
        <f t="shared" si="148"/>
        <v>2023LIGHT VEHICLES</v>
      </c>
    </row>
    <row r="3245" spans="3:18" x14ac:dyDescent="0.25">
      <c r="C3245" s="294" t="s">
        <v>976</v>
      </c>
      <c r="D3245" s="317" t="s">
        <v>733</v>
      </c>
      <c r="E3245" s="122" t="s">
        <v>977</v>
      </c>
      <c r="F3245" s="122" t="s">
        <v>978</v>
      </c>
      <c r="G3245" s="122" t="s">
        <v>776</v>
      </c>
      <c r="H3245" s="122" t="s">
        <v>777</v>
      </c>
      <c r="I3245" s="312">
        <v>2018</v>
      </c>
      <c r="J3245" s="122" t="s">
        <v>709</v>
      </c>
      <c r="K3245" s="283">
        <v>6671</v>
      </c>
      <c r="L3245" s="318">
        <v>-33.694206000000001</v>
      </c>
      <c r="M3245" s="318">
        <v>151.12132299999999</v>
      </c>
      <c r="O3245">
        <f>INDEX('MEC - traffic congestion'!$M$145:$M$249,MATCH($D3245,'MEC - traffic congestion'!$C$145:$C$249,0))</f>
        <v>1</v>
      </c>
      <c r="P3245" t="str">
        <f t="shared" si="146"/>
        <v>2018AM PEAK</v>
      </c>
      <c r="Q3245">
        <f t="shared" si="147"/>
        <v>1</v>
      </c>
      <c r="R3245" s="195" t="str">
        <f t="shared" si="148"/>
        <v>2018LIGHT VEHICLES</v>
      </c>
    </row>
    <row r="3246" spans="3:18" x14ac:dyDescent="0.25">
      <c r="C3246" s="294" t="s">
        <v>976</v>
      </c>
      <c r="D3246" s="317" t="s">
        <v>733</v>
      </c>
      <c r="E3246" s="122" t="s">
        <v>977</v>
      </c>
      <c r="F3246" s="122" t="s">
        <v>978</v>
      </c>
      <c r="G3246" s="122" t="s">
        <v>778</v>
      </c>
      <c r="H3246" s="122" t="s">
        <v>777</v>
      </c>
      <c r="I3246" s="312">
        <v>2018</v>
      </c>
      <c r="J3246" s="122" t="s">
        <v>709</v>
      </c>
      <c r="K3246" s="283">
        <v>11707</v>
      </c>
      <c r="L3246" s="318">
        <v>-33.694206000000001</v>
      </c>
      <c r="M3246" s="318">
        <v>151.12132299999999</v>
      </c>
      <c r="O3246">
        <f>INDEX('MEC - traffic congestion'!$M$145:$M$249,MATCH($D3246,'MEC - traffic congestion'!$C$145:$C$249,0))</f>
        <v>1</v>
      </c>
      <c r="P3246" t="str">
        <f t="shared" si="146"/>
        <v>2018AM PEAK</v>
      </c>
      <c r="Q3246">
        <f t="shared" si="147"/>
        <v>1</v>
      </c>
      <c r="R3246" s="195" t="str">
        <f t="shared" si="148"/>
        <v>2018LIGHT VEHICLES</v>
      </c>
    </row>
    <row r="3247" spans="3:18" x14ac:dyDescent="0.25">
      <c r="C3247" s="294" t="s">
        <v>976</v>
      </c>
      <c r="D3247" s="317" t="s">
        <v>733</v>
      </c>
      <c r="E3247" s="122" t="s">
        <v>977</v>
      </c>
      <c r="F3247" s="122" t="s">
        <v>978</v>
      </c>
      <c r="G3247" s="122" t="s">
        <v>776</v>
      </c>
      <c r="H3247" s="122" t="s">
        <v>777</v>
      </c>
      <c r="I3247" s="312">
        <v>2018</v>
      </c>
      <c r="J3247" s="122" t="s">
        <v>710</v>
      </c>
      <c r="K3247" s="283">
        <v>18280</v>
      </c>
      <c r="L3247" s="318">
        <v>-33.694206000000001</v>
      </c>
      <c r="M3247" s="318">
        <v>151.12132299999999</v>
      </c>
      <c r="O3247">
        <f>INDEX('MEC - traffic congestion'!$M$145:$M$249,MATCH($D3247,'MEC - traffic congestion'!$C$145:$C$249,0))</f>
        <v>1</v>
      </c>
      <c r="P3247" t="str">
        <f t="shared" si="146"/>
        <v>2018OFF PEAK</v>
      </c>
      <c r="Q3247">
        <f t="shared" si="147"/>
        <v>1</v>
      </c>
      <c r="R3247" s="195" t="str">
        <f t="shared" si="148"/>
        <v>2018LIGHT VEHICLES</v>
      </c>
    </row>
    <row r="3248" spans="3:18" x14ac:dyDescent="0.25">
      <c r="C3248" s="294" t="s">
        <v>976</v>
      </c>
      <c r="D3248" s="317" t="s">
        <v>733</v>
      </c>
      <c r="E3248" s="122" t="s">
        <v>977</v>
      </c>
      <c r="F3248" s="122" t="s">
        <v>978</v>
      </c>
      <c r="G3248" s="122" t="s">
        <v>778</v>
      </c>
      <c r="H3248" s="122" t="s">
        <v>777</v>
      </c>
      <c r="I3248" s="312">
        <v>2018</v>
      </c>
      <c r="J3248" s="122" t="s">
        <v>710</v>
      </c>
      <c r="K3248" s="283">
        <v>17280</v>
      </c>
      <c r="L3248" s="318">
        <v>-33.694206000000001</v>
      </c>
      <c r="M3248" s="318">
        <v>151.12132299999999</v>
      </c>
      <c r="O3248">
        <f>INDEX('MEC - traffic congestion'!$M$145:$M$249,MATCH($D3248,'MEC - traffic congestion'!$C$145:$C$249,0))</f>
        <v>1</v>
      </c>
      <c r="P3248" t="str">
        <f t="shared" si="146"/>
        <v>2018OFF PEAK</v>
      </c>
      <c r="Q3248">
        <f t="shared" si="147"/>
        <v>1</v>
      </c>
      <c r="R3248" s="195" t="str">
        <f t="shared" si="148"/>
        <v>2018LIGHT VEHICLES</v>
      </c>
    </row>
    <row r="3249" spans="3:18" x14ac:dyDescent="0.25">
      <c r="C3249" s="294" t="s">
        <v>976</v>
      </c>
      <c r="D3249" s="317" t="s">
        <v>733</v>
      </c>
      <c r="E3249" s="122" t="s">
        <v>977</v>
      </c>
      <c r="F3249" s="122" t="s">
        <v>978</v>
      </c>
      <c r="G3249" s="122" t="s">
        <v>776</v>
      </c>
      <c r="H3249" s="122" t="s">
        <v>777</v>
      </c>
      <c r="I3249" s="312">
        <v>2018</v>
      </c>
      <c r="J3249" s="122" t="s">
        <v>711</v>
      </c>
      <c r="K3249" s="283">
        <v>13252</v>
      </c>
      <c r="L3249" s="318">
        <v>-33.694206000000001</v>
      </c>
      <c r="M3249" s="318">
        <v>151.12132299999999</v>
      </c>
      <c r="O3249">
        <f>INDEX('MEC - traffic congestion'!$M$145:$M$249,MATCH($D3249,'MEC - traffic congestion'!$C$145:$C$249,0))</f>
        <v>1</v>
      </c>
      <c r="P3249" t="str">
        <f t="shared" si="146"/>
        <v>2018PM PEAK</v>
      </c>
      <c r="Q3249">
        <f t="shared" si="147"/>
        <v>1</v>
      </c>
      <c r="R3249" s="195" t="str">
        <f t="shared" si="148"/>
        <v>2018LIGHT VEHICLES</v>
      </c>
    </row>
    <row r="3250" spans="3:18" x14ac:dyDescent="0.25">
      <c r="C3250" s="294" t="s">
        <v>976</v>
      </c>
      <c r="D3250" s="317" t="s">
        <v>733</v>
      </c>
      <c r="E3250" s="122" t="s">
        <v>977</v>
      </c>
      <c r="F3250" s="122" t="s">
        <v>978</v>
      </c>
      <c r="G3250" s="122" t="s">
        <v>778</v>
      </c>
      <c r="H3250" s="122" t="s">
        <v>777</v>
      </c>
      <c r="I3250" s="312">
        <v>2018</v>
      </c>
      <c r="J3250" s="122" t="s">
        <v>711</v>
      </c>
      <c r="K3250" s="283">
        <v>8209</v>
      </c>
      <c r="L3250" s="318">
        <v>-33.694206000000001</v>
      </c>
      <c r="M3250" s="318">
        <v>151.12132299999999</v>
      </c>
      <c r="O3250">
        <f>INDEX('MEC - traffic congestion'!$M$145:$M$249,MATCH($D3250,'MEC - traffic congestion'!$C$145:$C$249,0))</f>
        <v>1</v>
      </c>
      <c r="P3250" t="str">
        <f t="shared" si="146"/>
        <v>2018PM PEAK</v>
      </c>
      <c r="Q3250">
        <f t="shared" si="147"/>
        <v>1</v>
      </c>
      <c r="R3250" s="195" t="str">
        <f t="shared" si="148"/>
        <v>2018LIGHT VEHICLES</v>
      </c>
    </row>
    <row r="3251" spans="3:18" x14ac:dyDescent="0.25">
      <c r="C3251" s="294" t="s">
        <v>976</v>
      </c>
      <c r="D3251" s="317" t="s">
        <v>733</v>
      </c>
      <c r="E3251" s="122" t="s">
        <v>977</v>
      </c>
      <c r="F3251" s="122" t="s">
        <v>978</v>
      </c>
      <c r="G3251" s="122" t="s">
        <v>776</v>
      </c>
      <c r="H3251" s="122" t="s">
        <v>777</v>
      </c>
      <c r="I3251" s="312">
        <v>2018</v>
      </c>
      <c r="J3251" s="122" t="s">
        <v>712</v>
      </c>
      <c r="K3251" s="283">
        <v>44877</v>
      </c>
      <c r="L3251" s="318">
        <v>-33.694206000000001</v>
      </c>
      <c r="M3251" s="318">
        <v>151.12132299999999</v>
      </c>
      <c r="O3251">
        <f>INDEX('MEC - traffic congestion'!$M$145:$M$249,MATCH($D3251,'MEC - traffic congestion'!$C$145:$C$249,0))</f>
        <v>1</v>
      </c>
      <c r="P3251" t="str">
        <f t="shared" si="146"/>
        <v>2018PUBLIC HOLIDAYS</v>
      </c>
      <c r="Q3251">
        <f t="shared" si="147"/>
        <v>1</v>
      </c>
      <c r="R3251" s="195" t="str">
        <f t="shared" si="148"/>
        <v>2018LIGHT VEHICLES</v>
      </c>
    </row>
    <row r="3252" spans="3:18" x14ac:dyDescent="0.25">
      <c r="C3252" s="294" t="s">
        <v>976</v>
      </c>
      <c r="D3252" s="317" t="s">
        <v>733</v>
      </c>
      <c r="E3252" s="122" t="s">
        <v>977</v>
      </c>
      <c r="F3252" s="122" t="s">
        <v>978</v>
      </c>
      <c r="G3252" s="122" t="s">
        <v>778</v>
      </c>
      <c r="H3252" s="122" t="s">
        <v>777</v>
      </c>
      <c r="I3252" s="312">
        <v>2018</v>
      </c>
      <c r="J3252" s="122" t="s">
        <v>712</v>
      </c>
      <c r="K3252" s="283">
        <v>45360</v>
      </c>
      <c r="L3252" s="318">
        <v>-33.694206000000001</v>
      </c>
      <c r="M3252" s="318">
        <v>151.12132299999999</v>
      </c>
      <c r="O3252">
        <f>INDEX('MEC - traffic congestion'!$M$145:$M$249,MATCH($D3252,'MEC - traffic congestion'!$C$145:$C$249,0))</f>
        <v>1</v>
      </c>
      <c r="P3252" t="str">
        <f t="shared" si="146"/>
        <v>2018PUBLIC HOLIDAYS</v>
      </c>
      <c r="Q3252">
        <f t="shared" si="147"/>
        <v>1</v>
      </c>
      <c r="R3252" s="195" t="str">
        <f t="shared" si="148"/>
        <v>2018LIGHT VEHICLES</v>
      </c>
    </row>
    <row r="3253" spans="3:18" x14ac:dyDescent="0.25">
      <c r="C3253" s="294" t="s">
        <v>976</v>
      </c>
      <c r="D3253" s="317" t="s">
        <v>733</v>
      </c>
      <c r="E3253" s="122" t="s">
        <v>977</v>
      </c>
      <c r="F3253" s="122" t="s">
        <v>978</v>
      </c>
      <c r="G3253" s="122" t="s">
        <v>776</v>
      </c>
      <c r="H3253" s="122" t="s">
        <v>777</v>
      </c>
      <c r="I3253" s="312">
        <v>2018</v>
      </c>
      <c r="J3253" s="122" t="s">
        <v>713</v>
      </c>
      <c r="K3253" s="283">
        <v>39924</v>
      </c>
      <c r="L3253" s="318">
        <v>-33.694206000000001</v>
      </c>
      <c r="M3253" s="318">
        <v>151.12132299999999</v>
      </c>
      <c r="O3253">
        <f>INDEX('MEC - traffic congestion'!$M$145:$M$249,MATCH($D3253,'MEC - traffic congestion'!$C$145:$C$249,0))</f>
        <v>1</v>
      </c>
      <c r="P3253" t="str">
        <f t="shared" si="146"/>
        <v>2018WEEKENDS</v>
      </c>
      <c r="Q3253">
        <f t="shared" si="147"/>
        <v>1</v>
      </c>
      <c r="R3253" s="195" t="str">
        <f t="shared" si="148"/>
        <v>2018LIGHT VEHICLES</v>
      </c>
    </row>
    <row r="3254" spans="3:18" x14ac:dyDescent="0.25">
      <c r="C3254" s="294" t="s">
        <v>976</v>
      </c>
      <c r="D3254" s="317" t="s">
        <v>733</v>
      </c>
      <c r="E3254" s="122" t="s">
        <v>977</v>
      </c>
      <c r="F3254" s="122" t="s">
        <v>978</v>
      </c>
      <c r="G3254" s="122" t="s">
        <v>778</v>
      </c>
      <c r="H3254" s="122" t="s">
        <v>777</v>
      </c>
      <c r="I3254" s="312">
        <v>2018</v>
      </c>
      <c r="J3254" s="122" t="s">
        <v>713</v>
      </c>
      <c r="K3254" s="283">
        <v>42859</v>
      </c>
      <c r="L3254" s="318">
        <v>-33.694206000000001</v>
      </c>
      <c r="M3254" s="318">
        <v>151.12132299999999</v>
      </c>
      <c r="O3254">
        <f>INDEX('MEC - traffic congestion'!$M$145:$M$249,MATCH($D3254,'MEC - traffic congestion'!$C$145:$C$249,0))</f>
        <v>1</v>
      </c>
      <c r="P3254" t="str">
        <f t="shared" si="146"/>
        <v>2018WEEKENDS</v>
      </c>
      <c r="Q3254">
        <f t="shared" si="147"/>
        <v>1</v>
      </c>
      <c r="R3254" s="195" t="str">
        <f t="shared" si="148"/>
        <v>2018LIGHT VEHICLES</v>
      </c>
    </row>
    <row r="3255" spans="3:18" x14ac:dyDescent="0.25">
      <c r="C3255" s="294" t="s">
        <v>976</v>
      </c>
      <c r="D3255" s="317" t="s">
        <v>733</v>
      </c>
      <c r="E3255" s="122" t="s">
        <v>977</v>
      </c>
      <c r="F3255" s="122" t="s">
        <v>978</v>
      </c>
      <c r="G3255" s="122" t="s">
        <v>776</v>
      </c>
      <c r="H3255" s="122" t="s">
        <v>777</v>
      </c>
      <c r="I3255" s="312">
        <v>2019</v>
      </c>
      <c r="J3255" s="122" t="s">
        <v>709</v>
      </c>
      <c r="K3255" s="283">
        <v>6650</v>
      </c>
      <c r="L3255" s="318">
        <v>-33.694206000000001</v>
      </c>
      <c r="M3255" s="318">
        <v>151.12132299999999</v>
      </c>
      <c r="O3255">
        <f>INDEX('MEC - traffic congestion'!$M$145:$M$249,MATCH($D3255,'MEC - traffic congestion'!$C$145:$C$249,0))</f>
        <v>1</v>
      </c>
      <c r="P3255" t="str">
        <f t="shared" si="146"/>
        <v>2019AM PEAK</v>
      </c>
      <c r="Q3255">
        <f t="shared" si="147"/>
        <v>1</v>
      </c>
      <c r="R3255" s="195" t="str">
        <f t="shared" si="148"/>
        <v>2019LIGHT VEHICLES</v>
      </c>
    </row>
    <row r="3256" spans="3:18" x14ac:dyDescent="0.25">
      <c r="C3256" s="294" t="s">
        <v>976</v>
      </c>
      <c r="D3256" s="317" t="s">
        <v>733</v>
      </c>
      <c r="E3256" s="122" t="s">
        <v>977</v>
      </c>
      <c r="F3256" s="122" t="s">
        <v>978</v>
      </c>
      <c r="G3256" s="122" t="s">
        <v>778</v>
      </c>
      <c r="H3256" s="122" t="s">
        <v>777</v>
      </c>
      <c r="I3256" s="312">
        <v>2019</v>
      </c>
      <c r="J3256" s="122" t="s">
        <v>709</v>
      </c>
      <c r="K3256" s="283">
        <v>11656</v>
      </c>
      <c r="L3256" s="318">
        <v>-33.694206000000001</v>
      </c>
      <c r="M3256" s="318">
        <v>151.12132299999999</v>
      </c>
      <c r="O3256">
        <f>INDEX('MEC - traffic congestion'!$M$145:$M$249,MATCH($D3256,'MEC - traffic congestion'!$C$145:$C$249,0))</f>
        <v>1</v>
      </c>
      <c r="P3256" t="str">
        <f t="shared" si="146"/>
        <v>2019AM PEAK</v>
      </c>
      <c r="Q3256">
        <f t="shared" si="147"/>
        <v>1</v>
      </c>
      <c r="R3256" s="195" t="str">
        <f t="shared" si="148"/>
        <v>2019LIGHT VEHICLES</v>
      </c>
    </row>
    <row r="3257" spans="3:18" x14ac:dyDescent="0.25">
      <c r="C3257" s="294" t="s">
        <v>976</v>
      </c>
      <c r="D3257" s="317" t="s">
        <v>733</v>
      </c>
      <c r="E3257" s="122" t="s">
        <v>977</v>
      </c>
      <c r="F3257" s="122" t="s">
        <v>978</v>
      </c>
      <c r="G3257" s="122" t="s">
        <v>776</v>
      </c>
      <c r="H3257" s="122" t="s">
        <v>777</v>
      </c>
      <c r="I3257" s="312">
        <v>2019</v>
      </c>
      <c r="J3257" s="122" t="s">
        <v>710</v>
      </c>
      <c r="K3257" s="283">
        <v>17760</v>
      </c>
      <c r="L3257" s="318">
        <v>-33.694206000000001</v>
      </c>
      <c r="M3257" s="318">
        <v>151.12132299999999</v>
      </c>
      <c r="O3257">
        <f>INDEX('MEC - traffic congestion'!$M$145:$M$249,MATCH($D3257,'MEC - traffic congestion'!$C$145:$C$249,0))</f>
        <v>1</v>
      </c>
      <c r="P3257" t="str">
        <f t="shared" si="146"/>
        <v>2019OFF PEAK</v>
      </c>
      <c r="Q3257">
        <f t="shared" si="147"/>
        <v>1</v>
      </c>
      <c r="R3257" s="195" t="str">
        <f t="shared" si="148"/>
        <v>2019LIGHT VEHICLES</v>
      </c>
    </row>
    <row r="3258" spans="3:18" x14ac:dyDescent="0.25">
      <c r="C3258" s="294" t="s">
        <v>976</v>
      </c>
      <c r="D3258" s="317" t="s">
        <v>733</v>
      </c>
      <c r="E3258" s="122" t="s">
        <v>977</v>
      </c>
      <c r="F3258" s="122" t="s">
        <v>978</v>
      </c>
      <c r="G3258" s="122" t="s">
        <v>778</v>
      </c>
      <c r="H3258" s="122" t="s">
        <v>777</v>
      </c>
      <c r="I3258" s="312">
        <v>2019</v>
      </c>
      <c r="J3258" s="122" t="s">
        <v>710</v>
      </c>
      <c r="K3258" s="283">
        <v>17226</v>
      </c>
      <c r="L3258" s="318">
        <v>-33.694206000000001</v>
      </c>
      <c r="M3258" s="318">
        <v>151.12132299999999</v>
      </c>
      <c r="O3258">
        <f>INDEX('MEC - traffic congestion'!$M$145:$M$249,MATCH($D3258,'MEC - traffic congestion'!$C$145:$C$249,0))</f>
        <v>1</v>
      </c>
      <c r="P3258" t="str">
        <f t="shared" si="146"/>
        <v>2019OFF PEAK</v>
      </c>
      <c r="Q3258">
        <f t="shared" si="147"/>
        <v>1</v>
      </c>
      <c r="R3258" s="195" t="str">
        <f t="shared" si="148"/>
        <v>2019LIGHT VEHICLES</v>
      </c>
    </row>
    <row r="3259" spans="3:18" x14ac:dyDescent="0.25">
      <c r="C3259" s="294" t="s">
        <v>976</v>
      </c>
      <c r="D3259" s="317" t="s">
        <v>733</v>
      </c>
      <c r="E3259" s="122" t="s">
        <v>977</v>
      </c>
      <c r="F3259" s="122" t="s">
        <v>978</v>
      </c>
      <c r="G3259" s="122" t="s">
        <v>776</v>
      </c>
      <c r="H3259" s="122" t="s">
        <v>777</v>
      </c>
      <c r="I3259" s="312">
        <v>2019</v>
      </c>
      <c r="J3259" s="122" t="s">
        <v>711</v>
      </c>
      <c r="K3259" s="283">
        <v>12943</v>
      </c>
      <c r="L3259" s="318">
        <v>-33.694206000000001</v>
      </c>
      <c r="M3259" s="318">
        <v>151.12132299999999</v>
      </c>
      <c r="O3259">
        <f>INDEX('MEC - traffic congestion'!$M$145:$M$249,MATCH($D3259,'MEC - traffic congestion'!$C$145:$C$249,0))</f>
        <v>1</v>
      </c>
      <c r="P3259" t="str">
        <f t="shared" si="146"/>
        <v>2019PM PEAK</v>
      </c>
      <c r="Q3259">
        <f t="shared" si="147"/>
        <v>1</v>
      </c>
      <c r="R3259" s="195" t="str">
        <f t="shared" si="148"/>
        <v>2019LIGHT VEHICLES</v>
      </c>
    </row>
    <row r="3260" spans="3:18" x14ac:dyDescent="0.25">
      <c r="C3260" s="294" t="s">
        <v>976</v>
      </c>
      <c r="D3260" s="317" t="s">
        <v>733</v>
      </c>
      <c r="E3260" s="122" t="s">
        <v>977</v>
      </c>
      <c r="F3260" s="122" t="s">
        <v>978</v>
      </c>
      <c r="G3260" s="122" t="s">
        <v>778</v>
      </c>
      <c r="H3260" s="122" t="s">
        <v>777</v>
      </c>
      <c r="I3260" s="312">
        <v>2019</v>
      </c>
      <c r="J3260" s="122" t="s">
        <v>711</v>
      </c>
      <c r="K3260" s="283">
        <v>8395</v>
      </c>
      <c r="L3260" s="318">
        <v>-33.694206000000001</v>
      </c>
      <c r="M3260" s="318">
        <v>151.12132299999999</v>
      </c>
      <c r="O3260">
        <f>INDEX('MEC - traffic congestion'!$M$145:$M$249,MATCH($D3260,'MEC - traffic congestion'!$C$145:$C$249,0))</f>
        <v>1</v>
      </c>
      <c r="P3260" t="str">
        <f t="shared" si="146"/>
        <v>2019PM PEAK</v>
      </c>
      <c r="Q3260">
        <f t="shared" si="147"/>
        <v>1</v>
      </c>
      <c r="R3260" s="195" t="str">
        <f t="shared" si="148"/>
        <v>2019LIGHT VEHICLES</v>
      </c>
    </row>
    <row r="3261" spans="3:18" x14ac:dyDescent="0.25">
      <c r="C3261" s="294" t="s">
        <v>976</v>
      </c>
      <c r="D3261" s="317" t="s">
        <v>733</v>
      </c>
      <c r="E3261" s="122" t="s">
        <v>977</v>
      </c>
      <c r="F3261" s="122" t="s">
        <v>978</v>
      </c>
      <c r="G3261" s="122" t="s">
        <v>776</v>
      </c>
      <c r="H3261" s="122" t="s">
        <v>777</v>
      </c>
      <c r="I3261" s="312">
        <v>2019</v>
      </c>
      <c r="J3261" s="122" t="s">
        <v>712</v>
      </c>
      <c r="K3261" s="283">
        <v>44264</v>
      </c>
      <c r="L3261" s="318">
        <v>-33.694206000000001</v>
      </c>
      <c r="M3261" s="318">
        <v>151.12132299999999</v>
      </c>
      <c r="O3261">
        <f>INDEX('MEC - traffic congestion'!$M$145:$M$249,MATCH($D3261,'MEC - traffic congestion'!$C$145:$C$249,0))</f>
        <v>1</v>
      </c>
      <c r="P3261" t="str">
        <f t="shared" si="146"/>
        <v>2019PUBLIC HOLIDAYS</v>
      </c>
      <c r="Q3261">
        <f t="shared" si="147"/>
        <v>1</v>
      </c>
      <c r="R3261" s="195" t="str">
        <f t="shared" si="148"/>
        <v>2019LIGHT VEHICLES</v>
      </c>
    </row>
    <row r="3262" spans="3:18" x14ac:dyDescent="0.25">
      <c r="C3262" s="294" t="s">
        <v>976</v>
      </c>
      <c r="D3262" s="317" t="s">
        <v>733</v>
      </c>
      <c r="E3262" s="122" t="s">
        <v>977</v>
      </c>
      <c r="F3262" s="122" t="s">
        <v>978</v>
      </c>
      <c r="G3262" s="122" t="s">
        <v>778</v>
      </c>
      <c r="H3262" s="122" t="s">
        <v>777</v>
      </c>
      <c r="I3262" s="312">
        <v>2019</v>
      </c>
      <c r="J3262" s="122" t="s">
        <v>712</v>
      </c>
      <c r="K3262" s="283">
        <v>42639</v>
      </c>
      <c r="L3262" s="318">
        <v>-33.694206000000001</v>
      </c>
      <c r="M3262" s="318">
        <v>151.12132299999999</v>
      </c>
      <c r="O3262">
        <f>INDEX('MEC - traffic congestion'!$M$145:$M$249,MATCH($D3262,'MEC - traffic congestion'!$C$145:$C$249,0))</f>
        <v>1</v>
      </c>
      <c r="P3262" t="str">
        <f t="shared" si="146"/>
        <v>2019PUBLIC HOLIDAYS</v>
      </c>
      <c r="Q3262">
        <f t="shared" si="147"/>
        <v>1</v>
      </c>
      <c r="R3262" s="195" t="str">
        <f t="shared" si="148"/>
        <v>2019LIGHT VEHICLES</v>
      </c>
    </row>
    <row r="3263" spans="3:18" x14ac:dyDescent="0.25">
      <c r="C3263" s="294" t="s">
        <v>976</v>
      </c>
      <c r="D3263" s="317" t="s">
        <v>733</v>
      </c>
      <c r="E3263" s="122" t="s">
        <v>977</v>
      </c>
      <c r="F3263" s="122" t="s">
        <v>978</v>
      </c>
      <c r="G3263" s="122" t="s">
        <v>776</v>
      </c>
      <c r="H3263" s="122" t="s">
        <v>777</v>
      </c>
      <c r="I3263" s="312">
        <v>2019</v>
      </c>
      <c r="J3263" s="122" t="s">
        <v>713</v>
      </c>
      <c r="K3263" s="283">
        <v>39457</v>
      </c>
      <c r="L3263" s="318">
        <v>-33.694206000000001</v>
      </c>
      <c r="M3263" s="318">
        <v>151.12132299999999</v>
      </c>
      <c r="O3263">
        <f>INDEX('MEC - traffic congestion'!$M$145:$M$249,MATCH($D3263,'MEC - traffic congestion'!$C$145:$C$249,0))</f>
        <v>1</v>
      </c>
      <c r="P3263" t="str">
        <f t="shared" si="146"/>
        <v>2019WEEKENDS</v>
      </c>
      <c r="Q3263">
        <f t="shared" si="147"/>
        <v>1</v>
      </c>
      <c r="R3263" s="195" t="str">
        <f t="shared" si="148"/>
        <v>2019LIGHT VEHICLES</v>
      </c>
    </row>
    <row r="3264" spans="3:18" x14ac:dyDescent="0.25">
      <c r="C3264" s="294" t="s">
        <v>976</v>
      </c>
      <c r="D3264" s="317" t="s">
        <v>733</v>
      </c>
      <c r="E3264" s="122" t="s">
        <v>977</v>
      </c>
      <c r="F3264" s="122" t="s">
        <v>978</v>
      </c>
      <c r="G3264" s="122" t="s">
        <v>778</v>
      </c>
      <c r="H3264" s="122" t="s">
        <v>777</v>
      </c>
      <c r="I3264" s="312">
        <v>2019</v>
      </c>
      <c r="J3264" s="122" t="s">
        <v>713</v>
      </c>
      <c r="K3264" s="283">
        <v>42273</v>
      </c>
      <c r="L3264" s="318">
        <v>-33.694206000000001</v>
      </c>
      <c r="M3264" s="318">
        <v>151.12132299999999</v>
      </c>
      <c r="O3264">
        <f>INDEX('MEC - traffic congestion'!$M$145:$M$249,MATCH($D3264,'MEC - traffic congestion'!$C$145:$C$249,0))</f>
        <v>1</v>
      </c>
      <c r="P3264" t="str">
        <f t="shared" si="146"/>
        <v>2019WEEKENDS</v>
      </c>
      <c r="Q3264">
        <f t="shared" si="147"/>
        <v>1</v>
      </c>
      <c r="R3264" s="195" t="str">
        <f t="shared" si="148"/>
        <v>2019LIGHT VEHICLES</v>
      </c>
    </row>
    <row r="3265" spans="3:18" x14ac:dyDescent="0.25">
      <c r="C3265" s="294" t="s">
        <v>976</v>
      </c>
      <c r="D3265" s="317" t="s">
        <v>733</v>
      </c>
      <c r="E3265" s="122" t="s">
        <v>977</v>
      </c>
      <c r="F3265" s="122" t="s">
        <v>978</v>
      </c>
      <c r="G3265" s="122" t="s">
        <v>776</v>
      </c>
      <c r="H3265" s="122" t="s">
        <v>777</v>
      </c>
      <c r="I3265" s="312">
        <v>2020</v>
      </c>
      <c r="J3265" s="122" t="s">
        <v>709</v>
      </c>
      <c r="K3265" s="283">
        <v>6345</v>
      </c>
      <c r="L3265" s="318">
        <v>-33.694206000000001</v>
      </c>
      <c r="M3265" s="318">
        <v>151.12132299999999</v>
      </c>
      <c r="O3265">
        <f>INDEX('MEC - traffic congestion'!$M$145:$M$249,MATCH($D3265,'MEC - traffic congestion'!$C$145:$C$249,0))</f>
        <v>1</v>
      </c>
      <c r="P3265" t="str">
        <f t="shared" si="146"/>
        <v>2020AM PEAK</v>
      </c>
      <c r="Q3265">
        <f t="shared" si="147"/>
        <v>1</v>
      </c>
      <c r="R3265" s="195" t="str">
        <f t="shared" si="148"/>
        <v>2020LIGHT VEHICLES</v>
      </c>
    </row>
    <row r="3266" spans="3:18" x14ac:dyDescent="0.25">
      <c r="C3266" s="294" t="s">
        <v>976</v>
      </c>
      <c r="D3266" s="317" t="s">
        <v>733</v>
      </c>
      <c r="E3266" s="122" t="s">
        <v>977</v>
      </c>
      <c r="F3266" s="122" t="s">
        <v>978</v>
      </c>
      <c r="G3266" s="122" t="s">
        <v>778</v>
      </c>
      <c r="H3266" s="122" t="s">
        <v>777</v>
      </c>
      <c r="I3266" s="312">
        <v>2020</v>
      </c>
      <c r="J3266" s="122" t="s">
        <v>709</v>
      </c>
      <c r="K3266" s="283">
        <v>10611</v>
      </c>
      <c r="L3266" s="318">
        <v>-33.694206000000001</v>
      </c>
      <c r="M3266" s="318">
        <v>151.12132299999999</v>
      </c>
      <c r="O3266">
        <f>INDEX('MEC - traffic congestion'!$M$145:$M$249,MATCH($D3266,'MEC - traffic congestion'!$C$145:$C$249,0))</f>
        <v>1</v>
      </c>
      <c r="P3266" t="str">
        <f t="shared" si="146"/>
        <v>2020AM PEAK</v>
      </c>
      <c r="Q3266">
        <f t="shared" si="147"/>
        <v>1</v>
      </c>
      <c r="R3266" s="195" t="str">
        <f t="shared" si="148"/>
        <v>2020LIGHT VEHICLES</v>
      </c>
    </row>
    <row r="3267" spans="3:18" x14ac:dyDescent="0.25">
      <c r="C3267" s="294" t="s">
        <v>976</v>
      </c>
      <c r="D3267" s="317" t="s">
        <v>733</v>
      </c>
      <c r="E3267" s="122" t="s">
        <v>977</v>
      </c>
      <c r="F3267" s="122" t="s">
        <v>978</v>
      </c>
      <c r="G3267" s="122" t="s">
        <v>776</v>
      </c>
      <c r="H3267" s="122" t="s">
        <v>777</v>
      </c>
      <c r="I3267" s="312">
        <v>2020</v>
      </c>
      <c r="J3267" s="122" t="s">
        <v>710</v>
      </c>
      <c r="K3267" s="283">
        <v>16110</v>
      </c>
      <c r="L3267" s="318">
        <v>-33.694206000000001</v>
      </c>
      <c r="M3267" s="318">
        <v>151.12132299999999</v>
      </c>
      <c r="O3267">
        <f>INDEX('MEC - traffic congestion'!$M$145:$M$249,MATCH($D3267,'MEC - traffic congestion'!$C$145:$C$249,0))</f>
        <v>1</v>
      </c>
      <c r="P3267" t="str">
        <f t="shared" si="146"/>
        <v>2020OFF PEAK</v>
      </c>
      <c r="Q3267">
        <f t="shared" si="147"/>
        <v>1</v>
      </c>
      <c r="R3267" s="195" t="str">
        <f t="shared" si="148"/>
        <v>2020LIGHT VEHICLES</v>
      </c>
    </row>
    <row r="3268" spans="3:18" x14ac:dyDescent="0.25">
      <c r="C3268" s="294" t="s">
        <v>976</v>
      </c>
      <c r="D3268" s="317" t="s">
        <v>733</v>
      </c>
      <c r="E3268" s="122" t="s">
        <v>977</v>
      </c>
      <c r="F3268" s="122" t="s">
        <v>978</v>
      </c>
      <c r="G3268" s="122" t="s">
        <v>778</v>
      </c>
      <c r="H3268" s="122" t="s">
        <v>777</v>
      </c>
      <c r="I3268" s="312">
        <v>2020</v>
      </c>
      <c r="J3268" s="122" t="s">
        <v>710</v>
      </c>
      <c r="K3268" s="283">
        <v>15569</v>
      </c>
      <c r="L3268" s="318">
        <v>-33.694206000000001</v>
      </c>
      <c r="M3268" s="318">
        <v>151.12132299999999</v>
      </c>
      <c r="O3268">
        <f>INDEX('MEC - traffic congestion'!$M$145:$M$249,MATCH($D3268,'MEC - traffic congestion'!$C$145:$C$249,0))</f>
        <v>1</v>
      </c>
      <c r="P3268" t="str">
        <f t="shared" si="146"/>
        <v>2020OFF PEAK</v>
      </c>
      <c r="Q3268">
        <f t="shared" si="147"/>
        <v>1</v>
      </c>
      <c r="R3268" s="195" t="str">
        <f t="shared" si="148"/>
        <v>2020LIGHT VEHICLES</v>
      </c>
    </row>
    <row r="3269" spans="3:18" x14ac:dyDescent="0.25">
      <c r="C3269" s="294" t="s">
        <v>976</v>
      </c>
      <c r="D3269" s="317" t="s">
        <v>733</v>
      </c>
      <c r="E3269" s="122" t="s">
        <v>977</v>
      </c>
      <c r="F3269" s="122" t="s">
        <v>978</v>
      </c>
      <c r="G3269" s="122" t="s">
        <v>776</v>
      </c>
      <c r="H3269" s="122" t="s">
        <v>777</v>
      </c>
      <c r="I3269" s="312">
        <v>2020</v>
      </c>
      <c r="J3269" s="122" t="s">
        <v>711</v>
      </c>
      <c r="K3269" s="283">
        <v>12061</v>
      </c>
      <c r="L3269" s="318">
        <v>-33.694206000000001</v>
      </c>
      <c r="M3269" s="318">
        <v>151.12132299999999</v>
      </c>
      <c r="O3269">
        <f>INDEX('MEC - traffic congestion'!$M$145:$M$249,MATCH($D3269,'MEC - traffic congestion'!$C$145:$C$249,0))</f>
        <v>1</v>
      </c>
      <c r="P3269" t="str">
        <f t="shared" si="146"/>
        <v>2020PM PEAK</v>
      </c>
      <c r="Q3269">
        <f t="shared" si="147"/>
        <v>1</v>
      </c>
      <c r="R3269" s="195" t="str">
        <f t="shared" si="148"/>
        <v>2020LIGHT VEHICLES</v>
      </c>
    </row>
    <row r="3270" spans="3:18" x14ac:dyDescent="0.25">
      <c r="C3270" s="294" t="s">
        <v>976</v>
      </c>
      <c r="D3270" s="317" t="s">
        <v>733</v>
      </c>
      <c r="E3270" s="122" t="s">
        <v>977</v>
      </c>
      <c r="F3270" s="122" t="s">
        <v>978</v>
      </c>
      <c r="G3270" s="122" t="s">
        <v>778</v>
      </c>
      <c r="H3270" s="122" t="s">
        <v>777</v>
      </c>
      <c r="I3270" s="312">
        <v>2020</v>
      </c>
      <c r="J3270" s="122" t="s">
        <v>711</v>
      </c>
      <c r="K3270" s="283">
        <v>7740</v>
      </c>
      <c r="L3270" s="318">
        <v>-33.694206000000001</v>
      </c>
      <c r="M3270" s="318">
        <v>151.12132299999999</v>
      </c>
      <c r="O3270">
        <f>INDEX('MEC - traffic congestion'!$M$145:$M$249,MATCH($D3270,'MEC - traffic congestion'!$C$145:$C$249,0))</f>
        <v>1</v>
      </c>
      <c r="P3270" t="str">
        <f t="shared" si="146"/>
        <v>2020PM PEAK</v>
      </c>
      <c r="Q3270">
        <f t="shared" si="147"/>
        <v>1</v>
      </c>
      <c r="R3270" s="195" t="str">
        <f t="shared" si="148"/>
        <v>2020LIGHT VEHICLES</v>
      </c>
    </row>
    <row r="3271" spans="3:18" x14ac:dyDescent="0.25">
      <c r="C3271" s="294" t="s">
        <v>976</v>
      </c>
      <c r="D3271" s="317" t="s">
        <v>733</v>
      </c>
      <c r="E3271" s="122" t="s">
        <v>977</v>
      </c>
      <c r="F3271" s="122" t="s">
        <v>978</v>
      </c>
      <c r="G3271" s="122" t="s">
        <v>776</v>
      </c>
      <c r="H3271" s="122" t="s">
        <v>777</v>
      </c>
      <c r="I3271" s="312">
        <v>2020</v>
      </c>
      <c r="J3271" s="122" t="s">
        <v>712</v>
      </c>
      <c r="K3271" s="283">
        <v>30371</v>
      </c>
      <c r="L3271" s="318">
        <v>-33.694206000000001</v>
      </c>
      <c r="M3271" s="318">
        <v>151.12132299999999</v>
      </c>
      <c r="O3271">
        <f>INDEX('MEC - traffic congestion'!$M$145:$M$249,MATCH($D3271,'MEC - traffic congestion'!$C$145:$C$249,0))</f>
        <v>1</v>
      </c>
      <c r="P3271" t="str">
        <f t="shared" si="146"/>
        <v>2020PUBLIC HOLIDAYS</v>
      </c>
      <c r="Q3271">
        <f t="shared" si="147"/>
        <v>1</v>
      </c>
      <c r="R3271" s="195" t="str">
        <f t="shared" si="148"/>
        <v>2020LIGHT VEHICLES</v>
      </c>
    </row>
    <row r="3272" spans="3:18" x14ac:dyDescent="0.25">
      <c r="C3272" s="294" t="s">
        <v>976</v>
      </c>
      <c r="D3272" s="317" t="s">
        <v>733</v>
      </c>
      <c r="E3272" s="122" t="s">
        <v>977</v>
      </c>
      <c r="F3272" s="122" t="s">
        <v>978</v>
      </c>
      <c r="G3272" s="122" t="s">
        <v>778</v>
      </c>
      <c r="H3272" s="122" t="s">
        <v>777</v>
      </c>
      <c r="I3272" s="312">
        <v>2020</v>
      </c>
      <c r="J3272" s="122" t="s">
        <v>712</v>
      </c>
      <c r="K3272" s="283">
        <v>28929</v>
      </c>
      <c r="L3272" s="318">
        <v>-33.694206000000001</v>
      </c>
      <c r="M3272" s="318">
        <v>151.12132299999999</v>
      </c>
      <c r="O3272">
        <f>INDEX('MEC - traffic congestion'!$M$145:$M$249,MATCH($D3272,'MEC - traffic congestion'!$C$145:$C$249,0))</f>
        <v>1</v>
      </c>
      <c r="P3272" t="str">
        <f t="shared" si="146"/>
        <v>2020PUBLIC HOLIDAYS</v>
      </c>
      <c r="Q3272">
        <f t="shared" si="147"/>
        <v>1</v>
      </c>
      <c r="R3272" s="195" t="str">
        <f t="shared" si="148"/>
        <v>2020LIGHT VEHICLES</v>
      </c>
    </row>
    <row r="3273" spans="3:18" x14ac:dyDescent="0.25">
      <c r="C3273" s="294" t="s">
        <v>976</v>
      </c>
      <c r="D3273" s="317" t="s">
        <v>733</v>
      </c>
      <c r="E3273" s="122" t="s">
        <v>977</v>
      </c>
      <c r="F3273" s="122" t="s">
        <v>978</v>
      </c>
      <c r="G3273" s="122" t="s">
        <v>776</v>
      </c>
      <c r="H3273" s="122" t="s">
        <v>777</v>
      </c>
      <c r="I3273" s="312">
        <v>2020</v>
      </c>
      <c r="J3273" s="122" t="s">
        <v>713</v>
      </c>
      <c r="K3273" s="283">
        <v>34207</v>
      </c>
      <c r="L3273" s="318">
        <v>-33.694206000000001</v>
      </c>
      <c r="M3273" s="318">
        <v>151.12132299999999</v>
      </c>
      <c r="O3273">
        <f>INDEX('MEC - traffic congestion'!$M$145:$M$249,MATCH($D3273,'MEC - traffic congestion'!$C$145:$C$249,0))</f>
        <v>1</v>
      </c>
      <c r="P3273" t="str">
        <f t="shared" si="146"/>
        <v>2020WEEKENDS</v>
      </c>
      <c r="Q3273">
        <f t="shared" si="147"/>
        <v>1</v>
      </c>
      <c r="R3273" s="195" t="str">
        <f t="shared" si="148"/>
        <v>2020LIGHT VEHICLES</v>
      </c>
    </row>
    <row r="3274" spans="3:18" x14ac:dyDescent="0.25">
      <c r="C3274" s="294" t="s">
        <v>976</v>
      </c>
      <c r="D3274" s="317" t="s">
        <v>733</v>
      </c>
      <c r="E3274" s="122" t="s">
        <v>977</v>
      </c>
      <c r="F3274" s="122" t="s">
        <v>978</v>
      </c>
      <c r="G3274" s="122" t="s">
        <v>778</v>
      </c>
      <c r="H3274" s="122" t="s">
        <v>777</v>
      </c>
      <c r="I3274" s="312">
        <v>2020</v>
      </c>
      <c r="J3274" s="122" t="s">
        <v>713</v>
      </c>
      <c r="K3274" s="283">
        <v>36877</v>
      </c>
      <c r="L3274" s="318">
        <v>-33.694206000000001</v>
      </c>
      <c r="M3274" s="318">
        <v>151.12132299999999</v>
      </c>
      <c r="O3274">
        <f>INDEX('MEC - traffic congestion'!$M$145:$M$249,MATCH($D3274,'MEC - traffic congestion'!$C$145:$C$249,0))</f>
        <v>1</v>
      </c>
      <c r="P3274" t="str">
        <f t="shared" si="146"/>
        <v>2020WEEKENDS</v>
      </c>
      <c r="Q3274">
        <f t="shared" si="147"/>
        <v>1</v>
      </c>
      <c r="R3274" s="195" t="str">
        <f t="shared" si="148"/>
        <v>2020LIGHT VEHICLES</v>
      </c>
    </row>
    <row r="3275" spans="3:18" x14ac:dyDescent="0.25">
      <c r="C3275" s="294" t="s">
        <v>976</v>
      </c>
      <c r="D3275" s="317" t="s">
        <v>733</v>
      </c>
      <c r="E3275" s="122" t="s">
        <v>977</v>
      </c>
      <c r="F3275" s="122" t="s">
        <v>978</v>
      </c>
      <c r="G3275" s="122" t="s">
        <v>776</v>
      </c>
      <c r="H3275" s="122" t="s">
        <v>777</v>
      </c>
      <c r="I3275" s="312">
        <v>2021</v>
      </c>
      <c r="J3275" s="122" t="s">
        <v>709</v>
      </c>
      <c r="K3275" s="283">
        <v>5995</v>
      </c>
      <c r="L3275" s="318">
        <v>-33.694206000000001</v>
      </c>
      <c r="M3275" s="318">
        <v>151.12132299999999</v>
      </c>
      <c r="O3275">
        <f>INDEX('MEC - traffic congestion'!$M$145:$M$249,MATCH($D3275,'MEC - traffic congestion'!$C$145:$C$249,0))</f>
        <v>1</v>
      </c>
      <c r="P3275" t="str">
        <f t="shared" si="146"/>
        <v>2021AM PEAK</v>
      </c>
      <c r="Q3275">
        <f t="shared" si="147"/>
        <v>1</v>
      </c>
      <c r="R3275" s="195" t="str">
        <f t="shared" si="148"/>
        <v>2021LIGHT VEHICLES</v>
      </c>
    </row>
    <row r="3276" spans="3:18" x14ac:dyDescent="0.25">
      <c r="C3276" s="294" t="s">
        <v>976</v>
      </c>
      <c r="D3276" s="317" t="s">
        <v>733</v>
      </c>
      <c r="E3276" s="122" t="s">
        <v>977</v>
      </c>
      <c r="F3276" s="122" t="s">
        <v>978</v>
      </c>
      <c r="G3276" s="122" t="s">
        <v>778</v>
      </c>
      <c r="H3276" s="122" t="s">
        <v>777</v>
      </c>
      <c r="I3276" s="312">
        <v>2021</v>
      </c>
      <c r="J3276" s="122" t="s">
        <v>709</v>
      </c>
      <c r="K3276" s="283">
        <v>10209</v>
      </c>
      <c r="L3276" s="318">
        <v>-33.694206000000001</v>
      </c>
      <c r="M3276" s="318">
        <v>151.12132299999999</v>
      </c>
      <c r="O3276">
        <f>INDEX('MEC - traffic congestion'!$M$145:$M$249,MATCH($D3276,'MEC - traffic congestion'!$C$145:$C$249,0))</f>
        <v>1</v>
      </c>
      <c r="P3276" t="str">
        <f t="shared" si="146"/>
        <v>2021AM PEAK</v>
      </c>
      <c r="Q3276">
        <f t="shared" si="147"/>
        <v>1</v>
      </c>
      <c r="R3276" s="195" t="str">
        <f t="shared" si="148"/>
        <v>2021LIGHT VEHICLES</v>
      </c>
    </row>
    <row r="3277" spans="3:18" x14ac:dyDescent="0.25">
      <c r="C3277" s="294" t="s">
        <v>976</v>
      </c>
      <c r="D3277" s="317" t="s">
        <v>733</v>
      </c>
      <c r="E3277" s="122" t="s">
        <v>977</v>
      </c>
      <c r="F3277" s="122" t="s">
        <v>978</v>
      </c>
      <c r="G3277" s="122" t="s">
        <v>776</v>
      </c>
      <c r="H3277" s="122" t="s">
        <v>777</v>
      </c>
      <c r="I3277" s="312">
        <v>2021</v>
      </c>
      <c r="J3277" s="122" t="s">
        <v>710</v>
      </c>
      <c r="K3277" s="283">
        <v>13398</v>
      </c>
      <c r="L3277" s="318">
        <v>-33.694206000000001</v>
      </c>
      <c r="M3277" s="318">
        <v>151.12132299999999</v>
      </c>
      <c r="O3277">
        <f>INDEX('MEC - traffic congestion'!$M$145:$M$249,MATCH($D3277,'MEC - traffic congestion'!$C$145:$C$249,0))</f>
        <v>1</v>
      </c>
      <c r="P3277" t="str">
        <f t="shared" si="146"/>
        <v>2021OFF PEAK</v>
      </c>
      <c r="Q3277">
        <f t="shared" si="147"/>
        <v>1</v>
      </c>
      <c r="R3277" s="195" t="str">
        <f t="shared" si="148"/>
        <v>2021LIGHT VEHICLES</v>
      </c>
    </row>
    <row r="3278" spans="3:18" x14ac:dyDescent="0.25">
      <c r="C3278" s="294" t="s">
        <v>976</v>
      </c>
      <c r="D3278" s="317" t="s">
        <v>733</v>
      </c>
      <c r="E3278" s="122" t="s">
        <v>977</v>
      </c>
      <c r="F3278" s="122" t="s">
        <v>978</v>
      </c>
      <c r="G3278" s="122" t="s">
        <v>778</v>
      </c>
      <c r="H3278" s="122" t="s">
        <v>777</v>
      </c>
      <c r="I3278" s="312">
        <v>2021</v>
      </c>
      <c r="J3278" s="122" t="s">
        <v>710</v>
      </c>
      <c r="K3278" s="283">
        <v>14449</v>
      </c>
      <c r="L3278" s="318">
        <v>-33.694206000000001</v>
      </c>
      <c r="M3278" s="318">
        <v>151.12132299999999</v>
      </c>
      <c r="O3278">
        <f>INDEX('MEC - traffic congestion'!$M$145:$M$249,MATCH($D3278,'MEC - traffic congestion'!$C$145:$C$249,0))</f>
        <v>1</v>
      </c>
      <c r="P3278" t="str">
        <f t="shared" si="146"/>
        <v>2021OFF PEAK</v>
      </c>
      <c r="Q3278">
        <f t="shared" si="147"/>
        <v>1</v>
      </c>
      <c r="R3278" s="195" t="str">
        <f t="shared" si="148"/>
        <v>2021LIGHT VEHICLES</v>
      </c>
    </row>
    <row r="3279" spans="3:18" x14ac:dyDescent="0.25">
      <c r="C3279" s="294" t="s">
        <v>976</v>
      </c>
      <c r="D3279" s="317" t="s">
        <v>733</v>
      </c>
      <c r="E3279" s="122" t="s">
        <v>977</v>
      </c>
      <c r="F3279" s="122" t="s">
        <v>978</v>
      </c>
      <c r="G3279" s="122" t="s">
        <v>776</v>
      </c>
      <c r="H3279" s="122" t="s">
        <v>777</v>
      </c>
      <c r="I3279" s="312">
        <v>2021</v>
      </c>
      <c r="J3279" s="122" t="s">
        <v>711</v>
      </c>
      <c r="K3279" s="283">
        <v>10203</v>
      </c>
      <c r="L3279" s="318">
        <v>-33.694206000000001</v>
      </c>
      <c r="M3279" s="318">
        <v>151.12132299999999</v>
      </c>
      <c r="O3279">
        <f>INDEX('MEC - traffic congestion'!$M$145:$M$249,MATCH($D3279,'MEC - traffic congestion'!$C$145:$C$249,0))</f>
        <v>1</v>
      </c>
      <c r="P3279" t="str">
        <f t="shared" si="146"/>
        <v>2021PM PEAK</v>
      </c>
      <c r="Q3279">
        <f t="shared" si="147"/>
        <v>1</v>
      </c>
      <c r="R3279" s="195" t="str">
        <f t="shared" si="148"/>
        <v>2021LIGHT VEHICLES</v>
      </c>
    </row>
    <row r="3280" spans="3:18" x14ac:dyDescent="0.25">
      <c r="C3280" s="294" t="s">
        <v>976</v>
      </c>
      <c r="D3280" s="317" t="s">
        <v>733</v>
      </c>
      <c r="E3280" s="122" t="s">
        <v>977</v>
      </c>
      <c r="F3280" s="122" t="s">
        <v>978</v>
      </c>
      <c r="G3280" s="122" t="s">
        <v>778</v>
      </c>
      <c r="H3280" s="122" t="s">
        <v>777</v>
      </c>
      <c r="I3280" s="312">
        <v>2021</v>
      </c>
      <c r="J3280" s="122" t="s">
        <v>711</v>
      </c>
      <c r="K3280" s="283">
        <v>7402</v>
      </c>
      <c r="L3280" s="318">
        <v>-33.694206000000001</v>
      </c>
      <c r="M3280" s="318">
        <v>151.12132299999999</v>
      </c>
      <c r="O3280">
        <f>INDEX('MEC - traffic congestion'!$M$145:$M$249,MATCH($D3280,'MEC - traffic congestion'!$C$145:$C$249,0))</f>
        <v>1</v>
      </c>
      <c r="P3280" t="str">
        <f t="shared" si="146"/>
        <v>2021PM PEAK</v>
      </c>
      <c r="Q3280">
        <f t="shared" si="147"/>
        <v>1</v>
      </c>
      <c r="R3280" s="195" t="str">
        <f t="shared" si="148"/>
        <v>2021LIGHT VEHICLES</v>
      </c>
    </row>
    <row r="3281" spans="3:18" x14ac:dyDescent="0.25">
      <c r="C3281" s="294" t="s">
        <v>976</v>
      </c>
      <c r="D3281" s="317" t="s">
        <v>733</v>
      </c>
      <c r="E3281" s="122" t="s">
        <v>977</v>
      </c>
      <c r="F3281" s="122" t="s">
        <v>978</v>
      </c>
      <c r="G3281" s="122" t="s">
        <v>776</v>
      </c>
      <c r="H3281" s="122" t="s">
        <v>777</v>
      </c>
      <c r="I3281" s="312">
        <v>2021</v>
      </c>
      <c r="J3281" s="122" t="s">
        <v>713</v>
      </c>
      <c r="K3281" s="283">
        <v>28297</v>
      </c>
      <c r="L3281" s="318">
        <v>-33.694206000000001</v>
      </c>
      <c r="M3281" s="318">
        <v>151.12132299999999</v>
      </c>
      <c r="O3281">
        <f>INDEX('MEC - traffic congestion'!$M$145:$M$249,MATCH($D3281,'MEC - traffic congestion'!$C$145:$C$249,0))</f>
        <v>1</v>
      </c>
      <c r="P3281" t="str">
        <f t="shared" si="146"/>
        <v>2021WEEKENDS</v>
      </c>
      <c r="Q3281">
        <f t="shared" si="147"/>
        <v>1</v>
      </c>
      <c r="R3281" s="195" t="str">
        <f t="shared" si="148"/>
        <v>2021LIGHT VEHICLES</v>
      </c>
    </row>
    <row r="3282" spans="3:18" x14ac:dyDescent="0.25">
      <c r="C3282" s="294" t="s">
        <v>976</v>
      </c>
      <c r="D3282" s="317" t="s">
        <v>733</v>
      </c>
      <c r="E3282" s="122" t="s">
        <v>977</v>
      </c>
      <c r="F3282" s="122" t="s">
        <v>978</v>
      </c>
      <c r="G3282" s="122" t="s">
        <v>778</v>
      </c>
      <c r="H3282" s="122" t="s">
        <v>777</v>
      </c>
      <c r="I3282" s="312">
        <v>2021</v>
      </c>
      <c r="J3282" s="122" t="s">
        <v>713</v>
      </c>
      <c r="K3282" s="283">
        <v>32421</v>
      </c>
      <c r="L3282" s="318">
        <v>-33.694206000000001</v>
      </c>
      <c r="M3282" s="318">
        <v>151.12132299999999</v>
      </c>
      <c r="O3282">
        <f>INDEX('MEC - traffic congestion'!$M$145:$M$249,MATCH($D3282,'MEC - traffic congestion'!$C$145:$C$249,0))</f>
        <v>1</v>
      </c>
      <c r="P3282" t="str">
        <f t="shared" si="146"/>
        <v>2021WEEKENDS</v>
      </c>
      <c r="Q3282">
        <f t="shared" si="147"/>
        <v>1</v>
      </c>
      <c r="R3282" s="195" t="str">
        <f t="shared" si="148"/>
        <v>2021LIGHT VEHICLES</v>
      </c>
    </row>
    <row r="3283" spans="3:18" x14ac:dyDescent="0.25">
      <c r="C3283" s="294" t="s">
        <v>976</v>
      </c>
      <c r="D3283" s="317" t="s">
        <v>733</v>
      </c>
      <c r="E3283" s="122" t="s">
        <v>977</v>
      </c>
      <c r="F3283" s="122" t="s">
        <v>978</v>
      </c>
      <c r="G3283" s="122" t="s">
        <v>776</v>
      </c>
      <c r="H3283" s="122" t="s">
        <v>777</v>
      </c>
      <c r="I3283" s="312">
        <v>2022</v>
      </c>
      <c r="J3283" s="122" t="s">
        <v>709</v>
      </c>
      <c r="K3283" s="283">
        <v>7237</v>
      </c>
      <c r="L3283" s="318">
        <v>-33.694206000000001</v>
      </c>
      <c r="M3283" s="318">
        <v>151.12132299999999</v>
      </c>
      <c r="O3283">
        <f>INDEX('MEC - traffic congestion'!$M$145:$M$249,MATCH($D3283,'MEC - traffic congestion'!$C$145:$C$249,0))</f>
        <v>1</v>
      </c>
      <c r="P3283" t="str">
        <f t="shared" si="146"/>
        <v>2022AM PEAK</v>
      </c>
      <c r="Q3283">
        <f t="shared" si="147"/>
        <v>1</v>
      </c>
      <c r="R3283" s="195" t="str">
        <f t="shared" si="148"/>
        <v>2022LIGHT VEHICLES</v>
      </c>
    </row>
    <row r="3284" spans="3:18" x14ac:dyDescent="0.25">
      <c r="C3284" s="294" t="s">
        <v>976</v>
      </c>
      <c r="D3284" s="317" t="s">
        <v>733</v>
      </c>
      <c r="E3284" s="122" t="s">
        <v>977</v>
      </c>
      <c r="F3284" s="122" t="s">
        <v>978</v>
      </c>
      <c r="G3284" s="122" t="s">
        <v>778</v>
      </c>
      <c r="H3284" s="122" t="s">
        <v>777</v>
      </c>
      <c r="I3284" s="312">
        <v>2022</v>
      </c>
      <c r="J3284" s="122" t="s">
        <v>709</v>
      </c>
      <c r="K3284" s="283">
        <v>11184</v>
      </c>
      <c r="L3284" s="318">
        <v>-33.694206000000001</v>
      </c>
      <c r="M3284" s="318">
        <v>151.12132299999999</v>
      </c>
      <c r="O3284">
        <f>INDEX('MEC - traffic congestion'!$M$145:$M$249,MATCH($D3284,'MEC - traffic congestion'!$C$145:$C$249,0))</f>
        <v>1</v>
      </c>
      <c r="P3284" t="str">
        <f t="shared" si="146"/>
        <v>2022AM PEAK</v>
      </c>
      <c r="Q3284">
        <f t="shared" si="147"/>
        <v>1</v>
      </c>
      <c r="R3284" s="195" t="str">
        <f t="shared" si="148"/>
        <v>2022LIGHT VEHICLES</v>
      </c>
    </row>
    <row r="3285" spans="3:18" x14ac:dyDescent="0.25">
      <c r="C3285" s="294" t="s">
        <v>976</v>
      </c>
      <c r="D3285" s="317" t="s">
        <v>733</v>
      </c>
      <c r="E3285" s="122" t="s">
        <v>977</v>
      </c>
      <c r="F3285" s="122" t="s">
        <v>978</v>
      </c>
      <c r="G3285" s="122" t="s">
        <v>776</v>
      </c>
      <c r="H3285" s="122" t="s">
        <v>777</v>
      </c>
      <c r="I3285" s="312">
        <v>2022</v>
      </c>
      <c r="J3285" s="122" t="s">
        <v>710</v>
      </c>
      <c r="K3285" s="283">
        <v>17458</v>
      </c>
      <c r="L3285" s="318">
        <v>-33.694206000000001</v>
      </c>
      <c r="M3285" s="318">
        <v>151.12132299999999</v>
      </c>
      <c r="O3285">
        <f>INDEX('MEC - traffic congestion'!$M$145:$M$249,MATCH($D3285,'MEC - traffic congestion'!$C$145:$C$249,0))</f>
        <v>1</v>
      </c>
      <c r="P3285" t="str">
        <f t="shared" ref="P3285:P3348" si="149">IF($O3285=1,$I3285&amp;$J3285,"")</f>
        <v>2022OFF PEAK</v>
      </c>
      <c r="Q3285">
        <f t="shared" ref="Q3285:Q3348" si="150">IF(AND($M3285&gt;150.246,AND($L3285&gt;-34.397,$L3285&lt;-32.662)),1,0)</f>
        <v>1</v>
      </c>
      <c r="R3285" s="195" t="str">
        <f t="shared" ref="R3285:R3348" si="151">IF($O3285=1,$I3285&amp;$H3285,"")</f>
        <v>2022LIGHT VEHICLES</v>
      </c>
    </row>
    <row r="3286" spans="3:18" x14ac:dyDescent="0.25">
      <c r="C3286" s="294" t="s">
        <v>976</v>
      </c>
      <c r="D3286" s="317" t="s">
        <v>733</v>
      </c>
      <c r="E3286" s="122" t="s">
        <v>977</v>
      </c>
      <c r="F3286" s="122" t="s">
        <v>978</v>
      </c>
      <c r="G3286" s="122" t="s">
        <v>778</v>
      </c>
      <c r="H3286" s="122" t="s">
        <v>777</v>
      </c>
      <c r="I3286" s="312">
        <v>2022</v>
      </c>
      <c r="J3286" s="122" t="s">
        <v>710</v>
      </c>
      <c r="K3286" s="283">
        <v>16653</v>
      </c>
      <c r="L3286" s="318">
        <v>-33.694206000000001</v>
      </c>
      <c r="M3286" s="318">
        <v>151.12132299999999</v>
      </c>
      <c r="O3286">
        <f>INDEX('MEC - traffic congestion'!$M$145:$M$249,MATCH($D3286,'MEC - traffic congestion'!$C$145:$C$249,0))</f>
        <v>1</v>
      </c>
      <c r="P3286" t="str">
        <f t="shared" si="149"/>
        <v>2022OFF PEAK</v>
      </c>
      <c r="Q3286">
        <f t="shared" si="150"/>
        <v>1</v>
      </c>
      <c r="R3286" s="195" t="str">
        <f t="shared" si="151"/>
        <v>2022LIGHT VEHICLES</v>
      </c>
    </row>
    <row r="3287" spans="3:18" x14ac:dyDescent="0.25">
      <c r="C3287" s="294" t="s">
        <v>976</v>
      </c>
      <c r="D3287" s="317" t="s">
        <v>733</v>
      </c>
      <c r="E3287" s="122" t="s">
        <v>977</v>
      </c>
      <c r="F3287" s="122" t="s">
        <v>978</v>
      </c>
      <c r="G3287" s="122" t="s">
        <v>776</v>
      </c>
      <c r="H3287" s="122" t="s">
        <v>777</v>
      </c>
      <c r="I3287" s="312">
        <v>2022</v>
      </c>
      <c r="J3287" s="122" t="s">
        <v>711</v>
      </c>
      <c r="K3287" s="283">
        <v>12129</v>
      </c>
      <c r="L3287" s="318">
        <v>-33.694206000000001</v>
      </c>
      <c r="M3287" s="318">
        <v>151.12132299999999</v>
      </c>
      <c r="O3287">
        <f>INDEX('MEC - traffic congestion'!$M$145:$M$249,MATCH($D3287,'MEC - traffic congestion'!$C$145:$C$249,0))</f>
        <v>1</v>
      </c>
      <c r="P3287" t="str">
        <f t="shared" si="149"/>
        <v>2022PM PEAK</v>
      </c>
      <c r="Q3287">
        <f t="shared" si="150"/>
        <v>1</v>
      </c>
      <c r="R3287" s="195" t="str">
        <f t="shared" si="151"/>
        <v>2022LIGHT VEHICLES</v>
      </c>
    </row>
    <row r="3288" spans="3:18" x14ac:dyDescent="0.25">
      <c r="C3288" s="294" t="s">
        <v>976</v>
      </c>
      <c r="D3288" s="317" t="s">
        <v>733</v>
      </c>
      <c r="E3288" s="122" t="s">
        <v>977</v>
      </c>
      <c r="F3288" s="122" t="s">
        <v>978</v>
      </c>
      <c r="G3288" s="122" t="s">
        <v>778</v>
      </c>
      <c r="H3288" s="122" t="s">
        <v>777</v>
      </c>
      <c r="I3288" s="312">
        <v>2022</v>
      </c>
      <c r="J3288" s="122" t="s">
        <v>711</v>
      </c>
      <c r="K3288" s="283">
        <v>8587</v>
      </c>
      <c r="L3288" s="318">
        <v>-33.694206000000001</v>
      </c>
      <c r="M3288" s="318">
        <v>151.12132299999999</v>
      </c>
      <c r="O3288">
        <f>INDEX('MEC - traffic congestion'!$M$145:$M$249,MATCH($D3288,'MEC - traffic congestion'!$C$145:$C$249,0))</f>
        <v>1</v>
      </c>
      <c r="P3288" t="str">
        <f t="shared" si="149"/>
        <v>2022PM PEAK</v>
      </c>
      <c r="Q3288">
        <f t="shared" si="150"/>
        <v>1</v>
      </c>
      <c r="R3288" s="195" t="str">
        <f t="shared" si="151"/>
        <v>2022LIGHT VEHICLES</v>
      </c>
    </row>
    <row r="3289" spans="3:18" x14ac:dyDescent="0.25">
      <c r="C3289" s="294" t="s">
        <v>976</v>
      </c>
      <c r="D3289" s="317" t="s">
        <v>733</v>
      </c>
      <c r="E3289" s="122" t="s">
        <v>977</v>
      </c>
      <c r="F3289" s="122" t="s">
        <v>978</v>
      </c>
      <c r="G3289" s="122" t="s">
        <v>776</v>
      </c>
      <c r="H3289" s="122" t="s">
        <v>777</v>
      </c>
      <c r="I3289" s="312">
        <v>2022</v>
      </c>
      <c r="J3289" s="122" t="s">
        <v>713</v>
      </c>
      <c r="K3289" s="283">
        <v>37369</v>
      </c>
      <c r="L3289" s="318">
        <v>-33.694206000000001</v>
      </c>
      <c r="M3289" s="318">
        <v>151.12132299999999</v>
      </c>
      <c r="O3289">
        <f>INDEX('MEC - traffic congestion'!$M$145:$M$249,MATCH($D3289,'MEC - traffic congestion'!$C$145:$C$249,0))</f>
        <v>1</v>
      </c>
      <c r="P3289" t="str">
        <f t="shared" si="149"/>
        <v>2022WEEKENDS</v>
      </c>
      <c r="Q3289">
        <f t="shared" si="150"/>
        <v>1</v>
      </c>
      <c r="R3289" s="195" t="str">
        <f t="shared" si="151"/>
        <v>2022LIGHT VEHICLES</v>
      </c>
    </row>
    <row r="3290" spans="3:18" x14ac:dyDescent="0.25">
      <c r="C3290" s="294" t="s">
        <v>976</v>
      </c>
      <c r="D3290" s="317" t="s">
        <v>733</v>
      </c>
      <c r="E3290" s="122" t="s">
        <v>977</v>
      </c>
      <c r="F3290" s="122" t="s">
        <v>978</v>
      </c>
      <c r="G3290" s="122" t="s">
        <v>778</v>
      </c>
      <c r="H3290" s="122" t="s">
        <v>777</v>
      </c>
      <c r="I3290" s="312">
        <v>2022</v>
      </c>
      <c r="J3290" s="122" t="s">
        <v>713</v>
      </c>
      <c r="K3290" s="283">
        <v>41521</v>
      </c>
      <c r="L3290" s="318">
        <v>-33.694206000000001</v>
      </c>
      <c r="M3290" s="318">
        <v>151.12132299999999</v>
      </c>
      <c r="O3290">
        <f>INDEX('MEC - traffic congestion'!$M$145:$M$249,MATCH($D3290,'MEC - traffic congestion'!$C$145:$C$249,0))</f>
        <v>1</v>
      </c>
      <c r="P3290" t="str">
        <f t="shared" si="149"/>
        <v>2022WEEKENDS</v>
      </c>
      <c r="Q3290">
        <f t="shared" si="150"/>
        <v>1</v>
      </c>
      <c r="R3290" s="195" t="str">
        <f t="shared" si="151"/>
        <v>2022LIGHT VEHICLES</v>
      </c>
    </row>
    <row r="3291" spans="3:18" x14ac:dyDescent="0.25">
      <c r="C3291" s="294" t="s">
        <v>976</v>
      </c>
      <c r="D3291" s="317" t="s">
        <v>733</v>
      </c>
      <c r="E3291" s="122" t="s">
        <v>977</v>
      </c>
      <c r="F3291" s="122" t="s">
        <v>978</v>
      </c>
      <c r="G3291" s="122" t="s">
        <v>776</v>
      </c>
      <c r="H3291" s="122" t="s">
        <v>777</v>
      </c>
      <c r="I3291" s="312">
        <v>2023</v>
      </c>
      <c r="J3291" s="122" t="s">
        <v>709</v>
      </c>
      <c r="K3291" s="283">
        <v>5588</v>
      </c>
      <c r="L3291" s="318">
        <v>-33.694206000000001</v>
      </c>
      <c r="M3291" s="318">
        <v>151.12132299999999</v>
      </c>
      <c r="O3291">
        <f>INDEX('MEC - traffic congestion'!$M$145:$M$249,MATCH($D3291,'MEC - traffic congestion'!$C$145:$C$249,0))</f>
        <v>1</v>
      </c>
      <c r="P3291" t="str">
        <f t="shared" si="149"/>
        <v>2023AM PEAK</v>
      </c>
      <c r="Q3291">
        <f t="shared" si="150"/>
        <v>1</v>
      </c>
      <c r="R3291" s="195" t="str">
        <f t="shared" si="151"/>
        <v>2023LIGHT VEHICLES</v>
      </c>
    </row>
    <row r="3292" spans="3:18" x14ac:dyDescent="0.25">
      <c r="C3292" s="294" t="s">
        <v>976</v>
      </c>
      <c r="D3292" s="317" t="s">
        <v>733</v>
      </c>
      <c r="E3292" s="122" t="s">
        <v>977</v>
      </c>
      <c r="F3292" s="122" t="s">
        <v>978</v>
      </c>
      <c r="G3292" s="122" t="s">
        <v>778</v>
      </c>
      <c r="H3292" s="122" t="s">
        <v>777</v>
      </c>
      <c r="I3292" s="312">
        <v>2023</v>
      </c>
      <c r="J3292" s="122" t="s">
        <v>709</v>
      </c>
      <c r="K3292" s="283">
        <v>8182</v>
      </c>
      <c r="L3292" s="318">
        <v>-33.694206000000001</v>
      </c>
      <c r="M3292" s="318">
        <v>151.12132299999999</v>
      </c>
      <c r="O3292">
        <f>INDEX('MEC - traffic congestion'!$M$145:$M$249,MATCH($D3292,'MEC - traffic congestion'!$C$145:$C$249,0))</f>
        <v>1</v>
      </c>
      <c r="P3292" t="str">
        <f t="shared" si="149"/>
        <v>2023AM PEAK</v>
      </c>
      <c r="Q3292">
        <f t="shared" si="150"/>
        <v>1</v>
      </c>
      <c r="R3292" s="195" t="str">
        <f t="shared" si="151"/>
        <v>2023LIGHT VEHICLES</v>
      </c>
    </row>
    <row r="3293" spans="3:18" x14ac:dyDescent="0.25">
      <c r="C3293" s="294" t="s">
        <v>976</v>
      </c>
      <c r="D3293" s="317" t="s">
        <v>733</v>
      </c>
      <c r="E3293" s="122" t="s">
        <v>977</v>
      </c>
      <c r="F3293" s="122" t="s">
        <v>978</v>
      </c>
      <c r="G3293" s="122" t="s">
        <v>776</v>
      </c>
      <c r="H3293" s="122" t="s">
        <v>777</v>
      </c>
      <c r="I3293" s="312">
        <v>2023</v>
      </c>
      <c r="J3293" s="122" t="s">
        <v>710</v>
      </c>
      <c r="K3293" s="283">
        <v>16646</v>
      </c>
      <c r="L3293" s="318">
        <v>-33.694206000000001</v>
      </c>
      <c r="M3293" s="318">
        <v>151.12132299999999</v>
      </c>
      <c r="O3293">
        <f>INDEX('MEC - traffic congestion'!$M$145:$M$249,MATCH($D3293,'MEC - traffic congestion'!$C$145:$C$249,0))</f>
        <v>1</v>
      </c>
      <c r="P3293" t="str">
        <f t="shared" si="149"/>
        <v>2023OFF PEAK</v>
      </c>
      <c r="Q3293">
        <f t="shared" si="150"/>
        <v>1</v>
      </c>
      <c r="R3293" s="195" t="str">
        <f t="shared" si="151"/>
        <v>2023LIGHT VEHICLES</v>
      </c>
    </row>
    <row r="3294" spans="3:18" x14ac:dyDescent="0.25">
      <c r="C3294" s="294" t="s">
        <v>976</v>
      </c>
      <c r="D3294" s="317" t="s">
        <v>733</v>
      </c>
      <c r="E3294" s="122" t="s">
        <v>977</v>
      </c>
      <c r="F3294" s="122" t="s">
        <v>978</v>
      </c>
      <c r="G3294" s="122" t="s">
        <v>778</v>
      </c>
      <c r="H3294" s="122" t="s">
        <v>777</v>
      </c>
      <c r="I3294" s="312">
        <v>2023</v>
      </c>
      <c r="J3294" s="122" t="s">
        <v>710</v>
      </c>
      <c r="K3294" s="283">
        <v>14370</v>
      </c>
      <c r="L3294" s="318">
        <v>-33.694206000000001</v>
      </c>
      <c r="M3294" s="318">
        <v>151.12132299999999</v>
      </c>
      <c r="O3294">
        <f>INDEX('MEC - traffic congestion'!$M$145:$M$249,MATCH($D3294,'MEC - traffic congestion'!$C$145:$C$249,0))</f>
        <v>1</v>
      </c>
      <c r="P3294" t="str">
        <f t="shared" si="149"/>
        <v>2023OFF PEAK</v>
      </c>
      <c r="Q3294">
        <f t="shared" si="150"/>
        <v>1</v>
      </c>
      <c r="R3294" s="195" t="str">
        <f t="shared" si="151"/>
        <v>2023LIGHT VEHICLES</v>
      </c>
    </row>
    <row r="3295" spans="3:18" x14ac:dyDescent="0.25">
      <c r="C3295" s="294" t="s">
        <v>976</v>
      </c>
      <c r="D3295" s="317" t="s">
        <v>733</v>
      </c>
      <c r="E3295" s="122" t="s">
        <v>977</v>
      </c>
      <c r="F3295" s="122" t="s">
        <v>978</v>
      </c>
      <c r="G3295" s="122" t="s">
        <v>776</v>
      </c>
      <c r="H3295" s="122" t="s">
        <v>777</v>
      </c>
      <c r="I3295" s="312">
        <v>2023</v>
      </c>
      <c r="J3295" s="122" t="s">
        <v>711</v>
      </c>
      <c r="K3295" s="283">
        <v>12245</v>
      </c>
      <c r="L3295" s="318">
        <v>-33.694206000000001</v>
      </c>
      <c r="M3295" s="318">
        <v>151.12132299999999</v>
      </c>
      <c r="O3295">
        <f>INDEX('MEC - traffic congestion'!$M$145:$M$249,MATCH($D3295,'MEC - traffic congestion'!$C$145:$C$249,0))</f>
        <v>1</v>
      </c>
      <c r="P3295" t="str">
        <f t="shared" si="149"/>
        <v>2023PM PEAK</v>
      </c>
      <c r="Q3295">
        <f t="shared" si="150"/>
        <v>1</v>
      </c>
      <c r="R3295" s="195" t="str">
        <f t="shared" si="151"/>
        <v>2023LIGHT VEHICLES</v>
      </c>
    </row>
    <row r="3296" spans="3:18" x14ac:dyDescent="0.25">
      <c r="C3296" s="294" t="s">
        <v>976</v>
      </c>
      <c r="D3296" s="317" t="s">
        <v>733</v>
      </c>
      <c r="E3296" s="122" t="s">
        <v>977</v>
      </c>
      <c r="F3296" s="122" t="s">
        <v>978</v>
      </c>
      <c r="G3296" s="122" t="s">
        <v>778</v>
      </c>
      <c r="H3296" s="122" t="s">
        <v>777</v>
      </c>
      <c r="I3296" s="312">
        <v>2023</v>
      </c>
      <c r="J3296" s="122" t="s">
        <v>711</v>
      </c>
      <c r="K3296" s="283">
        <v>8363</v>
      </c>
      <c r="L3296" s="318">
        <v>-33.694206000000001</v>
      </c>
      <c r="M3296" s="318">
        <v>151.12132299999999</v>
      </c>
      <c r="O3296">
        <f>INDEX('MEC - traffic congestion'!$M$145:$M$249,MATCH($D3296,'MEC - traffic congestion'!$C$145:$C$249,0))</f>
        <v>1</v>
      </c>
      <c r="P3296" t="str">
        <f t="shared" si="149"/>
        <v>2023PM PEAK</v>
      </c>
      <c r="Q3296">
        <f t="shared" si="150"/>
        <v>1</v>
      </c>
      <c r="R3296" s="195" t="str">
        <f t="shared" si="151"/>
        <v>2023LIGHT VEHICLES</v>
      </c>
    </row>
    <row r="3297" spans="3:18" x14ac:dyDescent="0.25">
      <c r="C3297" s="294" t="s">
        <v>976</v>
      </c>
      <c r="D3297" s="317" t="s">
        <v>733</v>
      </c>
      <c r="E3297" s="122" t="s">
        <v>977</v>
      </c>
      <c r="F3297" s="122" t="s">
        <v>978</v>
      </c>
      <c r="G3297" s="122" t="s">
        <v>776</v>
      </c>
      <c r="H3297" s="122" t="s">
        <v>777</v>
      </c>
      <c r="I3297" s="312">
        <v>2023</v>
      </c>
      <c r="J3297" s="122" t="s">
        <v>713</v>
      </c>
      <c r="K3297" s="283">
        <v>37241</v>
      </c>
      <c r="L3297" s="318">
        <v>-33.694206000000001</v>
      </c>
      <c r="M3297" s="318">
        <v>151.12132299999999</v>
      </c>
      <c r="O3297">
        <f>INDEX('MEC - traffic congestion'!$M$145:$M$249,MATCH($D3297,'MEC - traffic congestion'!$C$145:$C$249,0))</f>
        <v>1</v>
      </c>
      <c r="P3297" t="str">
        <f t="shared" si="149"/>
        <v>2023WEEKENDS</v>
      </c>
      <c r="Q3297">
        <f t="shared" si="150"/>
        <v>1</v>
      </c>
      <c r="R3297" s="195" t="str">
        <f t="shared" si="151"/>
        <v>2023LIGHT VEHICLES</v>
      </c>
    </row>
    <row r="3298" spans="3:18" x14ac:dyDescent="0.25">
      <c r="C3298" s="294" t="s">
        <v>976</v>
      </c>
      <c r="D3298" s="317" t="s">
        <v>733</v>
      </c>
      <c r="E3298" s="122" t="s">
        <v>977</v>
      </c>
      <c r="F3298" s="122" t="s">
        <v>978</v>
      </c>
      <c r="G3298" s="122" t="s">
        <v>778</v>
      </c>
      <c r="H3298" s="122" t="s">
        <v>777</v>
      </c>
      <c r="I3298" s="312">
        <v>2023</v>
      </c>
      <c r="J3298" s="122" t="s">
        <v>713</v>
      </c>
      <c r="K3298" s="283">
        <v>37912</v>
      </c>
      <c r="L3298" s="318">
        <v>-33.694206000000001</v>
      </c>
      <c r="M3298" s="318">
        <v>151.12132299999999</v>
      </c>
      <c r="O3298">
        <f>INDEX('MEC - traffic congestion'!$M$145:$M$249,MATCH($D3298,'MEC - traffic congestion'!$C$145:$C$249,0))</f>
        <v>1</v>
      </c>
      <c r="P3298" t="str">
        <f t="shared" si="149"/>
        <v>2023WEEKENDS</v>
      </c>
      <c r="Q3298">
        <f t="shared" si="150"/>
        <v>1</v>
      </c>
      <c r="R3298" s="195" t="str">
        <f t="shared" si="151"/>
        <v>2023LIGHT VEHICLES</v>
      </c>
    </row>
    <row r="3299" spans="3:18" x14ac:dyDescent="0.25">
      <c r="C3299" s="294" t="s">
        <v>976</v>
      </c>
      <c r="D3299" s="317" t="s">
        <v>733</v>
      </c>
      <c r="E3299" s="122" t="s">
        <v>977</v>
      </c>
      <c r="F3299" s="122" t="s">
        <v>978</v>
      </c>
      <c r="G3299" s="122" t="s">
        <v>776</v>
      </c>
      <c r="H3299" s="122" t="s">
        <v>777</v>
      </c>
      <c r="I3299" s="312">
        <v>2024</v>
      </c>
      <c r="J3299" s="122" t="s">
        <v>709</v>
      </c>
      <c r="K3299" s="283">
        <v>2531</v>
      </c>
      <c r="L3299" s="318">
        <v>-33.694206000000001</v>
      </c>
      <c r="M3299" s="318">
        <v>151.12132299999999</v>
      </c>
      <c r="O3299">
        <f>INDEX('MEC - traffic congestion'!$M$145:$M$249,MATCH($D3299,'MEC - traffic congestion'!$C$145:$C$249,0))</f>
        <v>1</v>
      </c>
      <c r="P3299" t="str">
        <f t="shared" si="149"/>
        <v>2024AM PEAK</v>
      </c>
      <c r="Q3299">
        <f t="shared" si="150"/>
        <v>1</v>
      </c>
      <c r="R3299" s="195" t="str">
        <f t="shared" si="151"/>
        <v>2024LIGHT VEHICLES</v>
      </c>
    </row>
    <row r="3300" spans="3:18" x14ac:dyDescent="0.25">
      <c r="C3300" s="294" t="s">
        <v>976</v>
      </c>
      <c r="D3300" s="317" t="s">
        <v>733</v>
      </c>
      <c r="E3300" s="122" t="s">
        <v>977</v>
      </c>
      <c r="F3300" s="122" t="s">
        <v>978</v>
      </c>
      <c r="G3300" s="122" t="s">
        <v>778</v>
      </c>
      <c r="H3300" s="122" t="s">
        <v>777</v>
      </c>
      <c r="I3300" s="312">
        <v>2024</v>
      </c>
      <c r="J3300" s="122" t="s">
        <v>709</v>
      </c>
      <c r="K3300" s="283">
        <v>3516</v>
      </c>
      <c r="L3300" s="318">
        <v>-33.694206000000001</v>
      </c>
      <c r="M3300" s="318">
        <v>151.12132299999999</v>
      </c>
      <c r="O3300">
        <f>INDEX('MEC - traffic congestion'!$M$145:$M$249,MATCH($D3300,'MEC - traffic congestion'!$C$145:$C$249,0))</f>
        <v>1</v>
      </c>
      <c r="P3300" t="str">
        <f t="shared" si="149"/>
        <v>2024AM PEAK</v>
      </c>
      <c r="Q3300">
        <f t="shared" si="150"/>
        <v>1</v>
      </c>
      <c r="R3300" s="195" t="str">
        <f t="shared" si="151"/>
        <v>2024LIGHT VEHICLES</v>
      </c>
    </row>
    <row r="3301" spans="3:18" x14ac:dyDescent="0.25">
      <c r="C3301" s="294" t="s">
        <v>976</v>
      </c>
      <c r="D3301" s="317" t="s">
        <v>733</v>
      </c>
      <c r="E3301" s="122" t="s">
        <v>977</v>
      </c>
      <c r="F3301" s="122" t="s">
        <v>978</v>
      </c>
      <c r="G3301" s="122" t="s">
        <v>776</v>
      </c>
      <c r="H3301" s="122" t="s">
        <v>777</v>
      </c>
      <c r="I3301" s="312">
        <v>2024</v>
      </c>
      <c r="J3301" s="122" t="s">
        <v>710</v>
      </c>
      <c r="K3301" s="283">
        <v>11453</v>
      </c>
      <c r="L3301" s="318">
        <v>-33.694206000000001</v>
      </c>
      <c r="M3301" s="318">
        <v>151.12132299999999</v>
      </c>
      <c r="O3301">
        <f>INDEX('MEC - traffic congestion'!$M$145:$M$249,MATCH($D3301,'MEC - traffic congestion'!$C$145:$C$249,0))</f>
        <v>1</v>
      </c>
      <c r="P3301" t="str">
        <f t="shared" si="149"/>
        <v>2024OFF PEAK</v>
      </c>
      <c r="Q3301">
        <f t="shared" si="150"/>
        <v>1</v>
      </c>
      <c r="R3301" s="195" t="str">
        <f t="shared" si="151"/>
        <v>2024LIGHT VEHICLES</v>
      </c>
    </row>
    <row r="3302" spans="3:18" x14ac:dyDescent="0.25">
      <c r="C3302" s="294" t="s">
        <v>976</v>
      </c>
      <c r="D3302" s="317" t="s">
        <v>733</v>
      </c>
      <c r="E3302" s="122" t="s">
        <v>977</v>
      </c>
      <c r="F3302" s="122" t="s">
        <v>978</v>
      </c>
      <c r="G3302" s="122" t="s">
        <v>778</v>
      </c>
      <c r="H3302" s="122" t="s">
        <v>777</v>
      </c>
      <c r="I3302" s="312">
        <v>2024</v>
      </c>
      <c r="J3302" s="122" t="s">
        <v>710</v>
      </c>
      <c r="K3302" s="283">
        <v>12434</v>
      </c>
      <c r="L3302" s="318">
        <v>-33.694206000000001</v>
      </c>
      <c r="M3302" s="318">
        <v>151.12132299999999</v>
      </c>
      <c r="O3302">
        <f>INDEX('MEC - traffic congestion'!$M$145:$M$249,MATCH($D3302,'MEC - traffic congestion'!$C$145:$C$249,0))</f>
        <v>1</v>
      </c>
      <c r="P3302" t="str">
        <f t="shared" si="149"/>
        <v>2024OFF PEAK</v>
      </c>
      <c r="Q3302">
        <f t="shared" si="150"/>
        <v>1</v>
      </c>
      <c r="R3302" s="195" t="str">
        <f t="shared" si="151"/>
        <v>2024LIGHT VEHICLES</v>
      </c>
    </row>
    <row r="3303" spans="3:18" x14ac:dyDescent="0.25">
      <c r="C3303" s="294" t="s">
        <v>976</v>
      </c>
      <c r="D3303" s="317" t="s">
        <v>733</v>
      </c>
      <c r="E3303" s="122" t="s">
        <v>977</v>
      </c>
      <c r="F3303" s="122" t="s">
        <v>978</v>
      </c>
      <c r="G3303" s="122" t="s">
        <v>776</v>
      </c>
      <c r="H3303" s="122" t="s">
        <v>777</v>
      </c>
      <c r="I3303" s="312">
        <v>2024</v>
      </c>
      <c r="J3303" s="122" t="s">
        <v>711</v>
      </c>
      <c r="K3303" s="283">
        <v>8407</v>
      </c>
      <c r="L3303" s="318">
        <v>-33.694206000000001</v>
      </c>
      <c r="M3303" s="318">
        <v>151.12132299999999</v>
      </c>
      <c r="O3303">
        <f>INDEX('MEC - traffic congestion'!$M$145:$M$249,MATCH($D3303,'MEC - traffic congestion'!$C$145:$C$249,0))</f>
        <v>1</v>
      </c>
      <c r="P3303" t="str">
        <f t="shared" si="149"/>
        <v>2024PM PEAK</v>
      </c>
      <c r="Q3303">
        <f t="shared" si="150"/>
        <v>1</v>
      </c>
      <c r="R3303" s="195" t="str">
        <f t="shared" si="151"/>
        <v>2024LIGHT VEHICLES</v>
      </c>
    </row>
    <row r="3304" spans="3:18" x14ac:dyDescent="0.25">
      <c r="C3304" s="294" t="s">
        <v>976</v>
      </c>
      <c r="D3304" s="317" t="s">
        <v>733</v>
      </c>
      <c r="E3304" s="122" t="s">
        <v>977</v>
      </c>
      <c r="F3304" s="122" t="s">
        <v>978</v>
      </c>
      <c r="G3304" s="122" t="s">
        <v>778</v>
      </c>
      <c r="H3304" s="122" t="s">
        <v>777</v>
      </c>
      <c r="I3304" s="312">
        <v>2024</v>
      </c>
      <c r="J3304" s="122" t="s">
        <v>711</v>
      </c>
      <c r="K3304" s="283">
        <v>7900</v>
      </c>
      <c r="L3304" s="318">
        <v>-33.694206000000001</v>
      </c>
      <c r="M3304" s="318">
        <v>151.12132299999999</v>
      </c>
      <c r="O3304">
        <f>INDEX('MEC - traffic congestion'!$M$145:$M$249,MATCH($D3304,'MEC - traffic congestion'!$C$145:$C$249,0))</f>
        <v>1</v>
      </c>
      <c r="P3304" t="str">
        <f t="shared" si="149"/>
        <v>2024PM PEAK</v>
      </c>
      <c r="Q3304">
        <f t="shared" si="150"/>
        <v>1</v>
      </c>
      <c r="R3304" s="195" t="str">
        <f t="shared" si="151"/>
        <v>2024LIGHT VEHICLES</v>
      </c>
    </row>
    <row r="3305" spans="3:18" x14ac:dyDescent="0.25">
      <c r="C3305" s="294" t="s">
        <v>976</v>
      </c>
      <c r="D3305" s="317" t="s">
        <v>733</v>
      </c>
      <c r="E3305" s="122" t="s">
        <v>977</v>
      </c>
      <c r="F3305" s="122" t="s">
        <v>978</v>
      </c>
      <c r="G3305" s="122" t="s">
        <v>776</v>
      </c>
      <c r="H3305" s="122" t="s">
        <v>777</v>
      </c>
      <c r="I3305" s="312">
        <v>2024</v>
      </c>
      <c r="J3305" s="122" t="s">
        <v>713</v>
      </c>
      <c r="K3305" s="283">
        <v>30807</v>
      </c>
      <c r="L3305" s="318">
        <v>-33.694206000000001</v>
      </c>
      <c r="M3305" s="318">
        <v>151.12132299999999</v>
      </c>
      <c r="O3305">
        <f>INDEX('MEC - traffic congestion'!$M$145:$M$249,MATCH($D3305,'MEC - traffic congestion'!$C$145:$C$249,0))</f>
        <v>1</v>
      </c>
      <c r="P3305" t="str">
        <f t="shared" si="149"/>
        <v>2024WEEKENDS</v>
      </c>
      <c r="Q3305">
        <f t="shared" si="150"/>
        <v>1</v>
      </c>
      <c r="R3305" s="195" t="str">
        <f t="shared" si="151"/>
        <v>2024LIGHT VEHICLES</v>
      </c>
    </row>
    <row r="3306" spans="3:18" x14ac:dyDescent="0.25">
      <c r="C3306" s="294" t="s">
        <v>976</v>
      </c>
      <c r="D3306" s="317" t="s">
        <v>733</v>
      </c>
      <c r="E3306" s="122" t="s">
        <v>977</v>
      </c>
      <c r="F3306" s="122" t="s">
        <v>978</v>
      </c>
      <c r="G3306" s="122" t="s">
        <v>778</v>
      </c>
      <c r="H3306" s="122" t="s">
        <v>777</v>
      </c>
      <c r="I3306" s="312">
        <v>2024</v>
      </c>
      <c r="J3306" s="122" t="s">
        <v>713</v>
      </c>
      <c r="K3306" s="283">
        <v>32890</v>
      </c>
      <c r="L3306" s="318">
        <v>-33.694206000000001</v>
      </c>
      <c r="M3306" s="318">
        <v>151.12132299999999</v>
      </c>
      <c r="O3306">
        <f>INDEX('MEC - traffic congestion'!$M$145:$M$249,MATCH($D3306,'MEC - traffic congestion'!$C$145:$C$249,0))</f>
        <v>1</v>
      </c>
      <c r="P3306" t="str">
        <f t="shared" si="149"/>
        <v>2024WEEKENDS</v>
      </c>
      <c r="Q3306">
        <f t="shared" si="150"/>
        <v>1</v>
      </c>
      <c r="R3306" s="195" t="str">
        <f t="shared" si="151"/>
        <v>2024LIGHT VEHICLES</v>
      </c>
    </row>
    <row r="3307" spans="3:18" x14ac:dyDescent="0.25">
      <c r="C3307" s="294" t="s">
        <v>979</v>
      </c>
      <c r="D3307" s="317" t="s">
        <v>734</v>
      </c>
      <c r="E3307" s="122" t="s">
        <v>977</v>
      </c>
      <c r="F3307" s="122" t="s">
        <v>980</v>
      </c>
      <c r="G3307" s="122" t="s">
        <v>776</v>
      </c>
      <c r="H3307" s="122" t="s">
        <v>777</v>
      </c>
      <c r="I3307" s="312">
        <v>2018</v>
      </c>
      <c r="J3307" s="122" t="s">
        <v>709</v>
      </c>
      <c r="K3307" s="283">
        <v>5643</v>
      </c>
      <c r="L3307" s="318">
        <v>-33.651676000000002</v>
      </c>
      <c r="M3307" s="318">
        <v>151.13774100000001</v>
      </c>
      <c r="O3307">
        <f>INDEX('MEC - traffic congestion'!$M$145:$M$249,MATCH($D3307,'MEC - traffic congestion'!$C$145:$C$249,0))</f>
        <v>0</v>
      </c>
      <c r="P3307" t="str">
        <f t="shared" si="149"/>
        <v/>
      </c>
      <c r="Q3307">
        <f t="shared" si="150"/>
        <v>1</v>
      </c>
      <c r="R3307" s="195" t="str">
        <f t="shared" si="151"/>
        <v/>
      </c>
    </row>
    <row r="3308" spans="3:18" x14ac:dyDescent="0.25">
      <c r="C3308" s="294" t="s">
        <v>979</v>
      </c>
      <c r="D3308" s="317" t="s">
        <v>734</v>
      </c>
      <c r="E3308" s="122" t="s">
        <v>977</v>
      </c>
      <c r="F3308" s="122" t="s">
        <v>980</v>
      </c>
      <c r="G3308" s="122" t="s">
        <v>778</v>
      </c>
      <c r="H3308" s="122" t="s">
        <v>777</v>
      </c>
      <c r="I3308" s="312">
        <v>2018</v>
      </c>
      <c r="J3308" s="122" t="s">
        <v>709</v>
      </c>
      <c r="K3308" s="283">
        <v>10485</v>
      </c>
      <c r="L3308" s="318">
        <v>-33.651676000000002</v>
      </c>
      <c r="M3308" s="318">
        <v>151.13774100000001</v>
      </c>
      <c r="O3308">
        <f>INDEX('MEC - traffic congestion'!$M$145:$M$249,MATCH($D3308,'MEC - traffic congestion'!$C$145:$C$249,0))</f>
        <v>0</v>
      </c>
      <c r="P3308" t="str">
        <f t="shared" si="149"/>
        <v/>
      </c>
      <c r="Q3308">
        <f t="shared" si="150"/>
        <v>1</v>
      </c>
      <c r="R3308" s="195" t="str">
        <f t="shared" si="151"/>
        <v/>
      </c>
    </row>
    <row r="3309" spans="3:18" x14ac:dyDescent="0.25">
      <c r="C3309" s="294" t="s">
        <v>979</v>
      </c>
      <c r="D3309" s="317" t="s">
        <v>734</v>
      </c>
      <c r="E3309" s="122" t="s">
        <v>977</v>
      </c>
      <c r="F3309" s="122" t="s">
        <v>980</v>
      </c>
      <c r="G3309" s="122" t="s">
        <v>776</v>
      </c>
      <c r="H3309" s="122" t="s">
        <v>777</v>
      </c>
      <c r="I3309" s="312">
        <v>2018</v>
      </c>
      <c r="J3309" s="122" t="s">
        <v>710</v>
      </c>
      <c r="K3309" s="283">
        <v>15589</v>
      </c>
      <c r="L3309" s="318">
        <v>-33.651676000000002</v>
      </c>
      <c r="M3309" s="318">
        <v>151.13774100000001</v>
      </c>
      <c r="O3309">
        <f>INDEX('MEC - traffic congestion'!$M$145:$M$249,MATCH($D3309,'MEC - traffic congestion'!$C$145:$C$249,0))</f>
        <v>0</v>
      </c>
      <c r="P3309" t="str">
        <f t="shared" si="149"/>
        <v/>
      </c>
      <c r="Q3309">
        <f t="shared" si="150"/>
        <v>1</v>
      </c>
      <c r="R3309" s="195" t="str">
        <f t="shared" si="151"/>
        <v/>
      </c>
    </row>
    <row r="3310" spans="3:18" x14ac:dyDescent="0.25">
      <c r="C3310" s="294" t="s">
        <v>979</v>
      </c>
      <c r="D3310" s="317" t="s">
        <v>734</v>
      </c>
      <c r="E3310" s="122" t="s">
        <v>977</v>
      </c>
      <c r="F3310" s="122" t="s">
        <v>980</v>
      </c>
      <c r="G3310" s="122" t="s">
        <v>778</v>
      </c>
      <c r="H3310" s="122" t="s">
        <v>777</v>
      </c>
      <c r="I3310" s="312">
        <v>2018</v>
      </c>
      <c r="J3310" s="122" t="s">
        <v>710</v>
      </c>
      <c r="K3310" s="283">
        <v>15675</v>
      </c>
      <c r="L3310" s="318">
        <v>-33.651676000000002</v>
      </c>
      <c r="M3310" s="318">
        <v>151.13774100000001</v>
      </c>
      <c r="O3310">
        <f>INDEX('MEC - traffic congestion'!$M$145:$M$249,MATCH($D3310,'MEC - traffic congestion'!$C$145:$C$249,0))</f>
        <v>0</v>
      </c>
      <c r="P3310" t="str">
        <f t="shared" si="149"/>
        <v/>
      </c>
      <c r="Q3310">
        <f t="shared" si="150"/>
        <v>1</v>
      </c>
      <c r="R3310" s="195" t="str">
        <f t="shared" si="151"/>
        <v/>
      </c>
    </row>
    <row r="3311" spans="3:18" x14ac:dyDescent="0.25">
      <c r="C3311" s="294" t="s">
        <v>979</v>
      </c>
      <c r="D3311" s="317" t="s">
        <v>734</v>
      </c>
      <c r="E3311" s="122" t="s">
        <v>977</v>
      </c>
      <c r="F3311" s="122" t="s">
        <v>980</v>
      </c>
      <c r="G3311" s="122" t="s">
        <v>776</v>
      </c>
      <c r="H3311" s="122" t="s">
        <v>777</v>
      </c>
      <c r="I3311" s="312">
        <v>2018</v>
      </c>
      <c r="J3311" s="122" t="s">
        <v>711</v>
      </c>
      <c r="K3311" s="283">
        <v>12195</v>
      </c>
      <c r="L3311" s="318">
        <v>-33.651676000000002</v>
      </c>
      <c r="M3311" s="318">
        <v>151.13774100000001</v>
      </c>
      <c r="O3311">
        <f>INDEX('MEC - traffic congestion'!$M$145:$M$249,MATCH($D3311,'MEC - traffic congestion'!$C$145:$C$249,0))</f>
        <v>0</v>
      </c>
      <c r="P3311" t="str">
        <f t="shared" si="149"/>
        <v/>
      </c>
      <c r="Q3311">
        <f t="shared" si="150"/>
        <v>1</v>
      </c>
      <c r="R3311" s="195" t="str">
        <f t="shared" si="151"/>
        <v/>
      </c>
    </row>
    <row r="3312" spans="3:18" x14ac:dyDescent="0.25">
      <c r="C3312" s="294" t="s">
        <v>979</v>
      </c>
      <c r="D3312" s="317" t="s">
        <v>734</v>
      </c>
      <c r="E3312" s="122" t="s">
        <v>977</v>
      </c>
      <c r="F3312" s="122" t="s">
        <v>980</v>
      </c>
      <c r="G3312" s="122" t="s">
        <v>778</v>
      </c>
      <c r="H3312" s="122" t="s">
        <v>777</v>
      </c>
      <c r="I3312" s="312">
        <v>2018</v>
      </c>
      <c r="J3312" s="122" t="s">
        <v>711</v>
      </c>
      <c r="K3312" s="283">
        <v>7471</v>
      </c>
      <c r="L3312" s="318">
        <v>-33.651676000000002</v>
      </c>
      <c r="M3312" s="318">
        <v>151.13774100000001</v>
      </c>
      <c r="O3312">
        <f>INDEX('MEC - traffic congestion'!$M$145:$M$249,MATCH($D3312,'MEC - traffic congestion'!$C$145:$C$249,0))</f>
        <v>0</v>
      </c>
      <c r="P3312" t="str">
        <f t="shared" si="149"/>
        <v/>
      </c>
      <c r="Q3312">
        <f t="shared" si="150"/>
        <v>1</v>
      </c>
      <c r="R3312" s="195" t="str">
        <f t="shared" si="151"/>
        <v/>
      </c>
    </row>
    <row r="3313" spans="3:18" x14ac:dyDescent="0.25">
      <c r="C3313" s="294" t="s">
        <v>979</v>
      </c>
      <c r="D3313" s="317" t="s">
        <v>734</v>
      </c>
      <c r="E3313" s="122" t="s">
        <v>977</v>
      </c>
      <c r="F3313" s="122" t="s">
        <v>980</v>
      </c>
      <c r="G3313" s="122" t="s">
        <v>776</v>
      </c>
      <c r="H3313" s="122" t="s">
        <v>777</v>
      </c>
      <c r="I3313" s="312">
        <v>2018</v>
      </c>
      <c r="J3313" s="122" t="s">
        <v>712</v>
      </c>
      <c r="K3313" s="283">
        <v>37824</v>
      </c>
      <c r="L3313" s="318">
        <v>-33.651676000000002</v>
      </c>
      <c r="M3313" s="318">
        <v>151.13774100000001</v>
      </c>
      <c r="O3313">
        <f>INDEX('MEC - traffic congestion'!$M$145:$M$249,MATCH($D3313,'MEC - traffic congestion'!$C$145:$C$249,0))</f>
        <v>0</v>
      </c>
      <c r="P3313" t="str">
        <f t="shared" si="149"/>
        <v/>
      </c>
      <c r="Q3313">
        <f t="shared" si="150"/>
        <v>1</v>
      </c>
      <c r="R3313" s="195" t="str">
        <f t="shared" si="151"/>
        <v/>
      </c>
    </row>
    <row r="3314" spans="3:18" x14ac:dyDescent="0.25">
      <c r="C3314" s="294" t="s">
        <v>979</v>
      </c>
      <c r="D3314" s="317" t="s">
        <v>734</v>
      </c>
      <c r="E3314" s="122" t="s">
        <v>977</v>
      </c>
      <c r="F3314" s="122" t="s">
        <v>980</v>
      </c>
      <c r="G3314" s="122" t="s">
        <v>778</v>
      </c>
      <c r="H3314" s="122" t="s">
        <v>777</v>
      </c>
      <c r="I3314" s="312">
        <v>2018</v>
      </c>
      <c r="J3314" s="122" t="s">
        <v>712</v>
      </c>
      <c r="K3314" s="283">
        <v>40670</v>
      </c>
      <c r="L3314" s="318">
        <v>-33.651676000000002</v>
      </c>
      <c r="M3314" s="318">
        <v>151.13774100000001</v>
      </c>
      <c r="O3314">
        <f>INDEX('MEC - traffic congestion'!$M$145:$M$249,MATCH($D3314,'MEC - traffic congestion'!$C$145:$C$249,0))</f>
        <v>0</v>
      </c>
      <c r="P3314" t="str">
        <f t="shared" si="149"/>
        <v/>
      </c>
      <c r="Q3314">
        <f t="shared" si="150"/>
        <v>1</v>
      </c>
      <c r="R3314" s="195" t="str">
        <f t="shared" si="151"/>
        <v/>
      </c>
    </row>
    <row r="3315" spans="3:18" x14ac:dyDescent="0.25">
      <c r="C3315" s="294" t="s">
        <v>979</v>
      </c>
      <c r="D3315" s="317" t="s">
        <v>734</v>
      </c>
      <c r="E3315" s="122" t="s">
        <v>977</v>
      </c>
      <c r="F3315" s="122" t="s">
        <v>980</v>
      </c>
      <c r="G3315" s="122" t="s">
        <v>776</v>
      </c>
      <c r="H3315" s="122" t="s">
        <v>777</v>
      </c>
      <c r="I3315" s="312">
        <v>2018</v>
      </c>
      <c r="J3315" s="122" t="s">
        <v>713</v>
      </c>
      <c r="K3315" s="283">
        <v>35827</v>
      </c>
      <c r="L3315" s="318">
        <v>-33.651676000000002</v>
      </c>
      <c r="M3315" s="318">
        <v>151.13774100000001</v>
      </c>
      <c r="O3315">
        <f>INDEX('MEC - traffic congestion'!$M$145:$M$249,MATCH($D3315,'MEC - traffic congestion'!$C$145:$C$249,0))</f>
        <v>0</v>
      </c>
      <c r="P3315" t="str">
        <f t="shared" si="149"/>
        <v/>
      </c>
      <c r="Q3315">
        <f t="shared" si="150"/>
        <v>1</v>
      </c>
      <c r="R3315" s="195" t="str">
        <f t="shared" si="151"/>
        <v/>
      </c>
    </row>
    <row r="3316" spans="3:18" x14ac:dyDescent="0.25">
      <c r="C3316" s="294" t="s">
        <v>979</v>
      </c>
      <c r="D3316" s="317" t="s">
        <v>734</v>
      </c>
      <c r="E3316" s="122" t="s">
        <v>977</v>
      </c>
      <c r="F3316" s="122" t="s">
        <v>980</v>
      </c>
      <c r="G3316" s="122" t="s">
        <v>778</v>
      </c>
      <c r="H3316" s="122" t="s">
        <v>777</v>
      </c>
      <c r="I3316" s="312">
        <v>2018</v>
      </c>
      <c r="J3316" s="122" t="s">
        <v>713</v>
      </c>
      <c r="K3316" s="283">
        <v>39678</v>
      </c>
      <c r="L3316" s="318">
        <v>-33.651676000000002</v>
      </c>
      <c r="M3316" s="318">
        <v>151.13774100000001</v>
      </c>
      <c r="O3316">
        <f>INDEX('MEC - traffic congestion'!$M$145:$M$249,MATCH($D3316,'MEC - traffic congestion'!$C$145:$C$249,0))</f>
        <v>0</v>
      </c>
      <c r="P3316" t="str">
        <f t="shared" si="149"/>
        <v/>
      </c>
      <c r="Q3316">
        <f t="shared" si="150"/>
        <v>1</v>
      </c>
      <c r="R3316" s="195" t="str">
        <f t="shared" si="151"/>
        <v/>
      </c>
    </row>
    <row r="3317" spans="3:18" x14ac:dyDescent="0.25">
      <c r="C3317" s="294" t="s">
        <v>981</v>
      </c>
      <c r="D3317" s="317" t="s">
        <v>735</v>
      </c>
      <c r="E3317" s="122" t="s">
        <v>977</v>
      </c>
      <c r="F3317" s="122" t="s">
        <v>982</v>
      </c>
      <c r="G3317" s="122" t="s">
        <v>776</v>
      </c>
      <c r="H3317" s="122" t="s">
        <v>777</v>
      </c>
      <c r="I3317" s="312">
        <v>2018</v>
      </c>
      <c r="J3317" s="122" t="s">
        <v>709</v>
      </c>
      <c r="K3317" s="283">
        <v>5744</v>
      </c>
      <c r="L3317" s="318">
        <v>-33.560299000000001</v>
      </c>
      <c r="M3317" s="318">
        <v>151.19255100000001</v>
      </c>
      <c r="O3317">
        <f>INDEX('MEC - traffic congestion'!$M$145:$M$249,MATCH($D3317,'MEC - traffic congestion'!$C$145:$C$249,0))</f>
        <v>0</v>
      </c>
      <c r="P3317" t="str">
        <f t="shared" si="149"/>
        <v/>
      </c>
      <c r="Q3317">
        <f t="shared" si="150"/>
        <v>1</v>
      </c>
      <c r="R3317" s="195" t="str">
        <f t="shared" si="151"/>
        <v/>
      </c>
    </row>
    <row r="3318" spans="3:18" x14ac:dyDescent="0.25">
      <c r="C3318" s="294" t="s">
        <v>981</v>
      </c>
      <c r="D3318" s="317" t="s">
        <v>735</v>
      </c>
      <c r="E3318" s="122" t="s">
        <v>977</v>
      </c>
      <c r="F3318" s="122" t="s">
        <v>982</v>
      </c>
      <c r="G3318" s="122" t="s">
        <v>778</v>
      </c>
      <c r="H3318" s="122" t="s">
        <v>777</v>
      </c>
      <c r="I3318" s="312">
        <v>2018</v>
      </c>
      <c r="J3318" s="122" t="s">
        <v>709</v>
      </c>
      <c r="K3318" s="283">
        <v>10913</v>
      </c>
      <c r="L3318" s="318">
        <v>-33.560299000000001</v>
      </c>
      <c r="M3318" s="318">
        <v>151.19255100000001</v>
      </c>
      <c r="O3318">
        <f>INDEX('MEC - traffic congestion'!$M$145:$M$249,MATCH($D3318,'MEC - traffic congestion'!$C$145:$C$249,0))</f>
        <v>0</v>
      </c>
      <c r="P3318" t="str">
        <f t="shared" si="149"/>
        <v/>
      </c>
      <c r="Q3318">
        <f t="shared" si="150"/>
        <v>1</v>
      </c>
      <c r="R3318" s="195" t="str">
        <f t="shared" si="151"/>
        <v/>
      </c>
    </row>
    <row r="3319" spans="3:18" x14ac:dyDescent="0.25">
      <c r="C3319" s="294" t="s">
        <v>981</v>
      </c>
      <c r="D3319" s="317" t="s">
        <v>735</v>
      </c>
      <c r="E3319" s="122" t="s">
        <v>977</v>
      </c>
      <c r="F3319" s="122" t="s">
        <v>982</v>
      </c>
      <c r="G3319" s="122" t="s">
        <v>776</v>
      </c>
      <c r="H3319" s="122" t="s">
        <v>777</v>
      </c>
      <c r="I3319" s="312">
        <v>2018</v>
      </c>
      <c r="J3319" s="122" t="s">
        <v>710</v>
      </c>
      <c r="K3319" s="283">
        <v>16117</v>
      </c>
      <c r="L3319" s="318">
        <v>-33.560299000000001</v>
      </c>
      <c r="M3319" s="318">
        <v>151.19255100000001</v>
      </c>
      <c r="O3319">
        <f>INDEX('MEC - traffic congestion'!$M$145:$M$249,MATCH($D3319,'MEC - traffic congestion'!$C$145:$C$249,0))</f>
        <v>0</v>
      </c>
      <c r="P3319" t="str">
        <f t="shared" si="149"/>
        <v/>
      </c>
      <c r="Q3319">
        <f t="shared" si="150"/>
        <v>1</v>
      </c>
      <c r="R3319" s="195" t="str">
        <f t="shared" si="151"/>
        <v/>
      </c>
    </row>
    <row r="3320" spans="3:18" x14ac:dyDescent="0.25">
      <c r="C3320" s="294" t="s">
        <v>981</v>
      </c>
      <c r="D3320" s="317" t="s">
        <v>735</v>
      </c>
      <c r="E3320" s="122" t="s">
        <v>977</v>
      </c>
      <c r="F3320" s="122" t="s">
        <v>982</v>
      </c>
      <c r="G3320" s="122" t="s">
        <v>778</v>
      </c>
      <c r="H3320" s="122" t="s">
        <v>777</v>
      </c>
      <c r="I3320" s="312">
        <v>2018</v>
      </c>
      <c r="J3320" s="122" t="s">
        <v>710</v>
      </c>
      <c r="K3320" s="283">
        <v>16006</v>
      </c>
      <c r="L3320" s="318">
        <v>-33.560299000000001</v>
      </c>
      <c r="M3320" s="318">
        <v>151.19255100000001</v>
      </c>
      <c r="O3320">
        <f>INDEX('MEC - traffic congestion'!$M$145:$M$249,MATCH($D3320,'MEC - traffic congestion'!$C$145:$C$249,0))</f>
        <v>0</v>
      </c>
      <c r="P3320" t="str">
        <f t="shared" si="149"/>
        <v/>
      </c>
      <c r="Q3320">
        <f t="shared" si="150"/>
        <v>1</v>
      </c>
      <c r="R3320" s="195" t="str">
        <f t="shared" si="151"/>
        <v/>
      </c>
    </row>
    <row r="3321" spans="3:18" x14ac:dyDescent="0.25">
      <c r="C3321" s="294" t="s">
        <v>981</v>
      </c>
      <c r="D3321" s="317" t="s">
        <v>735</v>
      </c>
      <c r="E3321" s="122" t="s">
        <v>977</v>
      </c>
      <c r="F3321" s="122" t="s">
        <v>982</v>
      </c>
      <c r="G3321" s="122" t="s">
        <v>776</v>
      </c>
      <c r="H3321" s="122" t="s">
        <v>777</v>
      </c>
      <c r="I3321" s="312">
        <v>2018</v>
      </c>
      <c r="J3321" s="122" t="s">
        <v>711</v>
      </c>
      <c r="K3321" s="283">
        <v>12997</v>
      </c>
      <c r="L3321" s="318">
        <v>-33.560299000000001</v>
      </c>
      <c r="M3321" s="318">
        <v>151.19255100000001</v>
      </c>
      <c r="O3321">
        <f>INDEX('MEC - traffic congestion'!$M$145:$M$249,MATCH($D3321,'MEC - traffic congestion'!$C$145:$C$249,0))</f>
        <v>0</v>
      </c>
      <c r="P3321" t="str">
        <f t="shared" si="149"/>
        <v/>
      </c>
      <c r="Q3321">
        <f t="shared" si="150"/>
        <v>1</v>
      </c>
      <c r="R3321" s="195" t="str">
        <f t="shared" si="151"/>
        <v/>
      </c>
    </row>
    <row r="3322" spans="3:18" x14ac:dyDescent="0.25">
      <c r="C3322" s="294" t="s">
        <v>981</v>
      </c>
      <c r="D3322" s="317" t="s">
        <v>735</v>
      </c>
      <c r="E3322" s="122" t="s">
        <v>977</v>
      </c>
      <c r="F3322" s="122" t="s">
        <v>982</v>
      </c>
      <c r="G3322" s="122" t="s">
        <v>778</v>
      </c>
      <c r="H3322" s="122" t="s">
        <v>777</v>
      </c>
      <c r="I3322" s="312">
        <v>2018</v>
      </c>
      <c r="J3322" s="122" t="s">
        <v>711</v>
      </c>
      <c r="K3322" s="283">
        <v>7288</v>
      </c>
      <c r="L3322" s="318">
        <v>-33.560299000000001</v>
      </c>
      <c r="M3322" s="318">
        <v>151.19255100000001</v>
      </c>
      <c r="O3322">
        <f>INDEX('MEC - traffic congestion'!$M$145:$M$249,MATCH($D3322,'MEC - traffic congestion'!$C$145:$C$249,0))</f>
        <v>0</v>
      </c>
      <c r="P3322" t="str">
        <f t="shared" si="149"/>
        <v/>
      </c>
      <c r="Q3322">
        <f t="shared" si="150"/>
        <v>1</v>
      </c>
      <c r="R3322" s="195" t="str">
        <f t="shared" si="151"/>
        <v/>
      </c>
    </row>
    <row r="3323" spans="3:18" x14ac:dyDescent="0.25">
      <c r="C3323" s="294" t="s">
        <v>981</v>
      </c>
      <c r="D3323" s="317" t="s">
        <v>735</v>
      </c>
      <c r="E3323" s="122" t="s">
        <v>977</v>
      </c>
      <c r="F3323" s="122" t="s">
        <v>982</v>
      </c>
      <c r="G3323" s="122" t="s">
        <v>776</v>
      </c>
      <c r="H3323" s="122" t="s">
        <v>777</v>
      </c>
      <c r="I3323" s="312">
        <v>2018</v>
      </c>
      <c r="J3323" s="122" t="s">
        <v>712</v>
      </c>
      <c r="K3323" s="283">
        <v>39134</v>
      </c>
      <c r="L3323" s="318">
        <v>-33.560299000000001</v>
      </c>
      <c r="M3323" s="318">
        <v>151.19255100000001</v>
      </c>
      <c r="O3323">
        <f>INDEX('MEC - traffic congestion'!$M$145:$M$249,MATCH($D3323,'MEC - traffic congestion'!$C$145:$C$249,0))</f>
        <v>0</v>
      </c>
      <c r="P3323" t="str">
        <f t="shared" si="149"/>
        <v/>
      </c>
      <c r="Q3323">
        <f t="shared" si="150"/>
        <v>1</v>
      </c>
      <c r="R3323" s="195" t="str">
        <f t="shared" si="151"/>
        <v/>
      </c>
    </row>
    <row r="3324" spans="3:18" x14ac:dyDescent="0.25">
      <c r="C3324" s="294" t="s">
        <v>981</v>
      </c>
      <c r="D3324" s="317" t="s">
        <v>735</v>
      </c>
      <c r="E3324" s="122" t="s">
        <v>977</v>
      </c>
      <c r="F3324" s="122" t="s">
        <v>982</v>
      </c>
      <c r="G3324" s="122" t="s">
        <v>778</v>
      </c>
      <c r="H3324" s="122" t="s">
        <v>777</v>
      </c>
      <c r="I3324" s="312">
        <v>2018</v>
      </c>
      <c r="J3324" s="122" t="s">
        <v>712</v>
      </c>
      <c r="K3324" s="283">
        <v>42146</v>
      </c>
      <c r="L3324" s="318">
        <v>-33.560299000000001</v>
      </c>
      <c r="M3324" s="318">
        <v>151.19255100000001</v>
      </c>
      <c r="O3324">
        <f>INDEX('MEC - traffic congestion'!$M$145:$M$249,MATCH($D3324,'MEC - traffic congestion'!$C$145:$C$249,0))</f>
        <v>0</v>
      </c>
      <c r="P3324" t="str">
        <f t="shared" si="149"/>
        <v/>
      </c>
      <c r="Q3324">
        <f t="shared" si="150"/>
        <v>1</v>
      </c>
      <c r="R3324" s="195" t="str">
        <f t="shared" si="151"/>
        <v/>
      </c>
    </row>
    <row r="3325" spans="3:18" x14ac:dyDescent="0.25">
      <c r="C3325" s="294" t="s">
        <v>981</v>
      </c>
      <c r="D3325" s="317" t="s">
        <v>735</v>
      </c>
      <c r="E3325" s="122" t="s">
        <v>977</v>
      </c>
      <c r="F3325" s="122" t="s">
        <v>982</v>
      </c>
      <c r="G3325" s="122" t="s">
        <v>776</v>
      </c>
      <c r="H3325" s="122" t="s">
        <v>777</v>
      </c>
      <c r="I3325" s="312">
        <v>2018</v>
      </c>
      <c r="J3325" s="122" t="s">
        <v>713</v>
      </c>
      <c r="K3325" s="283">
        <v>36515</v>
      </c>
      <c r="L3325" s="318">
        <v>-33.560299000000001</v>
      </c>
      <c r="M3325" s="318">
        <v>151.19255100000001</v>
      </c>
      <c r="O3325">
        <f>INDEX('MEC - traffic congestion'!$M$145:$M$249,MATCH($D3325,'MEC - traffic congestion'!$C$145:$C$249,0))</f>
        <v>0</v>
      </c>
      <c r="P3325" t="str">
        <f t="shared" si="149"/>
        <v/>
      </c>
      <c r="Q3325">
        <f t="shared" si="150"/>
        <v>1</v>
      </c>
      <c r="R3325" s="195" t="str">
        <f t="shared" si="151"/>
        <v/>
      </c>
    </row>
    <row r="3326" spans="3:18" x14ac:dyDescent="0.25">
      <c r="C3326" s="294" t="s">
        <v>981</v>
      </c>
      <c r="D3326" s="317" t="s">
        <v>735</v>
      </c>
      <c r="E3326" s="122" t="s">
        <v>977</v>
      </c>
      <c r="F3326" s="122" t="s">
        <v>982</v>
      </c>
      <c r="G3326" s="122" t="s">
        <v>778</v>
      </c>
      <c r="H3326" s="122" t="s">
        <v>777</v>
      </c>
      <c r="I3326" s="312">
        <v>2018</v>
      </c>
      <c r="J3326" s="122" t="s">
        <v>713</v>
      </c>
      <c r="K3326" s="283">
        <v>38771</v>
      </c>
      <c r="L3326" s="318">
        <v>-33.560299000000001</v>
      </c>
      <c r="M3326" s="318">
        <v>151.19255100000001</v>
      </c>
      <c r="O3326">
        <f>INDEX('MEC - traffic congestion'!$M$145:$M$249,MATCH($D3326,'MEC - traffic congestion'!$C$145:$C$249,0))</f>
        <v>0</v>
      </c>
      <c r="P3326" t="str">
        <f t="shared" si="149"/>
        <v/>
      </c>
      <c r="Q3326">
        <f t="shared" si="150"/>
        <v>1</v>
      </c>
      <c r="R3326" s="195" t="str">
        <f t="shared" si="151"/>
        <v/>
      </c>
    </row>
    <row r="3327" spans="3:18" x14ac:dyDescent="0.25">
      <c r="C3327" s="294" t="s">
        <v>983</v>
      </c>
      <c r="D3327" s="317" t="s">
        <v>736</v>
      </c>
      <c r="E3327" s="122" t="s">
        <v>977</v>
      </c>
      <c r="F3327" s="122" t="s">
        <v>984</v>
      </c>
      <c r="G3327" s="122" t="s">
        <v>776</v>
      </c>
      <c r="H3327" s="122" t="s">
        <v>777</v>
      </c>
      <c r="I3327" s="312">
        <v>2018</v>
      </c>
      <c r="J3327" s="122" t="s">
        <v>709</v>
      </c>
      <c r="K3327" s="283">
        <v>5673</v>
      </c>
      <c r="L3327" s="318">
        <v>-33.496265000000001</v>
      </c>
      <c r="M3327" s="318">
        <v>151.187408</v>
      </c>
      <c r="O3327">
        <f>INDEX('MEC - traffic congestion'!$M$145:$M$249,MATCH($D3327,'MEC - traffic congestion'!$C$145:$C$249,0))</f>
        <v>0</v>
      </c>
      <c r="P3327" t="str">
        <f t="shared" si="149"/>
        <v/>
      </c>
      <c r="Q3327">
        <f t="shared" si="150"/>
        <v>1</v>
      </c>
      <c r="R3327" s="195" t="str">
        <f t="shared" si="151"/>
        <v/>
      </c>
    </row>
    <row r="3328" spans="3:18" x14ac:dyDescent="0.25">
      <c r="C3328" s="294" t="s">
        <v>983</v>
      </c>
      <c r="D3328" s="317" t="s">
        <v>736</v>
      </c>
      <c r="E3328" s="122" t="s">
        <v>977</v>
      </c>
      <c r="F3328" s="122" t="s">
        <v>984</v>
      </c>
      <c r="G3328" s="122" t="s">
        <v>778</v>
      </c>
      <c r="H3328" s="122" t="s">
        <v>777</v>
      </c>
      <c r="I3328" s="312">
        <v>2018</v>
      </c>
      <c r="J3328" s="122" t="s">
        <v>709</v>
      </c>
      <c r="K3328" s="283">
        <v>10493</v>
      </c>
      <c r="L3328" s="318">
        <v>-33.496265000000001</v>
      </c>
      <c r="M3328" s="318">
        <v>151.187408</v>
      </c>
      <c r="O3328">
        <f>INDEX('MEC - traffic congestion'!$M$145:$M$249,MATCH($D3328,'MEC - traffic congestion'!$C$145:$C$249,0))</f>
        <v>0</v>
      </c>
      <c r="P3328" t="str">
        <f t="shared" si="149"/>
        <v/>
      </c>
      <c r="Q3328">
        <f t="shared" si="150"/>
        <v>1</v>
      </c>
      <c r="R3328" s="195" t="str">
        <f t="shared" si="151"/>
        <v/>
      </c>
    </row>
    <row r="3329" spans="3:18" x14ac:dyDescent="0.25">
      <c r="C3329" s="294" t="s">
        <v>983</v>
      </c>
      <c r="D3329" s="317" t="s">
        <v>736</v>
      </c>
      <c r="E3329" s="122" t="s">
        <v>977</v>
      </c>
      <c r="F3329" s="122" t="s">
        <v>984</v>
      </c>
      <c r="G3329" s="122" t="s">
        <v>776</v>
      </c>
      <c r="H3329" s="122" t="s">
        <v>777</v>
      </c>
      <c r="I3329" s="312">
        <v>2018</v>
      </c>
      <c r="J3329" s="122" t="s">
        <v>710</v>
      </c>
      <c r="K3329" s="283">
        <v>15301</v>
      </c>
      <c r="L3329" s="318">
        <v>-33.496265000000001</v>
      </c>
      <c r="M3329" s="318">
        <v>151.187408</v>
      </c>
      <c r="O3329">
        <f>INDEX('MEC - traffic congestion'!$M$145:$M$249,MATCH($D3329,'MEC - traffic congestion'!$C$145:$C$249,0))</f>
        <v>0</v>
      </c>
      <c r="P3329" t="str">
        <f t="shared" si="149"/>
        <v/>
      </c>
      <c r="Q3329">
        <f t="shared" si="150"/>
        <v>1</v>
      </c>
      <c r="R3329" s="195" t="str">
        <f t="shared" si="151"/>
        <v/>
      </c>
    </row>
    <row r="3330" spans="3:18" x14ac:dyDescent="0.25">
      <c r="C3330" s="294" t="s">
        <v>983</v>
      </c>
      <c r="D3330" s="317" t="s">
        <v>736</v>
      </c>
      <c r="E3330" s="122" t="s">
        <v>977</v>
      </c>
      <c r="F3330" s="122" t="s">
        <v>984</v>
      </c>
      <c r="G3330" s="122" t="s">
        <v>778</v>
      </c>
      <c r="H3330" s="122" t="s">
        <v>777</v>
      </c>
      <c r="I3330" s="312">
        <v>2018</v>
      </c>
      <c r="J3330" s="122" t="s">
        <v>710</v>
      </c>
      <c r="K3330" s="283">
        <v>16348</v>
      </c>
      <c r="L3330" s="318">
        <v>-33.496265000000001</v>
      </c>
      <c r="M3330" s="318">
        <v>151.187408</v>
      </c>
      <c r="O3330">
        <f>INDEX('MEC - traffic congestion'!$M$145:$M$249,MATCH($D3330,'MEC - traffic congestion'!$C$145:$C$249,0))</f>
        <v>0</v>
      </c>
      <c r="P3330" t="str">
        <f t="shared" si="149"/>
        <v/>
      </c>
      <c r="Q3330">
        <f t="shared" si="150"/>
        <v>1</v>
      </c>
      <c r="R3330" s="195" t="str">
        <f t="shared" si="151"/>
        <v/>
      </c>
    </row>
    <row r="3331" spans="3:18" x14ac:dyDescent="0.25">
      <c r="C3331" s="294" t="s">
        <v>983</v>
      </c>
      <c r="D3331" s="317" t="s">
        <v>736</v>
      </c>
      <c r="E3331" s="122" t="s">
        <v>977</v>
      </c>
      <c r="F3331" s="122" t="s">
        <v>984</v>
      </c>
      <c r="G3331" s="122" t="s">
        <v>776</v>
      </c>
      <c r="H3331" s="122" t="s">
        <v>777</v>
      </c>
      <c r="I3331" s="312">
        <v>2018</v>
      </c>
      <c r="J3331" s="122" t="s">
        <v>711</v>
      </c>
      <c r="K3331" s="283">
        <v>12301</v>
      </c>
      <c r="L3331" s="318">
        <v>-33.496265000000001</v>
      </c>
      <c r="M3331" s="318">
        <v>151.187408</v>
      </c>
      <c r="O3331">
        <f>INDEX('MEC - traffic congestion'!$M$145:$M$249,MATCH($D3331,'MEC - traffic congestion'!$C$145:$C$249,0))</f>
        <v>0</v>
      </c>
      <c r="P3331" t="str">
        <f t="shared" si="149"/>
        <v/>
      </c>
      <c r="Q3331">
        <f t="shared" si="150"/>
        <v>1</v>
      </c>
      <c r="R3331" s="195" t="str">
        <f t="shared" si="151"/>
        <v/>
      </c>
    </row>
    <row r="3332" spans="3:18" x14ac:dyDescent="0.25">
      <c r="C3332" s="294" t="s">
        <v>983</v>
      </c>
      <c r="D3332" s="317" t="s">
        <v>736</v>
      </c>
      <c r="E3332" s="122" t="s">
        <v>977</v>
      </c>
      <c r="F3332" s="122" t="s">
        <v>984</v>
      </c>
      <c r="G3332" s="122" t="s">
        <v>778</v>
      </c>
      <c r="H3332" s="122" t="s">
        <v>777</v>
      </c>
      <c r="I3332" s="312">
        <v>2018</v>
      </c>
      <c r="J3332" s="122" t="s">
        <v>711</v>
      </c>
      <c r="K3332" s="283">
        <v>7333</v>
      </c>
      <c r="L3332" s="318">
        <v>-33.496265000000001</v>
      </c>
      <c r="M3332" s="318">
        <v>151.187408</v>
      </c>
      <c r="O3332">
        <f>INDEX('MEC - traffic congestion'!$M$145:$M$249,MATCH($D3332,'MEC - traffic congestion'!$C$145:$C$249,0))</f>
        <v>0</v>
      </c>
      <c r="P3332" t="str">
        <f t="shared" si="149"/>
        <v/>
      </c>
      <c r="Q3332">
        <f t="shared" si="150"/>
        <v>1</v>
      </c>
      <c r="R3332" s="195" t="str">
        <f t="shared" si="151"/>
        <v/>
      </c>
    </row>
    <row r="3333" spans="3:18" x14ac:dyDescent="0.25">
      <c r="C3333" s="294" t="s">
        <v>983</v>
      </c>
      <c r="D3333" s="317" t="s">
        <v>736</v>
      </c>
      <c r="E3333" s="122" t="s">
        <v>977</v>
      </c>
      <c r="F3333" s="122" t="s">
        <v>984</v>
      </c>
      <c r="G3333" s="122" t="s">
        <v>776</v>
      </c>
      <c r="H3333" s="122" t="s">
        <v>777</v>
      </c>
      <c r="I3333" s="312">
        <v>2018</v>
      </c>
      <c r="J3333" s="122" t="s">
        <v>712</v>
      </c>
      <c r="K3333" s="283">
        <v>33403</v>
      </c>
      <c r="L3333" s="318">
        <v>-33.496265000000001</v>
      </c>
      <c r="M3333" s="318">
        <v>151.187408</v>
      </c>
      <c r="O3333">
        <f>INDEX('MEC - traffic congestion'!$M$145:$M$249,MATCH($D3333,'MEC - traffic congestion'!$C$145:$C$249,0))</f>
        <v>0</v>
      </c>
      <c r="P3333" t="str">
        <f t="shared" si="149"/>
        <v/>
      </c>
      <c r="Q3333">
        <f t="shared" si="150"/>
        <v>1</v>
      </c>
      <c r="R3333" s="195" t="str">
        <f t="shared" si="151"/>
        <v/>
      </c>
    </row>
    <row r="3334" spans="3:18" x14ac:dyDescent="0.25">
      <c r="C3334" s="294" t="s">
        <v>983</v>
      </c>
      <c r="D3334" s="317" t="s">
        <v>736</v>
      </c>
      <c r="E3334" s="122" t="s">
        <v>977</v>
      </c>
      <c r="F3334" s="122" t="s">
        <v>984</v>
      </c>
      <c r="G3334" s="122" t="s">
        <v>778</v>
      </c>
      <c r="H3334" s="122" t="s">
        <v>777</v>
      </c>
      <c r="I3334" s="312">
        <v>2018</v>
      </c>
      <c r="J3334" s="122" t="s">
        <v>712</v>
      </c>
      <c r="K3334" s="283">
        <v>41305</v>
      </c>
      <c r="L3334" s="318">
        <v>-33.496265000000001</v>
      </c>
      <c r="M3334" s="318">
        <v>151.187408</v>
      </c>
      <c r="O3334">
        <f>INDEX('MEC - traffic congestion'!$M$145:$M$249,MATCH($D3334,'MEC - traffic congestion'!$C$145:$C$249,0))</f>
        <v>0</v>
      </c>
      <c r="P3334" t="str">
        <f t="shared" si="149"/>
        <v/>
      </c>
      <c r="Q3334">
        <f t="shared" si="150"/>
        <v>1</v>
      </c>
      <c r="R3334" s="195" t="str">
        <f t="shared" si="151"/>
        <v/>
      </c>
    </row>
    <row r="3335" spans="3:18" x14ac:dyDescent="0.25">
      <c r="C3335" s="294" t="s">
        <v>983</v>
      </c>
      <c r="D3335" s="317" t="s">
        <v>736</v>
      </c>
      <c r="E3335" s="122" t="s">
        <v>977</v>
      </c>
      <c r="F3335" s="122" t="s">
        <v>984</v>
      </c>
      <c r="G3335" s="122" t="s">
        <v>776</v>
      </c>
      <c r="H3335" s="122" t="s">
        <v>777</v>
      </c>
      <c r="I3335" s="312">
        <v>2018</v>
      </c>
      <c r="J3335" s="122" t="s">
        <v>713</v>
      </c>
      <c r="K3335" s="283">
        <v>33389</v>
      </c>
      <c r="L3335" s="318">
        <v>-33.496265000000001</v>
      </c>
      <c r="M3335" s="318">
        <v>151.187408</v>
      </c>
      <c r="O3335">
        <f>INDEX('MEC - traffic congestion'!$M$145:$M$249,MATCH($D3335,'MEC - traffic congestion'!$C$145:$C$249,0))</f>
        <v>0</v>
      </c>
      <c r="P3335" t="str">
        <f t="shared" si="149"/>
        <v/>
      </c>
      <c r="Q3335">
        <f t="shared" si="150"/>
        <v>1</v>
      </c>
      <c r="R3335" s="195" t="str">
        <f t="shared" si="151"/>
        <v/>
      </c>
    </row>
    <row r="3336" spans="3:18" x14ac:dyDescent="0.25">
      <c r="C3336" s="294" t="s">
        <v>983</v>
      </c>
      <c r="D3336" s="317" t="s">
        <v>736</v>
      </c>
      <c r="E3336" s="122" t="s">
        <v>977</v>
      </c>
      <c r="F3336" s="122" t="s">
        <v>984</v>
      </c>
      <c r="G3336" s="122" t="s">
        <v>778</v>
      </c>
      <c r="H3336" s="122" t="s">
        <v>777</v>
      </c>
      <c r="I3336" s="312">
        <v>2018</v>
      </c>
      <c r="J3336" s="122" t="s">
        <v>713</v>
      </c>
      <c r="K3336" s="283">
        <v>38681</v>
      </c>
      <c r="L3336" s="318">
        <v>-33.496265000000001</v>
      </c>
      <c r="M3336" s="318">
        <v>151.187408</v>
      </c>
      <c r="O3336">
        <f>INDEX('MEC - traffic congestion'!$M$145:$M$249,MATCH($D3336,'MEC - traffic congestion'!$C$145:$C$249,0))</f>
        <v>0</v>
      </c>
      <c r="P3336" t="str">
        <f t="shared" si="149"/>
        <v/>
      </c>
      <c r="Q3336">
        <f t="shared" si="150"/>
        <v>1</v>
      </c>
      <c r="R3336" s="195" t="str">
        <f t="shared" si="151"/>
        <v/>
      </c>
    </row>
    <row r="3337" spans="3:18" x14ac:dyDescent="0.25">
      <c r="C3337" s="294" t="s">
        <v>985</v>
      </c>
      <c r="D3337" s="317" t="s">
        <v>737</v>
      </c>
      <c r="E3337" s="122" t="s">
        <v>977</v>
      </c>
      <c r="F3337" s="122" t="s">
        <v>986</v>
      </c>
      <c r="G3337" s="122" t="s">
        <v>776</v>
      </c>
      <c r="H3337" s="122" t="s">
        <v>777</v>
      </c>
      <c r="I3337" s="312">
        <v>2018</v>
      </c>
      <c r="J3337" s="122" t="s">
        <v>709</v>
      </c>
      <c r="K3337" s="283">
        <v>5469</v>
      </c>
      <c r="L3337" s="318">
        <v>-33.429347999999997</v>
      </c>
      <c r="M3337" s="318">
        <v>151.22467</v>
      </c>
      <c r="O3337">
        <f>INDEX('MEC - traffic congestion'!$M$145:$M$249,MATCH($D3337,'MEC - traffic congestion'!$C$145:$C$249,0))</f>
        <v>0</v>
      </c>
      <c r="P3337" t="str">
        <f t="shared" si="149"/>
        <v/>
      </c>
      <c r="Q3337">
        <f t="shared" si="150"/>
        <v>1</v>
      </c>
      <c r="R3337" s="195" t="str">
        <f t="shared" si="151"/>
        <v/>
      </c>
    </row>
    <row r="3338" spans="3:18" x14ac:dyDescent="0.25">
      <c r="C3338" s="294" t="s">
        <v>985</v>
      </c>
      <c r="D3338" s="317" t="s">
        <v>737</v>
      </c>
      <c r="E3338" s="122" t="s">
        <v>977</v>
      </c>
      <c r="F3338" s="122" t="s">
        <v>986</v>
      </c>
      <c r="G3338" s="122" t="s">
        <v>778</v>
      </c>
      <c r="H3338" s="122" t="s">
        <v>777</v>
      </c>
      <c r="I3338" s="312">
        <v>2018</v>
      </c>
      <c r="J3338" s="122" t="s">
        <v>709</v>
      </c>
      <c r="K3338" s="283">
        <v>10109</v>
      </c>
      <c r="L3338" s="318">
        <v>-33.429347999999997</v>
      </c>
      <c r="M3338" s="318">
        <v>151.22467</v>
      </c>
      <c r="O3338">
        <f>INDEX('MEC - traffic congestion'!$M$145:$M$249,MATCH($D3338,'MEC - traffic congestion'!$C$145:$C$249,0))</f>
        <v>0</v>
      </c>
      <c r="P3338" t="str">
        <f t="shared" si="149"/>
        <v/>
      </c>
      <c r="Q3338">
        <f t="shared" si="150"/>
        <v>1</v>
      </c>
      <c r="R3338" s="195" t="str">
        <f t="shared" si="151"/>
        <v/>
      </c>
    </row>
    <row r="3339" spans="3:18" x14ac:dyDescent="0.25">
      <c r="C3339" s="294" t="s">
        <v>985</v>
      </c>
      <c r="D3339" s="317" t="s">
        <v>737</v>
      </c>
      <c r="E3339" s="122" t="s">
        <v>977</v>
      </c>
      <c r="F3339" s="122" t="s">
        <v>986</v>
      </c>
      <c r="G3339" s="122" t="s">
        <v>776</v>
      </c>
      <c r="H3339" s="122" t="s">
        <v>777</v>
      </c>
      <c r="I3339" s="312">
        <v>2018</v>
      </c>
      <c r="J3339" s="122" t="s">
        <v>710</v>
      </c>
      <c r="K3339" s="283">
        <v>15942</v>
      </c>
      <c r="L3339" s="318">
        <v>-33.429347999999997</v>
      </c>
      <c r="M3339" s="318">
        <v>151.22467</v>
      </c>
      <c r="O3339">
        <f>INDEX('MEC - traffic congestion'!$M$145:$M$249,MATCH($D3339,'MEC - traffic congestion'!$C$145:$C$249,0))</f>
        <v>0</v>
      </c>
      <c r="P3339" t="str">
        <f t="shared" si="149"/>
        <v/>
      </c>
      <c r="Q3339">
        <f t="shared" si="150"/>
        <v>1</v>
      </c>
      <c r="R3339" s="195" t="str">
        <f t="shared" si="151"/>
        <v/>
      </c>
    </row>
    <row r="3340" spans="3:18" x14ac:dyDescent="0.25">
      <c r="C3340" s="294" t="s">
        <v>985</v>
      </c>
      <c r="D3340" s="317" t="s">
        <v>737</v>
      </c>
      <c r="E3340" s="122" t="s">
        <v>977</v>
      </c>
      <c r="F3340" s="122" t="s">
        <v>986</v>
      </c>
      <c r="G3340" s="122" t="s">
        <v>778</v>
      </c>
      <c r="H3340" s="122" t="s">
        <v>777</v>
      </c>
      <c r="I3340" s="312">
        <v>2018</v>
      </c>
      <c r="J3340" s="122" t="s">
        <v>710</v>
      </c>
      <c r="K3340" s="283">
        <v>16238</v>
      </c>
      <c r="L3340" s="318">
        <v>-33.429347999999997</v>
      </c>
      <c r="M3340" s="318">
        <v>151.22467</v>
      </c>
      <c r="O3340">
        <f>INDEX('MEC - traffic congestion'!$M$145:$M$249,MATCH($D3340,'MEC - traffic congestion'!$C$145:$C$249,0))</f>
        <v>0</v>
      </c>
      <c r="P3340" t="str">
        <f t="shared" si="149"/>
        <v/>
      </c>
      <c r="Q3340">
        <f t="shared" si="150"/>
        <v>1</v>
      </c>
      <c r="R3340" s="195" t="str">
        <f t="shared" si="151"/>
        <v/>
      </c>
    </row>
    <row r="3341" spans="3:18" x14ac:dyDescent="0.25">
      <c r="C3341" s="294" t="s">
        <v>985</v>
      </c>
      <c r="D3341" s="317" t="s">
        <v>737</v>
      </c>
      <c r="E3341" s="122" t="s">
        <v>977</v>
      </c>
      <c r="F3341" s="122" t="s">
        <v>986</v>
      </c>
      <c r="G3341" s="122" t="s">
        <v>776</v>
      </c>
      <c r="H3341" s="122" t="s">
        <v>777</v>
      </c>
      <c r="I3341" s="312">
        <v>2018</v>
      </c>
      <c r="J3341" s="122" t="s">
        <v>711</v>
      </c>
      <c r="K3341" s="283">
        <v>12461</v>
      </c>
      <c r="L3341" s="318">
        <v>-33.429347999999997</v>
      </c>
      <c r="M3341" s="318">
        <v>151.22467</v>
      </c>
      <c r="O3341">
        <f>INDEX('MEC - traffic congestion'!$M$145:$M$249,MATCH($D3341,'MEC - traffic congestion'!$C$145:$C$249,0))</f>
        <v>0</v>
      </c>
      <c r="P3341" t="str">
        <f t="shared" si="149"/>
        <v/>
      </c>
      <c r="Q3341">
        <f t="shared" si="150"/>
        <v>1</v>
      </c>
      <c r="R3341" s="195" t="str">
        <f t="shared" si="151"/>
        <v/>
      </c>
    </row>
    <row r="3342" spans="3:18" x14ac:dyDescent="0.25">
      <c r="C3342" s="294" t="s">
        <v>985</v>
      </c>
      <c r="D3342" s="317" t="s">
        <v>737</v>
      </c>
      <c r="E3342" s="122" t="s">
        <v>977</v>
      </c>
      <c r="F3342" s="122" t="s">
        <v>986</v>
      </c>
      <c r="G3342" s="122" t="s">
        <v>778</v>
      </c>
      <c r="H3342" s="122" t="s">
        <v>777</v>
      </c>
      <c r="I3342" s="312">
        <v>2018</v>
      </c>
      <c r="J3342" s="122" t="s">
        <v>711</v>
      </c>
      <c r="K3342" s="283">
        <v>7050</v>
      </c>
      <c r="L3342" s="318">
        <v>-33.429347999999997</v>
      </c>
      <c r="M3342" s="318">
        <v>151.22467</v>
      </c>
      <c r="O3342">
        <f>INDEX('MEC - traffic congestion'!$M$145:$M$249,MATCH($D3342,'MEC - traffic congestion'!$C$145:$C$249,0))</f>
        <v>0</v>
      </c>
      <c r="P3342" t="str">
        <f t="shared" si="149"/>
        <v/>
      </c>
      <c r="Q3342">
        <f t="shared" si="150"/>
        <v>1</v>
      </c>
      <c r="R3342" s="195" t="str">
        <f t="shared" si="151"/>
        <v/>
      </c>
    </row>
    <row r="3343" spans="3:18" x14ac:dyDescent="0.25">
      <c r="C3343" s="294" t="s">
        <v>985</v>
      </c>
      <c r="D3343" s="317" t="s">
        <v>737</v>
      </c>
      <c r="E3343" s="122" t="s">
        <v>977</v>
      </c>
      <c r="F3343" s="122" t="s">
        <v>986</v>
      </c>
      <c r="G3343" s="122" t="s">
        <v>776</v>
      </c>
      <c r="H3343" s="122" t="s">
        <v>777</v>
      </c>
      <c r="I3343" s="312">
        <v>2018</v>
      </c>
      <c r="J3343" s="122" t="s">
        <v>712</v>
      </c>
      <c r="K3343" s="283">
        <v>39393</v>
      </c>
      <c r="L3343" s="318">
        <v>-33.429347999999997</v>
      </c>
      <c r="M3343" s="318">
        <v>151.22467</v>
      </c>
      <c r="O3343">
        <f>INDEX('MEC - traffic congestion'!$M$145:$M$249,MATCH($D3343,'MEC - traffic congestion'!$C$145:$C$249,0))</f>
        <v>0</v>
      </c>
      <c r="P3343" t="str">
        <f t="shared" si="149"/>
        <v/>
      </c>
      <c r="Q3343">
        <f t="shared" si="150"/>
        <v>1</v>
      </c>
      <c r="R3343" s="195" t="str">
        <f t="shared" si="151"/>
        <v/>
      </c>
    </row>
    <row r="3344" spans="3:18" x14ac:dyDescent="0.25">
      <c r="C3344" s="294" t="s">
        <v>985</v>
      </c>
      <c r="D3344" s="317" t="s">
        <v>737</v>
      </c>
      <c r="E3344" s="122" t="s">
        <v>977</v>
      </c>
      <c r="F3344" s="122" t="s">
        <v>986</v>
      </c>
      <c r="G3344" s="122" t="s">
        <v>778</v>
      </c>
      <c r="H3344" s="122" t="s">
        <v>777</v>
      </c>
      <c r="I3344" s="312">
        <v>2018</v>
      </c>
      <c r="J3344" s="122" t="s">
        <v>712</v>
      </c>
      <c r="K3344" s="283">
        <v>42121</v>
      </c>
      <c r="L3344" s="318">
        <v>-33.429347999999997</v>
      </c>
      <c r="M3344" s="318">
        <v>151.22467</v>
      </c>
      <c r="O3344">
        <f>INDEX('MEC - traffic congestion'!$M$145:$M$249,MATCH($D3344,'MEC - traffic congestion'!$C$145:$C$249,0))</f>
        <v>0</v>
      </c>
      <c r="P3344" t="str">
        <f t="shared" si="149"/>
        <v/>
      </c>
      <c r="Q3344">
        <f t="shared" si="150"/>
        <v>1</v>
      </c>
      <c r="R3344" s="195" t="str">
        <f t="shared" si="151"/>
        <v/>
      </c>
    </row>
    <row r="3345" spans="3:18" x14ac:dyDescent="0.25">
      <c r="C3345" s="294" t="s">
        <v>985</v>
      </c>
      <c r="D3345" s="317" t="s">
        <v>737</v>
      </c>
      <c r="E3345" s="122" t="s">
        <v>977</v>
      </c>
      <c r="F3345" s="122" t="s">
        <v>986</v>
      </c>
      <c r="G3345" s="122" t="s">
        <v>776</v>
      </c>
      <c r="H3345" s="122" t="s">
        <v>777</v>
      </c>
      <c r="I3345" s="312">
        <v>2018</v>
      </c>
      <c r="J3345" s="122" t="s">
        <v>713</v>
      </c>
      <c r="K3345" s="283">
        <v>35674</v>
      </c>
      <c r="L3345" s="318">
        <v>-33.429347999999997</v>
      </c>
      <c r="M3345" s="318">
        <v>151.22467</v>
      </c>
      <c r="O3345">
        <f>INDEX('MEC - traffic congestion'!$M$145:$M$249,MATCH($D3345,'MEC - traffic congestion'!$C$145:$C$249,0))</f>
        <v>0</v>
      </c>
      <c r="P3345" t="str">
        <f t="shared" si="149"/>
        <v/>
      </c>
      <c r="Q3345">
        <f t="shared" si="150"/>
        <v>1</v>
      </c>
      <c r="R3345" s="195" t="str">
        <f t="shared" si="151"/>
        <v/>
      </c>
    </row>
    <row r="3346" spans="3:18" x14ac:dyDescent="0.25">
      <c r="C3346" s="294" t="s">
        <v>985</v>
      </c>
      <c r="D3346" s="317" t="s">
        <v>737</v>
      </c>
      <c r="E3346" s="122" t="s">
        <v>977</v>
      </c>
      <c r="F3346" s="122" t="s">
        <v>986</v>
      </c>
      <c r="G3346" s="122" t="s">
        <v>778</v>
      </c>
      <c r="H3346" s="122" t="s">
        <v>777</v>
      </c>
      <c r="I3346" s="312">
        <v>2018</v>
      </c>
      <c r="J3346" s="122" t="s">
        <v>713</v>
      </c>
      <c r="K3346" s="283">
        <v>37511</v>
      </c>
      <c r="L3346" s="318">
        <v>-33.429347999999997</v>
      </c>
      <c r="M3346" s="318">
        <v>151.22467</v>
      </c>
      <c r="O3346">
        <f>INDEX('MEC - traffic congestion'!$M$145:$M$249,MATCH($D3346,'MEC - traffic congestion'!$C$145:$C$249,0))</f>
        <v>0</v>
      </c>
      <c r="P3346" t="str">
        <f t="shared" si="149"/>
        <v/>
      </c>
      <c r="Q3346">
        <f t="shared" si="150"/>
        <v>1</v>
      </c>
      <c r="R3346" s="195" t="str">
        <f t="shared" si="151"/>
        <v/>
      </c>
    </row>
    <row r="3347" spans="3:18" x14ac:dyDescent="0.25">
      <c r="C3347" s="294" t="s">
        <v>985</v>
      </c>
      <c r="D3347" s="317" t="s">
        <v>737</v>
      </c>
      <c r="E3347" s="122" t="s">
        <v>977</v>
      </c>
      <c r="F3347" s="122" t="s">
        <v>986</v>
      </c>
      <c r="G3347" s="122" t="s">
        <v>776</v>
      </c>
      <c r="H3347" s="122" t="s">
        <v>777</v>
      </c>
      <c r="I3347" s="312">
        <v>2019</v>
      </c>
      <c r="J3347" s="122" t="s">
        <v>709</v>
      </c>
      <c r="K3347" s="283">
        <v>5256</v>
      </c>
      <c r="L3347" s="318">
        <v>-33.429347999999997</v>
      </c>
      <c r="M3347" s="318">
        <v>151.22467</v>
      </c>
      <c r="O3347">
        <f>INDEX('MEC - traffic congestion'!$M$145:$M$249,MATCH($D3347,'MEC - traffic congestion'!$C$145:$C$249,0))</f>
        <v>0</v>
      </c>
      <c r="P3347" t="str">
        <f t="shared" si="149"/>
        <v/>
      </c>
      <c r="Q3347">
        <f t="shared" si="150"/>
        <v>1</v>
      </c>
      <c r="R3347" s="195" t="str">
        <f t="shared" si="151"/>
        <v/>
      </c>
    </row>
    <row r="3348" spans="3:18" x14ac:dyDescent="0.25">
      <c r="C3348" s="294" t="s">
        <v>985</v>
      </c>
      <c r="D3348" s="317" t="s">
        <v>737</v>
      </c>
      <c r="E3348" s="122" t="s">
        <v>977</v>
      </c>
      <c r="F3348" s="122" t="s">
        <v>986</v>
      </c>
      <c r="G3348" s="122" t="s">
        <v>778</v>
      </c>
      <c r="H3348" s="122" t="s">
        <v>777</v>
      </c>
      <c r="I3348" s="312">
        <v>2019</v>
      </c>
      <c r="J3348" s="122" t="s">
        <v>709</v>
      </c>
      <c r="K3348" s="283">
        <v>9256</v>
      </c>
      <c r="L3348" s="318">
        <v>-33.429347999999997</v>
      </c>
      <c r="M3348" s="318">
        <v>151.22467</v>
      </c>
      <c r="O3348">
        <f>INDEX('MEC - traffic congestion'!$M$145:$M$249,MATCH($D3348,'MEC - traffic congestion'!$C$145:$C$249,0))</f>
        <v>0</v>
      </c>
      <c r="P3348" t="str">
        <f t="shared" si="149"/>
        <v/>
      </c>
      <c r="Q3348">
        <f t="shared" si="150"/>
        <v>1</v>
      </c>
      <c r="R3348" s="195" t="str">
        <f t="shared" si="151"/>
        <v/>
      </c>
    </row>
    <row r="3349" spans="3:18" x14ac:dyDescent="0.25">
      <c r="C3349" s="294" t="s">
        <v>985</v>
      </c>
      <c r="D3349" s="317" t="s">
        <v>737</v>
      </c>
      <c r="E3349" s="122" t="s">
        <v>977</v>
      </c>
      <c r="F3349" s="122" t="s">
        <v>986</v>
      </c>
      <c r="G3349" s="122" t="s">
        <v>776</v>
      </c>
      <c r="H3349" s="122" t="s">
        <v>777</v>
      </c>
      <c r="I3349" s="312">
        <v>2019</v>
      </c>
      <c r="J3349" s="122" t="s">
        <v>710</v>
      </c>
      <c r="K3349" s="283">
        <v>15214</v>
      </c>
      <c r="L3349" s="318">
        <v>-33.429347999999997</v>
      </c>
      <c r="M3349" s="318">
        <v>151.22467</v>
      </c>
      <c r="O3349">
        <f>INDEX('MEC - traffic congestion'!$M$145:$M$249,MATCH($D3349,'MEC - traffic congestion'!$C$145:$C$249,0))</f>
        <v>0</v>
      </c>
      <c r="P3349" t="str">
        <f t="shared" ref="P3349:P3412" si="152">IF($O3349=1,$I3349&amp;$J3349,"")</f>
        <v/>
      </c>
      <c r="Q3349">
        <f t="shared" ref="Q3349:Q3412" si="153">IF(AND($M3349&gt;150.246,AND($L3349&gt;-34.397,$L3349&lt;-32.662)),1,0)</f>
        <v>1</v>
      </c>
      <c r="R3349" s="195" t="str">
        <f t="shared" ref="R3349:R3412" si="154">IF($O3349=1,$I3349&amp;$H3349,"")</f>
        <v/>
      </c>
    </row>
    <row r="3350" spans="3:18" x14ac:dyDescent="0.25">
      <c r="C3350" s="294" t="s">
        <v>985</v>
      </c>
      <c r="D3350" s="317" t="s">
        <v>737</v>
      </c>
      <c r="E3350" s="122" t="s">
        <v>977</v>
      </c>
      <c r="F3350" s="122" t="s">
        <v>986</v>
      </c>
      <c r="G3350" s="122" t="s">
        <v>778</v>
      </c>
      <c r="H3350" s="122" t="s">
        <v>777</v>
      </c>
      <c r="I3350" s="312">
        <v>2019</v>
      </c>
      <c r="J3350" s="122" t="s">
        <v>710</v>
      </c>
      <c r="K3350" s="283">
        <v>14819</v>
      </c>
      <c r="L3350" s="318">
        <v>-33.429347999999997</v>
      </c>
      <c r="M3350" s="318">
        <v>151.22467</v>
      </c>
      <c r="O3350">
        <f>INDEX('MEC - traffic congestion'!$M$145:$M$249,MATCH($D3350,'MEC - traffic congestion'!$C$145:$C$249,0))</f>
        <v>0</v>
      </c>
      <c r="P3350" t="str">
        <f t="shared" si="152"/>
        <v/>
      </c>
      <c r="Q3350">
        <f t="shared" si="153"/>
        <v>1</v>
      </c>
      <c r="R3350" s="195" t="str">
        <f t="shared" si="154"/>
        <v/>
      </c>
    </row>
    <row r="3351" spans="3:18" x14ac:dyDescent="0.25">
      <c r="C3351" s="294" t="s">
        <v>985</v>
      </c>
      <c r="D3351" s="317" t="s">
        <v>737</v>
      </c>
      <c r="E3351" s="122" t="s">
        <v>977</v>
      </c>
      <c r="F3351" s="122" t="s">
        <v>986</v>
      </c>
      <c r="G3351" s="122" t="s">
        <v>776</v>
      </c>
      <c r="H3351" s="122" t="s">
        <v>777</v>
      </c>
      <c r="I3351" s="312">
        <v>2019</v>
      </c>
      <c r="J3351" s="122" t="s">
        <v>711</v>
      </c>
      <c r="K3351" s="283">
        <v>12102</v>
      </c>
      <c r="L3351" s="318">
        <v>-33.429347999999997</v>
      </c>
      <c r="M3351" s="318">
        <v>151.22467</v>
      </c>
      <c r="O3351">
        <f>INDEX('MEC - traffic congestion'!$M$145:$M$249,MATCH($D3351,'MEC - traffic congestion'!$C$145:$C$249,0))</f>
        <v>0</v>
      </c>
      <c r="P3351" t="str">
        <f t="shared" si="152"/>
        <v/>
      </c>
      <c r="Q3351">
        <f t="shared" si="153"/>
        <v>1</v>
      </c>
      <c r="R3351" s="195" t="str">
        <f t="shared" si="154"/>
        <v/>
      </c>
    </row>
    <row r="3352" spans="3:18" x14ac:dyDescent="0.25">
      <c r="C3352" s="294" t="s">
        <v>985</v>
      </c>
      <c r="D3352" s="317" t="s">
        <v>737</v>
      </c>
      <c r="E3352" s="122" t="s">
        <v>977</v>
      </c>
      <c r="F3352" s="122" t="s">
        <v>986</v>
      </c>
      <c r="G3352" s="122" t="s">
        <v>778</v>
      </c>
      <c r="H3352" s="122" t="s">
        <v>777</v>
      </c>
      <c r="I3352" s="312">
        <v>2019</v>
      </c>
      <c r="J3352" s="122" t="s">
        <v>711</v>
      </c>
      <c r="K3352" s="283">
        <v>6208</v>
      </c>
      <c r="L3352" s="318">
        <v>-33.429347999999997</v>
      </c>
      <c r="M3352" s="318">
        <v>151.22467</v>
      </c>
      <c r="O3352">
        <f>INDEX('MEC - traffic congestion'!$M$145:$M$249,MATCH($D3352,'MEC - traffic congestion'!$C$145:$C$249,0))</f>
        <v>0</v>
      </c>
      <c r="P3352" t="str">
        <f t="shared" si="152"/>
        <v/>
      </c>
      <c r="Q3352">
        <f t="shared" si="153"/>
        <v>1</v>
      </c>
      <c r="R3352" s="195" t="str">
        <f t="shared" si="154"/>
        <v/>
      </c>
    </row>
    <row r="3353" spans="3:18" x14ac:dyDescent="0.25">
      <c r="C3353" s="294" t="s">
        <v>985</v>
      </c>
      <c r="D3353" s="317" t="s">
        <v>737</v>
      </c>
      <c r="E3353" s="122" t="s">
        <v>977</v>
      </c>
      <c r="F3353" s="122" t="s">
        <v>986</v>
      </c>
      <c r="G3353" s="122" t="s">
        <v>776</v>
      </c>
      <c r="H3353" s="122" t="s">
        <v>777</v>
      </c>
      <c r="I3353" s="312">
        <v>2019</v>
      </c>
      <c r="J3353" s="122" t="s">
        <v>712</v>
      </c>
      <c r="K3353" s="283">
        <v>41903</v>
      </c>
      <c r="L3353" s="318">
        <v>-33.429347999999997</v>
      </c>
      <c r="M3353" s="318">
        <v>151.22467</v>
      </c>
      <c r="O3353">
        <f>INDEX('MEC - traffic congestion'!$M$145:$M$249,MATCH($D3353,'MEC - traffic congestion'!$C$145:$C$249,0))</f>
        <v>0</v>
      </c>
      <c r="P3353" t="str">
        <f t="shared" si="152"/>
        <v/>
      </c>
      <c r="Q3353">
        <f t="shared" si="153"/>
        <v>1</v>
      </c>
      <c r="R3353" s="195" t="str">
        <f t="shared" si="154"/>
        <v/>
      </c>
    </row>
    <row r="3354" spans="3:18" x14ac:dyDescent="0.25">
      <c r="C3354" s="294" t="s">
        <v>985</v>
      </c>
      <c r="D3354" s="317" t="s">
        <v>737</v>
      </c>
      <c r="E3354" s="122" t="s">
        <v>977</v>
      </c>
      <c r="F3354" s="122" t="s">
        <v>986</v>
      </c>
      <c r="G3354" s="122" t="s">
        <v>778</v>
      </c>
      <c r="H3354" s="122" t="s">
        <v>777</v>
      </c>
      <c r="I3354" s="312">
        <v>2019</v>
      </c>
      <c r="J3354" s="122" t="s">
        <v>712</v>
      </c>
      <c r="K3354" s="283">
        <v>40450</v>
      </c>
      <c r="L3354" s="318">
        <v>-33.429347999999997</v>
      </c>
      <c r="M3354" s="318">
        <v>151.22467</v>
      </c>
      <c r="O3354">
        <f>INDEX('MEC - traffic congestion'!$M$145:$M$249,MATCH($D3354,'MEC - traffic congestion'!$C$145:$C$249,0))</f>
        <v>0</v>
      </c>
      <c r="P3354" t="str">
        <f t="shared" si="152"/>
        <v/>
      </c>
      <c r="Q3354">
        <f t="shared" si="153"/>
        <v>1</v>
      </c>
      <c r="R3354" s="195" t="str">
        <f t="shared" si="154"/>
        <v/>
      </c>
    </row>
    <row r="3355" spans="3:18" x14ac:dyDescent="0.25">
      <c r="C3355" s="294" t="s">
        <v>985</v>
      </c>
      <c r="D3355" s="317" t="s">
        <v>737</v>
      </c>
      <c r="E3355" s="122" t="s">
        <v>977</v>
      </c>
      <c r="F3355" s="122" t="s">
        <v>986</v>
      </c>
      <c r="G3355" s="122" t="s">
        <v>776</v>
      </c>
      <c r="H3355" s="122" t="s">
        <v>777</v>
      </c>
      <c r="I3355" s="312">
        <v>2019</v>
      </c>
      <c r="J3355" s="122" t="s">
        <v>713</v>
      </c>
      <c r="K3355" s="283">
        <v>34585</v>
      </c>
      <c r="L3355" s="318">
        <v>-33.429347999999997</v>
      </c>
      <c r="M3355" s="318">
        <v>151.22467</v>
      </c>
      <c r="O3355">
        <f>INDEX('MEC - traffic congestion'!$M$145:$M$249,MATCH($D3355,'MEC - traffic congestion'!$C$145:$C$249,0))</f>
        <v>0</v>
      </c>
      <c r="P3355" t="str">
        <f t="shared" si="152"/>
        <v/>
      </c>
      <c r="Q3355">
        <f t="shared" si="153"/>
        <v>1</v>
      </c>
      <c r="R3355" s="195" t="str">
        <f t="shared" si="154"/>
        <v/>
      </c>
    </row>
    <row r="3356" spans="3:18" x14ac:dyDescent="0.25">
      <c r="C3356" s="294" t="s">
        <v>985</v>
      </c>
      <c r="D3356" s="317" t="s">
        <v>737</v>
      </c>
      <c r="E3356" s="122" t="s">
        <v>977</v>
      </c>
      <c r="F3356" s="122" t="s">
        <v>986</v>
      </c>
      <c r="G3356" s="122" t="s">
        <v>778</v>
      </c>
      <c r="H3356" s="122" t="s">
        <v>777</v>
      </c>
      <c r="I3356" s="312">
        <v>2019</v>
      </c>
      <c r="J3356" s="122" t="s">
        <v>713</v>
      </c>
      <c r="K3356" s="283">
        <v>35514</v>
      </c>
      <c r="L3356" s="318">
        <v>-33.429347999999997</v>
      </c>
      <c r="M3356" s="318">
        <v>151.22467</v>
      </c>
      <c r="O3356">
        <f>INDEX('MEC - traffic congestion'!$M$145:$M$249,MATCH($D3356,'MEC - traffic congestion'!$C$145:$C$249,0))</f>
        <v>0</v>
      </c>
      <c r="P3356" t="str">
        <f t="shared" si="152"/>
        <v/>
      </c>
      <c r="Q3356">
        <f t="shared" si="153"/>
        <v>1</v>
      </c>
      <c r="R3356" s="195" t="str">
        <f t="shared" si="154"/>
        <v/>
      </c>
    </row>
    <row r="3357" spans="3:18" x14ac:dyDescent="0.25">
      <c r="C3357" s="294" t="s">
        <v>985</v>
      </c>
      <c r="D3357" s="317" t="s">
        <v>737</v>
      </c>
      <c r="E3357" s="122" t="s">
        <v>977</v>
      </c>
      <c r="F3357" s="122" t="s">
        <v>986</v>
      </c>
      <c r="G3357" s="122" t="s">
        <v>776</v>
      </c>
      <c r="H3357" s="122" t="s">
        <v>777</v>
      </c>
      <c r="I3357" s="312">
        <v>2020</v>
      </c>
      <c r="J3357" s="122" t="s">
        <v>709</v>
      </c>
      <c r="K3357" s="283">
        <v>5171</v>
      </c>
      <c r="L3357" s="318">
        <v>-33.429347999999997</v>
      </c>
      <c r="M3357" s="318">
        <v>151.22467</v>
      </c>
      <c r="O3357">
        <f>INDEX('MEC - traffic congestion'!$M$145:$M$249,MATCH($D3357,'MEC - traffic congestion'!$C$145:$C$249,0))</f>
        <v>0</v>
      </c>
      <c r="P3357" t="str">
        <f t="shared" si="152"/>
        <v/>
      </c>
      <c r="Q3357">
        <f t="shared" si="153"/>
        <v>1</v>
      </c>
      <c r="R3357" s="195" t="str">
        <f t="shared" si="154"/>
        <v/>
      </c>
    </row>
    <row r="3358" spans="3:18" x14ac:dyDescent="0.25">
      <c r="C3358" s="294" t="s">
        <v>985</v>
      </c>
      <c r="D3358" s="317" t="s">
        <v>737</v>
      </c>
      <c r="E3358" s="122" t="s">
        <v>977</v>
      </c>
      <c r="F3358" s="122" t="s">
        <v>986</v>
      </c>
      <c r="G3358" s="122" t="s">
        <v>778</v>
      </c>
      <c r="H3358" s="122" t="s">
        <v>777</v>
      </c>
      <c r="I3358" s="312">
        <v>2020</v>
      </c>
      <c r="J3358" s="122" t="s">
        <v>709</v>
      </c>
      <c r="K3358" s="283">
        <v>8297</v>
      </c>
      <c r="L3358" s="318">
        <v>-33.429347999999997</v>
      </c>
      <c r="M3358" s="318">
        <v>151.22467</v>
      </c>
      <c r="O3358">
        <f>INDEX('MEC - traffic congestion'!$M$145:$M$249,MATCH($D3358,'MEC - traffic congestion'!$C$145:$C$249,0))</f>
        <v>0</v>
      </c>
      <c r="P3358" t="str">
        <f t="shared" si="152"/>
        <v/>
      </c>
      <c r="Q3358">
        <f t="shared" si="153"/>
        <v>1</v>
      </c>
      <c r="R3358" s="195" t="str">
        <f t="shared" si="154"/>
        <v/>
      </c>
    </row>
    <row r="3359" spans="3:18" x14ac:dyDescent="0.25">
      <c r="C3359" s="294" t="s">
        <v>985</v>
      </c>
      <c r="D3359" s="317" t="s">
        <v>737</v>
      </c>
      <c r="E3359" s="122" t="s">
        <v>977</v>
      </c>
      <c r="F3359" s="122" t="s">
        <v>986</v>
      </c>
      <c r="G3359" s="122" t="s">
        <v>776</v>
      </c>
      <c r="H3359" s="122" t="s">
        <v>777</v>
      </c>
      <c r="I3359" s="312">
        <v>2020</v>
      </c>
      <c r="J3359" s="122" t="s">
        <v>710</v>
      </c>
      <c r="K3359" s="283">
        <v>14198</v>
      </c>
      <c r="L3359" s="318">
        <v>-33.429347999999997</v>
      </c>
      <c r="M3359" s="318">
        <v>151.22467</v>
      </c>
      <c r="O3359">
        <f>INDEX('MEC - traffic congestion'!$M$145:$M$249,MATCH($D3359,'MEC - traffic congestion'!$C$145:$C$249,0))</f>
        <v>0</v>
      </c>
      <c r="P3359" t="str">
        <f t="shared" si="152"/>
        <v/>
      </c>
      <c r="Q3359">
        <f t="shared" si="153"/>
        <v>1</v>
      </c>
      <c r="R3359" s="195" t="str">
        <f t="shared" si="154"/>
        <v/>
      </c>
    </row>
    <row r="3360" spans="3:18" x14ac:dyDescent="0.25">
      <c r="C3360" s="294" t="s">
        <v>985</v>
      </c>
      <c r="D3360" s="317" t="s">
        <v>737</v>
      </c>
      <c r="E3360" s="122" t="s">
        <v>977</v>
      </c>
      <c r="F3360" s="122" t="s">
        <v>986</v>
      </c>
      <c r="G3360" s="122" t="s">
        <v>778</v>
      </c>
      <c r="H3360" s="122" t="s">
        <v>777</v>
      </c>
      <c r="I3360" s="312">
        <v>2020</v>
      </c>
      <c r="J3360" s="122" t="s">
        <v>710</v>
      </c>
      <c r="K3360" s="283">
        <v>14149</v>
      </c>
      <c r="L3360" s="318">
        <v>-33.429347999999997</v>
      </c>
      <c r="M3360" s="318">
        <v>151.22467</v>
      </c>
      <c r="O3360">
        <f>INDEX('MEC - traffic congestion'!$M$145:$M$249,MATCH($D3360,'MEC - traffic congestion'!$C$145:$C$249,0))</f>
        <v>0</v>
      </c>
      <c r="P3360" t="str">
        <f t="shared" si="152"/>
        <v/>
      </c>
      <c r="Q3360">
        <f t="shared" si="153"/>
        <v>1</v>
      </c>
      <c r="R3360" s="195" t="str">
        <f t="shared" si="154"/>
        <v/>
      </c>
    </row>
    <row r="3361" spans="3:18" x14ac:dyDescent="0.25">
      <c r="C3361" s="294" t="s">
        <v>985</v>
      </c>
      <c r="D3361" s="317" t="s">
        <v>737</v>
      </c>
      <c r="E3361" s="122" t="s">
        <v>977</v>
      </c>
      <c r="F3361" s="122" t="s">
        <v>986</v>
      </c>
      <c r="G3361" s="122" t="s">
        <v>776</v>
      </c>
      <c r="H3361" s="122" t="s">
        <v>777</v>
      </c>
      <c r="I3361" s="312">
        <v>2020</v>
      </c>
      <c r="J3361" s="122" t="s">
        <v>711</v>
      </c>
      <c r="K3361" s="283">
        <v>11323</v>
      </c>
      <c r="L3361" s="318">
        <v>-33.429347999999997</v>
      </c>
      <c r="M3361" s="318">
        <v>151.22467</v>
      </c>
      <c r="O3361">
        <f>INDEX('MEC - traffic congestion'!$M$145:$M$249,MATCH($D3361,'MEC - traffic congestion'!$C$145:$C$249,0))</f>
        <v>0</v>
      </c>
      <c r="P3361" t="str">
        <f t="shared" si="152"/>
        <v/>
      </c>
      <c r="Q3361">
        <f t="shared" si="153"/>
        <v>1</v>
      </c>
      <c r="R3361" s="195" t="str">
        <f t="shared" si="154"/>
        <v/>
      </c>
    </row>
    <row r="3362" spans="3:18" x14ac:dyDescent="0.25">
      <c r="C3362" s="294" t="s">
        <v>985</v>
      </c>
      <c r="D3362" s="317" t="s">
        <v>737</v>
      </c>
      <c r="E3362" s="122" t="s">
        <v>977</v>
      </c>
      <c r="F3362" s="122" t="s">
        <v>986</v>
      </c>
      <c r="G3362" s="122" t="s">
        <v>778</v>
      </c>
      <c r="H3362" s="122" t="s">
        <v>777</v>
      </c>
      <c r="I3362" s="312">
        <v>2020</v>
      </c>
      <c r="J3362" s="122" t="s">
        <v>711</v>
      </c>
      <c r="K3362" s="283">
        <v>6437</v>
      </c>
      <c r="L3362" s="318">
        <v>-33.429347999999997</v>
      </c>
      <c r="M3362" s="318">
        <v>151.22467</v>
      </c>
      <c r="O3362">
        <f>INDEX('MEC - traffic congestion'!$M$145:$M$249,MATCH($D3362,'MEC - traffic congestion'!$C$145:$C$249,0))</f>
        <v>0</v>
      </c>
      <c r="P3362" t="str">
        <f t="shared" si="152"/>
        <v/>
      </c>
      <c r="Q3362">
        <f t="shared" si="153"/>
        <v>1</v>
      </c>
      <c r="R3362" s="195" t="str">
        <f t="shared" si="154"/>
        <v/>
      </c>
    </row>
    <row r="3363" spans="3:18" x14ac:dyDescent="0.25">
      <c r="C3363" s="294" t="s">
        <v>985</v>
      </c>
      <c r="D3363" s="317" t="s">
        <v>737</v>
      </c>
      <c r="E3363" s="122" t="s">
        <v>977</v>
      </c>
      <c r="F3363" s="122" t="s">
        <v>986</v>
      </c>
      <c r="G3363" s="122" t="s">
        <v>776</v>
      </c>
      <c r="H3363" s="122" t="s">
        <v>777</v>
      </c>
      <c r="I3363" s="312">
        <v>2020</v>
      </c>
      <c r="J3363" s="122" t="s">
        <v>712</v>
      </c>
      <c r="K3363" s="283">
        <v>27911</v>
      </c>
      <c r="L3363" s="318">
        <v>-33.429347999999997</v>
      </c>
      <c r="M3363" s="318">
        <v>151.22467</v>
      </c>
      <c r="O3363">
        <f>INDEX('MEC - traffic congestion'!$M$145:$M$249,MATCH($D3363,'MEC - traffic congestion'!$C$145:$C$249,0))</f>
        <v>0</v>
      </c>
      <c r="P3363" t="str">
        <f t="shared" si="152"/>
        <v/>
      </c>
      <c r="Q3363">
        <f t="shared" si="153"/>
        <v>1</v>
      </c>
      <c r="R3363" s="195" t="str">
        <f t="shared" si="154"/>
        <v/>
      </c>
    </row>
    <row r="3364" spans="3:18" x14ac:dyDescent="0.25">
      <c r="C3364" s="294" t="s">
        <v>985</v>
      </c>
      <c r="D3364" s="317" t="s">
        <v>737</v>
      </c>
      <c r="E3364" s="122" t="s">
        <v>977</v>
      </c>
      <c r="F3364" s="122" t="s">
        <v>986</v>
      </c>
      <c r="G3364" s="122" t="s">
        <v>778</v>
      </c>
      <c r="H3364" s="122" t="s">
        <v>777</v>
      </c>
      <c r="I3364" s="312">
        <v>2020</v>
      </c>
      <c r="J3364" s="122" t="s">
        <v>712</v>
      </c>
      <c r="K3364" s="283">
        <v>27647</v>
      </c>
      <c r="L3364" s="318">
        <v>-33.429347999999997</v>
      </c>
      <c r="M3364" s="318">
        <v>151.22467</v>
      </c>
      <c r="O3364">
        <f>INDEX('MEC - traffic congestion'!$M$145:$M$249,MATCH($D3364,'MEC - traffic congestion'!$C$145:$C$249,0))</f>
        <v>0</v>
      </c>
      <c r="P3364" t="str">
        <f t="shared" si="152"/>
        <v/>
      </c>
      <c r="Q3364">
        <f t="shared" si="153"/>
        <v>1</v>
      </c>
      <c r="R3364" s="195" t="str">
        <f t="shared" si="154"/>
        <v/>
      </c>
    </row>
    <row r="3365" spans="3:18" x14ac:dyDescent="0.25">
      <c r="C3365" s="294" t="s">
        <v>985</v>
      </c>
      <c r="D3365" s="317" t="s">
        <v>737</v>
      </c>
      <c r="E3365" s="122" t="s">
        <v>977</v>
      </c>
      <c r="F3365" s="122" t="s">
        <v>986</v>
      </c>
      <c r="G3365" s="122" t="s">
        <v>776</v>
      </c>
      <c r="H3365" s="122" t="s">
        <v>777</v>
      </c>
      <c r="I3365" s="312">
        <v>2020</v>
      </c>
      <c r="J3365" s="122" t="s">
        <v>713</v>
      </c>
      <c r="K3365" s="283">
        <v>29852</v>
      </c>
      <c r="L3365" s="318">
        <v>-33.429347999999997</v>
      </c>
      <c r="M3365" s="318">
        <v>151.22467</v>
      </c>
      <c r="O3365">
        <f>INDEX('MEC - traffic congestion'!$M$145:$M$249,MATCH($D3365,'MEC - traffic congestion'!$C$145:$C$249,0))</f>
        <v>0</v>
      </c>
      <c r="P3365" t="str">
        <f t="shared" si="152"/>
        <v/>
      </c>
      <c r="Q3365">
        <f t="shared" si="153"/>
        <v>1</v>
      </c>
      <c r="R3365" s="195" t="str">
        <f t="shared" si="154"/>
        <v/>
      </c>
    </row>
    <row r="3366" spans="3:18" x14ac:dyDescent="0.25">
      <c r="C3366" s="294" t="s">
        <v>985</v>
      </c>
      <c r="D3366" s="317" t="s">
        <v>737</v>
      </c>
      <c r="E3366" s="122" t="s">
        <v>977</v>
      </c>
      <c r="F3366" s="122" t="s">
        <v>986</v>
      </c>
      <c r="G3366" s="122" t="s">
        <v>778</v>
      </c>
      <c r="H3366" s="122" t="s">
        <v>777</v>
      </c>
      <c r="I3366" s="312">
        <v>2020</v>
      </c>
      <c r="J3366" s="122" t="s">
        <v>713</v>
      </c>
      <c r="K3366" s="283">
        <v>31276</v>
      </c>
      <c r="L3366" s="318">
        <v>-33.429347999999997</v>
      </c>
      <c r="M3366" s="318">
        <v>151.22467</v>
      </c>
      <c r="O3366">
        <f>INDEX('MEC - traffic congestion'!$M$145:$M$249,MATCH($D3366,'MEC - traffic congestion'!$C$145:$C$249,0))</f>
        <v>0</v>
      </c>
      <c r="P3366" t="str">
        <f t="shared" si="152"/>
        <v/>
      </c>
      <c r="Q3366">
        <f t="shared" si="153"/>
        <v>1</v>
      </c>
      <c r="R3366" s="195" t="str">
        <f t="shared" si="154"/>
        <v/>
      </c>
    </row>
    <row r="3367" spans="3:18" x14ac:dyDescent="0.25">
      <c r="C3367" s="294" t="s">
        <v>985</v>
      </c>
      <c r="D3367" s="317" t="s">
        <v>737</v>
      </c>
      <c r="E3367" s="122" t="s">
        <v>977</v>
      </c>
      <c r="F3367" s="122" t="s">
        <v>986</v>
      </c>
      <c r="G3367" s="122" t="s">
        <v>776</v>
      </c>
      <c r="H3367" s="122" t="s">
        <v>777</v>
      </c>
      <c r="I3367" s="312">
        <v>2021</v>
      </c>
      <c r="J3367" s="122" t="s">
        <v>709</v>
      </c>
      <c r="K3367" s="283">
        <v>4392</v>
      </c>
      <c r="L3367" s="318">
        <v>-33.429347999999997</v>
      </c>
      <c r="M3367" s="318">
        <v>151.22467</v>
      </c>
      <c r="O3367">
        <f>INDEX('MEC - traffic congestion'!$M$145:$M$249,MATCH($D3367,'MEC - traffic congestion'!$C$145:$C$249,0))</f>
        <v>0</v>
      </c>
      <c r="P3367" t="str">
        <f t="shared" si="152"/>
        <v/>
      </c>
      <c r="Q3367">
        <f t="shared" si="153"/>
        <v>1</v>
      </c>
      <c r="R3367" s="195" t="str">
        <f t="shared" si="154"/>
        <v/>
      </c>
    </row>
    <row r="3368" spans="3:18" x14ac:dyDescent="0.25">
      <c r="C3368" s="294" t="s">
        <v>985</v>
      </c>
      <c r="D3368" s="317" t="s">
        <v>737</v>
      </c>
      <c r="E3368" s="122" t="s">
        <v>977</v>
      </c>
      <c r="F3368" s="122" t="s">
        <v>986</v>
      </c>
      <c r="G3368" s="122" t="s">
        <v>778</v>
      </c>
      <c r="H3368" s="122" t="s">
        <v>777</v>
      </c>
      <c r="I3368" s="312">
        <v>2021</v>
      </c>
      <c r="J3368" s="122" t="s">
        <v>709</v>
      </c>
      <c r="K3368" s="283">
        <v>7175</v>
      </c>
      <c r="L3368" s="318">
        <v>-33.429347999999997</v>
      </c>
      <c r="M3368" s="318">
        <v>151.22467</v>
      </c>
      <c r="O3368">
        <f>INDEX('MEC - traffic congestion'!$M$145:$M$249,MATCH($D3368,'MEC - traffic congestion'!$C$145:$C$249,0))</f>
        <v>0</v>
      </c>
      <c r="P3368" t="str">
        <f t="shared" si="152"/>
        <v/>
      </c>
      <c r="Q3368">
        <f t="shared" si="153"/>
        <v>1</v>
      </c>
      <c r="R3368" s="195" t="str">
        <f t="shared" si="154"/>
        <v/>
      </c>
    </row>
    <row r="3369" spans="3:18" x14ac:dyDescent="0.25">
      <c r="C3369" s="294" t="s">
        <v>985</v>
      </c>
      <c r="D3369" s="317" t="s">
        <v>737</v>
      </c>
      <c r="E3369" s="122" t="s">
        <v>977</v>
      </c>
      <c r="F3369" s="122" t="s">
        <v>986</v>
      </c>
      <c r="G3369" s="122" t="s">
        <v>776</v>
      </c>
      <c r="H3369" s="122" t="s">
        <v>777</v>
      </c>
      <c r="I3369" s="312">
        <v>2021</v>
      </c>
      <c r="J3369" s="122" t="s">
        <v>710</v>
      </c>
      <c r="K3369" s="283">
        <v>12371</v>
      </c>
      <c r="L3369" s="318">
        <v>-33.429347999999997</v>
      </c>
      <c r="M3369" s="318">
        <v>151.22467</v>
      </c>
      <c r="O3369">
        <f>INDEX('MEC - traffic congestion'!$M$145:$M$249,MATCH($D3369,'MEC - traffic congestion'!$C$145:$C$249,0))</f>
        <v>0</v>
      </c>
      <c r="P3369" t="str">
        <f t="shared" si="152"/>
        <v/>
      </c>
      <c r="Q3369">
        <f t="shared" si="153"/>
        <v>1</v>
      </c>
      <c r="R3369" s="195" t="str">
        <f t="shared" si="154"/>
        <v/>
      </c>
    </row>
    <row r="3370" spans="3:18" x14ac:dyDescent="0.25">
      <c r="C3370" s="294" t="s">
        <v>985</v>
      </c>
      <c r="D3370" s="317" t="s">
        <v>737</v>
      </c>
      <c r="E3370" s="122" t="s">
        <v>977</v>
      </c>
      <c r="F3370" s="122" t="s">
        <v>986</v>
      </c>
      <c r="G3370" s="122" t="s">
        <v>778</v>
      </c>
      <c r="H3370" s="122" t="s">
        <v>777</v>
      </c>
      <c r="I3370" s="312">
        <v>2021</v>
      </c>
      <c r="J3370" s="122" t="s">
        <v>710</v>
      </c>
      <c r="K3370" s="283">
        <v>12515</v>
      </c>
      <c r="L3370" s="318">
        <v>-33.429347999999997</v>
      </c>
      <c r="M3370" s="318">
        <v>151.22467</v>
      </c>
      <c r="O3370">
        <f>INDEX('MEC - traffic congestion'!$M$145:$M$249,MATCH($D3370,'MEC - traffic congestion'!$C$145:$C$249,0))</f>
        <v>0</v>
      </c>
      <c r="P3370" t="str">
        <f t="shared" si="152"/>
        <v/>
      </c>
      <c r="Q3370">
        <f t="shared" si="153"/>
        <v>1</v>
      </c>
      <c r="R3370" s="195" t="str">
        <f t="shared" si="154"/>
        <v/>
      </c>
    </row>
    <row r="3371" spans="3:18" x14ac:dyDescent="0.25">
      <c r="C3371" s="294" t="s">
        <v>985</v>
      </c>
      <c r="D3371" s="317" t="s">
        <v>737</v>
      </c>
      <c r="E3371" s="122" t="s">
        <v>977</v>
      </c>
      <c r="F3371" s="122" t="s">
        <v>986</v>
      </c>
      <c r="G3371" s="122" t="s">
        <v>776</v>
      </c>
      <c r="H3371" s="122" t="s">
        <v>777</v>
      </c>
      <c r="I3371" s="312">
        <v>2021</v>
      </c>
      <c r="J3371" s="122" t="s">
        <v>711</v>
      </c>
      <c r="K3371" s="283">
        <v>9966</v>
      </c>
      <c r="L3371" s="318">
        <v>-33.429347999999997</v>
      </c>
      <c r="M3371" s="318">
        <v>151.22467</v>
      </c>
      <c r="O3371">
        <f>INDEX('MEC - traffic congestion'!$M$145:$M$249,MATCH($D3371,'MEC - traffic congestion'!$C$145:$C$249,0))</f>
        <v>0</v>
      </c>
      <c r="P3371" t="str">
        <f t="shared" si="152"/>
        <v/>
      </c>
      <c r="Q3371">
        <f t="shared" si="153"/>
        <v>1</v>
      </c>
      <c r="R3371" s="195" t="str">
        <f t="shared" si="154"/>
        <v/>
      </c>
    </row>
    <row r="3372" spans="3:18" x14ac:dyDescent="0.25">
      <c r="C3372" s="294" t="s">
        <v>985</v>
      </c>
      <c r="D3372" s="317" t="s">
        <v>737</v>
      </c>
      <c r="E3372" s="122" t="s">
        <v>977</v>
      </c>
      <c r="F3372" s="122" t="s">
        <v>986</v>
      </c>
      <c r="G3372" s="122" t="s">
        <v>778</v>
      </c>
      <c r="H3372" s="122" t="s">
        <v>777</v>
      </c>
      <c r="I3372" s="312">
        <v>2021</v>
      </c>
      <c r="J3372" s="122" t="s">
        <v>711</v>
      </c>
      <c r="K3372" s="283">
        <v>6060</v>
      </c>
      <c r="L3372" s="318">
        <v>-33.429347999999997</v>
      </c>
      <c r="M3372" s="318">
        <v>151.22467</v>
      </c>
      <c r="O3372">
        <f>INDEX('MEC - traffic congestion'!$M$145:$M$249,MATCH($D3372,'MEC - traffic congestion'!$C$145:$C$249,0))</f>
        <v>0</v>
      </c>
      <c r="P3372" t="str">
        <f t="shared" si="152"/>
        <v/>
      </c>
      <c r="Q3372">
        <f t="shared" si="153"/>
        <v>1</v>
      </c>
      <c r="R3372" s="195" t="str">
        <f t="shared" si="154"/>
        <v/>
      </c>
    </row>
    <row r="3373" spans="3:18" x14ac:dyDescent="0.25">
      <c r="C3373" s="294" t="s">
        <v>985</v>
      </c>
      <c r="D3373" s="317" t="s">
        <v>737</v>
      </c>
      <c r="E3373" s="122" t="s">
        <v>977</v>
      </c>
      <c r="F3373" s="122" t="s">
        <v>986</v>
      </c>
      <c r="G3373" s="122" t="s">
        <v>776</v>
      </c>
      <c r="H3373" s="122" t="s">
        <v>777</v>
      </c>
      <c r="I3373" s="312">
        <v>2021</v>
      </c>
      <c r="J3373" s="122" t="s">
        <v>713</v>
      </c>
      <c r="K3373" s="283">
        <v>26373</v>
      </c>
      <c r="L3373" s="318">
        <v>-33.429347999999997</v>
      </c>
      <c r="M3373" s="318">
        <v>151.22467</v>
      </c>
      <c r="O3373">
        <f>INDEX('MEC - traffic congestion'!$M$145:$M$249,MATCH($D3373,'MEC - traffic congestion'!$C$145:$C$249,0))</f>
        <v>0</v>
      </c>
      <c r="P3373" t="str">
        <f t="shared" si="152"/>
        <v/>
      </c>
      <c r="Q3373">
        <f t="shared" si="153"/>
        <v>1</v>
      </c>
      <c r="R3373" s="195" t="str">
        <f t="shared" si="154"/>
        <v/>
      </c>
    </row>
    <row r="3374" spans="3:18" x14ac:dyDescent="0.25">
      <c r="C3374" s="294" t="s">
        <v>985</v>
      </c>
      <c r="D3374" s="317" t="s">
        <v>737</v>
      </c>
      <c r="E3374" s="122" t="s">
        <v>977</v>
      </c>
      <c r="F3374" s="122" t="s">
        <v>986</v>
      </c>
      <c r="G3374" s="122" t="s">
        <v>778</v>
      </c>
      <c r="H3374" s="122" t="s">
        <v>777</v>
      </c>
      <c r="I3374" s="312">
        <v>2021</v>
      </c>
      <c r="J3374" s="122" t="s">
        <v>713</v>
      </c>
      <c r="K3374" s="283">
        <v>27692</v>
      </c>
      <c r="L3374" s="318">
        <v>-33.429347999999997</v>
      </c>
      <c r="M3374" s="318">
        <v>151.22467</v>
      </c>
      <c r="O3374">
        <f>INDEX('MEC - traffic congestion'!$M$145:$M$249,MATCH($D3374,'MEC - traffic congestion'!$C$145:$C$249,0))</f>
        <v>0</v>
      </c>
      <c r="P3374" t="str">
        <f t="shared" si="152"/>
        <v/>
      </c>
      <c r="Q3374">
        <f t="shared" si="153"/>
        <v>1</v>
      </c>
      <c r="R3374" s="195" t="str">
        <f t="shared" si="154"/>
        <v/>
      </c>
    </row>
    <row r="3375" spans="3:18" x14ac:dyDescent="0.25">
      <c r="C3375" s="294" t="s">
        <v>985</v>
      </c>
      <c r="D3375" s="317" t="s">
        <v>737</v>
      </c>
      <c r="E3375" s="122" t="s">
        <v>977</v>
      </c>
      <c r="F3375" s="122" t="s">
        <v>986</v>
      </c>
      <c r="G3375" s="122" t="s">
        <v>776</v>
      </c>
      <c r="H3375" s="122" t="s">
        <v>777</v>
      </c>
      <c r="I3375" s="312">
        <v>2022</v>
      </c>
      <c r="J3375" s="122" t="s">
        <v>709</v>
      </c>
      <c r="K3375" s="283">
        <v>3112</v>
      </c>
      <c r="L3375" s="318">
        <v>-33.429347999999997</v>
      </c>
      <c r="M3375" s="318">
        <v>151.22467</v>
      </c>
      <c r="O3375">
        <f>INDEX('MEC - traffic congestion'!$M$145:$M$249,MATCH($D3375,'MEC - traffic congestion'!$C$145:$C$249,0))</f>
        <v>0</v>
      </c>
      <c r="P3375" t="str">
        <f t="shared" si="152"/>
        <v/>
      </c>
      <c r="Q3375">
        <f t="shared" si="153"/>
        <v>1</v>
      </c>
      <c r="R3375" s="195" t="str">
        <f t="shared" si="154"/>
        <v/>
      </c>
    </row>
    <row r="3376" spans="3:18" x14ac:dyDescent="0.25">
      <c r="C3376" s="294" t="s">
        <v>985</v>
      </c>
      <c r="D3376" s="317" t="s">
        <v>737</v>
      </c>
      <c r="E3376" s="122" t="s">
        <v>977</v>
      </c>
      <c r="F3376" s="122" t="s">
        <v>986</v>
      </c>
      <c r="G3376" s="122" t="s">
        <v>778</v>
      </c>
      <c r="H3376" s="122" t="s">
        <v>777</v>
      </c>
      <c r="I3376" s="312">
        <v>2022</v>
      </c>
      <c r="J3376" s="122" t="s">
        <v>709</v>
      </c>
      <c r="K3376" s="283">
        <v>4382</v>
      </c>
      <c r="L3376" s="318">
        <v>-33.429347999999997</v>
      </c>
      <c r="M3376" s="318">
        <v>151.22467</v>
      </c>
      <c r="O3376">
        <f>INDEX('MEC - traffic congestion'!$M$145:$M$249,MATCH($D3376,'MEC - traffic congestion'!$C$145:$C$249,0))</f>
        <v>0</v>
      </c>
      <c r="P3376" t="str">
        <f t="shared" si="152"/>
        <v/>
      </c>
      <c r="Q3376">
        <f t="shared" si="153"/>
        <v>1</v>
      </c>
      <c r="R3376" s="195" t="str">
        <f t="shared" si="154"/>
        <v/>
      </c>
    </row>
    <row r="3377" spans="3:18" x14ac:dyDescent="0.25">
      <c r="C3377" s="294" t="s">
        <v>985</v>
      </c>
      <c r="D3377" s="317" t="s">
        <v>737</v>
      </c>
      <c r="E3377" s="122" t="s">
        <v>977</v>
      </c>
      <c r="F3377" s="122" t="s">
        <v>986</v>
      </c>
      <c r="G3377" s="122" t="s">
        <v>776</v>
      </c>
      <c r="H3377" s="122" t="s">
        <v>777</v>
      </c>
      <c r="I3377" s="312">
        <v>2022</v>
      </c>
      <c r="J3377" s="122" t="s">
        <v>710</v>
      </c>
      <c r="K3377" s="283">
        <v>12714</v>
      </c>
      <c r="L3377" s="318">
        <v>-33.429347999999997</v>
      </c>
      <c r="M3377" s="318">
        <v>151.22467</v>
      </c>
      <c r="O3377">
        <f>INDEX('MEC - traffic congestion'!$M$145:$M$249,MATCH($D3377,'MEC - traffic congestion'!$C$145:$C$249,0))</f>
        <v>0</v>
      </c>
      <c r="P3377" t="str">
        <f t="shared" si="152"/>
        <v/>
      </c>
      <c r="Q3377">
        <f t="shared" si="153"/>
        <v>1</v>
      </c>
      <c r="R3377" s="195" t="str">
        <f t="shared" si="154"/>
        <v/>
      </c>
    </row>
    <row r="3378" spans="3:18" x14ac:dyDescent="0.25">
      <c r="C3378" s="294" t="s">
        <v>985</v>
      </c>
      <c r="D3378" s="317" t="s">
        <v>737</v>
      </c>
      <c r="E3378" s="122" t="s">
        <v>977</v>
      </c>
      <c r="F3378" s="122" t="s">
        <v>986</v>
      </c>
      <c r="G3378" s="122" t="s">
        <v>778</v>
      </c>
      <c r="H3378" s="122" t="s">
        <v>777</v>
      </c>
      <c r="I3378" s="312">
        <v>2022</v>
      </c>
      <c r="J3378" s="122" t="s">
        <v>710</v>
      </c>
      <c r="K3378" s="283">
        <v>11798</v>
      </c>
      <c r="L3378" s="318">
        <v>-33.429347999999997</v>
      </c>
      <c r="M3378" s="318">
        <v>151.22467</v>
      </c>
      <c r="O3378">
        <f>INDEX('MEC - traffic congestion'!$M$145:$M$249,MATCH($D3378,'MEC - traffic congestion'!$C$145:$C$249,0))</f>
        <v>0</v>
      </c>
      <c r="P3378" t="str">
        <f t="shared" si="152"/>
        <v/>
      </c>
      <c r="Q3378">
        <f t="shared" si="153"/>
        <v>1</v>
      </c>
      <c r="R3378" s="195" t="str">
        <f t="shared" si="154"/>
        <v/>
      </c>
    </row>
    <row r="3379" spans="3:18" x14ac:dyDescent="0.25">
      <c r="C3379" s="294" t="s">
        <v>985</v>
      </c>
      <c r="D3379" s="317" t="s">
        <v>737</v>
      </c>
      <c r="E3379" s="122" t="s">
        <v>977</v>
      </c>
      <c r="F3379" s="122" t="s">
        <v>986</v>
      </c>
      <c r="G3379" s="122" t="s">
        <v>776</v>
      </c>
      <c r="H3379" s="122" t="s">
        <v>777</v>
      </c>
      <c r="I3379" s="312">
        <v>2022</v>
      </c>
      <c r="J3379" s="122" t="s">
        <v>711</v>
      </c>
      <c r="K3379" s="283">
        <v>10176</v>
      </c>
      <c r="L3379" s="318">
        <v>-33.429347999999997</v>
      </c>
      <c r="M3379" s="318">
        <v>151.22467</v>
      </c>
      <c r="O3379">
        <f>INDEX('MEC - traffic congestion'!$M$145:$M$249,MATCH($D3379,'MEC - traffic congestion'!$C$145:$C$249,0))</f>
        <v>0</v>
      </c>
      <c r="P3379" t="str">
        <f t="shared" si="152"/>
        <v/>
      </c>
      <c r="Q3379">
        <f t="shared" si="153"/>
        <v>1</v>
      </c>
      <c r="R3379" s="195" t="str">
        <f t="shared" si="154"/>
        <v/>
      </c>
    </row>
    <row r="3380" spans="3:18" x14ac:dyDescent="0.25">
      <c r="C3380" s="294" t="s">
        <v>985</v>
      </c>
      <c r="D3380" s="317" t="s">
        <v>737</v>
      </c>
      <c r="E3380" s="122" t="s">
        <v>977</v>
      </c>
      <c r="F3380" s="122" t="s">
        <v>986</v>
      </c>
      <c r="G3380" s="122" t="s">
        <v>778</v>
      </c>
      <c r="H3380" s="122" t="s">
        <v>777</v>
      </c>
      <c r="I3380" s="312">
        <v>2022</v>
      </c>
      <c r="J3380" s="122" t="s">
        <v>711</v>
      </c>
      <c r="K3380" s="283">
        <v>6472</v>
      </c>
      <c r="L3380" s="318">
        <v>-33.429347999999997</v>
      </c>
      <c r="M3380" s="318">
        <v>151.22467</v>
      </c>
      <c r="O3380">
        <f>INDEX('MEC - traffic congestion'!$M$145:$M$249,MATCH($D3380,'MEC - traffic congestion'!$C$145:$C$249,0))</f>
        <v>0</v>
      </c>
      <c r="P3380" t="str">
        <f t="shared" si="152"/>
        <v/>
      </c>
      <c r="Q3380">
        <f t="shared" si="153"/>
        <v>1</v>
      </c>
      <c r="R3380" s="195" t="str">
        <f t="shared" si="154"/>
        <v/>
      </c>
    </row>
    <row r="3381" spans="3:18" x14ac:dyDescent="0.25">
      <c r="C3381" s="294" t="s">
        <v>985</v>
      </c>
      <c r="D3381" s="317" t="s">
        <v>737</v>
      </c>
      <c r="E3381" s="122" t="s">
        <v>977</v>
      </c>
      <c r="F3381" s="122" t="s">
        <v>986</v>
      </c>
      <c r="G3381" s="122" t="s">
        <v>776</v>
      </c>
      <c r="H3381" s="122" t="s">
        <v>777</v>
      </c>
      <c r="I3381" s="312">
        <v>2022</v>
      </c>
      <c r="J3381" s="122" t="s">
        <v>713</v>
      </c>
      <c r="K3381" s="283">
        <v>28851</v>
      </c>
      <c r="L3381" s="318">
        <v>-33.429347999999997</v>
      </c>
      <c r="M3381" s="318">
        <v>151.22467</v>
      </c>
      <c r="O3381">
        <f>INDEX('MEC - traffic congestion'!$M$145:$M$249,MATCH($D3381,'MEC - traffic congestion'!$C$145:$C$249,0))</f>
        <v>0</v>
      </c>
      <c r="P3381" t="str">
        <f t="shared" si="152"/>
        <v/>
      </c>
      <c r="Q3381">
        <f t="shared" si="153"/>
        <v>1</v>
      </c>
      <c r="R3381" s="195" t="str">
        <f t="shared" si="154"/>
        <v/>
      </c>
    </row>
    <row r="3382" spans="3:18" x14ac:dyDescent="0.25">
      <c r="C3382" s="294" t="s">
        <v>985</v>
      </c>
      <c r="D3382" s="317" t="s">
        <v>737</v>
      </c>
      <c r="E3382" s="122" t="s">
        <v>977</v>
      </c>
      <c r="F3382" s="122" t="s">
        <v>986</v>
      </c>
      <c r="G3382" s="122" t="s">
        <v>778</v>
      </c>
      <c r="H3382" s="122" t="s">
        <v>777</v>
      </c>
      <c r="I3382" s="312">
        <v>2022</v>
      </c>
      <c r="J3382" s="122" t="s">
        <v>713</v>
      </c>
      <c r="K3382" s="283">
        <v>32921</v>
      </c>
      <c r="L3382" s="318">
        <v>-33.429347999999997</v>
      </c>
      <c r="M3382" s="318">
        <v>151.22467</v>
      </c>
      <c r="O3382">
        <f>INDEX('MEC - traffic congestion'!$M$145:$M$249,MATCH($D3382,'MEC - traffic congestion'!$C$145:$C$249,0))</f>
        <v>0</v>
      </c>
      <c r="P3382" t="str">
        <f t="shared" si="152"/>
        <v/>
      </c>
      <c r="Q3382">
        <f t="shared" si="153"/>
        <v>1</v>
      </c>
      <c r="R3382" s="195" t="str">
        <f t="shared" si="154"/>
        <v/>
      </c>
    </row>
    <row r="3383" spans="3:18" x14ac:dyDescent="0.25">
      <c r="C3383" s="294" t="s">
        <v>987</v>
      </c>
      <c r="D3383" s="317" t="s">
        <v>738</v>
      </c>
      <c r="E3383" s="122" t="s">
        <v>977</v>
      </c>
      <c r="F3383" s="122" t="s">
        <v>988</v>
      </c>
      <c r="G3383" s="122" t="s">
        <v>776</v>
      </c>
      <c r="H3383" s="122" t="s">
        <v>777</v>
      </c>
      <c r="I3383" s="312">
        <v>2018</v>
      </c>
      <c r="J3383" s="122" t="s">
        <v>709</v>
      </c>
      <c r="K3383" s="283">
        <v>4852</v>
      </c>
      <c r="L3383" s="318">
        <v>-33.395744000000001</v>
      </c>
      <c r="M3383" s="318">
        <v>151.29705799999999</v>
      </c>
      <c r="O3383">
        <f>INDEX('MEC - traffic congestion'!$M$145:$M$249,MATCH($D3383,'MEC - traffic congestion'!$C$145:$C$249,0))</f>
        <v>0</v>
      </c>
      <c r="P3383" t="str">
        <f t="shared" si="152"/>
        <v/>
      </c>
      <c r="Q3383">
        <f t="shared" si="153"/>
        <v>1</v>
      </c>
      <c r="R3383" s="195" t="str">
        <f t="shared" si="154"/>
        <v/>
      </c>
    </row>
    <row r="3384" spans="3:18" x14ac:dyDescent="0.25">
      <c r="C3384" s="294" t="s">
        <v>987</v>
      </c>
      <c r="D3384" s="317" t="s">
        <v>738</v>
      </c>
      <c r="E3384" s="122" t="s">
        <v>977</v>
      </c>
      <c r="F3384" s="122" t="s">
        <v>988</v>
      </c>
      <c r="G3384" s="122" t="s">
        <v>778</v>
      </c>
      <c r="H3384" s="122" t="s">
        <v>777</v>
      </c>
      <c r="I3384" s="312">
        <v>2018</v>
      </c>
      <c r="J3384" s="122" t="s">
        <v>709</v>
      </c>
      <c r="K3384" s="283">
        <v>7682</v>
      </c>
      <c r="L3384" s="318">
        <v>-33.395744000000001</v>
      </c>
      <c r="M3384" s="318">
        <v>151.29705799999999</v>
      </c>
      <c r="O3384">
        <f>INDEX('MEC - traffic congestion'!$M$145:$M$249,MATCH($D3384,'MEC - traffic congestion'!$C$145:$C$249,0))</f>
        <v>0</v>
      </c>
      <c r="P3384" t="str">
        <f t="shared" si="152"/>
        <v/>
      </c>
      <c r="Q3384">
        <f t="shared" si="153"/>
        <v>1</v>
      </c>
      <c r="R3384" s="195" t="str">
        <f t="shared" si="154"/>
        <v/>
      </c>
    </row>
    <row r="3385" spans="3:18" x14ac:dyDescent="0.25">
      <c r="C3385" s="294" t="s">
        <v>987</v>
      </c>
      <c r="D3385" s="317" t="s">
        <v>738</v>
      </c>
      <c r="E3385" s="122" t="s">
        <v>977</v>
      </c>
      <c r="F3385" s="122" t="s">
        <v>988</v>
      </c>
      <c r="G3385" s="122" t="s">
        <v>776</v>
      </c>
      <c r="H3385" s="122" t="s">
        <v>777</v>
      </c>
      <c r="I3385" s="312">
        <v>2018</v>
      </c>
      <c r="J3385" s="122" t="s">
        <v>710</v>
      </c>
      <c r="K3385" s="283">
        <v>13261</v>
      </c>
      <c r="L3385" s="318">
        <v>-33.395744000000001</v>
      </c>
      <c r="M3385" s="318">
        <v>151.29705799999999</v>
      </c>
      <c r="O3385">
        <f>INDEX('MEC - traffic congestion'!$M$145:$M$249,MATCH($D3385,'MEC - traffic congestion'!$C$145:$C$249,0))</f>
        <v>0</v>
      </c>
      <c r="P3385" t="str">
        <f t="shared" si="152"/>
        <v/>
      </c>
      <c r="Q3385">
        <f t="shared" si="153"/>
        <v>1</v>
      </c>
      <c r="R3385" s="195" t="str">
        <f t="shared" si="154"/>
        <v/>
      </c>
    </row>
    <row r="3386" spans="3:18" x14ac:dyDescent="0.25">
      <c r="C3386" s="294" t="s">
        <v>987</v>
      </c>
      <c r="D3386" s="317" t="s">
        <v>738</v>
      </c>
      <c r="E3386" s="122" t="s">
        <v>977</v>
      </c>
      <c r="F3386" s="122" t="s">
        <v>988</v>
      </c>
      <c r="G3386" s="122" t="s">
        <v>778</v>
      </c>
      <c r="H3386" s="122" t="s">
        <v>777</v>
      </c>
      <c r="I3386" s="312">
        <v>2018</v>
      </c>
      <c r="J3386" s="122" t="s">
        <v>710</v>
      </c>
      <c r="K3386" s="283">
        <v>13950</v>
      </c>
      <c r="L3386" s="318">
        <v>-33.395744000000001</v>
      </c>
      <c r="M3386" s="318">
        <v>151.29705799999999</v>
      </c>
      <c r="O3386">
        <f>INDEX('MEC - traffic congestion'!$M$145:$M$249,MATCH($D3386,'MEC - traffic congestion'!$C$145:$C$249,0))</f>
        <v>0</v>
      </c>
      <c r="P3386" t="str">
        <f t="shared" si="152"/>
        <v/>
      </c>
      <c r="Q3386">
        <f t="shared" si="153"/>
        <v>1</v>
      </c>
      <c r="R3386" s="195" t="str">
        <f t="shared" si="154"/>
        <v/>
      </c>
    </row>
    <row r="3387" spans="3:18" x14ac:dyDescent="0.25">
      <c r="C3387" s="294" t="s">
        <v>987</v>
      </c>
      <c r="D3387" s="317" t="s">
        <v>738</v>
      </c>
      <c r="E3387" s="122" t="s">
        <v>977</v>
      </c>
      <c r="F3387" s="122" t="s">
        <v>988</v>
      </c>
      <c r="G3387" s="122" t="s">
        <v>776</v>
      </c>
      <c r="H3387" s="122" t="s">
        <v>777</v>
      </c>
      <c r="I3387" s="312">
        <v>2018</v>
      </c>
      <c r="J3387" s="122" t="s">
        <v>711</v>
      </c>
      <c r="K3387" s="283">
        <v>8913</v>
      </c>
      <c r="L3387" s="318">
        <v>-33.395744000000001</v>
      </c>
      <c r="M3387" s="318">
        <v>151.29705799999999</v>
      </c>
      <c r="O3387">
        <f>INDEX('MEC - traffic congestion'!$M$145:$M$249,MATCH($D3387,'MEC - traffic congestion'!$C$145:$C$249,0))</f>
        <v>0</v>
      </c>
      <c r="P3387" t="str">
        <f t="shared" si="152"/>
        <v/>
      </c>
      <c r="Q3387">
        <f t="shared" si="153"/>
        <v>1</v>
      </c>
      <c r="R3387" s="195" t="str">
        <f t="shared" si="154"/>
        <v/>
      </c>
    </row>
    <row r="3388" spans="3:18" x14ac:dyDescent="0.25">
      <c r="C3388" s="294" t="s">
        <v>987</v>
      </c>
      <c r="D3388" s="317" t="s">
        <v>738</v>
      </c>
      <c r="E3388" s="122" t="s">
        <v>977</v>
      </c>
      <c r="F3388" s="122" t="s">
        <v>988</v>
      </c>
      <c r="G3388" s="122" t="s">
        <v>778</v>
      </c>
      <c r="H3388" s="122" t="s">
        <v>777</v>
      </c>
      <c r="I3388" s="312">
        <v>2018</v>
      </c>
      <c r="J3388" s="122" t="s">
        <v>711</v>
      </c>
      <c r="K3388" s="283">
        <v>6627</v>
      </c>
      <c r="L3388" s="318">
        <v>-33.395744000000001</v>
      </c>
      <c r="M3388" s="318">
        <v>151.29705799999999</v>
      </c>
      <c r="O3388">
        <f>INDEX('MEC - traffic congestion'!$M$145:$M$249,MATCH($D3388,'MEC - traffic congestion'!$C$145:$C$249,0))</f>
        <v>0</v>
      </c>
      <c r="P3388" t="str">
        <f t="shared" si="152"/>
        <v/>
      </c>
      <c r="Q3388">
        <f t="shared" si="153"/>
        <v>1</v>
      </c>
      <c r="R3388" s="195" t="str">
        <f t="shared" si="154"/>
        <v/>
      </c>
    </row>
    <row r="3389" spans="3:18" x14ac:dyDescent="0.25">
      <c r="C3389" s="294" t="s">
        <v>987</v>
      </c>
      <c r="D3389" s="317" t="s">
        <v>738</v>
      </c>
      <c r="E3389" s="122" t="s">
        <v>977</v>
      </c>
      <c r="F3389" s="122" t="s">
        <v>988</v>
      </c>
      <c r="G3389" s="122" t="s">
        <v>776</v>
      </c>
      <c r="H3389" s="122" t="s">
        <v>777</v>
      </c>
      <c r="I3389" s="312">
        <v>2018</v>
      </c>
      <c r="J3389" s="122" t="s">
        <v>712</v>
      </c>
      <c r="K3389" s="283">
        <v>28960</v>
      </c>
      <c r="L3389" s="318">
        <v>-33.395744000000001</v>
      </c>
      <c r="M3389" s="318">
        <v>151.29705799999999</v>
      </c>
      <c r="O3389">
        <f>INDEX('MEC - traffic congestion'!$M$145:$M$249,MATCH($D3389,'MEC - traffic congestion'!$C$145:$C$249,0))</f>
        <v>0</v>
      </c>
      <c r="P3389" t="str">
        <f t="shared" si="152"/>
        <v/>
      </c>
      <c r="Q3389">
        <f t="shared" si="153"/>
        <v>1</v>
      </c>
      <c r="R3389" s="195" t="str">
        <f t="shared" si="154"/>
        <v/>
      </c>
    </row>
    <row r="3390" spans="3:18" x14ac:dyDescent="0.25">
      <c r="C3390" s="294" t="s">
        <v>987</v>
      </c>
      <c r="D3390" s="317" t="s">
        <v>738</v>
      </c>
      <c r="E3390" s="122" t="s">
        <v>977</v>
      </c>
      <c r="F3390" s="122" t="s">
        <v>988</v>
      </c>
      <c r="G3390" s="122" t="s">
        <v>778</v>
      </c>
      <c r="H3390" s="122" t="s">
        <v>777</v>
      </c>
      <c r="I3390" s="312">
        <v>2018</v>
      </c>
      <c r="J3390" s="122" t="s">
        <v>712</v>
      </c>
      <c r="K3390" s="283">
        <v>30914</v>
      </c>
      <c r="L3390" s="318">
        <v>-33.395744000000001</v>
      </c>
      <c r="M3390" s="318">
        <v>151.29705799999999</v>
      </c>
      <c r="O3390">
        <f>INDEX('MEC - traffic congestion'!$M$145:$M$249,MATCH($D3390,'MEC - traffic congestion'!$C$145:$C$249,0))</f>
        <v>0</v>
      </c>
      <c r="P3390" t="str">
        <f t="shared" si="152"/>
        <v/>
      </c>
      <c r="Q3390">
        <f t="shared" si="153"/>
        <v>1</v>
      </c>
      <c r="R3390" s="195" t="str">
        <f t="shared" si="154"/>
        <v/>
      </c>
    </row>
    <row r="3391" spans="3:18" x14ac:dyDescent="0.25">
      <c r="C3391" s="294" t="s">
        <v>987</v>
      </c>
      <c r="D3391" s="317" t="s">
        <v>738</v>
      </c>
      <c r="E3391" s="122" t="s">
        <v>977</v>
      </c>
      <c r="F3391" s="122" t="s">
        <v>988</v>
      </c>
      <c r="G3391" s="122" t="s">
        <v>776</v>
      </c>
      <c r="H3391" s="122" t="s">
        <v>777</v>
      </c>
      <c r="I3391" s="312">
        <v>2018</v>
      </c>
      <c r="J3391" s="122" t="s">
        <v>713</v>
      </c>
      <c r="K3391" s="283">
        <v>27346</v>
      </c>
      <c r="L3391" s="318">
        <v>-33.395744000000001</v>
      </c>
      <c r="M3391" s="318">
        <v>151.29705799999999</v>
      </c>
      <c r="O3391">
        <f>INDEX('MEC - traffic congestion'!$M$145:$M$249,MATCH($D3391,'MEC - traffic congestion'!$C$145:$C$249,0))</f>
        <v>0</v>
      </c>
      <c r="P3391" t="str">
        <f t="shared" si="152"/>
        <v/>
      </c>
      <c r="Q3391">
        <f t="shared" si="153"/>
        <v>1</v>
      </c>
      <c r="R3391" s="195" t="str">
        <f t="shared" si="154"/>
        <v/>
      </c>
    </row>
    <row r="3392" spans="3:18" x14ac:dyDescent="0.25">
      <c r="C3392" s="294" t="s">
        <v>987</v>
      </c>
      <c r="D3392" s="317" t="s">
        <v>738</v>
      </c>
      <c r="E3392" s="122" t="s">
        <v>977</v>
      </c>
      <c r="F3392" s="122" t="s">
        <v>988</v>
      </c>
      <c r="G3392" s="122" t="s">
        <v>778</v>
      </c>
      <c r="H3392" s="122" t="s">
        <v>777</v>
      </c>
      <c r="I3392" s="312">
        <v>2018</v>
      </c>
      <c r="J3392" s="122" t="s">
        <v>713</v>
      </c>
      <c r="K3392" s="283">
        <v>30671</v>
      </c>
      <c r="L3392" s="318">
        <v>-33.395744000000001</v>
      </c>
      <c r="M3392" s="318">
        <v>151.29705799999999</v>
      </c>
      <c r="O3392">
        <f>INDEX('MEC - traffic congestion'!$M$145:$M$249,MATCH($D3392,'MEC - traffic congestion'!$C$145:$C$249,0))</f>
        <v>0</v>
      </c>
      <c r="P3392" t="str">
        <f t="shared" si="152"/>
        <v/>
      </c>
      <c r="Q3392">
        <f t="shared" si="153"/>
        <v>1</v>
      </c>
      <c r="R3392" s="195" t="str">
        <f t="shared" si="154"/>
        <v/>
      </c>
    </row>
    <row r="3393" spans="3:18" x14ac:dyDescent="0.25">
      <c r="C3393" s="294" t="s">
        <v>989</v>
      </c>
      <c r="D3393" s="317" t="s">
        <v>739</v>
      </c>
      <c r="E3393" s="122" t="s">
        <v>990</v>
      </c>
      <c r="F3393" s="122" t="s">
        <v>991</v>
      </c>
      <c r="G3393" s="122" t="s">
        <v>786</v>
      </c>
      <c r="H3393" s="122" t="s">
        <v>777</v>
      </c>
      <c r="I3393" s="312">
        <v>2018</v>
      </c>
      <c r="J3393" s="122" t="s">
        <v>709</v>
      </c>
      <c r="K3393" s="283">
        <v>2713</v>
      </c>
      <c r="L3393" s="318">
        <v>-32.771720999999999</v>
      </c>
      <c r="M3393" s="318">
        <v>151.452652</v>
      </c>
      <c r="O3393">
        <f>INDEX('MEC - traffic congestion'!$M$145:$M$249,MATCH($D3393,'MEC - traffic congestion'!$C$145:$C$249,0))</f>
        <v>1</v>
      </c>
      <c r="P3393" t="str">
        <f t="shared" si="152"/>
        <v>2018AM PEAK</v>
      </c>
      <c r="Q3393">
        <f t="shared" si="153"/>
        <v>1</v>
      </c>
      <c r="R3393" s="195" t="str">
        <f t="shared" si="154"/>
        <v>2018LIGHT VEHICLES</v>
      </c>
    </row>
    <row r="3394" spans="3:18" x14ac:dyDescent="0.25">
      <c r="C3394" s="294" t="s">
        <v>989</v>
      </c>
      <c r="D3394" s="317" t="s">
        <v>739</v>
      </c>
      <c r="E3394" s="122" t="s">
        <v>990</v>
      </c>
      <c r="F3394" s="122" t="s">
        <v>991</v>
      </c>
      <c r="G3394" s="122" t="s">
        <v>786</v>
      </c>
      <c r="H3394" s="122" t="s">
        <v>777</v>
      </c>
      <c r="I3394" s="312">
        <v>2018</v>
      </c>
      <c r="J3394" s="122" t="s">
        <v>710</v>
      </c>
      <c r="K3394" s="283">
        <v>4548</v>
      </c>
      <c r="L3394" s="318">
        <v>-32.771720999999999</v>
      </c>
      <c r="M3394" s="318">
        <v>151.452652</v>
      </c>
      <c r="O3394">
        <f>INDEX('MEC - traffic congestion'!$M$145:$M$249,MATCH($D3394,'MEC - traffic congestion'!$C$145:$C$249,0))</f>
        <v>1</v>
      </c>
      <c r="P3394" t="str">
        <f t="shared" si="152"/>
        <v>2018OFF PEAK</v>
      </c>
      <c r="Q3394">
        <f t="shared" si="153"/>
        <v>1</v>
      </c>
      <c r="R3394" s="195" t="str">
        <f t="shared" si="154"/>
        <v>2018LIGHT VEHICLES</v>
      </c>
    </row>
    <row r="3395" spans="3:18" x14ac:dyDescent="0.25">
      <c r="C3395" s="294" t="s">
        <v>989</v>
      </c>
      <c r="D3395" s="317" t="s">
        <v>739</v>
      </c>
      <c r="E3395" s="122" t="s">
        <v>990</v>
      </c>
      <c r="F3395" s="122" t="s">
        <v>991</v>
      </c>
      <c r="G3395" s="122" t="s">
        <v>786</v>
      </c>
      <c r="H3395" s="122" t="s">
        <v>777</v>
      </c>
      <c r="I3395" s="312">
        <v>2018</v>
      </c>
      <c r="J3395" s="122" t="s">
        <v>711</v>
      </c>
      <c r="K3395" s="283">
        <v>2464</v>
      </c>
      <c r="L3395" s="318">
        <v>-32.771720999999999</v>
      </c>
      <c r="M3395" s="318">
        <v>151.452652</v>
      </c>
      <c r="O3395">
        <f>INDEX('MEC - traffic congestion'!$M$145:$M$249,MATCH($D3395,'MEC - traffic congestion'!$C$145:$C$249,0))</f>
        <v>1</v>
      </c>
      <c r="P3395" t="str">
        <f t="shared" si="152"/>
        <v>2018PM PEAK</v>
      </c>
      <c r="Q3395">
        <f t="shared" si="153"/>
        <v>1</v>
      </c>
      <c r="R3395" s="195" t="str">
        <f t="shared" si="154"/>
        <v>2018LIGHT VEHICLES</v>
      </c>
    </row>
    <row r="3396" spans="3:18" x14ac:dyDescent="0.25">
      <c r="C3396" s="294" t="s">
        <v>989</v>
      </c>
      <c r="D3396" s="317" t="s">
        <v>739</v>
      </c>
      <c r="E3396" s="122" t="s">
        <v>990</v>
      </c>
      <c r="F3396" s="122" t="s">
        <v>991</v>
      </c>
      <c r="G3396" s="122" t="s">
        <v>786</v>
      </c>
      <c r="H3396" s="122" t="s">
        <v>777</v>
      </c>
      <c r="I3396" s="312">
        <v>2018</v>
      </c>
      <c r="J3396" s="122" t="s">
        <v>712</v>
      </c>
      <c r="K3396" s="283">
        <v>7026</v>
      </c>
      <c r="L3396" s="318">
        <v>-32.771720999999999</v>
      </c>
      <c r="M3396" s="318">
        <v>151.452652</v>
      </c>
      <c r="O3396">
        <f>INDEX('MEC - traffic congestion'!$M$145:$M$249,MATCH($D3396,'MEC - traffic congestion'!$C$145:$C$249,0))</f>
        <v>1</v>
      </c>
      <c r="P3396" t="str">
        <f t="shared" si="152"/>
        <v>2018PUBLIC HOLIDAYS</v>
      </c>
      <c r="Q3396">
        <f t="shared" si="153"/>
        <v>1</v>
      </c>
      <c r="R3396" s="195" t="str">
        <f t="shared" si="154"/>
        <v>2018LIGHT VEHICLES</v>
      </c>
    </row>
    <row r="3397" spans="3:18" x14ac:dyDescent="0.25">
      <c r="C3397" s="294" t="s">
        <v>989</v>
      </c>
      <c r="D3397" s="317" t="s">
        <v>739</v>
      </c>
      <c r="E3397" s="122" t="s">
        <v>990</v>
      </c>
      <c r="F3397" s="122" t="s">
        <v>991</v>
      </c>
      <c r="G3397" s="122" t="s">
        <v>786</v>
      </c>
      <c r="H3397" s="122" t="s">
        <v>777</v>
      </c>
      <c r="I3397" s="312">
        <v>2018</v>
      </c>
      <c r="J3397" s="122" t="s">
        <v>713</v>
      </c>
      <c r="K3397" s="283">
        <v>8156</v>
      </c>
      <c r="L3397" s="318">
        <v>-32.771720999999999</v>
      </c>
      <c r="M3397" s="318">
        <v>151.452652</v>
      </c>
      <c r="O3397">
        <f>INDEX('MEC - traffic congestion'!$M$145:$M$249,MATCH($D3397,'MEC - traffic congestion'!$C$145:$C$249,0))</f>
        <v>1</v>
      </c>
      <c r="P3397" t="str">
        <f t="shared" si="152"/>
        <v>2018WEEKENDS</v>
      </c>
      <c r="Q3397">
        <f t="shared" si="153"/>
        <v>1</v>
      </c>
      <c r="R3397" s="195" t="str">
        <f t="shared" si="154"/>
        <v>2018LIGHT VEHICLES</v>
      </c>
    </row>
    <row r="3398" spans="3:18" x14ac:dyDescent="0.25">
      <c r="C3398" s="294" t="s">
        <v>989</v>
      </c>
      <c r="D3398" s="317" t="s">
        <v>739</v>
      </c>
      <c r="E3398" s="122" t="s">
        <v>990</v>
      </c>
      <c r="F3398" s="122" t="s">
        <v>991</v>
      </c>
      <c r="G3398" s="122" t="s">
        <v>786</v>
      </c>
      <c r="H3398" s="122" t="s">
        <v>777</v>
      </c>
      <c r="I3398" s="312">
        <v>2019</v>
      </c>
      <c r="J3398" s="122" t="s">
        <v>709</v>
      </c>
      <c r="K3398" s="283">
        <v>2799</v>
      </c>
      <c r="L3398" s="318">
        <v>-32.771720999999999</v>
      </c>
      <c r="M3398" s="318">
        <v>151.452652</v>
      </c>
      <c r="O3398">
        <f>INDEX('MEC - traffic congestion'!$M$145:$M$249,MATCH($D3398,'MEC - traffic congestion'!$C$145:$C$249,0))</f>
        <v>1</v>
      </c>
      <c r="P3398" t="str">
        <f t="shared" si="152"/>
        <v>2019AM PEAK</v>
      </c>
      <c r="Q3398">
        <f t="shared" si="153"/>
        <v>1</v>
      </c>
      <c r="R3398" s="195" t="str">
        <f t="shared" si="154"/>
        <v>2019LIGHT VEHICLES</v>
      </c>
    </row>
    <row r="3399" spans="3:18" x14ac:dyDescent="0.25">
      <c r="C3399" s="294" t="s">
        <v>989</v>
      </c>
      <c r="D3399" s="317" t="s">
        <v>739</v>
      </c>
      <c r="E3399" s="122" t="s">
        <v>990</v>
      </c>
      <c r="F3399" s="122" t="s">
        <v>991</v>
      </c>
      <c r="G3399" s="122" t="s">
        <v>786</v>
      </c>
      <c r="H3399" s="122" t="s">
        <v>777</v>
      </c>
      <c r="I3399" s="312">
        <v>2019</v>
      </c>
      <c r="J3399" s="122" t="s">
        <v>710</v>
      </c>
      <c r="K3399" s="283">
        <v>4696</v>
      </c>
      <c r="L3399" s="318">
        <v>-32.771720999999999</v>
      </c>
      <c r="M3399" s="318">
        <v>151.452652</v>
      </c>
      <c r="O3399">
        <f>INDEX('MEC - traffic congestion'!$M$145:$M$249,MATCH($D3399,'MEC - traffic congestion'!$C$145:$C$249,0))</f>
        <v>1</v>
      </c>
      <c r="P3399" t="str">
        <f t="shared" si="152"/>
        <v>2019OFF PEAK</v>
      </c>
      <c r="Q3399">
        <f t="shared" si="153"/>
        <v>1</v>
      </c>
      <c r="R3399" s="195" t="str">
        <f t="shared" si="154"/>
        <v>2019LIGHT VEHICLES</v>
      </c>
    </row>
    <row r="3400" spans="3:18" x14ac:dyDescent="0.25">
      <c r="C3400" s="294" t="s">
        <v>989</v>
      </c>
      <c r="D3400" s="317" t="s">
        <v>739</v>
      </c>
      <c r="E3400" s="122" t="s">
        <v>990</v>
      </c>
      <c r="F3400" s="122" t="s">
        <v>991</v>
      </c>
      <c r="G3400" s="122" t="s">
        <v>786</v>
      </c>
      <c r="H3400" s="122" t="s">
        <v>777</v>
      </c>
      <c r="I3400" s="312">
        <v>2019</v>
      </c>
      <c r="J3400" s="122" t="s">
        <v>711</v>
      </c>
      <c r="K3400" s="283">
        <v>2565</v>
      </c>
      <c r="L3400" s="318">
        <v>-32.771720999999999</v>
      </c>
      <c r="M3400" s="318">
        <v>151.452652</v>
      </c>
      <c r="O3400">
        <f>INDEX('MEC - traffic congestion'!$M$145:$M$249,MATCH($D3400,'MEC - traffic congestion'!$C$145:$C$249,0))</f>
        <v>1</v>
      </c>
      <c r="P3400" t="str">
        <f t="shared" si="152"/>
        <v>2019PM PEAK</v>
      </c>
      <c r="Q3400">
        <f t="shared" si="153"/>
        <v>1</v>
      </c>
      <c r="R3400" s="195" t="str">
        <f t="shared" si="154"/>
        <v>2019LIGHT VEHICLES</v>
      </c>
    </row>
    <row r="3401" spans="3:18" x14ac:dyDescent="0.25">
      <c r="C3401" s="294" t="s">
        <v>989</v>
      </c>
      <c r="D3401" s="317" t="s">
        <v>739</v>
      </c>
      <c r="E3401" s="122" t="s">
        <v>990</v>
      </c>
      <c r="F3401" s="122" t="s">
        <v>991</v>
      </c>
      <c r="G3401" s="122" t="s">
        <v>786</v>
      </c>
      <c r="H3401" s="122" t="s">
        <v>777</v>
      </c>
      <c r="I3401" s="312">
        <v>2019</v>
      </c>
      <c r="J3401" s="122" t="s">
        <v>712</v>
      </c>
      <c r="K3401" s="283">
        <v>7695</v>
      </c>
      <c r="L3401" s="318">
        <v>-32.771720999999999</v>
      </c>
      <c r="M3401" s="318">
        <v>151.452652</v>
      </c>
      <c r="O3401">
        <f>INDEX('MEC - traffic congestion'!$M$145:$M$249,MATCH($D3401,'MEC - traffic congestion'!$C$145:$C$249,0))</f>
        <v>1</v>
      </c>
      <c r="P3401" t="str">
        <f t="shared" si="152"/>
        <v>2019PUBLIC HOLIDAYS</v>
      </c>
      <c r="Q3401">
        <f t="shared" si="153"/>
        <v>1</v>
      </c>
      <c r="R3401" s="195" t="str">
        <f t="shared" si="154"/>
        <v>2019LIGHT VEHICLES</v>
      </c>
    </row>
    <row r="3402" spans="3:18" x14ac:dyDescent="0.25">
      <c r="C3402" s="294" t="s">
        <v>989</v>
      </c>
      <c r="D3402" s="317" t="s">
        <v>739</v>
      </c>
      <c r="E3402" s="122" t="s">
        <v>990</v>
      </c>
      <c r="F3402" s="122" t="s">
        <v>991</v>
      </c>
      <c r="G3402" s="122" t="s">
        <v>786</v>
      </c>
      <c r="H3402" s="122" t="s">
        <v>777</v>
      </c>
      <c r="I3402" s="312">
        <v>2019</v>
      </c>
      <c r="J3402" s="122" t="s">
        <v>713</v>
      </c>
      <c r="K3402" s="283">
        <v>8445</v>
      </c>
      <c r="L3402" s="318">
        <v>-32.771720999999999</v>
      </c>
      <c r="M3402" s="318">
        <v>151.452652</v>
      </c>
      <c r="O3402">
        <f>INDEX('MEC - traffic congestion'!$M$145:$M$249,MATCH($D3402,'MEC - traffic congestion'!$C$145:$C$249,0))</f>
        <v>1</v>
      </c>
      <c r="P3402" t="str">
        <f t="shared" si="152"/>
        <v>2019WEEKENDS</v>
      </c>
      <c r="Q3402">
        <f t="shared" si="153"/>
        <v>1</v>
      </c>
      <c r="R3402" s="195" t="str">
        <f t="shared" si="154"/>
        <v>2019LIGHT VEHICLES</v>
      </c>
    </row>
    <row r="3403" spans="3:18" x14ac:dyDescent="0.25">
      <c r="C3403" s="294" t="s">
        <v>989</v>
      </c>
      <c r="D3403" s="317" t="s">
        <v>739</v>
      </c>
      <c r="E3403" s="122" t="s">
        <v>990</v>
      </c>
      <c r="F3403" s="122" t="s">
        <v>991</v>
      </c>
      <c r="G3403" s="122" t="s">
        <v>786</v>
      </c>
      <c r="H3403" s="122" t="s">
        <v>777</v>
      </c>
      <c r="I3403" s="312">
        <v>2020</v>
      </c>
      <c r="J3403" s="122" t="s">
        <v>709</v>
      </c>
      <c r="K3403" s="283">
        <v>2704</v>
      </c>
      <c r="L3403" s="318">
        <v>-32.771720999999999</v>
      </c>
      <c r="M3403" s="318">
        <v>151.452652</v>
      </c>
      <c r="O3403">
        <f>INDEX('MEC - traffic congestion'!$M$145:$M$249,MATCH($D3403,'MEC - traffic congestion'!$C$145:$C$249,0))</f>
        <v>1</v>
      </c>
      <c r="P3403" t="str">
        <f t="shared" si="152"/>
        <v>2020AM PEAK</v>
      </c>
      <c r="Q3403">
        <f t="shared" si="153"/>
        <v>1</v>
      </c>
      <c r="R3403" s="195" t="str">
        <f t="shared" si="154"/>
        <v>2020LIGHT VEHICLES</v>
      </c>
    </row>
    <row r="3404" spans="3:18" x14ac:dyDescent="0.25">
      <c r="C3404" s="294" t="s">
        <v>989</v>
      </c>
      <c r="D3404" s="317" t="s">
        <v>739</v>
      </c>
      <c r="E3404" s="122" t="s">
        <v>990</v>
      </c>
      <c r="F3404" s="122" t="s">
        <v>991</v>
      </c>
      <c r="G3404" s="122" t="s">
        <v>786</v>
      </c>
      <c r="H3404" s="122" t="s">
        <v>777</v>
      </c>
      <c r="I3404" s="312">
        <v>2020</v>
      </c>
      <c r="J3404" s="122" t="s">
        <v>710</v>
      </c>
      <c r="K3404" s="283">
        <v>4673</v>
      </c>
      <c r="L3404" s="318">
        <v>-32.771720999999999</v>
      </c>
      <c r="M3404" s="318">
        <v>151.452652</v>
      </c>
      <c r="O3404">
        <f>INDEX('MEC - traffic congestion'!$M$145:$M$249,MATCH($D3404,'MEC - traffic congestion'!$C$145:$C$249,0))</f>
        <v>1</v>
      </c>
      <c r="P3404" t="str">
        <f t="shared" si="152"/>
        <v>2020OFF PEAK</v>
      </c>
      <c r="Q3404">
        <f t="shared" si="153"/>
        <v>1</v>
      </c>
      <c r="R3404" s="195" t="str">
        <f t="shared" si="154"/>
        <v>2020LIGHT VEHICLES</v>
      </c>
    </row>
    <row r="3405" spans="3:18" x14ac:dyDescent="0.25">
      <c r="C3405" s="294" t="s">
        <v>989</v>
      </c>
      <c r="D3405" s="317" t="s">
        <v>739</v>
      </c>
      <c r="E3405" s="122" t="s">
        <v>990</v>
      </c>
      <c r="F3405" s="122" t="s">
        <v>991</v>
      </c>
      <c r="G3405" s="122" t="s">
        <v>786</v>
      </c>
      <c r="H3405" s="122" t="s">
        <v>777</v>
      </c>
      <c r="I3405" s="312">
        <v>2020</v>
      </c>
      <c r="J3405" s="122" t="s">
        <v>711</v>
      </c>
      <c r="K3405" s="283">
        <v>2491</v>
      </c>
      <c r="L3405" s="318">
        <v>-32.771720999999999</v>
      </c>
      <c r="M3405" s="318">
        <v>151.452652</v>
      </c>
      <c r="O3405">
        <f>INDEX('MEC - traffic congestion'!$M$145:$M$249,MATCH($D3405,'MEC - traffic congestion'!$C$145:$C$249,0))</f>
        <v>1</v>
      </c>
      <c r="P3405" t="str">
        <f t="shared" si="152"/>
        <v>2020PM PEAK</v>
      </c>
      <c r="Q3405">
        <f t="shared" si="153"/>
        <v>1</v>
      </c>
      <c r="R3405" s="195" t="str">
        <f t="shared" si="154"/>
        <v>2020LIGHT VEHICLES</v>
      </c>
    </row>
    <row r="3406" spans="3:18" x14ac:dyDescent="0.25">
      <c r="C3406" s="294" t="s">
        <v>989</v>
      </c>
      <c r="D3406" s="317" t="s">
        <v>739</v>
      </c>
      <c r="E3406" s="122" t="s">
        <v>990</v>
      </c>
      <c r="F3406" s="122" t="s">
        <v>991</v>
      </c>
      <c r="G3406" s="122" t="s">
        <v>786</v>
      </c>
      <c r="H3406" s="122" t="s">
        <v>777</v>
      </c>
      <c r="I3406" s="312">
        <v>2020</v>
      </c>
      <c r="J3406" s="122" t="s">
        <v>712</v>
      </c>
      <c r="K3406" s="283">
        <v>7216</v>
      </c>
      <c r="L3406" s="318">
        <v>-32.771720999999999</v>
      </c>
      <c r="M3406" s="318">
        <v>151.452652</v>
      </c>
      <c r="O3406">
        <f>INDEX('MEC - traffic congestion'!$M$145:$M$249,MATCH($D3406,'MEC - traffic congestion'!$C$145:$C$249,0))</f>
        <v>1</v>
      </c>
      <c r="P3406" t="str">
        <f t="shared" si="152"/>
        <v>2020PUBLIC HOLIDAYS</v>
      </c>
      <c r="Q3406">
        <f t="shared" si="153"/>
        <v>1</v>
      </c>
      <c r="R3406" s="195" t="str">
        <f t="shared" si="154"/>
        <v>2020LIGHT VEHICLES</v>
      </c>
    </row>
    <row r="3407" spans="3:18" x14ac:dyDescent="0.25">
      <c r="C3407" s="294" t="s">
        <v>989</v>
      </c>
      <c r="D3407" s="317" t="s">
        <v>739</v>
      </c>
      <c r="E3407" s="122" t="s">
        <v>990</v>
      </c>
      <c r="F3407" s="122" t="s">
        <v>991</v>
      </c>
      <c r="G3407" s="122" t="s">
        <v>786</v>
      </c>
      <c r="H3407" s="122" t="s">
        <v>777</v>
      </c>
      <c r="I3407" s="312">
        <v>2020</v>
      </c>
      <c r="J3407" s="122" t="s">
        <v>713</v>
      </c>
      <c r="K3407" s="283">
        <v>7568</v>
      </c>
      <c r="L3407" s="318">
        <v>-32.771720999999999</v>
      </c>
      <c r="M3407" s="318">
        <v>151.452652</v>
      </c>
      <c r="O3407">
        <f>INDEX('MEC - traffic congestion'!$M$145:$M$249,MATCH($D3407,'MEC - traffic congestion'!$C$145:$C$249,0))</f>
        <v>1</v>
      </c>
      <c r="P3407" t="str">
        <f t="shared" si="152"/>
        <v>2020WEEKENDS</v>
      </c>
      <c r="Q3407">
        <f t="shared" si="153"/>
        <v>1</v>
      </c>
      <c r="R3407" s="195" t="str">
        <f t="shared" si="154"/>
        <v>2020LIGHT VEHICLES</v>
      </c>
    </row>
    <row r="3408" spans="3:18" x14ac:dyDescent="0.25">
      <c r="C3408" s="294" t="s">
        <v>989</v>
      </c>
      <c r="D3408" s="317" t="s">
        <v>739</v>
      </c>
      <c r="E3408" s="122" t="s">
        <v>990</v>
      </c>
      <c r="F3408" s="122" t="s">
        <v>991</v>
      </c>
      <c r="G3408" s="122" t="s">
        <v>786</v>
      </c>
      <c r="H3408" s="122" t="s">
        <v>777</v>
      </c>
      <c r="I3408" s="312">
        <v>2021</v>
      </c>
      <c r="J3408" s="122" t="s">
        <v>709</v>
      </c>
      <c r="K3408" s="283">
        <v>2907</v>
      </c>
      <c r="L3408" s="318">
        <v>-32.771720999999999</v>
      </c>
      <c r="M3408" s="318">
        <v>151.452652</v>
      </c>
      <c r="O3408">
        <f>INDEX('MEC - traffic congestion'!$M$145:$M$249,MATCH($D3408,'MEC - traffic congestion'!$C$145:$C$249,0))</f>
        <v>1</v>
      </c>
      <c r="P3408" t="str">
        <f t="shared" si="152"/>
        <v>2021AM PEAK</v>
      </c>
      <c r="Q3408">
        <f t="shared" si="153"/>
        <v>1</v>
      </c>
      <c r="R3408" s="195" t="str">
        <f t="shared" si="154"/>
        <v>2021LIGHT VEHICLES</v>
      </c>
    </row>
    <row r="3409" spans="3:18" x14ac:dyDescent="0.25">
      <c r="C3409" s="294" t="s">
        <v>989</v>
      </c>
      <c r="D3409" s="317" t="s">
        <v>739</v>
      </c>
      <c r="E3409" s="122" t="s">
        <v>990</v>
      </c>
      <c r="F3409" s="122" t="s">
        <v>991</v>
      </c>
      <c r="G3409" s="122" t="s">
        <v>786</v>
      </c>
      <c r="H3409" s="122" t="s">
        <v>777</v>
      </c>
      <c r="I3409" s="312">
        <v>2021</v>
      </c>
      <c r="J3409" s="122" t="s">
        <v>710</v>
      </c>
      <c r="K3409" s="283">
        <v>4666</v>
      </c>
      <c r="L3409" s="318">
        <v>-32.771720999999999</v>
      </c>
      <c r="M3409" s="318">
        <v>151.452652</v>
      </c>
      <c r="O3409">
        <f>INDEX('MEC - traffic congestion'!$M$145:$M$249,MATCH($D3409,'MEC - traffic congestion'!$C$145:$C$249,0))</f>
        <v>1</v>
      </c>
      <c r="P3409" t="str">
        <f t="shared" si="152"/>
        <v>2021OFF PEAK</v>
      </c>
      <c r="Q3409">
        <f t="shared" si="153"/>
        <v>1</v>
      </c>
      <c r="R3409" s="195" t="str">
        <f t="shared" si="154"/>
        <v>2021LIGHT VEHICLES</v>
      </c>
    </row>
    <row r="3410" spans="3:18" x14ac:dyDescent="0.25">
      <c r="C3410" s="294" t="s">
        <v>989</v>
      </c>
      <c r="D3410" s="317" t="s">
        <v>739</v>
      </c>
      <c r="E3410" s="122" t="s">
        <v>990</v>
      </c>
      <c r="F3410" s="122" t="s">
        <v>991</v>
      </c>
      <c r="G3410" s="122" t="s">
        <v>786</v>
      </c>
      <c r="H3410" s="122" t="s">
        <v>777</v>
      </c>
      <c r="I3410" s="312">
        <v>2021</v>
      </c>
      <c r="J3410" s="122" t="s">
        <v>711</v>
      </c>
      <c r="K3410" s="283">
        <v>2410</v>
      </c>
      <c r="L3410" s="318">
        <v>-32.771720999999999</v>
      </c>
      <c r="M3410" s="318">
        <v>151.452652</v>
      </c>
      <c r="O3410">
        <f>INDEX('MEC - traffic congestion'!$M$145:$M$249,MATCH($D3410,'MEC - traffic congestion'!$C$145:$C$249,0))</f>
        <v>1</v>
      </c>
      <c r="P3410" t="str">
        <f t="shared" si="152"/>
        <v>2021PM PEAK</v>
      </c>
      <c r="Q3410">
        <f t="shared" si="153"/>
        <v>1</v>
      </c>
      <c r="R3410" s="195" t="str">
        <f t="shared" si="154"/>
        <v>2021LIGHT VEHICLES</v>
      </c>
    </row>
    <row r="3411" spans="3:18" x14ac:dyDescent="0.25">
      <c r="C3411" s="294" t="s">
        <v>989</v>
      </c>
      <c r="D3411" s="317" t="s">
        <v>739</v>
      </c>
      <c r="E3411" s="122" t="s">
        <v>990</v>
      </c>
      <c r="F3411" s="122" t="s">
        <v>991</v>
      </c>
      <c r="G3411" s="122" t="s">
        <v>786</v>
      </c>
      <c r="H3411" s="122" t="s">
        <v>777</v>
      </c>
      <c r="I3411" s="312">
        <v>2021</v>
      </c>
      <c r="J3411" s="122" t="s">
        <v>713</v>
      </c>
      <c r="K3411" s="283">
        <v>7657</v>
      </c>
      <c r="L3411" s="318">
        <v>-32.771720999999999</v>
      </c>
      <c r="M3411" s="318">
        <v>151.452652</v>
      </c>
      <c r="O3411">
        <f>INDEX('MEC - traffic congestion'!$M$145:$M$249,MATCH($D3411,'MEC - traffic congestion'!$C$145:$C$249,0))</f>
        <v>1</v>
      </c>
      <c r="P3411" t="str">
        <f t="shared" si="152"/>
        <v>2021WEEKENDS</v>
      </c>
      <c r="Q3411">
        <f t="shared" si="153"/>
        <v>1</v>
      </c>
      <c r="R3411" s="195" t="str">
        <f t="shared" si="154"/>
        <v>2021LIGHT VEHICLES</v>
      </c>
    </row>
    <row r="3412" spans="3:18" x14ac:dyDescent="0.25">
      <c r="C3412" s="294" t="s">
        <v>989</v>
      </c>
      <c r="D3412" s="317" t="s">
        <v>739</v>
      </c>
      <c r="E3412" s="122" t="s">
        <v>990</v>
      </c>
      <c r="F3412" s="122" t="s">
        <v>991</v>
      </c>
      <c r="G3412" s="122" t="s">
        <v>786</v>
      </c>
      <c r="H3412" s="122" t="s">
        <v>777</v>
      </c>
      <c r="I3412" s="312">
        <v>2022</v>
      </c>
      <c r="J3412" s="122" t="s">
        <v>709</v>
      </c>
      <c r="K3412" s="283">
        <v>3160</v>
      </c>
      <c r="L3412" s="318">
        <v>-32.771720999999999</v>
      </c>
      <c r="M3412" s="318">
        <v>151.452652</v>
      </c>
      <c r="O3412">
        <f>INDEX('MEC - traffic congestion'!$M$145:$M$249,MATCH($D3412,'MEC - traffic congestion'!$C$145:$C$249,0))</f>
        <v>1</v>
      </c>
      <c r="P3412" t="str">
        <f t="shared" si="152"/>
        <v>2022AM PEAK</v>
      </c>
      <c r="Q3412">
        <f t="shared" si="153"/>
        <v>1</v>
      </c>
      <c r="R3412" s="195" t="str">
        <f t="shared" si="154"/>
        <v>2022LIGHT VEHICLES</v>
      </c>
    </row>
    <row r="3413" spans="3:18" x14ac:dyDescent="0.25">
      <c r="C3413" s="294" t="s">
        <v>989</v>
      </c>
      <c r="D3413" s="317" t="s">
        <v>739</v>
      </c>
      <c r="E3413" s="122" t="s">
        <v>990</v>
      </c>
      <c r="F3413" s="122" t="s">
        <v>991</v>
      </c>
      <c r="G3413" s="122" t="s">
        <v>786</v>
      </c>
      <c r="H3413" s="122" t="s">
        <v>777</v>
      </c>
      <c r="I3413" s="312">
        <v>2022</v>
      </c>
      <c r="J3413" s="122" t="s">
        <v>710</v>
      </c>
      <c r="K3413" s="283">
        <v>5112</v>
      </c>
      <c r="L3413" s="318">
        <v>-32.771720999999999</v>
      </c>
      <c r="M3413" s="318">
        <v>151.452652</v>
      </c>
      <c r="O3413">
        <f>INDEX('MEC - traffic congestion'!$M$145:$M$249,MATCH($D3413,'MEC - traffic congestion'!$C$145:$C$249,0))</f>
        <v>1</v>
      </c>
      <c r="P3413" t="str">
        <f t="shared" ref="P3413:P3476" si="155">IF($O3413=1,$I3413&amp;$J3413,"")</f>
        <v>2022OFF PEAK</v>
      </c>
      <c r="Q3413">
        <f t="shared" ref="Q3413:Q3476" si="156">IF(AND($M3413&gt;150.246,AND($L3413&gt;-34.397,$L3413&lt;-32.662)),1,0)</f>
        <v>1</v>
      </c>
      <c r="R3413" s="195" t="str">
        <f t="shared" ref="R3413:R3476" si="157">IF($O3413=1,$I3413&amp;$H3413,"")</f>
        <v>2022LIGHT VEHICLES</v>
      </c>
    </row>
    <row r="3414" spans="3:18" x14ac:dyDescent="0.25">
      <c r="C3414" s="294" t="s">
        <v>989</v>
      </c>
      <c r="D3414" s="317" t="s">
        <v>739</v>
      </c>
      <c r="E3414" s="122" t="s">
        <v>990</v>
      </c>
      <c r="F3414" s="122" t="s">
        <v>991</v>
      </c>
      <c r="G3414" s="122" t="s">
        <v>786</v>
      </c>
      <c r="H3414" s="122" t="s">
        <v>777</v>
      </c>
      <c r="I3414" s="312">
        <v>2022</v>
      </c>
      <c r="J3414" s="122" t="s">
        <v>711</v>
      </c>
      <c r="K3414" s="283">
        <v>2711</v>
      </c>
      <c r="L3414" s="318">
        <v>-32.771720999999999</v>
      </c>
      <c r="M3414" s="318">
        <v>151.452652</v>
      </c>
      <c r="O3414">
        <f>INDEX('MEC - traffic congestion'!$M$145:$M$249,MATCH($D3414,'MEC - traffic congestion'!$C$145:$C$249,0))</f>
        <v>1</v>
      </c>
      <c r="P3414" t="str">
        <f t="shared" si="155"/>
        <v>2022PM PEAK</v>
      </c>
      <c r="Q3414">
        <f t="shared" si="156"/>
        <v>1</v>
      </c>
      <c r="R3414" s="195" t="str">
        <f t="shared" si="157"/>
        <v>2022LIGHT VEHICLES</v>
      </c>
    </row>
    <row r="3415" spans="3:18" x14ac:dyDescent="0.25">
      <c r="C3415" s="294" t="s">
        <v>989</v>
      </c>
      <c r="D3415" s="317" t="s">
        <v>739</v>
      </c>
      <c r="E3415" s="122" t="s">
        <v>990</v>
      </c>
      <c r="F3415" s="122" t="s">
        <v>991</v>
      </c>
      <c r="G3415" s="122" t="s">
        <v>786</v>
      </c>
      <c r="H3415" s="122" t="s">
        <v>777</v>
      </c>
      <c r="I3415" s="312">
        <v>2022</v>
      </c>
      <c r="J3415" s="122" t="s">
        <v>713</v>
      </c>
      <c r="K3415" s="283">
        <v>8701</v>
      </c>
      <c r="L3415" s="318">
        <v>-32.771720999999999</v>
      </c>
      <c r="M3415" s="318">
        <v>151.452652</v>
      </c>
      <c r="O3415">
        <f>INDEX('MEC - traffic congestion'!$M$145:$M$249,MATCH($D3415,'MEC - traffic congestion'!$C$145:$C$249,0))</f>
        <v>1</v>
      </c>
      <c r="P3415" t="str">
        <f t="shared" si="155"/>
        <v>2022WEEKENDS</v>
      </c>
      <c r="Q3415">
        <f t="shared" si="156"/>
        <v>1</v>
      </c>
      <c r="R3415" s="195" t="str">
        <f t="shared" si="157"/>
        <v>2022LIGHT VEHICLES</v>
      </c>
    </row>
    <row r="3416" spans="3:18" x14ac:dyDescent="0.25">
      <c r="C3416" s="294" t="s">
        <v>989</v>
      </c>
      <c r="D3416" s="317" t="s">
        <v>739</v>
      </c>
      <c r="E3416" s="122" t="s">
        <v>990</v>
      </c>
      <c r="F3416" s="122" t="s">
        <v>991</v>
      </c>
      <c r="G3416" s="122" t="s">
        <v>786</v>
      </c>
      <c r="H3416" s="122" t="s">
        <v>777</v>
      </c>
      <c r="I3416" s="312">
        <v>2023</v>
      </c>
      <c r="J3416" s="122" t="s">
        <v>709</v>
      </c>
      <c r="K3416" s="283">
        <v>3076</v>
      </c>
      <c r="L3416" s="318">
        <v>-32.771720999999999</v>
      </c>
      <c r="M3416" s="318">
        <v>151.452652</v>
      </c>
      <c r="O3416">
        <f>INDEX('MEC - traffic congestion'!$M$145:$M$249,MATCH($D3416,'MEC - traffic congestion'!$C$145:$C$249,0))</f>
        <v>1</v>
      </c>
      <c r="P3416" t="str">
        <f t="shared" si="155"/>
        <v>2023AM PEAK</v>
      </c>
      <c r="Q3416">
        <f t="shared" si="156"/>
        <v>1</v>
      </c>
      <c r="R3416" s="195" t="str">
        <f t="shared" si="157"/>
        <v>2023LIGHT VEHICLES</v>
      </c>
    </row>
    <row r="3417" spans="3:18" x14ac:dyDescent="0.25">
      <c r="C3417" s="294" t="s">
        <v>989</v>
      </c>
      <c r="D3417" s="317" t="s">
        <v>739</v>
      </c>
      <c r="E3417" s="122" t="s">
        <v>990</v>
      </c>
      <c r="F3417" s="122" t="s">
        <v>991</v>
      </c>
      <c r="G3417" s="122" t="s">
        <v>786</v>
      </c>
      <c r="H3417" s="122" t="s">
        <v>777</v>
      </c>
      <c r="I3417" s="312">
        <v>2023</v>
      </c>
      <c r="J3417" s="122" t="s">
        <v>710</v>
      </c>
      <c r="K3417" s="283">
        <v>4904</v>
      </c>
      <c r="L3417" s="318">
        <v>-32.771720999999999</v>
      </c>
      <c r="M3417" s="318">
        <v>151.452652</v>
      </c>
      <c r="O3417">
        <f>INDEX('MEC - traffic congestion'!$M$145:$M$249,MATCH($D3417,'MEC - traffic congestion'!$C$145:$C$249,0))</f>
        <v>1</v>
      </c>
      <c r="P3417" t="str">
        <f t="shared" si="155"/>
        <v>2023OFF PEAK</v>
      </c>
      <c r="Q3417">
        <f t="shared" si="156"/>
        <v>1</v>
      </c>
      <c r="R3417" s="195" t="str">
        <f t="shared" si="157"/>
        <v>2023LIGHT VEHICLES</v>
      </c>
    </row>
    <row r="3418" spans="3:18" x14ac:dyDescent="0.25">
      <c r="C3418" s="294" t="s">
        <v>989</v>
      </c>
      <c r="D3418" s="317" t="s">
        <v>739</v>
      </c>
      <c r="E3418" s="122" t="s">
        <v>990</v>
      </c>
      <c r="F3418" s="122" t="s">
        <v>991</v>
      </c>
      <c r="G3418" s="122" t="s">
        <v>786</v>
      </c>
      <c r="H3418" s="122" t="s">
        <v>777</v>
      </c>
      <c r="I3418" s="312">
        <v>2023</v>
      </c>
      <c r="J3418" s="122" t="s">
        <v>711</v>
      </c>
      <c r="K3418" s="283">
        <v>2694</v>
      </c>
      <c r="L3418" s="318">
        <v>-32.771720999999999</v>
      </c>
      <c r="M3418" s="318">
        <v>151.452652</v>
      </c>
      <c r="O3418">
        <f>INDEX('MEC - traffic congestion'!$M$145:$M$249,MATCH($D3418,'MEC - traffic congestion'!$C$145:$C$249,0))</f>
        <v>1</v>
      </c>
      <c r="P3418" t="str">
        <f t="shared" si="155"/>
        <v>2023PM PEAK</v>
      </c>
      <c r="Q3418">
        <f t="shared" si="156"/>
        <v>1</v>
      </c>
      <c r="R3418" s="195" t="str">
        <f t="shared" si="157"/>
        <v>2023LIGHT VEHICLES</v>
      </c>
    </row>
    <row r="3419" spans="3:18" x14ac:dyDescent="0.25">
      <c r="C3419" s="294" t="s">
        <v>989</v>
      </c>
      <c r="D3419" s="317" t="s">
        <v>739</v>
      </c>
      <c r="E3419" s="122" t="s">
        <v>990</v>
      </c>
      <c r="F3419" s="122" t="s">
        <v>991</v>
      </c>
      <c r="G3419" s="122" t="s">
        <v>786</v>
      </c>
      <c r="H3419" s="122" t="s">
        <v>777</v>
      </c>
      <c r="I3419" s="312">
        <v>2023</v>
      </c>
      <c r="J3419" s="122" t="s">
        <v>713</v>
      </c>
      <c r="K3419" s="283">
        <v>8399</v>
      </c>
      <c r="L3419" s="318">
        <v>-32.771720999999999</v>
      </c>
      <c r="M3419" s="318">
        <v>151.452652</v>
      </c>
      <c r="O3419">
        <f>INDEX('MEC - traffic congestion'!$M$145:$M$249,MATCH($D3419,'MEC - traffic congestion'!$C$145:$C$249,0))</f>
        <v>1</v>
      </c>
      <c r="P3419" t="str">
        <f t="shared" si="155"/>
        <v>2023WEEKENDS</v>
      </c>
      <c r="Q3419">
        <f t="shared" si="156"/>
        <v>1</v>
      </c>
      <c r="R3419" s="195" t="str">
        <f t="shared" si="157"/>
        <v>2023LIGHT VEHICLES</v>
      </c>
    </row>
    <row r="3420" spans="3:18" x14ac:dyDescent="0.25">
      <c r="C3420" s="294" t="s">
        <v>992</v>
      </c>
      <c r="D3420" s="317" t="s">
        <v>740</v>
      </c>
      <c r="E3420" s="122" t="s">
        <v>990</v>
      </c>
      <c r="F3420" s="122" t="s">
        <v>991</v>
      </c>
      <c r="G3420" s="122" t="s">
        <v>785</v>
      </c>
      <c r="H3420" s="122" t="s">
        <v>777</v>
      </c>
      <c r="I3420" s="312">
        <v>2018</v>
      </c>
      <c r="J3420" s="122" t="s">
        <v>709</v>
      </c>
      <c r="K3420" s="283">
        <v>2209</v>
      </c>
      <c r="L3420" s="318">
        <v>-32.771610000000003</v>
      </c>
      <c r="M3420" s="318">
        <v>151.45280500000001</v>
      </c>
      <c r="O3420">
        <f>INDEX('MEC - traffic congestion'!$M$145:$M$249,MATCH($D3420,'MEC - traffic congestion'!$C$145:$C$249,0))</f>
        <v>1</v>
      </c>
      <c r="P3420" t="str">
        <f t="shared" si="155"/>
        <v>2018AM PEAK</v>
      </c>
      <c r="Q3420">
        <f t="shared" si="156"/>
        <v>1</v>
      </c>
      <c r="R3420" s="195" t="str">
        <f t="shared" si="157"/>
        <v>2018LIGHT VEHICLES</v>
      </c>
    </row>
    <row r="3421" spans="3:18" x14ac:dyDescent="0.25">
      <c r="C3421" s="294" t="s">
        <v>992</v>
      </c>
      <c r="D3421" s="317" t="s">
        <v>740</v>
      </c>
      <c r="E3421" s="122" t="s">
        <v>990</v>
      </c>
      <c r="F3421" s="122" t="s">
        <v>991</v>
      </c>
      <c r="G3421" s="122" t="s">
        <v>785</v>
      </c>
      <c r="H3421" s="122" t="s">
        <v>777</v>
      </c>
      <c r="I3421" s="312">
        <v>2018</v>
      </c>
      <c r="J3421" s="122" t="s">
        <v>710</v>
      </c>
      <c r="K3421" s="283">
        <v>4268</v>
      </c>
      <c r="L3421" s="318">
        <v>-32.771610000000003</v>
      </c>
      <c r="M3421" s="318">
        <v>151.45280500000001</v>
      </c>
      <c r="O3421">
        <f>INDEX('MEC - traffic congestion'!$M$145:$M$249,MATCH($D3421,'MEC - traffic congestion'!$C$145:$C$249,0))</f>
        <v>1</v>
      </c>
      <c r="P3421" t="str">
        <f t="shared" si="155"/>
        <v>2018OFF PEAK</v>
      </c>
      <c r="Q3421">
        <f t="shared" si="156"/>
        <v>1</v>
      </c>
      <c r="R3421" s="195" t="str">
        <f t="shared" si="157"/>
        <v>2018LIGHT VEHICLES</v>
      </c>
    </row>
    <row r="3422" spans="3:18" x14ac:dyDescent="0.25">
      <c r="C3422" s="294" t="s">
        <v>992</v>
      </c>
      <c r="D3422" s="317" t="s">
        <v>740</v>
      </c>
      <c r="E3422" s="122" t="s">
        <v>990</v>
      </c>
      <c r="F3422" s="122" t="s">
        <v>991</v>
      </c>
      <c r="G3422" s="122" t="s">
        <v>785</v>
      </c>
      <c r="H3422" s="122" t="s">
        <v>777</v>
      </c>
      <c r="I3422" s="312">
        <v>2018</v>
      </c>
      <c r="J3422" s="122" t="s">
        <v>711</v>
      </c>
      <c r="K3422" s="283">
        <v>3648</v>
      </c>
      <c r="L3422" s="318">
        <v>-32.771610000000003</v>
      </c>
      <c r="M3422" s="318">
        <v>151.45280500000001</v>
      </c>
      <c r="O3422">
        <f>INDEX('MEC - traffic congestion'!$M$145:$M$249,MATCH($D3422,'MEC - traffic congestion'!$C$145:$C$249,0))</f>
        <v>1</v>
      </c>
      <c r="P3422" t="str">
        <f t="shared" si="155"/>
        <v>2018PM PEAK</v>
      </c>
      <c r="Q3422">
        <f t="shared" si="156"/>
        <v>1</v>
      </c>
      <c r="R3422" s="195" t="str">
        <f t="shared" si="157"/>
        <v>2018LIGHT VEHICLES</v>
      </c>
    </row>
    <row r="3423" spans="3:18" x14ac:dyDescent="0.25">
      <c r="C3423" s="294" t="s">
        <v>992</v>
      </c>
      <c r="D3423" s="317" t="s">
        <v>740</v>
      </c>
      <c r="E3423" s="122" t="s">
        <v>990</v>
      </c>
      <c r="F3423" s="122" t="s">
        <v>991</v>
      </c>
      <c r="G3423" s="122" t="s">
        <v>785</v>
      </c>
      <c r="H3423" s="122" t="s">
        <v>777</v>
      </c>
      <c r="I3423" s="312">
        <v>2018</v>
      </c>
      <c r="J3423" s="122" t="s">
        <v>712</v>
      </c>
      <c r="K3423" s="283">
        <v>7677</v>
      </c>
      <c r="L3423" s="318">
        <v>-32.771610000000003</v>
      </c>
      <c r="M3423" s="318">
        <v>151.45280500000001</v>
      </c>
      <c r="O3423">
        <f>INDEX('MEC - traffic congestion'!$M$145:$M$249,MATCH($D3423,'MEC - traffic congestion'!$C$145:$C$249,0))</f>
        <v>1</v>
      </c>
      <c r="P3423" t="str">
        <f t="shared" si="155"/>
        <v>2018PUBLIC HOLIDAYS</v>
      </c>
      <c r="Q3423">
        <f t="shared" si="156"/>
        <v>1</v>
      </c>
      <c r="R3423" s="195" t="str">
        <f t="shared" si="157"/>
        <v>2018LIGHT VEHICLES</v>
      </c>
    </row>
    <row r="3424" spans="3:18" x14ac:dyDescent="0.25">
      <c r="C3424" s="294" t="s">
        <v>992</v>
      </c>
      <c r="D3424" s="317" t="s">
        <v>740</v>
      </c>
      <c r="E3424" s="122" t="s">
        <v>990</v>
      </c>
      <c r="F3424" s="122" t="s">
        <v>991</v>
      </c>
      <c r="G3424" s="122" t="s">
        <v>785</v>
      </c>
      <c r="H3424" s="122" t="s">
        <v>777</v>
      </c>
      <c r="I3424" s="312">
        <v>2018</v>
      </c>
      <c r="J3424" s="122" t="s">
        <v>713</v>
      </c>
      <c r="K3424" s="283">
        <v>8553</v>
      </c>
      <c r="L3424" s="318">
        <v>-32.771610000000003</v>
      </c>
      <c r="M3424" s="318">
        <v>151.45280500000001</v>
      </c>
      <c r="O3424">
        <f>INDEX('MEC - traffic congestion'!$M$145:$M$249,MATCH($D3424,'MEC - traffic congestion'!$C$145:$C$249,0))</f>
        <v>1</v>
      </c>
      <c r="P3424" t="str">
        <f t="shared" si="155"/>
        <v>2018WEEKENDS</v>
      </c>
      <c r="Q3424">
        <f t="shared" si="156"/>
        <v>1</v>
      </c>
      <c r="R3424" s="195" t="str">
        <f t="shared" si="157"/>
        <v>2018LIGHT VEHICLES</v>
      </c>
    </row>
    <row r="3425" spans="3:18" x14ac:dyDescent="0.25">
      <c r="C3425" s="294" t="s">
        <v>992</v>
      </c>
      <c r="D3425" s="317" t="s">
        <v>740</v>
      </c>
      <c r="E3425" s="122" t="s">
        <v>990</v>
      </c>
      <c r="F3425" s="122" t="s">
        <v>991</v>
      </c>
      <c r="G3425" s="122" t="s">
        <v>785</v>
      </c>
      <c r="H3425" s="122" t="s">
        <v>777</v>
      </c>
      <c r="I3425" s="312">
        <v>2019</v>
      </c>
      <c r="J3425" s="122" t="s">
        <v>709</v>
      </c>
      <c r="K3425" s="283">
        <v>2277</v>
      </c>
      <c r="L3425" s="318">
        <v>-32.771610000000003</v>
      </c>
      <c r="M3425" s="318">
        <v>151.45280500000001</v>
      </c>
      <c r="O3425">
        <f>INDEX('MEC - traffic congestion'!$M$145:$M$249,MATCH($D3425,'MEC - traffic congestion'!$C$145:$C$249,0))</f>
        <v>1</v>
      </c>
      <c r="P3425" t="str">
        <f t="shared" si="155"/>
        <v>2019AM PEAK</v>
      </c>
      <c r="Q3425">
        <f t="shared" si="156"/>
        <v>1</v>
      </c>
      <c r="R3425" s="195" t="str">
        <f t="shared" si="157"/>
        <v>2019LIGHT VEHICLES</v>
      </c>
    </row>
    <row r="3426" spans="3:18" x14ac:dyDescent="0.25">
      <c r="C3426" s="294" t="s">
        <v>992</v>
      </c>
      <c r="D3426" s="317" t="s">
        <v>740</v>
      </c>
      <c r="E3426" s="122" t="s">
        <v>990</v>
      </c>
      <c r="F3426" s="122" t="s">
        <v>991</v>
      </c>
      <c r="G3426" s="122" t="s">
        <v>785</v>
      </c>
      <c r="H3426" s="122" t="s">
        <v>777</v>
      </c>
      <c r="I3426" s="312">
        <v>2019</v>
      </c>
      <c r="J3426" s="122" t="s">
        <v>710</v>
      </c>
      <c r="K3426" s="283">
        <v>4371</v>
      </c>
      <c r="L3426" s="318">
        <v>-32.771610000000003</v>
      </c>
      <c r="M3426" s="318">
        <v>151.45280500000001</v>
      </c>
      <c r="O3426">
        <f>INDEX('MEC - traffic congestion'!$M$145:$M$249,MATCH($D3426,'MEC - traffic congestion'!$C$145:$C$249,0))</f>
        <v>1</v>
      </c>
      <c r="P3426" t="str">
        <f t="shared" si="155"/>
        <v>2019OFF PEAK</v>
      </c>
      <c r="Q3426">
        <f t="shared" si="156"/>
        <v>1</v>
      </c>
      <c r="R3426" s="195" t="str">
        <f t="shared" si="157"/>
        <v>2019LIGHT VEHICLES</v>
      </c>
    </row>
    <row r="3427" spans="3:18" x14ac:dyDescent="0.25">
      <c r="C3427" s="294" t="s">
        <v>992</v>
      </c>
      <c r="D3427" s="317" t="s">
        <v>740</v>
      </c>
      <c r="E3427" s="122" t="s">
        <v>990</v>
      </c>
      <c r="F3427" s="122" t="s">
        <v>991</v>
      </c>
      <c r="G3427" s="122" t="s">
        <v>785</v>
      </c>
      <c r="H3427" s="122" t="s">
        <v>777</v>
      </c>
      <c r="I3427" s="312">
        <v>2019</v>
      </c>
      <c r="J3427" s="122" t="s">
        <v>711</v>
      </c>
      <c r="K3427" s="283">
        <v>3713</v>
      </c>
      <c r="L3427" s="318">
        <v>-32.771610000000003</v>
      </c>
      <c r="M3427" s="318">
        <v>151.45280500000001</v>
      </c>
      <c r="O3427">
        <f>INDEX('MEC - traffic congestion'!$M$145:$M$249,MATCH($D3427,'MEC - traffic congestion'!$C$145:$C$249,0))</f>
        <v>1</v>
      </c>
      <c r="P3427" t="str">
        <f t="shared" si="155"/>
        <v>2019PM PEAK</v>
      </c>
      <c r="Q3427">
        <f t="shared" si="156"/>
        <v>1</v>
      </c>
      <c r="R3427" s="195" t="str">
        <f t="shared" si="157"/>
        <v>2019LIGHT VEHICLES</v>
      </c>
    </row>
    <row r="3428" spans="3:18" x14ac:dyDescent="0.25">
      <c r="C3428" s="294" t="s">
        <v>992</v>
      </c>
      <c r="D3428" s="317" t="s">
        <v>740</v>
      </c>
      <c r="E3428" s="122" t="s">
        <v>990</v>
      </c>
      <c r="F3428" s="122" t="s">
        <v>991</v>
      </c>
      <c r="G3428" s="122" t="s">
        <v>785</v>
      </c>
      <c r="H3428" s="122" t="s">
        <v>777</v>
      </c>
      <c r="I3428" s="312">
        <v>2019</v>
      </c>
      <c r="J3428" s="122" t="s">
        <v>712</v>
      </c>
      <c r="K3428" s="283">
        <v>7787</v>
      </c>
      <c r="L3428" s="318">
        <v>-32.771610000000003</v>
      </c>
      <c r="M3428" s="318">
        <v>151.45280500000001</v>
      </c>
      <c r="O3428">
        <f>INDEX('MEC - traffic congestion'!$M$145:$M$249,MATCH($D3428,'MEC - traffic congestion'!$C$145:$C$249,0))</f>
        <v>1</v>
      </c>
      <c r="P3428" t="str">
        <f t="shared" si="155"/>
        <v>2019PUBLIC HOLIDAYS</v>
      </c>
      <c r="Q3428">
        <f t="shared" si="156"/>
        <v>1</v>
      </c>
      <c r="R3428" s="195" t="str">
        <f t="shared" si="157"/>
        <v>2019LIGHT VEHICLES</v>
      </c>
    </row>
    <row r="3429" spans="3:18" x14ac:dyDescent="0.25">
      <c r="C3429" s="294" t="s">
        <v>992</v>
      </c>
      <c r="D3429" s="317" t="s">
        <v>740</v>
      </c>
      <c r="E3429" s="122" t="s">
        <v>990</v>
      </c>
      <c r="F3429" s="122" t="s">
        <v>991</v>
      </c>
      <c r="G3429" s="122" t="s">
        <v>785</v>
      </c>
      <c r="H3429" s="122" t="s">
        <v>777</v>
      </c>
      <c r="I3429" s="312">
        <v>2019</v>
      </c>
      <c r="J3429" s="122" t="s">
        <v>713</v>
      </c>
      <c r="K3429" s="283">
        <v>8719</v>
      </c>
      <c r="L3429" s="318">
        <v>-32.771610000000003</v>
      </c>
      <c r="M3429" s="318">
        <v>151.45280500000001</v>
      </c>
      <c r="O3429">
        <f>INDEX('MEC - traffic congestion'!$M$145:$M$249,MATCH($D3429,'MEC - traffic congestion'!$C$145:$C$249,0))</f>
        <v>1</v>
      </c>
      <c r="P3429" t="str">
        <f t="shared" si="155"/>
        <v>2019WEEKENDS</v>
      </c>
      <c r="Q3429">
        <f t="shared" si="156"/>
        <v>1</v>
      </c>
      <c r="R3429" s="195" t="str">
        <f t="shared" si="157"/>
        <v>2019LIGHT VEHICLES</v>
      </c>
    </row>
    <row r="3430" spans="3:18" x14ac:dyDescent="0.25">
      <c r="C3430" s="294" t="s">
        <v>992</v>
      </c>
      <c r="D3430" s="317" t="s">
        <v>740</v>
      </c>
      <c r="E3430" s="122" t="s">
        <v>990</v>
      </c>
      <c r="F3430" s="122" t="s">
        <v>991</v>
      </c>
      <c r="G3430" s="122" t="s">
        <v>785</v>
      </c>
      <c r="H3430" s="122" t="s">
        <v>777</v>
      </c>
      <c r="I3430" s="312">
        <v>2020</v>
      </c>
      <c r="J3430" s="122" t="s">
        <v>709</v>
      </c>
      <c r="K3430" s="283">
        <v>2166</v>
      </c>
      <c r="L3430" s="318">
        <v>-32.771610000000003</v>
      </c>
      <c r="M3430" s="318">
        <v>151.45280500000001</v>
      </c>
      <c r="O3430">
        <f>INDEX('MEC - traffic congestion'!$M$145:$M$249,MATCH($D3430,'MEC - traffic congestion'!$C$145:$C$249,0))</f>
        <v>1</v>
      </c>
      <c r="P3430" t="str">
        <f t="shared" si="155"/>
        <v>2020AM PEAK</v>
      </c>
      <c r="Q3430">
        <f t="shared" si="156"/>
        <v>1</v>
      </c>
      <c r="R3430" s="195" t="str">
        <f t="shared" si="157"/>
        <v>2020LIGHT VEHICLES</v>
      </c>
    </row>
    <row r="3431" spans="3:18" x14ac:dyDescent="0.25">
      <c r="C3431" s="294" t="s">
        <v>992</v>
      </c>
      <c r="D3431" s="317" t="s">
        <v>740</v>
      </c>
      <c r="E3431" s="122" t="s">
        <v>990</v>
      </c>
      <c r="F3431" s="122" t="s">
        <v>991</v>
      </c>
      <c r="G3431" s="122" t="s">
        <v>785</v>
      </c>
      <c r="H3431" s="122" t="s">
        <v>777</v>
      </c>
      <c r="I3431" s="312">
        <v>2020</v>
      </c>
      <c r="J3431" s="122" t="s">
        <v>710</v>
      </c>
      <c r="K3431" s="283">
        <v>4226</v>
      </c>
      <c r="L3431" s="318">
        <v>-32.771610000000003</v>
      </c>
      <c r="M3431" s="318">
        <v>151.45280500000001</v>
      </c>
      <c r="O3431">
        <f>INDEX('MEC - traffic congestion'!$M$145:$M$249,MATCH($D3431,'MEC - traffic congestion'!$C$145:$C$249,0))</f>
        <v>1</v>
      </c>
      <c r="P3431" t="str">
        <f t="shared" si="155"/>
        <v>2020OFF PEAK</v>
      </c>
      <c r="Q3431">
        <f t="shared" si="156"/>
        <v>1</v>
      </c>
      <c r="R3431" s="195" t="str">
        <f t="shared" si="157"/>
        <v>2020LIGHT VEHICLES</v>
      </c>
    </row>
    <row r="3432" spans="3:18" x14ac:dyDescent="0.25">
      <c r="C3432" s="294" t="s">
        <v>992</v>
      </c>
      <c r="D3432" s="317" t="s">
        <v>740</v>
      </c>
      <c r="E3432" s="122" t="s">
        <v>990</v>
      </c>
      <c r="F3432" s="122" t="s">
        <v>991</v>
      </c>
      <c r="G3432" s="122" t="s">
        <v>785</v>
      </c>
      <c r="H3432" s="122" t="s">
        <v>777</v>
      </c>
      <c r="I3432" s="312">
        <v>2020</v>
      </c>
      <c r="J3432" s="122" t="s">
        <v>711</v>
      </c>
      <c r="K3432" s="283">
        <v>3623</v>
      </c>
      <c r="L3432" s="318">
        <v>-32.771610000000003</v>
      </c>
      <c r="M3432" s="318">
        <v>151.45280500000001</v>
      </c>
      <c r="O3432">
        <f>INDEX('MEC - traffic congestion'!$M$145:$M$249,MATCH($D3432,'MEC - traffic congestion'!$C$145:$C$249,0))</f>
        <v>1</v>
      </c>
      <c r="P3432" t="str">
        <f t="shared" si="155"/>
        <v>2020PM PEAK</v>
      </c>
      <c r="Q3432">
        <f t="shared" si="156"/>
        <v>1</v>
      </c>
      <c r="R3432" s="195" t="str">
        <f t="shared" si="157"/>
        <v>2020LIGHT VEHICLES</v>
      </c>
    </row>
    <row r="3433" spans="3:18" x14ac:dyDescent="0.25">
      <c r="C3433" s="294" t="s">
        <v>992</v>
      </c>
      <c r="D3433" s="317" t="s">
        <v>740</v>
      </c>
      <c r="E3433" s="122" t="s">
        <v>990</v>
      </c>
      <c r="F3433" s="122" t="s">
        <v>991</v>
      </c>
      <c r="G3433" s="122" t="s">
        <v>785</v>
      </c>
      <c r="H3433" s="122" t="s">
        <v>777</v>
      </c>
      <c r="I3433" s="312">
        <v>2020</v>
      </c>
      <c r="J3433" s="122" t="s">
        <v>712</v>
      </c>
      <c r="K3433" s="283">
        <v>7741</v>
      </c>
      <c r="L3433" s="318">
        <v>-32.771610000000003</v>
      </c>
      <c r="M3433" s="318">
        <v>151.45280500000001</v>
      </c>
      <c r="O3433">
        <f>INDEX('MEC - traffic congestion'!$M$145:$M$249,MATCH($D3433,'MEC - traffic congestion'!$C$145:$C$249,0))</f>
        <v>1</v>
      </c>
      <c r="P3433" t="str">
        <f t="shared" si="155"/>
        <v>2020PUBLIC HOLIDAYS</v>
      </c>
      <c r="Q3433">
        <f t="shared" si="156"/>
        <v>1</v>
      </c>
      <c r="R3433" s="195" t="str">
        <f t="shared" si="157"/>
        <v>2020LIGHT VEHICLES</v>
      </c>
    </row>
    <row r="3434" spans="3:18" x14ac:dyDescent="0.25">
      <c r="C3434" s="294" t="s">
        <v>992</v>
      </c>
      <c r="D3434" s="317" t="s">
        <v>740</v>
      </c>
      <c r="E3434" s="122" t="s">
        <v>990</v>
      </c>
      <c r="F3434" s="122" t="s">
        <v>991</v>
      </c>
      <c r="G3434" s="122" t="s">
        <v>785</v>
      </c>
      <c r="H3434" s="122" t="s">
        <v>777</v>
      </c>
      <c r="I3434" s="312">
        <v>2020</v>
      </c>
      <c r="J3434" s="122" t="s">
        <v>713</v>
      </c>
      <c r="K3434" s="283">
        <v>8096</v>
      </c>
      <c r="L3434" s="318">
        <v>-32.771610000000003</v>
      </c>
      <c r="M3434" s="318">
        <v>151.45280500000001</v>
      </c>
      <c r="O3434">
        <f>INDEX('MEC - traffic congestion'!$M$145:$M$249,MATCH($D3434,'MEC - traffic congestion'!$C$145:$C$249,0))</f>
        <v>1</v>
      </c>
      <c r="P3434" t="str">
        <f t="shared" si="155"/>
        <v>2020WEEKENDS</v>
      </c>
      <c r="Q3434">
        <f t="shared" si="156"/>
        <v>1</v>
      </c>
      <c r="R3434" s="195" t="str">
        <f t="shared" si="157"/>
        <v>2020LIGHT VEHICLES</v>
      </c>
    </row>
    <row r="3435" spans="3:18" x14ac:dyDescent="0.25">
      <c r="C3435" s="294" t="s">
        <v>992</v>
      </c>
      <c r="D3435" s="317" t="s">
        <v>740</v>
      </c>
      <c r="E3435" s="122" t="s">
        <v>990</v>
      </c>
      <c r="F3435" s="122" t="s">
        <v>991</v>
      </c>
      <c r="G3435" s="122" t="s">
        <v>785</v>
      </c>
      <c r="H3435" s="122" t="s">
        <v>777</v>
      </c>
      <c r="I3435" s="312">
        <v>2021</v>
      </c>
      <c r="J3435" s="122" t="s">
        <v>709</v>
      </c>
      <c r="K3435" s="283">
        <v>2121</v>
      </c>
      <c r="L3435" s="318">
        <v>-32.771610000000003</v>
      </c>
      <c r="M3435" s="318">
        <v>151.45280500000001</v>
      </c>
      <c r="O3435">
        <f>INDEX('MEC - traffic congestion'!$M$145:$M$249,MATCH($D3435,'MEC - traffic congestion'!$C$145:$C$249,0))</f>
        <v>1</v>
      </c>
      <c r="P3435" t="str">
        <f t="shared" si="155"/>
        <v>2021AM PEAK</v>
      </c>
      <c r="Q3435">
        <f t="shared" si="156"/>
        <v>1</v>
      </c>
      <c r="R3435" s="195" t="str">
        <f t="shared" si="157"/>
        <v>2021LIGHT VEHICLES</v>
      </c>
    </row>
    <row r="3436" spans="3:18" x14ac:dyDescent="0.25">
      <c r="C3436" s="294" t="s">
        <v>992</v>
      </c>
      <c r="D3436" s="317" t="s">
        <v>740</v>
      </c>
      <c r="E3436" s="122" t="s">
        <v>990</v>
      </c>
      <c r="F3436" s="122" t="s">
        <v>991</v>
      </c>
      <c r="G3436" s="122" t="s">
        <v>785</v>
      </c>
      <c r="H3436" s="122" t="s">
        <v>777</v>
      </c>
      <c r="I3436" s="312">
        <v>2021</v>
      </c>
      <c r="J3436" s="122" t="s">
        <v>710</v>
      </c>
      <c r="K3436" s="283">
        <v>4096</v>
      </c>
      <c r="L3436" s="318">
        <v>-32.771610000000003</v>
      </c>
      <c r="M3436" s="318">
        <v>151.45280500000001</v>
      </c>
      <c r="O3436">
        <f>INDEX('MEC - traffic congestion'!$M$145:$M$249,MATCH($D3436,'MEC - traffic congestion'!$C$145:$C$249,0))</f>
        <v>1</v>
      </c>
      <c r="P3436" t="str">
        <f t="shared" si="155"/>
        <v>2021OFF PEAK</v>
      </c>
      <c r="Q3436">
        <f t="shared" si="156"/>
        <v>1</v>
      </c>
      <c r="R3436" s="195" t="str">
        <f t="shared" si="157"/>
        <v>2021LIGHT VEHICLES</v>
      </c>
    </row>
    <row r="3437" spans="3:18" x14ac:dyDescent="0.25">
      <c r="C3437" s="294" t="s">
        <v>992</v>
      </c>
      <c r="D3437" s="317" t="s">
        <v>740</v>
      </c>
      <c r="E3437" s="122" t="s">
        <v>990</v>
      </c>
      <c r="F3437" s="122" t="s">
        <v>991</v>
      </c>
      <c r="G3437" s="122" t="s">
        <v>785</v>
      </c>
      <c r="H3437" s="122" t="s">
        <v>777</v>
      </c>
      <c r="I3437" s="312">
        <v>2021</v>
      </c>
      <c r="J3437" s="122" t="s">
        <v>711</v>
      </c>
      <c r="K3437" s="283">
        <v>3441</v>
      </c>
      <c r="L3437" s="318">
        <v>-32.771610000000003</v>
      </c>
      <c r="M3437" s="318">
        <v>151.45280500000001</v>
      </c>
      <c r="O3437">
        <f>INDEX('MEC - traffic congestion'!$M$145:$M$249,MATCH($D3437,'MEC - traffic congestion'!$C$145:$C$249,0))</f>
        <v>1</v>
      </c>
      <c r="P3437" t="str">
        <f t="shared" si="155"/>
        <v>2021PM PEAK</v>
      </c>
      <c r="Q3437">
        <f t="shared" si="156"/>
        <v>1</v>
      </c>
      <c r="R3437" s="195" t="str">
        <f t="shared" si="157"/>
        <v>2021LIGHT VEHICLES</v>
      </c>
    </row>
    <row r="3438" spans="3:18" x14ac:dyDescent="0.25">
      <c r="C3438" s="294" t="s">
        <v>992</v>
      </c>
      <c r="D3438" s="317" t="s">
        <v>740</v>
      </c>
      <c r="E3438" s="122" t="s">
        <v>990</v>
      </c>
      <c r="F3438" s="122" t="s">
        <v>991</v>
      </c>
      <c r="G3438" s="122" t="s">
        <v>785</v>
      </c>
      <c r="H3438" s="122" t="s">
        <v>777</v>
      </c>
      <c r="I3438" s="312">
        <v>2021</v>
      </c>
      <c r="J3438" s="122" t="s">
        <v>713</v>
      </c>
      <c r="K3438" s="283">
        <v>7643</v>
      </c>
      <c r="L3438" s="318">
        <v>-32.771610000000003</v>
      </c>
      <c r="M3438" s="318">
        <v>151.45280500000001</v>
      </c>
      <c r="O3438">
        <f>INDEX('MEC - traffic congestion'!$M$145:$M$249,MATCH($D3438,'MEC - traffic congestion'!$C$145:$C$249,0))</f>
        <v>1</v>
      </c>
      <c r="P3438" t="str">
        <f t="shared" si="155"/>
        <v>2021WEEKENDS</v>
      </c>
      <c r="Q3438">
        <f t="shared" si="156"/>
        <v>1</v>
      </c>
      <c r="R3438" s="195" t="str">
        <f t="shared" si="157"/>
        <v>2021LIGHT VEHICLES</v>
      </c>
    </row>
    <row r="3439" spans="3:18" x14ac:dyDescent="0.25">
      <c r="C3439" s="294" t="s">
        <v>992</v>
      </c>
      <c r="D3439" s="317" t="s">
        <v>740</v>
      </c>
      <c r="E3439" s="122" t="s">
        <v>990</v>
      </c>
      <c r="F3439" s="122" t="s">
        <v>991</v>
      </c>
      <c r="G3439" s="122" t="s">
        <v>785</v>
      </c>
      <c r="H3439" s="122" t="s">
        <v>777</v>
      </c>
      <c r="I3439" s="312">
        <v>2022</v>
      </c>
      <c r="J3439" s="122" t="s">
        <v>709</v>
      </c>
      <c r="K3439" s="283">
        <v>2384</v>
      </c>
      <c r="L3439" s="318">
        <v>-32.771610000000003</v>
      </c>
      <c r="M3439" s="318">
        <v>151.45280500000001</v>
      </c>
      <c r="O3439">
        <f>INDEX('MEC - traffic congestion'!$M$145:$M$249,MATCH($D3439,'MEC - traffic congestion'!$C$145:$C$249,0))</f>
        <v>1</v>
      </c>
      <c r="P3439" t="str">
        <f t="shared" si="155"/>
        <v>2022AM PEAK</v>
      </c>
      <c r="Q3439">
        <f t="shared" si="156"/>
        <v>1</v>
      </c>
      <c r="R3439" s="195" t="str">
        <f t="shared" si="157"/>
        <v>2022LIGHT VEHICLES</v>
      </c>
    </row>
    <row r="3440" spans="3:18" x14ac:dyDescent="0.25">
      <c r="C3440" s="294" t="s">
        <v>992</v>
      </c>
      <c r="D3440" s="317" t="s">
        <v>740</v>
      </c>
      <c r="E3440" s="122" t="s">
        <v>990</v>
      </c>
      <c r="F3440" s="122" t="s">
        <v>991</v>
      </c>
      <c r="G3440" s="122" t="s">
        <v>785</v>
      </c>
      <c r="H3440" s="122" t="s">
        <v>777</v>
      </c>
      <c r="I3440" s="312">
        <v>2022</v>
      </c>
      <c r="J3440" s="122" t="s">
        <v>710</v>
      </c>
      <c r="K3440" s="283">
        <v>4551</v>
      </c>
      <c r="L3440" s="318">
        <v>-32.771610000000003</v>
      </c>
      <c r="M3440" s="318">
        <v>151.45280500000001</v>
      </c>
      <c r="O3440">
        <f>INDEX('MEC - traffic congestion'!$M$145:$M$249,MATCH($D3440,'MEC - traffic congestion'!$C$145:$C$249,0))</f>
        <v>1</v>
      </c>
      <c r="P3440" t="str">
        <f t="shared" si="155"/>
        <v>2022OFF PEAK</v>
      </c>
      <c r="Q3440">
        <f t="shared" si="156"/>
        <v>1</v>
      </c>
      <c r="R3440" s="195" t="str">
        <f t="shared" si="157"/>
        <v>2022LIGHT VEHICLES</v>
      </c>
    </row>
    <row r="3441" spans="3:18" x14ac:dyDescent="0.25">
      <c r="C3441" s="294" t="s">
        <v>992</v>
      </c>
      <c r="D3441" s="317" t="s">
        <v>740</v>
      </c>
      <c r="E3441" s="122" t="s">
        <v>990</v>
      </c>
      <c r="F3441" s="122" t="s">
        <v>991</v>
      </c>
      <c r="G3441" s="122" t="s">
        <v>785</v>
      </c>
      <c r="H3441" s="122" t="s">
        <v>777</v>
      </c>
      <c r="I3441" s="312">
        <v>2022</v>
      </c>
      <c r="J3441" s="122" t="s">
        <v>711</v>
      </c>
      <c r="K3441" s="283">
        <v>3747</v>
      </c>
      <c r="L3441" s="318">
        <v>-32.771610000000003</v>
      </c>
      <c r="M3441" s="318">
        <v>151.45280500000001</v>
      </c>
      <c r="O3441">
        <f>INDEX('MEC - traffic congestion'!$M$145:$M$249,MATCH($D3441,'MEC - traffic congestion'!$C$145:$C$249,0))</f>
        <v>1</v>
      </c>
      <c r="P3441" t="str">
        <f t="shared" si="155"/>
        <v>2022PM PEAK</v>
      </c>
      <c r="Q3441">
        <f t="shared" si="156"/>
        <v>1</v>
      </c>
      <c r="R3441" s="195" t="str">
        <f t="shared" si="157"/>
        <v>2022LIGHT VEHICLES</v>
      </c>
    </row>
    <row r="3442" spans="3:18" x14ac:dyDescent="0.25">
      <c r="C3442" s="294" t="s">
        <v>992</v>
      </c>
      <c r="D3442" s="317" t="s">
        <v>740</v>
      </c>
      <c r="E3442" s="122" t="s">
        <v>990</v>
      </c>
      <c r="F3442" s="122" t="s">
        <v>991</v>
      </c>
      <c r="G3442" s="122" t="s">
        <v>785</v>
      </c>
      <c r="H3442" s="122" t="s">
        <v>777</v>
      </c>
      <c r="I3442" s="312">
        <v>2022</v>
      </c>
      <c r="J3442" s="122" t="s">
        <v>713</v>
      </c>
      <c r="K3442" s="283">
        <v>8587</v>
      </c>
      <c r="L3442" s="318">
        <v>-32.771610000000003</v>
      </c>
      <c r="M3442" s="318">
        <v>151.45280500000001</v>
      </c>
      <c r="O3442">
        <f>INDEX('MEC - traffic congestion'!$M$145:$M$249,MATCH($D3442,'MEC - traffic congestion'!$C$145:$C$249,0))</f>
        <v>1</v>
      </c>
      <c r="P3442" t="str">
        <f t="shared" si="155"/>
        <v>2022WEEKENDS</v>
      </c>
      <c r="Q3442">
        <f t="shared" si="156"/>
        <v>1</v>
      </c>
      <c r="R3442" s="195" t="str">
        <f t="shared" si="157"/>
        <v>2022LIGHT VEHICLES</v>
      </c>
    </row>
    <row r="3443" spans="3:18" x14ac:dyDescent="0.25">
      <c r="C3443" s="294" t="s">
        <v>992</v>
      </c>
      <c r="D3443" s="317" t="s">
        <v>740</v>
      </c>
      <c r="E3443" s="122" t="s">
        <v>990</v>
      </c>
      <c r="F3443" s="122" t="s">
        <v>991</v>
      </c>
      <c r="G3443" s="122" t="s">
        <v>785</v>
      </c>
      <c r="H3443" s="122" t="s">
        <v>777</v>
      </c>
      <c r="I3443" s="312">
        <v>2023</v>
      </c>
      <c r="J3443" s="122" t="s">
        <v>709</v>
      </c>
      <c r="K3443" s="283">
        <v>1912</v>
      </c>
      <c r="L3443" s="318">
        <v>-32.771610000000003</v>
      </c>
      <c r="M3443" s="318">
        <v>151.45280500000001</v>
      </c>
      <c r="O3443">
        <f>INDEX('MEC - traffic congestion'!$M$145:$M$249,MATCH($D3443,'MEC - traffic congestion'!$C$145:$C$249,0))</f>
        <v>1</v>
      </c>
      <c r="P3443" t="str">
        <f t="shared" si="155"/>
        <v>2023AM PEAK</v>
      </c>
      <c r="Q3443">
        <f t="shared" si="156"/>
        <v>1</v>
      </c>
      <c r="R3443" s="195" t="str">
        <f t="shared" si="157"/>
        <v>2023LIGHT VEHICLES</v>
      </c>
    </row>
    <row r="3444" spans="3:18" x14ac:dyDescent="0.25">
      <c r="C3444" s="294" t="s">
        <v>992</v>
      </c>
      <c r="D3444" s="317" t="s">
        <v>740</v>
      </c>
      <c r="E3444" s="122" t="s">
        <v>990</v>
      </c>
      <c r="F3444" s="122" t="s">
        <v>991</v>
      </c>
      <c r="G3444" s="122" t="s">
        <v>785</v>
      </c>
      <c r="H3444" s="122" t="s">
        <v>777</v>
      </c>
      <c r="I3444" s="312">
        <v>2023</v>
      </c>
      <c r="J3444" s="122" t="s">
        <v>710</v>
      </c>
      <c r="K3444" s="283">
        <v>3514</v>
      </c>
      <c r="L3444" s="318">
        <v>-32.771610000000003</v>
      </c>
      <c r="M3444" s="318">
        <v>151.45280500000001</v>
      </c>
      <c r="O3444">
        <f>INDEX('MEC - traffic congestion'!$M$145:$M$249,MATCH($D3444,'MEC - traffic congestion'!$C$145:$C$249,0))</f>
        <v>1</v>
      </c>
      <c r="P3444" t="str">
        <f t="shared" si="155"/>
        <v>2023OFF PEAK</v>
      </c>
      <c r="Q3444">
        <f t="shared" si="156"/>
        <v>1</v>
      </c>
      <c r="R3444" s="195" t="str">
        <f t="shared" si="157"/>
        <v>2023LIGHT VEHICLES</v>
      </c>
    </row>
    <row r="3445" spans="3:18" x14ac:dyDescent="0.25">
      <c r="C3445" s="294" t="s">
        <v>992</v>
      </c>
      <c r="D3445" s="317" t="s">
        <v>740</v>
      </c>
      <c r="E3445" s="122" t="s">
        <v>990</v>
      </c>
      <c r="F3445" s="122" t="s">
        <v>991</v>
      </c>
      <c r="G3445" s="122" t="s">
        <v>785</v>
      </c>
      <c r="H3445" s="122" t="s">
        <v>777</v>
      </c>
      <c r="I3445" s="312">
        <v>2023</v>
      </c>
      <c r="J3445" s="122" t="s">
        <v>711</v>
      </c>
      <c r="K3445" s="283">
        <v>3249</v>
      </c>
      <c r="L3445" s="318">
        <v>-32.771610000000003</v>
      </c>
      <c r="M3445" s="318">
        <v>151.45280500000001</v>
      </c>
      <c r="O3445">
        <f>INDEX('MEC - traffic congestion'!$M$145:$M$249,MATCH($D3445,'MEC - traffic congestion'!$C$145:$C$249,0))</f>
        <v>1</v>
      </c>
      <c r="P3445" t="str">
        <f t="shared" si="155"/>
        <v>2023PM PEAK</v>
      </c>
      <c r="Q3445">
        <f t="shared" si="156"/>
        <v>1</v>
      </c>
      <c r="R3445" s="195" t="str">
        <f t="shared" si="157"/>
        <v>2023LIGHT VEHICLES</v>
      </c>
    </row>
    <row r="3446" spans="3:18" x14ac:dyDescent="0.25">
      <c r="C3446" s="294" t="s">
        <v>992</v>
      </c>
      <c r="D3446" s="317" t="s">
        <v>740</v>
      </c>
      <c r="E3446" s="122" t="s">
        <v>990</v>
      </c>
      <c r="F3446" s="122" t="s">
        <v>991</v>
      </c>
      <c r="G3446" s="122" t="s">
        <v>785</v>
      </c>
      <c r="H3446" s="122" t="s">
        <v>777</v>
      </c>
      <c r="I3446" s="312">
        <v>2023</v>
      </c>
      <c r="J3446" s="122" t="s">
        <v>713</v>
      </c>
      <c r="K3446" s="283">
        <v>7406</v>
      </c>
      <c r="L3446" s="318">
        <v>-32.771610000000003</v>
      </c>
      <c r="M3446" s="318">
        <v>151.45280500000001</v>
      </c>
      <c r="O3446">
        <f>INDEX('MEC - traffic congestion'!$M$145:$M$249,MATCH($D3446,'MEC - traffic congestion'!$C$145:$C$249,0))</f>
        <v>1</v>
      </c>
      <c r="P3446" t="str">
        <f t="shared" si="155"/>
        <v>2023WEEKENDS</v>
      </c>
      <c r="Q3446">
        <f t="shared" si="156"/>
        <v>1</v>
      </c>
      <c r="R3446" s="195" t="str">
        <f t="shared" si="157"/>
        <v>2023LIGHT VEHICLES</v>
      </c>
    </row>
    <row r="3447" spans="3:18" x14ac:dyDescent="0.25">
      <c r="C3447" s="294" t="s">
        <v>993</v>
      </c>
      <c r="D3447" s="317" t="s">
        <v>741</v>
      </c>
      <c r="E3447" s="122" t="s">
        <v>990</v>
      </c>
      <c r="F3447" s="122" t="s">
        <v>994</v>
      </c>
      <c r="G3447" s="122" t="s">
        <v>785</v>
      </c>
      <c r="H3447" s="122" t="s">
        <v>777</v>
      </c>
      <c r="I3447" s="312">
        <v>2018</v>
      </c>
      <c r="J3447" s="122" t="s">
        <v>709</v>
      </c>
      <c r="K3447" s="283">
        <v>4015</v>
      </c>
      <c r="L3447" s="318">
        <v>-32.835659</v>
      </c>
      <c r="M3447" s="318">
        <v>151.53852800000001</v>
      </c>
      <c r="O3447">
        <f>INDEX('MEC - traffic congestion'!$M$145:$M$249,MATCH($D3447,'MEC - traffic congestion'!$C$145:$C$249,0))</f>
        <v>1</v>
      </c>
      <c r="P3447" t="str">
        <f t="shared" si="155"/>
        <v>2018AM PEAK</v>
      </c>
      <c r="Q3447">
        <f t="shared" si="156"/>
        <v>1</v>
      </c>
      <c r="R3447" s="195" t="str">
        <f t="shared" si="157"/>
        <v>2018LIGHT VEHICLES</v>
      </c>
    </row>
    <row r="3448" spans="3:18" x14ac:dyDescent="0.25">
      <c r="C3448" s="294" t="s">
        <v>993</v>
      </c>
      <c r="D3448" s="317" t="s">
        <v>741</v>
      </c>
      <c r="E3448" s="122" t="s">
        <v>990</v>
      </c>
      <c r="F3448" s="122" t="s">
        <v>994</v>
      </c>
      <c r="G3448" s="122" t="s">
        <v>786</v>
      </c>
      <c r="H3448" s="122" t="s">
        <v>777</v>
      </c>
      <c r="I3448" s="312">
        <v>2018</v>
      </c>
      <c r="J3448" s="122" t="s">
        <v>709</v>
      </c>
      <c r="K3448" s="283">
        <v>4154</v>
      </c>
      <c r="L3448" s="318">
        <v>-32.835659</v>
      </c>
      <c r="M3448" s="318">
        <v>151.53852800000001</v>
      </c>
      <c r="O3448">
        <f>INDEX('MEC - traffic congestion'!$M$145:$M$249,MATCH($D3448,'MEC - traffic congestion'!$C$145:$C$249,0))</f>
        <v>1</v>
      </c>
      <c r="P3448" t="str">
        <f t="shared" si="155"/>
        <v>2018AM PEAK</v>
      </c>
      <c r="Q3448">
        <f t="shared" si="156"/>
        <v>1</v>
      </c>
      <c r="R3448" s="195" t="str">
        <f t="shared" si="157"/>
        <v>2018LIGHT VEHICLES</v>
      </c>
    </row>
    <row r="3449" spans="3:18" x14ac:dyDescent="0.25">
      <c r="C3449" s="294" t="s">
        <v>993</v>
      </c>
      <c r="D3449" s="317" t="s">
        <v>741</v>
      </c>
      <c r="E3449" s="122" t="s">
        <v>990</v>
      </c>
      <c r="F3449" s="122" t="s">
        <v>994</v>
      </c>
      <c r="G3449" s="122" t="s">
        <v>785</v>
      </c>
      <c r="H3449" s="122" t="s">
        <v>777</v>
      </c>
      <c r="I3449" s="312">
        <v>2018</v>
      </c>
      <c r="J3449" s="122" t="s">
        <v>710</v>
      </c>
      <c r="K3449" s="283">
        <v>5772</v>
      </c>
      <c r="L3449" s="318">
        <v>-32.835659</v>
      </c>
      <c r="M3449" s="318">
        <v>151.53852800000001</v>
      </c>
      <c r="O3449">
        <f>INDEX('MEC - traffic congestion'!$M$145:$M$249,MATCH($D3449,'MEC - traffic congestion'!$C$145:$C$249,0))</f>
        <v>1</v>
      </c>
      <c r="P3449" t="str">
        <f t="shared" si="155"/>
        <v>2018OFF PEAK</v>
      </c>
      <c r="Q3449">
        <f t="shared" si="156"/>
        <v>1</v>
      </c>
      <c r="R3449" s="195" t="str">
        <f t="shared" si="157"/>
        <v>2018LIGHT VEHICLES</v>
      </c>
    </row>
    <row r="3450" spans="3:18" x14ac:dyDescent="0.25">
      <c r="C3450" s="294" t="s">
        <v>993</v>
      </c>
      <c r="D3450" s="317" t="s">
        <v>741</v>
      </c>
      <c r="E3450" s="122" t="s">
        <v>990</v>
      </c>
      <c r="F3450" s="122" t="s">
        <v>994</v>
      </c>
      <c r="G3450" s="122" t="s">
        <v>786</v>
      </c>
      <c r="H3450" s="122" t="s">
        <v>777</v>
      </c>
      <c r="I3450" s="312">
        <v>2018</v>
      </c>
      <c r="J3450" s="122" t="s">
        <v>710</v>
      </c>
      <c r="K3450" s="283">
        <v>6068</v>
      </c>
      <c r="L3450" s="318">
        <v>-32.835659</v>
      </c>
      <c r="M3450" s="318">
        <v>151.53852800000001</v>
      </c>
      <c r="O3450">
        <f>INDEX('MEC - traffic congestion'!$M$145:$M$249,MATCH($D3450,'MEC - traffic congestion'!$C$145:$C$249,0))</f>
        <v>1</v>
      </c>
      <c r="P3450" t="str">
        <f t="shared" si="155"/>
        <v>2018OFF PEAK</v>
      </c>
      <c r="Q3450">
        <f t="shared" si="156"/>
        <v>1</v>
      </c>
      <c r="R3450" s="195" t="str">
        <f t="shared" si="157"/>
        <v>2018LIGHT VEHICLES</v>
      </c>
    </row>
    <row r="3451" spans="3:18" x14ac:dyDescent="0.25">
      <c r="C3451" s="294" t="s">
        <v>993</v>
      </c>
      <c r="D3451" s="317" t="s">
        <v>741</v>
      </c>
      <c r="E3451" s="122" t="s">
        <v>990</v>
      </c>
      <c r="F3451" s="122" t="s">
        <v>994</v>
      </c>
      <c r="G3451" s="122" t="s">
        <v>785</v>
      </c>
      <c r="H3451" s="122" t="s">
        <v>777</v>
      </c>
      <c r="I3451" s="312">
        <v>2018</v>
      </c>
      <c r="J3451" s="122" t="s">
        <v>711</v>
      </c>
      <c r="K3451" s="283">
        <v>4877</v>
      </c>
      <c r="L3451" s="318">
        <v>-32.835659</v>
      </c>
      <c r="M3451" s="318">
        <v>151.53852800000001</v>
      </c>
      <c r="O3451">
        <f>INDEX('MEC - traffic congestion'!$M$145:$M$249,MATCH($D3451,'MEC - traffic congestion'!$C$145:$C$249,0))</f>
        <v>1</v>
      </c>
      <c r="P3451" t="str">
        <f t="shared" si="155"/>
        <v>2018PM PEAK</v>
      </c>
      <c r="Q3451">
        <f t="shared" si="156"/>
        <v>1</v>
      </c>
      <c r="R3451" s="195" t="str">
        <f t="shared" si="157"/>
        <v>2018LIGHT VEHICLES</v>
      </c>
    </row>
    <row r="3452" spans="3:18" x14ac:dyDescent="0.25">
      <c r="C3452" s="294" t="s">
        <v>993</v>
      </c>
      <c r="D3452" s="317" t="s">
        <v>741</v>
      </c>
      <c r="E3452" s="122" t="s">
        <v>990</v>
      </c>
      <c r="F3452" s="122" t="s">
        <v>994</v>
      </c>
      <c r="G3452" s="122" t="s">
        <v>786</v>
      </c>
      <c r="H3452" s="122" t="s">
        <v>777</v>
      </c>
      <c r="I3452" s="312">
        <v>2018</v>
      </c>
      <c r="J3452" s="122" t="s">
        <v>711</v>
      </c>
      <c r="K3452" s="283">
        <v>4489</v>
      </c>
      <c r="L3452" s="318">
        <v>-32.835659</v>
      </c>
      <c r="M3452" s="318">
        <v>151.53852800000001</v>
      </c>
      <c r="O3452">
        <f>INDEX('MEC - traffic congestion'!$M$145:$M$249,MATCH($D3452,'MEC - traffic congestion'!$C$145:$C$249,0))</f>
        <v>1</v>
      </c>
      <c r="P3452" t="str">
        <f t="shared" si="155"/>
        <v>2018PM PEAK</v>
      </c>
      <c r="Q3452">
        <f t="shared" si="156"/>
        <v>1</v>
      </c>
      <c r="R3452" s="195" t="str">
        <f t="shared" si="157"/>
        <v>2018LIGHT VEHICLES</v>
      </c>
    </row>
    <row r="3453" spans="3:18" x14ac:dyDescent="0.25">
      <c r="C3453" s="294" t="s">
        <v>993</v>
      </c>
      <c r="D3453" s="317" t="s">
        <v>741</v>
      </c>
      <c r="E3453" s="122" t="s">
        <v>990</v>
      </c>
      <c r="F3453" s="122" t="s">
        <v>994</v>
      </c>
      <c r="G3453" s="122" t="s">
        <v>785</v>
      </c>
      <c r="H3453" s="122" t="s">
        <v>777</v>
      </c>
      <c r="I3453" s="312">
        <v>2018</v>
      </c>
      <c r="J3453" s="122" t="s">
        <v>712</v>
      </c>
      <c r="K3453" s="283">
        <v>10948</v>
      </c>
      <c r="L3453" s="318">
        <v>-32.835659</v>
      </c>
      <c r="M3453" s="318">
        <v>151.53852800000001</v>
      </c>
      <c r="O3453">
        <f>INDEX('MEC - traffic congestion'!$M$145:$M$249,MATCH($D3453,'MEC - traffic congestion'!$C$145:$C$249,0))</f>
        <v>1</v>
      </c>
      <c r="P3453" t="str">
        <f t="shared" si="155"/>
        <v>2018PUBLIC HOLIDAYS</v>
      </c>
      <c r="Q3453">
        <f t="shared" si="156"/>
        <v>1</v>
      </c>
      <c r="R3453" s="195" t="str">
        <f t="shared" si="157"/>
        <v>2018LIGHT VEHICLES</v>
      </c>
    </row>
    <row r="3454" spans="3:18" x14ac:dyDescent="0.25">
      <c r="C3454" s="294" t="s">
        <v>993</v>
      </c>
      <c r="D3454" s="317" t="s">
        <v>741</v>
      </c>
      <c r="E3454" s="122" t="s">
        <v>990</v>
      </c>
      <c r="F3454" s="122" t="s">
        <v>994</v>
      </c>
      <c r="G3454" s="122" t="s">
        <v>786</v>
      </c>
      <c r="H3454" s="122" t="s">
        <v>777</v>
      </c>
      <c r="I3454" s="312">
        <v>2018</v>
      </c>
      <c r="J3454" s="122" t="s">
        <v>712</v>
      </c>
      <c r="K3454" s="283">
        <v>9691</v>
      </c>
      <c r="L3454" s="318">
        <v>-32.835659</v>
      </c>
      <c r="M3454" s="318">
        <v>151.53852800000001</v>
      </c>
      <c r="O3454">
        <f>INDEX('MEC - traffic congestion'!$M$145:$M$249,MATCH($D3454,'MEC - traffic congestion'!$C$145:$C$249,0))</f>
        <v>1</v>
      </c>
      <c r="P3454" t="str">
        <f t="shared" si="155"/>
        <v>2018PUBLIC HOLIDAYS</v>
      </c>
      <c r="Q3454">
        <f t="shared" si="156"/>
        <v>1</v>
      </c>
      <c r="R3454" s="195" t="str">
        <f t="shared" si="157"/>
        <v>2018LIGHT VEHICLES</v>
      </c>
    </row>
    <row r="3455" spans="3:18" x14ac:dyDescent="0.25">
      <c r="C3455" s="294" t="s">
        <v>993</v>
      </c>
      <c r="D3455" s="317" t="s">
        <v>741</v>
      </c>
      <c r="E3455" s="122" t="s">
        <v>990</v>
      </c>
      <c r="F3455" s="122" t="s">
        <v>994</v>
      </c>
      <c r="G3455" s="122" t="s">
        <v>785</v>
      </c>
      <c r="H3455" s="122" t="s">
        <v>777</v>
      </c>
      <c r="I3455" s="312">
        <v>2018</v>
      </c>
      <c r="J3455" s="122" t="s">
        <v>713</v>
      </c>
      <c r="K3455" s="283">
        <v>11853</v>
      </c>
      <c r="L3455" s="318">
        <v>-32.835659</v>
      </c>
      <c r="M3455" s="318">
        <v>151.53852800000001</v>
      </c>
      <c r="O3455">
        <f>INDEX('MEC - traffic congestion'!$M$145:$M$249,MATCH($D3455,'MEC - traffic congestion'!$C$145:$C$249,0))</f>
        <v>1</v>
      </c>
      <c r="P3455" t="str">
        <f t="shared" si="155"/>
        <v>2018WEEKENDS</v>
      </c>
      <c r="Q3455">
        <f t="shared" si="156"/>
        <v>1</v>
      </c>
      <c r="R3455" s="195" t="str">
        <f t="shared" si="157"/>
        <v>2018LIGHT VEHICLES</v>
      </c>
    </row>
    <row r="3456" spans="3:18" x14ac:dyDescent="0.25">
      <c r="C3456" s="294" t="s">
        <v>993</v>
      </c>
      <c r="D3456" s="317" t="s">
        <v>741</v>
      </c>
      <c r="E3456" s="122" t="s">
        <v>990</v>
      </c>
      <c r="F3456" s="122" t="s">
        <v>994</v>
      </c>
      <c r="G3456" s="122" t="s">
        <v>786</v>
      </c>
      <c r="H3456" s="122" t="s">
        <v>777</v>
      </c>
      <c r="I3456" s="312">
        <v>2018</v>
      </c>
      <c r="J3456" s="122" t="s">
        <v>713</v>
      </c>
      <c r="K3456" s="283">
        <v>11330</v>
      </c>
      <c r="L3456" s="318">
        <v>-32.835659</v>
      </c>
      <c r="M3456" s="318">
        <v>151.53852800000001</v>
      </c>
      <c r="O3456">
        <f>INDEX('MEC - traffic congestion'!$M$145:$M$249,MATCH($D3456,'MEC - traffic congestion'!$C$145:$C$249,0))</f>
        <v>1</v>
      </c>
      <c r="P3456" t="str">
        <f t="shared" si="155"/>
        <v>2018WEEKENDS</v>
      </c>
      <c r="Q3456">
        <f t="shared" si="156"/>
        <v>1</v>
      </c>
      <c r="R3456" s="195" t="str">
        <f t="shared" si="157"/>
        <v>2018LIGHT VEHICLES</v>
      </c>
    </row>
    <row r="3457" spans="3:18" x14ac:dyDescent="0.25">
      <c r="C3457" s="294" t="s">
        <v>993</v>
      </c>
      <c r="D3457" s="317" t="s">
        <v>741</v>
      </c>
      <c r="E3457" s="122" t="s">
        <v>990</v>
      </c>
      <c r="F3457" s="122" t="s">
        <v>994</v>
      </c>
      <c r="G3457" s="122" t="s">
        <v>785</v>
      </c>
      <c r="H3457" s="122" t="s">
        <v>777</v>
      </c>
      <c r="I3457" s="312">
        <v>2019</v>
      </c>
      <c r="J3457" s="122" t="s">
        <v>709</v>
      </c>
      <c r="K3457" s="283">
        <v>4259</v>
      </c>
      <c r="L3457" s="318">
        <v>-32.835659</v>
      </c>
      <c r="M3457" s="318">
        <v>151.53852800000001</v>
      </c>
      <c r="O3457">
        <f>INDEX('MEC - traffic congestion'!$M$145:$M$249,MATCH($D3457,'MEC - traffic congestion'!$C$145:$C$249,0))</f>
        <v>1</v>
      </c>
      <c r="P3457" t="str">
        <f t="shared" si="155"/>
        <v>2019AM PEAK</v>
      </c>
      <c r="Q3457">
        <f t="shared" si="156"/>
        <v>1</v>
      </c>
      <c r="R3457" s="195" t="str">
        <f t="shared" si="157"/>
        <v>2019LIGHT VEHICLES</v>
      </c>
    </row>
    <row r="3458" spans="3:18" x14ac:dyDescent="0.25">
      <c r="C3458" s="294" t="s">
        <v>993</v>
      </c>
      <c r="D3458" s="317" t="s">
        <v>741</v>
      </c>
      <c r="E3458" s="122" t="s">
        <v>990</v>
      </c>
      <c r="F3458" s="122" t="s">
        <v>994</v>
      </c>
      <c r="G3458" s="122" t="s">
        <v>786</v>
      </c>
      <c r="H3458" s="122" t="s">
        <v>777</v>
      </c>
      <c r="I3458" s="312">
        <v>2019</v>
      </c>
      <c r="J3458" s="122" t="s">
        <v>709</v>
      </c>
      <c r="K3458" s="283">
        <v>4136</v>
      </c>
      <c r="L3458" s="318">
        <v>-32.835659</v>
      </c>
      <c r="M3458" s="318">
        <v>151.53852800000001</v>
      </c>
      <c r="O3458">
        <f>INDEX('MEC - traffic congestion'!$M$145:$M$249,MATCH($D3458,'MEC - traffic congestion'!$C$145:$C$249,0))</f>
        <v>1</v>
      </c>
      <c r="P3458" t="str">
        <f t="shared" si="155"/>
        <v>2019AM PEAK</v>
      </c>
      <c r="Q3458">
        <f t="shared" si="156"/>
        <v>1</v>
      </c>
      <c r="R3458" s="195" t="str">
        <f t="shared" si="157"/>
        <v>2019LIGHT VEHICLES</v>
      </c>
    </row>
    <row r="3459" spans="3:18" x14ac:dyDescent="0.25">
      <c r="C3459" s="294" t="s">
        <v>993</v>
      </c>
      <c r="D3459" s="317" t="s">
        <v>741</v>
      </c>
      <c r="E3459" s="122" t="s">
        <v>990</v>
      </c>
      <c r="F3459" s="122" t="s">
        <v>994</v>
      </c>
      <c r="G3459" s="122" t="s">
        <v>785</v>
      </c>
      <c r="H3459" s="122" t="s">
        <v>777</v>
      </c>
      <c r="I3459" s="312">
        <v>2019</v>
      </c>
      <c r="J3459" s="122" t="s">
        <v>710</v>
      </c>
      <c r="K3459" s="283">
        <v>5914</v>
      </c>
      <c r="L3459" s="318">
        <v>-32.835659</v>
      </c>
      <c r="M3459" s="318">
        <v>151.53852800000001</v>
      </c>
      <c r="O3459">
        <f>INDEX('MEC - traffic congestion'!$M$145:$M$249,MATCH($D3459,'MEC - traffic congestion'!$C$145:$C$249,0))</f>
        <v>1</v>
      </c>
      <c r="P3459" t="str">
        <f t="shared" si="155"/>
        <v>2019OFF PEAK</v>
      </c>
      <c r="Q3459">
        <f t="shared" si="156"/>
        <v>1</v>
      </c>
      <c r="R3459" s="195" t="str">
        <f t="shared" si="157"/>
        <v>2019LIGHT VEHICLES</v>
      </c>
    </row>
    <row r="3460" spans="3:18" x14ac:dyDescent="0.25">
      <c r="C3460" s="294" t="s">
        <v>993</v>
      </c>
      <c r="D3460" s="317" t="s">
        <v>741</v>
      </c>
      <c r="E3460" s="122" t="s">
        <v>990</v>
      </c>
      <c r="F3460" s="122" t="s">
        <v>994</v>
      </c>
      <c r="G3460" s="122" t="s">
        <v>786</v>
      </c>
      <c r="H3460" s="122" t="s">
        <v>777</v>
      </c>
      <c r="I3460" s="312">
        <v>2019</v>
      </c>
      <c r="J3460" s="122" t="s">
        <v>710</v>
      </c>
      <c r="K3460" s="283">
        <v>6232</v>
      </c>
      <c r="L3460" s="318">
        <v>-32.835659</v>
      </c>
      <c r="M3460" s="318">
        <v>151.53852800000001</v>
      </c>
      <c r="O3460">
        <f>INDEX('MEC - traffic congestion'!$M$145:$M$249,MATCH($D3460,'MEC - traffic congestion'!$C$145:$C$249,0))</f>
        <v>1</v>
      </c>
      <c r="P3460" t="str">
        <f t="shared" si="155"/>
        <v>2019OFF PEAK</v>
      </c>
      <c r="Q3460">
        <f t="shared" si="156"/>
        <v>1</v>
      </c>
      <c r="R3460" s="195" t="str">
        <f t="shared" si="157"/>
        <v>2019LIGHT VEHICLES</v>
      </c>
    </row>
    <row r="3461" spans="3:18" x14ac:dyDescent="0.25">
      <c r="C3461" s="294" t="s">
        <v>993</v>
      </c>
      <c r="D3461" s="317" t="s">
        <v>741</v>
      </c>
      <c r="E3461" s="122" t="s">
        <v>990</v>
      </c>
      <c r="F3461" s="122" t="s">
        <v>994</v>
      </c>
      <c r="G3461" s="122" t="s">
        <v>785</v>
      </c>
      <c r="H3461" s="122" t="s">
        <v>777</v>
      </c>
      <c r="I3461" s="312">
        <v>2019</v>
      </c>
      <c r="J3461" s="122" t="s">
        <v>711</v>
      </c>
      <c r="K3461" s="283">
        <v>4960</v>
      </c>
      <c r="L3461" s="318">
        <v>-32.835659</v>
      </c>
      <c r="M3461" s="318">
        <v>151.53852800000001</v>
      </c>
      <c r="O3461">
        <f>INDEX('MEC - traffic congestion'!$M$145:$M$249,MATCH($D3461,'MEC - traffic congestion'!$C$145:$C$249,0))</f>
        <v>1</v>
      </c>
      <c r="P3461" t="str">
        <f t="shared" si="155"/>
        <v>2019PM PEAK</v>
      </c>
      <c r="Q3461">
        <f t="shared" si="156"/>
        <v>1</v>
      </c>
      <c r="R3461" s="195" t="str">
        <f t="shared" si="157"/>
        <v>2019LIGHT VEHICLES</v>
      </c>
    </row>
    <row r="3462" spans="3:18" x14ac:dyDescent="0.25">
      <c r="C3462" s="294" t="s">
        <v>993</v>
      </c>
      <c r="D3462" s="317" t="s">
        <v>741</v>
      </c>
      <c r="E3462" s="122" t="s">
        <v>990</v>
      </c>
      <c r="F3462" s="122" t="s">
        <v>994</v>
      </c>
      <c r="G3462" s="122" t="s">
        <v>786</v>
      </c>
      <c r="H3462" s="122" t="s">
        <v>777</v>
      </c>
      <c r="I3462" s="312">
        <v>2019</v>
      </c>
      <c r="J3462" s="122" t="s">
        <v>711</v>
      </c>
      <c r="K3462" s="283">
        <v>4512</v>
      </c>
      <c r="L3462" s="318">
        <v>-32.835659</v>
      </c>
      <c r="M3462" s="318">
        <v>151.53852800000001</v>
      </c>
      <c r="O3462">
        <f>INDEX('MEC - traffic congestion'!$M$145:$M$249,MATCH($D3462,'MEC - traffic congestion'!$C$145:$C$249,0))</f>
        <v>1</v>
      </c>
      <c r="P3462" t="str">
        <f t="shared" si="155"/>
        <v>2019PM PEAK</v>
      </c>
      <c r="Q3462">
        <f t="shared" si="156"/>
        <v>1</v>
      </c>
      <c r="R3462" s="195" t="str">
        <f t="shared" si="157"/>
        <v>2019LIGHT VEHICLES</v>
      </c>
    </row>
    <row r="3463" spans="3:18" x14ac:dyDescent="0.25">
      <c r="C3463" s="294" t="s">
        <v>993</v>
      </c>
      <c r="D3463" s="317" t="s">
        <v>741</v>
      </c>
      <c r="E3463" s="122" t="s">
        <v>990</v>
      </c>
      <c r="F3463" s="122" t="s">
        <v>994</v>
      </c>
      <c r="G3463" s="122" t="s">
        <v>785</v>
      </c>
      <c r="H3463" s="122" t="s">
        <v>777</v>
      </c>
      <c r="I3463" s="312">
        <v>2019</v>
      </c>
      <c r="J3463" s="122" t="s">
        <v>712</v>
      </c>
      <c r="K3463" s="283">
        <v>10355</v>
      </c>
      <c r="L3463" s="318">
        <v>-32.835659</v>
      </c>
      <c r="M3463" s="318">
        <v>151.53852800000001</v>
      </c>
      <c r="O3463">
        <f>INDEX('MEC - traffic congestion'!$M$145:$M$249,MATCH($D3463,'MEC - traffic congestion'!$C$145:$C$249,0))</f>
        <v>1</v>
      </c>
      <c r="P3463" t="str">
        <f t="shared" si="155"/>
        <v>2019PUBLIC HOLIDAYS</v>
      </c>
      <c r="Q3463">
        <f t="shared" si="156"/>
        <v>1</v>
      </c>
      <c r="R3463" s="195" t="str">
        <f t="shared" si="157"/>
        <v>2019LIGHT VEHICLES</v>
      </c>
    </row>
    <row r="3464" spans="3:18" x14ac:dyDescent="0.25">
      <c r="C3464" s="294" t="s">
        <v>993</v>
      </c>
      <c r="D3464" s="317" t="s">
        <v>741</v>
      </c>
      <c r="E3464" s="122" t="s">
        <v>990</v>
      </c>
      <c r="F3464" s="122" t="s">
        <v>994</v>
      </c>
      <c r="G3464" s="122" t="s">
        <v>786</v>
      </c>
      <c r="H3464" s="122" t="s">
        <v>777</v>
      </c>
      <c r="I3464" s="312">
        <v>2019</v>
      </c>
      <c r="J3464" s="122" t="s">
        <v>712</v>
      </c>
      <c r="K3464" s="283">
        <v>10266</v>
      </c>
      <c r="L3464" s="318">
        <v>-32.835659</v>
      </c>
      <c r="M3464" s="318">
        <v>151.53852800000001</v>
      </c>
      <c r="O3464">
        <f>INDEX('MEC - traffic congestion'!$M$145:$M$249,MATCH($D3464,'MEC - traffic congestion'!$C$145:$C$249,0))</f>
        <v>1</v>
      </c>
      <c r="P3464" t="str">
        <f t="shared" si="155"/>
        <v>2019PUBLIC HOLIDAYS</v>
      </c>
      <c r="Q3464">
        <f t="shared" si="156"/>
        <v>1</v>
      </c>
      <c r="R3464" s="195" t="str">
        <f t="shared" si="157"/>
        <v>2019LIGHT VEHICLES</v>
      </c>
    </row>
    <row r="3465" spans="3:18" x14ac:dyDescent="0.25">
      <c r="C3465" s="294" t="s">
        <v>993</v>
      </c>
      <c r="D3465" s="317" t="s">
        <v>741</v>
      </c>
      <c r="E3465" s="122" t="s">
        <v>990</v>
      </c>
      <c r="F3465" s="122" t="s">
        <v>994</v>
      </c>
      <c r="G3465" s="122" t="s">
        <v>785</v>
      </c>
      <c r="H3465" s="122" t="s">
        <v>777</v>
      </c>
      <c r="I3465" s="312">
        <v>2019</v>
      </c>
      <c r="J3465" s="122" t="s">
        <v>713</v>
      </c>
      <c r="K3465" s="283">
        <v>11872</v>
      </c>
      <c r="L3465" s="318">
        <v>-32.835659</v>
      </c>
      <c r="M3465" s="318">
        <v>151.53852800000001</v>
      </c>
      <c r="O3465">
        <f>INDEX('MEC - traffic congestion'!$M$145:$M$249,MATCH($D3465,'MEC - traffic congestion'!$C$145:$C$249,0))</f>
        <v>1</v>
      </c>
      <c r="P3465" t="str">
        <f t="shared" si="155"/>
        <v>2019WEEKENDS</v>
      </c>
      <c r="Q3465">
        <f t="shared" si="156"/>
        <v>1</v>
      </c>
      <c r="R3465" s="195" t="str">
        <f t="shared" si="157"/>
        <v>2019LIGHT VEHICLES</v>
      </c>
    </row>
    <row r="3466" spans="3:18" x14ac:dyDescent="0.25">
      <c r="C3466" s="294" t="s">
        <v>993</v>
      </c>
      <c r="D3466" s="317" t="s">
        <v>741</v>
      </c>
      <c r="E3466" s="122" t="s">
        <v>990</v>
      </c>
      <c r="F3466" s="122" t="s">
        <v>994</v>
      </c>
      <c r="G3466" s="122" t="s">
        <v>786</v>
      </c>
      <c r="H3466" s="122" t="s">
        <v>777</v>
      </c>
      <c r="I3466" s="312">
        <v>2019</v>
      </c>
      <c r="J3466" s="122" t="s">
        <v>713</v>
      </c>
      <c r="K3466" s="283">
        <v>11590</v>
      </c>
      <c r="L3466" s="318">
        <v>-32.835659</v>
      </c>
      <c r="M3466" s="318">
        <v>151.53852800000001</v>
      </c>
      <c r="O3466">
        <f>INDEX('MEC - traffic congestion'!$M$145:$M$249,MATCH($D3466,'MEC - traffic congestion'!$C$145:$C$249,0))</f>
        <v>1</v>
      </c>
      <c r="P3466" t="str">
        <f t="shared" si="155"/>
        <v>2019WEEKENDS</v>
      </c>
      <c r="Q3466">
        <f t="shared" si="156"/>
        <v>1</v>
      </c>
      <c r="R3466" s="195" t="str">
        <f t="shared" si="157"/>
        <v>2019LIGHT VEHICLES</v>
      </c>
    </row>
    <row r="3467" spans="3:18" x14ac:dyDescent="0.25">
      <c r="C3467" s="294" t="s">
        <v>993</v>
      </c>
      <c r="D3467" s="317" t="s">
        <v>741</v>
      </c>
      <c r="E3467" s="122" t="s">
        <v>990</v>
      </c>
      <c r="F3467" s="122" t="s">
        <v>994</v>
      </c>
      <c r="G3467" s="122" t="s">
        <v>785</v>
      </c>
      <c r="H3467" s="122" t="s">
        <v>777</v>
      </c>
      <c r="I3467" s="312">
        <v>2020</v>
      </c>
      <c r="J3467" s="122" t="s">
        <v>709</v>
      </c>
      <c r="K3467" s="283">
        <v>3921</v>
      </c>
      <c r="L3467" s="318">
        <v>-32.835659</v>
      </c>
      <c r="M3467" s="318">
        <v>151.53852800000001</v>
      </c>
      <c r="O3467">
        <f>INDEX('MEC - traffic congestion'!$M$145:$M$249,MATCH($D3467,'MEC - traffic congestion'!$C$145:$C$249,0))</f>
        <v>1</v>
      </c>
      <c r="P3467" t="str">
        <f t="shared" si="155"/>
        <v>2020AM PEAK</v>
      </c>
      <c r="Q3467">
        <f t="shared" si="156"/>
        <v>1</v>
      </c>
      <c r="R3467" s="195" t="str">
        <f t="shared" si="157"/>
        <v>2020LIGHT VEHICLES</v>
      </c>
    </row>
    <row r="3468" spans="3:18" x14ac:dyDescent="0.25">
      <c r="C3468" s="294" t="s">
        <v>993</v>
      </c>
      <c r="D3468" s="317" t="s">
        <v>741</v>
      </c>
      <c r="E3468" s="122" t="s">
        <v>990</v>
      </c>
      <c r="F3468" s="122" t="s">
        <v>994</v>
      </c>
      <c r="G3468" s="122" t="s">
        <v>786</v>
      </c>
      <c r="H3468" s="122" t="s">
        <v>777</v>
      </c>
      <c r="I3468" s="312">
        <v>2020</v>
      </c>
      <c r="J3468" s="122" t="s">
        <v>709</v>
      </c>
      <c r="K3468" s="283">
        <v>3920</v>
      </c>
      <c r="L3468" s="318">
        <v>-32.835659</v>
      </c>
      <c r="M3468" s="318">
        <v>151.53852800000001</v>
      </c>
      <c r="O3468">
        <f>INDEX('MEC - traffic congestion'!$M$145:$M$249,MATCH($D3468,'MEC - traffic congestion'!$C$145:$C$249,0))</f>
        <v>1</v>
      </c>
      <c r="P3468" t="str">
        <f t="shared" si="155"/>
        <v>2020AM PEAK</v>
      </c>
      <c r="Q3468">
        <f t="shared" si="156"/>
        <v>1</v>
      </c>
      <c r="R3468" s="195" t="str">
        <f t="shared" si="157"/>
        <v>2020LIGHT VEHICLES</v>
      </c>
    </row>
    <row r="3469" spans="3:18" x14ac:dyDescent="0.25">
      <c r="C3469" s="294" t="s">
        <v>993</v>
      </c>
      <c r="D3469" s="317" t="s">
        <v>741</v>
      </c>
      <c r="E3469" s="122" t="s">
        <v>990</v>
      </c>
      <c r="F3469" s="122" t="s">
        <v>994</v>
      </c>
      <c r="G3469" s="122" t="s">
        <v>785</v>
      </c>
      <c r="H3469" s="122" t="s">
        <v>777</v>
      </c>
      <c r="I3469" s="312">
        <v>2020</v>
      </c>
      <c r="J3469" s="122" t="s">
        <v>710</v>
      </c>
      <c r="K3469" s="283">
        <v>5699</v>
      </c>
      <c r="L3469" s="318">
        <v>-32.835659</v>
      </c>
      <c r="M3469" s="318">
        <v>151.53852800000001</v>
      </c>
      <c r="O3469">
        <f>INDEX('MEC - traffic congestion'!$M$145:$M$249,MATCH($D3469,'MEC - traffic congestion'!$C$145:$C$249,0))</f>
        <v>1</v>
      </c>
      <c r="P3469" t="str">
        <f t="shared" si="155"/>
        <v>2020OFF PEAK</v>
      </c>
      <c r="Q3469">
        <f t="shared" si="156"/>
        <v>1</v>
      </c>
      <c r="R3469" s="195" t="str">
        <f t="shared" si="157"/>
        <v>2020LIGHT VEHICLES</v>
      </c>
    </row>
    <row r="3470" spans="3:18" x14ac:dyDescent="0.25">
      <c r="C3470" s="294" t="s">
        <v>993</v>
      </c>
      <c r="D3470" s="317" t="s">
        <v>741</v>
      </c>
      <c r="E3470" s="122" t="s">
        <v>990</v>
      </c>
      <c r="F3470" s="122" t="s">
        <v>994</v>
      </c>
      <c r="G3470" s="122" t="s">
        <v>786</v>
      </c>
      <c r="H3470" s="122" t="s">
        <v>777</v>
      </c>
      <c r="I3470" s="312">
        <v>2020</v>
      </c>
      <c r="J3470" s="122" t="s">
        <v>710</v>
      </c>
      <c r="K3470" s="283">
        <v>5933</v>
      </c>
      <c r="L3470" s="318">
        <v>-32.835659</v>
      </c>
      <c r="M3470" s="318">
        <v>151.53852800000001</v>
      </c>
      <c r="O3470">
        <f>INDEX('MEC - traffic congestion'!$M$145:$M$249,MATCH($D3470,'MEC - traffic congestion'!$C$145:$C$249,0))</f>
        <v>1</v>
      </c>
      <c r="P3470" t="str">
        <f t="shared" si="155"/>
        <v>2020OFF PEAK</v>
      </c>
      <c r="Q3470">
        <f t="shared" si="156"/>
        <v>1</v>
      </c>
      <c r="R3470" s="195" t="str">
        <f t="shared" si="157"/>
        <v>2020LIGHT VEHICLES</v>
      </c>
    </row>
    <row r="3471" spans="3:18" x14ac:dyDescent="0.25">
      <c r="C3471" s="294" t="s">
        <v>993</v>
      </c>
      <c r="D3471" s="317" t="s">
        <v>741</v>
      </c>
      <c r="E3471" s="122" t="s">
        <v>990</v>
      </c>
      <c r="F3471" s="122" t="s">
        <v>994</v>
      </c>
      <c r="G3471" s="122" t="s">
        <v>785</v>
      </c>
      <c r="H3471" s="122" t="s">
        <v>777</v>
      </c>
      <c r="I3471" s="312">
        <v>2020</v>
      </c>
      <c r="J3471" s="122" t="s">
        <v>711</v>
      </c>
      <c r="K3471" s="283">
        <v>4616</v>
      </c>
      <c r="L3471" s="318">
        <v>-32.835659</v>
      </c>
      <c r="M3471" s="318">
        <v>151.53852800000001</v>
      </c>
      <c r="O3471">
        <f>INDEX('MEC - traffic congestion'!$M$145:$M$249,MATCH($D3471,'MEC - traffic congestion'!$C$145:$C$249,0))</f>
        <v>1</v>
      </c>
      <c r="P3471" t="str">
        <f t="shared" si="155"/>
        <v>2020PM PEAK</v>
      </c>
      <c r="Q3471">
        <f t="shared" si="156"/>
        <v>1</v>
      </c>
      <c r="R3471" s="195" t="str">
        <f t="shared" si="157"/>
        <v>2020LIGHT VEHICLES</v>
      </c>
    </row>
    <row r="3472" spans="3:18" x14ac:dyDescent="0.25">
      <c r="C3472" s="294" t="s">
        <v>993</v>
      </c>
      <c r="D3472" s="317" t="s">
        <v>741</v>
      </c>
      <c r="E3472" s="122" t="s">
        <v>990</v>
      </c>
      <c r="F3472" s="122" t="s">
        <v>994</v>
      </c>
      <c r="G3472" s="122" t="s">
        <v>786</v>
      </c>
      <c r="H3472" s="122" t="s">
        <v>777</v>
      </c>
      <c r="I3472" s="312">
        <v>2020</v>
      </c>
      <c r="J3472" s="122" t="s">
        <v>711</v>
      </c>
      <c r="K3472" s="283">
        <v>4256</v>
      </c>
      <c r="L3472" s="318">
        <v>-32.835659</v>
      </c>
      <c r="M3472" s="318">
        <v>151.53852800000001</v>
      </c>
      <c r="O3472">
        <f>INDEX('MEC - traffic congestion'!$M$145:$M$249,MATCH($D3472,'MEC - traffic congestion'!$C$145:$C$249,0))</f>
        <v>1</v>
      </c>
      <c r="P3472" t="str">
        <f t="shared" si="155"/>
        <v>2020PM PEAK</v>
      </c>
      <c r="Q3472">
        <f t="shared" si="156"/>
        <v>1</v>
      </c>
      <c r="R3472" s="195" t="str">
        <f t="shared" si="157"/>
        <v>2020LIGHT VEHICLES</v>
      </c>
    </row>
    <row r="3473" spans="3:18" x14ac:dyDescent="0.25">
      <c r="C3473" s="294" t="s">
        <v>993</v>
      </c>
      <c r="D3473" s="317" t="s">
        <v>741</v>
      </c>
      <c r="E3473" s="122" t="s">
        <v>990</v>
      </c>
      <c r="F3473" s="122" t="s">
        <v>994</v>
      </c>
      <c r="G3473" s="122" t="s">
        <v>785</v>
      </c>
      <c r="H3473" s="122" t="s">
        <v>777</v>
      </c>
      <c r="I3473" s="312">
        <v>2020</v>
      </c>
      <c r="J3473" s="122" t="s">
        <v>712</v>
      </c>
      <c r="K3473" s="283">
        <v>7942</v>
      </c>
      <c r="L3473" s="318">
        <v>-32.835659</v>
      </c>
      <c r="M3473" s="318">
        <v>151.53852800000001</v>
      </c>
      <c r="O3473">
        <f>INDEX('MEC - traffic congestion'!$M$145:$M$249,MATCH($D3473,'MEC - traffic congestion'!$C$145:$C$249,0))</f>
        <v>1</v>
      </c>
      <c r="P3473" t="str">
        <f t="shared" si="155"/>
        <v>2020PUBLIC HOLIDAYS</v>
      </c>
      <c r="Q3473">
        <f t="shared" si="156"/>
        <v>1</v>
      </c>
      <c r="R3473" s="195" t="str">
        <f t="shared" si="157"/>
        <v>2020LIGHT VEHICLES</v>
      </c>
    </row>
    <row r="3474" spans="3:18" x14ac:dyDescent="0.25">
      <c r="C3474" s="294" t="s">
        <v>993</v>
      </c>
      <c r="D3474" s="317" t="s">
        <v>741</v>
      </c>
      <c r="E3474" s="122" t="s">
        <v>990</v>
      </c>
      <c r="F3474" s="122" t="s">
        <v>994</v>
      </c>
      <c r="G3474" s="122" t="s">
        <v>786</v>
      </c>
      <c r="H3474" s="122" t="s">
        <v>777</v>
      </c>
      <c r="I3474" s="312">
        <v>2020</v>
      </c>
      <c r="J3474" s="122" t="s">
        <v>712</v>
      </c>
      <c r="K3474" s="283">
        <v>7577</v>
      </c>
      <c r="L3474" s="318">
        <v>-32.835659</v>
      </c>
      <c r="M3474" s="318">
        <v>151.53852800000001</v>
      </c>
      <c r="O3474">
        <f>INDEX('MEC - traffic congestion'!$M$145:$M$249,MATCH($D3474,'MEC - traffic congestion'!$C$145:$C$249,0))</f>
        <v>1</v>
      </c>
      <c r="P3474" t="str">
        <f t="shared" si="155"/>
        <v>2020PUBLIC HOLIDAYS</v>
      </c>
      <c r="Q3474">
        <f t="shared" si="156"/>
        <v>1</v>
      </c>
      <c r="R3474" s="195" t="str">
        <f t="shared" si="157"/>
        <v>2020LIGHT VEHICLES</v>
      </c>
    </row>
    <row r="3475" spans="3:18" x14ac:dyDescent="0.25">
      <c r="C3475" s="294" t="s">
        <v>993</v>
      </c>
      <c r="D3475" s="317" t="s">
        <v>741</v>
      </c>
      <c r="E3475" s="122" t="s">
        <v>990</v>
      </c>
      <c r="F3475" s="122" t="s">
        <v>994</v>
      </c>
      <c r="G3475" s="122" t="s">
        <v>785</v>
      </c>
      <c r="H3475" s="122" t="s">
        <v>777</v>
      </c>
      <c r="I3475" s="312">
        <v>2020</v>
      </c>
      <c r="J3475" s="122" t="s">
        <v>713</v>
      </c>
      <c r="K3475" s="283">
        <v>10686</v>
      </c>
      <c r="L3475" s="318">
        <v>-32.835659</v>
      </c>
      <c r="M3475" s="318">
        <v>151.53852800000001</v>
      </c>
      <c r="O3475">
        <f>INDEX('MEC - traffic congestion'!$M$145:$M$249,MATCH($D3475,'MEC - traffic congestion'!$C$145:$C$249,0))</f>
        <v>1</v>
      </c>
      <c r="P3475" t="str">
        <f t="shared" si="155"/>
        <v>2020WEEKENDS</v>
      </c>
      <c r="Q3475">
        <f t="shared" si="156"/>
        <v>1</v>
      </c>
      <c r="R3475" s="195" t="str">
        <f t="shared" si="157"/>
        <v>2020LIGHT VEHICLES</v>
      </c>
    </row>
    <row r="3476" spans="3:18" x14ac:dyDescent="0.25">
      <c r="C3476" s="294" t="s">
        <v>993</v>
      </c>
      <c r="D3476" s="317" t="s">
        <v>741</v>
      </c>
      <c r="E3476" s="122" t="s">
        <v>990</v>
      </c>
      <c r="F3476" s="122" t="s">
        <v>994</v>
      </c>
      <c r="G3476" s="122" t="s">
        <v>786</v>
      </c>
      <c r="H3476" s="122" t="s">
        <v>777</v>
      </c>
      <c r="I3476" s="312">
        <v>2020</v>
      </c>
      <c r="J3476" s="122" t="s">
        <v>713</v>
      </c>
      <c r="K3476" s="283">
        <v>10253</v>
      </c>
      <c r="L3476" s="318">
        <v>-32.835659</v>
      </c>
      <c r="M3476" s="318">
        <v>151.53852800000001</v>
      </c>
      <c r="O3476">
        <f>INDEX('MEC - traffic congestion'!$M$145:$M$249,MATCH($D3476,'MEC - traffic congestion'!$C$145:$C$249,0))</f>
        <v>1</v>
      </c>
      <c r="P3476" t="str">
        <f t="shared" si="155"/>
        <v>2020WEEKENDS</v>
      </c>
      <c r="Q3476">
        <f t="shared" si="156"/>
        <v>1</v>
      </c>
      <c r="R3476" s="195" t="str">
        <f t="shared" si="157"/>
        <v>2020LIGHT VEHICLES</v>
      </c>
    </row>
    <row r="3477" spans="3:18" x14ac:dyDescent="0.25">
      <c r="C3477" s="294" t="s">
        <v>993</v>
      </c>
      <c r="D3477" s="317" t="s">
        <v>741</v>
      </c>
      <c r="E3477" s="122" t="s">
        <v>990</v>
      </c>
      <c r="F3477" s="122" t="s">
        <v>994</v>
      </c>
      <c r="G3477" s="122" t="s">
        <v>785</v>
      </c>
      <c r="H3477" s="122" t="s">
        <v>777</v>
      </c>
      <c r="I3477" s="312">
        <v>2021</v>
      </c>
      <c r="J3477" s="122" t="s">
        <v>709</v>
      </c>
      <c r="K3477" s="283">
        <v>4064</v>
      </c>
      <c r="L3477" s="318">
        <v>-32.835659</v>
      </c>
      <c r="M3477" s="318">
        <v>151.53852800000001</v>
      </c>
      <c r="O3477">
        <f>INDEX('MEC - traffic congestion'!$M$145:$M$249,MATCH($D3477,'MEC - traffic congestion'!$C$145:$C$249,0))</f>
        <v>1</v>
      </c>
      <c r="P3477" t="str">
        <f t="shared" ref="P3477:P3540" si="158">IF($O3477=1,$I3477&amp;$J3477,"")</f>
        <v>2021AM PEAK</v>
      </c>
      <c r="Q3477">
        <f t="shared" ref="Q3477:Q3540" si="159">IF(AND($M3477&gt;150.246,AND($L3477&gt;-34.397,$L3477&lt;-32.662)),1,0)</f>
        <v>1</v>
      </c>
      <c r="R3477" s="195" t="str">
        <f t="shared" ref="R3477:R3540" si="160">IF($O3477=1,$I3477&amp;$H3477,"")</f>
        <v>2021LIGHT VEHICLES</v>
      </c>
    </row>
    <row r="3478" spans="3:18" x14ac:dyDescent="0.25">
      <c r="C3478" s="294" t="s">
        <v>993</v>
      </c>
      <c r="D3478" s="317" t="s">
        <v>741</v>
      </c>
      <c r="E3478" s="122" t="s">
        <v>990</v>
      </c>
      <c r="F3478" s="122" t="s">
        <v>994</v>
      </c>
      <c r="G3478" s="122" t="s">
        <v>786</v>
      </c>
      <c r="H3478" s="122" t="s">
        <v>777</v>
      </c>
      <c r="I3478" s="312">
        <v>2021</v>
      </c>
      <c r="J3478" s="122" t="s">
        <v>709</v>
      </c>
      <c r="K3478" s="283">
        <v>4014</v>
      </c>
      <c r="L3478" s="318">
        <v>-32.835659</v>
      </c>
      <c r="M3478" s="318">
        <v>151.53852800000001</v>
      </c>
      <c r="O3478">
        <f>INDEX('MEC - traffic congestion'!$M$145:$M$249,MATCH($D3478,'MEC - traffic congestion'!$C$145:$C$249,0))</f>
        <v>1</v>
      </c>
      <c r="P3478" t="str">
        <f t="shared" si="158"/>
        <v>2021AM PEAK</v>
      </c>
      <c r="Q3478">
        <f t="shared" si="159"/>
        <v>1</v>
      </c>
      <c r="R3478" s="195" t="str">
        <f t="shared" si="160"/>
        <v>2021LIGHT VEHICLES</v>
      </c>
    </row>
    <row r="3479" spans="3:18" x14ac:dyDescent="0.25">
      <c r="C3479" s="294" t="s">
        <v>993</v>
      </c>
      <c r="D3479" s="317" t="s">
        <v>741</v>
      </c>
      <c r="E3479" s="122" t="s">
        <v>990</v>
      </c>
      <c r="F3479" s="122" t="s">
        <v>994</v>
      </c>
      <c r="G3479" s="122" t="s">
        <v>785</v>
      </c>
      <c r="H3479" s="122" t="s">
        <v>777</v>
      </c>
      <c r="I3479" s="312">
        <v>2021</v>
      </c>
      <c r="J3479" s="122" t="s">
        <v>710</v>
      </c>
      <c r="K3479" s="283">
        <v>5813</v>
      </c>
      <c r="L3479" s="318">
        <v>-32.835659</v>
      </c>
      <c r="M3479" s="318">
        <v>151.53852800000001</v>
      </c>
      <c r="O3479">
        <f>INDEX('MEC - traffic congestion'!$M$145:$M$249,MATCH($D3479,'MEC - traffic congestion'!$C$145:$C$249,0))</f>
        <v>1</v>
      </c>
      <c r="P3479" t="str">
        <f t="shared" si="158"/>
        <v>2021OFF PEAK</v>
      </c>
      <c r="Q3479">
        <f t="shared" si="159"/>
        <v>1</v>
      </c>
      <c r="R3479" s="195" t="str">
        <f t="shared" si="160"/>
        <v>2021LIGHT VEHICLES</v>
      </c>
    </row>
    <row r="3480" spans="3:18" x14ac:dyDescent="0.25">
      <c r="C3480" s="294" t="s">
        <v>993</v>
      </c>
      <c r="D3480" s="317" t="s">
        <v>741</v>
      </c>
      <c r="E3480" s="122" t="s">
        <v>990</v>
      </c>
      <c r="F3480" s="122" t="s">
        <v>994</v>
      </c>
      <c r="G3480" s="122" t="s">
        <v>786</v>
      </c>
      <c r="H3480" s="122" t="s">
        <v>777</v>
      </c>
      <c r="I3480" s="312">
        <v>2021</v>
      </c>
      <c r="J3480" s="122" t="s">
        <v>710</v>
      </c>
      <c r="K3480" s="283">
        <v>5957</v>
      </c>
      <c r="L3480" s="318">
        <v>-32.835659</v>
      </c>
      <c r="M3480" s="318">
        <v>151.53852800000001</v>
      </c>
      <c r="O3480">
        <f>INDEX('MEC - traffic congestion'!$M$145:$M$249,MATCH($D3480,'MEC - traffic congestion'!$C$145:$C$249,0))</f>
        <v>1</v>
      </c>
      <c r="P3480" t="str">
        <f t="shared" si="158"/>
        <v>2021OFF PEAK</v>
      </c>
      <c r="Q3480">
        <f t="shared" si="159"/>
        <v>1</v>
      </c>
      <c r="R3480" s="195" t="str">
        <f t="shared" si="160"/>
        <v>2021LIGHT VEHICLES</v>
      </c>
    </row>
    <row r="3481" spans="3:18" x14ac:dyDescent="0.25">
      <c r="C3481" s="294" t="s">
        <v>993</v>
      </c>
      <c r="D3481" s="317" t="s">
        <v>741</v>
      </c>
      <c r="E3481" s="122" t="s">
        <v>990</v>
      </c>
      <c r="F3481" s="122" t="s">
        <v>994</v>
      </c>
      <c r="G3481" s="122" t="s">
        <v>785</v>
      </c>
      <c r="H3481" s="122" t="s">
        <v>777</v>
      </c>
      <c r="I3481" s="312">
        <v>2021</v>
      </c>
      <c r="J3481" s="122" t="s">
        <v>711</v>
      </c>
      <c r="K3481" s="283">
        <v>4544</v>
      </c>
      <c r="L3481" s="318">
        <v>-32.835659</v>
      </c>
      <c r="M3481" s="318">
        <v>151.53852800000001</v>
      </c>
      <c r="O3481">
        <f>INDEX('MEC - traffic congestion'!$M$145:$M$249,MATCH($D3481,'MEC - traffic congestion'!$C$145:$C$249,0))</f>
        <v>1</v>
      </c>
      <c r="P3481" t="str">
        <f t="shared" si="158"/>
        <v>2021PM PEAK</v>
      </c>
      <c r="Q3481">
        <f t="shared" si="159"/>
        <v>1</v>
      </c>
      <c r="R3481" s="195" t="str">
        <f t="shared" si="160"/>
        <v>2021LIGHT VEHICLES</v>
      </c>
    </row>
    <row r="3482" spans="3:18" x14ac:dyDescent="0.25">
      <c r="C3482" s="294" t="s">
        <v>993</v>
      </c>
      <c r="D3482" s="317" t="s">
        <v>741</v>
      </c>
      <c r="E3482" s="122" t="s">
        <v>990</v>
      </c>
      <c r="F3482" s="122" t="s">
        <v>994</v>
      </c>
      <c r="G3482" s="122" t="s">
        <v>786</v>
      </c>
      <c r="H3482" s="122" t="s">
        <v>777</v>
      </c>
      <c r="I3482" s="312">
        <v>2021</v>
      </c>
      <c r="J3482" s="122" t="s">
        <v>711</v>
      </c>
      <c r="K3482" s="283">
        <v>4161</v>
      </c>
      <c r="L3482" s="318">
        <v>-32.835659</v>
      </c>
      <c r="M3482" s="318">
        <v>151.53852800000001</v>
      </c>
      <c r="O3482">
        <f>INDEX('MEC - traffic congestion'!$M$145:$M$249,MATCH($D3482,'MEC - traffic congestion'!$C$145:$C$249,0))</f>
        <v>1</v>
      </c>
      <c r="P3482" t="str">
        <f t="shared" si="158"/>
        <v>2021PM PEAK</v>
      </c>
      <c r="Q3482">
        <f t="shared" si="159"/>
        <v>1</v>
      </c>
      <c r="R3482" s="195" t="str">
        <f t="shared" si="160"/>
        <v>2021LIGHT VEHICLES</v>
      </c>
    </row>
    <row r="3483" spans="3:18" x14ac:dyDescent="0.25">
      <c r="C3483" s="294" t="s">
        <v>993</v>
      </c>
      <c r="D3483" s="317" t="s">
        <v>741</v>
      </c>
      <c r="E3483" s="122" t="s">
        <v>990</v>
      </c>
      <c r="F3483" s="122" t="s">
        <v>994</v>
      </c>
      <c r="G3483" s="122" t="s">
        <v>785</v>
      </c>
      <c r="H3483" s="122" t="s">
        <v>777</v>
      </c>
      <c r="I3483" s="312">
        <v>2021</v>
      </c>
      <c r="J3483" s="122" t="s">
        <v>713</v>
      </c>
      <c r="K3483" s="283">
        <v>10570</v>
      </c>
      <c r="L3483" s="318">
        <v>-32.835659</v>
      </c>
      <c r="M3483" s="318">
        <v>151.53852800000001</v>
      </c>
      <c r="O3483">
        <f>INDEX('MEC - traffic congestion'!$M$145:$M$249,MATCH($D3483,'MEC - traffic congestion'!$C$145:$C$249,0))</f>
        <v>1</v>
      </c>
      <c r="P3483" t="str">
        <f t="shared" si="158"/>
        <v>2021WEEKENDS</v>
      </c>
      <c r="Q3483">
        <f t="shared" si="159"/>
        <v>1</v>
      </c>
      <c r="R3483" s="195" t="str">
        <f t="shared" si="160"/>
        <v>2021LIGHT VEHICLES</v>
      </c>
    </row>
    <row r="3484" spans="3:18" x14ac:dyDescent="0.25">
      <c r="C3484" s="294" t="s">
        <v>993</v>
      </c>
      <c r="D3484" s="317" t="s">
        <v>741</v>
      </c>
      <c r="E3484" s="122" t="s">
        <v>990</v>
      </c>
      <c r="F3484" s="122" t="s">
        <v>994</v>
      </c>
      <c r="G3484" s="122" t="s">
        <v>786</v>
      </c>
      <c r="H3484" s="122" t="s">
        <v>777</v>
      </c>
      <c r="I3484" s="312">
        <v>2021</v>
      </c>
      <c r="J3484" s="122" t="s">
        <v>713</v>
      </c>
      <c r="K3484" s="283">
        <v>10072</v>
      </c>
      <c r="L3484" s="318">
        <v>-32.835659</v>
      </c>
      <c r="M3484" s="318">
        <v>151.53852800000001</v>
      </c>
      <c r="O3484">
        <f>INDEX('MEC - traffic congestion'!$M$145:$M$249,MATCH($D3484,'MEC - traffic congestion'!$C$145:$C$249,0))</f>
        <v>1</v>
      </c>
      <c r="P3484" t="str">
        <f t="shared" si="158"/>
        <v>2021WEEKENDS</v>
      </c>
      <c r="Q3484">
        <f t="shared" si="159"/>
        <v>1</v>
      </c>
      <c r="R3484" s="195" t="str">
        <f t="shared" si="160"/>
        <v>2021LIGHT VEHICLES</v>
      </c>
    </row>
    <row r="3485" spans="3:18" x14ac:dyDescent="0.25">
      <c r="C3485" s="294" t="s">
        <v>993</v>
      </c>
      <c r="D3485" s="317" t="s">
        <v>741</v>
      </c>
      <c r="E3485" s="122" t="s">
        <v>990</v>
      </c>
      <c r="F3485" s="122" t="s">
        <v>994</v>
      </c>
      <c r="G3485" s="122" t="s">
        <v>785</v>
      </c>
      <c r="H3485" s="122" t="s">
        <v>777</v>
      </c>
      <c r="I3485" s="312">
        <v>2022</v>
      </c>
      <c r="J3485" s="122" t="s">
        <v>709</v>
      </c>
      <c r="K3485" s="283">
        <v>4053</v>
      </c>
      <c r="L3485" s="318">
        <v>-32.835659</v>
      </c>
      <c r="M3485" s="318">
        <v>151.53852800000001</v>
      </c>
      <c r="O3485">
        <f>INDEX('MEC - traffic congestion'!$M$145:$M$249,MATCH($D3485,'MEC - traffic congestion'!$C$145:$C$249,0))</f>
        <v>1</v>
      </c>
      <c r="P3485" t="str">
        <f t="shared" si="158"/>
        <v>2022AM PEAK</v>
      </c>
      <c r="Q3485">
        <f t="shared" si="159"/>
        <v>1</v>
      </c>
      <c r="R3485" s="195" t="str">
        <f t="shared" si="160"/>
        <v>2022LIGHT VEHICLES</v>
      </c>
    </row>
    <row r="3486" spans="3:18" x14ac:dyDescent="0.25">
      <c r="C3486" s="294" t="s">
        <v>993</v>
      </c>
      <c r="D3486" s="317" t="s">
        <v>741</v>
      </c>
      <c r="E3486" s="122" t="s">
        <v>990</v>
      </c>
      <c r="F3486" s="122" t="s">
        <v>994</v>
      </c>
      <c r="G3486" s="122" t="s">
        <v>786</v>
      </c>
      <c r="H3486" s="122" t="s">
        <v>777</v>
      </c>
      <c r="I3486" s="312">
        <v>2022</v>
      </c>
      <c r="J3486" s="122" t="s">
        <v>709</v>
      </c>
      <c r="K3486" s="283">
        <v>3996</v>
      </c>
      <c r="L3486" s="318">
        <v>-32.835659</v>
      </c>
      <c r="M3486" s="318">
        <v>151.53852800000001</v>
      </c>
      <c r="O3486">
        <f>INDEX('MEC - traffic congestion'!$M$145:$M$249,MATCH($D3486,'MEC - traffic congestion'!$C$145:$C$249,0))</f>
        <v>1</v>
      </c>
      <c r="P3486" t="str">
        <f t="shared" si="158"/>
        <v>2022AM PEAK</v>
      </c>
      <c r="Q3486">
        <f t="shared" si="159"/>
        <v>1</v>
      </c>
      <c r="R3486" s="195" t="str">
        <f t="shared" si="160"/>
        <v>2022LIGHT VEHICLES</v>
      </c>
    </row>
    <row r="3487" spans="3:18" x14ac:dyDescent="0.25">
      <c r="C3487" s="294" t="s">
        <v>993</v>
      </c>
      <c r="D3487" s="317" t="s">
        <v>741</v>
      </c>
      <c r="E3487" s="122" t="s">
        <v>990</v>
      </c>
      <c r="F3487" s="122" t="s">
        <v>994</v>
      </c>
      <c r="G3487" s="122" t="s">
        <v>785</v>
      </c>
      <c r="H3487" s="122" t="s">
        <v>777</v>
      </c>
      <c r="I3487" s="312">
        <v>2022</v>
      </c>
      <c r="J3487" s="122" t="s">
        <v>710</v>
      </c>
      <c r="K3487" s="283">
        <v>5948</v>
      </c>
      <c r="L3487" s="318">
        <v>-32.835659</v>
      </c>
      <c r="M3487" s="318">
        <v>151.53852800000001</v>
      </c>
      <c r="O3487">
        <f>INDEX('MEC - traffic congestion'!$M$145:$M$249,MATCH($D3487,'MEC - traffic congestion'!$C$145:$C$249,0))</f>
        <v>1</v>
      </c>
      <c r="P3487" t="str">
        <f t="shared" si="158"/>
        <v>2022OFF PEAK</v>
      </c>
      <c r="Q3487">
        <f t="shared" si="159"/>
        <v>1</v>
      </c>
      <c r="R3487" s="195" t="str">
        <f t="shared" si="160"/>
        <v>2022LIGHT VEHICLES</v>
      </c>
    </row>
    <row r="3488" spans="3:18" x14ac:dyDescent="0.25">
      <c r="C3488" s="294" t="s">
        <v>993</v>
      </c>
      <c r="D3488" s="317" t="s">
        <v>741</v>
      </c>
      <c r="E3488" s="122" t="s">
        <v>990</v>
      </c>
      <c r="F3488" s="122" t="s">
        <v>994</v>
      </c>
      <c r="G3488" s="122" t="s">
        <v>786</v>
      </c>
      <c r="H3488" s="122" t="s">
        <v>777</v>
      </c>
      <c r="I3488" s="312">
        <v>2022</v>
      </c>
      <c r="J3488" s="122" t="s">
        <v>710</v>
      </c>
      <c r="K3488" s="283">
        <v>6031</v>
      </c>
      <c r="L3488" s="318">
        <v>-32.835659</v>
      </c>
      <c r="M3488" s="318">
        <v>151.53852800000001</v>
      </c>
      <c r="O3488">
        <f>INDEX('MEC - traffic congestion'!$M$145:$M$249,MATCH($D3488,'MEC - traffic congestion'!$C$145:$C$249,0))</f>
        <v>1</v>
      </c>
      <c r="P3488" t="str">
        <f t="shared" si="158"/>
        <v>2022OFF PEAK</v>
      </c>
      <c r="Q3488">
        <f t="shared" si="159"/>
        <v>1</v>
      </c>
      <c r="R3488" s="195" t="str">
        <f t="shared" si="160"/>
        <v>2022LIGHT VEHICLES</v>
      </c>
    </row>
    <row r="3489" spans="3:18" x14ac:dyDescent="0.25">
      <c r="C3489" s="294" t="s">
        <v>993</v>
      </c>
      <c r="D3489" s="317" t="s">
        <v>741</v>
      </c>
      <c r="E3489" s="122" t="s">
        <v>990</v>
      </c>
      <c r="F3489" s="122" t="s">
        <v>994</v>
      </c>
      <c r="G3489" s="122" t="s">
        <v>785</v>
      </c>
      <c r="H3489" s="122" t="s">
        <v>777</v>
      </c>
      <c r="I3489" s="312">
        <v>2022</v>
      </c>
      <c r="J3489" s="122" t="s">
        <v>711</v>
      </c>
      <c r="K3489" s="283">
        <v>4525</v>
      </c>
      <c r="L3489" s="318">
        <v>-32.835659</v>
      </c>
      <c r="M3489" s="318">
        <v>151.53852800000001</v>
      </c>
      <c r="O3489">
        <f>INDEX('MEC - traffic congestion'!$M$145:$M$249,MATCH($D3489,'MEC - traffic congestion'!$C$145:$C$249,0))</f>
        <v>1</v>
      </c>
      <c r="P3489" t="str">
        <f t="shared" si="158"/>
        <v>2022PM PEAK</v>
      </c>
      <c r="Q3489">
        <f t="shared" si="159"/>
        <v>1</v>
      </c>
      <c r="R3489" s="195" t="str">
        <f t="shared" si="160"/>
        <v>2022LIGHT VEHICLES</v>
      </c>
    </row>
    <row r="3490" spans="3:18" x14ac:dyDescent="0.25">
      <c r="C3490" s="294" t="s">
        <v>993</v>
      </c>
      <c r="D3490" s="317" t="s">
        <v>741</v>
      </c>
      <c r="E3490" s="122" t="s">
        <v>990</v>
      </c>
      <c r="F3490" s="122" t="s">
        <v>994</v>
      </c>
      <c r="G3490" s="122" t="s">
        <v>786</v>
      </c>
      <c r="H3490" s="122" t="s">
        <v>777</v>
      </c>
      <c r="I3490" s="312">
        <v>2022</v>
      </c>
      <c r="J3490" s="122" t="s">
        <v>711</v>
      </c>
      <c r="K3490" s="283">
        <v>4228</v>
      </c>
      <c r="L3490" s="318">
        <v>-32.835659</v>
      </c>
      <c r="M3490" s="318">
        <v>151.53852800000001</v>
      </c>
      <c r="O3490">
        <f>INDEX('MEC - traffic congestion'!$M$145:$M$249,MATCH($D3490,'MEC - traffic congestion'!$C$145:$C$249,0))</f>
        <v>1</v>
      </c>
      <c r="P3490" t="str">
        <f t="shared" si="158"/>
        <v>2022PM PEAK</v>
      </c>
      <c r="Q3490">
        <f t="shared" si="159"/>
        <v>1</v>
      </c>
      <c r="R3490" s="195" t="str">
        <f t="shared" si="160"/>
        <v>2022LIGHT VEHICLES</v>
      </c>
    </row>
    <row r="3491" spans="3:18" x14ac:dyDescent="0.25">
      <c r="C3491" s="294" t="s">
        <v>993</v>
      </c>
      <c r="D3491" s="317" t="s">
        <v>741</v>
      </c>
      <c r="E3491" s="122" t="s">
        <v>990</v>
      </c>
      <c r="F3491" s="122" t="s">
        <v>994</v>
      </c>
      <c r="G3491" s="122" t="s">
        <v>785</v>
      </c>
      <c r="H3491" s="122" t="s">
        <v>777</v>
      </c>
      <c r="I3491" s="312">
        <v>2022</v>
      </c>
      <c r="J3491" s="122" t="s">
        <v>713</v>
      </c>
      <c r="K3491" s="283">
        <v>11934</v>
      </c>
      <c r="L3491" s="318">
        <v>-32.835659</v>
      </c>
      <c r="M3491" s="318">
        <v>151.53852800000001</v>
      </c>
      <c r="O3491">
        <f>INDEX('MEC - traffic congestion'!$M$145:$M$249,MATCH($D3491,'MEC - traffic congestion'!$C$145:$C$249,0))</f>
        <v>1</v>
      </c>
      <c r="P3491" t="str">
        <f t="shared" si="158"/>
        <v>2022WEEKENDS</v>
      </c>
      <c r="Q3491">
        <f t="shared" si="159"/>
        <v>1</v>
      </c>
      <c r="R3491" s="195" t="str">
        <f t="shared" si="160"/>
        <v>2022LIGHT VEHICLES</v>
      </c>
    </row>
    <row r="3492" spans="3:18" x14ac:dyDescent="0.25">
      <c r="C3492" s="294" t="s">
        <v>993</v>
      </c>
      <c r="D3492" s="317" t="s">
        <v>741</v>
      </c>
      <c r="E3492" s="122" t="s">
        <v>990</v>
      </c>
      <c r="F3492" s="122" t="s">
        <v>994</v>
      </c>
      <c r="G3492" s="122" t="s">
        <v>786</v>
      </c>
      <c r="H3492" s="122" t="s">
        <v>777</v>
      </c>
      <c r="I3492" s="312">
        <v>2022</v>
      </c>
      <c r="J3492" s="122" t="s">
        <v>713</v>
      </c>
      <c r="K3492" s="283">
        <v>11343</v>
      </c>
      <c r="L3492" s="318">
        <v>-32.835659</v>
      </c>
      <c r="M3492" s="318">
        <v>151.53852800000001</v>
      </c>
      <c r="O3492">
        <f>INDEX('MEC - traffic congestion'!$M$145:$M$249,MATCH($D3492,'MEC - traffic congestion'!$C$145:$C$249,0))</f>
        <v>1</v>
      </c>
      <c r="P3492" t="str">
        <f t="shared" si="158"/>
        <v>2022WEEKENDS</v>
      </c>
      <c r="Q3492">
        <f t="shared" si="159"/>
        <v>1</v>
      </c>
      <c r="R3492" s="195" t="str">
        <f t="shared" si="160"/>
        <v>2022LIGHT VEHICLES</v>
      </c>
    </row>
    <row r="3493" spans="3:18" x14ac:dyDescent="0.25">
      <c r="C3493" s="294" t="s">
        <v>993</v>
      </c>
      <c r="D3493" s="317" t="s">
        <v>741</v>
      </c>
      <c r="E3493" s="122" t="s">
        <v>990</v>
      </c>
      <c r="F3493" s="122" t="s">
        <v>994</v>
      </c>
      <c r="G3493" s="122" t="s">
        <v>785</v>
      </c>
      <c r="H3493" s="122" t="s">
        <v>777</v>
      </c>
      <c r="I3493" s="312">
        <v>2023</v>
      </c>
      <c r="J3493" s="122" t="s">
        <v>709</v>
      </c>
      <c r="K3493" s="283">
        <v>4391</v>
      </c>
      <c r="L3493" s="318">
        <v>-32.835659</v>
      </c>
      <c r="M3493" s="318">
        <v>151.53852800000001</v>
      </c>
      <c r="O3493">
        <f>INDEX('MEC - traffic congestion'!$M$145:$M$249,MATCH($D3493,'MEC - traffic congestion'!$C$145:$C$249,0))</f>
        <v>1</v>
      </c>
      <c r="P3493" t="str">
        <f t="shared" si="158"/>
        <v>2023AM PEAK</v>
      </c>
      <c r="Q3493">
        <f t="shared" si="159"/>
        <v>1</v>
      </c>
      <c r="R3493" s="195" t="str">
        <f t="shared" si="160"/>
        <v>2023LIGHT VEHICLES</v>
      </c>
    </row>
    <row r="3494" spans="3:18" x14ac:dyDescent="0.25">
      <c r="C3494" s="294" t="s">
        <v>993</v>
      </c>
      <c r="D3494" s="317" t="s">
        <v>741</v>
      </c>
      <c r="E3494" s="122" t="s">
        <v>990</v>
      </c>
      <c r="F3494" s="122" t="s">
        <v>994</v>
      </c>
      <c r="G3494" s="122" t="s">
        <v>786</v>
      </c>
      <c r="H3494" s="122" t="s">
        <v>777</v>
      </c>
      <c r="I3494" s="312">
        <v>2023</v>
      </c>
      <c r="J3494" s="122" t="s">
        <v>709</v>
      </c>
      <c r="K3494" s="283">
        <v>4449</v>
      </c>
      <c r="L3494" s="318">
        <v>-32.835659</v>
      </c>
      <c r="M3494" s="318">
        <v>151.53852800000001</v>
      </c>
      <c r="O3494">
        <f>INDEX('MEC - traffic congestion'!$M$145:$M$249,MATCH($D3494,'MEC - traffic congestion'!$C$145:$C$249,0))</f>
        <v>1</v>
      </c>
      <c r="P3494" t="str">
        <f t="shared" si="158"/>
        <v>2023AM PEAK</v>
      </c>
      <c r="Q3494">
        <f t="shared" si="159"/>
        <v>1</v>
      </c>
      <c r="R3494" s="195" t="str">
        <f t="shared" si="160"/>
        <v>2023LIGHT VEHICLES</v>
      </c>
    </row>
    <row r="3495" spans="3:18" x14ac:dyDescent="0.25">
      <c r="C3495" s="294" t="s">
        <v>993</v>
      </c>
      <c r="D3495" s="317" t="s">
        <v>741</v>
      </c>
      <c r="E3495" s="122" t="s">
        <v>990</v>
      </c>
      <c r="F3495" s="122" t="s">
        <v>994</v>
      </c>
      <c r="G3495" s="122" t="s">
        <v>785</v>
      </c>
      <c r="H3495" s="122" t="s">
        <v>777</v>
      </c>
      <c r="I3495" s="312">
        <v>2023</v>
      </c>
      <c r="J3495" s="122" t="s">
        <v>710</v>
      </c>
      <c r="K3495" s="283">
        <v>6067</v>
      </c>
      <c r="L3495" s="318">
        <v>-32.835659</v>
      </c>
      <c r="M3495" s="318">
        <v>151.53852800000001</v>
      </c>
      <c r="O3495">
        <f>INDEX('MEC - traffic congestion'!$M$145:$M$249,MATCH($D3495,'MEC - traffic congestion'!$C$145:$C$249,0))</f>
        <v>1</v>
      </c>
      <c r="P3495" t="str">
        <f t="shared" si="158"/>
        <v>2023OFF PEAK</v>
      </c>
      <c r="Q3495">
        <f t="shared" si="159"/>
        <v>1</v>
      </c>
      <c r="R3495" s="195" t="str">
        <f t="shared" si="160"/>
        <v>2023LIGHT VEHICLES</v>
      </c>
    </row>
    <row r="3496" spans="3:18" x14ac:dyDescent="0.25">
      <c r="C3496" s="294" t="s">
        <v>993</v>
      </c>
      <c r="D3496" s="317" t="s">
        <v>741</v>
      </c>
      <c r="E3496" s="122" t="s">
        <v>990</v>
      </c>
      <c r="F3496" s="122" t="s">
        <v>994</v>
      </c>
      <c r="G3496" s="122" t="s">
        <v>786</v>
      </c>
      <c r="H3496" s="122" t="s">
        <v>777</v>
      </c>
      <c r="I3496" s="312">
        <v>2023</v>
      </c>
      <c r="J3496" s="122" t="s">
        <v>710</v>
      </c>
      <c r="K3496" s="283">
        <v>6906</v>
      </c>
      <c r="L3496" s="318">
        <v>-32.835659</v>
      </c>
      <c r="M3496" s="318">
        <v>151.53852800000001</v>
      </c>
      <c r="O3496">
        <f>INDEX('MEC - traffic congestion'!$M$145:$M$249,MATCH($D3496,'MEC - traffic congestion'!$C$145:$C$249,0))</f>
        <v>1</v>
      </c>
      <c r="P3496" t="str">
        <f t="shared" si="158"/>
        <v>2023OFF PEAK</v>
      </c>
      <c r="Q3496">
        <f t="shared" si="159"/>
        <v>1</v>
      </c>
      <c r="R3496" s="195" t="str">
        <f t="shared" si="160"/>
        <v>2023LIGHT VEHICLES</v>
      </c>
    </row>
    <row r="3497" spans="3:18" x14ac:dyDescent="0.25">
      <c r="C3497" s="294" t="s">
        <v>993</v>
      </c>
      <c r="D3497" s="317" t="s">
        <v>741</v>
      </c>
      <c r="E3497" s="122" t="s">
        <v>990</v>
      </c>
      <c r="F3497" s="122" t="s">
        <v>994</v>
      </c>
      <c r="G3497" s="122" t="s">
        <v>785</v>
      </c>
      <c r="H3497" s="122" t="s">
        <v>777</v>
      </c>
      <c r="I3497" s="312">
        <v>2023</v>
      </c>
      <c r="J3497" s="122" t="s">
        <v>711</v>
      </c>
      <c r="K3497" s="283">
        <v>4559</v>
      </c>
      <c r="L3497" s="318">
        <v>-32.835659</v>
      </c>
      <c r="M3497" s="318">
        <v>151.53852800000001</v>
      </c>
      <c r="O3497">
        <f>INDEX('MEC - traffic congestion'!$M$145:$M$249,MATCH($D3497,'MEC - traffic congestion'!$C$145:$C$249,0))</f>
        <v>1</v>
      </c>
      <c r="P3497" t="str">
        <f t="shared" si="158"/>
        <v>2023PM PEAK</v>
      </c>
      <c r="Q3497">
        <f t="shared" si="159"/>
        <v>1</v>
      </c>
      <c r="R3497" s="195" t="str">
        <f t="shared" si="160"/>
        <v>2023LIGHT VEHICLES</v>
      </c>
    </row>
    <row r="3498" spans="3:18" x14ac:dyDescent="0.25">
      <c r="C3498" s="294" t="s">
        <v>993</v>
      </c>
      <c r="D3498" s="317" t="s">
        <v>741</v>
      </c>
      <c r="E3498" s="122" t="s">
        <v>990</v>
      </c>
      <c r="F3498" s="122" t="s">
        <v>994</v>
      </c>
      <c r="G3498" s="122" t="s">
        <v>786</v>
      </c>
      <c r="H3498" s="122" t="s">
        <v>777</v>
      </c>
      <c r="I3498" s="312">
        <v>2023</v>
      </c>
      <c r="J3498" s="122" t="s">
        <v>711</v>
      </c>
      <c r="K3498" s="283">
        <v>4833</v>
      </c>
      <c r="L3498" s="318">
        <v>-32.835659</v>
      </c>
      <c r="M3498" s="318">
        <v>151.53852800000001</v>
      </c>
      <c r="O3498">
        <f>INDEX('MEC - traffic congestion'!$M$145:$M$249,MATCH($D3498,'MEC - traffic congestion'!$C$145:$C$249,0))</f>
        <v>1</v>
      </c>
      <c r="P3498" t="str">
        <f t="shared" si="158"/>
        <v>2023PM PEAK</v>
      </c>
      <c r="Q3498">
        <f t="shared" si="159"/>
        <v>1</v>
      </c>
      <c r="R3498" s="195" t="str">
        <f t="shared" si="160"/>
        <v>2023LIGHT VEHICLES</v>
      </c>
    </row>
    <row r="3499" spans="3:18" x14ac:dyDescent="0.25">
      <c r="C3499" s="294" t="s">
        <v>993</v>
      </c>
      <c r="D3499" s="317" t="s">
        <v>741</v>
      </c>
      <c r="E3499" s="122" t="s">
        <v>990</v>
      </c>
      <c r="F3499" s="122" t="s">
        <v>994</v>
      </c>
      <c r="G3499" s="122" t="s">
        <v>785</v>
      </c>
      <c r="H3499" s="122" t="s">
        <v>777</v>
      </c>
      <c r="I3499" s="312">
        <v>2023</v>
      </c>
      <c r="J3499" s="122" t="s">
        <v>713</v>
      </c>
      <c r="K3499" s="283">
        <v>11109</v>
      </c>
      <c r="L3499" s="318">
        <v>-32.835659</v>
      </c>
      <c r="M3499" s="318">
        <v>151.53852800000001</v>
      </c>
      <c r="O3499">
        <f>INDEX('MEC - traffic congestion'!$M$145:$M$249,MATCH($D3499,'MEC - traffic congestion'!$C$145:$C$249,0))</f>
        <v>1</v>
      </c>
      <c r="P3499" t="str">
        <f t="shared" si="158"/>
        <v>2023WEEKENDS</v>
      </c>
      <c r="Q3499">
        <f t="shared" si="159"/>
        <v>1</v>
      </c>
      <c r="R3499" s="195" t="str">
        <f t="shared" si="160"/>
        <v>2023LIGHT VEHICLES</v>
      </c>
    </row>
    <row r="3500" spans="3:18" x14ac:dyDescent="0.25">
      <c r="C3500" s="294" t="s">
        <v>993</v>
      </c>
      <c r="D3500" s="317" t="s">
        <v>741</v>
      </c>
      <c r="E3500" s="122" t="s">
        <v>990</v>
      </c>
      <c r="F3500" s="122" t="s">
        <v>994</v>
      </c>
      <c r="G3500" s="122" t="s">
        <v>786</v>
      </c>
      <c r="H3500" s="122" t="s">
        <v>777</v>
      </c>
      <c r="I3500" s="312">
        <v>2023</v>
      </c>
      <c r="J3500" s="122" t="s">
        <v>713</v>
      </c>
      <c r="K3500" s="283">
        <v>12567</v>
      </c>
      <c r="L3500" s="318">
        <v>-32.835659</v>
      </c>
      <c r="M3500" s="318">
        <v>151.53852800000001</v>
      </c>
      <c r="O3500">
        <f>INDEX('MEC - traffic congestion'!$M$145:$M$249,MATCH($D3500,'MEC - traffic congestion'!$C$145:$C$249,0))</f>
        <v>1</v>
      </c>
      <c r="P3500" t="str">
        <f t="shared" si="158"/>
        <v>2023WEEKENDS</v>
      </c>
      <c r="Q3500">
        <f t="shared" si="159"/>
        <v>1</v>
      </c>
      <c r="R3500" s="195" t="str">
        <f t="shared" si="160"/>
        <v>2023LIGHT VEHICLES</v>
      </c>
    </row>
    <row r="3501" spans="3:18" x14ac:dyDescent="0.25">
      <c r="C3501" s="294" t="s">
        <v>993</v>
      </c>
      <c r="D3501" s="317" t="s">
        <v>741</v>
      </c>
      <c r="E3501" s="122" t="s">
        <v>990</v>
      </c>
      <c r="F3501" s="122" t="s">
        <v>994</v>
      </c>
      <c r="G3501" s="122" t="s">
        <v>786</v>
      </c>
      <c r="H3501" s="122" t="s">
        <v>777</v>
      </c>
      <c r="I3501" s="312">
        <v>2024</v>
      </c>
      <c r="J3501" s="122" t="s">
        <v>709</v>
      </c>
      <c r="K3501" s="283">
        <v>4342</v>
      </c>
      <c r="L3501" s="318">
        <v>-32.835659</v>
      </c>
      <c r="M3501" s="318">
        <v>151.53852800000001</v>
      </c>
      <c r="O3501">
        <f>INDEX('MEC - traffic congestion'!$M$145:$M$249,MATCH($D3501,'MEC - traffic congestion'!$C$145:$C$249,0))</f>
        <v>1</v>
      </c>
      <c r="P3501" t="str">
        <f t="shared" si="158"/>
        <v>2024AM PEAK</v>
      </c>
      <c r="Q3501">
        <f t="shared" si="159"/>
        <v>1</v>
      </c>
      <c r="R3501" s="195" t="str">
        <f t="shared" si="160"/>
        <v>2024LIGHT VEHICLES</v>
      </c>
    </row>
    <row r="3502" spans="3:18" x14ac:dyDescent="0.25">
      <c r="C3502" s="294" t="s">
        <v>993</v>
      </c>
      <c r="D3502" s="317" t="s">
        <v>741</v>
      </c>
      <c r="E3502" s="122" t="s">
        <v>990</v>
      </c>
      <c r="F3502" s="122" t="s">
        <v>994</v>
      </c>
      <c r="G3502" s="122" t="s">
        <v>786</v>
      </c>
      <c r="H3502" s="122" t="s">
        <v>777</v>
      </c>
      <c r="I3502" s="312">
        <v>2024</v>
      </c>
      <c r="J3502" s="122" t="s">
        <v>710</v>
      </c>
      <c r="K3502" s="283">
        <v>7069</v>
      </c>
      <c r="L3502" s="318">
        <v>-32.835659</v>
      </c>
      <c r="M3502" s="318">
        <v>151.53852800000001</v>
      </c>
      <c r="O3502">
        <f>INDEX('MEC - traffic congestion'!$M$145:$M$249,MATCH($D3502,'MEC - traffic congestion'!$C$145:$C$249,0))</f>
        <v>1</v>
      </c>
      <c r="P3502" t="str">
        <f t="shared" si="158"/>
        <v>2024OFF PEAK</v>
      </c>
      <c r="Q3502">
        <f t="shared" si="159"/>
        <v>1</v>
      </c>
      <c r="R3502" s="195" t="str">
        <f t="shared" si="160"/>
        <v>2024LIGHT VEHICLES</v>
      </c>
    </row>
    <row r="3503" spans="3:18" x14ac:dyDescent="0.25">
      <c r="C3503" s="294" t="s">
        <v>993</v>
      </c>
      <c r="D3503" s="317" t="s">
        <v>741</v>
      </c>
      <c r="E3503" s="122" t="s">
        <v>990</v>
      </c>
      <c r="F3503" s="122" t="s">
        <v>994</v>
      </c>
      <c r="G3503" s="122" t="s">
        <v>786</v>
      </c>
      <c r="H3503" s="122" t="s">
        <v>777</v>
      </c>
      <c r="I3503" s="312">
        <v>2024</v>
      </c>
      <c r="J3503" s="122" t="s">
        <v>711</v>
      </c>
      <c r="K3503" s="283">
        <v>4904</v>
      </c>
      <c r="L3503" s="318">
        <v>-32.835659</v>
      </c>
      <c r="M3503" s="318">
        <v>151.53852800000001</v>
      </c>
      <c r="O3503">
        <f>INDEX('MEC - traffic congestion'!$M$145:$M$249,MATCH($D3503,'MEC - traffic congestion'!$C$145:$C$249,0))</f>
        <v>1</v>
      </c>
      <c r="P3503" t="str">
        <f t="shared" si="158"/>
        <v>2024PM PEAK</v>
      </c>
      <c r="Q3503">
        <f t="shared" si="159"/>
        <v>1</v>
      </c>
      <c r="R3503" s="195" t="str">
        <f t="shared" si="160"/>
        <v>2024LIGHT VEHICLES</v>
      </c>
    </row>
    <row r="3504" spans="3:18" x14ac:dyDescent="0.25">
      <c r="C3504" s="294" t="s">
        <v>993</v>
      </c>
      <c r="D3504" s="317" t="s">
        <v>741</v>
      </c>
      <c r="E3504" s="122" t="s">
        <v>990</v>
      </c>
      <c r="F3504" s="122" t="s">
        <v>994</v>
      </c>
      <c r="G3504" s="122" t="s">
        <v>786</v>
      </c>
      <c r="H3504" s="122" t="s">
        <v>777</v>
      </c>
      <c r="I3504" s="312">
        <v>2024</v>
      </c>
      <c r="J3504" s="122" t="s">
        <v>713</v>
      </c>
      <c r="K3504" s="283">
        <v>12523</v>
      </c>
      <c r="L3504" s="318">
        <v>-32.835659</v>
      </c>
      <c r="M3504" s="318">
        <v>151.53852800000001</v>
      </c>
      <c r="O3504">
        <f>INDEX('MEC - traffic congestion'!$M$145:$M$249,MATCH($D3504,'MEC - traffic congestion'!$C$145:$C$249,0))</f>
        <v>1</v>
      </c>
      <c r="P3504" t="str">
        <f t="shared" si="158"/>
        <v>2024WEEKENDS</v>
      </c>
      <c r="Q3504">
        <f t="shared" si="159"/>
        <v>1</v>
      </c>
      <c r="R3504" s="195" t="str">
        <f t="shared" si="160"/>
        <v>2024LIGHT VEHICLES</v>
      </c>
    </row>
    <row r="3505" spans="3:18" x14ac:dyDescent="0.25">
      <c r="C3505" s="294" t="s">
        <v>995</v>
      </c>
      <c r="D3505" s="317" t="s">
        <v>742</v>
      </c>
      <c r="E3505" s="122" t="s">
        <v>996</v>
      </c>
      <c r="F3505" s="122" t="s">
        <v>997</v>
      </c>
      <c r="G3505" s="122" t="s">
        <v>776</v>
      </c>
      <c r="H3505" s="122" t="s">
        <v>777</v>
      </c>
      <c r="I3505" s="312">
        <v>2018</v>
      </c>
      <c r="J3505" s="122" t="s">
        <v>709</v>
      </c>
      <c r="K3505" s="283">
        <v>6365</v>
      </c>
      <c r="L3505" s="318">
        <v>-34.390652000000003</v>
      </c>
      <c r="M3505" s="318">
        <v>150.85810799999999</v>
      </c>
      <c r="O3505">
        <f>INDEX('MEC - traffic congestion'!$M$145:$M$249,MATCH($D3505,'MEC - traffic congestion'!$C$145:$C$249,0))</f>
        <v>0</v>
      </c>
      <c r="P3505" t="str">
        <f t="shared" si="158"/>
        <v/>
      </c>
      <c r="Q3505">
        <f t="shared" si="159"/>
        <v>1</v>
      </c>
      <c r="R3505" s="195" t="str">
        <f t="shared" si="160"/>
        <v/>
      </c>
    </row>
    <row r="3506" spans="3:18" x14ac:dyDescent="0.25">
      <c r="C3506" s="294" t="s">
        <v>995</v>
      </c>
      <c r="D3506" s="317" t="s">
        <v>742</v>
      </c>
      <c r="E3506" s="122" t="s">
        <v>996</v>
      </c>
      <c r="F3506" s="122" t="s">
        <v>997</v>
      </c>
      <c r="G3506" s="122" t="s">
        <v>778</v>
      </c>
      <c r="H3506" s="122" t="s">
        <v>777</v>
      </c>
      <c r="I3506" s="312">
        <v>2018</v>
      </c>
      <c r="J3506" s="122" t="s">
        <v>709</v>
      </c>
      <c r="K3506" s="283">
        <v>4935</v>
      </c>
      <c r="L3506" s="318">
        <v>-34.390652000000003</v>
      </c>
      <c r="M3506" s="318">
        <v>150.85810799999999</v>
      </c>
      <c r="O3506">
        <f>INDEX('MEC - traffic congestion'!$M$145:$M$249,MATCH($D3506,'MEC - traffic congestion'!$C$145:$C$249,0))</f>
        <v>0</v>
      </c>
      <c r="P3506" t="str">
        <f t="shared" si="158"/>
        <v/>
      </c>
      <c r="Q3506">
        <f t="shared" si="159"/>
        <v>1</v>
      </c>
      <c r="R3506" s="195" t="str">
        <f t="shared" si="160"/>
        <v/>
      </c>
    </row>
    <row r="3507" spans="3:18" x14ac:dyDescent="0.25">
      <c r="C3507" s="294" t="s">
        <v>995</v>
      </c>
      <c r="D3507" s="317" t="s">
        <v>742</v>
      </c>
      <c r="E3507" s="122" t="s">
        <v>996</v>
      </c>
      <c r="F3507" s="122" t="s">
        <v>997</v>
      </c>
      <c r="G3507" s="122" t="s">
        <v>776</v>
      </c>
      <c r="H3507" s="122" t="s">
        <v>777</v>
      </c>
      <c r="I3507" s="312">
        <v>2018</v>
      </c>
      <c r="J3507" s="122" t="s">
        <v>710</v>
      </c>
      <c r="K3507" s="283">
        <v>10301</v>
      </c>
      <c r="L3507" s="318">
        <v>-34.390652000000003</v>
      </c>
      <c r="M3507" s="318">
        <v>150.85810799999999</v>
      </c>
      <c r="O3507">
        <f>INDEX('MEC - traffic congestion'!$M$145:$M$249,MATCH($D3507,'MEC - traffic congestion'!$C$145:$C$249,0))</f>
        <v>0</v>
      </c>
      <c r="P3507" t="str">
        <f t="shared" si="158"/>
        <v/>
      </c>
      <c r="Q3507">
        <f t="shared" si="159"/>
        <v>1</v>
      </c>
      <c r="R3507" s="195" t="str">
        <f t="shared" si="160"/>
        <v/>
      </c>
    </row>
    <row r="3508" spans="3:18" x14ac:dyDescent="0.25">
      <c r="C3508" s="294" t="s">
        <v>995</v>
      </c>
      <c r="D3508" s="317" t="s">
        <v>742</v>
      </c>
      <c r="E3508" s="122" t="s">
        <v>996</v>
      </c>
      <c r="F3508" s="122" t="s">
        <v>997</v>
      </c>
      <c r="G3508" s="122" t="s">
        <v>778</v>
      </c>
      <c r="H3508" s="122" t="s">
        <v>777</v>
      </c>
      <c r="I3508" s="312">
        <v>2018</v>
      </c>
      <c r="J3508" s="122" t="s">
        <v>710</v>
      </c>
      <c r="K3508" s="283">
        <v>9510</v>
      </c>
      <c r="L3508" s="318">
        <v>-34.390652000000003</v>
      </c>
      <c r="M3508" s="318">
        <v>150.85810799999999</v>
      </c>
      <c r="O3508">
        <f>INDEX('MEC - traffic congestion'!$M$145:$M$249,MATCH($D3508,'MEC - traffic congestion'!$C$145:$C$249,0))</f>
        <v>0</v>
      </c>
      <c r="P3508" t="str">
        <f t="shared" si="158"/>
        <v/>
      </c>
      <c r="Q3508">
        <f t="shared" si="159"/>
        <v>1</v>
      </c>
      <c r="R3508" s="195" t="str">
        <f t="shared" si="160"/>
        <v/>
      </c>
    </row>
    <row r="3509" spans="3:18" x14ac:dyDescent="0.25">
      <c r="C3509" s="294" t="s">
        <v>995</v>
      </c>
      <c r="D3509" s="317" t="s">
        <v>742</v>
      </c>
      <c r="E3509" s="122" t="s">
        <v>996</v>
      </c>
      <c r="F3509" s="122" t="s">
        <v>997</v>
      </c>
      <c r="G3509" s="122" t="s">
        <v>776</v>
      </c>
      <c r="H3509" s="122" t="s">
        <v>777</v>
      </c>
      <c r="I3509" s="312">
        <v>2018</v>
      </c>
      <c r="J3509" s="122" t="s">
        <v>711</v>
      </c>
      <c r="K3509" s="283">
        <v>5744</v>
      </c>
      <c r="L3509" s="318">
        <v>-34.390652000000003</v>
      </c>
      <c r="M3509" s="318">
        <v>150.85810799999999</v>
      </c>
      <c r="O3509">
        <f>INDEX('MEC - traffic congestion'!$M$145:$M$249,MATCH($D3509,'MEC - traffic congestion'!$C$145:$C$249,0))</f>
        <v>0</v>
      </c>
      <c r="P3509" t="str">
        <f t="shared" si="158"/>
        <v/>
      </c>
      <c r="Q3509">
        <f t="shared" si="159"/>
        <v>1</v>
      </c>
      <c r="R3509" s="195" t="str">
        <f t="shared" si="160"/>
        <v/>
      </c>
    </row>
    <row r="3510" spans="3:18" x14ac:dyDescent="0.25">
      <c r="C3510" s="294" t="s">
        <v>995</v>
      </c>
      <c r="D3510" s="317" t="s">
        <v>742</v>
      </c>
      <c r="E3510" s="122" t="s">
        <v>996</v>
      </c>
      <c r="F3510" s="122" t="s">
        <v>997</v>
      </c>
      <c r="G3510" s="122" t="s">
        <v>778</v>
      </c>
      <c r="H3510" s="122" t="s">
        <v>777</v>
      </c>
      <c r="I3510" s="312">
        <v>2018</v>
      </c>
      <c r="J3510" s="122" t="s">
        <v>711</v>
      </c>
      <c r="K3510" s="283">
        <v>8101</v>
      </c>
      <c r="L3510" s="318">
        <v>-34.390652000000003</v>
      </c>
      <c r="M3510" s="318">
        <v>150.85810799999999</v>
      </c>
      <c r="O3510">
        <f>INDEX('MEC - traffic congestion'!$M$145:$M$249,MATCH($D3510,'MEC - traffic congestion'!$C$145:$C$249,0))</f>
        <v>0</v>
      </c>
      <c r="P3510" t="str">
        <f t="shared" si="158"/>
        <v/>
      </c>
      <c r="Q3510">
        <f t="shared" si="159"/>
        <v>1</v>
      </c>
      <c r="R3510" s="195" t="str">
        <f t="shared" si="160"/>
        <v/>
      </c>
    </row>
    <row r="3511" spans="3:18" x14ac:dyDescent="0.25">
      <c r="C3511" s="294" t="s">
        <v>995</v>
      </c>
      <c r="D3511" s="317" t="s">
        <v>742</v>
      </c>
      <c r="E3511" s="122" t="s">
        <v>996</v>
      </c>
      <c r="F3511" s="122" t="s">
        <v>997</v>
      </c>
      <c r="G3511" s="122" t="s">
        <v>776</v>
      </c>
      <c r="H3511" s="122" t="s">
        <v>777</v>
      </c>
      <c r="I3511" s="312">
        <v>2018</v>
      </c>
      <c r="J3511" s="122" t="s">
        <v>712</v>
      </c>
      <c r="K3511" s="283">
        <v>27382</v>
      </c>
      <c r="L3511" s="318">
        <v>-34.390652000000003</v>
      </c>
      <c r="M3511" s="318">
        <v>150.85810799999999</v>
      </c>
      <c r="O3511">
        <f>INDEX('MEC - traffic congestion'!$M$145:$M$249,MATCH($D3511,'MEC - traffic congestion'!$C$145:$C$249,0))</f>
        <v>0</v>
      </c>
      <c r="P3511" t="str">
        <f t="shared" si="158"/>
        <v/>
      </c>
      <c r="Q3511">
        <f t="shared" si="159"/>
        <v>1</v>
      </c>
      <c r="R3511" s="195" t="str">
        <f t="shared" si="160"/>
        <v/>
      </c>
    </row>
    <row r="3512" spans="3:18" x14ac:dyDescent="0.25">
      <c r="C3512" s="294" t="s">
        <v>995</v>
      </c>
      <c r="D3512" s="317" t="s">
        <v>742</v>
      </c>
      <c r="E3512" s="122" t="s">
        <v>996</v>
      </c>
      <c r="F3512" s="122" t="s">
        <v>997</v>
      </c>
      <c r="G3512" s="122" t="s">
        <v>778</v>
      </c>
      <c r="H3512" s="122" t="s">
        <v>777</v>
      </c>
      <c r="I3512" s="312">
        <v>2018</v>
      </c>
      <c r="J3512" s="122" t="s">
        <v>712</v>
      </c>
      <c r="K3512" s="283">
        <v>26644</v>
      </c>
      <c r="L3512" s="318">
        <v>-34.390652000000003</v>
      </c>
      <c r="M3512" s="318">
        <v>150.85810799999999</v>
      </c>
      <c r="O3512">
        <f>INDEX('MEC - traffic congestion'!$M$145:$M$249,MATCH($D3512,'MEC - traffic congestion'!$C$145:$C$249,0))</f>
        <v>0</v>
      </c>
      <c r="P3512" t="str">
        <f t="shared" si="158"/>
        <v/>
      </c>
      <c r="Q3512">
        <f t="shared" si="159"/>
        <v>1</v>
      </c>
      <c r="R3512" s="195" t="str">
        <f t="shared" si="160"/>
        <v/>
      </c>
    </row>
    <row r="3513" spans="3:18" x14ac:dyDescent="0.25">
      <c r="C3513" s="294" t="s">
        <v>995</v>
      </c>
      <c r="D3513" s="317" t="s">
        <v>742</v>
      </c>
      <c r="E3513" s="122" t="s">
        <v>996</v>
      </c>
      <c r="F3513" s="122" t="s">
        <v>997</v>
      </c>
      <c r="G3513" s="122" t="s">
        <v>776</v>
      </c>
      <c r="H3513" s="122" t="s">
        <v>777</v>
      </c>
      <c r="I3513" s="312">
        <v>2018</v>
      </c>
      <c r="J3513" s="122" t="s">
        <v>713</v>
      </c>
      <c r="K3513" s="283">
        <v>23415</v>
      </c>
      <c r="L3513" s="318">
        <v>-34.390652000000003</v>
      </c>
      <c r="M3513" s="318">
        <v>150.85810799999999</v>
      </c>
      <c r="O3513">
        <f>INDEX('MEC - traffic congestion'!$M$145:$M$249,MATCH($D3513,'MEC - traffic congestion'!$C$145:$C$249,0))</f>
        <v>0</v>
      </c>
      <c r="P3513" t="str">
        <f t="shared" si="158"/>
        <v/>
      </c>
      <c r="Q3513">
        <f t="shared" si="159"/>
        <v>1</v>
      </c>
      <c r="R3513" s="195" t="str">
        <f t="shared" si="160"/>
        <v/>
      </c>
    </row>
    <row r="3514" spans="3:18" x14ac:dyDescent="0.25">
      <c r="C3514" s="294" t="s">
        <v>995</v>
      </c>
      <c r="D3514" s="317" t="s">
        <v>742</v>
      </c>
      <c r="E3514" s="122" t="s">
        <v>996</v>
      </c>
      <c r="F3514" s="122" t="s">
        <v>997</v>
      </c>
      <c r="G3514" s="122" t="s">
        <v>778</v>
      </c>
      <c r="H3514" s="122" t="s">
        <v>777</v>
      </c>
      <c r="I3514" s="312">
        <v>2018</v>
      </c>
      <c r="J3514" s="122" t="s">
        <v>713</v>
      </c>
      <c r="K3514" s="283">
        <v>21718</v>
      </c>
      <c r="L3514" s="318">
        <v>-34.390652000000003</v>
      </c>
      <c r="M3514" s="318">
        <v>150.85810799999999</v>
      </c>
      <c r="O3514">
        <f>INDEX('MEC - traffic congestion'!$M$145:$M$249,MATCH($D3514,'MEC - traffic congestion'!$C$145:$C$249,0))</f>
        <v>0</v>
      </c>
      <c r="P3514" t="str">
        <f t="shared" si="158"/>
        <v/>
      </c>
      <c r="Q3514">
        <f t="shared" si="159"/>
        <v>1</v>
      </c>
      <c r="R3514" s="195" t="str">
        <f t="shared" si="160"/>
        <v/>
      </c>
    </row>
    <row r="3515" spans="3:18" x14ac:dyDescent="0.25">
      <c r="C3515" s="294" t="s">
        <v>995</v>
      </c>
      <c r="D3515" s="317" t="s">
        <v>742</v>
      </c>
      <c r="E3515" s="122" t="s">
        <v>996</v>
      </c>
      <c r="F3515" s="122" t="s">
        <v>997</v>
      </c>
      <c r="G3515" s="122" t="s">
        <v>776</v>
      </c>
      <c r="H3515" s="122" t="s">
        <v>777</v>
      </c>
      <c r="I3515" s="312">
        <v>2019</v>
      </c>
      <c r="J3515" s="122" t="s">
        <v>709</v>
      </c>
      <c r="K3515" s="283">
        <v>6250</v>
      </c>
      <c r="L3515" s="318">
        <v>-34.390652000000003</v>
      </c>
      <c r="M3515" s="318">
        <v>150.85810799999999</v>
      </c>
      <c r="O3515">
        <f>INDEX('MEC - traffic congestion'!$M$145:$M$249,MATCH($D3515,'MEC - traffic congestion'!$C$145:$C$249,0))</f>
        <v>0</v>
      </c>
      <c r="P3515" t="str">
        <f t="shared" si="158"/>
        <v/>
      </c>
      <c r="Q3515">
        <f t="shared" si="159"/>
        <v>1</v>
      </c>
      <c r="R3515" s="195" t="str">
        <f t="shared" si="160"/>
        <v/>
      </c>
    </row>
    <row r="3516" spans="3:18" x14ac:dyDescent="0.25">
      <c r="C3516" s="294" t="s">
        <v>995</v>
      </c>
      <c r="D3516" s="317" t="s">
        <v>742</v>
      </c>
      <c r="E3516" s="122" t="s">
        <v>996</v>
      </c>
      <c r="F3516" s="122" t="s">
        <v>997</v>
      </c>
      <c r="G3516" s="122" t="s">
        <v>778</v>
      </c>
      <c r="H3516" s="122" t="s">
        <v>777</v>
      </c>
      <c r="I3516" s="312">
        <v>2019</v>
      </c>
      <c r="J3516" s="122" t="s">
        <v>709</v>
      </c>
      <c r="K3516" s="283">
        <v>5216</v>
      </c>
      <c r="L3516" s="318">
        <v>-34.390652000000003</v>
      </c>
      <c r="M3516" s="318">
        <v>150.85810799999999</v>
      </c>
      <c r="O3516">
        <f>INDEX('MEC - traffic congestion'!$M$145:$M$249,MATCH($D3516,'MEC - traffic congestion'!$C$145:$C$249,0))</f>
        <v>0</v>
      </c>
      <c r="P3516" t="str">
        <f t="shared" si="158"/>
        <v/>
      </c>
      <c r="Q3516">
        <f t="shared" si="159"/>
        <v>1</v>
      </c>
      <c r="R3516" s="195" t="str">
        <f t="shared" si="160"/>
        <v/>
      </c>
    </row>
    <row r="3517" spans="3:18" x14ac:dyDescent="0.25">
      <c r="C3517" s="294" t="s">
        <v>995</v>
      </c>
      <c r="D3517" s="317" t="s">
        <v>742</v>
      </c>
      <c r="E3517" s="122" t="s">
        <v>996</v>
      </c>
      <c r="F3517" s="122" t="s">
        <v>997</v>
      </c>
      <c r="G3517" s="122" t="s">
        <v>776</v>
      </c>
      <c r="H3517" s="122" t="s">
        <v>777</v>
      </c>
      <c r="I3517" s="312">
        <v>2019</v>
      </c>
      <c r="J3517" s="122" t="s">
        <v>710</v>
      </c>
      <c r="K3517" s="283">
        <v>10364</v>
      </c>
      <c r="L3517" s="318">
        <v>-34.390652000000003</v>
      </c>
      <c r="M3517" s="318">
        <v>150.85810799999999</v>
      </c>
      <c r="O3517">
        <f>INDEX('MEC - traffic congestion'!$M$145:$M$249,MATCH($D3517,'MEC - traffic congestion'!$C$145:$C$249,0))</f>
        <v>0</v>
      </c>
      <c r="P3517" t="str">
        <f t="shared" si="158"/>
        <v/>
      </c>
      <c r="Q3517">
        <f t="shared" si="159"/>
        <v>1</v>
      </c>
      <c r="R3517" s="195" t="str">
        <f t="shared" si="160"/>
        <v/>
      </c>
    </row>
    <row r="3518" spans="3:18" x14ac:dyDescent="0.25">
      <c r="C3518" s="294" t="s">
        <v>995</v>
      </c>
      <c r="D3518" s="317" t="s">
        <v>742</v>
      </c>
      <c r="E3518" s="122" t="s">
        <v>996</v>
      </c>
      <c r="F3518" s="122" t="s">
        <v>997</v>
      </c>
      <c r="G3518" s="122" t="s">
        <v>778</v>
      </c>
      <c r="H3518" s="122" t="s">
        <v>777</v>
      </c>
      <c r="I3518" s="312">
        <v>2019</v>
      </c>
      <c r="J3518" s="122" t="s">
        <v>710</v>
      </c>
      <c r="K3518" s="283">
        <v>9635</v>
      </c>
      <c r="L3518" s="318">
        <v>-34.390652000000003</v>
      </c>
      <c r="M3518" s="318">
        <v>150.85810799999999</v>
      </c>
      <c r="O3518">
        <f>INDEX('MEC - traffic congestion'!$M$145:$M$249,MATCH($D3518,'MEC - traffic congestion'!$C$145:$C$249,0))</f>
        <v>0</v>
      </c>
      <c r="P3518" t="str">
        <f t="shared" si="158"/>
        <v/>
      </c>
      <c r="Q3518">
        <f t="shared" si="159"/>
        <v>1</v>
      </c>
      <c r="R3518" s="195" t="str">
        <f t="shared" si="160"/>
        <v/>
      </c>
    </row>
    <row r="3519" spans="3:18" x14ac:dyDescent="0.25">
      <c r="C3519" s="294" t="s">
        <v>995</v>
      </c>
      <c r="D3519" s="317" t="s">
        <v>742</v>
      </c>
      <c r="E3519" s="122" t="s">
        <v>996</v>
      </c>
      <c r="F3519" s="122" t="s">
        <v>997</v>
      </c>
      <c r="G3519" s="122" t="s">
        <v>776</v>
      </c>
      <c r="H3519" s="122" t="s">
        <v>777</v>
      </c>
      <c r="I3519" s="312">
        <v>2019</v>
      </c>
      <c r="J3519" s="122" t="s">
        <v>711</v>
      </c>
      <c r="K3519" s="283">
        <v>6022</v>
      </c>
      <c r="L3519" s="318">
        <v>-34.390652000000003</v>
      </c>
      <c r="M3519" s="318">
        <v>150.85810799999999</v>
      </c>
      <c r="O3519">
        <f>INDEX('MEC - traffic congestion'!$M$145:$M$249,MATCH($D3519,'MEC - traffic congestion'!$C$145:$C$249,0))</f>
        <v>0</v>
      </c>
      <c r="P3519" t="str">
        <f t="shared" si="158"/>
        <v/>
      </c>
      <c r="Q3519">
        <f t="shared" si="159"/>
        <v>1</v>
      </c>
      <c r="R3519" s="195" t="str">
        <f t="shared" si="160"/>
        <v/>
      </c>
    </row>
    <row r="3520" spans="3:18" x14ac:dyDescent="0.25">
      <c r="C3520" s="294" t="s">
        <v>995</v>
      </c>
      <c r="D3520" s="317" t="s">
        <v>742</v>
      </c>
      <c r="E3520" s="122" t="s">
        <v>996</v>
      </c>
      <c r="F3520" s="122" t="s">
        <v>997</v>
      </c>
      <c r="G3520" s="122" t="s">
        <v>778</v>
      </c>
      <c r="H3520" s="122" t="s">
        <v>777</v>
      </c>
      <c r="I3520" s="312">
        <v>2019</v>
      </c>
      <c r="J3520" s="122" t="s">
        <v>711</v>
      </c>
      <c r="K3520" s="283">
        <v>7911</v>
      </c>
      <c r="L3520" s="318">
        <v>-34.390652000000003</v>
      </c>
      <c r="M3520" s="318">
        <v>150.85810799999999</v>
      </c>
      <c r="O3520">
        <f>INDEX('MEC - traffic congestion'!$M$145:$M$249,MATCH($D3520,'MEC - traffic congestion'!$C$145:$C$249,0))</f>
        <v>0</v>
      </c>
      <c r="P3520" t="str">
        <f t="shared" si="158"/>
        <v/>
      </c>
      <c r="Q3520">
        <f t="shared" si="159"/>
        <v>1</v>
      </c>
      <c r="R3520" s="195" t="str">
        <f t="shared" si="160"/>
        <v/>
      </c>
    </row>
    <row r="3521" spans="3:18" x14ac:dyDescent="0.25">
      <c r="C3521" s="294" t="s">
        <v>995</v>
      </c>
      <c r="D3521" s="317" t="s">
        <v>742</v>
      </c>
      <c r="E3521" s="122" t="s">
        <v>996</v>
      </c>
      <c r="F3521" s="122" t="s">
        <v>997</v>
      </c>
      <c r="G3521" s="122" t="s">
        <v>776</v>
      </c>
      <c r="H3521" s="122" t="s">
        <v>777</v>
      </c>
      <c r="I3521" s="312">
        <v>2019</v>
      </c>
      <c r="J3521" s="122" t="s">
        <v>712</v>
      </c>
      <c r="K3521" s="283">
        <v>25742</v>
      </c>
      <c r="L3521" s="318">
        <v>-34.390652000000003</v>
      </c>
      <c r="M3521" s="318">
        <v>150.85810799999999</v>
      </c>
      <c r="O3521">
        <f>INDEX('MEC - traffic congestion'!$M$145:$M$249,MATCH($D3521,'MEC - traffic congestion'!$C$145:$C$249,0))</f>
        <v>0</v>
      </c>
      <c r="P3521" t="str">
        <f t="shared" si="158"/>
        <v/>
      </c>
      <c r="Q3521">
        <f t="shared" si="159"/>
        <v>1</v>
      </c>
      <c r="R3521" s="195" t="str">
        <f t="shared" si="160"/>
        <v/>
      </c>
    </row>
    <row r="3522" spans="3:18" x14ac:dyDescent="0.25">
      <c r="C3522" s="294" t="s">
        <v>995</v>
      </c>
      <c r="D3522" s="317" t="s">
        <v>742</v>
      </c>
      <c r="E3522" s="122" t="s">
        <v>996</v>
      </c>
      <c r="F3522" s="122" t="s">
        <v>997</v>
      </c>
      <c r="G3522" s="122" t="s">
        <v>778</v>
      </c>
      <c r="H3522" s="122" t="s">
        <v>777</v>
      </c>
      <c r="I3522" s="312">
        <v>2019</v>
      </c>
      <c r="J3522" s="122" t="s">
        <v>712</v>
      </c>
      <c r="K3522" s="283">
        <v>25768</v>
      </c>
      <c r="L3522" s="318">
        <v>-34.390652000000003</v>
      </c>
      <c r="M3522" s="318">
        <v>150.85810799999999</v>
      </c>
      <c r="O3522">
        <f>INDEX('MEC - traffic congestion'!$M$145:$M$249,MATCH($D3522,'MEC - traffic congestion'!$C$145:$C$249,0))</f>
        <v>0</v>
      </c>
      <c r="P3522" t="str">
        <f t="shared" si="158"/>
        <v/>
      </c>
      <c r="Q3522">
        <f t="shared" si="159"/>
        <v>1</v>
      </c>
      <c r="R3522" s="195" t="str">
        <f t="shared" si="160"/>
        <v/>
      </c>
    </row>
    <row r="3523" spans="3:18" x14ac:dyDescent="0.25">
      <c r="C3523" s="294" t="s">
        <v>995</v>
      </c>
      <c r="D3523" s="317" t="s">
        <v>742</v>
      </c>
      <c r="E3523" s="122" t="s">
        <v>996</v>
      </c>
      <c r="F3523" s="122" t="s">
        <v>997</v>
      </c>
      <c r="G3523" s="122" t="s">
        <v>776</v>
      </c>
      <c r="H3523" s="122" t="s">
        <v>777</v>
      </c>
      <c r="I3523" s="312">
        <v>2019</v>
      </c>
      <c r="J3523" s="122" t="s">
        <v>713</v>
      </c>
      <c r="K3523" s="283">
        <v>23729</v>
      </c>
      <c r="L3523" s="318">
        <v>-34.390652000000003</v>
      </c>
      <c r="M3523" s="318">
        <v>150.85810799999999</v>
      </c>
      <c r="O3523">
        <f>INDEX('MEC - traffic congestion'!$M$145:$M$249,MATCH($D3523,'MEC - traffic congestion'!$C$145:$C$249,0))</f>
        <v>0</v>
      </c>
      <c r="P3523" t="str">
        <f t="shared" si="158"/>
        <v/>
      </c>
      <c r="Q3523">
        <f t="shared" si="159"/>
        <v>1</v>
      </c>
      <c r="R3523" s="195" t="str">
        <f t="shared" si="160"/>
        <v/>
      </c>
    </row>
    <row r="3524" spans="3:18" x14ac:dyDescent="0.25">
      <c r="C3524" s="294" t="s">
        <v>995</v>
      </c>
      <c r="D3524" s="317" t="s">
        <v>742</v>
      </c>
      <c r="E3524" s="122" t="s">
        <v>996</v>
      </c>
      <c r="F3524" s="122" t="s">
        <v>997</v>
      </c>
      <c r="G3524" s="122" t="s">
        <v>778</v>
      </c>
      <c r="H3524" s="122" t="s">
        <v>777</v>
      </c>
      <c r="I3524" s="312">
        <v>2019</v>
      </c>
      <c r="J3524" s="122" t="s">
        <v>713</v>
      </c>
      <c r="K3524" s="283">
        <v>22089</v>
      </c>
      <c r="L3524" s="318">
        <v>-34.390652000000003</v>
      </c>
      <c r="M3524" s="318">
        <v>150.85810799999999</v>
      </c>
      <c r="O3524">
        <f>INDEX('MEC - traffic congestion'!$M$145:$M$249,MATCH($D3524,'MEC - traffic congestion'!$C$145:$C$249,0))</f>
        <v>0</v>
      </c>
      <c r="P3524" t="str">
        <f t="shared" si="158"/>
        <v/>
      </c>
      <c r="Q3524">
        <f t="shared" si="159"/>
        <v>1</v>
      </c>
      <c r="R3524" s="195" t="str">
        <f t="shared" si="160"/>
        <v/>
      </c>
    </row>
    <row r="3525" spans="3:18" x14ac:dyDescent="0.25">
      <c r="C3525" s="294" t="s">
        <v>995</v>
      </c>
      <c r="D3525" s="317" t="s">
        <v>742</v>
      </c>
      <c r="E3525" s="122" t="s">
        <v>996</v>
      </c>
      <c r="F3525" s="122" t="s">
        <v>997</v>
      </c>
      <c r="G3525" s="122" t="s">
        <v>776</v>
      </c>
      <c r="H3525" s="122" t="s">
        <v>777</v>
      </c>
      <c r="I3525" s="312">
        <v>2020</v>
      </c>
      <c r="J3525" s="122" t="s">
        <v>709</v>
      </c>
      <c r="K3525" s="283">
        <v>5441</v>
      </c>
      <c r="L3525" s="318">
        <v>-34.390652000000003</v>
      </c>
      <c r="M3525" s="318">
        <v>150.85810799999999</v>
      </c>
      <c r="O3525">
        <f>INDEX('MEC - traffic congestion'!$M$145:$M$249,MATCH($D3525,'MEC - traffic congestion'!$C$145:$C$249,0))</f>
        <v>0</v>
      </c>
      <c r="P3525" t="str">
        <f t="shared" si="158"/>
        <v/>
      </c>
      <c r="Q3525">
        <f t="shared" si="159"/>
        <v>1</v>
      </c>
      <c r="R3525" s="195" t="str">
        <f t="shared" si="160"/>
        <v/>
      </c>
    </row>
    <row r="3526" spans="3:18" x14ac:dyDescent="0.25">
      <c r="C3526" s="294" t="s">
        <v>995</v>
      </c>
      <c r="D3526" s="317" t="s">
        <v>742</v>
      </c>
      <c r="E3526" s="122" t="s">
        <v>996</v>
      </c>
      <c r="F3526" s="122" t="s">
        <v>997</v>
      </c>
      <c r="G3526" s="122" t="s">
        <v>778</v>
      </c>
      <c r="H3526" s="122" t="s">
        <v>777</v>
      </c>
      <c r="I3526" s="312">
        <v>2020</v>
      </c>
      <c r="J3526" s="122" t="s">
        <v>709</v>
      </c>
      <c r="K3526" s="283">
        <v>4558</v>
      </c>
      <c r="L3526" s="318">
        <v>-34.390652000000003</v>
      </c>
      <c r="M3526" s="318">
        <v>150.85810799999999</v>
      </c>
      <c r="O3526">
        <f>INDEX('MEC - traffic congestion'!$M$145:$M$249,MATCH($D3526,'MEC - traffic congestion'!$C$145:$C$249,0))</f>
        <v>0</v>
      </c>
      <c r="P3526" t="str">
        <f t="shared" si="158"/>
        <v/>
      </c>
      <c r="Q3526">
        <f t="shared" si="159"/>
        <v>1</v>
      </c>
      <c r="R3526" s="195" t="str">
        <f t="shared" si="160"/>
        <v/>
      </c>
    </row>
    <row r="3527" spans="3:18" x14ac:dyDescent="0.25">
      <c r="C3527" s="294" t="s">
        <v>995</v>
      </c>
      <c r="D3527" s="317" t="s">
        <v>742</v>
      </c>
      <c r="E3527" s="122" t="s">
        <v>996</v>
      </c>
      <c r="F3527" s="122" t="s">
        <v>997</v>
      </c>
      <c r="G3527" s="122" t="s">
        <v>776</v>
      </c>
      <c r="H3527" s="122" t="s">
        <v>777</v>
      </c>
      <c r="I3527" s="312">
        <v>2020</v>
      </c>
      <c r="J3527" s="122" t="s">
        <v>710</v>
      </c>
      <c r="K3527" s="283">
        <v>9122</v>
      </c>
      <c r="L3527" s="318">
        <v>-34.390652000000003</v>
      </c>
      <c r="M3527" s="318">
        <v>150.85810799999999</v>
      </c>
      <c r="O3527">
        <f>INDEX('MEC - traffic congestion'!$M$145:$M$249,MATCH($D3527,'MEC - traffic congestion'!$C$145:$C$249,0))</f>
        <v>0</v>
      </c>
      <c r="P3527" t="str">
        <f t="shared" si="158"/>
        <v/>
      </c>
      <c r="Q3527">
        <f t="shared" si="159"/>
        <v>1</v>
      </c>
      <c r="R3527" s="195" t="str">
        <f t="shared" si="160"/>
        <v/>
      </c>
    </row>
    <row r="3528" spans="3:18" x14ac:dyDescent="0.25">
      <c r="C3528" s="294" t="s">
        <v>995</v>
      </c>
      <c r="D3528" s="317" t="s">
        <v>742</v>
      </c>
      <c r="E3528" s="122" t="s">
        <v>996</v>
      </c>
      <c r="F3528" s="122" t="s">
        <v>997</v>
      </c>
      <c r="G3528" s="122" t="s">
        <v>778</v>
      </c>
      <c r="H3528" s="122" t="s">
        <v>777</v>
      </c>
      <c r="I3528" s="312">
        <v>2020</v>
      </c>
      <c r="J3528" s="122" t="s">
        <v>710</v>
      </c>
      <c r="K3528" s="283">
        <v>8516</v>
      </c>
      <c r="L3528" s="318">
        <v>-34.390652000000003</v>
      </c>
      <c r="M3528" s="318">
        <v>150.85810799999999</v>
      </c>
      <c r="O3528">
        <f>INDEX('MEC - traffic congestion'!$M$145:$M$249,MATCH($D3528,'MEC - traffic congestion'!$C$145:$C$249,0))</f>
        <v>0</v>
      </c>
      <c r="P3528" t="str">
        <f t="shared" si="158"/>
        <v/>
      </c>
      <c r="Q3528">
        <f t="shared" si="159"/>
        <v>1</v>
      </c>
      <c r="R3528" s="195" t="str">
        <f t="shared" si="160"/>
        <v/>
      </c>
    </row>
    <row r="3529" spans="3:18" x14ac:dyDescent="0.25">
      <c r="C3529" s="294" t="s">
        <v>995</v>
      </c>
      <c r="D3529" s="317" t="s">
        <v>742</v>
      </c>
      <c r="E3529" s="122" t="s">
        <v>996</v>
      </c>
      <c r="F3529" s="122" t="s">
        <v>997</v>
      </c>
      <c r="G3529" s="122" t="s">
        <v>776</v>
      </c>
      <c r="H3529" s="122" t="s">
        <v>777</v>
      </c>
      <c r="I3529" s="312">
        <v>2020</v>
      </c>
      <c r="J3529" s="122" t="s">
        <v>711</v>
      </c>
      <c r="K3529" s="283">
        <v>5127</v>
      </c>
      <c r="L3529" s="318">
        <v>-34.390652000000003</v>
      </c>
      <c r="M3529" s="318">
        <v>150.85810799999999</v>
      </c>
      <c r="O3529">
        <f>INDEX('MEC - traffic congestion'!$M$145:$M$249,MATCH($D3529,'MEC - traffic congestion'!$C$145:$C$249,0))</f>
        <v>0</v>
      </c>
      <c r="P3529" t="str">
        <f t="shared" si="158"/>
        <v/>
      </c>
      <c r="Q3529">
        <f t="shared" si="159"/>
        <v>1</v>
      </c>
      <c r="R3529" s="195" t="str">
        <f t="shared" si="160"/>
        <v/>
      </c>
    </row>
    <row r="3530" spans="3:18" x14ac:dyDescent="0.25">
      <c r="C3530" s="294" t="s">
        <v>995</v>
      </c>
      <c r="D3530" s="317" t="s">
        <v>742</v>
      </c>
      <c r="E3530" s="122" t="s">
        <v>996</v>
      </c>
      <c r="F3530" s="122" t="s">
        <v>997</v>
      </c>
      <c r="G3530" s="122" t="s">
        <v>778</v>
      </c>
      <c r="H3530" s="122" t="s">
        <v>777</v>
      </c>
      <c r="I3530" s="312">
        <v>2020</v>
      </c>
      <c r="J3530" s="122" t="s">
        <v>711</v>
      </c>
      <c r="K3530" s="283">
        <v>7295</v>
      </c>
      <c r="L3530" s="318">
        <v>-34.390652000000003</v>
      </c>
      <c r="M3530" s="318">
        <v>150.85810799999999</v>
      </c>
      <c r="O3530">
        <f>INDEX('MEC - traffic congestion'!$M$145:$M$249,MATCH($D3530,'MEC - traffic congestion'!$C$145:$C$249,0))</f>
        <v>0</v>
      </c>
      <c r="P3530" t="str">
        <f t="shared" si="158"/>
        <v/>
      </c>
      <c r="Q3530">
        <f t="shared" si="159"/>
        <v>1</v>
      </c>
      <c r="R3530" s="195" t="str">
        <f t="shared" si="160"/>
        <v/>
      </c>
    </row>
    <row r="3531" spans="3:18" x14ac:dyDescent="0.25">
      <c r="C3531" s="294" t="s">
        <v>995</v>
      </c>
      <c r="D3531" s="317" t="s">
        <v>742</v>
      </c>
      <c r="E3531" s="122" t="s">
        <v>996</v>
      </c>
      <c r="F3531" s="122" t="s">
        <v>997</v>
      </c>
      <c r="G3531" s="122" t="s">
        <v>776</v>
      </c>
      <c r="H3531" s="122" t="s">
        <v>777</v>
      </c>
      <c r="I3531" s="312">
        <v>2020</v>
      </c>
      <c r="J3531" s="122" t="s">
        <v>712</v>
      </c>
      <c r="K3531" s="283">
        <v>13750</v>
      </c>
      <c r="L3531" s="318">
        <v>-34.390652000000003</v>
      </c>
      <c r="M3531" s="318">
        <v>150.85810799999999</v>
      </c>
      <c r="O3531">
        <f>INDEX('MEC - traffic congestion'!$M$145:$M$249,MATCH($D3531,'MEC - traffic congestion'!$C$145:$C$249,0))</f>
        <v>0</v>
      </c>
      <c r="P3531" t="str">
        <f t="shared" si="158"/>
        <v/>
      </c>
      <c r="Q3531">
        <f t="shared" si="159"/>
        <v>1</v>
      </c>
      <c r="R3531" s="195" t="str">
        <f t="shared" si="160"/>
        <v/>
      </c>
    </row>
    <row r="3532" spans="3:18" x14ac:dyDescent="0.25">
      <c r="C3532" s="294" t="s">
        <v>995</v>
      </c>
      <c r="D3532" s="317" t="s">
        <v>742</v>
      </c>
      <c r="E3532" s="122" t="s">
        <v>996</v>
      </c>
      <c r="F3532" s="122" t="s">
        <v>997</v>
      </c>
      <c r="G3532" s="122" t="s">
        <v>778</v>
      </c>
      <c r="H3532" s="122" t="s">
        <v>777</v>
      </c>
      <c r="I3532" s="312">
        <v>2020</v>
      </c>
      <c r="J3532" s="122" t="s">
        <v>712</v>
      </c>
      <c r="K3532" s="283">
        <v>15552</v>
      </c>
      <c r="L3532" s="318">
        <v>-34.390652000000003</v>
      </c>
      <c r="M3532" s="318">
        <v>150.85810799999999</v>
      </c>
      <c r="O3532">
        <f>INDEX('MEC - traffic congestion'!$M$145:$M$249,MATCH($D3532,'MEC - traffic congestion'!$C$145:$C$249,0))</f>
        <v>0</v>
      </c>
      <c r="P3532" t="str">
        <f t="shared" si="158"/>
        <v/>
      </c>
      <c r="Q3532">
        <f t="shared" si="159"/>
        <v>1</v>
      </c>
      <c r="R3532" s="195" t="str">
        <f t="shared" si="160"/>
        <v/>
      </c>
    </row>
    <row r="3533" spans="3:18" x14ac:dyDescent="0.25">
      <c r="C3533" s="294" t="s">
        <v>995</v>
      </c>
      <c r="D3533" s="317" t="s">
        <v>742</v>
      </c>
      <c r="E3533" s="122" t="s">
        <v>996</v>
      </c>
      <c r="F3533" s="122" t="s">
        <v>997</v>
      </c>
      <c r="G3533" s="122" t="s">
        <v>776</v>
      </c>
      <c r="H3533" s="122" t="s">
        <v>777</v>
      </c>
      <c r="I3533" s="312">
        <v>2020</v>
      </c>
      <c r="J3533" s="122" t="s">
        <v>713</v>
      </c>
      <c r="K3533" s="283">
        <v>20341</v>
      </c>
      <c r="L3533" s="318">
        <v>-34.390652000000003</v>
      </c>
      <c r="M3533" s="318">
        <v>150.85810799999999</v>
      </c>
      <c r="O3533">
        <f>INDEX('MEC - traffic congestion'!$M$145:$M$249,MATCH($D3533,'MEC - traffic congestion'!$C$145:$C$249,0))</f>
        <v>0</v>
      </c>
      <c r="P3533" t="str">
        <f t="shared" si="158"/>
        <v/>
      </c>
      <c r="Q3533">
        <f t="shared" si="159"/>
        <v>1</v>
      </c>
      <c r="R3533" s="195" t="str">
        <f t="shared" si="160"/>
        <v/>
      </c>
    </row>
    <row r="3534" spans="3:18" x14ac:dyDescent="0.25">
      <c r="C3534" s="294" t="s">
        <v>995</v>
      </c>
      <c r="D3534" s="317" t="s">
        <v>742</v>
      </c>
      <c r="E3534" s="122" t="s">
        <v>996</v>
      </c>
      <c r="F3534" s="122" t="s">
        <v>997</v>
      </c>
      <c r="G3534" s="122" t="s">
        <v>778</v>
      </c>
      <c r="H3534" s="122" t="s">
        <v>777</v>
      </c>
      <c r="I3534" s="312">
        <v>2020</v>
      </c>
      <c r="J3534" s="122" t="s">
        <v>713</v>
      </c>
      <c r="K3534" s="283">
        <v>18312</v>
      </c>
      <c r="L3534" s="318">
        <v>-34.390652000000003</v>
      </c>
      <c r="M3534" s="318">
        <v>150.85810799999999</v>
      </c>
      <c r="O3534">
        <f>INDEX('MEC - traffic congestion'!$M$145:$M$249,MATCH($D3534,'MEC - traffic congestion'!$C$145:$C$249,0))</f>
        <v>0</v>
      </c>
      <c r="P3534" t="str">
        <f t="shared" si="158"/>
        <v/>
      </c>
      <c r="Q3534">
        <f t="shared" si="159"/>
        <v>1</v>
      </c>
      <c r="R3534" s="195" t="str">
        <f t="shared" si="160"/>
        <v/>
      </c>
    </row>
    <row r="3535" spans="3:18" x14ac:dyDescent="0.25">
      <c r="C3535" s="294" t="s">
        <v>995</v>
      </c>
      <c r="D3535" s="317" t="s">
        <v>742</v>
      </c>
      <c r="E3535" s="122" t="s">
        <v>996</v>
      </c>
      <c r="F3535" s="122" t="s">
        <v>997</v>
      </c>
      <c r="G3535" s="122" t="s">
        <v>776</v>
      </c>
      <c r="H3535" s="122" t="s">
        <v>777</v>
      </c>
      <c r="I3535" s="312">
        <v>2021</v>
      </c>
      <c r="J3535" s="122" t="s">
        <v>709</v>
      </c>
      <c r="K3535" s="283">
        <v>5369</v>
      </c>
      <c r="L3535" s="318">
        <v>-34.390652000000003</v>
      </c>
      <c r="M3535" s="318">
        <v>150.85810799999999</v>
      </c>
      <c r="O3535">
        <f>INDEX('MEC - traffic congestion'!$M$145:$M$249,MATCH($D3535,'MEC - traffic congestion'!$C$145:$C$249,0))</f>
        <v>0</v>
      </c>
      <c r="P3535" t="str">
        <f t="shared" si="158"/>
        <v/>
      </c>
      <c r="Q3535">
        <f t="shared" si="159"/>
        <v>1</v>
      </c>
      <c r="R3535" s="195" t="str">
        <f t="shared" si="160"/>
        <v/>
      </c>
    </row>
    <row r="3536" spans="3:18" x14ac:dyDescent="0.25">
      <c r="C3536" s="294" t="s">
        <v>995</v>
      </c>
      <c r="D3536" s="317" t="s">
        <v>742</v>
      </c>
      <c r="E3536" s="122" t="s">
        <v>996</v>
      </c>
      <c r="F3536" s="122" t="s">
        <v>997</v>
      </c>
      <c r="G3536" s="122" t="s">
        <v>778</v>
      </c>
      <c r="H3536" s="122" t="s">
        <v>777</v>
      </c>
      <c r="I3536" s="312">
        <v>2021</v>
      </c>
      <c r="J3536" s="122" t="s">
        <v>709</v>
      </c>
      <c r="K3536" s="283">
        <v>4611</v>
      </c>
      <c r="L3536" s="318">
        <v>-34.390652000000003</v>
      </c>
      <c r="M3536" s="318">
        <v>150.85810799999999</v>
      </c>
      <c r="O3536">
        <f>INDEX('MEC - traffic congestion'!$M$145:$M$249,MATCH($D3536,'MEC - traffic congestion'!$C$145:$C$249,0))</f>
        <v>0</v>
      </c>
      <c r="P3536" t="str">
        <f t="shared" si="158"/>
        <v/>
      </c>
      <c r="Q3536">
        <f t="shared" si="159"/>
        <v>1</v>
      </c>
      <c r="R3536" s="195" t="str">
        <f t="shared" si="160"/>
        <v/>
      </c>
    </row>
    <row r="3537" spans="3:18" x14ac:dyDescent="0.25">
      <c r="C3537" s="294" t="s">
        <v>995</v>
      </c>
      <c r="D3537" s="317" t="s">
        <v>742</v>
      </c>
      <c r="E3537" s="122" t="s">
        <v>996</v>
      </c>
      <c r="F3537" s="122" t="s">
        <v>997</v>
      </c>
      <c r="G3537" s="122" t="s">
        <v>776</v>
      </c>
      <c r="H3537" s="122" t="s">
        <v>777</v>
      </c>
      <c r="I3537" s="312">
        <v>2021</v>
      </c>
      <c r="J3537" s="122" t="s">
        <v>710</v>
      </c>
      <c r="K3537" s="283">
        <v>9030</v>
      </c>
      <c r="L3537" s="318">
        <v>-34.390652000000003</v>
      </c>
      <c r="M3537" s="318">
        <v>150.85810799999999</v>
      </c>
      <c r="O3537">
        <f>INDEX('MEC - traffic congestion'!$M$145:$M$249,MATCH($D3537,'MEC - traffic congestion'!$C$145:$C$249,0))</f>
        <v>0</v>
      </c>
      <c r="P3537" t="str">
        <f t="shared" si="158"/>
        <v/>
      </c>
      <c r="Q3537">
        <f t="shared" si="159"/>
        <v>1</v>
      </c>
      <c r="R3537" s="195" t="str">
        <f t="shared" si="160"/>
        <v/>
      </c>
    </row>
    <row r="3538" spans="3:18" x14ac:dyDescent="0.25">
      <c r="C3538" s="294" t="s">
        <v>995</v>
      </c>
      <c r="D3538" s="317" t="s">
        <v>742</v>
      </c>
      <c r="E3538" s="122" t="s">
        <v>996</v>
      </c>
      <c r="F3538" s="122" t="s">
        <v>997</v>
      </c>
      <c r="G3538" s="122" t="s">
        <v>778</v>
      </c>
      <c r="H3538" s="122" t="s">
        <v>777</v>
      </c>
      <c r="I3538" s="312">
        <v>2021</v>
      </c>
      <c r="J3538" s="122" t="s">
        <v>710</v>
      </c>
      <c r="K3538" s="283">
        <v>8123</v>
      </c>
      <c r="L3538" s="318">
        <v>-34.390652000000003</v>
      </c>
      <c r="M3538" s="318">
        <v>150.85810799999999</v>
      </c>
      <c r="O3538">
        <f>INDEX('MEC - traffic congestion'!$M$145:$M$249,MATCH($D3538,'MEC - traffic congestion'!$C$145:$C$249,0))</f>
        <v>0</v>
      </c>
      <c r="P3538" t="str">
        <f t="shared" si="158"/>
        <v/>
      </c>
      <c r="Q3538">
        <f t="shared" si="159"/>
        <v>1</v>
      </c>
      <c r="R3538" s="195" t="str">
        <f t="shared" si="160"/>
        <v/>
      </c>
    </row>
    <row r="3539" spans="3:18" x14ac:dyDescent="0.25">
      <c r="C3539" s="294" t="s">
        <v>995</v>
      </c>
      <c r="D3539" s="317" t="s">
        <v>742</v>
      </c>
      <c r="E3539" s="122" t="s">
        <v>996</v>
      </c>
      <c r="F3539" s="122" t="s">
        <v>997</v>
      </c>
      <c r="G3539" s="122" t="s">
        <v>776</v>
      </c>
      <c r="H3539" s="122" t="s">
        <v>777</v>
      </c>
      <c r="I3539" s="312">
        <v>2021</v>
      </c>
      <c r="J3539" s="122" t="s">
        <v>711</v>
      </c>
      <c r="K3539" s="283">
        <v>5081</v>
      </c>
      <c r="L3539" s="318">
        <v>-34.390652000000003</v>
      </c>
      <c r="M3539" s="318">
        <v>150.85810799999999</v>
      </c>
      <c r="O3539">
        <f>INDEX('MEC - traffic congestion'!$M$145:$M$249,MATCH($D3539,'MEC - traffic congestion'!$C$145:$C$249,0))</f>
        <v>0</v>
      </c>
      <c r="P3539" t="str">
        <f t="shared" si="158"/>
        <v/>
      </c>
      <c r="Q3539">
        <f t="shared" si="159"/>
        <v>1</v>
      </c>
      <c r="R3539" s="195" t="str">
        <f t="shared" si="160"/>
        <v/>
      </c>
    </row>
    <row r="3540" spans="3:18" x14ac:dyDescent="0.25">
      <c r="C3540" s="294" t="s">
        <v>995</v>
      </c>
      <c r="D3540" s="317" t="s">
        <v>742</v>
      </c>
      <c r="E3540" s="122" t="s">
        <v>996</v>
      </c>
      <c r="F3540" s="122" t="s">
        <v>997</v>
      </c>
      <c r="G3540" s="122" t="s">
        <v>778</v>
      </c>
      <c r="H3540" s="122" t="s">
        <v>777</v>
      </c>
      <c r="I3540" s="312">
        <v>2021</v>
      </c>
      <c r="J3540" s="122" t="s">
        <v>711</v>
      </c>
      <c r="K3540" s="283">
        <v>7019</v>
      </c>
      <c r="L3540" s="318">
        <v>-34.390652000000003</v>
      </c>
      <c r="M3540" s="318">
        <v>150.85810799999999</v>
      </c>
      <c r="O3540">
        <f>INDEX('MEC - traffic congestion'!$M$145:$M$249,MATCH($D3540,'MEC - traffic congestion'!$C$145:$C$249,0))</f>
        <v>0</v>
      </c>
      <c r="P3540" t="str">
        <f t="shared" si="158"/>
        <v/>
      </c>
      <c r="Q3540">
        <f t="shared" si="159"/>
        <v>1</v>
      </c>
      <c r="R3540" s="195" t="str">
        <f t="shared" si="160"/>
        <v/>
      </c>
    </row>
    <row r="3541" spans="3:18" x14ac:dyDescent="0.25">
      <c r="C3541" s="294" t="s">
        <v>995</v>
      </c>
      <c r="D3541" s="317" t="s">
        <v>742</v>
      </c>
      <c r="E3541" s="122" t="s">
        <v>996</v>
      </c>
      <c r="F3541" s="122" t="s">
        <v>997</v>
      </c>
      <c r="G3541" s="122" t="s">
        <v>776</v>
      </c>
      <c r="H3541" s="122" t="s">
        <v>777</v>
      </c>
      <c r="I3541" s="312">
        <v>2021</v>
      </c>
      <c r="J3541" s="122" t="s">
        <v>713</v>
      </c>
      <c r="K3541" s="283">
        <v>19268</v>
      </c>
      <c r="L3541" s="318">
        <v>-34.390652000000003</v>
      </c>
      <c r="M3541" s="318">
        <v>150.85810799999999</v>
      </c>
      <c r="O3541">
        <f>INDEX('MEC - traffic congestion'!$M$145:$M$249,MATCH($D3541,'MEC - traffic congestion'!$C$145:$C$249,0))</f>
        <v>0</v>
      </c>
      <c r="P3541" t="str">
        <f t="shared" ref="P3541:P3604" si="161">IF($O3541=1,$I3541&amp;$J3541,"")</f>
        <v/>
      </c>
      <c r="Q3541">
        <f t="shared" ref="Q3541:Q3604" si="162">IF(AND($M3541&gt;150.246,AND($L3541&gt;-34.397,$L3541&lt;-32.662)),1,0)</f>
        <v>1</v>
      </c>
      <c r="R3541" s="195" t="str">
        <f t="shared" ref="R3541:R3604" si="163">IF($O3541=1,$I3541&amp;$H3541,"")</f>
        <v/>
      </c>
    </row>
    <row r="3542" spans="3:18" x14ac:dyDescent="0.25">
      <c r="C3542" s="294" t="s">
        <v>995</v>
      </c>
      <c r="D3542" s="317" t="s">
        <v>742</v>
      </c>
      <c r="E3542" s="122" t="s">
        <v>996</v>
      </c>
      <c r="F3542" s="122" t="s">
        <v>997</v>
      </c>
      <c r="G3542" s="122" t="s">
        <v>778</v>
      </c>
      <c r="H3542" s="122" t="s">
        <v>777</v>
      </c>
      <c r="I3542" s="312">
        <v>2021</v>
      </c>
      <c r="J3542" s="122" t="s">
        <v>713</v>
      </c>
      <c r="K3542" s="283">
        <v>17458</v>
      </c>
      <c r="L3542" s="318">
        <v>-34.390652000000003</v>
      </c>
      <c r="M3542" s="318">
        <v>150.85810799999999</v>
      </c>
      <c r="O3542">
        <f>INDEX('MEC - traffic congestion'!$M$145:$M$249,MATCH($D3542,'MEC - traffic congestion'!$C$145:$C$249,0))</f>
        <v>0</v>
      </c>
      <c r="P3542" t="str">
        <f t="shared" si="161"/>
        <v/>
      </c>
      <c r="Q3542">
        <f t="shared" si="162"/>
        <v>1</v>
      </c>
      <c r="R3542" s="195" t="str">
        <f t="shared" si="163"/>
        <v/>
      </c>
    </row>
    <row r="3543" spans="3:18" x14ac:dyDescent="0.25">
      <c r="C3543" s="294" t="s">
        <v>998</v>
      </c>
      <c r="D3543" s="317" t="s">
        <v>743</v>
      </c>
      <c r="E3543" s="122" t="s">
        <v>999</v>
      </c>
      <c r="F3543" s="122" t="s">
        <v>1000</v>
      </c>
      <c r="G3543" s="122" t="s">
        <v>785</v>
      </c>
      <c r="H3543" s="122" t="s">
        <v>777</v>
      </c>
      <c r="I3543" s="312">
        <v>2018</v>
      </c>
      <c r="J3543" s="122" t="s">
        <v>709</v>
      </c>
      <c r="K3543" s="283">
        <v>1178</v>
      </c>
      <c r="L3543" s="318">
        <v>-33.665455000000001</v>
      </c>
      <c r="M3543" s="318">
        <v>151.090271</v>
      </c>
      <c r="O3543">
        <f>INDEX('MEC - traffic congestion'!$M$145:$M$249,MATCH($D3543,'MEC - traffic congestion'!$C$145:$C$249,0))</f>
        <v>1</v>
      </c>
      <c r="P3543" t="str">
        <f t="shared" si="161"/>
        <v>2018AM PEAK</v>
      </c>
      <c r="Q3543">
        <f t="shared" si="162"/>
        <v>1</v>
      </c>
      <c r="R3543" s="195" t="str">
        <f t="shared" si="163"/>
        <v>2018LIGHT VEHICLES</v>
      </c>
    </row>
    <row r="3544" spans="3:18" x14ac:dyDescent="0.25">
      <c r="C3544" s="294" t="s">
        <v>998</v>
      </c>
      <c r="D3544" s="317" t="s">
        <v>743</v>
      </c>
      <c r="E3544" s="122" t="s">
        <v>999</v>
      </c>
      <c r="F3544" s="122" t="s">
        <v>1000</v>
      </c>
      <c r="G3544" s="122" t="s">
        <v>786</v>
      </c>
      <c r="H3544" s="122" t="s">
        <v>777</v>
      </c>
      <c r="I3544" s="312">
        <v>2018</v>
      </c>
      <c r="J3544" s="122" t="s">
        <v>709</v>
      </c>
      <c r="K3544" s="283">
        <v>718</v>
      </c>
      <c r="L3544" s="318">
        <v>-33.665455000000001</v>
      </c>
      <c r="M3544" s="318">
        <v>151.090271</v>
      </c>
      <c r="O3544">
        <f>INDEX('MEC - traffic congestion'!$M$145:$M$249,MATCH($D3544,'MEC - traffic congestion'!$C$145:$C$249,0))</f>
        <v>1</v>
      </c>
      <c r="P3544" t="str">
        <f t="shared" si="161"/>
        <v>2018AM PEAK</v>
      </c>
      <c r="Q3544">
        <f t="shared" si="162"/>
        <v>1</v>
      </c>
      <c r="R3544" s="195" t="str">
        <f t="shared" si="163"/>
        <v>2018LIGHT VEHICLES</v>
      </c>
    </row>
    <row r="3545" spans="3:18" x14ac:dyDescent="0.25">
      <c r="C3545" s="294" t="s">
        <v>998</v>
      </c>
      <c r="D3545" s="317" t="s">
        <v>743</v>
      </c>
      <c r="E3545" s="122" t="s">
        <v>999</v>
      </c>
      <c r="F3545" s="122" t="s">
        <v>1000</v>
      </c>
      <c r="G3545" s="122" t="s">
        <v>785</v>
      </c>
      <c r="H3545" s="122" t="s">
        <v>777</v>
      </c>
      <c r="I3545" s="312">
        <v>2018</v>
      </c>
      <c r="J3545" s="122" t="s">
        <v>710</v>
      </c>
      <c r="K3545" s="283">
        <v>922</v>
      </c>
      <c r="L3545" s="318">
        <v>-33.665455000000001</v>
      </c>
      <c r="M3545" s="318">
        <v>151.090271</v>
      </c>
      <c r="O3545">
        <f>INDEX('MEC - traffic congestion'!$M$145:$M$249,MATCH($D3545,'MEC - traffic congestion'!$C$145:$C$249,0))</f>
        <v>1</v>
      </c>
      <c r="P3545" t="str">
        <f t="shared" si="161"/>
        <v>2018OFF PEAK</v>
      </c>
      <c r="Q3545">
        <f t="shared" si="162"/>
        <v>1</v>
      </c>
      <c r="R3545" s="195" t="str">
        <f t="shared" si="163"/>
        <v>2018LIGHT VEHICLES</v>
      </c>
    </row>
    <row r="3546" spans="3:18" x14ac:dyDescent="0.25">
      <c r="C3546" s="294" t="s">
        <v>998</v>
      </c>
      <c r="D3546" s="317" t="s">
        <v>743</v>
      </c>
      <c r="E3546" s="122" t="s">
        <v>999</v>
      </c>
      <c r="F3546" s="122" t="s">
        <v>1000</v>
      </c>
      <c r="G3546" s="122" t="s">
        <v>786</v>
      </c>
      <c r="H3546" s="122" t="s">
        <v>777</v>
      </c>
      <c r="I3546" s="312">
        <v>2018</v>
      </c>
      <c r="J3546" s="122" t="s">
        <v>710</v>
      </c>
      <c r="K3546" s="283">
        <v>1099</v>
      </c>
      <c r="L3546" s="318">
        <v>-33.665455000000001</v>
      </c>
      <c r="M3546" s="318">
        <v>151.090271</v>
      </c>
      <c r="O3546">
        <f>INDEX('MEC - traffic congestion'!$M$145:$M$249,MATCH($D3546,'MEC - traffic congestion'!$C$145:$C$249,0))</f>
        <v>1</v>
      </c>
      <c r="P3546" t="str">
        <f t="shared" si="161"/>
        <v>2018OFF PEAK</v>
      </c>
      <c r="Q3546">
        <f t="shared" si="162"/>
        <v>1</v>
      </c>
      <c r="R3546" s="195" t="str">
        <f t="shared" si="163"/>
        <v>2018LIGHT VEHICLES</v>
      </c>
    </row>
    <row r="3547" spans="3:18" x14ac:dyDescent="0.25">
      <c r="C3547" s="294" t="s">
        <v>998</v>
      </c>
      <c r="D3547" s="317" t="s">
        <v>743</v>
      </c>
      <c r="E3547" s="122" t="s">
        <v>999</v>
      </c>
      <c r="F3547" s="122" t="s">
        <v>1000</v>
      </c>
      <c r="G3547" s="122" t="s">
        <v>785</v>
      </c>
      <c r="H3547" s="122" t="s">
        <v>777</v>
      </c>
      <c r="I3547" s="312">
        <v>2018</v>
      </c>
      <c r="J3547" s="122" t="s">
        <v>711</v>
      </c>
      <c r="K3547" s="283">
        <v>751</v>
      </c>
      <c r="L3547" s="318">
        <v>-33.665455000000001</v>
      </c>
      <c r="M3547" s="318">
        <v>151.090271</v>
      </c>
      <c r="O3547">
        <f>INDEX('MEC - traffic congestion'!$M$145:$M$249,MATCH($D3547,'MEC - traffic congestion'!$C$145:$C$249,0))</f>
        <v>1</v>
      </c>
      <c r="P3547" t="str">
        <f t="shared" si="161"/>
        <v>2018PM PEAK</v>
      </c>
      <c r="Q3547">
        <f t="shared" si="162"/>
        <v>1</v>
      </c>
      <c r="R3547" s="195" t="str">
        <f t="shared" si="163"/>
        <v>2018LIGHT VEHICLES</v>
      </c>
    </row>
    <row r="3548" spans="3:18" x14ac:dyDescent="0.25">
      <c r="C3548" s="294" t="s">
        <v>998</v>
      </c>
      <c r="D3548" s="317" t="s">
        <v>743</v>
      </c>
      <c r="E3548" s="122" t="s">
        <v>999</v>
      </c>
      <c r="F3548" s="122" t="s">
        <v>1000</v>
      </c>
      <c r="G3548" s="122" t="s">
        <v>786</v>
      </c>
      <c r="H3548" s="122" t="s">
        <v>777</v>
      </c>
      <c r="I3548" s="312">
        <v>2018</v>
      </c>
      <c r="J3548" s="122" t="s">
        <v>711</v>
      </c>
      <c r="K3548" s="283">
        <v>1319</v>
      </c>
      <c r="L3548" s="318">
        <v>-33.665455000000001</v>
      </c>
      <c r="M3548" s="318">
        <v>151.090271</v>
      </c>
      <c r="O3548">
        <f>INDEX('MEC - traffic congestion'!$M$145:$M$249,MATCH($D3548,'MEC - traffic congestion'!$C$145:$C$249,0))</f>
        <v>1</v>
      </c>
      <c r="P3548" t="str">
        <f t="shared" si="161"/>
        <v>2018PM PEAK</v>
      </c>
      <c r="Q3548">
        <f t="shared" si="162"/>
        <v>1</v>
      </c>
      <c r="R3548" s="195" t="str">
        <f t="shared" si="163"/>
        <v>2018LIGHT VEHICLES</v>
      </c>
    </row>
    <row r="3549" spans="3:18" x14ac:dyDescent="0.25">
      <c r="C3549" s="294" t="s">
        <v>998</v>
      </c>
      <c r="D3549" s="317" t="s">
        <v>743</v>
      </c>
      <c r="E3549" s="122" t="s">
        <v>999</v>
      </c>
      <c r="F3549" s="122" t="s">
        <v>1000</v>
      </c>
      <c r="G3549" s="122" t="s">
        <v>785</v>
      </c>
      <c r="H3549" s="122" t="s">
        <v>777</v>
      </c>
      <c r="I3549" s="312">
        <v>2018</v>
      </c>
      <c r="J3549" s="122" t="s">
        <v>712</v>
      </c>
      <c r="K3549" s="283">
        <v>2081</v>
      </c>
      <c r="L3549" s="318">
        <v>-33.665455000000001</v>
      </c>
      <c r="M3549" s="318">
        <v>151.090271</v>
      </c>
      <c r="O3549">
        <f>INDEX('MEC - traffic congestion'!$M$145:$M$249,MATCH($D3549,'MEC - traffic congestion'!$C$145:$C$249,0))</f>
        <v>1</v>
      </c>
      <c r="P3549" t="str">
        <f t="shared" si="161"/>
        <v>2018PUBLIC HOLIDAYS</v>
      </c>
      <c r="Q3549">
        <f t="shared" si="162"/>
        <v>1</v>
      </c>
      <c r="R3549" s="195" t="str">
        <f t="shared" si="163"/>
        <v>2018LIGHT VEHICLES</v>
      </c>
    </row>
    <row r="3550" spans="3:18" x14ac:dyDescent="0.25">
      <c r="C3550" s="294" t="s">
        <v>998</v>
      </c>
      <c r="D3550" s="317" t="s">
        <v>743</v>
      </c>
      <c r="E3550" s="122" t="s">
        <v>999</v>
      </c>
      <c r="F3550" s="122" t="s">
        <v>1000</v>
      </c>
      <c r="G3550" s="122" t="s">
        <v>786</v>
      </c>
      <c r="H3550" s="122" t="s">
        <v>777</v>
      </c>
      <c r="I3550" s="312">
        <v>2018</v>
      </c>
      <c r="J3550" s="122" t="s">
        <v>712</v>
      </c>
      <c r="K3550" s="283">
        <v>2046</v>
      </c>
      <c r="L3550" s="318">
        <v>-33.665455000000001</v>
      </c>
      <c r="M3550" s="318">
        <v>151.090271</v>
      </c>
      <c r="O3550">
        <f>INDEX('MEC - traffic congestion'!$M$145:$M$249,MATCH($D3550,'MEC - traffic congestion'!$C$145:$C$249,0))</f>
        <v>1</v>
      </c>
      <c r="P3550" t="str">
        <f t="shared" si="161"/>
        <v>2018PUBLIC HOLIDAYS</v>
      </c>
      <c r="Q3550">
        <f t="shared" si="162"/>
        <v>1</v>
      </c>
      <c r="R3550" s="195" t="str">
        <f t="shared" si="163"/>
        <v>2018LIGHT VEHICLES</v>
      </c>
    </row>
    <row r="3551" spans="3:18" x14ac:dyDescent="0.25">
      <c r="C3551" s="294" t="s">
        <v>998</v>
      </c>
      <c r="D3551" s="317" t="s">
        <v>743</v>
      </c>
      <c r="E3551" s="122" t="s">
        <v>999</v>
      </c>
      <c r="F3551" s="122" t="s">
        <v>1000</v>
      </c>
      <c r="G3551" s="122" t="s">
        <v>785</v>
      </c>
      <c r="H3551" s="122" t="s">
        <v>777</v>
      </c>
      <c r="I3551" s="312">
        <v>2018</v>
      </c>
      <c r="J3551" s="122" t="s">
        <v>713</v>
      </c>
      <c r="K3551" s="283">
        <v>2199</v>
      </c>
      <c r="L3551" s="318">
        <v>-33.665455000000001</v>
      </c>
      <c r="M3551" s="318">
        <v>151.090271</v>
      </c>
      <c r="O3551">
        <f>INDEX('MEC - traffic congestion'!$M$145:$M$249,MATCH($D3551,'MEC - traffic congestion'!$C$145:$C$249,0))</f>
        <v>1</v>
      </c>
      <c r="P3551" t="str">
        <f t="shared" si="161"/>
        <v>2018WEEKENDS</v>
      </c>
      <c r="Q3551">
        <f t="shared" si="162"/>
        <v>1</v>
      </c>
      <c r="R3551" s="195" t="str">
        <f t="shared" si="163"/>
        <v>2018LIGHT VEHICLES</v>
      </c>
    </row>
    <row r="3552" spans="3:18" x14ac:dyDescent="0.25">
      <c r="C3552" s="294" t="s">
        <v>998</v>
      </c>
      <c r="D3552" s="317" t="s">
        <v>743</v>
      </c>
      <c r="E3552" s="122" t="s">
        <v>999</v>
      </c>
      <c r="F3552" s="122" t="s">
        <v>1000</v>
      </c>
      <c r="G3552" s="122" t="s">
        <v>786</v>
      </c>
      <c r="H3552" s="122" t="s">
        <v>777</v>
      </c>
      <c r="I3552" s="312">
        <v>2018</v>
      </c>
      <c r="J3552" s="122" t="s">
        <v>713</v>
      </c>
      <c r="K3552" s="283">
        <v>2375</v>
      </c>
      <c r="L3552" s="318">
        <v>-33.665455000000001</v>
      </c>
      <c r="M3552" s="318">
        <v>151.090271</v>
      </c>
      <c r="O3552">
        <f>INDEX('MEC - traffic congestion'!$M$145:$M$249,MATCH($D3552,'MEC - traffic congestion'!$C$145:$C$249,0))</f>
        <v>1</v>
      </c>
      <c r="P3552" t="str">
        <f t="shared" si="161"/>
        <v>2018WEEKENDS</v>
      </c>
      <c r="Q3552">
        <f t="shared" si="162"/>
        <v>1</v>
      </c>
      <c r="R3552" s="195" t="str">
        <f t="shared" si="163"/>
        <v>2018LIGHT VEHICLES</v>
      </c>
    </row>
    <row r="3553" spans="3:18" x14ac:dyDescent="0.25">
      <c r="C3553" s="294" t="s">
        <v>998</v>
      </c>
      <c r="D3553" s="317" t="s">
        <v>743</v>
      </c>
      <c r="E3553" s="122" t="s">
        <v>999</v>
      </c>
      <c r="F3553" s="122" t="s">
        <v>1000</v>
      </c>
      <c r="G3553" s="122" t="s">
        <v>785</v>
      </c>
      <c r="H3553" s="122" t="s">
        <v>777</v>
      </c>
      <c r="I3553" s="312">
        <v>2019</v>
      </c>
      <c r="J3553" s="122" t="s">
        <v>709</v>
      </c>
      <c r="K3553" s="283">
        <v>1108</v>
      </c>
      <c r="L3553" s="318">
        <v>-33.665455000000001</v>
      </c>
      <c r="M3553" s="318">
        <v>151.090271</v>
      </c>
      <c r="O3553">
        <f>INDEX('MEC - traffic congestion'!$M$145:$M$249,MATCH($D3553,'MEC - traffic congestion'!$C$145:$C$249,0))</f>
        <v>1</v>
      </c>
      <c r="P3553" t="str">
        <f t="shared" si="161"/>
        <v>2019AM PEAK</v>
      </c>
      <c r="Q3553">
        <f t="shared" si="162"/>
        <v>1</v>
      </c>
      <c r="R3553" s="195" t="str">
        <f t="shared" si="163"/>
        <v>2019LIGHT VEHICLES</v>
      </c>
    </row>
    <row r="3554" spans="3:18" x14ac:dyDescent="0.25">
      <c r="C3554" s="294" t="s">
        <v>998</v>
      </c>
      <c r="D3554" s="317" t="s">
        <v>743</v>
      </c>
      <c r="E3554" s="122" t="s">
        <v>999</v>
      </c>
      <c r="F3554" s="122" t="s">
        <v>1000</v>
      </c>
      <c r="G3554" s="122" t="s">
        <v>786</v>
      </c>
      <c r="H3554" s="122" t="s">
        <v>777</v>
      </c>
      <c r="I3554" s="312">
        <v>2019</v>
      </c>
      <c r="J3554" s="122" t="s">
        <v>709</v>
      </c>
      <c r="K3554" s="283">
        <v>665</v>
      </c>
      <c r="L3554" s="318">
        <v>-33.665455000000001</v>
      </c>
      <c r="M3554" s="318">
        <v>151.090271</v>
      </c>
      <c r="O3554">
        <f>INDEX('MEC - traffic congestion'!$M$145:$M$249,MATCH($D3554,'MEC - traffic congestion'!$C$145:$C$249,0))</f>
        <v>1</v>
      </c>
      <c r="P3554" t="str">
        <f t="shared" si="161"/>
        <v>2019AM PEAK</v>
      </c>
      <c r="Q3554">
        <f t="shared" si="162"/>
        <v>1</v>
      </c>
      <c r="R3554" s="195" t="str">
        <f t="shared" si="163"/>
        <v>2019LIGHT VEHICLES</v>
      </c>
    </row>
    <row r="3555" spans="3:18" x14ac:dyDescent="0.25">
      <c r="C3555" s="294" t="s">
        <v>998</v>
      </c>
      <c r="D3555" s="317" t="s">
        <v>743</v>
      </c>
      <c r="E3555" s="122" t="s">
        <v>999</v>
      </c>
      <c r="F3555" s="122" t="s">
        <v>1000</v>
      </c>
      <c r="G3555" s="122" t="s">
        <v>785</v>
      </c>
      <c r="H3555" s="122" t="s">
        <v>777</v>
      </c>
      <c r="I3555" s="312">
        <v>2019</v>
      </c>
      <c r="J3555" s="122" t="s">
        <v>710</v>
      </c>
      <c r="K3555" s="283">
        <v>904</v>
      </c>
      <c r="L3555" s="318">
        <v>-33.665455000000001</v>
      </c>
      <c r="M3555" s="318">
        <v>151.090271</v>
      </c>
      <c r="O3555">
        <f>INDEX('MEC - traffic congestion'!$M$145:$M$249,MATCH($D3555,'MEC - traffic congestion'!$C$145:$C$249,0))</f>
        <v>1</v>
      </c>
      <c r="P3555" t="str">
        <f t="shared" si="161"/>
        <v>2019OFF PEAK</v>
      </c>
      <c r="Q3555">
        <f t="shared" si="162"/>
        <v>1</v>
      </c>
      <c r="R3555" s="195" t="str">
        <f t="shared" si="163"/>
        <v>2019LIGHT VEHICLES</v>
      </c>
    </row>
    <row r="3556" spans="3:18" x14ac:dyDescent="0.25">
      <c r="C3556" s="294" t="s">
        <v>998</v>
      </c>
      <c r="D3556" s="317" t="s">
        <v>743</v>
      </c>
      <c r="E3556" s="122" t="s">
        <v>999</v>
      </c>
      <c r="F3556" s="122" t="s">
        <v>1000</v>
      </c>
      <c r="G3556" s="122" t="s">
        <v>786</v>
      </c>
      <c r="H3556" s="122" t="s">
        <v>777</v>
      </c>
      <c r="I3556" s="312">
        <v>2019</v>
      </c>
      <c r="J3556" s="122" t="s">
        <v>710</v>
      </c>
      <c r="K3556" s="283">
        <v>1093</v>
      </c>
      <c r="L3556" s="318">
        <v>-33.665455000000001</v>
      </c>
      <c r="M3556" s="318">
        <v>151.090271</v>
      </c>
      <c r="O3556">
        <f>INDEX('MEC - traffic congestion'!$M$145:$M$249,MATCH($D3556,'MEC - traffic congestion'!$C$145:$C$249,0))</f>
        <v>1</v>
      </c>
      <c r="P3556" t="str">
        <f t="shared" si="161"/>
        <v>2019OFF PEAK</v>
      </c>
      <c r="Q3556">
        <f t="shared" si="162"/>
        <v>1</v>
      </c>
      <c r="R3556" s="195" t="str">
        <f t="shared" si="163"/>
        <v>2019LIGHT VEHICLES</v>
      </c>
    </row>
    <row r="3557" spans="3:18" x14ac:dyDescent="0.25">
      <c r="C3557" s="294" t="s">
        <v>998</v>
      </c>
      <c r="D3557" s="317" t="s">
        <v>743</v>
      </c>
      <c r="E3557" s="122" t="s">
        <v>999</v>
      </c>
      <c r="F3557" s="122" t="s">
        <v>1000</v>
      </c>
      <c r="G3557" s="122" t="s">
        <v>785</v>
      </c>
      <c r="H3557" s="122" t="s">
        <v>777</v>
      </c>
      <c r="I3557" s="312">
        <v>2019</v>
      </c>
      <c r="J3557" s="122" t="s">
        <v>711</v>
      </c>
      <c r="K3557" s="283">
        <v>722</v>
      </c>
      <c r="L3557" s="318">
        <v>-33.665455000000001</v>
      </c>
      <c r="M3557" s="318">
        <v>151.090271</v>
      </c>
      <c r="O3557">
        <f>INDEX('MEC - traffic congestion'!$M$145:$M$249,MATCH($D3557,'MEC - traffic congestion'!$C$145:$C$249,0))</f>
        <v>1</v>
      </c>
      <c r="P3557" t="str">
        <f t="shared" si="161"/>
        <v>2019PM PEAK</v>
      </c>
      <c r="Q3557">
        <f t="shared" si="162"/>
        <v>1</v>
      </c>
      <c r="R3557" s="195" t="str">
        <f t="shared" si="163"/>
        <v>2019LIGHT VEHICLES</v>
      </c>
    </row>
    <row r="3558" spans="3:18" x14ac:dyDescent="0.25">
      <c r="C3558" s="294" t="s">
        <v>998</v>
      </c>
      <c r="D3558" s="317" t="s">
        <v>743</v>
      </c>
      <c r="E3558" s="122" t="s">
        <v>999</v>
      </c>
      <c r="F3558" s="122" t="s">
        <v>1000</v>
      </c>
      <c r="G3558" s="122" t="s">
        <v>786</v>
      </c>
      <c r="H3558" s="122" t="s">
        <v>777</v>
      </c>
      <c r="I3558" s="312">
        <v>2019</v>
      </c>
      <c r="J3558" s="122" t="s">
        <v>711</v>
      </c>
      <c r="K3558" s="283">
        <v>1232</v>
      </c>
      <c r="L3558" s="318">
        <v>-33.665455000000001</v>
      </c>
      <c r="M3558" s="318">
        <v>151.090271</v>
      </c>
      <c r="O3558">
        <f>INDEX('MEC - traffic congestion'!$M$145:$M$249,MATCH($D3558,'MEC - traffic congestion'!$C$145:$C$249,0))</f>
        <v>1</v>
      </c>
      <c r="P3558" t="str">
        <f t="shared" si="161"/>
        <v>2019PM PEAK</v>
      </c>
      <c r="Q3558">
        <f t="shared" si="162"/>
        <v>1</v>
      </c>
      <c r="R3558" s="195" t="str">
        <f t="shared" si="163"/>
        <v>2019LIGHT VEHICLES</v>
      </c>
    </row>
    <row r="3559" spans="3:18" x14ac:dyDescent="0.25">
      <c r="C3559" s="294" t="s">
        <v>998</v>
      </c>
      <c r="D3559" s="317" t="s">
        <v>743</v>
      </c>
      <c r="E3559" s="122" t="s">
        <v>999</v>
      </c>
      <c r="F3559" s="122" t="s">
        <v>1000</v>
      </c>
      <c r="G3559" s="122" t="s">
        <v>785</v>
      </c>
      <c r="H3559" s="122" t="s">
        <v>777</v>
      </c>
      <c r="I3559" s="312">
        <v>2019</v>
      </c>
      <c r="J3559" s="122" t="s">
        <v>712</v>
      </c>
      <c r="K3559" s="283">
        <v>2046</v>
      </c>
      <c r="L3559" s="318">
        <v>-33.665455000000001</v>
      </c>
      <c r="M3559" s="318">
        <v>151.090271</v>
      </c>
      <c r="O3559">
        <f>INDEX('MEC - traffic congestion'!$M$145:$M$249,MATCH($D3559,'MEC - traffic congestion'!$C$145:$C$249,0))</f>
        <v>1</v>
      </c>
      <c r="P3559" t="str">
        <f t="shared" si="161"/>
        <v>2019PUBLIC HOLIDAYS</v>
      </c>
      <c r="Q3559">
        <f t="shared" si="162"/>
        <v>1</v>
      </c>
      <c r="R3559" s="195" t="str">
        <f t="shared" si="163"/>
        <v>2019LIGHT VEHICLES</v>
      </c>
    </row>
    <row r="3560" spans="3:18" x14ac:dyDescent="0.25">
      <c r="C3560" s="294" t="s">
        <v>998</v>
      </c>
      <c r="D3560" s="317" t="s">
        <v>743</v>
      </c>
      <c r="E3560" s="122" t="s">
        <v>999</v>
      </c>
      <c r="F3560" s="122" t="s">
        <v>1000</v>
      </c>
      <c r="G3560" s="122" t="s">
        <v>786</v>
      </c>
      <c r="H3560" s="122" t="s">
        <v>777</v>
      </c>
      <c r="I3560" s="312">
        <v>2019</v>
      </c>
      <c r="J3560" s="122" t="s">
        <v>712</v>
      </c>
      <c r="K3560" s="283">
        <v>2009</v>
      </c>
      <c r="L3560" s="318">
        <v>-33.665455000000001</v>
      </c>
      <c r="M3560" s="318">
        <v>151.090271</v>
      </c>
      <c r="O3560">
        <f>INDEX('MEC - traffic congestion'!$M$145:$M$249,MATCH($D3560,'MEC - traffic congestion'!$C$145:$C$249,0))</f>
        <v>1</v>
      </c>
      <c r="P3560" t="str">
        <f t="shared" si="161"/>
        <v>2019PUBLIC HOLIDAYS</v>
      </c>
      <c r="Q3560">
        <f t="shared" si="162"/>
        <v>1</v>
      </c>
      <c r="R3560" s="195" t="str">
        <f t="shared" si="163"/>
        <v>2019LIGHT VEHICLES</v>
      </c>
    </row>
    <row r="3561" spans="3:18" x14ac:dyDescent="0.25">
      <c r="C3561" s="294" t="s">
        <v>998</v>
      </c>
      <c r="D3561" s="317" t="s">
        <v>743</v>
      </c>
      <c r="E3561" s="122" t="s">
        <v>999</v>
      </c>
      <c r="F3561" s="122" t="s">
        <v>1000</v>
      </c>
      <c r="G3561" s="122" t="s">
        <v>785</v>
      </c>
      <c r="H3561" s="122" t="s">
        <v>777</v>
      </c>
      <c r="I3561" s="312">
        <v>2019</v>
      </c>
      <c r="J3561" s="122" t="s">
        <v>713</v>
      </c>
      <c r="K3561" s="283">
        <v>2167</v>
      </c>
      <c r="L3561" s="318">
        <v>-33.665455000000001</v>
      </c>
      <c r="M3561" s="318">
        <v>151.090271</v>
      </c>
      <c r="O3561">
        <f>INDEX('MEC - traffic congestion'!$M$145:$M$249,MATCH($D3561,'MEC - traffic congestion'!$C$145:$C$249,0))</f>
        <v>1</v>
      </c>
      <c r="P3561" t="str">
        <f t="shared" si="161"/>
        <v>2019WEEKENDS</v>
      </c>
      <c r="Q3561">
        <f t="shared" si="162"/>
        <v>1</v>
      </c>
      <c r="R3561" s="195" t="str">
        <f t="shared" si="163"/>
        <v>2019LIGHT VEHICLES</v>
      </c>
    </row>
    <row r="3562" spans="3:18" x14ac:dyDescent="0.25">
      <c r="C3562" s="294" t="s">
        <v>998</v>
      </c>
      <c r="D3562" s="317" t="s">
        <v>743</v>
      </c>
      <c r="E3562" s="122" t="s">
        <v>999</v>
      </c>
      <c r="F3562" s="122" t="s">
        <v>1000</v>
      </c>
      <c r="G3562" s="122" t="s">
        <v>786</v>
      </c>
      <c r="H3562" s="122" t="s">
        <v>777</v>
      </c>
      <c r="I3562" s="312">
        <v>2019</v>
      </c>
      <c r="J3562" s="122" t="s">
        <v>713</v>
      </c>
      <c r="K3562" s="283">
        <v>2352</v>
      </c>
      <c r="L3562" s="318">
        <v>-33.665455000000001</v>
      </c>
      <c r="M3562" s="318">
        <v>151.090271</v>
      </c>
      <c r="O3562">
        <f>INDEX('MEC - traffic congestion'!$M$145:$M$249,MATCH($D3562,'MEC - traffic congestion'!$C$145:$C$249,0))</f>
        <v>1</v>
      </c>
      <c r="P3562" t="str">
        <f t="shared" si="161"/>
        <v>2019WEEKENDS</v>
      </c>
      <c r="Q3562">
        <f t="shared" si="162"/>
        <v>1</v>
      </c>
      <c r="R3562" s="195" t="str">
        <f t="shared" si="163"/>
        <v>2019LIGHT VEHICLES</v>
      </c>
    </row>
    <row r="3563" spans="3:18" x14ac:dyDescent="0.25">
      <c r="C3563" s="294" t="s">
        <v>998</v>
      </c>
      <c r="D3563" s="317" t="s">
        <v>743</v>
      </c>
      <c r="E3563" s="122" t="s">
        <v>999</v>
      </c>
      <c r="F3563" s="122" t="s">
        <v>1000</v>
      </c>
      <c r="G3563" s="122" t="s">
        <v>785</v>
      </c>
      <c r="H3563" s="122" t="s">
        <v>777</v>
      </c>
      <c r="I3563" s="312">
        <v>2020</v>
      </c>
      <c r="J3563" s="122" t="s">
        <v>709</v>
      </c>
      <c r="K3563" s="283">
        <v>827</v>
      </c>
      <c r="L3563" s="318">
        <v>-33.665455000000001</v>
      </c>
      <c r="M3563" s="318">
        <v>151.090271</v>
      </c>
      <c r="O3563">
        <f>INDEX('MEC - traffic congestion'!$M$145:$M$249,MATCH($D3563,'MEC - traffic congestion'!$C$145:$C$249,0))</f>
        <v>1</v>
      </c>
      <c r="P3563" t="str">
        <f t="shared" si="161"/>
        <v>2020AM PEAK</v>
      </c>
      <c r="Q3563">
        <f t="shared" si="162"/>
        <v>1</v>
      </c>
      <c r="R3563" s="195" t="str">
        <f t="shared" si="163"/>
        <v>2020LIGHT VEHICLES</v>
      </c>
    </row>
    <row r="3564" spans="3:18" x14ac:dyDescent="0.25">
      <c r="C3564" s="294" t="s">
        <v>998</v>
      </c>
      <c r="D3564" s="317" t="s">
        <v>743</v>
      </c>
      <c r="E3564" s="122" t="s">
        <v>999</v>
      </c>
      <c r="F3564" s="122" t="s">
        <v>1000</v>
      </c>
      <c r="G3564" s="122" t="s">
        <v>786</v>
      </c>
      <c r="H3564" s="122" t="s">
        <v>777</v>
      </c>
      <c r="I3564" s="312">
        <v>2020</v>
      </c>
      <c r="J3564" s="122" t="s">
        <v>709</v>
      </c>
      <c r="K3564" s="283">
        <v>557</v>
      </c>
      <c r="L3564" s="318">
        <v>-33.665455000000001</v>
      </c>
      <c r="M3564" s="318">
        <v>151.090271</v>
      </c>
      <c r="O3564">
        <f>INDEX('MEC - traffic congestion'!$M$145:$M$249,MATCH($D3564,'MEC - traffic congestion'!$C$145:$C$249,0))</f>
        <v>1</v>
      </c>
      <c r="P3564" t="str">
        <f t="shared" si="161"/>
        <v>2020AM PEAK</v>
      </c>
      <c r="Q3564">
        <f t="shared" si="162"/>
        <v>1</v>
      </c>
      <c r="R3564" s="195" t="str">
        <f t="shared" si="163"/>
        <v>2020LIGHT VEHICLES</v>
      </c>
    </row>
    <row r="3565" spans="3:18" x14ac:dyDescent="0.25">
      <c r="C3565" s="294" t="s">
        <v>998</v>
      </c>
      <c r="D3565" s="317" t="s">
        <v>743</v>
      </c>
      <c r="E3565" s="122" t="s">
        <v>999</v>
      </c>
      <c r="F3565" s="122" t="s">
        <v>1000</v>
      </c>
      <c r="G3565" s="122" t="s">
        <v>785</v>
      </c>
      <c r="H3565" s="122" t="s">
        <v>777</v>
      </c>
      <c r="I3565" s="312">
        <v>2020</v>
      </c>
      <c r="J3565" s="122" t="s">
        <v>710</v>
      </c>
      <c r="K3565" s="283">
        <v>820</v>
      </c>
      <c r="L3565" s="318">
        <v>-33.665455000000001</v>
      </c>
      <c r="M3565" s="318">
        <v>151.090271</v>
      </c>
      <c r="O3565">
        <f>INDEX('MEC - traffic congestion'!$M$145:$M$249,MATCH($D3565,'MEC - traffic congestion'!$C$145:$C$249,0))</f>
        <v>1</v>
      </c>
      <c r="P3565" t="str">
        <f t="shared" si="161"/>
        <v>2020OFF PEAK</v>
      </c>
      <c r="Q3565">
        <f t="shared" si="162"/>
        <v>1</v>
      </c>
      <c r="R3565" s="195" t="str">
        <f t="shared" si="163"/>
        <v>2020LIGHT VEHICLES</v>
      </c>
    </row>
    <row r="3566" spans="3:18" x14ac:dyDescent="0.25">
      <c r="C3566" s="294" t="s">
        <v>998</v>
      </c>
      <c r="D3566" s="317" t="s">
        <v>743</v>
      </c>
      <c r="E3566" s="122" t="s">
        <v>999</v>
      </c>
      <c r="F3566" s="122" t="s">
        <v>1000</v>
      </c>
      <c r="G3566" s="122" t="s">
        <v>786</v>
      </c>
      <c r="H3566" s="122" t="s">
        <v>777</v>
      </c>
      <c r="I3566" s="312">
        <v>2020</v>
      </c>
      <c r="J3566" s="122" t="s">
        <v>710</v>
      </c>
      <c r="K3566" s="283">
        <v>954</v>
      </c>
      <c r="L3566" s="318">
        <v>-33.665455000000001</v>
      </c>
      <c r="M3566" s="318">
        <v>151.090271</v>
      </c>
      <c r="O3566">
        <f>INDEX('MEC - traffic congestion'!$M$145:$M$249,MATCH($D3566,'MEC - traffic congestion'!$C$145:$C$249,0))</f>
        <v>1</v>
      </c>
      <c r="P3566" t="str">
        <f t="shared" si="161"/>
        <v>2020OFF PEAK</v>
      </c>
      <c r="Q3566">
        <f t="shared" si="162"/>
        <v>1</v>
      </c>
      <c r="R3566" s="195" t="str">
        <f t="shared" si="163"/>
        <v>2020LIGHT VEHICLES</v>
      </c>
    </row>
    <row r="3567" spans="3:18" x14ac:dyDescent="0.25">
      <c r="C3567" s="294" t="s">
        <v>998</v>
      </c>
      <c r="D3567" s="317" t="s">
        <v>743</v>
      </c>
      <c r="E3567" s="122" t="s">
        <v>999</v>
      </c>
      <c r="F3567" s="122" t="s">
        <v>1000</v>
      </c>
      <c r="G3567" s="122" t="s">
        <v>785</v>
      </c>
      <c r="H3567" s="122" t="s">
        <v>777</v>
      </c>
      <c r="I3567" s="312">
        <v>2020</v>
      </c>
      <c r="J3567" s="122" t="s">
        <v>711</v>
      </c>
      <c r="K3567" s="283">
        <v>614</v>
      </c>
      <c r="L3567" s="318">
        <v>-33.665455000000001</v>
      </c>
      <c r="M3567" s="318">
        <v>151.090271</v>
      </c>
      <c r="O3567">
        <f>INDEX('MEC - traffic congestion'!$M$145:$M$249,MATCH($D3567,'MEC - traffic congestion'!$C$145:$C$249,0))</f>
        <v>1</v>
      </c>
      <c r="P3567" t="str">
        <f t="shared" si="161"/>
        <v>2020PM PEAK</v>
      </c>
      <c r="Q3567">
        <f t="shared" si="162"/>
        <v>1</v>
      </c>
      <c r="R3567" s="195" t="str">
        <f t="shared" si="163"/>
        <v>2020LIGHT VEHICLES</v>
      </c>
    </row>
    <row r="3568" spans="3:18" x14ac:dyDescent="0.25">
      <c r="C3568" s="294" t="s">
        <v>998</v>
      </c>
      <c r="D3568" s="317" t="s">
        <v>743</v>
      </c>
      <c r="E3568" s="122" t="s">
        <v>999</v>
      </c>
      <c r="F3568" s="122" t="s">
        <v>1000</v>
      </c>
      <c r="G3568" s="122" t="s">
        <v>786</v>
      </c>
      <c r="H3568" s="122" t="s">
        <v>777</v>
      </c>
      <c r="I3568" s="312">
        <v>2020</v>
      </c>
      <c r="J3568" s="122" t="s">
        <v>711</v>
      </c>
      <c r="K3568" s="283">
        <v>995</v>
      </c>
      <c r="L3568" s="318">
        <v>-33.665455000000001</v>
      </c>
      <c r="M3568" s="318">
        <v>151.090271</v>
      </c>
      <c r="O3568">
        <f>INDEX('MEC - traffic congestion'!$M$145:$M$249,MATCH($D3568,'MEC - traffic congestion'!$C$145:$C$249,0))</f>
        <v>1</v>
      </c>
      <c r="P3568" t="str">
        <f t="shared" si="161"/>
        <v>2020PM PEAK</v>
      </c>
      <c r="Q3568">
        <f t="shared" si="162"/>
        <v>1</v>
      </c>
      <c r="R3568" s="195" t="str">
        <f t="shared" si="163"/>
        <v>2020LIGHT VEHICLES</v>
      </c>
    </row>
    <row r="3569" spans="3:18" x14ac:dyDescent="0.25">
      <c r="C3569" s="294" t="s">
        <v>998</v>
      </c>
      <c r="D3569" s="317" t="s">
        <v>743</v>
      </c>
      <c r="E3569" s="122" t="s">
        <v>999</v>
      </c>
      <c r="F3569" s="122" t="s">
        <v>1000</v>
      </c>
      <c r="G3569" s="122" t="s">
        <v>785</v>
      </c>
      <c r="H3569" s="122" t="s">
        <v>777</v>
      </c>
      <c r="I3569" s="312">
        <v>2020</v>
      </c>
      <c r="J3569" s="122" t="s">
        <v>712</v>
      </c>
      <c r="K3569" s="283">
        <v>1336</v>
      </c>
      <c r="L3569" s="318">
        <v>-33.665455000000001</v>
      </c>
      <c r="M3569" s="318">
        <v>151.090271</v>
      </c>
      <c r="O3569">
        <f>INDEX('MEC - traffic congestion'!$M$145:$M$249,MATCH($D3569,'MEC - traffic congestion'!$C$145:$C$249,0))</f>
        <v>1</v>
      </c>
      <c r="P3569" t="str">
        <f t="shared" si="161"/>
        <v>2020PUBLIC HOLIDAYS</v>
      </c>
      <c r="Q3569">
        <f t="shared" si="162"/>
        <v>1</v>
      </c>
      <c r="R3569" s="195" t="str">
        <f t="shared" si="163"/>
        <v>2020LIGHT VEHICLES</v>
      </c>
    </row>
    <row r="3570" spans="3:18" x14ac:dyDescent="0.25">
      <c r="C3570" s="294" t="s">
        <v>998</v>
      </c>
      <c r="D3570" s="317" t="s">
        <v>743</v>
      </c>
      <c r="E3570" s="122" t="s">
        <v>999</v>
      </c>
      <c r="F3570" s="122" t="s">
        <v>1000</v>
      </c>
      <c r="G3570" s="122" t="s">
        <v>786</v>
      </c>
      <c r="H3570" s="122" t="s">
        <v>777</v>
      </c>
      <c r="I3570" s="312">
        <v>2020</v>
      </c>
      <c r="J3570" s="122" t="s">
        <v>712</v>
      </c>
      <c r="K3570" s="283">
        <v>1514</v>
      </c>
      <c r="L3570" s="318">
        <v>-33.665455000000001</v>
      </c>
      <c r="M3570" s="318">
        <v>151.090271</v>
      </c>
      <c r="O3570">
        <f>INDEX('MEC - traffic congestion'!$M$145:$M$249,MATCH($D3570,'MEC - traffic congestion'!$C$145:$C$249,0))</f>
        <v>1</v>
      </c>
      <c r="P3570" t="str">
        <f t="shared" si="161"/>
        <v>2020PUBLIC HOLIDAYS</v>
      </c>
      <c r="Q3570">
        <f t="shared" si="162"/>
        <v>1</v>
      </c>
      <c r="R3570" s="195" t="str">
        <f t="shared" si="163"/>
        <v>2020LIGHT VEHICLES</v>
      </c>
    </row>
    <row r="3571" spans="3:18" x14ac:dyDescent="0.25">
      <c r="C3571" s="294" t="s">
        <v>998</v>
      </c>
      <c r="D3571" s="317" t="s">
        <v>743</v>
      </c>
      <c r="E3571" s="122" t="s">
        <v>999</v>
      </c>
      <c r="F3571" s="122" t="s">
        <v>1000</v>
      </c>
      <c r="G3571" s="122" t="s">
        <v>785</v>
      </c>
      <c r="H3571" s="122" t="s">
        <v>777</v>
      </c>
      <c r="I3571" s="312">
        <v>2020</v>
      </c>
      <c r="J3571" s="122" t="s">
        <v>713</v>
      </c>
      <c r="K3571" s="283">
        <v>1883</v>
      </c>
      <c r="L3571" s="318">
        <v>-33.665455000000001</v>
      </c>
      <c r="M3571" s="318">
        <v>151.090271</v>
      </c>
      <c r="O3571">
        <f>INDEX('MEC - traffic congestion'!$M$145:$M$249,MATCH($D3571,'MEC - traffic congestion'!$C$145:$C$249,0))</f>
        <v>1</v>
      </c>
      <c r="P3571" t="str">
        <f t="shared" si="161"/>
        <v>2020WEEKENDS</v>
      </c>
      <c r="Q3571">
        <f t="shared" si="162"/>
        <v>1</v>
      </c>
      <c r="R3571" s="195" t="str">
        <f t="shared" si="163"/>
        <v>2020LIGHT VEHICLES</v>
      </c>
    </row>
    <row r="3572" spans="3:18" x14ac:dyDescent="0.25">
      <c r="C3572" s="294" t="s">
        <v>998</v>
      </c>
      <c r="D3572" s="317" t="s">
        <v>743</v>
      </c>
      <c r="E3572" s="122" t="s">
        <v>999</v>
      </c>
      <c r="F3572" s="122" t="s">
        <v>1000</v>
      </c>
      <c r="G3572" s="122" t="s">
        <v>786</v>
      </c>
      <c r="H3572" s="122" t="s">
        <v>777</v>
      </c>
      <c r="I3572" s="312">
        <v>2020</v>
      </c>
      <c r="J3572" s="122" t="s">
        <v>713</v>
      </c>
      <c r="K3572" s="283">
        <v>2091</v>
      </c>
      <c r="L3572" s="318">
        <v>-33.665455000000001</v>
      </c>
      <c r="M3572" s="318">
        <v>151.090271</v>
      </c>
      <c r="O3572">
        <f>INDEX('MEC - traffic congestion'!$M$145:$M$249,MATCH($D3572,'MEC - traffic congestion'!$C$145:$C$249,0))</f>
        <v>1</v>
      </c>
      <c r="P3572" t="str">
        <f t="shared" si="161"/>
        <v>2020WEEKENDS</v>
      </c>
      <c r="Q3572">
        <f t="shared" si="162"/>
        <v>1</v>
      </c>
      <c r="R3572" s="195" t="str">
        <f t="shared" si="163"/>
        <v>2020LIGHT VEHICLES</v>
      </c>
    </row>
    <row r="3573" spans="3:18" x14ac:dyDescent="0.25">
      <c r="C3573" s="294" t="s">
        <v>998</v>
      </c>
      <c r="D3573" s="317" t="s">
        <v>743</v>
      </c>
      <c r="E3573" s="122" t="s">
        <v>999</v>
      </c>
      <c r="F3573" s="122" t="s">
        <v>1000</v>
      </c>
      <c r="G3573" s="122" t="s">
        <v>785</v>
      </c>
      <c r="H3573" s="122" t="s">
        <v>777</v>
      </c>
      <c r="I3573" s="312">
        <v>2021</v>
      </c>
      <c r="J3573" s="122" t="s">
        <v>709</v>
      </c>
      <c r="K3573" s="283">
        <v>694</v>
      </c>
      <c r="L3573" s="318">
        <v>-33.665455000000001</v>
      </c>
      <c r="M3573" s="318">
        <v>151.090271</v>
      </c>
      <c r="O3573">
        <f>INDEX('MEC - traffic congestion'!$M$145:$M$249,MATCH($D3573,'MEC - traffic congestion'!$C$145:$C$249,0))</f>
        <v>1</v>
      </c>
      <c r="P3573" t="str">
        <f t="shared" si="161"/>
        <v>2021AM PEAK</v>
      </c>
      <c r="Q3573">
        <f t="shared" si="162"/>
        <v>1</v>
      </c>
      <c r="R3573" s="195" t="str">
        <f t="shared" si="163"/>
        <v>2021LIGHT VEHICLES</v>
      </c>
    </row>
    <row r="3574" spans="3:18" x14ac:dyDescent="0.25">
      <c r="C3574" s="294" t="s">
        <v>998</v>
      </c>
      <c r="D3574" s="317" t="s">
        <v>743</v>
      </c>
      <c r="E3574" s="122" t="s">
        <v>999</v>
      </c>
      <c r="F3574" s="122" t="s">
        <v>1000</v>
      </c>
      <c r="G3574" s="122" t="s">
        <v>786</v>
      </c>
      <c r="H3574" s="122" t="s">
        <v>777</v>
      </c>
      <c r="I3574" s="312">
        <v>2021</v>
      </c>
      <c r="J3574" s="122" t="s">
        <v>709</v>
      </c>
      <c r="K3574" s="283">
        <v>463</v>
      </c>
      <c r="L3574" s="318">
        <v>-33.665455000000001</v>
      </c>
      <c r="M3574" s="318">
        <v>151.090271</v>
      </c>
      <c r="O3574">
        <f>INDEX('MEC - traffic congestion'!$M$145:$M$249,MATCH($D3574,'MEC - traffic congestion'!$C$145:$C$249,0))</f>
        <v>1</v>
      </c>
      <c r="P3574" t="str">
        <f t="shared" si="161"/>
        <v>2021AM PEAK</v>
      </c>
      <c r="Q3574">
        <f t="shared" si="162"/>
        <v>1</v>
      </c>
      <c r="R3574" s="195" t="str">
        <f t="shared" si="163"/>
        <v>2021LIGHT VEHICLES</v>
      </c>
    </row>
    <row r="3575" spans="3:18" x14ac:dyDescent="0.25">
      <c r="C3575" s="294" t="s">
        <v>998</v>
      </c>
      <c r="D3575" s="317" t="s">
        <v>743</v>
      </c>
      <c r="E3575" s="122" t="s">
        <v>999</v>
      </c>
      <c r="F3575" s="122" t="s">
        <v>1000</v>
      </c>
      <c r="G3575" s="122" t="s">
        <v>785</v>
      </c>
      <c r="H3575" s="122" t="s">
        <v>777</v>
      </c>
      <c r="I3575" s="312">
        <v>2021</v>
      </c>
      <c r="J3575" s="122" t="s">
        <v>710</v>
      </c>
      <c r="K3575" s="283">
        <v>713</v>
      </c>
      <c r="L3575" s="318">
        <v>-33.665455000000001</v>
      </c>
      <c r="M3575" s="318">
        <v>151.090271</v>
      </c>
      <c r="O3575">
        <f>INDEX('MEC - traffic congestion'!$M$145:$M$249,MATCH($D3575,'MEC - traffic congestion'!$C$145:$C$249,0))</f>
        <v>1</v>
      </c>
      <c r="P3575" t="str">
        <f t="shared" si="161"/>
        <v>2021OFF PEAK</v>
      </c>
      <c r="Q3575">
        <f t="shared" si="162"/>
        <v>1</v>
      </c>
      <c r="R3575" s="195" t="str">
        <f t="shared" si="163"/>
        <v>2021LIGHT VEHICLES</v>
      </c>
    </row>
    <row r="3576" spans="3:18" x14ac:dyDescent="0.25">
      <c r="C3576" s="294" t="s">
        <v>998</v>
      </c>
      <c r="D3576" s="317" t="s">
        <v>743</v>
      </c>
      <c r="E3576" s="122" t="s">
        <v>999</v>
      </c>
      <c r="F3576" s="122" t="s">
        <v>1000</v>
      </c>
      <c r="G3576" s="122" t="s">
        <v>786</v>
      </c>
      <c r="H3576" s="122" t="s">
        <v>777</v>
      </c>
      <c r="I3576" s="312">
        <v>2021</v>
      </c>
      <c r="J3576" s="122" t="s">
        <v>710</v>
      </c>
      <c r="K3576" s="283">
        <v>826</v>
      </c>
      <c r="L3576" s="318">
        <v>-33.665455000000001</v>
      </c>
      <c r="M3576" s="318">
        <v>151.090271</v>
      </c>
      <c r="O3576">
        <f>INDEX('MEC - traffic congestion'!$M$145:$M$249,MATCH($D3576,'MEC - traffic congestion'!$C$145:$C$249,0))</f>
        <v>1</v>
      </c>
      <c r="P3576" t="str">
        <f t="shared" si="161"/>
        <v>2021OFF PEAK</v>
      </c>
      <c r="Q3576">
        <f t="shared" si="162"/>
        <v>1</v>
      </c>
      <c r="R3576" s="195" t="str">
        <f t="shared" si="163"/>
        <v>2021LIGHT VEHICLES</v>
      </c>
    </row>
    <row r="3577" spans="3:18" x14ac:dyDescent="0.25">
      <c r="C3577" s="294" t="s">
        <v>998</v>
      </c>
      <c r="D3577" s="317" t="s">
        <v>743</v>
      </c>
      <c r="E3577" s="122" t="s">
        <v>999</v>
      </c>
      <c r="F3577" s="122" t="s">
        <v>1000</v>
      </c>
      <c r="G3577" s="122" t="s">
        <v>785</v>
      </c>
      <c r="H3577" s="122" t="s">
        <v>777</v>
      </c>
      <c r="I3577" s="312">
        <v>2021</v>
      </c>
      <c r="J3577" s="122" t="s">
        <v>711</v>
      </c>
      <c r="K3577" s="283">
        <v>498</v>
      </c>
      <c r="L3577" s="318">
        <v>-33.665455000000001</v>
      </c>
      <c r="M3577" s="318">
        <v>151.090271</v>
      </c>
      <c r="O3577">
        <f>INDEX('MEC - traffic congestion'!$M$145:$M$249,MATCH($D3577,'MEC - traffic congestion'!$C$145:$C$249,0))</f>
        <v>1</v>
      </c>
      <c r="P3577" t="str">
        <f t="shared" si="161"/>
        <v>2021PM PEAK</v>
      </c>
      <c r="Q3577">
        <f t="shared" si="162"/>
        <v>1</v>
      </c>
      <c r="R3577" s="195" t="str">
        <f t="shared" si="163"/>
        <v>2021LIGHT VEHICLES</v>
      </c>
    </row>
    <row r="3578" spans="3:18" x14ac:dyDescent="0.25">
      <c r="C3578" s="294" t="s">
        <v>998</v>
      </c>
      <c r="D3578" s="317" t="s">
        <v>743</v>
      </c>
      <c r="E3578" s="122" t="s">
        <v>999</v>
      </c>
      <c r="F3578" s="122" t="s">
        <v>1000</v>
      </c>
      <c r="G3578" s="122" t="s">
        <v>786</v>
      </c>
      <c r="H3578" s="122" t="s">
        <v>777</v>
      </c>
      <c r="I3578" s="312">
        <v>2021</v>
      </c>
      <c r="J3578" s="122" t="s">
        <v>711</v>
      </c>
      <c r="K3578" s="283">
        <v>795</v>
      </c>
      <c r="L3578" s="318">
        <v>-33.665455000000001</v>
      </c>
      <c r="M3578" s="318">
        <v>151.090271</v>
      </c>
      <c r="O3578">
        <f>INDEX('MEC - traffic congestion'!$M$145:$M$249,MATCH($D3578,'MEC - traffic congestion'!$C$145:$C$249,0))</f>
        <v>1</v>
      </c>
      <c r="P3578" t="str">
        <f t="shared" si="161"/>
        <v>2021PM PEAK</v>
      </c>
      <c r="Q3578">
        <f t="shared" si="162"/>
        <v>1</v>
      </c>
      <c r="R3578" s="195" t="str">
        <f t="shared" si="163"/>
        <v>2021LIGHT VEHICLES</v>
      </c>
    </row>
    <row r="3579" spans="3:18" x14ac:dyDescent="0.25">
      <c r="C3579" s="294" t="s">
        <v>998</v>
      </c>
      <c r="D3579" s="317" t="s">
        <v>743</v>
      </c>
      <c r="E3579" s="122" t="s">
        <v>999</v>
      </c>
      <c r="F3579" s="122" t="s">
        <v>1000</v>
      </c>
      <c r="G3579" s="122" t="s">
        <v>785</v>
      </c>
      <c r="H3579" s="122" t="s">
        <v>777</v>
      </c>
      <c r="I3579" s="312">
        <v>2021</v>
      </c>
      <c r="J3579" s="122" t="s">
        <v>713</v>
      </c>
      <c r="K3579" s="283">
        <v>1623</v>
      </c>
      <c r="L3579" s="318">
        <v>-33.665455000000001</v>
      </c>
      <c r="M3579" s="318">
        <v>151.090271</v>
      </c>
      <c r="O3579">
        <f>INDEX('MEC - traffic congestion'!$M$145:$M$249,MATCH($D3579,'MEC - traffic congestion'!$C$145:$C$249,0))</f>
        <v>1</v>
      </c>
      <c r="P3579" t="str">
        <f t="shared" si="161"/>
        <v>2021WEEKENDS</v>
      </c>
      <c r="Q3579">
        <f t="shared" si="162"/>
        <v>1</v>
      </c>
      <c r="R3579" s="195" t="str">
        <f t="shared" si="163"/>
        <v>2021LIGHT VEHICLES</v>
      </c>
    </row>
    <row r="3580" spans="3:18" x14ac:dyDescent="0.25">
      <c r="C3580" s="294" t="s">
        <v>998</v>
      </c>
      <c r="D3580" s="317" t="s">
        <v>743</v>
      </c>
      <c r="E3580" s="122" t="s">
        <v>999</v>
      </c>
      <c r="F3580" s="122" t="s">
        <v>1000</v>
      </c>
      <c r="G3580" s="122" t="s">
        <v>786</v>
      </c>
      <c r="H3580" s="122" t="s">
        <v>777</v>
      </c>
      <c r="I3580" s="312">
        <v>2021</v>
      </c>
      <c r="J3580" s="122" t="s">
        <v>713</v>
      </c>
      <c r="K3580" s="283">
        <v>1788</v>
      </c>
      <c r="L3580" s="318">
        <v>-33.665455000000001</v>
      </c>
      <c r="M3580" s="318">
        <v>151.090271</v>
      </c>
      <c r="O3580">
        <f>INDEX('MEC - traffic congestion'!$M$145:$M$249,MATCH($D3580,'MEC - traffic congestion'!$C$145:$C$249,0))</f>
        <v>1</v>
      </c>
      <c r="P3580" t="str">
        <f t="shared" si="161"/>
        <v>2021WEEKENDS</v>
      </c>
      <c r="Q3580">
        <f t="shared" si="162"/>
        <v>1</v>
      </c>
      <c r="R3580" s="195" t="str">
        <f t="shared" si="163"/>
        <v>2021LIGHT VEHICLES</v>
      </c>
    </row>
    <row r="3581" spans="3:18" x14ac:dyDescent="0.25">
      <c r="C3581" s="294" t="s">
        <v>998</v>
      </c>
      <c r="D3581" s="317" t="s">
        <v>743</v>
      </c>
      <c r="E3581" s="122" t="s">
        <v>999</v>
      </c>
      <c r="F3581" s="122" t="s">
        <v>1000</v>
      </c>
      <c r="G3581" s="122" t="s">
        <v>785</v>
      </c>
      <c r="H3581" s="122" t="s">
        <v>777</v>
      </c>
      <c r="I3581" s="312">
        <v>2022</v>
      </c>
      <c r="J3581" s="122" t="s">
        <v>709</v>
      </c>
      <c r="K3581" s="283">
        <v>357</v>
      </c>
      <c r="L3581" s="318">
        <v>-33.665455000000001</v>
      </c>
      <c r="M3581" s="318">
        <v>151.090271</v>
      </c>
      <c r="O3581">
        <f>INDEX('MEC - traffic congestion'!$M$145:$M$249,MATCH($D3581,'MEC - traffic congestion'!$C$145:$C$249,0))</f>
        <v>1</v>
      </c>
      <c r="P3581" t="str">
        <f t="shared" si="161"/>
        <v>2022AM PEAK</v>
      </c>
      <c r="Q3581">
        <f t="shared" si="162"/>
        <v>1</v>
      </c>
      <c r="R3581" s="195" t="str">
        <f t="shared" si="163"/>
        <v>2022LIGHT VEHICLES</v>
      </c>
    </row>
    <row r="3582" spans="3:18" x14ac:dyDescent="0.25">
      <c r="C3582" s="294" t="s">
        <v>998</v>
      </c>
      <c r="D3582" s="317" t="s">
        <v>743</v>
      </c>
      <c r="E3582" s="122" t="s">
        <v>999</v>
      </c>
      <c r="F3582" s="122" t="s">
        <v>1000</v>
      </c>
      <c r="G3582" s="122" t="s">
        <v>786</v>
      </c>
      <c r="H3582" s="122" t="s">
        <v>777</v>
      </c>
      <c r="I3582" s="312">
        <v>2022</v>
      </c>
      <c r="J3582" s="122" t="s">
        <v>709</v>
      </c>
      <c r="K3582" s="283">
        <v>244</v>
      </c>
      <c r="L3582" s="318">
        <v>-33.665455000000001</v>
      </c>
      <c r="M3582" s="318">
        <v>151.090271</v>
      </c>
      <c r="O3582">
        <f>INDEX('MEC - traffic congestion'!$M$145:$M$249,MATCH($D3582,'MEC - traffic congestion'!$C$145:$C$249,0))</f>
        <v>1</v>
      </c>
      <c r="P3582" t="str">
        <f t="shared" si="161"/>
        <v>2022AM PEAK</v>
      </c>
      <c r="Q3582">
        <f t="shared" si="162"/>
        <v>1</v>
      </c>
      <c r="R3582" s="195" t="str">
        <f t="shared" si="163"/>
        <v>2022LIGHT VEHICLES</v>
      </c>
    </row>
    <row r="3583" spans="3:18" x14ac:dyDescent="0.25">
      <c r="C3583" s="294" t="s">
        <v>998</v>
      </c>
      <c r="D3583" s="317" t="s">
        <v>743</v>
      </c>
      <c r="E3583" s="122" t="s">
        <v>999</v>
      </c>
      <c r="F3583" s="122" t="s">
        <v>1000</v>
      </c>
      <c r="G3583" s="122" t="s">
        <v>785</v>
      </c>
      <c r="H3583" s="122" t="s">
        <v>777</v>
      </c>
      <c r="I3583" s="312">
        <v>2022</v>
      </c>
      <c r="J3583" s="122" t="s">
        <v>710</v>
      </c>
      <c r="K3583" s="283">
        <v>405</v>
      </c>
      <c r="L3583" s="318">
        <v>-33.665455000000001</v>
      </c>
      <c r="M3583" s="318">
        <v>151.090271</v>
      </c>
      <c r="O3583">
        <f>INDEX('MEC - traffic congestion'!$M$145:$M$249,MATCH($D3583,'MEC - traffic congestion'!$C$145:$C$249,0))</f>
        <v>1</v>
      </c>
      <c r="P3583" t="str">
        <f t="shared" si="161"/>
        <v>2022OFF PEAK</v>
      </c>
      <c r="Q3583">
        <f t="shared" si="162"/>
        <v>1</v>
      </c>
      <c r="R3583" s="195" t="str">
        <f t="shared" si="163"/>
        <v>2022LIGHT VEHICLES</v>
      </c>
    </row>
    <row r="3584" spans="3:18" x14ac:dyDescent="0.25">
      <c r="C3584" s="294" t="s">
        <v>998</v>
      </c>
      <c r="D3584" s="317" t="s">
        <v>743</v>
      </c>
      <c r="E3584" s="122" t="s">
        <v>999</v>
      </c>
      <c r="F3584" s="122" t="s">
        <v>1000</v>
      </c>
      <c r="G3584" s="122" t="s">
        <v>786</v>
      </c>
      <c r="H3584" s="122" t="s">
        <v>777</v>
      </c>
      <c r="I3584" s="312">
        <v>2022</v>
      </c>
      <c r="J3584" s="122" t="s">
        <v>710</v>
      </c>
      <c r="K3584" s="283">
        <v>473</v>
      </c>
      <c r="L3584" s="318">
        <v>-33.665455000000001</v>
      </c>
      <c r="M3584" s="318">
        <v>151.090271</v>
      </c>
      <c r="O3584">
        <f>INDEX('MEC - traffic congestion'!$M$145:$M$249,MATCH($D3584,'MEC - traffic congestion'!$C$145:$C$249,0))</f>
        <v>1</v>
      </c>
      <c r="P3584" t="str">
        <f t="shared" si="161"/>
        <v>2022OFF PEAK</v>
      </c>
      <c r="Q3584">
        <f t="shared" si="162"/>
        <v>1</v>
      </c>
      <c r="R3584" s="195" t="str">
        <f t="shared" si="163"/>
        <v>2022LIGHT VEHICLES</v>
      </c>
    </row>
    <row r="3585" spans="3:18" x14ac:dyDescent="0.25">
      <c r="C3585" s="294" t="s">
        <v>998</v>
      </c>
      <c r="D3585" s="317" t="s">
        <v>743</v>
      </c>
      <c r="E3585" s="122" t="s">
        <v>999</v>
      </c>
      <c r="F3585" s="122" t="s">
        <v>1000</v>
      </c>
      <c r="G3585" s="122" t="s">
        <v>785</v>
      </c>
      <c r="H3585" s="122" t="s">
        <v>777</v>
      </c>
      <c r="I3585" s="312">
        <v>2022</v>
      </c>
      <c r="J3585" s="122" t="s">
        <v>711</v>
      </c>
      <c r="K3585" s="283">
        <v>262</v>
      </c>
      <c r="L3585" s="318">
        <v>-33.665455000000001</v>
      </c>
      <c r="M3585" s="318">
        <v>151.090271</v>
      </c>
      <c r="O3585">
        <f>INDEX('MEC - traffic congestion'!$M$145:$M$249,MATCH($D3585,'MEC - traffic congestion'!$C$145:$C$249,0))</f>
        <v>1</v>
      </c>
      <c r="P3585" t="str">
        <f t="shared" si="161"/>
        <v>2022PM PEAK</v>
      </c>
      <c r="Q3585">
        <f t="shared" si="162"/>
        <v>1</v>
      </c>
      <c r="R3585" s="195" t="str">
        <f t="shared" si="163"/>
        <v>2022LIGHT VEHICLES</v>
      </c>
    </row>
    <row r="3586" spans="3:18" x14ac:dyDescent="0.25">
      <c r="C3586" s="294" t="s">
        <v>998</v>
      </c>
      <c r="D3586" s="317" t="s">
        <v>743</v>
      </c>
      <c r="E3586" s="122" t="s">
        <v>999</v>
      </c>
      <c r="F3586" s="122" t="s">
        <v>1000</v>
      </c>
      <c r="G3586" s="122" t="s">
        <v>786</v>
      </c>
      <c r="H3586" s="122" t="s">
        <v>777</v>
      </c>
      <c r="I3586" s="312">
        <v>2022</v>
      </c>
      <c r="J3586" s="122" t="s">
        <v>711</v>
      </c>
      <c r="K3586" s="283">
        <v>435</v>
      </c>
      <c r="L3586" s="318">
        <v>-33.665455000000001</v>
      </c>
      <c r="M3586" s="318">
        <v>151.090271</v>
      </c>
      <c r="O3586">
        <f>INDEX('MEC - traffic congestion'!$M$145:$M$249,MATCH($D3586,'MEC - traffic congestion'!$C$145:$C$249,0))</f>
        <v>1</v>
      </c>
      <c r="P3586" t="str">
        <f t="shared" si="161"/>
        <v>2022PM PEAK</v>
      </c>
      <c r="Q3586">
        <f t="shared" si="162"/>
        <v>1</v>
      </c>
      <c r="R3586" s="195" t="str">
        <f t="shared" si="163"/>
        <v>2022LIGHT VEHICLES</v>
      </c>
    </row>
    <row r="3587" spans="3:18" x14ac:dyDescent="0.25">
      <c r="C3587" s="294" t="s">
        <v>998</v>
      </c>
      <c r="D3587" s="317" t="s">
        <v>743</v>
      </c>
      <c r="E3587" s="122" t="s">
        <v>999</v>
      </c>
      <c r="F3587" s="122" t="s">
        <v>1000</v>
      </c>
      <c r="G3587" s="122" t="s">
        <v>785</v>
      </c>
      <c r="H3587" s="122" t="s">
        <v>777</v>
      </c>
      <c r="I3587" s="312">
        <v>2022</v>
      </c>
      <c r="J3587" s="122" t="s">
        <v>713</v>
      </c>
      <c r="K3587" s="283">
        <v>899</v>
      </c>
      <c r="L3587" s="318">
        <v>-33.665455000000001</v>
      </c>
      <c r="M3587" s="318">
        <v>151.090271</v>
      </c>
      <c r="O3587">
        <f>INDEX('MEC - traffic congestion'!$M$145:$M$249,MATCH($D3587,'MEC - traffic congestion'!$C$145:$C$249,0))</f>
        <v>1</v>
      </c>
      <c r="P3587" t="str">
        <f t="shared" si="161"/>
        <v>2022WEEKENDS</v>
      </c>
      <c r="Q3587">
        <f t="shared" si="162"/>
        <v>1</v>
      </c>
      <c r="R3587" s="195" t="str">
        <f t="shared" si="163"/>
        <v>2022LIGHT VEHICLES</v>
      </c>
    </row>
    <row r="3588" spans="3:18" x14ac:dyDescent="0.25">
      <c r="C3588" s="294" t="s">
        <v>998</v>
      </c>
      <c r="D3588" s="317" t="s">
        <v>743</v>
      </c>
      <c r="E3588" s="122" t="s">
        <v>999</v>
      </c>
      <c r="F3588" s="122" t="s">
        <v>1000</v>
      </c>
      <c r="G3588" s="122" t="s">
        <v>786</v>
      </c>
      <c r="H3588" s="122" t="s">
        <v>777</v>
      </c>
      <c r="I3588" s="312">
        <v>2022</v>
      </c>
      <c r="J3588" s="122" t="s">
        <v>713</v>
      </c>
      <c r="K3588" s="283">
        <v>1052</v>
      </c>
      <c r="L3588" s="318">
        <v>-33.665455000000001</v>
      </c>
      <c r="M3588" s="318">
        <v>151.090271</v>
      </c>
      <c r="O3588">
        <f>INDEX('MEC - traffic congestion'!$M$145:$M$249,MATCH($D3588,'MEC - traffic congestion'!$C$145:$C$249,0))</f>
        <v>1</v>
      </c>
      <c r="P3588" t="str">
        <f t="shared" si="161"/>
        <v>2022WEEKENDS</v>
      </c>
      <c r="Q3588">
        <f t="shared" si="162"/>
        <v>1</v>
      </c>
      <c r="R3588" s="195" t="str">
        <f t="shared" si="163"/>
        <v>2022LIGHT VEHICLES</v>
      </c>
    </row>
    <row r="3589" spans="3:18" x14ac:dyDescent="0.25">
      <c r="C3589" s="294" t="s">
        <v>998</v>
      </c>
      <c r="D3589" s="317" t="s">
        <v>743</v>
      </c>
      <c r="E3589" s="122" t="s">
        <v>999</v>
      </c>
      <c r="F3589" s="122" t="s">
        <v>1000</v>
      </c>
      <c r="G3589" s="122" t="s">
        <v>785</v>
      </c>
      <c r="H3589" s="122" t="s">
        <v>777</v>
      </c>
      <c r="I3589" s="312">
        <v>2023</v>
      </c>
      <c r="J3589" s="122" t="s">
        <v>709</v>
      </c>
      <c r="K3589" s="283">
        <v>676</v>
      </c>
      <c r="L3589" s="318">
        <v>-33.665455000000001</v>
      </c>
      <c r="M3589" s="318">
        <v>151.090271</v>
      </c>
      <c r="O3589">
        <f>INDEX('MEC - traffic congestion'!$M$145:$M$249,MATCH($D3589,'MEC - traffic congestion'!$C$145:$C$249,0))</f>
        <v>1</v>
      </c>
      <c r="P3589" t="str">
        <f t="shared" si="161"/>
        <v>2023AM PEAK</v>
      </c>
      <c r="Q3589">
        <f t="shared" si="162"/>
        <v>1</v>
      </c>
      <c r="R3589" s="195" t="str">
        <f t="shared" si="163"/>
        <v>2023LIGHT VEHICLES</v>
      </c>
    </row>
    <row r="3590" spans="3:18" x14ac:dyDescent="0.25">
      <c r="C3590" s="294" t="s">
        <v>998</v>
      </c>
      <c r="D3590" s="317" t="s">
        <v>743</v>
      </c>
      <c r="E3590" s="122" t="s">
        <v>999</v>
      </c>
      <c r="F3590" s="122" t="s">
        <v>1000</v>
      </c>
      <c r="G3590" s="122" t="s">
        <v>786</v>
      </c>
      <c r="H3590" s="122" t="s">
        <v>777</v>
      </c>
      <c r="I3590" s="312">
        <v>2023</v>
      </c>
      <c r="J3590" s="122" t="s">
        <v>709</v>
      </c>
      <c r="K3590" s="283">
        <v>438</v>
      </c>
      <c r="L3590" s="318">
        <v>-33.665455000000001</v>
      </c>
      <c r="M3590" s="318">
        <v>151.090271</v>
      </c>
      <c r="O3590">
        <f>INDEX('MEC - traffic congestion'!$M$145:$M$249,MATCH($D3590,'MEC - traffic congestion'!$C$145:$C$249,0))</f>
        <v>1</v>
      </c>
      <c r="P3590" t="str">
        <f t="shared" si="161"/>
        <v>2023AM PEAK</v>
      </c>
      <c r="Q3590">
        <f t="shared" si="162"/>
        <v>1</v>
      </c>
      <c r="R3590" s="195" t="str">
        <f t="shared" si="163"/>
        <v>2023LIGHT VEHICLES</v>
      </c>
    </row>
    <row r="3591" spans="3:18" x14ac:dyDescent="0.25">
      <c r="C3591" s="294" t="s">
        <v>998</v>
      </c>
      <c r="D3591" s="317" t="s">
        <v>743</v>
      </c>
      <c r="E3591" s="122" t="s">
        <v>999</v>
      </c>
      <c r="F3591" s="122" t="s">
        <v>1000</v>
      </c>
      <c r="G3591" s="122" t="s">
        <v>785</v>
      </c>
      <c r="H3591" s="122" t="s">
        <v>777</v>
      </c>
      <c r="I3591" s="312">
        <v>2023</v>
      </c>
      <c r="J3591" s="122" t="s">
        <v>710</v>
      </c>
      <c r="K3591" s="283">
        <v>682</v>
      </c>
      <c r="L3591" s="318">
        <v>-33.665455000000001</v>
      </c>
      <c r="M3591" s="318">
        <v>151.090271</v>
      </c>
      <c r="O3591">
        <f>INDEX('MEC - traffic congestion'!$M$145:$M$249,MATCH($D3591,'MEC - traffic congestion'!$C$145:$C$249,0))</f>
        <v>1</v>
      </c>
      <c r="P3591" t="str">
        <f t="shared" si="161"/>
        <v>2023OFF PEAK</v>
      </c>
      <c r="Q3591">
        <f t="shared" si="162"/>
        <v>1</v>
      </c>
      <c r="R3591" s="195" t="str">
        <f t="shared" si="163"/>
        <v>2023LIGHT VEHICLES</v>
      </c>
    </row>
    <row r="3592" spans="3:18" x14ac:dyDescent="0.25">
      <c r="C3592" s="294" t="s">
        <v>998</v>
      </c>
      <c r="D3592" s="317" t="s">
        <v>743</v>
      </c>
      <c r="E3592" s="122" t="s">
        <v>999</v>
      </c>
      <c r="F3592" s="122" t="s">
        <v>1000</v>
      </c>
      <c r="G3592" s="122" t="s">
        <v>786</v>
      </c>
      <c r="H3592" s="122" t="s">
        <v>777</v>
      </c>
      <c r="I3592" s="312">
        <v>2023</v>
      </c>
      <c r="J3592" s="122" t="s">
        <v>710</v>
      </c>
      <c r="K3592" s="283">
        <v>795</v>
      </c>
      <c r="L3592" s="318">
        <v>-33.665455000000001</v>
      </c>
      <c r="M3592" s="318">
        <v>151.090271</v>
      </c>
      <c r="O3592">
        <f>INDEX('MEC - traffic congestion'!$M$145:$M$249,MATCH($D3592,'MEC - traffic congestion'!$C$145:$C$249,0))</f>
        <v>1</v>
      </c>
      <c r="P3592" t="str">
        <f t="shared" si="161"/>
        <v>2023OFF PEAK</v>
      </c>
      <c r="Q3592">
        <f t="shared" si="162"/>
        <v>1</v>
      </c>
      <c r="R3592" s="195" t="str">
        <f t="shared" si="163"/>
        <v>2023LIGHT VEHICLES</v>
      </c>
    </row>
    <row r="3593" spans="3:18" x14ac:dyDescent="0.25">
      <c r="C3593" s="294" t="s">
        <v>998</v>
      </c>
      <c r="D3593" s="317" t="s">
        <v>743</v>
      </c>
      <c r="E3593" s="122" t="s">
        <v>999</v>
      </c>
      <c r="F3593" s="122" t="s">
        <v>1000</v>
      </c>
      <c r="G3593" s="122" t="s">
        <v>785</v>
      </c>
      <c r="H3593" s="122" t="s">
        <v>777</v>
      </c>
      <c r="I3593" s="312">
        <v>2023</v>
      </c>
      <c r="J3593" s="122" t="s">
        <v>711</v>
      </c>
      <c r="K3593" s="283">
        <v>474</v>
      </c>
      <c r="L3593" s="318">
        <v>-33.665455000000001</v>
      </c>
      <c r="M3593" s="318">
        <v>151.090271</v>
      </c>
      <c r="O3593">
        <f>INDEX('MEC - traffic congestion'!$M$145:$M$249,MATCH($D3593,'MEC - traffic congestion'!$C$145:$C$249,0))</f>
        <v>1</v>
      </c>
      <c r="P3593" t="str">
        <f t="shared" si="161"/>
        <v>2023PM PEAK</v>
      </c>
      <c r="Q3593">
        <f t="shared" si="162"/>
        <v>1</v>
      </c>
      <c r="R3593" s="195" t="str">
        <f t="shared" si="163"/>
        <v>2023LIGHT VEHICLES</v>
      </c>
    </row>
    <row r="3594" spans="3:18" x14ac:dyDescent="0.25">
      <c r="C3594" s="294" t="s">
        <v>998</v>
      </c>
      <c r="D3594" s="317" t="s">
        <v>743</v>
      </c>
      <c r="E3594" s="122" t="s">
        <v>999</v>
      </c>
      <c r="F3594" s="122" t="s">
        <v>1000</v>
      </c>
      <c r="G3594" s="122" t="s">
        <v>786</v>
      </c>
      <c r="H3594" s="122" t="s">
        <v>777</v>
      </c>
      <c r="I3594" s="312">
        <v>2023</v>
      </c>
      <c r="J3594" s="122" t="s">
        <v>711</v>
      </c>
      <c r="K3594" s="283">
        <v>830</v>
      </c>
      <c r="L3594" s="318">
        <v>-33.665455000000001</v>
      </c>
      <c r="M3594" s="318">
        <v>151.090271</v>
      </c>
      <c r="O3594">
        <f>INDEX('MEC - traffic congestion'!$M$145:$M$249,MATCH($D3594,'MEC - traffic congestion'!$C$145:$C$249,0))</f>
        <v>1</v>
      </c>
      <c r="P3594" t="str">
        <f t="shared" si="161"/>
        <v>2023PM PEAK</v>
      </c>
      <c r="Q3594">
        <f t="shared" si="162"/>
        <v>1</v>
      </c>
      <c r="R3594" s="195" t="str">
        <f t="shared" si="163"/>
        <v>2023LIGHT VEHICLES</v>
      </c>
    </row>
    <row r="3595" spans="3:18" x14ac:dyDescent="0.25">
      <c r="C3595" s="294" t="s">
        <v>998</v>
      </c>
      <c r="D3595" s="317" t="s">
        <v>743</v>
      </c>
      <c r="E3595" s="122" t="s">
        <v>999</v>
      </c>
      <c r="F3595" s="122" t="s">
        <v>1000</v>
      </c>
      <c r="G3595" s="122" t="s">
        <v>785</v>
      </c>
      <c r="H3595" s="122" t="s">
        <v>777</v>
      </c>
      <c r="I3595" s="312">
        <v>2023</v>
      </c>
      <c r="J3595" s="122" t="s">
        <v>713</v>
      </c>
      <c r="K3595" s="283">
        <v>1617</v>
      </c>
      <c r="L3595" s="318">
        <v>-33.665455000000001</v>
      </c>
      <c r="M3595" s="318">
        <v>151.090271</v>
      </c>
      <c r="O3595">
        <f>INDEX('MEC - traffic congestion'!$M$145:$M$249,MATCH($D3595,'MEC - traffic congestion'!$C$145:$C$249,0))</f>
        <v>1</v>
      </c>
      <c r="P3595" t="str">
        <f t="shared" si="161"/>
        <v>2023WEEKENDS</v>
      </c>
      <c r="Q3595">
        <f t="shared" si="162"/>
        <v>1</v>
      </c>
      <c r="R3595" s="195" t="str">
        <f t="shared" si="163"/>
        <v>2023LIGHT VEHICLES</v>
      </c>
    </row>
    <row r="3596" spans="3:18" x14ac:dyDescent="0.25">
      <c r="C3596" s="294" t="s">
        <v>998</v>
      </c>
      <c r="D3596" s="317" t="s">
        <v>743</v>
      </c>
      <c r="E3596" s="122" t="s">
        <v>999</v>
      </c>
      <c r="F3596" s="122" t="s">
        <v>1000</v>
      </c>
      <c r="G3596" s="122" t="s">
        <v>786</v>
      </c>
      <c r="H3596" s="122" t="s">
        <v>777</v>
      </c>
      <c r="I3596" s="312">
        <v>2023</v>
      </c>
      <c r="J3596" s="122" t="s">
        <v>713</v>
      </c>
      <c r="K3596" s="283">
        <v>1779</v>
      </c>
      <c r="L3596" s="318">
        <v>-33.665455000000001</v>
      </c>
      <c r="M3596" s="318">
        <v>151.090271</v>
      </c>
      <c r="O3596">
        <f>INDEX('MEC - traffic congestion'!$M$145:$M$249,MATCH($D3596,'MEC - traffic congestion'!$C$145:$C$249,0))</f>
        <v>1</v>
      </c>
      <c r="P3596" t="str">
        <f t="shared" si="161"/>
        <v>2023WEEKENDS</v>
      </c>
      <c r="Q3596">
        <f t="shared" si="162"/>
        <v>1</v>
      </c>
      <c r="R3596" s="195" t="str">
        <f t="shared" si="163"/>
        <v>2023LIGHT VEHICLES</v>
      </c>
    </row>
    <row r="3597" spans="3:18" x14ac:dyDescent="0.25">
      <c r="C3597" s="294" t="s">
        <v>998</v>
      </c>
      <c r="D3597" s="317" t="s">
        <v>743</v>
      </c>
      <c r="E3597" s="122" t="s">
        <v>999</v>
      </c>
      <c r="F3597" s="122" t="s">
        <v>1000</v>
      </c>
      <c r="G3597" s="122" t="s">
        <v>785</v>
      </c>
      <c r="H3597" s="122" t="s">
        <v>777</v>
      </c>
      <c r="I3597" s="312">
        <v>2024</v>
      </c>
      <c r="J3597" s="122" t="s">
        <v>709</v>
      </c>
      <c r="K3597" s="283">
        <v>703</v>
      </c>
      <c r="L3597" s="318">
        <v>-33.665455000000001</v>
      </c>
      <c r="M3597" s="318">
        <v>151.090271</v>
      </c>
      <c r="O3597">
        <f>INDEX('MEC - traffic congestion'!$M$145:$M$249,MATCH($D3597,'MEC - traffic congestion'!$C$145:$C$249,0))</f>
        <v>1</v>
      </c>
      <c r="P3597" t="str">
        <f t="shared" si="161"/>
        <v>2024AM PEAK</v>
      </c>
      <c r="Q3597">
        <f t="shared" si="162"/>
        <v>1</v>
      </c>
      <c r="R3597" s="195" t="str">
        <f t="shared" si="163"/>
        <v>2024LIGHT VEHICLES</v>
      </c>
    </row>
    <row r="3598" spans="3:18" x14ac:dyDescent="0.25">
      <c r="C3598" s="294" t="s">
        <v>998</v>
      </c>
      <c r="D3598" s="317" t="s">
        <v>743</v>
      </c>
      <c r="E3598" s="122" t="s">
        <v>999</v>
      </c>
      <c r="F3598" s="122" t="s">
        <v>1000</v>
      </c>
      <c r="G3598" s="122" t="s">
        <v>786</v>
      </c>
      <c r="H3598" s="122" t="s">
        <v>777</v>
      </c>
      <c r="I3598" s="312">
        <v>2024</v>
      </c>
      <c r="J3598" s="122" t="s">
        <v>709</v>
      </c>
      <c r="K3598" s="283">
        <v>437</v>
      </c>
      <c r="L3598" s="318">
        <v>-33.665455000000001</v>
      </c>
      <c r="M3598" s="318">
        <v>151.090271</v>
      </c>
      <c r="O3598">
        <f>INDEX('MEC - traffic congestion'!$M$145:$M$249,MATCH($D3598,'MEC - traffic congestion'!$C$145:$C$249,0))</f>
        <v>1</v>
      </c>
      <c r="P3598" t="str">
        <f t="shared" si="161"/>
        <v>2024AM PEAK</v>
      </c>
      <c r="Q3598">
        <f t="shared" si="162"/>
        <v>1</v>
      </c>
      <c r="R3598" s="195" t="str">
        <f t="shared" si="163"/>
        <v>2024LIGHT VEHICLES</v>
      </c>
    </row>
    <row r="3599" spans="3:18" x14ac:dyDescent="0.25">
      <c r="C3599" s="294" t="s">
        <v>998</v>
      </c>
      <c r="D3599" s="317" t="s">
        <v>743</v>
      </c>
      <c r="E3599" s="122" t="s">
        <v>999</v>
      </c>
      <c r="F3599" s="122" t="s">
        <v>1000</v>
      </c>
      <c r="G3599" s="122" t="s">
        <v>785</v>
      </c>
      <c r="H3599" s="122" t="s">
        <v>777</v>
      </c>
      <c r="I3599" s="312">
        <v>2024</v>
      </c>
      <c r="J3599" s="122" t="s">
        <v>710</v>
      </c>
      <c r="K3599" s="283">
        <v>710</v>
      </c>
      <c r="L3599" s="318">
        <v>-33.665455000000001</v>
      </c>
      <c r="M3599" s="318">
        <v>151.090271</v>
      </c>
      <c r="O3599">
        <f>INDEX('MEC - traffic congestion'!$M$145:$M$249,MATCH($D3599,'MEC - traffic congestion'!$C$145:$C$249,0))</f>
        <v>1</v>
      </c>
      <c r="P3599" t="str">
        <f t="shared" si="161"/>
        <v>2024OFF PEAK</v>
      </c>
      <c r="Q3599">
        <f t="shared" si="162"/>
        <v>1</v>
      </c>
      <c r="R3599" s="195" t="str">
        <f t="shared" si="163"/>
        <v>2024LIGHT VEHICLES</v>
      </c>
    </row>
    <row r="3600" spans="3:18" x14ac:dyDescent="0.25">
      <c r="C3600" s="294" t="s">
        <v>998</v>
      </c>
      <c r="D3600" s="317" t="s">
        <v>743</v>
      </c>
      <c r="E3600" s="122" t="s">
        <v>999</v>
      </c>
      <c r="F3600" s="122" t="s">
        <v>1000</v>
      </c>
      <c r="G3600" s="122" t="s">
        <v>786</v>
      </c>
      <c r="H3600" s="122" t="s">
        <v>777</v>
      </c>
      <c r="I3600" s="312">
        <v>2024</v>
      </c>
      <c r="J3600" s="122" t="s">
        <v>710</v>
      </c>
      <c r="K3600" s="283">
        <v>821</v>
      </c>
      <c r="L3600" s="318">
        <v>-33.665455000000001</v>
      </c>
      <c r="M3600" s="318">
        <v>151.090271</v>
      </c>
      <c r="O3600">
        <f>INDEX('MEC - traffic congestion'!$M$145:$M$249,MATCH($D3600,'MEC - traffic congestion'!$C$145:$C$249,0))</f>
        <v>1</v>
      </c>
      <c r="P3600" t="str">
        <f t="shared" si="161"/>
        <v>2024OFF PEAK</v>
      </c>
      <c r="Q3600">
        <f t="shared" si="162"/>
        <v>1</v>
      </c>
      <c r="R3600" s="195" t="str">
        <f t="shared" si="163"/>
        <v>2024LIGHT VEHICLES</v>
      </c>
    </row>
    <row r="3601" spans="3:18" x14ac:dyDescent="0.25">
      <c r="C3601" s="294" t="s">
        <v>998</v>
      </c>
      <c r="D3601" s="317" t="s">
        <v>743</v>
      </c>
      <c r="E3601" s="122" t="s">
        <v>999</v>
      </c>
      <c r="F3601" s="122" t="s">
        <v>1000</v>
      </c>
      <c r="G3601" s="122" t="s">
        <v>785</v>
      </c>
      <c r="H3601" s="122" t="s">
        <v>777</v>
      </c>
      <c r="I3601" s="312">
        <v>2024</v>
      </c>
      <c r="J3601" s="122" t="s">
        <v>711</v>
      </c>
      <c r="K3601" s="283">
        <v>476</v>
      </c>
      <c r="L3601" s="318">
        <v>-33.665455000000001</v>
      </c>
      <c r="M3601" s="318">
        <v>151.090271</v>
      </c>
      <c r="O3601">
        <f>INDEX('MEC - traffic congestion'!$M$145:$M$249,MATCH($D3601,'MEC - traffic congestion'!$C$145:$C$249,0))</f>
        <v>1</v>
      </c>
      <c r="P3601" t="str">
        <f t="shared" si="161"/>
        <v>2024PM PEAK</v>
      </c>
      <c r="Q3601">
        <f t="shared" si="162"/>
        <v>1</v>
      </c>
      <c r="R3601" s="195" t="str">
        <f t="shared" si="163"/>
        <v>2024LIGHT VEHICLES</v>
      </c>
    </row>
    <row r="3602" spans="3:18" x14ac:dyDescent="0.25">
      <c r="C3602" s="294" t="s">
        <v>998</v>
      </c>
      <c r="D3602" s="317" t="s">
        <v>743</v>
      </c>
      <c r="E3602" s="122" t="s">
        <v>999</v>
      </c>
      <c r="F3602" s="122" t="s">
        <v>1000</v>
      </c>
      <c r="G3602" s="122" t="s">
        <v>786</v>
      </c>
      <c r="H3602" s="122" t="s">
        <v>777</v>
      </c>
      <c r="I3602" s="312">
        <v>2024</v>
      </c>
      <c r="J3602" s="122" t="s">
        <v>711</v>
      </c>
      <c r="K3602" s="283">
        <v>844</v>
      </c>
      <c r="L3602" s="318">
        <v>-33.665455000000001</v>
      </c>
      <c r="M3602" s="318">
        <v>151.090271</v>
      </c>
      <c r="O3602">
        <f>INDEX('MEC - traffic congestion'!$M$145:$M$249,MATCH($D3602,'MEC - traffic congestion'!$C$145:$C$249,0))</f>
        <v>1</v>
      </c>
      <c r="P3602" t="str">
        <f t="shared" si="161"/>
        <v>2024PM PEAK</v>
      </c>
      <c r="Q3602">
        <f t="shared" si="162"/>
        <v>1</v>
      </c>
      <c r="R3602" s="195" t="str">
        <f t="shared" si="163"/>
        <v>2024LIGHT VEHICLES</v>
      </c>
    </row>
    <row r="3603" spans="3:18" x14ac:dyDescent="0.25">
      <c r="C3603" s="294" t="s">
        <v>998</v>
      </c>
      <c r="D3603" s="317" t="s">
        <v>743</v>
      </c>
      <c r="E3603" s="122" t="s">
        <v>999</v>
      </c>
      <c r="F3603" s="122" t="s">
        <v>1000</v>
      </c>
      <c r="G3603" s="122" t="s">
        <v>785</v>
      </c>
      <c r="H3603" s="122" t="s">
        <v>777</v>
      </c>
      <c r="I3603" s="312">
        <v>2024</v>
      </c>
      <c r="J3603" s="122" t="s">
        <v>713</v>
      </c>
      <c r="K3603" s="283">
        <v>1646</v>
      </c>
      <c r="L3603" s="318">
        <v>-33.665455000000001</v>
      </c>
      <c r="M3603" s="318">
        <v>151.090271</v>
      </c>
      <c r="O3603">
        <f>INDEX('MEC - traffic congestion'!$M$145:$M$249,MATCH($D3603,'MEC - traffic congestion'!$C$145:$C$249,0))</f>
        <v>1</v>
      </c>
      <c r="P3603" t="str">
        <f t="shared" si="161"/>
        <v>2024WEEKENDS</v>
      </c>
      <c r="Q3603">
        <f t="shared" si="162"/>
        <v>1</v>
      </c>
      <c r="R3603" s="195" t="str">
        <f t="shared" si="163"/>
        <v>2024LIGHT VEHICLES</v>
      </c>
    </row>
    <row r="3604" spans="3:18" x14ac:dyDescent="0.25">
      <c r="C3604" s="294" t="s">
        <v>998</v>
      </c>
      <c r="D3604" s="317" t="s">
        <v>743</v>
      </c>
      <c r="E3604" s="122" t="s">
        <v>999</v>
      </c>
      <c r="F3604" s="122" t="s">
        <v>1000</v>
      </c>
      <c r="G3604" s="122" t="s">
        <v>786</v>
      </c>
      <c r="H3604" s="122" t="s">
        <v>777</v>
      </c>
      <c r="I3604" s="312">
        <v>2024</v>
      </c>
      <c r="J3604" s="122" t="s">
        <v>713</v>
      </c>
      <c r="K3604" s="283">
        <v>1815</v>
      </c>
      <c r="L3604" s="318">
        <v>-33.665455000000001</v>
      </c>
      <c r="M3604" s="318">
        <v>151.090271</v>
      </c>
      <c r="O3604">
        <f>INDEX('MEC - traffic congestion'!$M$145:$M$249,MATCH($D3604,'MEC - traffic congestion'!$C$145:$C$249,0))</f>
        <v>1</v>
      </c>
      <c r="P3604" t="str">
        <f t="shared" si="161"/>
        <v>2024WEEKENDS</v>
      </c>
      <c r="Q3604">
        <f t="shared" si="162"/>
        <v>1</v>
      </c>
      <c r="R3604" s="195" t="str">
        <f t="shared" si="163"/>
        <v>2024LIGHT VEHICLES</v>
      </c>
    </row>
    <row r="3605" spans="3:18" x14ac:dyDescent="0.25">
      <c r="C3605" s="294" t="s">
        <v>1001</v>
      </c>
      <c r="D3605" s="317" t="s">
        <v>744</v>
      </c>
      <c r="E3605" s="122" t="s">
        <v>806</v>
      </c>
      <c r="F3605" s="122" t="s">
        <v>1002</v>
      </c>
      <c r="G3605" s="122" t="s">
        <v>785</v>
      </c>
      <c r="H3605" s="122" t="s">
        <v>777</v>
      </c>
      <c r="I3605" s="312">
        <v>2018</v>
      </c>
      <c r="J3605" s="122" t="s">
        <v>709</v>
      </c>
      <c r="K3605" s="283">
        <v>6747</v>
      </c>
      <c r="L3605" s="318">
        <v>-33.838614999999997</v>
      </c>
      <c r="M3605" s="318">
        <v>151.143753</v>
      </c>
      <c r="O3605">
        <f>INDEX('MEC - traffic congestion'!$M$145:$M$249,MATCH($D3605,'MEC - traffic congestion'!$C$145:$C$249,0))</f>
        <v>1</v>
      </c>
      <c r="P3605" t="str">
        <f t="shared" ref="P3605:P3668" si="164">IF($O3605=1,$I3605&amp;$J3605,"")</f>
        <v>2018AM PEAK</v>
      </c>
      <c r="Q3605">
        <f t="shared" ref="Q3605:Q3668" si="165">IF(AND($M3605&gt;150.246,AND($L3605&gt;-34.397,$L3605&lt;-32.662)),1,0)</f>
        <v>1</v>
      </c>
      <c r="R3605" s="195" t="str">
        <f t="shared" ref="R3605:R3668" si="166">IF($O3605=1,$I3605&amp;$H3605,"")</f>
        <v>2018LIGHT VEHICLES</v>
      </c>
    </row>
    <row r="3606" spans="3:18" x14ac:dyDescent="0.25">
      <c r="C3606" s="294" t="s">
        <v>1001</v>
      </c>
      <c r="D3606" s="317" t="s">
        <v>744</v>
      </c>
      <c r="E3606" s="122" t="s">
        <v>806</v>
      </c>
      <c r="F3606" s="122" t="s">
        <v>1002</v>
      </c>
      <c r="G3606" s="122" t="s">
        <v>785</v>
      </c>
      <c r="H3606" s="122" t="s">
        <v>777</v>
      </c>
      <c r="I3606" s="312">
        <v>2018</v>
      </c>
      <c r="J3606" s="122" t="s">
        <v>710</v>
      </c>
      <c r="K3606" s="283">
        <v>10352</v>
      </c>
      <c r="L3606" s="318">
        <v>-33.838614999999997</v>
      </c>
      <c r="M3606" s="318">
        <v>151.143753</v>
      </c>
      <c r="O3606">
        <f>INDEX('MEC - traffic congestion'!$M$145:$M$249,MATCH($D3606,'MEC - traffic congestion'!$C$145:$C$249,0))</f>
        <v>1</v>
      </c>
      <c r="P3606" t="str">
        <f t="shared" si="164"/>
        <v>2018OFF PEAK</v>
      </c>
      <c r="Q3606">
        <f t="shared" si="165"/>
        <v>1</v>
      </c>
      <c r="R3606" s="195" t="str">
        <f t="shared" si="166"/>
        <v>2018LIGHT VEHICLES</v>
      </c>
    </row>
    <row r="3607" spans="3:18" x14ac:dyDescent="0.25">
      <c r="C3607" s="294" t="s">
        <v>1001</v>
      </c>
      <c r="D3607" s="317" t="s">
        <v>744</v>
      </c>
      <c r="E3607" s="122" t="s">
        <v>806</v>
      </c>
      <c r="F3607" s="122" t="s">
        <v>1002</v>
      </c>
      <c r="G3607" s="122" t="s">
        <v>785</v>
      </c>
      <c r="H3607" s="122" t="s">
        <v>777</v>
      </c>
      <c r="I3607" s="312">
        <v>2018</v>
      </c>
      <c r="J3607" s="122" t="s">
        <v>711</v>
      </c>
      <c r="K3607" s="283">
        <v>6298</v>
      </c>
      <c r="L3607" s="318">
        <v>-33.838614999999997</v>
      </c>
      <c r="M3607" s="318">
        <v>151.143753</v>
      </c>
      <c r="O3607">
        <f>INDEX('MEC - traffic congestion'!$M$145:$M$249,MATCH($D3607,'MEC - traffic congestion'!$C$145:$C$249,0))</f>
        <v>1</v>
      </c>
      <c r="P3607" t="str">
        <f t="shared" si="164"/>
        <v>2018PM PEAK</v>
      </c>
      <c r="Q3607">
        <f t="shared" si="165"/>
        <v>1</v>
      </c>
      <c r="R3607" s="195" t="str">
        <f t="shared" si="166"/>
        <v>2018LIGHT VEHICLES</v>
      </c>
    </row>
    <row r="3608" spans="3:18" x14ac:dyDescent="0.25">
      <c r="C3608" s="294" t="s">
        <v>1001</v>
      </c>
      <c r="D3608" s="317" t="s">
        <v>744</v>
      </c>
      <c r="E3608" s="122" t="s">
        <v>806</v>
      </c>
      <c r="F3608" s="122" t="s">
        <v>1002</v>
      </c>
      <c r="G3608" s="122" t="s">
        <v>785</v>
      </c>
      <c r="H3608" s="122" t="s">
        <v>777</v>
      </c>
      <c r="I3608" s="312">
        <v>2018</v>
      </c>
      <c r="J3608" s="122" t="s">
        <v>712</v>
      </c>
      <c r="K3608" s="283">
        <v>15630</v>
      </c>
      <c r="L3608" s="318">
        <v>-33.838614999999997</v>
      </c>
      <c r="M3608" s="318">
        <v>151.143753</v>
      </c>
      <c r="O3608">
        <f>INDEX('MEC - traffic congestion'!$M$145:$M$249,MATCH($D3608,'MEC - traffic congestion'!$C$145:$C$249,0))</f>
        <v>1</v>
      </c>
      <c r="P3608" t="str">
        <f t="shared" si="164"/>
        <v>2018PUBLIC HOLIDAYS</v>
      </c>
      <c r="Q3608">
        <f t="shared" si="165"/>
        <v>1</v>
      </c>
      <c r="R3608" s="195" t="str">
        <f t="shared" si="166"/>
        <v>2018LIGHT VEHICLES</v>
      </c>
    </row>
    <row r="3609" spans="3:18" x14ac:dyDescent="0.25">
      <c r="C3609" s="294" t="s">
        <v>1001</v>
      </c>
      <c r="D3609" s="317" t="s">
        <v>744</v>
      </c>
      <c r="E3609" s="122" t="s">
        <v>806</v>
      </c>
      <c r="F3609" s="122" t="s">
        <v>1002</v>
      </c>
      <c r="G3609" s="122" t="s">
        <v>785</v>
      </c>
      <c r="H3609" s="122" t="s">
        <v>777</v>
      </c>
      <c r="I3609" s="312">
        <v>2018</v>
      </c>
      <c r="J3609" s="122" t="s">
        <v>713</v>
      </c>
      <c r="K3609" s="283">
        <v>20663</v>
      </c>
      <c r="L3609" s="318">
        <v>-33.838614999999997</v>
      </c>
      <c r="M3609" s="318">
        <v>151.143753</v>
      </c>
      <c r="O3609">
        <f>INDEX('MEC - traffic congestion'!$M$145:$M$249,MATCH($D3609,'MEC - traffic congestion'!$C$145:$C$249,0))</f>
        <v>1</v>
      </c>
      <c r="P3609" t="str">
        <f t="shared" si="164"/>
        <v>2018WEEKENDS</v>
      </c>
      <c r="Q3609">
        <f t="shared" si="165"/>
        <v>1</v>
      </c>
      <c r="R3609" s="195" t="str">
        <f t="shared" si="166"/>
        <v>2018LIGHT VEHICLES</v>
      </c>
    </row>
    <row r="3610" spans="3:18" x14ac:dyDescent="0.25">
      <c r="C3610" s="294" t="s">
        <v>1001</v>
      </c>
      <c r="D3610" s="317" t="s">
        <v>744</v>
      </c>
      <c r="E3610" s="122" t="s">
        <v>806</v>
      </c>
      <c r="F3610" s="122" t="s">
        <v>1002</v>
      </c>
      <c r="G3610" s="122" t="s">
        <v>785</v>
      </c>
      <c r="H3610" s="122" t="s">
        <v>777</v>
      </c>
      <c r="I3610" s="312">
        <v>2019</v>
      </c>
      <c r="J3610" s="122" t="s">
        <v>709</v>
      </c>
      <c r="K3610" s="283">
        <v>6502</v>
      </c>
      <c r="L3610" s="318">
        <v>-33.838614999999997</v>
      </c>
      <c r="M3610" s="318">
        <v>151.143753</v>
      </c>
      <c r="O3610">
        <f>INDEX('MEC - traffic congestion'!$M$145:$M$249,MATCH($D3610,'MEC - traffic congestion'!$C$145:$C$249,0))</f>
        <v>1</v>
      </c>
      <c r="P3610" t="str">
        <f t="shared" si="164"/>
        <v>2019AM PEAK</v>
      </c>
      <c r="Q3610">
        <f t="shared" si="165"/>
        <v>1</v>
      </c>
      <c r="R3610" s="195" t="str">
        <f t="shared" si="166"/>
        <v>2019LIGHT VEHICLES</v>
      </c>
    </row>
    <row r="3611" spans="3:18" x14ac:dyDescent="0.25">
      <c r="C3611" s="294" t="s">
        <v>1001</v>
      </c>
      <c r="D3611" s="317" t="s">
        <v>744</v>
      </c>
      <c r="E3611" s="122" t="s">
        <v>806</v>
      </c>
      <c r="F3611" s="122" t="s">
        <v>1002</v>
      </c>
      <c r="G3611" s="122" t="s">
        <v>785</v>
      </c>
      <c r="H3611" s="122" t="s">
        <v>777</v>
      </c>
      <c r="I3611" s="312">
        <v>2019</v>
      </c>
      <c r="J3611" s="122" t="s">
        <v>710</v>
      </c>
      <c r="K3611" s="283">
        <v>10063</v>
      </c>
      <c r="L3611" s="318">
        <v>-33.838614999999997</v>
      </c>
      <c r="M3611" s="318">
        <v>151.143753</v>
      </c>
      <c r="O3611">
        <f>INDEX('MEC - traffic congestion'!$M$145:$M$249,MATCH($D3611,'MEC - traffic congestion'!$C$145:$C$249,0))</f>
        <v>1</v>
      </c>
      <c r="P3611" t="str">
        <f t="shared" si="164"/>
        <v>2019OFF PEAK</v>
      </c>
      <c r="Q3611">
        <f t="shared" si="165"/>
        <v>1</v>
      </c>
      <c r="R3611" s="195" t="str">
        <f t="shared" si="166"/>
        <v>2019LIGHT VEHICLES</v>
      </c>
    </row>
    <row r="3612" spans="3:18" x14ac:dyDescent="0.25">
      <c r="C3612" s="294" t="s">
        <v>1001</v>
      </c>
      <c r="D3612" s="317" t="s">
        <v>744</v>
      </c>
      <c r="E3612" s="122" t="s">
        <v>806</v>
      </c>
      <c r="F3612" s="122" t="s">
        <v>1002</v>
      </c>
      <c r="G3612" s="122" t="s">
        <v>785</v>
      </c>
      <c r="H3612" s="122" t="s">
        <v>777</v>
      </c>
      <c r="I3612" s="312">
        <v>2019</v>
      </c>
      <c r="J3612" s="122" t="s">
        <v>711</v>
      </c>
      <c r="K3612" s="283">
        <v>5905</v>
      </c>
      <c r="L3612" s="318">
        <v>-33.838614999999997</v>
      </c>
      <c r="M3612" s="318">
        <v>151.143753</v>
      </c>
      <c r="O3612">
        <f>INDEX('MEC - traffic congestion'!$M$145:$M$249,MATCH($D3612,'MEC - traffic congestion'!$C$145:$C$249,0))</f>
        <v>1</v>
      </c>
      <c r="P3612" t="str">
        <f t="shared" si="164"/>
        <v>2019PM PEAK</v>
      </c>
      <c r="Q3612">
        <f t="shared" si="165"/>
        <v>1</v>
      </c>
      <c r="R3612" s="195" t="str">
        <f t="shared" si="166"/>
        <v>2019LIGHT VEHICLES</v>
      </c>
    </row>
    <row r="3613" spans="3:18" x14ac:dyDescent="0.25">
      <c r="C3613" s="294" t="s">
        <v>1001</v>
      </c>
      <c r="D3613" s="317" t="s">
        <v>744</v>
      </c>
      <c r="E3613" s="122" t="s">
        <v>806</v>
      </c>
      <c r="F3613" s="122" t="s">
        <v>1002</v>
      </c>
      <c r="G3613" s="122" t="s">
        <v>785</v>
      </c>
      <c r="H3613" s="122" t="s">
        <v>777</v>
      </c>
      <c r="I3613" s="312">
        <v>2019</v>
      </c>
      <c r="J3613" s="122" t="s">
        <v>712</v>
      </c>
      <c r="K3613" s="283">
        <v>15690</v>
      </c>
      <c r="L3613" s="318">
        <v>-33.838614999999997</v>
      </c>
      <c r="M3613" s="318">
        <v>151.143753</v>
      </c>
      <c r="O3613">
        <f>INDEX('MEC - traffic congestion'!$M$145:$M$249,MATCH($D3613,'MEC - traffic congestion'!$C$145:$C$249,0))</f>
        <v>1</v>
      </c>
      <c r="P3613" t="str">
        <f t="shared" si="164"/>
        <v>2019PUBLIC HOLIDAYS</v>
      </c>
      <c r="Q3613">
        <f t="shared" si="165"/>
        <v>1</v>
      </c>
      <c r="R3613" s="195" t="str">
        <f t="shared" si="166"/>
        <v>2019LIGHT VEHICLES</v>
      </c>
    </row>
    <row r="3614" spans="3:18" x14ac:dyDescent="0.25">
      <c r="C3614" s="294" t="s">
        <v>1001</v>
      </c>
      <c r="D3614" s="317" t="s">
        <v>744</v>
      </c>
      <c r="E3614" s="122" t="s">
        <v>806</v>
      </c>
      <c r="F3614" s="122" t="s">
        <v>1002</v>
      </c>
      <c r="G3614" s="122" t="s">
        <v>785</v>
      </c>
      <c r="H3614" s="122" t="s">
        <v>777</v>
      </c>
      <c r="I3614" s="312">
        <v>2019</v>
      </c>
      <c r="J3614" s="122" t="s">
        <v>713</v>
      </c>
      <c r="K3614" s="283">
        <v>20010</v>
      </c>
      <c r="L3614" s="318">
        <v>-33.838614999999997</v>
      </c>
      <c r="M3614" s="318">
        <v>151.143753</v>
      </c>
      <c r="O3614">
        <f>INDEX('MEC - traffic congestion'!$M$145:$M$249,MATCH($D3614,'MEC - traffic congestion'!$C$145:$C$249,0))</f>
        <v>1</v>
      </c>
      <c r="P3614" t="str">
        <f t="shared" si="164"/>
        <v>2019WEEKENDS</v>
      </c>
      <c r="Q3614">
        <f t="shared" si="165"/>
        <v>1</v>
      </c>
      <c r="R3614" s="195" t="str">
        <f t="shared" si="166"/>
        <v>2019LIGHT VEHICLES</v>
      </c>
    </row>
    <row r="3615" spans="3:18" x14ac:dyDescent="0.25">
      <c r="C3615" s="294" t="s">
        <v>1001</v>
      </c>
      <c r="D3615" s="317" t="s">
        <v>744</v>
      </c>
      <c r="E3615" s="122" t="s">
        <v>806</v>
      </c>
      <c r="F3615" s="122" t="s">
        <v>1002</v>
      </c>
      <c r="G3615" s="122" t="s">
        <v>785</v>
      </c>
      <c r="H3615" s="122" t="s">
        <v>777</v>
      </c>
      <c r="I3615" s="312">
        <v>2020</v>
      </c>
      <c r="J3615" s="122" t="s">
        <v>709</v>
      </c>
      <c r="K3615" s="283">
        <v>6106</v>
      </c>
      <c r="L3615" s="318">
        <v>-33.838614999999997</v>
      </c>
      <c r="M3615" s="318">
        <v>151.143753</v>
      </c>
      <c r="O3615">
        <f>INDEX('MEC - traffic congestion'!$M$145:$M$249,MATCH($D3615,'MEC - traffic congestion'!$C$145:$C$249,0))</f>
        <v>1</v>
      </c>
      <c r="P3615" t="str">
        <f t="shared" si="164"/>
        <v>2020AM PEAK</v>
      </c>
      <c r="Q3615">
        <f t="shared" si="165"/>
        <v>1</v>
      </c>
      <c r="R3615" s="195" t="str">
        <f t="shared" si="166"/>
        <v>2020LIGHT VEHICLES</v>
      </c>
    </row>
    <row r="3616" spans="3:18" x14ac:dyDescent="0.25">
      <c r="C3616" s="294" t="s">
        <v>1001</v>
      </c>
      <c r="D3616" s="317" t="s">
        <v>744</v>
      </c>
      <c r="E3616" s="122" t="s">
        <v>806</v>
      </c>
      <c r="F3616" s="122" t="s">
        <v>1002</v>
      </c>
      <c r="G3616" s="122" t="s">
        <v>785</v>
      </c>
      <c r="H3616" s="122" t="s">
        <v>777</v>
      </c>
      <c r="I3616" s="312">
        <v>2020</v>
      </c>
      <c r="J3616" s="122" t="s">
        <v>710</v>
      </c>
      <c r="K3616" s="283">
        <v>8603</v>
      </c>
      <c r="L3616" s="318">
        <v>-33.838614999999997</v>
      </c>
      <c r="M3616" s="318">
        <v>151.143753</v>
      </c>
      <c r="O3616">
        <f>INDEX('MEC - traffic congestion'!$M$145:$M$249,MATCH($D3616,'MEC - traffic congestion'!$C$145:$C$249,0))</f>
        <v>1</v>
      </c>
      <c r="P3616" t="str">
        <f t="shared" si="164"/>
        <v>2020OFF PEAK</v>
      </c>
      <c r="Q3616">
        <f t="shared" si="165"/>
        <v>1</v>
      </c>
      <c r="R3616" s="195" t="str">
        <f t="shared" si="166"/>
        <v>2020LIGHT VEHICLES</v>
      </c>
    </row>
    <row r="3617" spans="3:18" x14ac:dyDescent="0.25">
      <c r="C3617" s="294" t="s">
        <v>1001</v>
      </c>
      <c r="D3617" s="317" t="s">
        <v>744</v>
      </c>
      <c r="E3617" s="122" t="s">
        <v>806</v>
      </c>
      <c r="F3617" s="122" t="s">
        <v>1002</v>
      </c>
      <c r="G3617" s="122" t="s">
        <v>785</v>
      </c>
      <c r="H3617" s="122" t="s">
        <v>777</v>
      </c>
      <c r="I3617" s="312">
        <v>2020</v>
      </c>
      <c r="J3617" s="122" t="s">
        <v>711</v>
      </c>
      <c r="K3617" s="283">
        <v>4971</v>
      </c>
      <c r="L3617" s="318">
        <v>-33.838614999999997</v>
      </c>
      <c r="M3617" s="318">
        <v>151.143753</v>
      </c>
      <c r="O3617">
        <f>INDEX('MEC - traffic congestion'!$M$145:$M$249,MATCH($D3617,'MEC - traffic congestion'!$C$145:$C$249,0))</f>
        <v>1</v>
      </c>
      <c r="P3617" t="str">
        <f t="shared" si="164"/>
        <v>2020PM PEAK</v>
      </c>
      <c r="Q3617">
        <f t="shared" si="165"/>
        <v>1</v>
      </c>
      <c r="R3617" s="195" t="str">
        <f t="shared" si="166"/>
        <v>2020LIGHT VEHICLES</v>
      </c>
    </row>
    <row r="3618" spans="3:18" x14ac:dyDescent="0.25">
      <c r="C3618" s="294" t="s">
        <v>1001</v>
      </c>
      <c r="D3618" s="317" t="s">
        <v>744</v>
      </c>
      <c r="E3618" s="122" t="s">
        <v>806</v>
      </c>
      <c r="F3618" s="122" t="s">
        <v>1002</v>
      </c>
      <c r="G3618" s="122" t="s">
        <v>785</v>
      </c>
      <c r="H3618" s="122" t="s">
        <v>777</v>
      </c>
      <c r="I3618" s="312">
        <v>2020</v>
      </c>
      <c r="J3618" s="122" t="s">
        <v>712</v>
      </c>
      <c r="K3618" s="283">
        <v>11760</v>
      </c>
      <c r="L3618" s="318">
        <v>-33.838614999999997</v>
      </c>
      <c r="M3618" s="318">
        <v>151.143753</v>
      </c>
      <c r="O3618">
        <f>INDEX('MEC - traffic congestion'!$M$145:$M$249,MATCH($D3618,'MEC - traffic congestion'!$C$145:$C$249,0))</f>
        <v>1</v>
      </c>
      <c r="P3618" t="str">
        <f t="shared" si="164"/>
        <v>2020PUBLIC HOLIDAYS</v>
      </c>
      <c r="Q3618">
        <f t="shared" si="165"/>
        <v>1</v>
      </c>
      <c r="R3618" s="195" t="str">
        <f t="shared" si="166"/>
        <v>2020LIGHT VEHICLES</v>
      </c>
    </row>
    <row r="3619" spans="3:18" x14ac:dyDescent="0.25">
      <c r="C3619" s="294" t="s">
        <v>1001</v>
      </c>
      <c r="D3619" s="317" t="s">
        <v>744</v>
      </c>
      <c r="E3619" s="122" t="s">
        <v>806</v>
      </c>
      <c r="F3619" s="122" t="s">
        <v>1002</v>
      </c>
      <c r="G3619" s="122" t="s">
        <v>785</v>
      </c>
      <c r="H3619" s="122" t="s">
        <v>777</v>
      </c>
      <c r="I3619" s="312">
        <v>2020</v>
      </c>
      <c r="J3619" s="122" t="s">
        <v>713</v>
      </c>
      <c r="K3619" s="283">
        <v>16764</v>
      </c>
      <c r="L3619" s="318">
        <v>-33.838614999999997</v>
      </c>
      <c r="M3619" s="318">
        <v>151.143753</v>
      </c>
      <c r="O3619">
        <f>INDEX('MEC - traffic congestion'!$M$145:$M$249,MATCH($D3619,'MEC - traffic congestion'!$C$145:$C$249,0))</f>
        <v>1</v>
      </c>
      <c r="P3619" t="str">
        <f t="shared" si="164"/>
        <v>2020WEEKENDS</v>
      </c>
      <c r="Q3619">
        <f t="shared" si="165"/>
        <v>1</v>
      </c>
      <c r="R3619" s="195" t="str">
        <f t="shared" si="166"/>
        <v>2020LIGHT VEHICLES</v>
      </c>
    </row>
    <row r="3620" spans="3:18" x14ac:dyDescent="0.25">
      <c r="C3620" s="294" t="s">
        <v>1001</v>
      </c>
      <c r="D3620" s="317" t="s">
        <v>744</v>
      </c>
      <c r="E3620" s="122" t="s">
        <v>806</v>
      </c>
      <c r="F3620" s="122" t="s">
        <v>1002</v>
      </c>
      <c r="G3620" s="122" t="s">
        <v>785</v>
      </c>
      <c r="H3620" s="122" t="s">
        <v>777</v>
      </c>
      <c r="I3620" s="312">
        <v>2021</v>
      </c>
      <c r="J3620" s="122" t="s">
        <v>709</v>
      </c>
      <c r="K3620" s="283">
        <v>5507</v>
      </c>
      <c r="L3620" s="318">
        <v>-33.838614999999997</v>
      </c>
      <c r="M3620" s="318">
        <v>151.143753</v>
      </c>
      <c r="O3620">
        <f>INDEX('MEC - traffic congestion'!$M$145:$M$249,MATCH($D3620,'MEC - traffic congestion'!$C$145:$C$249,0))</f>
        <v>1</v>
      </c>
      <c r="P3620" t="str">
        <f t="shared" si="164"/>
        <v>2021AM PEAK</v>
      </c>
      <c r="Q3620">
        <f t="shared" si="165"/>
        <v>1</v>
      </c>
      <c r="R3620" s="195" t="str">
        <f t="shared" si="166"/>
        <v>2021LIGHT VEHICLES</v>
      </c>
    </row>
    <row r="3621" spans="3:18" x14ac:dyDescent="0.25">
      <c r="C3621" s="294" t="s">
        <v>1001</v>
      </c>
      <c r="D3621" s="317" t="s">
        <v>744</v>
      </c>
      <c r="E3621" s="122" t="s">
        <v>806</v>
      </c>
      <c r="F3621" s="122" t="s">
        <v>1002</v>
      </c>
      <c r="G3621" s="122" t="s">
        <v>785</v>
      </c>
      <c r="H3621" s="122" t="s">
        <v>777</v>
      </c>
      <c r="I3621" s="312">
        <v>2021</v>
      </c>
      <c r="J3621" s="122" t="s">
        <v>710</v>
      </c>
      <c r="K3621" s="283">
        <v>7862</v>
      </c>
      <c r="L3621" s="318">
        <v>-33.838614999999997</v>
      </c>
      <c r="M3621" s="318">
        <v>151.143753</v>
      </c>
      <c r="O3621">
        <f>INDEX('MEC - traffic congestion'!$M$145:$M$249,MATCH($D3621,'MEC - traffic congestion'!$C$145:$C$249,0))</f>
        <v>1</v>
      </c>
      <c r="P3621" t="str">
        <f t="shared" si="164"/>
        <v>2021OFF PEAK</v>
      </c>
      <c r="Q3621">
        <f t="shared" si="165"/>
        <v>1</v>
      </c>
      <c r="R3621" s="195" t="str">
        <f t="shared" si="166"/>
        <v>2021LIGHT VEHICLES</v>
      </c>
    </row>
    <row r="3622" spans="3:18" x14ac:dyDescent="0.25">
      <c r="C3622" s="294" t="s">
        <v>1001</v>
      </c>
      <c r="D3622" s="317" t="s">
        <v>744</v>
      </c>
      <c r="E3622" s="122" t="s">
        <v>806</v>
      </c>
      <c r="F3622" s="122" t="s">
        <v>1002</v>
      </c>
      <c r="G3622" s="122" t="s">
        <v>785</v>
      </c>
      <c r="H3622" s="122" t="s">
        <v>777</v>
      </c>
      <c r="I3622" s="312">
        <v>2021</v>
      </c>
      <c r="J3622" s="122" t="s">
        <v>711</v>
      </c>
      <c r="K3622" s="283">
        <v>4514</v>
      </c>
      <c r="L3622" s="318">
        <v>-33.838614999999997</v>
      </c>
      <c r="M3622" s="318">
        <v>151.143753</v>
      </c>
      <c r="O3622">
        <f>INDEX('MEC - traffic congestion'!$M$145:$M$249,MATCH($D3622,'MEC - traffic congestion'!$C$145:$C$249,0))</f>
        <v>1</v>
      </c>
      <c r="P3622" t="str">
        <f t="shared" si="164"/>
        <v>2021PM PEAK</v>
      </c>
      <c r="Q3622">
        <f t="shared" si="165"/>
        <v>1</v>
      </c>
      <c r="R3622" s="195" t="str">
        <f t="shared" si="166"/>
        <v>2021LIGHT VEHICLES</v>
      </c>
    </row>
    <row r="3623" spans="3:18" x14ac:dyDescent="0.25">
      <c r="C3623" s="294" t="s">
        <v>1001</v>
      </c>
      <c r="D3623" s="317" t="s">
        <v>744</v>
      </c>
      <c r="E3623" s="122" t="s">
        <v>806</v>
      </c>
      <c r="F3623" s="122" t="s">
        <v>1002</v>
      </c>
      <c r="G3623" s="122" t="s">
        <v>785</v>
      </c>
      <c r="H3623" s="122" t="s">
        <v>777</v>
      </c>
      <c r="I3623" s="312">
        <v>2021</v>
      </c>
      <c r="J3623" s="122" t="s">
        <v>713</v>
      </c>
      <c r="K3623" s="283">
        <v>15191</v>
      </c>
      <c r="L3623" s="318">
        <v>-33.838614999999997</v>
      </c>
      <c r="M3623" s="318">
        <v>151.143753</v>
      </c>
      <c r="O3623">
        <f>INDEX('MEC - traffic congestion'!$M$145:$M$249,MATCH($D3623,'MEC - traffic congestion'!$C$145:$C$249,0))</f>
        <v>1</v>
      </c>
      <c r="P3623" t="str">
        <f t="shared" si="164"/>
        <v>2021WEEKENDS</v>
      </c>
      <c r="Q3623">
        <f t="shared" si="165"/>
        <v>1</v>
      </c>
      <c r="R3623" s="195" t="str">
        <f t="shared" si="166"/>
        <v>2021LIGHT VEHICLES</v>
      </c>
    </row>
    <row r="3624" spans="3:18" x14ac:dyDescent="0.25">
      <c r="C3624" s="294" t="s">
        <v>1001</v>
      </c>
      <c r="D3624" s="317" t="s">
        <v>744</v>
      </c>
      <c r="E3624" s="122" t="s">
        <v>806</v>
      </c>
      <c r="F3624" s="122" t="s">
        <v>1002</v>
      </c>
      <c r="G3624" s="122" t="s">
        <v>785</v>
      </c>
      <c r="H3624" s="122" t="s">
        <v>777</v>
      </c>
      <c r="I3624" s="312">
        <v>2022</v>
      </c>
      <c r="J3624" s="122" t="s">
        <v>709</v>
      </c>
      <c r="K3624" s="283">
        <v>5469</v>
      </c>
      <c r="L3624" s="318">
        <v>-33.838614999999997</v>
      </c>
      <c r="M3624" s="318">
        <v>151.143753</v>
      </c>
      <c r="O3624">
        <f>INDEX('MEC - traffic congestion'!$M$145:$M$249,MATCH($D3624,'MEC - traffic congestion'!$C$145:$C$249,0))</f>
        <v>1</v>
      </c>
      <c r="P3624" t="str">
        <f t="shared" si="164"/>
        <v>2022AM PEAK</v>
      </c>
      <c r="Q3624">
        <f t="shared" si="165"/>
        <v>1</v>
      </c>
      <c r="R3624" s="195" t="str">
        <f t="shared" si="166"/>
        <v>2022LIGHT VEHICLES</v>
      </c>
    </row>
    <row r="3625" spans="3:18" x14ac:dyDescent="0.25">
      <c r="C3625" s="294" t="s">
        <v>1001</v>
      </c>
      <c r="D3625" s="317" t="s">
        <v>744</v>
      </c>
      <c r="E3625" s="122" t="s">
        <v>806</v>
      </c>
      <c r="F3625" s="122" t="s">
        <v>1002</v>
      </c>
      <c r="G3625" s="122" t="s">
        <v>785</v>
      </c>
      <c r="H3625" s="122" t="s">
        <v>777</v>
      </c>
      <c r="I3625" s="312">
        <v>2022</v>
      </c>
      <c r="J3625" s="122" t="s">
        <v>710</v>
      </c>
      <c r="K3625" s="283">
        <v>7977</v>
      </c>
      <c r="L3625" s="318">
        <v>-33.838614999999997</v>
      </c>
      <c r="M3625" s="318">
        <v>151.143753</v>
      </c>
      <c r="O3625">
        <f>INDEX('MEC - traffic congestion'!$M$145:$M$249,MATCH($D3625,'MEC - traffic congestion'!$C$145:$C$249,0))</f>
        <v>1</v>
      </c>
      <c r="P3625" t="str">
        <f t="shared" si="164"/>
        <v>2022OFF PEAK</v>
      </c>
      <c r="Q3625">
        <f t="shared" si="165"/>
        <v>1</v>
      </c>
      <c r="R3625" s="195" t="str">
        <f t="shared" si="166"/>
        <v>2022LIGHT VEHICLES</v>
      </c>
    </row>
    <row r="3626" spans="3:18" x14ac:dyDescent="0.25">
      <c r="C3626" s="294" t="s">
        <v>1001</v>
      </c>
      <c r="D3626" s="317" t="s">
        <v>744</v>
      </c>
      <c r="E3626" s="122" t="s">
        <v>806</v>
      </c>
      <c r="F3626" s="122" t="s">
        <v>1002</v>
      </c>
      <c r="G3626" s="122" t="s">
        <v>785</v>
      </c>
      <c r="H3626" s="122" t="s">
        <v>777</v>
      </c>
      <c r="I3626" s="312">
        <v>2022</v>
      </c>
      <c r="J3626" s="122" t="s">
        <v>711</v>
      </c>
      <c r="K3626" s="283">
        <v>4328</v>
      </c>
      <c r="L3626" s="318">
        <v>-33.838614999999997</v>
      </c>
      <c r="M3626" s="318">
        <v>151.143753</v>
      </c>
      <c r="O3626">
        <f>INDEX('MEC - traffic congestion'!$M$145:$M$249,MATCH($D3626,'MEC - traffic congestion'!$C$145:$C$249,0))</f>
        <v>1</v>
      </c>
      <c r="P3626" t="str">
        <f t="shared" si="164"/>
        <v>2022PM PEAK</v>
      </c>
      <c r="Q3626">
        <f t="shared" si="165"/>
        <v>1</v>
      </c>
      <c r="R3626" s="195" t="str">
        <f t="shared" si="166"/>
        <v>2022LIGHT VEHICLES</v>
      </c>
    </row>
    <row r="3627" spans="3:18" x14ac:dyDescent="0.25">
      <c r="C3627" s="294" t="s">
        <v>1001</v>
      </c>
      <c r="D3627" s="317" t="s">
        <v>744</v>
      </c>
      <c r="E3627" s="122" t="s">
        <v>806</v>
      </c>
      <c r="F3627" s="122" t="s">
        <v>1002</v>
      </c>
      <c r="G3627" s="122" t="s">
        <v>785</v>
      </c>
      <c r="H3627" s="122" t="s">
        <v>777</v>
      </c>
      <c r="I3627" s="312">
        <v>2022</v>
      </c>
      <c r="J3627" s="122" t="s">
        <v>713</v>
      </c>
      <c r="K3627" s="283">
        <v>17569</v>
      </c>
      <c r="L3627" s="318">
        <v>-33.838614999999997</v>
      </c>
      <c r="M3627" s="318">
        <v>151.143753</v>
      </c>
      <c r="O3627">
        <f>INDEX('MEC - traffic congestion'!$M$145:$M$249,MATCH($D3627,'MEC - traffic congestion'!$C$145:$C$249,0))</f>
        <v>1</v>
      </c>
      <c r="P3627" t="str">
        <f t="shared" si="164"/>
        <v>2022WEEKENDS</v>
      </c>
      <c r="Q3627">
        <f t="shared" si="165"/>
        <v>1</v>
      </c>
      <c r="R3627" s="195" t="str">
        <f t="shared" si="166"/>
        <v>2022LIGHT VEHICLES</v>
      </c>
    </row>
    <row r="3628" spans="3:18" x14ac:dyDescent="0.25">
      <c r="C3628" s="294" t="s">
        <v>1001</v>
      </c>
      <c r="D3628" s="317" t="s">
        <v>744</v>
      </c>
      <c r="E3628" s="122" t="s">
        <v>806</v>
      </c>
      <c r="F3628" s="122" t="s">
        <v>1002</v>
      </c>
      <c r="G3628" s="122" t="s">
        <v>785</v>
      </c>
      <c r="H3628" s="122" t="s">
        <v>777</v>
      </c>
      <c r="I3628" s="312">
        <v>2023</v>
      </c>
      <c r="J3628" s="122" t="s">
        <v>709</v>
      </c>
      <c r="K3628" s="283">
        <v>5430</v>
      </c>
      <c r="L3628" s="318">
        <v>-33.838614999999997</v>
      </c>
      <c r="M3628" s="318">
        <v>151.143753</v>
      </c>
      <c r="O3628">
        <f>INDEX('MEC - traffic congestion'!$M$145:$M$249,MATCH($D3628,'MEC - traffic congestion'!$C$145:$C$249,0))</f>
        <v>1</v>
      </c>
      <c r="P3628" t="str">
        <f t="shared" si="164"/>
        <v>2023AM PEAK</v>
      </c>
      <c r="Q3628">
        <f t="shared" si="165"/>
        <v>1</v>
      </c>
      <c r="R3628" s="195" t="str">
        <f t="shared" si="166"/>
        <v>2023LIGHT VEHICLES</v>
      </c>
    </row>
    <row r="3629" spans="3:18" x14ac:dyDescent="0.25">
      <c r="C3629" s="294" t="s">
        <v>1001</v>
      </c>
      <c r="D3629" s="317" t="s">
        <v>744</v>
      </c>
      <c r="E3629" s="122" t="s">
        <v>806</v>
      </c>
      <c r="F3629" s="122" t="s">
        <v>1002</v>
      </c>
      <c r="G3629" s="122" t="s">
        <v>785</v>
      </c>
      <c r="H3629" s="122" t="s">
        <v>777</v>
      </c>
      <c r="I3629" s="312">
        <v>2023</v>
      </c>
      <c r="J3629" s="122" t="s">
        <v>710</v>
      </c>
      <c r="K3629" s="283">
        <v>8608</v>
      </c>
      <c r="L3629" s="318">
        <v>-33.838614999999997</v>
      </c>
      <c r="M3629" s="318">
        <v>151.143753</v>
      </c>
      <c r="O3629">
        <f>INDEX('MEC - traffic congestion'!$M$145:$M$249,MATCH($D3629,'MEC - traffic congestion'!$C$145:$C$249,0))</f>
        <v>1</v>
      </c>
      <c r="P3629" t="str">
        <f t="shared" si="164"/>
        <v>2023OFF PEAK</v>
      </c>
      <c r="Q3629">
        <f t="shared" si="165"/>
        <v>1</v>
      </c>
      <c r="R3629" s="195" t="str">
        <f t="shared" si="166"/>
        <v>2023LIGHT VEHICLES</v>
      </c>
    </row>
    <row r="3630" spans="3:18" x14ac:dyDescent="0.25">
      <c r="C3630" s="294" t="s">
        <v>1001</v>
      </c>
      <c r="D3630" s="317" t="s">
        <v>744</v>
      </c>
      <c r="E3630" s="122" t="s">
        <v>806</v>
      </c>
      <c r="F3630" s="122" t="s">
        <v>1002</v>
      </c>
      <c r="G3630" s="122" t="s">
        <v>785</v>
      </c>
      <c r="H3630" s="122" t="s">
        <v>777</v>
      </c>
      <c r="I3630" s="312">
        <v>2023</v>
      </c>
      <c r="J3630" s="122" t="s">
        <v>711</v>
      </c>
      <c r="K3630" s="283">
        <v>4795</v>
      </c>
      <c r="L3630" s="318">
        <v>-33.838614999999997</v>
      </c>
      <c r="M3630" s="318">
        <v>151.143753</v>
      </c>
      <c r="O3630">
        <f>INDEX('MEC - traffic congestion'!$M$145:$M$249,MATCH($D3630,'MEC - traffic congestion'!$C$145:$C$249,0))</f>
        <v>1</v>
      </c>
      <c r="P3630" t="str">
        <f t="shared" si="164"/>
        <v>2023PM PEAK</v>
      </c>
      <c r="Q3630">
        <f t="shared" si="165"/>
        <v>1</v>
      </c>
      <c r="R3630" s="195" t="str">
        <f t="shared" si="166"/>
        <v>2023LIGHT VEHICLES</v>
      </c>
    </row>
    <row r="3631" spans="3:18" x14ac:dyDescent="0.25">
      <c r="C3631" s="294" t="s">
        <v>1001</v>
      </c>
      <c r="D3631" s="317" t="s">
        <v>744</v>
      </c>
      <c r="E3631" s="122" t="s">
        <v>806</v>
      </c>
      <c r="F3631" s="122" t="s">
        <v>1002</v>
      </c>
      <c r="G3631" s="122" t="s">
        <v>785</v>
      </c>
      <c r="H3631" s="122" t="s">
        <v>777</v>
      </c>
      <c r="I3631" s="312">
        <v>2023</v>
      </c>
      <c r="J3631" s="122" t="s">
        <v>713</v>
      </c>
      <c r="K3631" s="283">
        <v>18128</v>
      </c>
      <c r="L3631" s="318">
        <v>-33.838614999999997</v>
      </c>
      <c r="M3631" s="318">
        <v>151.143753</v>
      </c>
      <c r="O3631">
        <f>INDEX('MEC - traffic congestion'!$M$145:$M$249,MATCH($D3631,'MEC - traffic congestion'!$C$145:$C$249,0))</f>
        <v>1</v>
      </c>
      <c r="P3631" t="str">
        <f t="shared" si="164"/>
        <v>2023WEEKENDS</v>
      </c>
      <c r="Q3631">
        <f t="shared" si="165"/>
        <v>1</v>
      </c>
      <c r="R3631" s="195" t="str">
        <f t="shared" si="166"/>
        <v>2023LIGHT VEHICLES</v>
      </c>
    </row>
    <row r="3632" spans="3:18" x14ac:dyDescent="0.25">
      <c r="C3632" s="294" t="s">
        <v>1001</v>
      </c>
      <c r="D3632" s="317" t="s">
        <v>744</v>
      </c>
      <c r="E3632" s="122" t="s">
        <v>806</v>
      </c>
      <c r="F3632" s="122" t="s">
        <v>1002</v>
      </c>
      <c r="G3632" s="122" t="s">
        <v>785</v>
      </c>
      <c r="H3632" s="122" t="s">
        <v>777</v>
      </c>
      <c r="I3632" s="312">
        <v>2024</v>
      </c>
      <c r="J3632" s="122" t="s">
        <v>709</v>
      </c>
      <c r="K3632" s="283">
        <v>4774</v>
      </c>
      <c r="L3632" s="318">
        <v>-33.838614999999997</v>
      </c>
      <c r="M3632" s="318">
        <v>151.143753</v>
      </c>
      <c r="O3632">
        <f>INDEX('MEC - traffic congestion'!$M$145:$M$249,MATCH($D3632,'MEC - traffic congestion'!$C$145:$C$249,0))</f>
        <v>1</v>
      </c>
      <c r="P3632" t="str">
        <f t="shared" si="164"/>
        <v>2024AM PEAK</v>
      </c>
      <c r="Q3632">
        <f t="shared" si="165"/>
        <v>1</v>
      </c>
      <c r="R3632" s="195" t="str">
        <f t="shared" si="166"/>
        <v>2024LIGHT VEHICLES</v>
      </c>
    </row>
    <row r="3633" spans="3:18" x14ac:dyDescent="0.25">
      <c r="C3633" s="294" t="s">
        <v>1001</v>
      </c>
      <c r="D3633" s="317" t="s">
        <v>744</v>
      </c>
      <c r="E3633" s="122" t="s">
        <v>806</v>
      </c>
      <c r="F3633" s="122" t="s">
        <v>1002</v>
      </c>
      <c r="G3633" s="122" t="s">
        <v>785</v>
      </c>
      <c r="H3633" s="122" t="s">
        <v>777</v>
      </c>
      <c r="I3633" s="312">
        <v>2024</v>
      </c>
      <c r="J3633" s="122" t="s">
        <v>710</v>
      </c>
      <c r="K3633" s="283">
        <v>8670</v>
      </c>
      <c r="L3633" s="318">
        <v>-33.838614999999997</v>
      </c>
      <c r="M3633" s="318">
        <v>151.143753</v>
      </c>
      <c r="O3633">
        <f>INDEX('MEC - traffic congestion'!$M$145:$M$249,MATCH($D3633,'MEC - traffic congestion'!$C$145:$C$249,0))</f>
        <v>1</v>
      </c>
      <c r="P3633" t="str">
        <f t="shared" si="164"/>
        <v>2024OFF PEAK</v>
      </c>
      <c r="Q3633">
        <f t="shared" si="165"/>
        <v>1</v>
      </c>
      <c r="R3633" s="195" t="str">
        <f t="shared" si="166"/>
        <v>2024LIGHT VEHICLES</v>
      </c>
    </row>
    <row r="3634" spans="3:18" x14ac:dyDescent="0.25">
      <c r="C3634" s="294" t="s">
        <v>1001</v>
      </c>
      <c r="D3634" s="317" t="s">
        <v>744</v>
      </c>
      <c r="E3634" s="122" t="s">
        <v>806</v>
      </c>
      <c r="F3634" s="122" t="s">
        <v>1002</v>
      </c>
      <c r="G3634" s="122" t="s">
        <v>785</v>
      </c>
      <c r="H3634" s="122" t="s">
        <v>777</v>
      </c>
      <c r="I3634" s="312">
        <v>2024</v>
      </c>
      <c r="J3634" s="122" t="s">
        <v>711</v>
      </c>
      <c r="K3634" s="283">
        <v>4939</v>
      </c>
      <c r="L3634" s="318">
        <v>-33.838614999999997</v>
      </c>
      <c r="M3634" s="318">
        <v>151.143753</v>
      </c>
      <c r="O3634">
        <f>INDEX('MEC - traffic congestion'!$M$145:$M$249,MATCH($D3634,'MEC - traffic congestion'!$C$145:$C$249,0))</f>
        <v>1</v>
      </c>
      <c r="P3634" t="str">
        <f t="shared" si="164"/>
        <v>2024PM PEAK</v>
      </c>
      <c r="Q3634">
        <f t="shared" si="165"/>
        <v>1</v>
      </c>
      <c r="R3634" s="195" t="str">
        <f t="shared" si="166"/>
        <v>2024LIGHT VEHICLES</v>
      </c>
    </row>
    <row r="3635" spans="3:18" x14ac:dyDescent="0.25">
      <c r="C3635" s="294" t="s">
        <v>1001</v>
      </c>
      <c r="D3635" s="317" t="s">
        <v>744</v>
      </c>
      <c r="E3635" s="122" t="s">
        <v>806</v>
      </c>
      <c r="F3635" s="122" t="s">
        <v>1002</v>
      </c>
      <c r="G3635" s="122" t="s">
        <v>785</v>
      </c>
      <c r="H3635" s="122" t="s">
        <v>777</v>
      </c>
      <c r="I3635" s="312">
        <v>2024</v>
      </c>
      <c r="J3635" s="122" t="s">
        <v>713</v>
      </c>
      <c r="K3635" s="283">
        <v>18230</v>
      </c>
      <c r="L3635" s="318">
        <v>-33.838614999999997</v>
      </c>
      <c r="M3635" s="318">
        <v>151.143753</v>
      </c>
      <c r="O3635">
        <f>INDEX('MEC - traffic congestion'!$M$145:$M$249,MATCH($D3635,'MEC - traffic congestion'!$C$145:$C$249,0))</f>
        <v>1</v>
      </c>
      <c r="P3635" t="str">
        <f t="shared" si="164"/>
        <v>2024WEEKENDS</v>
      </c>
      <c r="Q3635">
        <f t="shared" si="165"/>
        <v>1</v>
      </c>
      <c r="R3635" s="195" t="str">
        <f t="shared" si="166"/>
        <v>2024LIGHT VEHICLES</v>
      </c>
    </row>
    <row r="3636" spans="3:18" x14ac:dyDescent="0.25">
      <c r="C3636" s="294" t="s">
        <v>1003</v>
      </c>
      <c r="D3636" s="317" t="s">
        <v>745</v>
      </c>
      <c r="E3636" s="122" t="s">
        <v>1004</v>
      </c>
      <c r="F3636" s="122" t="s">
        <v>1005</v>
      </c>
      <c r="G3636" s="122" t="s">
        <v>776</v>
      </c>
      <c r="H3636" s="122" t="s">
        <v>777</v>
      </c>
      <c r="I3636" s="312">
        <v>2018</v>
      </c>
      <c r="J3636" s="122" t="s">
        <v>709</v>
      </c>
      <c r="K3636" s="283">
        <v>4</v>
      </c>
      <c r="L3636" s="318">
        <v>-33.455536000000002</v>
      </c>
      <c r="M3636" s="318">
        <v>151.20509300000001</v>
      </c>
      <c r="O3636">
        <f>INDEX('MEC - traffic congestion'!$M$145:$M$249,MATCH($D3636,'MEC - traffic congestion'!$C$145:$C$249,0))</f>
        <v>1</v>
      </c>
      <c r="P3636" t="str">
        <f t="shared" si="164"/>
        <v>2018AM PEAK</v>
      </c>
      <c r="Q3636">
        <f t="shared" si="165"/>
        <v>1</v>
      </c>
      <c r="R3636" s="195" t="str">
        <f t="shared" si="166"/>
        <v>2018LIGHT VEHICLES</v>
      </c>
    </row>
    <row r="3637" spans="3:18" x14ac:dyDescent="0.25">
      <c r="C3637" s="294" t="s">
        <v>1003</v>
      </c>
      <c r="D3637" s="317" t="s">
        <v>745</v>
      </c>
      <c r="E3637" s="122" t="s">
        <v>1004</v>
      </c>
      <c r="F3637" s="122" t="s">
        <v>1005</v>
      </c>
      <c r="G3637" s="122" t="s">
        <v>776</v>
      </c>
      <c r="H3637" s="122" t="s">
        <v>777</v>
      </c>
      <c r="I3637" s="312">
        <v>2018</v>
      </c>
      <c r="J3637" s="122" t="s">
        <v>710</v>
      </c>
      <c r="K3637" s="283">
        <v>9</v>
      </c>
      <c r="L3637" s="318">
        <v>-33.455536000000002</v>
      </c>
      <c r="M3637" s="318">
        <v>151.20509300000001</v>
      </c>
      <c r="O3637">
        <f>INDEX('MEC - traffic congestion'!$M$145:$M$249,MATCH($D3637,'MEC - traffic congestion'!$C$145:$C$249,0))</f>
        <v>1</v>
      </c>
      <c r="P3637" t="str">
        <f t="shared" si="164"/>
        <v>2018OFF PEAK</v>
      </c>
      <c r="Q3637">
        <f t="shared" si="165"/>
        <v>1</v>
      </c>
      <c r="R3637" s="195" t="str">
        <f t="shared" si="166"/>
        <v>2018LIGHT VEHICLES</v>
      </c>
    </row>
    <row r="3638" spans="3:18" x14ac:dyDescent="0.25">
      <c r="C3638" s="294" t="s">
        <v>1003</v>
      </c>
      <c r="D3638" s="317" t="s">
        <v>745</v>
      </c>
      <c r="E3638" s="122" t="s">
        <v>1004</v>
      </c>
      <c r="F3638" s="122" t="s">
        <v>1005</v>
      </c>
      <c r="G3638" s="122" t="s">
        <v>776</v>
      </c>
      <c r="H3638" s="122" t="s">
        <v>777</v>
      </c>
      <c r="I3638" s="312">
        <v>2018</v>
      </c>
      <c r="J3638" s="122" t="s">
        <v>711</v>
      </c>
      <c r="K3638" s="283">
        <v>4</v>
      </c>
      <c r="L3638" s="318">
        <v>-33.455536000000002</v>
      </c>
      <c r="M3638" s="318">
        <v>151.20509300000001</v>
      </c>
      <c r="O3638">
        <f>INDEX('MEC - traffic congestion'!$M$145:$M$249,MATCH($D3638,'MEC - traffic congestion'!$C$145:$C$249,0))</f>
        <v>1</v>
      </c>
      <c r="P3638" t="str">
        <f t="shared" si="164"/>
        <v>2018PM PEAK</v>
      </c>
      <c r="Q3638">
        <f t="shared" si="165"/>
        <v>1</v>
      </c>
      <c r="R3638" s="195" t="str">
        <f t="shared" si="166"/>
        <v>2018LIGHT VEHICLES</v>
      </c>
    </row>
    <row r="3639" spans="3:18" x14ac:dyDescent="0.25">
      <c r="C3639" s="294" t="s">
        <v>1003</v>
      </c>
      <c r="D3639" s="317" t="s">
        <v>745</v>
      </c>
      <c r="E3639" s="122" t="s">
        <v>1004</v>
      </c>
      <c r="F3639" s="122" t="s">
        <v>1005</v>
      </c>
      <c r="G3639" s="122" t="s">
        <v>776</v>
      </c>
      <c r="H3639" s="122" t="s">
        <v>777</v>
      </c>
      <c r="I3639" s="312">
        <v>2018</v>
      </c>
      <c r="J3639" s="122" t="s">
        <v>712</v>
      </c>
      <c r="K3639" s="283">
        <v>15</v>
      </c>
      <c r="L3639" s="318">
        <v>-33.455536000000002</v>
      </c>
      <c r="M3639" s="318">
        <v>151.20509300000001</v>
      </c>
      <c r="O3639">
        <f>INDEX('MEC - traffic congestion'!$M$145:$M$249,MATCH($D3639,'MEC - traffic congestion'!$C$145:$C$249,0))</f>
        <v>1</v>
      </c>
      <c r="P3639" t="str">
        <f t="shared" si="164"/>
        <v>2018PUBLIC HOLIDAYS</v>
      </c>
      <c r="Q3639">
        <f t="shared" si="165"/>
        <v>1</v>
      </c>
      <c r="R3639" s="195" t="str">
        <f t="shared" si="166"/>
        <v>2018LIGHT VEHICLES</v>
      </c>
    </row>
    <row r="3640" spans="3:18" x14ac:dyDescent="0.25">
      <c r="C3640" s="294" t="s">
        <v>1003</v>
      </c>
      <c r="D3640" s="317" t="s">
        <v>745</v>
      </c>
      <c r="E3640" s="122" t="s">
        <v>1004</v>
      </c>
      <c r="F3640" s="122" t="s">
        <v>1005</v>
      </c>
      <c r="G3640" s="122" t="s">
        <v>776</v>
      </c>
      <c r="H3640" s="122" t="s">
        <v>777</v>
      </c>
      <c r="I3640" s="312">
        <v>2018</v>
      </c>
      <c r="J3640" s="122" t="s">
        <v>713</v>
      </c>
      <c r="K3640" s="283">
        <v>15</v>
      </c>
      <c r="L3640" s="318">
        <v>-33.455536000000002</v>
      </c>
      <c r="M3640" s="318">
        <v>151.20509300000001</v>
      </c>
      <c r="O3640">
        <f>INDEX('MEC - traffic congestion'!$M$145:$M$249,MATCH($D3640,'MEC - traffic congestion'!$C$145:$C$249,0))</f>
        <v>1</v>
      </c>
      <c r="P3640" t="str">
        <f t="shared" si="164"/>
        <v>2018WEEKENDS</v>
      </c>
      <c r="Q3640">
        <f t="shared" si="165"/>
        <v>1</v>
      </c>
      <c r="R3640" s="195" t="str">
        <f t="shared" si="166"/>
        <v>2018LIGHT VEHICLES</v>
      </c>
    </row>
    <row r="3641" spans="3:18" x14ac:dyDescent="0.25">
      <c r="C3641" s="294" t="s">
        <v>1003</v>
      </c>
      <c r="D3641" s="317" t="s">
        <v>745</v>
      </c>
      <c r="E3641" s="122" t="s">
        <v>1004</v>
      </c>
      <c r="F3641" s="122" t="s">
        <v>1005</v>
      </c>
      <c r="G3641" s="122" t="s">
        <v>776</v>
      </c>
      <c r="H3641" s="122" t="s">
        <v>777</v>
      </c>
      <c r="I3641" s="312">
        <v>2019</v>
      </c>
      <c r="J3641" s="122" t="s">
        <v>709</v>
      </c>
      <c r="K3641" s="283">
        <v>4</v>
      </c>
      <c r="L3641" s="318">
        <v>-33.455536000000002</v>
      </c>
      <c r="M3641" s="318">
        <v>151.20509300000001</v>
      </c>
      <c r="O3641">
        <f>INDEX('MEC - traffic congestion'!$M$145:$M$249,MATCH($D3641,'MEC - traffic congestion'!$C$145:$C$249,0))</f>
        <v>1</v>
      </c>
      <c r="P3641" t="str">
        <f t="shared" si="164"/>
        <v>2019AM PEAK</v>
      </c>
      <c r="Q3641">
        <f t="shared" si="165"/>
        <v>1</v>
      </c>
      <c r="R3641" s="195" t="str">
        <f t="shared" si="166"/>
        <v>2019LIGHT VEHICLES</v>
      </c>
    </row>
    <row r="3642" spans="3:18" x14ac:dyDescent="0.25">
      <c r="C3642" s="294" t="s">
        <v>1003</v>
      </c>
      <c r="D3642" s="317" t="s">
        <v>745</v>
      </c>
      <c r="E3642" s="122" t="s">
        <v>1004</v>
      </c>
      <c r="F3642" s="122" t="s">
        <v>1005</v>
      </c>
      <c r="G3642" s="122" t="s">
        <v>776</v>
      </c>
      <c r="H3642" s="122" t="s">
        <v>777</v>
      </c>
      <c r="I3642" s="312">
        <v>2019</v>
      </c>
      <c r="J3642" s="122" t="s">
        <v>710</v>
      </c>
      <c r="K3642" s="283">
        <v>15</v>
      </c>
      <c r="L3642" s="318">
        <v>-33.455536000000002</v>
      </c>
      <c r="M3642" s="318">
        <v>151.20509300000001</v>
      </c>
      <c r="O3642">
        <f>INDEX('MEC - traffic congestion'!$M$145:$M$249,MATCH($D3642,'MEC - traffic congestion'!$C$145:$C$249,0))</f>
        <v>1</v>
      </c>
      <c r="P3642" t="str">
        <f t="shared" si="164"/>
        <v>2019OFF PEAK</v>
      </c>
      <c r="Q3642">
        <f t="shared" si="165"/>
        <v>1</v>
      </c>
      <c r="R3642" s="195" t="str">
        <f t="shared" si="166"/>
        <v>2019LIGHT VEHICLES</v>
      </c>
    </row>
    <row r="3643" spans="3:18" x14ac:dyDescent="0.25">
      <c r="C3643" s="294" t="s">
        <v>1003</v>
      </c>
      <c r="D3643" s="317" t="s">
        <v>745</v>
      </c>
      <c r="E3643" s="122" t="s">
        <v>1004</v>
      </c>
      <c r="F3643" s="122" t="s">
        <v>1005</v>
      </c>
      <c r="G3643" s="122" t="s">
        <v>776</v>
      </c>
      <c r="H3643" s="122" t="s">
        <v>777</v>
      </c>
      <c r="I3643" s="312">
        <v>2019</v>
      </c>
      <c r="J3643" s="122" t="s">
        <v>711</v>
      </c>
      <c r="K3643" s="283">
        <v>4</v>
      </c>
      <c r="L3643" s="318">
        <v>-33.455536000000002</v>
      </c>
      <c r="M3643" s="318">
        <v>151.20509300000001</v>
      </c>
      <c r="O3643">
        <f>INDEX('MEC - traffic congestion'!$M$145:$M$249,MATCH($D3643,'MEC - traffic congestion'!$C$145:$C$249,0))</f>
        <v>1</v>
      </c>
      <c r="P3643" t="str">
        <f t="shared" si="164"/>
        <v>2019PM PEAK</v>
      </c>
      <c r="Q3643">
        <f t="shared" si="165"/>
        <v>1</v>
      </c>
      <c r="R3643" s="195" t="str">
        <f t="shared" si="166"/>
        <v>2019LIGHT VEHICLES</v>
      </c>
    </row>
    <row r="3644" spans="3:18" x14ac:dyDescent="0.25">
      <c r="C3644" s="294" t="s">
        <v>1003</v>
      </c>
      <c r="D3644" s="317" t="s">
        <v>745</v>
      </c>
      <c r="E3644" s="122" t="s">
        <v>1004</v>
      </c>
      <c r="F3644" s="122" t="s">
        <v>1005</v>
      </c>
      <c r="G3644" s="122" t="s">
        <v>776</v>
      </c>
      <c r="H3644" s="122" t="s">
        <v>777</v>
      </c>
      <c r="I3644" s="312">
        <v>2019</v>
      </c>
      <c r="J3644" s="122" t="s">
        <v>712</v>
      </c>
      <c r="K3644" s="283">
        <v>13</v>
      </c>
      <c r="L3644" s="318">
        <v>-33.455536000000002</v>
      </c>
      <c r="M3644" s="318">
        <v>151.20509300000001</v>
      </c>
      <c r="O3644">
        <f>INDEX('MEC - traffic congestion'!$M$145:$M$249,MATCH($D3644,'MEC - traffic congestion'!$C$145:$C$249,0))</f>
        <v>1</v>
      </c>
      <c r="P3644" t="str">
        <f t="shared" si="164"/>
        <v>2019PUBLIC HOLIDAYS</v>
      </c>
      <c r="Q3644">
        <f t="shared" si="165"/>
        <v>1</v>
      </c>
      <c r="R3644" s="195" t="str">
        <f t="shared" si="166"/>
        <v>2019LIGHT VEHICLES</v>
      </c>
    </row>
    <row r="3645" spans="3:18" x14ac:dyDescent="0.25">
      <c r="C3645" s="294" t="s">
        <v>1003</v>
      </c>
      <c r="D3645" s="317" t="s">
        <v>745</v>
      </c>
      <c r="E3645" s="122" t="s">
        <v>1004</v>
      </c>
      <c r="F3645" s="122" t="s">
        <v>1005</v>
      </c>
      <c r="G3645" s="122" t="s">
        <v>776</v>
      </c>
      <c r="H3645" s="122" t="s">
        <v>777</v>
      </c>
      <c r="I3645" s="312">
        <v>2019</v>
      </c>
      <c r="J3645" s="122" t="s">
        <v>713</v>
      </c>
      <c r="K3645" s="283">
        <v>13</v>
      </c>
      <c r="L3645" s="318">
        <v>-33.455536000000002</v>
      </c>
      <c r="M3645" s="318">
        <v>151.20509300000001</v>
      </c>
      <c r="O3645">
        <f>INDEX('MEC - traffic congestion'!$M$145:$M$249,MATCH($D3645,'MEC - traffic congestion'!$C$145:$C$249,0))</f>
        <v>1</v>
      </c>
      <c r="P3645" t="str">
        <f t="shared" si="164"/>
        <v>2019WEEKENDS</v>
      </c>
      <c r="Q3645">
        <f t="shared" si="165"/>
        <v>1</v>
      </c>
      <c r="R3645" s="195" t="str">
        <f t="shared" si="166"/>
        <v>2019LIGHT VEHICLES</v>
      </c>
    </row>
    <row r="3646" spans="3:18" x14ac:dyDescent="0.25">
      <c r="C3646" s="294" t="s">
        <v>1003</v>
      </c>
      <c r="D3646" s="317" t="s">
        <v>745</v>
      </c>
      <c r="E3646" s="122" t="s">
        <v>1004</v>
      </c>
      <c r="F3646" s="122" t="s">
        <v>1005</v>
      </c>
      <c r="G3646" s="122" t="s">
        <v>776</v>
      </c>
      <c r="H3646" s="122" t="s">
        <v>777</v>
      </c>
      <c r="I3646" s="312">
        <v>2020</v>
      </c>
      <c r="J3646" s="122" t="s">
        <v>709</v>
      </c>
      <c r="K3646" s="283">
        <v>4</v>
      </c>
      <c r="L3646" s="318">
        <v>-33.455536000000002</v>
      </c>
      <c r="M3646" s="318">
        <v>151.20509300000001</v>
      </c>
      <c r="O3646">
        <f>INDEX('MEC - traffic congestion'!$M$145:$M$249,MATCH($D3646,'MEC - traffic congestion'!$C$145:$C$249,0))</f>
        <v>1</v>
      </c>
      <c r="P3646" t="str">
        <f t="shared" si="164"/>
        <v>2020AM PEAK</v>
      </c>
      <c r="Q3646">
        <f t="shared" si="165"/>
        <v>1</v>
      </c>
      <c r="R3646" s="195" t="str">
        <f t="shared" si="166"/>
        <v>2020LIGHT VEHICLES</v>
      </c>
    </row>
    <row r="3647" spans="3:18" x14ac:dyDescent="0.25">
      <c r="C3647" s="294" t="s">
        <v>1003</v>
      </c>
      <c r="D3647" s="317" t="s">
        <v>745</v>
      </c>
      <c r="E3647" s="122" t="s">
        <v>1004</v>
      </c>
      <c r="F3647" s="122" t="s">
        <v>1005</v>
      </c>
      <c r="G3647" s="122" t="s">
        <v>776</v>
      </c>
      <c r="H3647" s="122" t="s">
        <v>777</v>
      </c>
      <c r="I3647" s="312">
        <v>2020</v>
      </c>
      <c r="J3647" s="122" t="s">
        <v>710</v>
      </c>
      <c r="K3647" s="283">
        <v>15</v>
      </c>
      <c r="L3647" s="318">
        <v>-33.455536000000002</v>
      </c>
      <c r="M3647" s="318">
        <v>151.20509300000001</v>
      </c>
      <c r="O3647">
        <f>INDEX('MEC - traffic congestion'!$M$145:$M$249,MATCH($D3647,'MEC - traffic congestion'!$C$145:$C$249,0))</f>
        <v>1</v>
      </c>
      <c r="P3647" t="str">
        <f t="shared" si="164"/>
        <v>2020OFF PEAK</v>
      </c>
      <c r="Q3647">
        <f t="shared" si="165"/>
        <v>1</v>
      </c>
      <c r="R3647" s="195" t="str">
        <f t="shared" si="166"/>
        <v>2020LIGHT VEHICLES</v>
      </c>
    </row>
    <row r="3648" spans="3:18" x14ac:dyDescent="0.25">
      <c r="C3648" s="294" t="s">
        <v>1003</v>
      </c>
      <c r="D3648" s="317" t="s">
        <v>745</v>
      </c>
      <c r="E3648" s="122" t="s">
        <v>1004</v>
      </c>
      <c r="F3648" s="122" t="s">
        <v>1005</v>
      </c>
      <c r="G3648" s="122" t="s">
        <v>776</v>
      </c>
      <c r="H3648" s="122" t="s">
        <v>777</v>
      </c>
      <c r="I3648" s="312">
        <v>2020</v>
      </c>
      <c r="J3648" s="122" t="s">
        <v>711</v>
      </c>
      <c r="K3648" s="283">
        <v>4</v>
      </c>
      <c r="L3648" s="318">
        <v>-33.455536000000002</v>
      </c>
      <c r="M3648" s="318">
        <v>151.20509300000001</v>
      </c>
      <c r="O3648">
        <f>INDEX('MEC - traffic congestion'!$M$145:$M$249,MATCH($D3648,'MEC - traffic congestion'!$C$145:$C$249,0))</f>
        <v>1</v>
      </c>
      <c r="P3648" t="str">
        <f t="shared" si="164"/>
        <v>2020PM PEAK</v>
      </c>
      <c r="Q3648">
        <f t="shared" si="165"/>
        <v>1</v>
      </c>
      <c r="R3648" s="195" t="str">
        <f t="shared" si="166"/>
        <v>2020LIGHT VEHICLES</v>
      </c>
    </row>
    <row r="3649" spans="3:18" x14ac:dyDescent="0.25">
      <c r="C3649" s="294" t="s">
        <v>1003</v>
      </c>
      <c r="D3649" s="317" t="s">
        <v>745</v>
      </c>
      <c r="E3649" s="122" t="s">
        <v>1004</v>
      </c>
      <c r="F3649" s="122" t="s">
        <v>1005</v>
      </c>
      <c r="G3649" s="122" t="s">
        <v>776</v>
      </c>
      <c r="H3649" s="122" t="s">
        <v>777</v>
      </c>
      <c r="I3649" s="312">
        <v>2020</v>
      </c>
      <c r="J3649" s="122" t="s">
        <v>712</v>
      </c>
      <c r="K3649" s="283">
        <v>8</v>
      </c>
      <c r="L3649" s="318">
        <v>-33.455536000000002</v>
      </c>
      <c r="M3649" s="318">
        <v>151.20509300000001</v>
      </c>
      <c r="O3649">
        <f>INDEX('MEC - traffic congestion'!$M$145:$M$249,MATCH($D3649,'MEC - traffic congestion'!$C$145:$C$249,0))</f>
        <v>1</v>
      </c>
      <c r="P3649" t="str">
        <f t="shared" si="164"/>
        <v>2020PUBLIC HOLIDAYS</v>
      </c>
      <c r="Q3649">
        <f t="shared" si="165"/>
        <v>1</v>
      </c>
      <c r="R3649" s="195" t="str">
        <f t="shared" si="166"/>
        <v>2020LIGHT VEHICLES</v>
      </c>
    </row>
    <row r="3650" spans="3:18" x14ac:dyDescent="0.25">
      <c r="C3650" s="294" t="s">
        <v>1003</v>
      </c>
      <c r="D3650" s="317" t="s">
        <v>745</v>
      </c>
      <c r="E3650" s="122" t="s">
        <v>1004</v>
      </c>
      <c r="F3650" s="122" t="s">
        <v>1005</v>
      </c>
      <c r="G3650" s="122" t="s">
        <v>776</v>
      </c>
      <c r="H3650" s="122" t="s">
        <v>777</v>
      </c>
      <c r="I3650" s="312">
        <v>2020</v>
      </c>
      <c r="J3650" s="122" t="s">
        <v>713</v>
      </c>
      <c r="K3650" s="283">
        <v>13</v>
      </c>
      <c r="L3650" s="318">
        <v>-33.455536000000002</v>
      </c>
      <c r="M3650" s="318">
        <v>151.20509300000001</v>
      </c>
      <c r="O3650">
        <f>INDEX('MEC - traffic congestion'!$M$145:$M$249,MATCH($D3650,'MEC - traffic congestion'!$C$145:$C$249,0))</f>
        <v>1</v>
      </c>
      <c r="P3650" t="str">
        <f t="shared" si="164"/>
        <v>2020WEEKENDS</v>
      </c>
      <c r="Q3650">
        <f t="shared" si="165"/>
        <v>1</v>
      </c>
      <c r="R3650" s="195" t="str">
        <f t="shared" si="166"/>
        <v>2020LIGHT VEHICLES</v>
      </c>
    </row>
    <row r="3651" spans="3:18" x14ac:dyDescent="0.25">
      <c r="C3651" s="294" t="s">
        <v>1003</v>
      </c>
      <c r="D3651" s="317" t="s">
        <v>745</v>
      </c>
      <c r="E3651" s="122" t="s">
        <v>1004</v>
      </c>
      <c r="F3651" s="122" t="s">
        <v>1005</v>
      </c>
      <c r="G3651" s="122" t="s">
        <v>776</v>
      </c>
      <c r="H3651" s="122" t="s">
        <v>777</v>
      </c>
      <c r="I3651" s="312">
        <v>2021</v>
      </c>
      <c r="J3651" s="122" t="s">
        <v>709</v>
      </c>
      <c r="K3651" s="283">
        <v>4</v>
      </c>
      <c r="L3651" s="318">
        <v>-33.455536000000002</v>
      </c>
      <c r="M3651" s="318">
        <v>151.20509300000001</v>
      </c>
      <c r="O3651">
        <f>INDEX('MEC - traffic congestion'!$M$145:$M$249,MATCH($D3651,'MEC - traffic congestion'!$C$145:$C$249,0))</f>
        <v>1</v>
      </c>
      <c r="P3651" t="str">
        <f t="shared" si="164"/>
        <v>2021AM PEAK</v>
      </c>
      <c r="Q3651">
        <f t="shared" si="165"/>
        <v>1</v>
      </c>
      <c r="R3651" s="195" t="str">
        <f t="shared" si="166"/>
        <v>2021LIGHT VEHICLES</v>
      </c>
    </row>
    <row r="3652" spans="3:18" x14ac:dyDescent="0.25">
      <c r="C3652" s="294" t="s">
        <v>1003</v>
      </c>
      <c r="D3652" s="317" t="s">
        <v>745</v>
      </c>
      <c r="E3652" s="122" t="s">
        <v>1004</v>
      </c>
      <c r="F3652" s="122" t="s">
        <v>1005</v>
      </c>
      <c r="G3652" s="122" t="s">
        <v>776</v>
      </c>
      <c r="H3652" s="122" t="s">
        <v>777</v>
      </c>
      <c r="I3652" s="312">
        <v>2021</v>
      </c>
      <c r="J3652" s="122" t="s">
        <v>710</v>
      </c>
      <c r="K3652" s="283">
        <v>10</v>
      </c>
      <c r="L3652" s="318">
        <v>-33.455536000000002</v>
      </c>
      <c r="M3652" s="318">
        <v>151.20509300000001</v>
      </c>
      <c r="O3652">
        <f>INDEX('MEC - traffic congestion'!$M$145:$M$249,MATCH($D3652,'MEC - traffic congestion'!$C$145:$C$249,0))</f>
        <v>1</v>
      </c>
      <c r="P3652" t="str">
        <f t="shared" si="164"/>
        <v>2021OFF PEAK</v>
      </c>
      <c r="Q3652">
        <f t="shared" si="165"/>
        <v>1</v>
      </c>
      <c r="R3652" s="195" t="str">
        <f t="shared" si="166"/>
        <v>2021LIGHT VEHICLES</v>
      </c>
    </row>
    <row r="3653" spans="3:18" x14ac:dyDescent="0.25">
      <c r="C3653" s="294" t="s">
        <v>1003</v>
      </c>
      <c r="D3653" s="317" t="s">
        <v>745</v>
      </c>
      <c r="E3653" s="122" t="s">
        <v>1004</v>
      </c>
      <c r="F3653" s="122" t="s">
        <v>1005</v>
      </c>
      <c r="G3653" s="122" t="s">
        <v>776</v>
      </c>
      <c r="H3653" s="122" t="s">
        <v>777</v>
      </c>
      <c r="I3653" s="312">
        <v>2021</v>
      </c>
      <c r="J3653" s="122" t="s">
        <v>711</v>
      </c>
      <c r="K3653" s="283">
        <v>4</v>
      </c>
      <c r="L3653" s="318">
        <v>-33.455536000000002</v>
      </c>
      <c r="M3653" s="318">
        <v>151.20509300000001</v>
      </c>
      <c r="O3653">
        <f>INDEX('MEC - traffic congestion'!$M$145:$M$249,MATCH($D3653,'MEC - traffic congestion'!$C$145:$C$249,0))</f>
        <v>1</v>
      </c>
      <c r="P3653" t="str">
        <f t="shared" si="164"/>
        <v>2021PM PEAK</v>
      </c>
      <c r="Q3653">
        <f t="shared" si="165"/>
        <v>1</v>
      </c>
      <c r="R3653" s="195" t="str">
        <f t="shared" si="166"/>
        <v>2021LIGHT VEHICLES</v>
      </c>
    </row>
    <row r="3654" spans="3:18" x14ac:dyDescent="0.25">
      <c r="C3654" s="294" t="s">
        <v>1003</v>
      </c>
      <c r="D3654" s="317" t="s">
        <v>745</v>
      </c>
      <c r="E3654" s="122" t="s">
        <v>1004</v>
      </c>
      <c r="F3654" s="122" t="s">
        <v>1005</v>
      </c>
      <c r="G3654" s="122" t="s">
        <v>776</v>
      </c>
      <c r="H3654" s="122" t="s">
        <v>777</v>
      </c>
      <c r="I3654" s="312">
        <v>2021</v>
      </c>
      <c r="J3654" s="122" t="s">
        <v>713</v>
      </c>
      <c r="K3654" s="283">
        <v>13</v>
      </c>
      <c r="L3654" s="318">
        <v>-33.455536000000002</v>
      </c>
      <c r="M3654" s="318">
        <v>151.20509300000001</v>
      </c>
      <c r="O3654">
        <f>INDEX('MEC - traffic congestion'!$M$145:$M$249,MATCH($D3654,'MEC - traffic congestion'!$C$145:$C$249,0))</f>
        <v>1</v>
      </c>
      <c r="P3654" t="str">
        <f t="shared" si="164"/>
        <v>2021WEEKENDS</v>
      </c>
      <c r="Q3654">
        <f t="shared" si="165"/>
        <v>1</v>
      </c>
      <c r="R3654" s="195" t="str">
        <f t="shared" si="166"/>
        <v>2021LIGHT VEHICLES</v>
      </c>
    </row>
    <row r="3655" spans="3:18" x14ac:dyDescent="0.25">
      <c r="C3655" s="294" t="s">
        <v>1003</v>
      </c>
      <c r="D3655" s="317" t="s">
        <v>745</v>
      </c>
      <c r="E3655" s="122" t="s">
        <v>1004</v>
      </c>
      <c r="F3655" s="122" t="s">
        <v>1005</v>
      </c>
      <c r="G3655" s="122" t="s">
        <v>776</v>
      </c>
      <c r="H3655" s="122" t="s">
        <v>777</v>
      </c>
      <c r="I3655" s="312">
        <v>2022</v>
      </c>
      <c r="J3655" s="122" t="s">
        <v>709</v>
      </c>
      <c r="K3655" s="283">
        <v>4</v>
      </c>
      <c r="L3655" s="318">
        <v>-33.455536000000002</v>
      </c>
      <c r="M3655" s="318">
        <v>151.20509300000001</v>
      </c>
      <c r="O3655">
        <f>INDEX('MEC - traffic congestion'!$M$145:$M$249,MATCH($D3655,'MEC - traffic congestion'!$C$145:$C$249,0))</f>
        <v>1</v>
      </c>
      <c r="P3655" t="str">
        <f t="shared" si="164"/>
        <v>2022AM PEAK</v>
      </c>
      <c r="Q3655">
        <f t="shared" si="165"/>
        <v>1</v>
      </c>
      <c r="R3655" s="195" t="str">
        <f t="shared" si="166"/>
        <v>2022LIGHT VEHICLES</v>
      </c>
    </row>
    <row r="3656" spans="3:18" x14ac:dyDescent="0.25">
      <c r="C3656" s="294" t="s">
        <v>1003</v>
      </c>
      <c r="D3656" s="317" t="s">
        <v>745</v>
      </c>
      <c r="E3656" s="122" t="s">
        <v>1004</v>
      </c>
      <c r="F3656" s="122" t="s">
        <v>1005</v>
      </c>
      <c r="G3656" s="122" t="s">
        <v>776</v>
      </c>
      <c r="H3656" s="122" t="s">
        <v>777</v>
      </c>
      <c r="I3656" s="312">
        <v>2022</v>
      </c>
      <c r="J3656" s="122" t="s">
        <v>710</v>
      </c>
      <c r="K3656" s="283">
        <v>18</v>
      </c>
      <c r="L3656" s="318">
        <v>-33.455536000000002</v>
      </c>
      <c r="M3656" s="318">
        <v>151.20509300000001</v>
      </c>
      <c r="O3656">
        <f>INDEX('MEC - traffic congestion'!$M$145:$M$249,MATCH($D3656,'MEC - traffic congestion'!$C$145:$C$249,0))</f>
        <v>1</v>
      </c>
      <c r="P3656" t="str">
        <f t="shared" si="164"/>
        <v>2022OFF PEAK</v>
      </c>
      <c r="Q3656">
        <f t="shared" si="165"/>
        <v>1</v>
      </c>
      <c r="R3656" s="195" t="str">
        <f t="shared" si="166"/>
        <v>2022LIGHT VEHICLES</v>
      </c>
    </row>
    <row r="3657" spans="3:18" x14ac:dyDescent="0.25">
      <c r="C3657" s="294" t="s">
        <v>1003</v>
      </c>
      <c r="D3657" s="317" t="s">
        <v>745</v>
      </c>
      <c r="E3657" s="122" t="s">
        <v>1004</v>
      </c>
      <c r="F3657" s="122" t="s">
        <v>1005</v>
      </c>
      <c r="G3657" s="122" t="s">
        <v>776</v>
      </c>
      <c r="H3657" s="122" t="s">
        <v>777</v>
      </c>
      <c r="I3657" s="312">
        <v>2022</v>
      </c>
      <c r="J3657" s="122" t="s">
        <v>711</v>
      </c>
      <c r="K3657" s="283">
        <v>7</v>
      </c>
      <c r="L3657" s="318">
        <v>-33.455536000000002</v>
      </c>
      <c r="M3657" s="318">
        <v>151.20509300000001</v>
      </c>
      <c r="O3657">
        <f>INDEX('MEC - traffic congestion'!$M$145:$M$249,MATCH($D3657,'MEC - traffic congestion'!$C$145:$C$249,0))</f>
        <v>1</v>
      </c>
      <c r="P3657" t="str">
        <f t="shared" si="164"/>
        <v>2022PM PEAK</v>
      </c>
      <c r="Q3657">
        <f t="shared" si="165"/>
        <v>1</v>
      </c>
      <c r="R3657" s="195" t="str">
        <f t="shared" si="166"/>
        <v>2022LIGHT VEHICLES</v>
      </c>
    </row>
    <row r="3658" spans="3:18" x14ac:dyDescent="0.25">
      <c r="C3658" s="294" t="s">
        <v>1003</v>
      </c>
      <c r="D3658" s="317" t="s">
        <v>745</v>
      </c>
      <c r="E3658" s="122" t="s">
        <v>1004</v>
      </c>
      <c r="F3658" s="122" t="s">
        <v>1005</v>
      </c>
      <c r="G3658" s="122" t="s">
        <v>776</v>
      </c>
      <c r="H3658" s="122" t="s">
        <v>777</v>
      </c>
      <c r="I3658" s="312">
        <v>2022</v>
      </c>
      <c r="J3658" s="122" t="s">
        <v>713</v>
      </c>
      <c r="K3658" s="283">
        <v>22</v>
      </c>
      <c r="L3658" s="318">
        <v>-33.455536000000002</v>
      </c>
      <c r="M3658" s="318">
        <v>151.20509300000001</v>
      </c>
      <c r="O3658">
        <f>INDEX('MEC - traffic congestion'!$M$145:$M$249,MATCH($D3658,'MEC - traffic congestion'!$C$145:$C$249,0))</f>
        <v>1</v>
      </c>
      <c r="P3658" t="str">
        <f t="shared" si="164"/>
        <v>2022WEEKENDS</v>
      </c>
      <c r="Q3658">
        <f t="shared" si="165"/>
        <v>1</v>
      </c>
      <c r="R3658" s="195" t="str">
        <f t="shared" si="166"/>
        <v>2022LIGHT VEHICLES</v>
      </c>
    </row>
    <row r="3659" spans="3:18" x14ac:dyDescent="0.25">
      <c r="C3659" s="294" t="s">
        <v>1003</v>
      </c>
      <c r="D3659" s="317" t="s">
        <v>745</v>
      </c>
      <c r="E3659" s="122" t="s">
        <v>1004</v>
      </c>
      <c r="F3659" s="122" t="s">
        <v>1005</v>
      </c>
      <c r="G3659" s="122" t="s">
        <v>776</v>
      </c>
      <c r="H3659" s="122" t="s">
        <v>777</v>
      </c>
      <c r="I3659" s="312">
        <v>2023</v>
      </c>
      <c r="J3659" s="122" t="s">
        <v>709</v>
      </c>
      <c r="K3659" s="283">
        <v>4</v>
      </c>
      <c r="L3659" s="318">
        <v>-33.455536000000002</v>
      </c>
      <c r="M3659" s="318">
        <v>151.20509300000001</v>
      </c>
      <c r="O3659">
        <f>INDEX('MEC - traffic congestion'!$M$145:$M$249,MATCH($D3659,'MEC - traffic congestion'!$C$145:$C$249,0))</f>
        <v>1</v>
      </c>
      <c r="P3659" t="str">
        <f t="shared" si="164"/>
        <v>2023AM PEAK</v>
      </c>
      <c r="Q3659">
        <f t="shared" si="165"/>
        <v>1</v>
      </c>
      <c r="R3659" s="195" t="str">
        <f t="shared" si="166"/>
        <v>2023LIGHT VEHICLES</v>
      </c>
    </row>
    <row r="3660" spans="3:18" x14ac:dyDescent="0.25">
      <c r="C3660" s="294" t="s">
        <v>1003</v>
      </c>
      <c r="D3660" s="317" t="s">
        <v>745</v>
      </c>
      <c r="E3660" s="122" t="s">
        <v>1004</v>
      </c>
      <c r="F3660" s="122" t="s">
        <v>1005</v>
      </c>
      <c r="G3660" s="122" t="s">
        <v>776</v>
      </c>
      <c r="H3660" s="122" t="s">
        <v>777</v>
      </c>
      <c r="I3660" s="312">
        <v>2023</v>
      </c>
      <c r="J3660" s="122" t="s">
        <v>710</v>
      </c>
      <c r="K3660" s="283">
        <v>12</v>
      </c>
      <c r="L3660" s="318">
        <v>-33.455536000000002</v>
      </c>
      <c r="M3660" s="318">
        <v>151.20509300000001</v>
      </c>
      <c r="O3660">
        <f>INDEX('MEC - traffic congestion'!$M$145:$M$249,MATCH($D3660,'MEC - traffic congestion'!$C$145:$C$249,0))</f>
        <v>1</v>
      </c>
      <c r="P3660" t="str">
        <f t="shared" si="164"/>
        <v>2023OFF PEAK</v>
      </c>
      <c r="Q3660">
        <f t="shared" si="165"/>
        <v>1</v>
      </c>
      <c r="R3660" s="195" t="str">
        <f t="shared" si="166"/>
        <v>2023LIGHT VEHICLES</v>
      </c>
    </row>
    <row r="3661" spans="3:18" x14ac:dyDescent="0.25">
      <c r="C3661" s="294" t="s">
        <v>1003</v>
      </c>
      <c r="D3661" s="317" t="s">
        <v>745</v>
      </c>
      <c r="E3661" s="122" t="s">
        <v>1004</v>
      </c>
      <c r="F3661" s="122" t="s">
        <v>1005</v>
      </c>
      <c r="G3661" s="122" t="s">
        <v>776</v>
      </c>
      <c r="H3661" s="122" t="s">
        <v>777</v>
      </c>
      <c r="I3661" s="312">
        <v>2023</v>
      </c>
      <c r="J3661" s="122" t="s">
        <v>711</v>
      </c>
      <c r="K3661" s="283">
        <v>4</v>
      </c>
      <c r="L3661" s="318">
        <v>-33.455536000000002</v>
      </c>
      <c r="M3661" s="318">
        <v>151.20509300000001</v>
      </c>
      <c r="O3661">
        <f>INDEX('MEC - traffic congestion'!$M$145:$M$249,MATCH($D3661,'MEC - traffic congestion'!$C$145:$C$249,0))</f>
        <v>1</v>
      </c>
      <c r="P3661" t="str">
        <f t="shared" si="164"/>
        <v>2023PM PEAK</v>
      </c>
      <c r="Q3661">
        <f t="shared" si="165"/>
        <v>1</v>
      </c>
      <c r="R3661" s="195" t="str">
        <f t="shared" si="166"/>
        <v>2023LIGHT VEHICLES</v>
      </c>
    </row>
    <row r="3662" spans="3:18" x14ac:dyDescent="0.25">
      <c r="C3662" s="294" t="s">
        <v>1003</v>
      </c>
      <c r="D3662" s="317" t="s">
        <v>745</v>
      </c>
      <c r="E3662" s="122" t="s">
        <v>1004</v>
      </c>
      <c r="F3662" s="122" t="s">
        <v>1005</v>
      </c>
      <c r="G3662" s="122" t="s">
        <v>776</v>
      </c>
      <c r="H3662" s="122" t="s">
        <v>777</v>
      </c>
      <c r="I3662" s="312">
        <v>2023</v>
      </c>
      <c r="J3662" s="122" t="s">
        <v>713</v>
      </c>
      <c r="K3662" s="283">
        <v>14</v>
      </c>
      <c r="L3662" s="318">
        <v>-33.455536000000002</v>
      </c>
      <c r="M3662" s="318">
        <v>151.20509300000001</v>
      </c>
      <c r="O3662">
        <f>INDEX('MEC - traffic congestion'!$M$145:$M$249,MATCH($D3662,'MEC - traffic congestion'!$C$145:$C$249,0))</f>
        <v>1</v>
      </c>
      <c r="P3662" t="str">
        <f t="shared" si="164"/>
        <v>2023WEEKENDS</v>
      </c>
      <c r="Q3662">
        <f t="shared" si="165"/>
        <v>1</v>
      </c>
      <c r="R3662" s="195" t="str">
        <f t="shared" si="166"/>
        <v>2023LIGHT VEHICLES</v>
      </c>
    </row>
    <row r="3663" spans="3:18" x14ac:dyDescent="0.25">
      <c r="C3663" s="294" t="s">
        <v>1003</v>
      </c>
      <c r="D3663" s="317" t="s">
        <v>745</v>
      </c>
      <c r="E3663" s="122" t="s">
        <v>1004</v>
      </c>
      <c r="F3663" s="122" t="s">
        <v>1005</v>
      </c>
      <c r="G3663" s="122" t="s">
        <v>776</v>
      </c>
      <c r="H3663" s="122" t="s">
        <v>777</v>
      </c>
      <c r="I3663" s="312">
        <v>2024</v>
      </c>
      <c r="J3663" s="122" t="s">
        <v>709</v>
      </c>
      <c r="K3663" s="283">
        <v>4</v>
      </c>
      <c r="L3663" s="318">
        <v>-33.455536000000002</v>
      </c>
      <c r="M3663" s="318">
        <v>151.20509300000001</v>
      </c>
      <c r="O3663">
        <f>INDEX('MEC - traffic congestion'!$M$145:$M$249,MATCH($D3663,'MEC - traffic congestion'!$C$145:$C$249,0))</f>
        <v>1</v>
      </c>
      <c r="P3663" t="str">
        <f t="shared" si="164"/>
        <v>2024AM PEAK</v>
      </c>
      <c r="Q3663">
        <f t="shared" si="165"/>
        <v>1</v>
      </c>
      <c r="R3663" s="195" t="str">
        <f t="shared" si="166"/>
        <v>2024LIGHT VEHICLES</v>
      </c>
    </row>
    <row r="3664" spans="3:18" x14ac:dyDescent="0.25">
      <c r="C3664" s="294" t="s">
        <v>1003</v>
      </c>
      <c r="D3664" s="317" t="s">
        <v>745</v>
      </c>
      <c r="E3664" s="122" t="s">
        <v>1004</v>
      </c>
      <c r="F3664" s="122" t="s">
        <v>1005</v>
      </c>
      <c r="G3664" s="122" t="s">
        <v>776</v>
      </c>
      <c r="H3664" s="122" t="s">
        <v>777</v>
      </c>
      <c r="I3664" s="312">
        <v>2024</v>
      </c>
      <c r="J3664" s="122" t="s">
        <v>710</v>
      </c>
      <c r="K3664" s="283">
        <v>15</v>
      </c>
      <c r="L3664" s="318">
        <v>-33.455536000000002</v>
      </c>
      <c r="M3664" s="318">
        <v>151.20509300000001</v>
      </c>
      <c r="O3664">
        <f>INDEX('MEC - traffic congestion'!$M$145:$M$249,MATCH($D3664,'MEC - traffic congestion'!$C$145:$C$249,0))</f>
        <v>1</v>
      </c>
      <c r="P3664" t="str">
        <f t="shared" si="164"/>
        <v>2024OFF PEAK</v>
      </c>
      <c r="Q3664">
        <f t="shared" si="165"/>
        <v>1</v>
      </c>
      <c r="R3664" s="195" t="str">
        <f t="shared" si="166"/>
        <v>2024LIGHT VEHICLES</v>
      </c>
    </row>
    <row r="3665" spans="3:18" x14ac:dyDescent="0.25">
      <c r="C3665" s="294" t="s">
        <v>1003</v>
      </c>
      <c r="D3665" s="317" t="s">
        <v>745</v>
      </c>
      <c r="E3665" s="122" t="s">
        <v>1004</v>
      </c>
      <c r="F3665" s="122" t="s">
        <v>1005</v>
      </c>
      <c r="G3665" s="122" t="s">
        <v>776</v>
      </c>
      <c r="H3665" s="122" t="s">
        <v>777</v>
      </c>
      <c r="I3665" s="312">
        <v>2024</v>
      </c>
      <c r="J3665" s="122" t="s">
        <v>711</v>
      </c>
      <c r="K3665" s="283">
        <v>4</v>
      </c>
      <c r="L3665" s="318">
        <v>-33.455536000000002</v>
      </c>
      <c r="M3665" s="318">
        <v>151.20509300000001</v>
      </c>
      <c r="O3665">
        <f>INDEX('MEC - traffic congestion'!$M$145:$M$249,MATCH($D3665,'MEC - traffic congestion'!$C$145:$C$249,0))</f>
        <v>1</v>
      </c>
      <c r="P3665" t="str">
        <f t="shared" si="164"/>
        <v>2024PM PEAK</v>
      </c>
      <c r="Q3665">
        <f t="shared" si="165"/>
        <v>1</v>
      </c>
      <c r="R3665" s="195" t="str">
        <f t="shared" si="166"/>
        <v>2024LIGHT VEHICLES</v>
      </c>
    </row>
    <row r="3666" spans="3:18" x14ac:dyDescent="0.25">
      <c r="C3666" s="294" t="s">
        <v>1003</v>
      </c>
      <c r="D3666" s="317" t="s">
        <v>745</v>
      </c>
      <c r="E3666" s="122" t="s">
        <v>1004</v>
      </c>
      <c r="F3666" s="122" t="s">
        <v>1005</v>
      </c>
      <c r="G3666" s="122" t="s">
        <v>776</v>
      </c>
      <c r="H3666" s="122" t="s">
        <v>777</v>
      </c>
      <c r="I3666" s="312">
        <v>2024</v>
      </c>
      <c r="J3666" s="122" t="s">
        <v>713</v>
      </c>
      <c r="K3666" s="283">
        <v>18</v>
      </c>
      <c r="L3666" s="318">
        <v>-33.455536000000002</v>
      </c>
      <c r="M3666" s="318">
        <v>151.20509300000001</v>
      </c>
      <c r="O3666">
        <f>INDEX('MEC - traffic congestion'!$M$145:$M$249,MATCH($D3666,'MEC - traffic congestion'!$C$145:$C$249,0))</f>
        <v>1</v>
      </c>
      <c r="P3666" t="str">
        <f t="shared" si="164"/>
        <v>2024WEEKENDS</v>
      </c>
      <c r="Q3666">
        <f t="shared" si="165"/>
        <v>1</v>
      </c>
      <c r="R3666" s="195" t="str">
        <f t="shared" si="166"/>
        <v>2024LIGHT VEHICLES</v>
      </c>
    </row>
    <row r="3667" spans="3:18" x14ac:dyDescent="0.25">
      <c r="C3667" s="294" t="s">
        <v>1006</v>
      </c>
      <c r="D3667" s="317" t="s">
        <v>746</v>
      </c>
      <c r="E3667" s="122" t="s">
        <v>1004</v>
      </c>
      <c r="F3667" s="122" t="s">
        <v>1005</v>
      </c>
      <c r="G3667" s="122" t="s">
        <v>776</v>
      </c>
      <c r="H3667" s="122" t="s">
        <v>777</v>
      </c>
      <c r="I3667" s="312">
        <v>2018</v>
      </c>
      <c r="J3667" s="122" t="s">
        <v>709</v>
      </c>
      <c r="K3667" s="283">
        <v>5</v>
      </c>
      <c r="L3667" s="318">
        <v>-33.455235000000002</v>
      </c>
      <c r="M3667" s="318">
        <v>151.20538300000001</v>
      </c>
      <c r="O3667">
        <f>INDEX('MEC - traffic congestion'!$M$145:$M$249,MATCH($D3667,'MEC - traffic congestion'!$C$145:$C$249,0))</f>
        <v>1</v>
      </c>
      <c r="P3667" t="str">
        <f t="shared" si="164"/>
        <v>2018AM PEAK</v>
      </c>
      <c r="Q3667">
        <f t="shared" si="165"/>
        <v>1</v>
      </c>
      <c r="R3667" s="195" t="str">
        <f t="shared" si="166"/>
        <v>2018LIGHT VEHICLES</v>
      </c>
    </row>
    <row r="3668" spans="3:18" x14ac:dyDescent="0.25">
      <c r="C3668" s="294" t="s">
        <v>1006</v>
      </c>
      <c r="D3668" s="317" t="s">
        <v>746</v>
      </c>
      <c r="E3668" s="122" t="s">
        <v>1004</v>
      </c>
      <c r="F3668" s="122" t="s">
        <v>1005</v>
      </c>
      <c r="G3668" s="122" t="s">
        <v>776</v>
      </c>
      <c r="H3668" s="122" t="s">
        <v>777</v>
      </c>
      <c r="I3668" s="312">
        <v>2018</v>
      </c>
      <c r="J3668" s="122" t="s">
        <v>710</v>
      </c>
      <c r="K3668" s="283">
        <v>9</v>
      </c>
      <c r="L3668" s="318">
        <v>-33.455235000000002</v>
      </c>
      <c r="M3668" s="318">
        <v>151.20538300000001</v>
      </c>
      <c r="O3668">
        <f>INDEX('MEC - traffic congestion'!$M$145:$M$249,MATCH($D3668,'MEC - traffic congestion'!$C$145:$C$249,0))</f>
        <v>1</v>
      </c>
      <c r="P3668" t="str">
        <f t="shared" si="164"/>
        <v>2018OFF PEAK</v>
      </c>
      <c r="Q3668">
        <f t="shared" si="165"/>
        <v>1</v>
      </c>
      <c r="R3668" s="195" t="str">
        <f t="shared" si="166"/>
        <v>2018LIGHT VEHICLES</v>
      </c>
    </row>
    <row r="3669" spans="3:18" x14ac:dyDescent="0.25">
      <c r="C3669" s="294" t="s">
        <v>1006</v>
      </c>
      <c r="D3669" s="317" t="s">
        <v>746</v>
      </c>
      <c r="E3669" s="122" t="s">
        <v>1004</v>
      </c>
      <c r="F3669" s="122" t="s">
        <v>1005</v>
      </c>
      <c r="G3669" s="122" t="s">
        <v>776</v>
      </c>
      <c r="H3669" s="122" t="s">
        <v>777</v>
      </c>
      <c r="I3669" s="312">
        <v>2018</v>
      </c>
      <c r="J3669" s="122" t="s">
        <v>711</v>
      </c>
      <c r="K3669" s="283">
        <v>5</v>
      </c>
      <c r="L3669" s="318">
        <v>-33.455235000000002</v>
      </c>
      <c r="M3669" s="318">
        <v>151.20538300000001</v>
      </c>
      <c r="O3669">
        <f>INDEX('MEC - traffic congestion'!$M$145:$M$249,MATCH($D3669,'MEC - traffic congestion'!$C$145:$C$249,0))</f>
        <v>1</v>
      </c>
      <c r="P3669" t="str">
        <f t="shared" ref="P3669:P3732" si="167">IF($O3669=1,$I3669&amp;$J3669,"")</f>
        <v>2018PM PEAK</v>
      </c>
      <c r="Q3669">
        <f t="shared" ref="Q3669:Q3732" si="168">IF(AND($M3669&gt;150.246,AND($L3669&gt;-34.397,$L3669&lt;-32.662)),1,0)</f>
        <v>1</v>
      </c>
      <c r="R3669" s="195" t="str">
        <f t="shared" ref="R3669:R3732" si="169">IF($O3669=1,$I3669&amp;$H3669,"")</f>
        <v>2018LIGHT VEHICLES</v>
      </c>
    </row>
    <row r="3670" spans="3:18" x14ac:dyDescent="0.25">
      <c r="C3670" s="294" t="s">
        <v>1006</v>
      </c>
      <c r="D3670" s="317" t="s">
        <v>746</v>
      </c>
      <c r="E3670" s="122" t="s">
        <v>1004</v>
      </c>
      <c r="F3670" s="122" t="s">
        <v>1005</v>
      </c>
      <c r="G3670" s="122" t="s">
        <v>776</v>
      </c>
      <c r="H3670" s="122" t="s">
        <v>777</v>
      </c>
      <c r="I3670" s="312">
        <v>2018</v>
      </c>
      <c r="J3670" s="122" t="s">
        <v>712</v>
      </c>
      <c r="K3670" s="283">
        <v>15</v>
      </c>
      <c r="L3670" s="318">
        <v>-33.455235000000002</v>
      </c>
      <c r="M3670" s="318">
        <v>151.20538300000001</v>
      </c>
      <c r="O3670">
        <f>INDEX('MEC - traffic congestion'!$M$145:$M$249,MATCH($D3670,'MEC - traffic congestion'!$C$145:$C$249,0))</f>
        <v>1</v>
      </c>
      <c r="P3670" t="str">
        <f t="shared" si="167"/>
        <v>2018PUBLIC HOLIDAYS</v>
      </c>
      <c r="Q3670">
        <f t="shared" si="168"/>
        <v>1</v>
      </c>
      <c r="R3670" s="195" t="str">
        <f t="shared" si="169"/>
        <v>2018LIGHT VEHICLES</v>
      </c>
    </row>
    <row r="3671" spans="3:18" x14ac:dyDescent="0.25">
      <c r="C3671" s="294" t="s">
        <v>1006</v>
      </c>
      <c r="D3671" s="317" t="s">
        <v>746</v>
      </c>
      <c r="E3671" s="122" t="s">
        <v>1004</v>
      </c>
      <c r="F3671" s="122" t="s">
        <v>1005</v>
      </c>
      <c r="G3671" s="122" t="s">
        <v>776</v>
      </c>
      <c r="H3671" s="122" t="s">
        <v>777</v>
      </c>
      <c r="I3671" s="312">
        <v>2018</v>
      </c>
      <c r="J3671" s="122" t="s">
        <v>713</v>
      </c>
      <c r="K3671" s="283">
        <v>14</v>
      </c>
      <c r="L3671" s="318">
        <v>-33.455235000000002</v>
      </c>
      <c r="M3671" s="318">
        <v>151.20538300000001</v>
      </c>
      <c r="O3671">
        <f>INDEX('MEC - traffic congestion'!$M$145:$M$249,MATCH($D3671,'MEC - traffic congestion'!$C$145:$C$249,0))</f>
        <v>1</v>
      </c>
      <c r="P3671" t="str">
        <f t="shared" si="167"/>
        <v>2018WEEKENDS</v>
      </c>
      <c r="Q3671">
        <f t="shared" si="168"/>
        <v>1</v>
      </c>
      <c r="R3671" s="195" t="str">
        <f t="shared" si="169"/>
        <v>2018LIGHT VEHICLES</v>
      </c>
    </row>
    <row r="3672" spans="3:18" x14ac:dyDescent="0.25">
      <c r="C3672" s="294" t="s">
        <v>1006</v>
      </c>
      <c r="D3672" s="317" t="s">
        <v>746</v>
      </c>
      <c r="E3672" s="122" t="s">
        <v>1004</v>
      </c>
      <c r="F3672" s="122" t="s">
        <v>1005</v>
      </c>
      <c r="G3672" s="122" t="s">
        <v>776</v>
      </c>
      <c r="H3672" s="122" t="s">
        <v>777</v>
      </c>
      <c r="I3672" s="312">
        <v>2019</v>
      </c>
      <c r="J3672" s="122" t="s">
        <v>709</v>
      </c>
      <c r="K3672" s="283">
        <v>5</v>
      </c>
      <c r="L3672" s="318">
        <v>-33.455235000000002</v>
      </c>
      <c r="M3672" s="318">
        <v>151.20538300000001</v>
      </c>
      <c r="O3672">
        <f>INDEX('MEC - traffic congestion'!$M$145:$M$249,MATCH($D3672,'MEC - traffic congestion'!$C$145:$C$249,0))</f>
        <v>1</v>
      </c>
      <c r="P3672" t="str">
        <f t="shared" si="167"/>
        <v>2019AM PEAK</v>
      </c>
      <c r="Q3672">
        <f t="shared" si="168"/>
        <v>1</v>
      </c>
      <c r="R3672" s="195" t="str">
        <f t="shared" si="169"/>
        <v>2019LIGHT VEHICLES</v>
      </c>
    </row>
    <row r="3673" spans="3:18" x14ac:dyDescent="0.25">
      <c r="C3673" s="294" t="s">
        <v>1006</v>
      </c>
      <c r="D3673" s="317" t="s">
        <v>746</v>
      </c>
      <c r="E3673" s="122" t="s">
        <v>1004</v>
      </c>
      <c r="F3673" s="122" t="s">
        <v>1005</v>
      </c>
      <c r="G3673" s="122" t="s">
        <v>776</v>
      </c>
      <c r="H3673" s="122" t="s">
        <v>777</v>
      </c>
      <c r="I3673" s="312">
        <v>2019</v>
      </c>
      <c r="J3673" s="122" t="s">
        <v>710</v>
      </c>
      <c r="K3673" s="283">
        <v>15</v>
      </c>
      <c r="L3673" s="318">
        <v>-33.455235000000002</v>
      </c>
      <c r="M3673" s="318">
        <v>151.20538300000001</v>
      </c>
      <c r="O3673">
        <f>INDEX('MEC - traffic congestion'!$M$145:$M$249,MATCH($D3673,'MEC - traffic congestion'!$C$145:$C$249,0))</f>
        <v>1</v>
      </c>
      <c r="P3673" t="str">
        <f t="shared" si="167"/>
        <v>2019OFF PEAK</v>
      </c>
      <c r="Q3673">
        <f t="shared" si="168"/>
        <v>1</v>
      </c>
      <c r="R3673" s="195" t="str">
        <f t="shared" si="169"/>
        <v>2019LIGHT VEHICLES</v>
      </c>
    </row>
    <row r="3674" spans="3:18" x14ac:dyDescent="0.25">
      <c r="C3674" s="294" t="s">
        <v>1006</v>
      </c>
      <c r="D3674" s="317" t="s">
        <v>746</v>
      </c>
      <c r="E3674" s="122" t="s">
        <v>1004</v>
      </c>
      <c r="F3674" s="122" t="s">
        <v>1005</v>
      </c>
      <c r="G3674" s="122" t="s">
        <v>776</v>
      </c>
      <c r="H3674" s="122" t="s">
        <v>777</v>
      </c>
      <c r="I3674" s="312">
        <v>2019</v>
      </c>
      <c r="J3674" s="122" t="s">
        <v>711</v>
      </c>
      <c r="K3674" s="283">
        <v>3</v>
      </c>
      <c r="L3674" s="318">
        <v>-33.455235000000002</v>
      </c>
      <c r="M3674" s="318">
        <v>151.20538300000001</v>
      </c>
      <c r="O3674">
        <f>INDEX('MEC - traffic congestion'!$M$145:$M$249,MATCH($D3674,'MEC - traffic congestion'!$C$145:$C$249,0))</f>
        <v>1</v>
      </c>
      <c r="P3674" t="str">
        <f t="shared" si="167"/>
        <v>2019PM PEAK</v>
      </c>
      <c r="Q3674">
        <f t="shared" si="168"/>
        <v>1</v>
      </c>
      <c r="R3674" s="195" t="str">
        <f t="shared" si="169"/>
        <v>2019LIGHT VEHICLES</v>
      </c>
    </row>
    <row r="3675" spans="3:18" x14ac:dyDescent="0.25">
      <c r="C3675" s="294" t="s">
        <v>1006</v>
      </c>
      <c r="D3675" s="317" t="s">
        <v>746</v>
      </c>
      <c r="E3675" s="122" t="s">
        <v>1004</v>
      </c>
      <c r="F3675" s="122" t="s">
        <v>1005</v>
      </c>
      <c r="G3675" s="122" t="s">
        <v>776</v>
      </c>
      <c r="H3675" s="122" t="s">
        <v>777</v>
      </c>
      <c r="I3675" s="312">
        <v>2019</v>
      </c>
      <c r="J3675" s="122" t="s">
        <v>712</v>
      </c>
      <c r="K3675" s="283">
        <v>13</v>
      </c>
      <c r="L3675" s="318">
        <v>-33.455235000000002</v>
      </c>
      <c r="M3675" s="318">
        <v>151.20538300000001</v>
      </c>
      <c r="O3675">
        <f>INDEX('MEC - traffic congestion'!$M$145:$M$249,MATCH($D3675,'MEC - traffic congestion'!$C$145:$C$249,0))</f>
        <v>1</v>
      </c>
      <c r="P3675" t="str">
        <f t="shared" si="167"/>
        <v>2019PUBLIC HOLIDAYS</v>
      </c>
      <c r="Q3675">
        <f t="shared" si="168"/>
        <v>1</v>
      </c>
      <c r="R3675" s="195" t="str">
        <f t="shared" si="169"/>
        <v>2019LIGHT VEHICLES</v>
      </c>
    </row>
    <row r="3676" spans="3:18" x14ac:dyDescent="0.25">
      <c r="C3676" s="294" t="s">
        <v>1006</v>
      </c>
      <c r="D3676" s="317" t="s">
        <v>746</v>
      </c>
      <c r="E3676" s="122" t="s">
        <v>1004</v>
      </c>
      <c r="F3676" s="122" t="s">
        <v>1005</v>
      </c>
      <c r="G3676" s="122" t="s">
        <v>776</v>
      </c>
      <c r="H3676" s="122" t="s">
        <v>777</v>
      </c>
      <c r="I3676" s="312">
        <v>2019</v>
      </c>
      <c r="J3676" s="122" t="s">
        <v>713</v>
      </c>
      <c r="K3676" s="283">
        <v>14</v>
      </c>
      <c r="L3676" s="318">
        <v>-33.455235000000002</v>
      </c>
      <c r="M3676" s="318">
        <v>151.20538300000001</v>
      </c>
      <c r="O3676">
        <f>INDEX('MEC - traffic congestion'!$M$145:$M$249,MATCH($D3676,'MEC - traffic congestion'!$C$145:$C$249,0))</f>
        <v>1</v>
      </c>
      <c r="P3676" t="str">
        <f t="shared" si="167"/>
        <v>2019WEEKENDS</v>
      </c>
      <c r="Q3676">
        <f t="shared" si="168"/>
        <v>1</v>
      </c>
      <c r="R3676" s="195" t="str">
        <f t="shared" si="169"/>
        <v>2019LIGHT VEHICLES</v>
      </c>
    </row>
    <row r="3677" spans="3:18" x14ac:dyDescent="0.25">
      <c r="C3677" s="294" t="s">
        <v>1006</v>
      </c>
      <c r="D3677" s="317" t="s">
        <v>746</v>
      </c>
      <c r="E3677" s="122" t="s">
        <v>1004</v>
      </c>
      <c r="F3677" s="122" t="s">
        <v>1005</v>
      </c>
      <c r="G3677" s="122" t="s">
        <v>776</v>
      </c>
      <c r="H3677" s="122" t="s">
        <v>777</v>
      </c>
      <c r="I3677" s="312">
        <v>2020</v>
      </c>
      <c r="J3677" s="122" t="s">
        <v>709</v>
      </c>
      <c r="K3677" s="283">
        <v>5</v>
      </c>
      <c r="L3677" s="318">
        <v>-33.455235000000002</v>
      </c>
      <c r="M3677" s="318">
        <v>151.20538300000001</v>
      </c>
      <c r="O3677">
        <f>INDEX('MEC - traffic congestion'!$M$145:$M$249,MATCH($D3677,'MEC - traffic congestion'!$C$145:$C$249,0))</f>
        <v>1</v>
      </c>
      <c r="P3677" t="str">
        <f t="shared" si="167"/>
        <v>2020AM PEAK</v>
      </c>
      <c r="Q3677">
        <f t="shared" si="168"/>
        <v>1</v>
      </c>
      <c r="R3677" s="195" t="str">
        <f t="shared" si="169"/>
        <v>2020LIGHT VEHICLES</v>
      </c>
    </row>
    <row r="3678" spans="3:18" x14ac:dyDescent="0.25">
      <c r="C3678" s="294" t="s">
        <v>1006</v>
      </c>
      <c r="D3678" s="317" t="s">
        <v>746</v>
      </c>
      <c r="E3678" s="122" t="s">
        <v>1004</v>
      </c>
      <c r="F3678" s="122" t="s">
        <v>1005</v>
      </c>
      <c r="G3678" s="122" t="s">
        <v>776</v>
      </c>
      <c r="H3678" s="122" t="s">
        <v>777</v>
      </c>
      <c r="I3678" s="312">
        <v>2020</v>
      </c>
      <c r="J3678" s="122" t="s">
        <v>710</v>
      </c>
      <c r="K3678" s="283">
        <v>17</v>
      </c>
      <c r="L3678" s="318">
        <v>-33.455235000000002</v>
      </c>
      <c r="M3678" s="318">
        <v>151.20538300000001</v>
      </c>
      <c r="O3678">
        <f>INDEX('MEC - traffic congestion'!$M$145:$M$249,MATCH($D3678,'MEC - traffic congestion'!$C$145:$C$249,0))</f>
        <v>1</v>
      </c>
      <c r="P3678" t="str">
        <f t="shared" si="167"/>
        <v>2020OFF PEAK</v>
      </c>
      <c r="Q3678">
        <f t="shared" si="168"/>
        <v>1</v>
      </c>
      <c r="R3678" s="195" t="str">
        <f t="shared" si="169"/>
        <v>2020LIGHT VEHICLES</v>
      </c>
    </row>
    <row r="3679" spans="3:18" x14ac:dyDescent="0.25">
      <c r="C3679" s="294" t="s">
        <v>1006</v>
      </c>
      <c r="D3679" s="317" t="s">
        <v>746</v>
      </c>
      <c r="E3679" s="122" t="s">
        <v>1004</v>
      </c>
      <c r="F3679" s="122" t="s">
        <v>1005</v>
      </c>
      <c r="G3679" s="122" t="s">
        <v>776</v>
      </c>
      <c r="H3679" s="122" t="s">
        <v>777</v>
      </c>
      <c r="I3679" s="312">
        <v>2020</v>
      </c>
      <c r="J3679" s="122" t="s">
        <v>711</v>
      </c>
      <c r="K3679" s="283">
        <v>4</v>
      </c>
      <c r="L3679" s="318">
        <v>-33.455235000000002</v>
      </c>
      <c r="M3679" s="318">
        <v>151.20538300000001</v>
      </c>
      <c r="O3679">
        <f>INDEX('MEC - traffic congestion'!$M$145:$M$249,MATCH($D3679,'MEC - traffic congestion'!$C$145:$C$249,0))</f>
        <v>1</v>
      </c>
      <c r="P3679" t="str">
        <f t="shared" si="167"/>
        <v>2020PM PEAK</v>
      </c>
      <c r="Q3679">
        <f t="shared" si="168"/>
        <v>1</v>
      </c>
      <c r="R3679" s="195" t="str">
        <f t="shared" si="169"/>
        <v>2020LIGHT VEHICLES</v>
      </c>
    </row>
    <row r="3680" spans="3:18" x14ac:dyDescent="0.25">
      <c r="C3680" s="294" t="s">
        <v>1006</v>
      </c>
      <c r="D3680" s="317" t="s">
        <v>746</v>
      </c>
      <c r="E3680" s="122" t="s">
        <v>1004</v>
      </c>
      <c r="F3680" s="122" t="s">
        <v>1005</v>
      </c>
      <c r="G3680" s="122" t="s">
        <v>776</v>
      </c>
      <c r="H3680" s="122" t="s">
        <v>777</v>
      </c>
      <c r="I3680" s="312">
        <v>2020</v>
      </c>
      <c r="J3680" s="122" t="s">
        <v>712</v>
      </c>
      <c r="K3680" s="283">
        <v>8</v>
      </c>
      <c r="L3680" s="318">
        <v>-33.455235000000002</v>
      </c>
      <c r="M3680" s="318">
        <v>151.20538300000001</v>
      </c>
      <c r="O3680">
        <f>INDEX('MEC - traffic congestion'!$M$145:$M$249,MATCH($D3680,'MEC - traffic congestion'!$C$145:$C$249,0))</f>
        <v>1</v>
      </c>
      <c r="P3680" t="str">
        <f t="shared" si="167"/>
        <v>2020PUBLIC HOLIDAYS</v>
      </c>
      <c r="Q3680">
        <f t="shared" si="168"/>
        <v>1</v>
      </c>
      <c r="R3680" s="195" t="str">
        <f t="shared" si="169"/>
        <v>2020LIGHT VEHICLES</v>
      </c>
    </row>
    <row r="3681" spans="3:18" x14ac:dyDescent="0.25">
      <c r="C3681" s="294" t="s">
        <v>1006</v>
      </c>
      <c r="D3681" s="317" t="s">
        <v>746</v>
      </c>
      <c r="E3681" s="122" t="s">
        <v>1004</v>
      </c>
      <c r="F3681" s="122" t="s">
        <v>1005</v>
      </c>
      <c r="G3681" s="122" t="s">
        <v>776</v>
      </c>
      <c r="H3681" s="122" t="s">
        <v>777</v>
      </c>
      <c r="I3681" s="312">
        <v>2020</v>
      </c>
      <c r="J3681" s="122" t="s">
        <v>713</v>
      </c>
      <c r="K3681" s="283">
        <v>16</v>
      </c>
      <c r="L3681" s="318">
        <v>-33.455235000000002</v>
      </c>
      <c r="M3681" s="318">
        <v>151.20538300000001</v>
      </c>
      <c r="O3681">
        <f>INDEX('MEC - traffic congestion'!$M$145:$M$249,MATCH($D3681,'MEC - traffic congestion'!$C$145:$C$249,0))</f>
        <v>1</v>
      </c>
      <c r="P3681" t="str">
        <f t="shared" si="167"/>
        <v>2020WEEKENDS</v>
      </c>
      <c r="Q3681">
        <f t="shared" si="168"/>
        <v>1</v>
      </c>
      <c r="R3681" s="195" t="str">
        <f t="shared" si="169"/>
        <v>2020LIGHT VEHICLES</v>
      </c>
    </row>
    <row r="3682" spans="3:18" x14ac:dyDescent="0.25">
      <c r="C3682" s="294" t="s">
        <v>1006</v>
      </c>
      <c r="D3682" s="317" t="s">
        <v>746</v>
      </c>
      <c r="E3682" s="122" t="s">
        <v>1004</v>
      </c>
      <c r="F3682" s="122" t="s">
        <v>1005</v>
      </c>
      <c r="G3682" s="122" t="s">
        <v>776</v>
      </c>
      <c r="H3682" s="122" t="s">
        <v>777</v>
      </c>
      <c r="I3682" s="312">
        <v>2021</v>
      </c>
      <c r="J3682" s="122" t="s">
        <v>709</v>
      </c>
      <c r="K3682" s="283">
        <v>4</v>
      </c>
      <c r="L3682" s="318">
        <v>-33.455235000000002</v>
      </c>
      <c r="M3682" s="318">
        <v>151.20538300000001</v>
      </c>
      <c r="O3682">
        <f>INDEX('MEC - traffic congestion'!$M$145:$M$249,MATCH($D3682,'MEC - traffic congestion'!$C$145:$C$249,0))</f>
        <v>1</v>
      </c>
      <c r="P3682" t="str">
        <f t="shared" si="167"/>
        <v>2021AM PEAK</v>
      </c>
      <c r="Q3682">
        <f t="shared" si="168"/>
        <v>1</v>
      </c>
      <c r="R3682" s="195" t="str">
        <f t="shared" si="169"/>
        <v>2021LIGHT VEHICLES</v>
      </c>
    </row>
    <row r="3683" spans="3:18" x14ac:dyDescent="0.25">
      <c r="C3683" s="294" t="s">
        <v>1006</v>
      </c>
      <c r="D3683" s="317" t="s">
        <v>746</v>
      </c>
      <c r="E3683" s="122" t="s">
        <v>1004</v>
      </c>
      <c r="F3683" s="122" t="s">
        <v>1005</v>
      </c>
      <c r="G3683" s="122" t="s">
        <v>776</v>
      </c>
      <c r="H3683" s="122" t="s">
        <v>777</v>
      </c>
      <c r="I3683" s="312">
        <v>2021</v>
      </c>
      <c r="J3683" s="122" t="s">
        <v>710</v>
      </c>
      <c r="K3683" s="283">
        <v>11</v>
      </c>
      <c r="L3683" s="318">
        <v>-33.455235000000002</v>
      </c>
      <c r="M3683" s="318">
        <v>151.20538300000001</v>
      </c>
      <c r="O3683">
        <f>INDEX('MEC - traffic congestion'!$M$145:$M$249,MATCH($D3683,'MEC - traffic congestion'!$C$145:$C$249,0))</f>
        <v>1</v>
      </c>
      <c r="P3683" t="str">
        <f t="shared" si="167"/>
        <v>2021OFF PEAK</v>
      </c>
      <c r="Q3683">
        <f t="shared" si="168"/>
        <v>1</v>
      </c>
      <c r="R3683" s="195" t="str">
        <f t="shared" si="169"/>
        <v>2021LIGHT VEHICLES</v>
      </c>
    </row>
    <row r="3684" spans="3:18" x14ac:dyDescent="0.25">
      <c r="C3684" s="294" t="s">
        <v>1006</v>
      </c>
      <c r="D3684" s="317" t="s">
        <v>746</v>
      </c>
      <c r="E3684" s="122" t="s">
        <v>1004</v>
      </c>
      <c r="F3684" s="122" t="s">
        <v>1005</v>
      </c>
      <c r="G3684" s="122" t="s">
        <v>776</v>
      </c>
      <c r="H3684" s="122" t="s">
        <v>777</v>
      </c>
      <c r="I3684" s="312">
        <v>2021</v>
      </c>
      <c r="J3684" s="122" t="s">
        <v>711</v>
      </c>
      <c r="K3684" s="283">
        <v>5</v>
      </c>
      <c r="L3684" s="318">
        <v>-33.455235000000002</v>
      </c>
      <c r="M3684" s="318">
        <v>151.20538300000001</v>
      </c>
      <c r="O3684">
        <f>INDEX('MEC - traffic congestion'!$M$145:$M$249,MATCH($D3684,'MEC - traffic congestion'!$C$145:$C$249,0))</f>
        <v>1</v>
      </c>
      <c r="P3684" t="str">
        <f t="shared" si="167"/>
        <v>2021PM PEAK</v>
      </c>
      <c r="Q3684">
        <f t="shared" si="168"/>
        <v>1</v>
      </c>
      <c r="R3684" s="195" t="str">
        <f t="shared" si="169"/>
        <v>2021LIGHT VEHICLES</v>
      </c>
    </row>
    <row r="3685" spans="3:18" x14ac:dyDescent="0.25">
      <c r="C3685" s="294" t="s">
        <v>1006</v>
      </c>
      <c r="D3685" s="317" t="s">
        <v>746</v>
      </c>
      <c r="E3685" s="122" t="s">
        <v>1004</v>
      </c>
      <c r="F3685" s="122" t="s">
        <v>1005</v>
      </c>
      <c r="G3685" s="122" t="s">
        <v>776</v>
      </c>
      <c r="H3685" s="122" t="s">
        <v>777</v>
      </c>
      <c r="I3685" s="312">
        <v>2021</v>
      </c>
      <c r="J3685" s="122" t="s">
        <v>713</v>
      </c>
      <c r="K3685" s="283">
        <v>13</v>
      </c>
      <c r="L3685" s="318">
        <v>-33.455235000000002</v>
      </c>
      <c r="M3685" s="318">
        <v>151.20538300000001</v>
      </c>
      <c r="O3685">
        <f>INDEX('MEC - traffic congestion'!$M$145:$M$249,MATCH($D3685,'MEC - traffic congestion'!$C$145:$C$249,0))</f>
        <v>1</v>
      </c>
      <c r="P3685" t="str">
        <f t="shared" si="167"/>
        <v>2021WEEKENDS</v>
      </c>
      <c r="Q3685">
        <f t="shared" si="168"/>
        <v>1</v>
      </c>
      <c r="R3685" s="195" t="str">
        <f t="shared" si="169"/>
        <v>2021LIGHT VEHICLES</v>
      </c>
    </row>
    <row r="3686" spans="3:18" x14ac:dyDescent="0.25">
      <c r="C3686" s="294" t="s">
        <v>1006</v>
      </c>
      <c r="D3686" s="317" t="s">
        <v>746</v>
      </c>
      <c r="E3686" s="122" t="s">
        <v>1004</v>
      </c>
      <c r="F3686" s="122" t="s">
        <v>1005</v>
      </c>
      <c r="G3686" s="122" t="s">
        <v>776</v>
      </c>
      <c r="H3686" s="122" t="s">
        <v>777</v>
      </c>
      <c r="I3686" s="312">
        <v>2022</v>
      </c>
      <c r="J3686" s="122" t="s">
        <v>709</v>
      </c>
      <c r="K3686" s="283">
        <v>4</v>
      </c>
      <c r="L3686" s="318">
        <v>-33.455235000000002</v>
      </c>
      <c r="M3686" s="318">
        <v>151.20538300000001</v>
      </c>
      <c r="O3686">
        <f>INDEX('MEC - traffic congestion'!$M$145:$M$249,MATCH($D3686,'MEC - traffic congestion'!$C$145:$C$249,0))</f>
        <v>1</v>
      </c>
      <c r="P3686" t="str">
        <f t="shared" si="167"/>
        <v>2022AM PEAK</v>
      </c>
      <c r="Q3686">
        <f t="shared" si="168"/>
        <v>1</v>
      </c>
      <c r="R3686" s="195" t="str">
        <f t="shared" si="169"/>
        <v>2022LIGHT VEHICLES</v>
      </c>
    </row>
    <row r="3687" spans="3:18" x14ac:dyDescent="0.25">
      <c r="C3687" s="294" t="s">
        <v>1006</v>
      </c>
      <c r="D3687" s="317" t="s">
        <v>746</v>
      </c>
      <c r="E3687" s="122" t="s">
        <v>1004</v>
      </c>
      <c r="F3687" s="122" t="s">
        <v>1005</v>
      </c>
      <c r="G3687" s="122" t="s">
        <v>776</v>
      </c>
      <c r="H3687" s="122" t="s">
        <v>777</v>
      </c>
      <c r="I3687" s="312">
        <v>2022</v>
      </c>
      <c r="J3687" s="122" t="s">
        <v>710</v>
      </c>
      <c r="K3687" s="283">
        <v>21</v>
      </c>
      <c r="L3687" s="318">
        <v>-33.455235000000002</v>
      </c>
      <c r="M3687" s="318">
        <v>151.20538300000001</v>
      </c>
      <c r="O3687">
        <f>INDEX('MEC - traffic congestion'!$M$145:$M$249,MATCH($D3687,'MEC - traffic congestion'!$C$145:$C$249,0))</f>
        <v>1</v>
      </c>
      <c r="P3687" t="str">
        <f t="shared" si="167"/>
        <v>2022OFF PEAK</v>
      </c>
      <c r="Q3687">
        <f t="shared" si="168"/>
        <v>1</v>
      </c>
      <c r="R3687" s="195" t="str">
        <f t="shared" si="169"/>
        <v>2022LIGHT VEHICLES</v>
      </c>
    </row>
    <row r="3688" spans="3:18" x14ac:dyDescent="0.25">
      <c r="C3688" s="294" t="s">
        <v>1006</v>
      </c>
      <c r="D3688" s="317" t="s">
        <v>746</v>
      </c>
      <c r="E3688" s="122" t="s">
        <v>1004</v>
      </c>
      <c r="F3688" s="122" t="s">
        <v>1005</v>
      </c>
      <c r="G3688" s="122" t="s">
        <v>776</v>
      </c>
      <c r="H3688" s="122" t="s">
        <v>777</v>
      </c>
      <c r="I3688" s="312">
        <v>2022</v>
      </c>
      <c r="J3688" s="122" t="s">
        <v>711</v>
      </c>
      <c r="K3688" s="283">
        <v>7</v>
      </c>
      <c r="L3688" s="318">
        <v>-33.455235000000002</v>
      </c>
      <c r="M3688" s="318">
        <v>151.20538300000001</v>
      </c>
      <c r="O3688">
        <f>INDEX('MEC - traffic congestion'!$M$145:$M$249,MATCH($D3688,'MEC - traffic congestion'!$C$145:$C$249,0))</f>
        <v>1</v>
      </c>
      <c r="P3688" t="str">
        <f t="shared" si="167"/>
        <v>2022PM PEAK</v>
      </c>
      <c r="Q3688">
        <f t="shared" si="168"/>
        <v>1</v>
      </c>
      <c r="R3688" s="195" t="str">
        <f t="shared" si="169"/>
        <v>2022LIGHT VEHICLES</v>
      </c>
    </row>
    <row r="3689" spans="3:18" x14ac:dyDescent="0.25">
      <c r="C3689" s="294" t="s">
        <v>1006</v>
      </c>
      <c r="D3689" s="317" t="s">
        <v>746</v>
      </c>
      <c r="E3689" s="122" t="s">
        <v>1004</v>
      </c>
      <c r="F3689" s="122" t="s">
        <v>1005</v>
      </c>
      <c r="G3689" s="122" t="s">
        <v>776</v>
      </c>
      <c r="H3689" s="122" t="s">
        <v>777</v>
      </c>
      <c r="I3689" s="312">
        <v>2022</v>
      </c>
      <c r="J3689" s="122" t="s">
        <v>713</v>
      </c>
      <c r="K3689" s="283">
        <v>30</v>
      </c>
      <c r="L3689" s="318">
        <v>-33.455235000000002</v>
      </c>
      <c r="M3689" s="318">
        <v>151.20538300000001</v>
      </c>
      <c r="O3689">
        <f>INDEX('MEC - traffic congestion'!$M$145:$M$249,MATCH($D3689,'MEC - traffic congestion'!$C$145:$C$249,0))</f>
        <v>1</v>
      </c>
      <c r="P3689" t="str">
        <f t="shared" si="167"/>
        <v>2022WEEKENDS</v>
      </c>
      <c r="Q3689">
        <f t="shared" si="168"/>
        <v>1</v>
      </c>
      <c r="R3689" s="195" t="str">
        <f t="shared" si="169"/>
        <v>2022LIGHT VEHICLES</v>
      </c>
    </row>
    <row r="3690" spans="3:18" x14ac:dyDescent="0.25">
      <c r="C3690" s="294" t="s">
        <v>1006</v>
      </c>
      <c r="D3690" s="317" t="s">
        <v>746</v>
      </c>
      <c r="E3690" s="122" t="s">
        <v>1004</v>
      </c>
      <c r="F3690" s="122" t="s">
        <v>1005</v>
      </c>
      <c r="G3690" s="122" t="s">
        <v>776</v>
      </c>
      <c r="H3690" s="122" t="s">
        <v>777</v>
      </c>
      <c r="I3690" s="312">
        <v>2023</v>
      </c>
      <c r="J3690" s="122" t="s">
        <v>709</v>
      </c>
      <c r="K3690" s="283">
        <v>4</v>
      </c>
      <c r="L3690" s="318">
        <v>-33.455235000000002</v>
      </c>
      <c r="M3690" s="318">
        <v>151.20538300000001</v>
      </c>
      <c r="O3690">
        <f>INDEX('MEC - traffic congestion'!$M$145:$M$249,MATCH($D3690,'MEC - traffic congestion'!$C$145:$C$249,0))</f>
        <v>1</v>
      </c>
      <c r="P3690" t="str">
        <f t="shared" si="167"/>
        <v>2023AM PEAK</v>
      </c>
      <c r="Q3690">
        <f t="shared" si="168"/>
        <v>1</v>
      </c>
      <c r="R3690" s="195" t="str">
        <f t="shared" si="169"/>
        <v>2023LIGHT VEHICLES</v>
      </c>
    </row>
    <row r="3691" spans="3:18" x14ac:dyDescent="0.25">
      <c r="C3691" s="294" t="s">
        <v>1006</v>
      </c>
      <c r="D3691" s="317" t="s">
        <v>746</v>
      </c>
      <c r="E3691" s="122" t="s">
        <v>1004</v>
      </c>
      <c r="F3691" s="122" t="s">
        <v>1005</v>
      </c>
      <c r="G3691" s="122" t="s">
        <v>776</v>
      </c>
      <c r="H3691" s="122" t="s">
        <v>777</v>
      </c>
      <c r="I3691" s="312">
        <v>2023</v>
      </c>
      <c r="J3691" s="122" t="s">
        <v>710</v>
      </c>
      <c r="K3691" s="283">
        <v>14</v>
      </c>
      <c r="L3691" s="318">
        <v>-33.455235000000002</v>
      </c>
      <c r="M3691" s="318">
        <v>151.20538300000001</v>
      </c>
      <c r="O3691">
        <f>INDEX('MEC - traffic congestion'!$M$145:$M$249,MATCH($D3691,'MEC - traffic congestion'!$C$145:$C$249,0))</f>
        <v>1</v>
      </c>
      <c r="P3691" t="str">
        <f t="shared" si="167"/>
        <v>2023OFF PEAK</v>
      </c>
      <c r="Q3691">
        <f t="shared" si="168"/>
        <v>1</v>
      </c>
      <c r="R3691" s="195" t="str">
        <f t="shared" si="169"/>
        <v>2023LIGHT VEHICLES</v>
      </c>
    </row>
    <row r="3692" spans="3:18" x14ac:dyDescent="0.25">
      <c r="C3692" s="294" t="s">
        <v>1006</v>
      </c>
      <c r="D3692" s="317" t="s">
        <v>746</v>
      </c>
      <c r="E3692" s="122" t="s">
        <v>1004</v>
      </c>
      <c r="F3692" s="122" t="s">
        <v>1005</v>
      </c>
      <c r="G3692" s="122" t="s">
        <v>776</v>
      </c>
      <c r="H3692" s="122" t="s">
        <v>777</v>
      </c>
      <c r="I3692" s="312">
        <v>2023</v>
      </c>
      <c r="J3692" s="122" t="s">
        <v>711</v>
      </c>
      <c r="K3692" s="283">
        <v>4</v>
      </c>
      <c r="L3692" s="318">
        <v>-33.455235000000002</v>
      </c>
      <c r="M3692" s="318">
        <v>151.20538300000001</v>
      </c>
      <c r="O3692">
        <f>INDEX('MEC - traffic congestion'!$M$145:$M$249,MATCH($D3692,'MEC - traffic congestion'!$C$145:$C$249,0))</f>
        <v>1</v>
      </c>
      <c r="P3692" t="str">
        <f t="shared" si="167"/>
        <v>2023PM PEAK</v>
      </c>
      <c r="Q3692">
        <f t="shared" si="168"/>
        <v>1</v>
      </c>
      <c r="R3692" s="195" t="str">
        <f t="shared" si="169"/>
        <v>2023LIGHT VEHICLES</v>
      </c>
    </row>
    <row r="3693" spans="3:18" x14ac:dyDescent="0.25">
      <c r="C3693" s="294" t="s">
        <v>1006</v>
      </c>
      <c r="D3693" s="317" t="s">
        <v>746</v>
      </c>
      <c r="E3693" s="122" t="s">
        <v>1004</v>
      </c>
      <c r="F3693" s="122" t="s">
        <v>1005</v>
      </c>
      <c r="G3693" s="122" t="s">
        <v>776</v>
      </c>
      <c r="H3693" s="122" t="s">
        <v>777</v>
      </c>
      <c r="I3693" s="312">
        <v>2023</v>
      </c>
      <c r="J3693" s="122" t="s">
        <v>713</v>
      </c>
      <c r="K3693" s="283">
        <v>15</v>
      </c>
      <c r="L3693" s="318">
        <v>-33.455235000000002</v>
      </c>
      <c r="M3693" s="318">
        <v>151.20538300000001</v>
      </c>
      <c r="O3693">
        <f>INDEX('MEC - traffic congestion'!$M$145:$M$249,MATCH($D3693,'MEC - traffic congestion'!$C$145:$C$249,0))</f>
        <v>1</v>
      </c>
      <c r="P3693" t="str">
        <f t="shared" si="167"/>
        <v>2023WEEKENDS</v>
      </c>
      <c r="Q3693">
        <f t="shared" si="168"/>
        <v>1</v>
      </c>
      <c r="R3693" s="195" t="str">
        <f t="shared" si="169"/>
        <v>2023LIGHT VEHICLES</v>
      </c>
    </row>
    <row r="3694" spans="3:18" x14ac:dyDescent="0.25">
      <c r="C3694" s="294" t="s">
        <v>1006</v>
      </c>
      <c r="D3694" s="317" t="s">
        <v>746</v>
      </c>
      <c r="E3694" s="122" t="s">
        <v>1004</v>
      </c>
      <c r="F3694" s="122" t="s">
        <v>1005</v>
      </c>
      <c r="G3694" s="122" t="s">
        <v>776</v>
      </c>
      <c r="H3694" s="122" t="s">
        <v>777</v>
      </c>
      <c r="I3694" s="312">
        <v>2024</v>
      </c>
      <c r="J3694" s="122" t="s">
        <v>709</v>
      </c>
      <c r="K3694" s="283">
        <v>5</v>
      </c>
      <c r="L3694" s="318">
        <v>-33.455235000000002</v>
      </c>
      <c r="M3694" s="318">
        <v>151.20538300000001</v>
      </c>
      <c r="O3694">
        <f>INDEX('MEC - traffic congestion'!$M$145:$M$249,MATCH($D3694,'MEC - traffic congestion'!$C$145:$C$249,0))</f>
        <v>1</v>
      </c>
      <c r="P3694" t="str">
        <f t="shared" si="167"/>
        <v>2024AM PEAK</v>
      </c>
      <c r="Q3694">
        <f t="shared" si="168"/>
        <v>1</v>
      </c>
      <c r="R3694" s="195" t="str">
        <f t="shared" si="169"/>
        <v>2024LIGHT VEHICLES</v>
      </c>
    </row>
    <row r="3695" spans="3:18" x14ac:dyDescent="0.25">
      <c r="C3695" s="294" t="s">
        <v>1006</v>
      </c>
      <c r="D3695" s="317" t="s">
        <v>746</v>
      </c>
      <c r="E3695" s="122" t="s">
        <v>1004</v>
      </c>
      <c r="F3695" s="122" t="s">
        <v>1005</v>
      </c>
      <c r="G3695" s="122" t="s">
        <v>776</v>
      </c>
      <c r="H3695" s="122" t="s">
        <v>777</v>
      </c>
      <c r="I3695" s="312">
        <v>2024</v>
      </c>
      <c r="J3695" s="122" t="s">
        <v>710</v>
      </c>
      <c r="K3695" s="283">
        <v>21</v>
      </c>
      <c r="L3695" s="318">
        <v>-33.455235000000002</v>
      </c>
      <c r="M3695" s="318">
        <v>151.20538300000001</v>
      </c>
      <c r="O3695">
        <f>INDEX('MEC - traffic congestion'!$M$145:$M$249,MATCH($D3695,'MEC - traffic congestion'!$C$145:$C$249,0))</f>
        <v>1</v>
      </c>
      <c r="P3695" t="str">
        <f t="shared" si="167"/>
        <v>2024OFF PEAK</v>
      </c>
      <c r="Q3695">
        <f t="shared" si="168"/>
        <v>1</v>
      </c>
      <c r="R3695" s="195" t="str">
        <f t="shared" si="169"/>
        <v>2024LIGHT VEHICLES</v>
      </c>
    </row>
    <row r="3696" spans="3:18" x14ac:dyDescent="0.25">
      <c r="C3696" s="294" t="s">
        <v>1006</v>
      </c>
      <c r="D3696" s="317" t="s">
        <v>746</v>
      </c>
      <c r="E3696" s="122" t="s">
        <v>1004</v>
      </c>
      <c r="F3696" s="122" t="s">
        <v>1005</v>
      </c>
      <c r="G3696" s="122" t="s">
        <v>776</v>
      </c>
      <c r="H3696" s="122" t="s">
        <v>777</v>
      </c>
      <c r="I3696" s="312">
        <v>2024</v>
      </c>
      <c r="J3696" s="122" t="s">
        <v>711</v>
      </c>
      <c r="K3696" s="283">
        <v>7</v>
      </c>
      <c r="L3696" s="318">
        <v>-33.455235000000002</v>
      </c>
      <c r="M3696" s="318">
        <v>151.20538300000001</v>
      </c>
      <c r="O3696">
        <f>INDEX('MEC - traffic congestion'!$M$145:$M$249,MATCH($D3696,'MEC - traffic congestion'!$C$145:$C$249,0))</f>
        <v>1</v>
      </c>
      <c r="P3696" t="str">
        <f t="shared" si="167"/>
        <v>2024PM PEAK</v>
      </c>
      <c r="Q3696">
        <f t="shared" si="168"/>
        <v>1</v>
      </c>
      <c r="R3696" s="195" t="str">
        <f t="shared" si="169"/>
        <v>2024LIGHT VEHICLES</v>
      </c>
    </row>
    <row r="3697" spans="3:18" x14ac:dyDescent="0.25">
      <c r="C3697" s="294" t="s">
        <v>1006</v>
      </c>
      <c r="D3697" s="317" t="s">
        <v>746</v>
      </c>
      <c r="E3697" s="122" t="s">
        <v>1004</v>
      </c>
      <c r="F3697" s="122" t="s">
        <v>1005</v>
      </c>
      <c r="G3697" s="122" t="s">
        <v>776</v>
      </c>
      <c r="H3697" s="122" t="s">
        <v>777</v>
      </c>
      <c r="I3697" s="312">
        <v>2024</v>
      </c>
      <c r="J3697" s="122" t="s">
        <v>713</v>
      </c>
      <c r="K3697" s="283">
        <v>25</v>
      </c>
      <c r="L3697" s="318">
        <v>-33.455235000000002</v>
      </c>
      <c r="M3697" s="318">
        <v>151.20538300000001</v>
      </c>
      <c r="O3697">
        <f>INDEX('MEC - traffic congestion'!$M$145:$M$249,MATCH($D3697,'MEC - traffic congestion'!$C$145:$C$249,0))</f>
        <v>1</v>
      </c>
      <c r="P3697" t="str">
        <f t="shared" si="167"/>
        <v>2024WEEKENDS</v>
      </c>
      <c r="Q3697">
        <f t="shared" si="168"/>
        <v>1</v>
      </c>
      <c r="R3697" s="195" t="str">
        <f t="shared" si="169"/>
        <v>2024LIGHT VEHICLES</v>
      </c>
    </row>
    <row r="3698" spans="3:18" x14ac:dyDescent="0.25">
      <c r="C3698" s="294" t="s">
        <v>1007</v>
      </c>
      <c r="D3698" s="317" t="s">
        <v>747</v>
      </c>
      <c r="E3698" s="122" t="s">
        <v>1004</v>
      </c>
      <c r="F3698" s="122" t="s">
        <v>1005</v>
      </c>
      <c r="G3698" s="122" t="s">
        <v>776</v>
      </c>
      <c r="H3698" s="122" t="s">
        <v>777</v>
      </c>
      <c r="I3698" s="312">
        <v>2018</v>
      </c>
      <c r="J3698" s="122" t="s">
        <v>709</v>
      </c>
      <c r="K3698" s="283">
        <v>3</v>
      </c>
      <c r="L3698" s="318">
        <v>-33.454796000000002</v>
      </c>
      <c r="M3698" s="318">
        <v>151.205872</v>
      </c>
      <c r="O3698">
        <f>INDEX('MEC - traffic congestion'!$M$145:$M$249,MATCH($D3698,'MEC - traffic congestion'!$C$145:$C$249,0))</f>
        <v>1</v>
      </c>
      <c r="P3698" t="str">
        <f t="shared" si="167"/>
        <v>2018AM PEAK</v>
      </c>
      <c r="Q3698">
        <f t="shared" si="168"/>
        <v>1</v>
      </c>
      <c r="R3698" s="195" t="str">
        <f t="shared" si="169"/>
        <v>2018LIGHT VEHICLES</v>
      </c>
    </row>
    <row r="3699" spans="3:18" x14ac:dyDescent="0.25">
      <c r="C3699" s="294" t="s">
        <v>1007</v>
      </c>
      <c r="D3699" s="317" t="s">
        <v>747</v>
      </c>
      <c r="E3699" s="122" t="s">
        <v>1004</v>
      </c>
      <c r="F3699" s="122" t="s">
        <v>1005</v>
      </c>
      <c r="G3699" s="122" t="s">
        <v>776</v>
      </c>
      <c r="H3699" s="122" t="s">
        <v>777</v>
      </c>
      <c r="I3699" s="312">
        <v>2018</v>
      </c>
      <c r="J3699" s="122" t="s">
        <v>710</v>
      </c>
      <c r="K3699" s="283">
        <v>9</v>
      </c>
      <c r="L3699" s="318">
        <v>-33.454796000000002</v>
      </c>
      <c r="M3699" s="318">
        <v>151.205872</v>
      </c>
      <c r="O3699">
        <f>INDEX('MEC - traffic congestion'!$M$145:$M$249,MATCH($D3699,'MEC - traffic congestion'!$C$145:$C$249,0))</f>
        <v>1</v>
      </c>
      <c r="P3699" t="str">
        <f t="shared" si="167"/>
        <v>2018OFF PEAK</v>
      </c>
      <c r="Q3699">
        <f t="shared" si="168"/>
        <v>1</v>
      </c>
      <c r="R3699" s="195" t="str">
        <f t="shared" si="169"/>
        <v>2018LIGHT VEHICLES</v>
      </c>
    </row>
    <row r="3700" spans="3:18" x14ac:dyDescent="0.25">
      <c r="C3700" s="294" t="s">
        <v>1007</v>
      </c>
      <c r="D3700" s="317" t="s">
        <v>747</v>
      </c>
      <c r="E3700" s="122" t="s">
        <v>1004</v>
      </c>
      <c r="F3700" s="122" t="s">
        <v>1005</v>
      </c>
      <c r="G3700" s="122" t="s">
        <v>776</v>
      </c>
      <c r="H3700" s="122" t="s">
        <v>777</v>
      </c>
      <c r="I3700" s="312">
        <v>2018</v>
      </c>
      <c r="J3700" s="122" t="s">
        <v>711</v>
      </c>
      <c r="K3700" s="283">
        <v>4</v>
      </c>
      <c r="L3700" s="318">
        <v>-33.454796000000002</v>
      </c>
      <c r="M3700" s="318">
        <v>151.205872</v>
      </c>
      <c r="O3700">
        <f>INDEX('MEC - traffic congestion'!$M$145:$M$249,MATCH($D3700,'MEC - traffic congestion'!$C$145:$C$249,0))</f>
        <v>1</v>
      </c>
      <c r="P3700" t="str">
        <f t="shared" si="167"/>
        <v>2018PM PEAK</v>
      </c>
      <c r="Q3700">
        <f t="shared" si="168"/>
        <v>1</v>
      </c>
      <c r="R3700" s="195" t="str">
        <f t="shared" si="169"/>
        <v>2018LIGHT VEHICLES</v>
      </c>
    </row>
    <row r="3701" spans="3:18" x14ac:dyDescent="0.25">
      <c r="C3701" s="294" t="s">
        <v>1007</v>
      </c>
      <c r="D3701" s="317" t="s">
        <v>747</v>
      </c>
      <c r="E3701" s="122" t="s">
        <v>1004</v>
      </c>
      <c r="F3701" s="122" t="s">
        <v>1005</v>
      </c>
      <c r="G3701" s="122" t="s">
        <v>776</v>
      </c>
      <c r="H3701" s="122" t="s">
        <v>777</v>
      </c>
      <c r="I3701" s="312">
        <v>2018</v>
      </c>
      <c r="J3701" s="122" t="s">
        <v>712</v>
      </c>
      <c r="K3701" s="283">
        <v>15</v>
      </c>
      <c r="L3701" s="318">
        <v>-33.454796000000002</v>
      </c>
      <c r="M3701" s="318">
        <v>151.205872</v>
      </c>
      <c r="O3701">
        <f>INDEX('MEC - traffic congestion'!$M$145:$M$249,MATCH($D3701,'MEC - traffic congestion'!$C$145:$C$249,0))</f>
        <v>1</v>
      </c>
      <c r="P3701" t="str">
        <f t="shared" si="167"/>
        <v>2018PUBLIC HOLIDAYS</v>
      </c>
      <c r="Q3701">
        <f t="shared" si="168"/>
        <v>1</v>
      </c>
      <c r="R3701" s="195" t="str">
        <f t="shared" si="169"/>
        <v>2018LIGHT VEHICLES</v>
      </c>
    </row>
    <row r="3702" spans="3:18" x14ac:dyDescent="0.25">
      <c r="C3702" s="294" t="s">
        <v>1007</v>
      </c>
      <c r="D3702" s="317" t="s">
        <v>747</v>
      </c>
      <c r="E3702" s="122" t="s">
        <v>1004</v>
      </c>
      <c r="F3702" s="122" t="s">
        <v>1005</v>
      </c>
      <c r="G3702" s="122" t="s">
        <v>776</v>
      </c>
      <c r="H3702" s="122" t="s">
        <v>777</v>
      </c>
      <c r="I3702" s="312">
        <v>2018</v>
      </c>
      <c r="J3702" s="122" t="s">
        <v>713</v>
      </c>
      <c r="K3702" s="283">
        <v>13</v>
      </c>
      <c r="L3702" s="318">
        <v>-33.454796000000002</v>
      </c>
      <c r="M3702" s="318">
        <v>151.205872</v>
      </c>
      <c r="O3702">
        <f>INDEX('MEC - traffic congestion'!$M$145:$M$249,MATCH($D3702,'MEC - traffic congestion'!$C$145:$C$249,0))</f>
        <v>1</v>
      </c>
      <c r="P3702" t="str">
        <f t="shared" si="167"/>
        <v>2018WEEKENDS</v>
      </c>
      <c r="Q3702">
        <f t="shared" si="168"/>
        <v>1</v>
      </c>
      <c r="R3702" s="195" t="str">
        <f t="shared" si="169"/>
        <v>2018LIGHT VEHICLES</v>
      </c>
    </row>
    <row r="3703" spans="3:18" x14ac:dyDescent="0.25">
      <c r="C3703" s="294" t="s">
        <v>1007</v>
      </c>
      <c r="D3703" s="317" t="s">
        <v>747</v>
      </c>
      <c r="E3703" s="122" t="s">
        <v>1004</v>
      </c>
      <c r="F3703" s="122" t="s">
        <v>1005</v>
      </c>
      <c r="G3703" s="122" t="s">
        <v>776</v>
      </c>
      <c r="H3703" s="122" t="s">
        <v>777</v>
      </c>
      <c r="I3703" s="312">
        <v>2019</v>
      </c>
      <c r="J3703" s="122" t="s">
        <v>709</v>
      </c>
      <c r="K3703" s="283">
        <v>3</v>
      </c>
      <c r="L3703" s="318">
        <v>-33.454796000000002</v>
      </c>
      <c r="M3703" s="318">
        <v>151.205872</v>
      </c>
      <c r="O3703">
        <f>INDEX('MEC - traffic congestion'!$M$145:$M$249,MATCH($D3703,'MEC - traffic congestion'!$C$145:$C$249,0))</f>
        <v>1</v>
      </c>
      <c r="P3703" t="str">
        <f t="shared" si="167"/>
        <v>2019AM PEAK</v>
      </c>
      <c r="Q3703">
        <f t="shared" si="168"/>
        <v>1</v>
      </c>
      <c r="R3703" s="195" t="str">
        <f t="shared" si="169"/>
        <v>2019LIGHT VEHICLES</v>
      </c>
    </row>
    <row r="3704" spans="3:18" x14ac:dyDescent="0.25">
      <c r="C3704" s="294" t="s">
        <v>1007</v>
      </c>
      <c r="D3704" s="317" t="s">
        <v>747</v>
      </c>
      <c r="E3704" s="122" t="s">
        <v>1004</v>
      </c>
      <c r="F3704" s="122" t="s">
        <v>1005</v>
      </c>
      <c r="G3704" s="122" t="s">
        <v>776</v>
      </c>
      <c r="H3704" s="122" t="s">
        <v>777</v>
      </c>
      <c r="I3704" s="312">
        <v>2019</v>
      </c>
      <c r="J3704" s="122" t="s">
        <v>710</v>
      </c>
      <c r="K3704" s="283">
        <v>14</v>
      </c>
      <c r="L3704" s="318">
        <v>-33.454796000000002</v>
      </c>
      <c r="M3704" s="318">
        <v>151.205872</v>
      </c>
      <c r="O3704">
        <f>INDEX('MEC - traffic congestion'!$M$145:$M$249,MATCH($D3704,'MEC - traffic congestion'!$C$145:$C$249,0))</f>
        <v>1</v>
      </c>
      <c r="P3704" t="str">
        <f t="shared" si="167"/>
        <v>2019OFF PEAK</v>
      </c>
      <c r="Q3704">
        <f t="shared" si="168"/>
        <v>1</v>
      </c>
      <c r="R3704" s="195" t="str">
        <f t="shared" si="169"/>
        <v>2019LIGHT VEHICLES</v>
      </c>
    </row>
    <row r="3705" spans="3:18" x14ac:dyDescent="0.25">
      <c r="C3705" s="294" t="s">
        <v>1007</v>
      </c>
      <c r="D3705" s="317" t="s">
        <v>747</v>
      </c>
      <c r="E3705" s="122" t="s">
        <v>1004</v>
      </c>
      <c r="F3705" s="122" t="s">
        <v>1005</v>
      </c>
      <c r="G3705" s="122" t="s">
        <v>776</v>
      </c>
      <c r="H3705" s="122" t="s">
        <v>777</v>
      </c>
      <c r="I3705" s="312">
        <v>2019</v>
      </c>
      <c r="J3705" s="122" t="s">
        <v>711</v>
      </c>
      <c r="K3705" s="283">
        <v>3</v>
      </c>
      <c r="L3705" s="318">
        <v>-33.454796000000002</v>
      </c>
      <c r="M3705" s="318">
        <v>151.205872</v>
      </c>
      <c r="O3705">
        <f>INDEX('MEC - traffic congestion'!$M$145:$M$249,MATCH($D3705,'MEC - traffic congestion'!$C$145:$C$249,0))</f>
        <v>1</v>
      </c>
      <c r="P3705" t="str">
        <f t="shared" si="167"/>
        <v>2019PM PEAK</v>
      </c>
      <c r="Q3705">
        <f t="shared" si="168"/>
        <v>1</v>
      </c>
      <c r="R3705" s="195" t="str">
        <f t="shared" si="169"/>
        <v>2019LIGHT VEHICLES</v>
      </c>
    </row>
    <row r="3706" spans="3:18" x14ac:dyDescent="0.25">
      <c r="C3706" s="294" t="s">
        <v>1007</v>
      </c>
      <c r="D3706" s="317" t="s">
        <v>747</v>
      </c>
      <c r="E3706" s="122" t="s">
        <v>1004</v>
      </c>
      <c r="F3706" s="122" t="s">
        <v>1005</v>
      </c>
      <c r="G3706" s="122" t="s">
        <v>776</v>
      </c>
      <c r="H3706" s="122" t="s">
        <v>777</v>
      </c>
      <c r="I3706" s="312">
        <v>2019</v>
      </c>
      <c r="J3706" s="122" t="s">
        <v>712</v>
      </c>
      <c r="K3706" s="283">
        <v>13</v>
      </c>
      <c r="L3706" s="318">
        <v>-33.454796000000002</v>
      </c>
      <c r="M3706" s="318">
        <v>151.205872</v>
      </c>
      <c r="O3706">
        <f>INDEX('MEC - traffic congestion'!$M$145:$M$249,MATCH($D3706,'MEC - traffic congestion'!$C$145:$C$249,0))</f>
        <v>1</v>
      </c>
      <c r="P3706" t="str">
        <f t="shared" si="167"/>
        <v>2019PUBLIC HOLIDAYS</v>
      </c>
      <c r="Q3706">
        <f t="shared" si="168"/>
        <v>1</v>
      </c>
      <c r="R3706" s="195" t="str">
        <f t="shared" si="169"/>
        <v>2019LIGHT VEHICLES</v>
      </c>
    </row>
    <row r="3707" spans="3:18" x14ac:dyDescent="0.25">
      <c r="C3707" s="294" t="s">
        <v>1007</v>
      </c>
      <c r="D3707" s="317" t="s">
        <v>747</v>
      </c>
      <c r="E3707" s="122" t="s">
        <v>1004</v>
      </c>
      <c r="F3707" s="122" t="s">
        <v>1005</v>
      </c>
      <c r="G3707" s="122" t="s">
        <v>776</v>
      </c>
      <c r="H3707" s="122" t="s">
        <v>777</v>
      </c>
      <c r="I3707" s="312">
        <v>2019</v>
      </c>
      <c r="J3707" s="122" t="s">
        <v>713</v>
      </c>
      <c r="K3707" s="283">
        <v>12</v>
      </c>
      <c r="L3707" s="318">
        <v>-33.454796000000002</v>
      </c>
      <c r="M3707" s="318">
        <v>151.205872</v>
      </c>
      <c r="O3707">
        <f>INDEX('MEC - traffic congestion'!$M$145:$M$249,MATCH($D3707,'MEC - traffic congestion'!$C$145:$C$249,0))</f>
        <v>1</v>
      </c>
      <c r="P3707" t="str">
        <f t="shared" si="167"/>
        <v>2019WEEKENDS</v>
      </c>
      <c r="Q3707">
        <f t="shared" si="168"/>
        <v>1</v>
      </c>
      <c r="R3707" s="195" t="str">
        <f t="shared" si="169"/>
        <v>2019LIGHT VEHICLES</v>
      </c>
    </row>
    <row r="3708" spans="3:18" x14ac:dyDescent="0.25">
      <c r="C3708" s="294" t="s">
        <v>1007</v>
      </c>
      <c r="D3708" s="317" t="s">
        <v>747</v>
      </c>
      <c r="E3708" s="122" t="s">
        <v>1004</v>
      </c>
      <c r="F3708" s="122" t="s">
        <v>1005</v>
      </c>
      <c r="G3708" s="122" t="s">
        <v>776</v>
      </c>
      <c r="H3708" s="122" t="s">
        <v>777</v>
      </c>
      <c r="I3708" s="312">
        <v>2020</v>
      </c>
      <c r="J3708" s="122" t="s">
        <v>709</v>
      </c>
      <c r="K3708" s="283">
        <v>6</v>
      </c>
      <c r="L3708" s="318">
        <v>-33.454796000000002</v>
      </c>
      <c r="M3708" s="318">
        <v>151.205872</v>
      </c>
      <c r="O3708">
        <f>INDEX('MEC - traffic congestion'!$M$145:$M$249,MATCH($D3708,'MEC - traffic congestion'!$C$145:$C$249,0))</f>
        <v>1</v>
      </c>
      <c r="P3708" t="str">
        <f t="shared" si="167"/>
        <v>2020AM PEAK</v>
      </c>
      <c r="Q3708">
        <f t="shared" si="168"/>
        <v>1</v>
      </c>
      <c r="R3708" s="195" t="str">
        <f t="shared" si="169"/>
        <v>2020LIGHT VEHICLES</v>
      </c>
    </row>
    <row r="3709" spans="3:18" x14ac:dyDescent="0.25">
      <c r="C3709" s="294" t="s">
        <v>1007</v>
      </c>
      <c r="D3709" s="317" t="s">
        <v>747</v>
      </c>
      <c r="E3709" s="122" t="s">
        <v>1004</v>
      </c>
      <c r="F3709" s="122" t="s">
        <v>1005</v>
      </c>
      <c r="G3709" s="122" t="s">
        <v>776</v>
      </c>
      <c r="H3709" s="122" t="s">
        <v>777</v>
      </c>
      <c r="I3709" s="312">
        <v>2020</v>
      </c>
      <c r="J3709" s="122" t="s">
        <v>710</v>
      </c>
      <c r="K3709" s="283">
        <v>14</v>
      </c>
      <c r="L3709" s="318">
        <v>-33.454796000000002</v>
      </c>
      <c r="M3709" s="318">
        <v>151.205872</v>
      </c>
      <c r="O3709">
        <f>INDEX('MEC - traffic congestion'!$M$145:$M$249,MATCH($D3709,'MEC - traffic congestion'!$C$145:$C$249,0))</f>
        <v>1</v>
      </c>
      <c r="P3709" t="str">
        <f t="shared" si="167"/>
        <v>2020OFF PEAK</v>
      </c>
      <c r="Q3709">
        <f t="shared" si="168"/>
        <v>1</v>
      </c>
      <c r="R3709" s="195" t="str">
        <f t="shared" si="169"/>
        <v>2020LIGHT VEHICLES</v>
      </c>
    </row>
    <row r="3710" spans="3:18" x14ac:dyDescent="0.25">
      <c r="C3710" s="294" t="s">
        <v>1007</v>
      </c>
      <c r="D3710" s="317" t="s">
        <v>747</v>
      </c>
      <c r="E3710" s="122" t="s">
        <v>1004</v>
      </c>
      <c r="F3710" s="122" t="s">
        <v>1005</v>
      </c>
      <c r="G3710" s="122" t="s">
        <v>776</v>
      </c>
      <c r="H3710" s="122" t="s">
        <v>777</v>
      </c>
      <c r="I3710" s="312">
        <v>2020</v>
      </c>
      <c r="J3710" s="122" t="s">
        <v>711</v>
      </c>
      <c r="K3710" s="283">
        <v>4</v>
      </c>
      <c r="L3710" s="318">
        <v>-33.454796000000002</v>
      </c>
      <c r="M3710" s="318">
        <v>151.205872</v>
      </c>
      <c r="O3710">
        <f>INDEX('MEC - traffic congestion'!$M$145:$M$249,MATCH($D3710,'MEC - traffic congestion'!$C$145:$C$249,0))</f>
        <v>1</v>
      </c>
      <c r="P3710" t="str">
        <f t="shared" si="167"/>
        <v>2020PM PEAK</v>
      </c>
      <c r="Q3710">
        <f t="shared" si="168"/>
        <v>1</v>
      </c>
      <c r="R3710" s="195" t="str">
        <f t="shared" si="169"/>
        <v>2020LIGHT VEHICLES</v>
      </c>
    </row>
    <row r="3711" spans="3:18" x14ac:dyDescent="0.25">
      <c r="C3711" s="294" t="s">
        <v>1007</v>
      </c>
      <c r="D3711" s="317" t="s">
        <v>747</v>
      </c>
      <c r="E3711" s="122" t="s">
        <v>1004</v>
      </c>
      <c r="F3711" s="122" t="s">
        <v>1005</v>
      </c>
      <c r="G3711" s="122" t="s">
        <v>776</v>
      </c>
      <c r="H3711" s="122" t="s">
        <v>777</v>
      </c>
      <c r="I3711" s="312">
        <v>2020</v>
      </c>
      <c r="J3711" s="122" t="s">
        <v>712</v>
      </c>
      <c r="K3711" s="283">
        <v>8</v>
      </c>
      <c r="L3711" s="318">
        <v>-33.454796000000002</v>
      </c>
      <c r="M3711" s="318">
        <v>151.205872</v>
      </c>
      <c r="O3711">
        <f>INDEX('MEC - traffic congestion'!$M$145:$M$249,MATCH($D3711,'MEC - traffic congestion'!$C$145:$C$249,0))</f>
        <v>1</v>
      </c>
      <c r="P3711" t="str">
        <f t="shared" si="167"/>
        <v>2020PUBLIC HOLIDAYS</v>
      </c>
      <c r="Q3711">
        <f t="shared" si="168"/>
        <v>1</v>
      </c>
      <c r="R3711" s="195" t="str">
        <f t="shared" si="169"/>
        <v>2020LIGHT VEHICLES</v>
      </c>
    </row>
    <row r="3712" spans="3:18" x14ac:dyDescent="0.25">
      <c r="C3712" s="294" t="s">
        <v>1007</v>
      </c>
      <c r="D3712" s="317" t="s">
        <v>747</v>
      </c>
      <c r="E3712" s="122" t="s">
        <v>1004</v>
      </c>
      <c r="F3712" s="122" t="s">
        <v>1005</v>
      </c>
      <c r="G3712" s="122" t="s">
        <v>776</v>
      </c>
      <c r="H3712" s="122" t="s">
        <v>777</v>
      </c>
      <c r="I3712" s="312">
        <v>2020</v>
      </c>
      <c r="J3712" s="122" t="s">
        <v>713</v>
      </c>
      <c r="K3712" s="283">
        <v>12</v>
      </c>
      <c r="L3712" s="318">
        <v>-33.454796000000002</v>
      </c>
      <c r="M3712" s="318">
        <v>151.205872</v>
      </c>
      <c r="O3712">
        <f>INDEX('MEC - traffic congestion'!$M$145:$M$249,MATCH($D3712,'MEC - traffic congestion'!$C$145:$C$249,0))</f>
        <v>1</v>
      </c>
      <c r="P3712" t="str">
        <f t="shared" si="167"/>
        <v>2020WEEKENDS</v>
      </c>
      <c r="Q3712">
        <f t="shared" si="168"/>
        <v>1</v>
      </c>
      <c r="R3712" s="195" t="str">
        <f t="shared" si="169"/>
        <v>2020LIGHT VEHICLES</v>
      </c>
    </row>
    <row r="3713" spans="3:18" x14ac:dyDescent="0.25">
      <c r="C3713" s="294" t="s">
        <v>1007</v>
      </c>
      <c r="D3713" s="317" t="s">
        <v>747</v>
      </c>
      <c r="E3713" s="122" t="s">
        <v>1004</v>
      </c>
      <c r="F3713" s="122" t="s">
        <v>1005</v>
      </c>
      <c r="G3713" s="122" t="s">
        <v>776</v>
      </c>
      <c r="H3713" s="122" t="s">
        <v>777</v>
      </c>
      <c r="I3713" s="312">
        <v>2021</v>
      </c>
      <c r="J3713" s="122" t="s">
        <v>709</v>
      </c>
      <c r="K3713" s="283">
        <v>3</v>
      </c>
      <c r="L3713" s="318">
        <v>-33.454796000000002</v>
      </c>
      <c r="M3713" s="318">
        <v>151.205872</v>
      </c>
      <c r="O3713">
        <f>INDEX('MEC - traffic congestion'!$M$145:$M$249,MATCH($D3713,'MEC - traffic congestion'!$C$145:$C$249,0))</f>
        <v>1</v>
      </c>
      <c r="P3713" t="str">
        <f t="shared" si="167"/>
        <v>2021AM PEAK</v>
      </c>
      <c r="Q3713">
        <f t="shared" si="168"/>
        <v>1</v>
      </c>
      <c r="R3713" s="195" t="str">
        <f t="shared" si="169"/>
        <v>2021LIGHT VEHICLES</v>
      </c>
    </row>
    <row r="3714" spans="3:18" x14ac:dyDescent="0.25">
      <c r="C3714" s="294" t="s">
        <v>1007</v>
      </c>
      <c r="D3714" s="317" t="s">
        <v>747</v>
      </c>
      <c r="E3714" s="122" t="s">
        <v>1004</v>
      </c>
      <c r="F3714" s="122" t="s">
        <v>1005</v>
      </c>
      <c r="G3714" s="122" t="s">
        <v>776</v>
      </c>
      <c r="H3714" s="122" t="s">
        <v>777</v>
      </c>
      <c r="I3714" s="312">
        <v>2021</v>
      </c>
      <c r="J3714" s="122" t="s">
        <v>710</v>
      </c>
      <c r="K3714" s="283">
        <v>9</v>
      </c>
      <c r="L3714" s="318">
        <v>-33.454796000000002</v>
      </c>
      <c r="M3714" s="318">
        <v>151.205872</v>
      </c>
      <c r="O3714">
        <f>INDEX('MEC - traffic congestion'!$M$145:$M$249,MATCH($D3714,'MEC - traffic congestion'!$C$145:$C$249,0))</f>
        <v>1</v>
      </c>
      <c r="P3714" t="str">
        <f t="shared" si="167"/>
        <v>2021OFF PEAK</v>
      </c>
      <c r="Q3714">
        <f t="shared" si="168"/>
        <v>1</v>
      </c>
      <c r="R3714" s="195" t="str">
        <f t="shared" si="169"/>
        <v>2021LIGHT VEHICLES</v>
      </c>
    </row>
    <row r="3715" spans="3:18" x14ac:dyDescent="0.25">
      <c r="C3715" s="294" t="s">
        <v>1007</v>
      </c>
      <c r="D3715" s="317" t="s">
        <v>747</v>
      </c>
      <c r="E3715" s="122" t="s">
        <v>1004</v>
      </c>
      <c r="F3715" s="122" t="s">
        <v>1005</v>
      </c>
      <c r="G3715" s="122" t="s">
        <v>776</v>
      </c>
      <c r="H3715" s="122" t="s">
        <v>777</v>
      </c>
      <c r="I3715" s="312">
        <v>2021</v>
      </c>
      <c r="J3715" s="122" t="s">
        <v>711</v>
      </c>
      <c r="K3715" s="283">
        <v>3</v>
      </c>
      <c r="L3715" s="318">
        <v>-33.454796000000002</v>
      </c>
      <c r="M3715" s="318">
        <v>151.205872</v>
      </c>
      <c r="O3715">
        <f>INDEX('MEC - traffic congestion'!$M$145:$M$249,MATCH($D3715,'MEC - traffic congestion'!$C$145:$C$249,0))</f>
        <v>1</v>
      </c>
      <c r="P3715" t="str">
        <f t="shared" si="167"/>
        <v>2021PM PEAK</v>
      </c>
      <c r="Q3715">
        <f t="shared" si="168"/>
        <v>1</v>
      </c>
      <c r="R3715" s="195" t="str">
        <f t="shared" si="169"/>
        <v>2021LIGHT VEHICLES</v>
      </c>
    </row>
    <row r="3716" spans="3:18" x14ac:dyDescent="0.25">
      <c r="C3716" s="294" t="s">
        <v>1007</v>
      </c>
      <c r="D3716" s="317" t="s">
        <v>747</v>
      </c>
      <c r="E3716" s="122" t="s">
        <v>1004</v>
      </c>
      <c r="F3716" s="122" t="s">
        <v>1005</v>
      </c>
      <c r="G3716" s="122" t="s">
        <v>776</v>
      </c>
      <c r="H3716" s="122" t="s">
        <v>777</v>
      </c>
      <c r="I3716" s="312">
        <v>2021</v>
      </c>
      <c r="J3716" s="122" t="s">
        <v>713</v>
      </c>
      <c r="K3716" s="283">
        <v>11</v>
      </c>
      <c r="L3716" s="318">
        <v>-33.454796000000002</v>
      </c>
      <c r="M3716" s="318">
        <v>151.205872</v>
      </c>
      <c r="O3716">
        <f>INDEX('MEC - traffic congestion'!$M$145:$M$249,MATCH($D3716,'MEC - traffic congestion'!$C$145:$C$249,0))</f>
        <v>1</v>
      </c>
      <c r="P3716" t="str">
        <f t="shared" si="167"/>
        <v>2021WEEKENDS</v>
      </c>
      <c r="Q3716">
        <f t="shared" si="168"/>
        <v>1</v>
      </c>
      <c r="R3716" s="195" t="str">
        <f t="shared" si="169"/>
        <v>2021LIGHT VEHICLES</v>
      </c>
    </row>
    <row r="3717" spans="3:18" x14ac:dyDescent="0.25">
      <c r="C3717" s="294" t="s">
        <v>1007</v>
      </c>
      <c r="D3717" s="317" t="s">
        <v>747</v>
      </c>
      <c r="E3717" s="122" t="s">
        <v>1004</v>
      </c>
      <c r="F3717" s="122" t="s">
        <v>1005</v>
      </c>
      <c r="G3717" s="122" t="s">
        <v>776</v>
      </c>
      <c r="H3717" s="122" t="s">
        <v>777</v>
      </c>
      <c r="I3717" s="312">
        <v>2022</v>
      </c>
      <c r="J3717" s="122" t="s">
        <v>709</v>
      </c>
      <c r="K3717" s="283">
        <v>4</v>
      </c>
      <c r="L3717" s="318">
        <v>-33.454796000000002</v>
      </c>
      <c r="M3717" s="318">
        <v>151.205872</v>
      </c>
      <c r="O3717">
        <f>INDEX('MEC - traffic congestion'!$M$145:$M$249,MATCH($D3717,'MEC - traffic congestion'!$C$145:$C$249,0))</f>
        <v>1</v>
      </c>
      <c r="P3717" t="str">
        <f t="shared" si="167"/>
        <v>2022AM PEAK</v>
      </c>
      <c r="Q3717">
        <f t="shared" si="168"/>
        <v>1</v>
      </c>
      <c r="R3717" s="195" t="str">
        <f t="shared" si="169"/>
        <v>2022LIGHT VEHICLES</v>
      </c>
    </row>
    <row r="3718" spans="3:18" x14ac:dyDescent="0.25">
      <c r="C3718" s="294" t="s">
        <v>1007</v>
      </c>
      <c r="D3718" s="317" t="s">
        <v>747</v>
      </c>
      <c r="E3718" s="122" t="s">
        <v>1004</v>
      </c>
      <c r="F3718" s="122" t="s">
        <v>1005</v>
      </c>
      <c r="G3718" s="122" t="s">
        <v>776</v>
      </c>
      <c r="H3718" s="122" t="s">
        <v>777</v>
      </c>
      <c r="I3718" s="312">
        <v>2022</v>
      </c>
      <c r="J3718" s="122" t="s">
        <v>710</v>
      </c>
      <c r="K3718" s="283">
        <v>16</v>
      </c>
      <c r="L3718" s="318">
        <v>-33.454796000000002</v>
      </c>
      <c r="M3718" s="318">
        <v>151.205872</v>
      </c>
      <c r="O3718">
        <f>INDEX('MEC - traffic congestion'!$M$145:$M$249,MATCH($D3718,'MEC - traffic congestion'!$C$145:$C$249,0))</f>
        <v>1</v>
      </c>
      <c r="P3718" t="str">
        <f t="shared" si="167"/>
        <v>2022OFF PEAK</v>
      </c>
      <c r="Q3718">
        <f t="shared" si="168"/>
        <v>1</v>
      </c>
      <c r="R3718" s="195" t="str">
        <f t="shared" si="169"/>
        <v>2022LIGHT VEHICLES</v>
      </c>
    </row>
    <row r="3719" spans="3:18" x14ac:dyDescent="0.25">
      <c r="C3719" s="294" t="s">
        <v>1007</v>
      </c>
      <c r="D3719" s="317" t="s">
        <v>747</v>
      </c>
      <c r="E3719" s="122" t="s">
        <v>1004</v>
      </c>
      <c r="F3719" s="122" t="s">
        <v>1005</v>
      </c>
      <c r="G3719" s="122" t="s">
        <v>776</v>
      </c>
      <c r="H3719" s="122" t="s">
        <v>777</v>
      </c>
      <c r="I3719" s="312">
        <v>2022</v>
      </c>
      <c r="J3719" s="122" t="s">
        <v>711</v>
      </c>
      <c r="K3719" s="283">
        <v>6</v>
      </c>
      <c r="L3719" s="318">
        <v>-33.454796000000002</v>
      </c>
      <c r="M3719" s="318">
        <v>151.205872</v>
      </c>
      <c r="O3719">
        <f>INDEX('MEC - traffic congestion'!$M$145:$M$249,MATCH($D3719,'MEC - traffic congestion'!$C$145:$C$249,0))</f>
        <v>1</v>
      </c>
      <c r="P3719" t="str">
        <f t="shared" si="167"/>
        <v>2022PM PEAK</v>
      </c>
      <c r="Q3719">
        <f t="shared" si="168"/>
        <v>1</v>
      </c>
      <c r="R3719" s="195" t="str">
        <f t="shared" si="169"/>
        <v>2022LIGHT VEHICLES</v>
      </c>
    </row>
    <row r="3720" spans="3:18" x14ac:dyDescent="0.25">
      <c r="C3720" s="294" t="s">
        <v>1007</v>
      </c>
      <c r="D3720" s="317" t="s">
        <v>747</v>
      </c>
      <c r="E3720" s="122" t="s">
        <v>1004</v>
      </c>
      <c r="F3720" s="122" t="s">
        <v>1005</v>
      </c>
      <c r="G3720" s="122" t="s">
        <v>776</v>
      </c>
      <c r="H3720" s="122" t="s">
        <v>777</v>
      </c>
      <c r="I3720" s="312">
        <v>2022</v>
      </c>
      <c r="J3720" s="122" t="s">
        <v>713</v>
      </c>
      <c r="K3720" s="283">
        <v>18</v>
      </c>
      <c r="L3720" s="318">
        <v>-33.454796000000002</v>
      </c>
      <c r="M3720" s="318">
        <v>151.205872</v>
      </c>
      <c r="O3720">
        <f>INDEX('MEC - traffic congestion'!$M$145:$M$249,MATCH($D3720,'MEC - traffic congestion'!$C$145:$C$249,0))</f>
        <v>1</v>
      </c>
      <c r="P3720" t="str">
        <f t="shared" si="167"/>
        <v>2022WEEKENDS</v>
      </c>
      <c r="Q3720">
        <f t="shared" si="168"/>
        <v>1</v>
      </c>
      <c r="R3720" s="195" t="str">
        <f t="shared" si="169"/>
        <v>2022LIGHT VEHICLES</v>
      </c>
    </row>
    <row r="3721" spans="3:18" x14ac:dyDescent="0.25">
      <c r="C3721" s="294" t="s">
        <v>1007</v>
      </c>
      <c r="D3721" s="317" t="s">
        <v>747</v>
      </c>
      <c r="E3721" s="122" t="s">
        <v>1004</v>
      </c>
      <c r="F3721" s="122" t="s">
        <v>1005</v>
      </c>
      <c r="G3721" s="122" t="s">
        <v>776</v>
      </c>
      <c r="H3721" s="122" t="s">
        <v>777</v>
      </c>
      <c r="I3721" s="312">
        <v>2023</v>
      </c>
      <c r="J3721" s="122" t="s">
        <v>709</v>
      </c>
      <c r="K3721" s="283">
        <v>4</v>
      </c>
      <c r="L3721" s="318">
        <v>-33.454796000000002</v>
      </c>
      <c r="M3721" s="318">
        <v>151.205872</v>
      </c>
      <c r="O3721">
        <f>INDEX('MEC - traffic congestion'!$M$145:$M$249,MATCH($D3721,'MEC - traffic congestion'!$C$145:$C$249,0))</f>
        <v>1</v>
      </c>
      <c r="P3721" t="str">
        <f t="shared" si="167"/>
        <v>2023AM PEAK</v>
      </c>
      <c r="Q3721">
        <f t="shared" si="168"/>
        <v>1</v>
      </c>
      <c r="R3721" s="195" t="str">
        <f t="shared" si="169"/>
        <v>2023LIGHT VEHICLES</v>
      </c>
    </row>
    <row r="3722" spans="3:18" x14ac:dyDescent="0.25">
      <c r="C3722" s="294" t="s">
        <v>1007</v>
      </c>
      <c r="D3722" s="317" t="s">
        <v>747</v>
      </c>
      <c r="E3722" s="122" t="s">
        <v>1004</v>
      </c>
      <c r="F3722" s="122" t="s">
        <v>1005</v>
      </c>
      <c r="G3722" s="122" t="s">
        <v>776</v>
      </c>
      <c r="H3722" s="122" t="s">
        <v>777</v>
      </c>
      <c r="I3722" s="312">
        <v>2023</v>
      </c>
      <c r="J3722" s="122" t="s">
        <v>710</v>
      </c>
      <c r="K3722" s="283">
        <v>13</v>
      </c>
      <c r="L3722" s="318">
        <v>-33.454796000000002</v>
      </c>
      <c r="M3722" s="318">
        <v>151.205872</v>
      </c>
      <c r="O3722">
        <f>INDEX('MEC - traffic congestion'!$M$145:$M$249,MATCH($D3722,'MEC - traffic congestion'!$C$145:$C$249,0))</f>
        <v>1</v>
      </c>
      <c r="P3722" t="str">
        <f t="shared" si="167"/>
        <v>2023OFF PEAK</v>
      </c>
      <c r="Q3722">
        <f t="shared" si="168"/>
        <v>1</v>
      </c>
      <c r="R3722" s="195" t="str">
        <f t="shared" si="169"/>
        <v>2023LIGHT VEHICLES</v>
      </c>
    </row>
    <row r="3723" spans="3:18" x14ac:dyDescent="0.25">
      <c r="C3723" s="294" t="s">
        <v>1007</v>
      </c>
      <c r="D3723" s="317" t="s">
        <v>747</v>
      </c>
      <c r="E3723" s="122" t="s">
        <v>1004</v>
      </c>
      <c r="F3723" s="122" t="s">
        <v>1005</v>
      </c>
      <c r="G3723" s="122" t="s">
        <v>776</v>
      </c>
      <c r="H3723" s="122" t="s">
        <v>777</v>
      </c>
      <c r="I3723" s="312">
        <v>2023</v>
      </c>
      <c r="J3723" s="122" t="s">
        <v>711</v>
      </c>
      <c r="K3723" s="283">
        <v>4</v>
      </c>
      <c r="L3723" s="318">
        <v>-33.454796000000002</v>
      </c>
      <c r="M3723" s="318">
        <v>151.205872</v>
      </c>
      <c r="O3723">
        <f>INDEX('MEC - traffic congestion'!$M$145:$M$249,MATCH($D3723,'MEC - traffic congestion'!$C$145:$C$249,0))</f>
        <v>1</v>
      </c>
      <c r="P3723" t="str">
        <f t="shared" si="167"/>
        <v>2023PM PEAK</v>
      </c>
      <c r="Q3723">
        <f t="shared" si="168"/>
        <v>1</v>
      </c>
      <c r="R3723" s="195" t="str">
        <f t="shared" si="169"/>
        <v>2023LIGHT VEHICLES</v>
      </c>
    </row>
    <row r="3724" spans="3:18" x14ac:dyDescent="0.25">
      <c r="C3724" s="294" t="s">
        <v>1007</v>
      </c>
      <c r="D3724" s="317" t="s">
        <v>747</v>
      </c>
      <c r="E3724" s="122" t="s">
        <v>1004</v>
      </c>
      <c r="F3724" s="122" t="s">
        <v>1005</v>
      </c>
      <c r="G3724" s="122" t="s">
        <v>776</v>
      </c>
      <c r="H3724" s="122" t="s">
        <v>777</v>
      </c>
      <c r="I3724" s="312">
        <v>2023</v>
      </c>
      <c r="J3724" s="122" t="s">
        <v>713</v>
      </c>
      <c r="K3724" s="283">
        <v>13</v>
      </c>
      <c r="L3724" s="318">
        <v>-33.454796000000002</v>
      </c>
      <c r="M3724" s="318">
        <v>151.205872</v>
      </c>
      <c r="O3724">
        <f>INDEX('MEC - traffic congestion'!$M$145:$M$249,MATCH($D3724,'MEC - traffic congestion'!$C$145:$C$249,0))</f>
        <v>1</v>
      </c>
      <c r="P3724" t="str">
        <f t="shared" si="167"/>
        <v>2023WEEKENDS</v>
      </c>
      <c r="Q3724">
        <f t="shared" si="168"/>
        <v>1</v>
      </c>
      <c r="R3724" s="195" t="str">
        <f t="shared" si="169"/>
        <v>2023LIGHT VEHICLES</v>
      </c>
    </row>
    <row r="3725" spans="3:18" x14ac:dyDescent="0.25">
      <c r="C3725" s="294" t="s">
        <v>1007</v>
      </c>
      <c r="D3725" s="317" t="s">
        <v>747</v>
      </c>
      <c r="E3725" s="122" t="s">
        <v>1004</v>
      </c>
      <c r="F3725" s="122" t="s">
        <v>1005</v>
      </c>
      <c r="G3725" s="122" t="s">
        <v>776</v>
      </c>
      <c r="H3725" s="122" t="s">
        <v>777</v>
      </c>
      <c r="I3725" s="312">
        <v>2024</v>
      </c>
      <c r="J3725" s="122" t="s">
        <v>709</v>
      </c>
      <c r="K3725" s="283">
        <v>5</v>
      </c>
      <c r="L3725" s="318">
        <v>-33.454796000000002</v>
      </c>
      <c r="M3725" s="318">
        <v>151.205872</v>
      </c>
      <c r="O3725">
        <f>INDEX('MEC - traffic congestion'!$M$145:$M$249,MATCH($D3725,'MEC - traffic congestion'!$C$145:$C$249,0))</f>
        <v>1</v>
      </c>
      <c r="P3725" t="str">
        <f t="shared" si="167"/>
        <v>2024AM PEAK</v>
      </c>
      <c r="Q3725">
        <f t="shared" si="168"/>
        <v>1</v>
      </c>
      <c r="R3725" s="195" t="str">
        <f t="shared" si="169"/>
        <v>2024LIGHT VEHICLES</v>
      </c>
    </row>
    <row r="3726" spans="3:18" x14ac:dyDescent="0.25">
      <c r="C3726" s="294" t="s">
        <v>1007</v>
      </c>
      <c r="D3726" s="317" t="s">
        <v>747</v>
      </c>
      <c r="E3726" s="122" t="s">
        <v>1004</v>
      </c>
      <c r="F3726" s="122" t="s">
        <v>1005</v>
      </c>
      <c r="G3726" s="122" t="s">
        <v>776</v>
      </c>
      <c r="H3726" s="122" t="s">
        <v>777</v>
      </c>
      <c r="I3726" s="312">
        <v>2024</v>
      </c>
      <c r="J3726" s="122" t="s">
        <v>710</v>
      </c>
      <c r="K3726" s="283">
        <v>15</v>
      </c>
      <c r="L3726" s="318">
        <v>-33.454796000000002</v>
      </c>
      <c r="M3726" s="318">
        <v>151.205872</v>
      </c>
      <c r="O3726">
        <f>INDEX('MEC - traffic congestion'!$M$145:$M$249,MATCH($D3726,'MEC - traffic congestion'!$C$145:$C$249,0))</f>
        <v>1</v>
      </c>
      <c r="P3726" t="str">
        <f t="shared" si="167"/>
        <v>2024OFF PEAK</v>
      </c>
      <c r="Q3726">
        <f t="shared" si="168"/>
        <v>1</v>
      </c>
      <c r="R3726" s="195" t="str">
        <f t="shared" si="169"/>
        <v>2024LIGHT VEHICLES</v>
      </c>
    </row>
    <row r="3727" spans="3:18" x14ac:dyDescent="0.25">
      <c r="C3727" s="294" t="s">
        <v>1007</v>
      </c>
      <c r="D3727" s="317" t="s">
        <v>747</v>
      </c>
      <c r="E3727" s="122" t="s">
        <v>1004</v>
      </c>
      <c r="F3727" s="122" t="s">
        <v>1005</v>
      </c>
      <c r="G3727" s="122" t="s">
        <v>776</v>
      </c>
      <c r="H3727" s="122" t="s">
        <v>777</v>
      </c>
      <c r="I3727" s="312">
        <v>2024</v>
      </c>
      <c r="J3727" s="122" t="s">
        <v>711</v>
      </c>
      <c r="K3727" s="283">
        <v>4</v>
      </c>
      <c r="L3727" s="318">
        <v>-33.454796000000002</v>
      </c>
      <c r="M3727" s="318">
        <v>151.205872</v>
      </c>
      <c r="O3727">
        <f>INDEX('MEC - traffic congestion'!$M$145:$M$249,MATCH($D3727,'MEC - traffic congestion'!$C$145:$C$249,0))</f>
        <v>1</v>
      </c>
      <c r="P3727" t="str">
        <f t="shared" si="167"/>
        <v>2024PM PEAK</v>
      </c>
      <c r="Q3727">
        <f t="shared" si="168"/>
        <v>1</v>
      </c>
      <c r="R3727" s="195" t="str">
        <f t="shared" si="169"/>
        <v>2024LIGHT VEHICLES</v>
      </c>
    </row>
    <row r="3728" spans="3:18" x14ac:dyDescent="0.25">
      <c r="C3728" s="294" t="s">
        <v>1007</v>
      </c>
      <c r="D3728" s="317" t="s">
        <v>747</v>
      </c>
      <c r="E3728" s="122" t="s">
        <v>1004</v>
      </c>
      <c r="F3728" s="122" t="s">
        <v>1005</v>
      </c>
      <c r="G3728" s="122" t="s">
        <v>776</v>
      </c>
      <c r="H3728" s="122" t="s">
        <v>777</v>
      </c>
      <c r="I3728" s="312">
        <v>2024</v>
      </c>
      <c r="J3728" s="122" t="s">
        <v>713</v>
      </c>
      <c r="K3728" s="283">
        <v>19</v>
      </c>
      <c r="L3728" s="318">
        <v>-33.454796000000002</v>
      </c>
      <c r="M3728" s="318">
        <v>151.205872</v>
      </c>
      <c r="O3728">
        <f>INDEX('MEC - traffic congestion'!$M$145:$M$249,MATCH($D3728,'MEC - traffic congestion'!$C$145:$C$249,0))</f>
        <v>1</v>
      </c>
      <c r="P3728" t="str">
        <f t="shared" si="167"/>
        <v>2024WEEKENDS</v>
      </c>
      <c r="Q3728">
        <f t="shared" si="168"/>
        <v>1</v>
      </c>
      <c r="R3728" s="195" t="str">
        <f t="shared" si="169"/>
        <v>2024LIGHT VEHICLES</v>
      </c>
    </row>
    <row r="3729" spans="3:18" x14ac:dyDescent="0.25">
      <c r="C3729" s="294" t="s">
        <v>1008</v>
      </c>
      <c r="D3729" s="317" t="s">
        <v>748</v>
      </c>
      <c r="E3729" s="122" t="s">
        <v>1009</v>
      </c>
      <c r="F3729" s="122" t="s">
        <v>1010</v>
      </c>
      <c r="G3729" s="122" t="s">
        <v>785</v>
      </c>
      <c r="H3729" s="122" t="s">
        <v>777</v>
      </c>
      <c r="I3729" s="312">
        <v>2018</v>
      </c>
      <c r="J3729" s="122" t="s">
        <v>709</v>
      </c>
      <c r="K3729" s="283">
        <v>5</v>
      </c>
      <c r="L3729" s="318">
        <v>-33.615574000000002</v>
      </c>
      <c r="M3729" s="318">
        <v>150.27299500000001</v>
      </c>
      <c r="O3729">
        <f>INDEX('MEC - traffic congestion'!$M$145:$M$249,MATCH($D3729,'MEC - traffic congestion'!$C$145:$C$249,0))</f>
        <v>1</v>
      </c>
      <c r="P3729" t="str">
        <f t="shared" si="167"/>
        <v>2018AM PEAK</v>
      </c>
      <c r="Q3729">
        <f t="shared" si="168"/>
        <v>1</v>
      </c>
      <c r="R3729" s="195" t="str">
        <f t="shared" si="169"/>
        <v>2018LIGHT VEHICLES</v>
      </c>
    </row>
    <row r="3730" spans="3:18" x14ac:dyDescent="0.25">
      <c r="C3730" s="294" t="s">
        <v>1008</v>
      </c>
      <c r="D3730" s="317" t="s">
        <v>748</v>
      </c>
      <c r="E3730" s="122" t="s">
        <v>1009</v>
      </c>
      <c r="F3730" s="122" t="s">
        <v>1010</v>
      </c>
      <c r="G3730" s="122" t="s">
        <v>785</v>
      </c>
      <c r="H3730" s="122" t="s">
        <v>777</v>
      </c>
      <c r="I3730" s="312">
        <v>2018</v>
      </c>
      <c r="J3730" s="122" t="s">
        <v>710</v>
      </c>
      <c r="K3730" s="283">
        <v>5</v>
      </c>
      <c r="L3730" s="318">
        <v>-33.615574000000002</v>
      </c>
      <c r="M3730" s="318">
        <v>150.27299500000001</v>
      </c>
      <c r="O3730">
        <f>INDEX('MEC - traffic congestion'!$M$145:$M$249,MATCH($D3730,'MEC - traffic congestion'!$C$145:$C$249,0))</f>
        <v>1</v>
      </c>
      <c r="P3730" t="str">
        <f t="shared" si="167"/>
        <v>2018OFF PEAK</v>
      </c>
      <c r="Q3730">
        <f t="shared" si="168"/>
        <v>1</v>
      </c>
      <c r="R3730" s="195" t="str">
        <f t="shared" si="169"/>
        <v>2018LIGHT VEHICLES</v>
      </c>
    </row>
    <row r="3731" spans="3:18" x14ac:dyDescent="0.25">
      <c r="C3731" s="294" t="s">
        <v>1008</v>
      </c>
      <c r="D3731" s="317" t="s">
        <v>748</v>
      </c>
      <c r="E3731" s="122" t="s">
        <v>1009</v>
      </c>
      <c r="F3731" s="122" t="s">
        <v>1010</v>
      </c>
      <c r="G3731" s="122" t="s">
        <v>785</v>
      </c>
      <c r="H3731" s="122" t="s">
        <v>777</v>
      </c>
      <c r="I3731" s="312">
        <v>2018</v>
      </c>
      <c r="J3731" s="122" t="s">
        <v>711</v>
      </c>
      <c r="K3731" s="283">
        <v>4</v>
      </c>
      <c r="L3731" s="318">
        <v>-33.615574000000002</v>
      </c>
      <c r="M3731" s="318">
        <v>150.27299500000001</v>
      </c>
      <c r="O3731">
        <f>INDEX('MEC - traffic congestion'!$M$145:$M$249,MATCH($D3731,'MEC - traffic congestion'!$C$145:$C$249,0))</f>
        <v>1</v>
      </c>
      <c r="P3731" t="str">
        <f t="shared" si="167"/>
        <v>2018PM PEAK</v>
      </c>
      <c r="Q3731">
        <f t="shared" si="168"/>
        <v>1</v>
      </c>
      <c r="R3731" s="195" t="str">
        <f t="shared" si="169"/>
        <v>2018LIGHT VEHICLES</v>
      </c>
    </row>
    <row r="3732" spans="3:18" x14ac:dyDescent="0.25">
      <c r="C3732" s="294" t="s">
        <v>1008</v>
      </c>
      <c r="D3732" s="317" t="s">
        <v>748</v>
      </c>
      <c r="E3732" s="122" t="s">
        <v>1009</v>
      </c>
      <c r="F3732" s="122" t="s">
        <v>1010</v>
      </c>
      <c r="G3732" s="122" t="s">
        <v>785</v>
      </c>
      <c r="H3732" s="122" t="s">
        <v>777</v>
      </c>
      <c r="I3732" s="312">
        <v>2018</v>
      </c>
      <c r="J3732" s="122" t="s">
        <v>712</v>
      </c>
      <c r="K3732" s="283">
        <v>7</v>
      </c>
      <c r="L3732" s="318">
        <v>-33.615574000000002</v>
      </c>
      <c r="M3732" s="318">
        <v>150.27299500000001</v>
      </c>
      <c r="O3732">
        <f>INDEX('MEC - traffic congestion'!$M$145:$M$249,MATCH($D3732,'MEC - traffic congestion'!$C$145:$C$249,0))</f>
        <v>1</v>
      </c>
      <c r="P3732" t="str">
        <f t="shared" si="167"/>
        <v>2018PUBLIC HOLIDAYS</v>
      </c>
      <c r="Q3732">
        <f t="shared" si="168"/>
        <v>1</v>
      </c>
      <c r="R3732" s="195" t="str">
        <f t="shared" si="169"/>
        <v>2018LIGHT VEHICLES</v>
      </c>
    </row>
    <row r="3733" spans="3:18" x14ac:dyDescent="0.25">
      <c r="C3733" s="294" t="s">
        <v>1008</v>
      </c>
      <c r="D3733" s="317" t="s">
        <v>748</v>
      </c>
      <c r="E3733" s="122" t="s">
        <v>1009</v>
      </c>
      <c r="F3733" s="122" t="s">
        <v>1010</v>
      </c>
      <c r="G3733" s="122" t="s">
        <v>785</v>
      </c>
      <c r="H3733" s="122" t="s">
        <v>777</v>
      </c>
      <c r="I3733" s="312">
        <v>2018</v>
      </c>
      <c r="J3733" s="122" t="s">
        <v>713</v>
      </c>
      <c r="K3733" s="283">
        <v>9</v>
      </c>
      <c r="L3733" s="318">
        <v>-33.615574000000002</v>
      </c>
      <c r="M3733" s="318">
        <v>150.27299500000001</v>
      </c>
      <c r="O3733">
        <f>INDEX('MEC - traffic congestion'!$M$145:$M$249,MATCH($D3733,'MEC - traffic congestion'!$C$145:$C$249,0))</f>
        <v>1</v>
      </c>
      <c r="P3733" t="str">
        <f t="shared" ref="P3733:P3796" si="170">IF($O3733=1,$I3733&amp;$J3733,"")</f>
        <v>2018WEEKENDS</v>
      </c>
      <c r="Q3733">
        <f t="shared" ref="Q3733:Q3796" si="171">IF(AND($M3733&gt;150.246,AND($L3733&gt;-34.397,$L3733&lt;-32.662)),1,0)</f>
        <v>1</v>
      </c>
      <c r="R3733" s="195" t="str">
        <f t="shared" ref="R3733:R3796" si="172">IF($O3733=1,$I3733&amp;$H3733,"")</f>
        <v>2018LIGHT VEHICLES</v>
      </c>
    </row>
    <row r="3734" spans="3:18" x14ac:dyDescent="0.25">
      <c r="C3734" s="294" t="s">
        <v>1008</v>
      </c>
      <c r="D3734" s="317" t="s">
        <v>748</v>
      </c>
      <c r="E3734" s="122" t="s">
        <v>1009</v>
      </c>
      <c r="F3734" s="122" t="s">
        <v>1010</v>
      </c>
      <c r="G3734" s="122" t="s">
        <v>785</v>
      </c>
      <c r="H3734" s="122" t="s">
        <v>777</v>
      </c>
      <c r="I3734" s="312">
        <v>2019</v>
      </c>
      <c r="J3734" s="122" t="s">
        <v>709</v>
      </c>
      <c r="K3734" s="283">
        <v>4</v>
      </c>
      <c r="L3734" s="318">
        <v>-33.615574000000002</v>
      </c>
      <c r="M3734" s="318">
        <v>150.27299500000001</v>
      </c>
      <c r="O3734">
        <f>INDEX('MEC - traffic congestion'!$M$145:$M$249,MATCH($D3734,'MEC - traffic congestion'!$C$145:$C$249,0))</f>
        <v>1</v>
      </c>
      <c r="P3734" t="str">
        <f t="shared" si="170"/>
        <v>2019AM PEAK</v>
      </c>
      <c r="Q3734">
        <f t="shared" si="171"/>
        <v>1</v>
      </c>
      <c r="R3734" s="195" t="str">
        <f t="shared" si="172"/>
        <v>2019LIGHT VEHICLES</v>
      </c>
    </row>
    <row r="3735" spans="3:18" x14ac:dyDescent="0.25">
      <c r="C3735" s="294" t="s">
        <v>1008</v>
      </c>
      <c r="D3735" s="317" t="s">
        <v>748</v>
      </c>
      <c r="E3735" s="122" t="s">
        <v>1009</v>
      </c>
      <c r="F3735" s="122" t="s">
        <v>1010</v>
      </c>
      <c r="G3735" s="122" t="s">
        <v>785</v>
      </c>
      <c r="H3735" s="122" t="s">
        <v>777</v>
      </c>
      <c r="I3735" s="312">
        <v>2019</v>
      </c>
      <c r="J3735" s="122" t="s">
        <v>710</v>
      </c>
      <c r="K3735" s="283">
        <v>6</v>
      </c>
      <c r="L3735" s="318">
        <v>-33.615574000000002</v>
      </c>
      <c r="M3735" s="318">
        <v>150.27299500000001</v>
      </c>
      <c r="O3735">
        <f>INDEX('MEC - traffic congestion'!$M$145:$M$249,MATCH($D3735,'MEC - traffic congestion'!$C$145:$C$249,0))</f>
        <v>1</v>
      </c>
      <c r="P3735" t="str">
        <f t="shared" si="170"/>
        <v>2019OFF PEAK</v>
      </c>
      <c r="Q3735">
        <f t="shared" si="171"/>
        <v>1</v>
      </c>
      <c r="R3735" s="195" t="str">
        <f t="shared" si="172"/>
        <v>2019LIGHT VEHICLES</v>
      </c>
    </row>
    <row r="3736" spans="3:18" x14ac:dyDescent="0.25">
      <c r="C3736" s="294" t="s">
        <v>1008</v>
      </c>
      <c r="D3736" s="317" t="s">
        <v>748</v>
      </c>
      <c r="E3736" s="122" t="s">
        <v>1009</v>
      </c>
      <c r="F3736" s="122" t="s">
        <v>1010</v>
      </c>
      <c r="G3736" s="122" t="s">
        <v>785</v>
      </c>
      <c r="H3736" s="122" t="s">
        <v>777</v>
      </c>
      <c r="I3736" s="312">
        <v>2019</v>
      </c>
      <c r="J3736" s="122" t="s">
        <v>711</v>
      </c>
      <c r="K3736" s="283">
        <v>4</v>
      </c>
      <c r="L3736" s="318">
        <v>-33.615574000000002</v>
      </c>
      <c r="M3736" s="318">
        <v>150.27299500000001</v>
      </c>
      <c r="O3736">
        <f>INDEX('MEC - traffic congestion'!$M$145:$M$249,MATCH($D3736,'MEC - traffic congestion'!$C$145:$C$249,0))</f>
        <v>1</v>
      </c>
      <c r="P3736" t="str">
        <f t="shared" si="170"/>
        <v>2019PM PEAK</v>
      </c>
      <c r="Q3736">
        <f t="shared" si="171"/>
        <v>1</v>
      </c>
      <c r="R3736" s="195" t="str">
        <f t="shared" si="172"/>
        <v>2019LIGHT VEHICLES</v>
      </c>
    </row>
    <row r="3737" spans="3:18" x14ac:dyDescent="0.25">
      <c r="C3737" s="294" t="s">
        <v>1008</v>
      </c>
      <c r="D3737" s="317" t="s">
        <v>748</v>
      </c>
      <c r="E3737" s="122" t="s">
        <v>1009</v>
      </c>
      <c r="F3737" s="122" t="s">
        <v>1010</v>
      </c>
      <c r="G3737" s="122" t="s">
        <v>785</v>
      </c>
      <c r="H3737" s="122" t="s">
        <v>777</v>
      </c>
      <c r="I3737" s="312">
        <v>2019</v>
      </c>
      <c r="J3737" s="122" t="s">
        <v>712</v>
      </c>
      <c r="K3737" s="283">
        <v>11</v>
      </c>
      <c r="L3737" s="318">
        <v>-33.615574000000002</v>
      </c>
      <c r="M3737" s="318">
        <v>150.27299500000001</v>
      </c>
      <c r="O3737">
        <f>INDEX('MEC - traffic congestion'!$M$145:$M$249,MATCH($D3737,'MEC - traffic congestion'!$C$145:$C$249,0))</f>
        <v>1</v>
      </c>
      <c r="P3737" t="str">
        <f t="shared" si="170"/>
        <v>2019PUBLIC HOLIDAYS</v>
      </c>
      <c r="Q3737">
        <f t="shared" si="171"/>
        <v>1</v>
      </c>
      <c r="R3737" s="195" t="str">
        <f t="shared" si="172"/>
        <v>2019LIGHT VEHICLES</v>
      </c>
    </row>
    <row r="3738" spans="3:18" x14ac:dyDescent="0.25">
      <c r="C3738" s="294" t="s">
        <v>1008</v>
      </c>
      <c r="D3738" s="317" t="s">
        <v>748</v>
      </c>
      <c r="E3738" s="122" t="s">
        <v>1009</v>
      </c>
      <c r="F3738" s="122" t="s">
        <v>1010</v>
      </c>
      <c r="G3738" s="122" t="s">
        <v>785</v>
      </c>
      <c r="H3738" s="122" t="s">
        <v>777</v>
      </c>
      <c r="I3738" s="312">
        <v>2019</v>
      </c>
      <c r="J3738" s="122" t="s">
        <v>713</v>
      </c>
      <c r="K3738" s="283">
        <v>9</v>
      </c>
      <c r="L3738" s="318">
        <v>-33.615574000000002</v>
      </c>
      <c r="M3738" s="318">
        <v>150.27299500000001</v>
      </c>
      <c r="O3738">
        <f>INDEX('MEC - traffic congestion'!$M$145:$M$249,MATCH($D3738,'MEC - traffic congestion'!$C$145:$C$249,0))</f>
        <v>1</v>
      </c>
      <c r="P3738" t="str">
        <f t="shared" si="170"/>
        <v>2019WEEKENDS</v>
      </c>
      <c r="Q3738">
        <f t="shared" si="171"/>
        <v>1</v>
      </c>
      <c r="R3738" s="195" t="str">
        <f t="shared" si="172"/>
        <v>2019LIGHT VEHICLES</v>
      </c>
    </row>
    <row r="3739" spans="3:18" x14ac:dyDescent="0.25">
      <c r="C3739" s="294" t="s">
        <v>1008</v>
      </c>
      <c r="D3739" s="317" t="s">
        <v>748</v>
      </c>
      <c r="E3739" s="122" t="s">
        <v>1009</v>
      </c>
      <c r="F3739" s="122" t="s">
        <v>1010</v>
      </c>
      <c r="G3739" s="122" t="s">
        <v>785</v>
      </c>
      <c r="H3739" s="122" t="s">
        <v>777</v>
      </c>
      <c r="I3739" s="312">
        <v>2020</v>
      </c>
      <c r="J3739" s="122" t="s">
        <v>709</v>
      </c>
      <c r="K3739" s="283">
        <v>4</v>
      </c>
      <c r="L3739" s="318">
        <v>-33.615574000000002</v>
      </c>
      <c r="M3739" s="318">
        <v>150.27299500000001</v>
      </c>
      <c r="O3739">
        <f>INDEX('MEC - traffic congestion'!$M$145:$M$249,MATCH($D3739,'MEC - traffic congestion'!$C$145:$C$249,0))</f>
        <v>1</v>
      </c>
      <c r="P3739" t="str">
        <f t="shared" si="170"/>
        <v>2020AM PEAK</v>
      </c>
      <c r="Q3739">
        <f t="shared" si="171"/>
        <v>1</v>
      </c>
      <c r="R3739" s="195" t="str">
        <f t="shared" si="172"/>
        <v>2020LIGHT VEHICLES</v>
      </c>
    </row>
    <row r="3740" spans="3:18" x14ac:dyDescent="0.25">
      <c r="C3740" s="294" t="s">
        <v>1008</v>
      </c>
      <c r="D3740" s="317" t="s">
        <v>748</v>
      </c>
      <c r="E3740" s="122" t="s">
        <v>1009</v>
      </c>
      <c r="F3740" s="122" t="s">
        <v>1010</v>
      </c>
      <c r="G3740" s="122" t="s">
        <v>785</v>
      </c>
      <c r="H3740" s="122" t="s">
        <v>777</v>
      </c>
      <c r="I3740" s="312">
        <v>2020</v>
      </c>
      <c r="J3740" s="122" t="s">
        <v>710</v>
      </c>
      <c r="K3740" s="283">
        <v>5</v>
      </c>
      <c r="L3740" s="318">
        <v>-33.615574000000002</v>
      </c>
      <c r="M3740" s="318">
        <v>150.27299500000001</v>
      </c>
      <c r="O3740">
        <f>INDEX('MEC - traffic congestion'!$M$145:$M$249,MATCH($D3740,'MEC - traffic congestion'!$C$145:$C$249,0))</f>
        <v>1</v>
      </c>
      <c r="P3740" t="str">
        <f t="shared" si="170"/>
        <v>2020OFF PEAK</v>
      </c>
      <c r="Q3740">
        <f t="shared" si="171"/>
        <v>1</v>
      </c>
      <c r="R3740" s="195" t="str">
        <f t="shared" si="172"/>
        <v>2020LIGHT VEHICLES</v>
      </c>
    </row>
    <row r="3741" spans="3:18" x14ac:dyDescent="0.25">
      <c r="C3741" s="294" t="s">
        <v>1008</v>
      </c>
      <c r="D3741" s="317" t="s">
        <v>748</v>
      </c>
      <c r="E3741" s="122" t="s">
        <v>1009</v>
      </c>
      <c r="F3741" s="122" t="s">
        <v>1010</v>
      </c>
      <c r="G3741" s="122" t="s">
        <v>785</v>
      </c>
      <c r="H3741" s="122" t="s">
        <v>777</v>
      </c>
      <c r="I3741" s="312">
        <v>2020</v>
      </c>
      <c r="J3741" s="122" t="s">
        <v>711</v>
      </c>
      <c r="K3741" s="283">
        <v>4</v>
      </c>
      <c r="L3741" s="318">
        <v>-33.615574000000002</v>
      </c>
      <c r="M3741" s="318">
        <v>150.27299500000001</v>
      </c>
      <c r="O3741">
        <f>INDEX('MEC - traffic congestion'!$M$145:$M$249,MATCH($D3741,'MEC - traffic congestion'!$C$145:$C$249,0))</f>
        <v>1</v>
      </c>
      <c r="P3741" t="str">
        <f t="shared" si="170"/>
        <v>2020PM PEAK</v>
      </c>
      <c r="Q3741">
        <f t="shared" si="171"/>
        <v>1</v>
      </c>
      <c r="R3741" s="195" t="str">
        <f t="shared" si="172"/>
        <v>2020LIGHT VEHICLES</v>
      </c>
    </row>
    <row r="3742" spans="3:18" x14ac:dyDescent="0.25">
      <c r="C3742" s="294" t="s">
        <v>1008</v>
      </c>
      <c r="D3742" s="317" t="s">
        <v>748</v>
      </c>
      <c r="E3742" s="122" t="s">
        <v>1009</v>
      </c>
      <c r="F3742" s="122" t="s">
        <v>1010</v>
      </c>
      <c r="G3742" s="122" t="s">
        <v>785</v>
      </c>
      <c r="H3742" s="122" t="s">
        <v>777</v>
      </c>
      <c r="I3742" s="312">
        <v>2020</v>
      </c>
      <c r="J3742" s="122" t="s">
        <v>712</v>
      </c>
      <c r="K3742" s="283">
        <v>5</v>
      </c>
      <c r="L3742" s="318">
        <v>-33.615574000000002</v>
      </c>
      <c r="M3742" s="318">
        <v>150.27299500000001</v>
      </c>
      <c r="O3742">
        <f>INDEX('MEC - traffic congestion'!$M$145:$M$249,MATCH($D3742,'MEC - traffic congestion'!$C$145:$C$249,0))</f>
        <v>1</v>
      </c>
      <c r="P3742" t="str">
        <f t="shared" si="170"/>
        <v>2020PUBLIC HOLIDAYS</v>
      </c>
      <c r="Q3742">
        <f t="shared" si="171"/>
        <v>1</v>
      </c>
      <c r="R3742" s="195" t="str">
        <f t="shared" si="172"/>
        <v>2020LIGHT VEHICLES</v>
      </c>
    </row>
    <row r="3743" spans="3:18" x14ac:dyDescent="0.25">
      <c r="C3743" s="294" t="s">
        <v>1008</v>
      </c>
      <c r="D3743" s="317" t="s">
        <v>748</v>
      </c>
      <c r="E3743" s="122" t="s">
        <v>1009</v>
      </c>
      <c r="F3743" s="122" t="s">
        <v>1010</v>
      </c>
      <c r="G3743" s="122" t="s">
        <v>785</v>
      </c>
      <c r="H3743" s="122" t="s">
        <v>777</v>
      </c>
      <c r="I3743" s="312">
        <v>2020</v>
      </c>
      <c r="J3743" s="122" t="s">
        <v>713</v>
      </c>
      <c r="K3743" s="283">
        <v>9</v>
      </c>
      <c r="L3743" s="318">
        <v>-33.615574000000002</v>
      </c>
      <c r="M3743" s="318">
        <v>150.27299500000001</v>
      </c>
      <c r="O3743">
        <f>INDEX('MEC - traffic congestion'!$M$145:$M$249,MATCH($D3743,'MEC - traffic congestion'!$C$145:$C$249,0))</f>
        <v>1</v>
      </c>
      <c r="P3743" t="str">
        <f t="shared" si="170"/>
        <v>2020WEEKENDS</v>
      </c>
      <c r="Q3743">
        <f t="shared" si="171"/>
        <v>1</v>
      </c>
      <c r="R3743" s="195" t="str">
        <f t="shared" si="172"/>
        <v>2020LIGHT VEHICLES</v>
      </c>
    </row>
    <row r="3744" spans="3:18" x14ac:dyDescent="0.25">
      <c r="C3744" s="294" t="s">
        <v>1008</v>
      </c>
      <c r="D3744" s="317" t="s">
        <v>748</v>
      </c>
      <c r="E3744" s="122" t="s">
        <v>1009</v>
      </c>
      <c r="F3744" s="122" t="s">
        <v>1010</v>
      </c>
      <c r="G3744" s="122" t="s">
        <v>785</v>
      </c>
      <c r="H3744" s="122" t="s">
        <v>777</v>
      </c>
      <c r="I3744" s="312">
        <v>2021</v>
      </c>
      <c r="J3744" s="122" t="s">
        <v>709</v>
      </c>
      <c r="K3744" s="283">
        <v>4</v>
      </c>
      <c r="L3744" s="318">
        <v>-33.615574000000002</v>
      </c>
      <c r="M3744" s="318">
        <v>150.27299500000001</v>
      </c>
      <c r="O3744">
        <f>INDEX('MEC - traffic congestion'!$M$145:$M$249,MATCH($D3744,'MEC - traffic congestion'!$C$145:$C$249,0))</f>
        <v>1</v>
      </c>
      <c r="P3744" t="str">
        <f t="shared" si="170"/>
        <v>2021AM PEAK</v>
      </c>
      <c r="Q3744">
        <f t="shared" si="171"/>
        <v>1</v>
      </c>
      <c r="R3744" s="195" t="str">
        <f t="shared" si="172"/>
        <v>2021LIGHT VEHICLES</v>
      </c>
    </row>
    <row r="3745" spans="3:18" x14ac:dyDescent="0.25">
      <c r="C3745" s="294" t="s">
        <v>1008</v>
      </c>
      <c r="D3745" s="317" t="s">
        <v>748</v>
      </c>
      <c r="E3745" s="122" t="s">
        <v>1009</v>
      </c>
      <c r="F3745" s="122" t="s">
        <v>1010</v>
      </c>
      <c r="G3745" s="122" t="s">
        <v>785</v>
      </c>
      <c r="H3745" s="122" t="s">
        <v>777</v>
      </c>
      <c r="I3745" s="312">
        <v>2021</v>
      </c>
      <c r="J3745" s="122" t="s">
        <v>710</v>
      </c>
      <c r="K3745" s="283">
        <v>5</v>
      </c>
      <c r="L3745" s="318">
        <v>-33.615574000000002</v>
      </c>
      <c r="M3745" s="318">
        <v>150.27299500000001</v>
      </c>
      <c r="O3745">
        <f>INDEX('MEC - traffic congestion'!$M$145:$M$249,MATCH($D3745,'MEC - traffic congestion'!$C$145:$C$249,0))</f>
        <v>1</v>
      </c>
      <c r="P3745" t="str">
        <f t="shared" si="170"/>
        <v>2021OFF PEAK</v>
      </c>
      <c r="Q3745">
        <f t="shared" si="171"/>
        <v>1</v>
      </c>
      <c r="R3745" s="195" t="str">
        <f t="shared" si="172"/>
        <v>2021LIGHT VEHICLES</v>
      </c>
    </row>
    <row r="3746" spans="3:18" x14ac:dyDescent="0.25">
      <c r="C3746" s="294" t="s">
        <v>1008</v>
      </c>
      <c r="D3746" s="317" t="s">
        <v>748</v>
      </c>
      <c r="E3746" s="122" t="s">
        <v>1009</v>
      </c>
      <c r="F3746" s="122" t="s">
        <v>1010</v>
      </c>
      <c r="G3746" s="122" t="s">
        <v>785</v>
      </c>
      <c r="H3746" s="122" t="s">
        <v>777</v>
      </c>
      <c r="I3746" s="312">
        <v>2021</v>
      </c>
      <c r="J3746" s="122" t="s">
        <v>711</v>
      </c>
      <c r="K3746" s="283">
        <v>4</v>
      </c>
      <c r="L3746" s="318">
        <v>-33.615574000000002</v>
      </c>
      <c r="M3746" s="318">
        <v>150.27299500000001</v>
      </c>
      <c r="O3746">
        <f>INDEX('MEC - traffic congestion'!$M$145:$M$249,MATCH($D3746,'MEC - traffic congestion'!$C$145:$C$249,0))</f>
        <v>1</v>
      </c>
      <c r="P3746" t="str">
        <f t="shared" si="170"/>
        <v>2021PM PEAK</v>
      </c>
      <c r="Q3746">
        <f t="shared" si="171"/>
        <v>1</v>
      </c>
      <c r="R3746" s="195" t="str">
        <f t="shared" si="172"/>
        <v>2021LIGHT VEHICLES</v>
      </c>
    </row>
    <row r="3747" spans="3:18" x14ac:dyDescent="0.25">
      <c r="C3747" s="294" t="s">
        <v>1008</v>
      </c>
      <c r="D3747" s="317" t="s">
        <v>748</v>
      </c>
      <c r="E3747" s="122" t="s">
        <v>1009</v>
      </c>
      <c r="F3747" s="122" t="s">
        <v>1010</v>
      </c>
      <c r="G3747" s="122" t="s">
        <v>785</v>
      </c>
      <c r="H3747" s="122" t="s">
        <v>777</v>
      </c>
      <c r="I3747" s="312">
        <v>2021</v>
      </c>
      <c r="J3747" s="122" t="s">
        <v>713</v>
      </c>
      <c r="K3747" s="283">
        <v>5</v>
      </c>
      <c r="L3747" s="318">
        <v>-33.615574000000002</v>
      </c>
      <c r="M3747" s="318">
        <v>150.27299500000001</v>
      </c>
      <c r="O3747">
        <f>INDEX('MEC - traffic congestion'!$M$145:$M$249,MATCH($D3747,'MEC - traffic congestion'!$C$145:$C$249,0))</f>
        <v>1</v>
      </c>
      <c r="P3747" t="str">
        <f t="shared" si="170"/>
        <v>2021WEEKENDS</v>
      </c>
      <c r="Q3747">
        <f t="shared" si="171"/>
        <v>1</v>
      </c>
      <c r="R3747" s="195" t="str">
        <f t="shared" si="172"/>
        <v>2021LIGHT VEHICLES</v>
      </c>
    </row>
    <row r="3748" spans="3:18" x14ac:dyDescent="0.25">
      <c r="C3748" s="294" t="s">
        <v>1008</v>
      </c>
      <c r="D3748" s="317" t="s">
        <v>748</v>
      </c>
      <c r="E3748" s="122" t="s">
        <v>1009</v>
      </c>
      <c r="F3748" s="122" t="s">
        <v>1010</v>
      </c>
      <c r="G3748" s="122" t="s">
        <v>785</v>
      </c>
      <c r="H3748" s="122" t="s">
        <v>777</v>
      </c>
      <c r="I3748" s="312">
        <v>2022</v>
      </c>
      <c r="J3748" s="122" t="s">
        <v>709</v>
      </c>
      <c r="K3748" s="283">
        <v>4</v>
      </c>
      <c r="L3748" s="318">
        <v>-33.615574000000002</v>
      </c>
      <c r="M3748" s="318">
        <v>150.27299500000001</v>
      </c>
      <c r="O3748">
        <f>INDEX('MEC - traffic congestion'!$M$145:$M$249,MATCH($D3748,'MEC - traffic congestion'!$C$145:$C$249,0))</f>
        <v>1</v>
      </c>
      <c r="P3748" t="str">
        <f t="shared" si="170"/>
        <v>2022AM PEAK</v>
      </c>
      <c r="Q3748">
        <f t="shared" si="171"/>
        <v>1</v>
      </c>
      <c r="R3748" s="195" t="str">
        <f t="shared" si="172"/>
        <v>2022LIGHT VEHICLES</v>
      </c>
    </row>
    <row r="3749" spans="3:18" x14ac:dyDescent="0.25">
      <c r="C3749" s="294" t="s">
        <v>1008</v>
      </c>
      <c r="D3749" s="317" t="s">
        <v>748</v>
      </c>
      <c r="E3749" s="122" t="s">
        <v>1009</v>
      </c>
      <c r="F3749" s="122" t="s">
        <v>1010</v>
      </c>
      <c r="G3749" s="122" t="s">
        <v>785</v>
      </c>
      <c r="H3749" s="122" t="s">
        <v>777</v>
      </c>
      <c r="I3749" s="312">
        <v>2022</v>
      </c>
      <c r="J3749" s="122" t="s">
        <v>710</v>
      </c>
      <c r="K3749" s="283">
        <v>5</v>
      </c>
      <c r="L3749" s="318">
        <v>-33.615574000000002</v>
      </c>
      <c r="M3749" s="318">
        <v>150.27299500000001</v>
      </c>
      <c r="O3749">
        <f>INDEX('MEC - traffic congestion'!$M$145:$M$249,MATCH($D3749,'MEC - traffic congestion'!$C$145:$C$249,0))</f>
        <v>1</v>
      </c>
      <c r="P3749" t="str">
        <f t="shared" si="170"/>
        <v>2022OFF PEAK</v>
      </c>
      <c r="Q3749">
        <f t="shared" si="171"/>
        <v>1</v>
      </c>
      <c r="R3749" s="195" t="str">
        <f t="shared" si="172"/>
        <v>2022LIGHT VEHICLES</v>
      </c>
    </row>
    <row r="3750" spans="3:18" x14ac:dyDescent="0.25">
      <c r="C3750" s="294" t="s">
        <v>1008</v>
      </c>
      <c r="D3750" s="317" t="s">
        <v>748</v>
      </c>
      <c r="E3750" s="122" t="s">
        <v>1009</v>
      </c>
      <c r="F3750" s="122" t="s">
        <v>1010</v>
      </c>
      <c r="G3750" s="122" t="s">
        <v>785</v>
      </c>
      <c r="H3750" s="122" t="s">
        <v>777</v>
      </c>
      <c r="I3750" s="312">
        <v>2022</v>
      </c>
      <c r="J3750" s="122" t="s">
        <v>711</v>
      </c>
      <c r="K3750" s="283">
        <v>4</v>
      </c>
      <c r="L3750" s="318">
        <v>-33.615574000000002</v>
      </c>
      <c r="M3750" s="318">
        <v>150.27299500000001</v>
      </c>
      <c r="O3750">
        <f>INDEX('MEC - traffic congestion'!$M$145:$M$249,MATCH($D3750,'MEC - traffic congestion'!$C$145:$C$249,0))</f>
        <v>1</v>
      </c>
      <c r="P3750" t="str">
        <f t="shared" si="170"/>
        <v>2022PM PEAK</v>
      </c>
      <c r="Q3750">
        <f t="shared" si="171"/>
        <v>1</v>
      </c>
      <c r="R3750" s="195" t="str">
        <f t="shared" si="172"/>
        <v>2022LIGHT VEHICLES</v>
      </c>
    </row>
    <row r="3751" spans="3:18" x14ac:dyDescent="0.25">
      <c r="C3751" s="294" t="s">
        <v>1008</v>
      </c>
      <c r="D3751" s="317" t="s">
        <v>748</v>
      </c>
      <c r="E3751" s="122" t="s">
        <v>1009</v>
      </c>
      <c r="F3751" s="122" t="s">
        <v>1010</v>
      </c>
      <c r="G3751" s="122" t="s">
        <v>785</v>
      </c>
      <c r="H3751" s="122" t="s">
        <v>777</v>
      </c>
      <c r="I3751" s="312">
        <v>2022</v>
      </c>
      <c r="J3751" s="122" t="s">
        <v>713</v>
      </c>
      <c r="K3751" s="283">
        <v>6</v>
      </c>
      <c r="L3751" s="318">
        <v>-33.615574000000002</v>
      </c>
      <c r="M3751" s="318">
        <v>150.27299500000001</v>
      </c>
      <c r="O3751">
        <f>INDEX('MEC - traffic congestion'!$M$145:$M$249,MATCH($D3751,'MEC - traffic congestion'!$C$145:$C$249,0))</f>
        <v>1</v>
      </c>
      <c r="P3751" t="str">
        <f t="shared" si="170"/>
        <v>2022WEEKENDS</v>
      </c>
      <c r="Q3751">
        <f t="shared" si="171"/>
        <v>1</v>
      </c>
      <c r="R3751" s="195" t="str">
        <f t="shared" si="172"/>
        <v>2022LIGHT VEHICLES</v>
      </c>
    </row>
    <row r="3752" spans="3:18" x14ac:dyDescent="0.25">
      <c r="C3752" s="294" t="s">
        <v>1008</v>
      </c>
      <c r="D3752" s="317" t="s">
        <v>748</v>
      </c>
      <c r="E3752" s="122" t="s">
        <v>1009</v>
      </c>
      <c r="F3752" s="122" t="s">
        <v>1010</v>
      </c>
      <c r="G3752" s="122" t="s">
        <v>785</v>
      </c>
      <c r="H3752" s="122" t="s">
        <v>777</v>
      </c>
      <c r="I3752" s="312">
        <v>2023</v>
      </c>
      <c r="J3752" s="122" t="s">
        <v>709</v>
      </c>
      <c r="K3752" s="283">
        <v>5</v>
      </c>
      <c r="L3752" s="318">
        <v>-33.615574000000002</v>
      </c>
      <c r="M3752" s="318">
        <v>150.27299500000001</v>
      </c>
      <c r="O3752">
        <f>INDEX('MEC - traffic congestion'!$M$145:$M$249,MATCH($D3752,'MEC - traffic congestion'!$C$145:$C$249,0))</f>
        <v>1</v>
      </c>
      <c r="P3752" t="str">
        <f t="shared" si="170"/>
        <v>2023AM PEAK</v>
      </c>
      <c r="Q3752">
        <f t="shared" si="171"/>
        <v>1</v>
      </c>
      <c r="R3752" s="195" t="str">
        <f t="shared" si="172"/>
        <v>2023LIGHT VEHICLES</v>
      </c>
    </row>
    <row r="3753" spans="3:18" x14ac:dyDescent="0.25">
      <c r="C3753" s="294" t="s">
        <v>1008</v>
      </c>
      <c r="D3753" s="317" t="s">
        <v>748</v>
      </c>
      <c r="E3753" s="122" t="s">
        <v>1009</v>
      </c>
      <c r="F3753" s="122" t="s">
        <v>1010</v>
      </c>
      <c r="G3753" s="122" t="s">
        <v>785</v>
      </c>
      <c r="H3753" s="122" t="s">
        <v>777</v>
      </c>
      <c r="I3753" s="312">
        <v>2023</v>
      </c>
      <c r="J3753" s="122" t="s">
        <v>710</v>
      </c>
      <c r="K3753" s="283">
        <v>5</v>
      </c>
      <c r="L3753" s="318">
        <v>-33.615574000000002</v>
      </c>
      <c r="M3753" s="318">
        <v>150.27299500000001</v>
      </c>
      <c r="O3753">
        <f>INDEX('MEC - traffic congestion'!$M$145:$M$249,MATCH($D3753,'MEC - traffic congestion'!$C$145:$C$249,0))</f>
        <v>1</v>
      </c>
      <c r="P3753" t="str">
        <f t="shared" si="170"/>
        <v>2023OFF PEAK</v>
      </c>
      <c r="Q3753">
        <f t="shared" si="171"/>
        <v>1</v>
      </c>
      <c r="R3753" s="195" t="str">
        <f t="shared" si="172"/>
        <v>2023LIGHT VEHICLES</v>
      </c>
    </row>
    <row r="3754" spans="3:18" x14ac:dyDescent="0.25">
      <c r="C3754" s="294" t="s">
        <v>1008</v>
      </c>
      <c r="D3754" s="317" t="s">
        <v>748</v>
      </c>
      <c r="E3754" s="122" t="s">
        <v>1009</v>
      </c>
      <c r="F3754" s="122" t="s">
        <v>1010</v>
      </c>
      <c r="G3754" s="122" t="s">
        <v>785</v>
      </c>
      <c r="H3754" s="122" t="s">
        <v>777</v>
      </c>
      <c r="I3754" s="312">
        <v>2023</v>
      </c>
      <c r="J3754" s="122" t="s">
        <v>711</v>
      </c>
      <c r="K3754" s="283">
        <v>4</v>
      </c>
      <c r="L3754" s="318">
        <v>-33.615574000000002</v>
      </c>
      <c r="M3754" s="318">
        <v>150.27299500000001</v>
      </c>
      <c r="O3754">
        <f>INDEX('MEC - traffic congestion'!$M$145:$M$249,MATCH($D3754,'MEC - traffic congestion'!$C$145:$C$249,0))</f>
        <v>1</v>
      </c>
      <c r="P3754" t="str">
        <f t="shared" si="170"/>
        <v>2023PM PEAK</v>
      </c>
      <c r="Q3754">
        <f t="shared" si="171"/>
        <v>1</v>
      </c>
      <c r="R3754" s="195" t="str">
        <f t="shared" si="172"/>
        <v>2023LIGHT VEHICLES</v>
      </c>
    </row>
    <row r="3755" spans="3:18" x14ac:dyDescent="0.25">
      <c r="C3755" s="294" t="s">
        <v>1008</v>
      </c>
      <c r="D3755" s="317" t="s">
        <v>748</v>
      </c>
      <c r="E3755" s="122" t="s">
        <v>1009</v>
      </c>
      <c r="F3755" s="122" t="s">
        <v>1010</v>
      </c>
      <c r="G3755" s="122" t="s">
        <v>785</v>
      </c>
      <c r="H3755" s="122" t="s">
        <v>777</v>
      </c>
      <c r="I3755" s="312">
        <v>2023</v>
      </c>
      <c r="J3755" s="122" t="s">
        <v>713</v>
      </c>
      <c r="K3755" s="283">
        <v>8</v>
      </c>
      <c r="L3755" s="318">
        <v>-33.615574000000002</v>
      </c>
      <c r="M3755" s="318">
        <v>150.27299500000001</v>
      </c>
      <c r="O3755">
        <f>INDEX('MEC - traffic congestion'!$M$145:$M$249,MATCH($D3755,'MEC - traffic congestion'!$C$145:$C$249,0))</f>
        <v>1</v>
      </c>
      <c r="P3755" t="str">
        <f t="shared" si="170"/>
        <v>2023WEEKENDS</v>
      </c>
      <c r="Q3755">
        <f t="shared" si="171"/>
        <v>1</v>
      </c>
      <c r="R3755" s="195" t="str">
        <f t="shared" si="172"/>
        <v>2023LIGHT VEHICLES</v>
      </c>
    </row>
    <row r="3756" spans="3:18" x14ac:dyDescent="0.25">
      <c r="C3756" s="294" t="s">
        <v>1008</v>
      </c>
      <c r="D3756" s="317" t="s">
        <v>748</v>
      </c>
      <c r="E3756" s="122" t="s">
        <v>1009</v>
      </c>
      <c r="F3756" s="122" t="s">
        <v>1010</v>
      </c>
      <c r="G3756" s="122" t="s">
        <v>785</v>
      </c>
      <c r="H3756" s="122" t="s">
        <v>777</v>
      </c>
      <c r="I3756" s="312">
        <v>2024</v>
      </c>
      <c r="J3756" s="122" t="s">
        <v>709</v>
      </c>
      <c r="K3756" s="283">
        <v>5</v>
      </c>
      <c r="L3756" s="318">
        <v>-33.615574000000002</v>
      </c>
      <c r="M3756" s="318">
        <v>150.27299500000001</v>
      </c>
      <c r="O3756">
        <f>INDEX('MEC - traffic congestion'!$M$145:$M$249,MATCH($D3756,'MEC - traffic congestion'!$C$145:$C$249,0))</f>
        <v>1</v>
      </c>
      <c r="P3756" t="str">
        <f t="shared" si="170"/>
        <v>2024AM PEAK</v>
      </c>
      <c r="Q3756">
        <f t="shared" si="171"/>
        <v>1</v>
      </c>
      <c r="R3756" s="195" t="str">
        <f t="shared" si="172"/>
        <v>2024LIGHT VEHICLES</v>
      </c>
    </row>
    <row r="3757" spans="3:18" x14ac:dyDescent="0.25">
      <c r="C3757" s="294" t="s">
        <v>1008</v>
      </c>
      <c r="D3757" s="317" t="s">
        <v>748</v>
      </c>
      <c r="E3757" s="122" t="s">
        <v>1009</v>
      </c>
      <c r="F3757" s="122" t="s">
        <v>1010</v>
      </c>
      <c r="G3757" s="122" t="s">
        <v>785</v>
      </c>
      <c r="H3757" s="122" t="s">
        <v>777</v>
      </c>
      <c r="I3757" s="312">
        <v>2024</v>
      </c>
      <c r="J3757" s="122" t="s">
        <v>710</v>
      </c>
      <c r="K3757" s="283">
        <v>4</v>
      </c>
      <c r="L3757" s="318">
        <v>-33.615574000000002</v>
      </c>
      <c r="M3757" s="318">
        <v>150.27299500000001</v>
      </c>
      <c r="O3757">
        <f>INDEX('MEC - traffic congestion'!$M$145:$M$249,MATCH($D3757,'MEC - traffic congestion'!$C$145:$C$249,0))</f>
        <v>1</v>
      </c>
      <c r="P3757" t="str">
        <f t="shared" si="170"/>
        <v>2024OFF PEAK</v>
      </c>
      <c r="Q3757">
        <f t="shared" si="171"/>
        <v>1</v>
      </c>
      <c r="R3757" s="195" t="str">
        <f t="shared" si="172"/>
        <v>2024LIGHT VEHICLES</v>
      </c>
    </row>
    <row r="3758" spans="3:18" x14ac:dyDescent="0.25">
      <c r="C3758" s="294" t="s">
        <v>1008</v>
      </c>
      <c r="D3758" s="317" t="s">
        <v>748</v>
      </c>
      <c r="E3758" s="122" t="s">
        <v>1009</v>
      </c>
      <c r="F3758" s="122" t="s">
        <v>1010</v>
      </c>
      <c r="G3758" s="122" t="s">
        <v>785</v>
      </c>
      <c r="H3758" s="122" t="s">
        <v>777</v>
      </c>
      <c r="I3758" s="312">
        <v>2024</v>
      </c>
      <c r="J3758" s="122" t="s">
        <v>711</v>
      </c>
      <c r="K3758" s="283">
        <v>3</v>
      </c>
      <c r="L3758" s="318">
        <v>-33.615574000000002</v>
      </c>
      <c r="M3758" s="318">
        <v>150.27299500000001</v>
      </c>
      <c r="O3758">
        <f>INDEX('MEC - traffic congestion'!$M$145:$M$249,MATCH($D3758,'MEC - traffic congestion'!$C$145:$C$249,0))</f>
        <v>1</v>
      </c>
      <c r="P3758" t="str">
        <f t="shared" si="170"/>
        <v>2024PM PEAK</v>
      </c>
      <c r="Q3758">
        <f t="shared" si="171"/>
        <v>1</v>
      </c>
      <c r="R3758" s="195" t="str">
        <f t="shared" si="172"/>
        <v>2024LIGHT VEHICLES</v>
      </c>
    </row>
    <row r="3759" spans="3:18" x14ac:dyDescent="0.25">
      <c r="C3759" s="294" t="s">
        <v>1008</v>
      </c>
      <c r="D3759" s="317" t="s">
        <v>748</v>
      </c>
      <c r="E3759" s="122" t="s">
        <v>1009</v>
      </c>
      <c r="F3759" s="122" t="s">
        <v>1010</v>
      </c>
      <c r="G3759" s="122" t="s">
        <v>785</v>
      </c>
      <c r="H3759" s="122" t="s">
        <v>777</v>
      </c>
      <c r="I3759" s="312">
        <v>2024</v>
      </c>
      <c r="J3759" s="122" t="s">
        <v>713</v>
      </c>
      <c r="K3759" s="283">
        <v>6</v>
      </c>
      <c r="L3759" s="318">
        <v>-33.615574000000002</v>
      </c>
      <c r="M3759" s="318">
        <v>150.27299500000001</v>
      </c>
      <c r="O3759">
        <f>INDEX('MEC - traffic congestion'!$M$145:$M$249,MATCH($D3759,'MEC - traffic congestion'!$C$145:$C$249,0))</f>
        <v>1</v>
      </c>
      <c r="P3759" t="str">
        <f t="shared" si="170"/>
        <v>2024WEEKENDS</v>
      </c>
      <c r="Q3759">
        <f t="shared" si="171"/>
        <v>1</v>
      </c>
      <c r="R3759" s="195" t="str">
        <f t="shared" si="172"/>
        <v>2024LIGHT VEHICLES</v>
      </c>
    </row>
    <row r="3760" spans="3:18" x14ac:dyDescent="0.25">
      <c r="C3760" s="294" t="s">
        <v>1011</v>
      </c>
      <c r="D3760" s="317" t="s">
        <v>749</v>
      </c>
      <c r="E3760" s="122" t="s">
        <v>1009</v>
      </c>
      <c r="F3760" s="122" t="s">
        <v>1010</v>
      </c>
      <c r="G3760" s="122" t="s">
        <v>785</v>
      </c>
      <c r="H3760" s="122" t="s">
        <v>777</v>
      </c>
      <c r="I3760" s="312">
        <v>2018</v>
      </c>
      <c r="J3760" s="122" t="s">
        <v>709</v>
      </c>
      <c r="K3760" s="283">
        <v>5</v>
      </c>
      <c r="L3760" s="318">
        <v>-33.615974000000001</v>
      </c>
      <c r="M3760" s="318">
        <v>150.27333100000001</v>
      </c>
      <c r="O3760">
        <f>INDEX('MEC - traffic congestion'!$M$145:$M$249,MATCH($D3760,'MEC - traffic congestion'!$C$145:$C$249,0))</f>
        <v>1</v>
      </c>
      <c r="P3760" t="str">
        <f t="shared" si="170"/>
        <v>2018AM PEAK</v>
      </c>
      <c r="Q3760">
        <f t="shared" si="171"/>
        <v>1</v>
      </c>
      <c r="R3760" s="195" t="str">
        <f t="shared" si="172"/>
        <v>2018LIGHT VEHICLES</v>
      </c>
    </row>
    <row r="3761" spans="3:18" x14ac:dyDescent="0.25">
      <c r="C3761" s="294" t="s">
        <v>1011</v>
      </c>
      <c r="D3761" s="317" t="s">
        <v>749</v>
      </c>
      <c r="E3761" s="122" t="s">
        <v>1009</v>
      </c>
      <c r="F3761" s="122" t="s">
        <v>1010</v>
      </c>
      <c r="G3761" s="122" t="s">
        <v>785</v>
      </c>
      <c r="H3761" s="122" t="s">
        <v>777</v>
      </c>
      <c r="I3761" s="312">
        <v>2018</v>
      </c>
      <c r="J3761" s="122" t="s">
        <v>710</v>
      </c>
      <c r="K3761" s="283">
        <v>7</v>
      </c>
      <c r="L3761" s="318">
        <v>-33.615974000000001</v>
      </c>
      <c r="M3761" s="318">
        <v>150.27333100000001</v>
      </c>
      <c r="O3761">
        <f>INDEX('MEC - traffic congestion'!$M$145:$M$249,MATCH($D3761,'MEC - traffic congestion'!$C$145:$C$249,0))</f>
        <v>1</v>
      </c>
      <c r="P3761" t="str">
        <f t="shared" si="170"/>
        <v>2018OFF PEAK</v>
      </c>
      <c r="Q3761">
        <f t="shared" si="171"/>
        <v>1</v>
      </c>
      <c r="R3761" s="195" t="str">
        <f t="shared" si="172"/>
        <v>2018LIGHT VEHICLES</v>
      </c>
    </row>
    <row r="3762" spans="3:18" x14ac:dyDescent="0.25">
      <c r="C3762" s="294" t="s">
        <v>1011</v>
      </c>
      <c r="D3762" s="317" t="s">
        <v>749</v>
      </c>
      <c r="E3762" s="122" t="s">
        <v>1009</v>
      </c>
      <c r="F3762" s="122" t="s">
        <v>1010</v>
      </c>
      <c r="G3762" s="122" t="s">
        <v>785</v>
      </c>
      <c r="H3762" s="122" t="s">
        <v>777</v>
      </c>
      <c r="I3762" s="312">
        <v>2018</v>
      </c>
      <c r="J3762" s="122" t="s">
        <v>711</v>
      </c>
      <c r="K3762" s="283">
        <v>4</v>
      </c>
      <c r="L3762" s="318">
        <v>-33.615974000000001</v>
      </c>
      <c r="M3762" s="318">
        <v>150.27333100000001</v>
      </c>
      <c r="O3762">
        <f>INDEX('MEC - traffic congestion'!$M$145:$M$249,MATCH($D3762,'MEC - traffic congestion'!$C$145:$C$249,0))</f>
        <v>1</v>
      </c>
      <c r="P3762" t="str">
        <f t="shared" si="170"/>
        <v>2018PM PEAK</v>
      </c>
      <c r="Q3762">
        <f t="shared" si="171"/>
        <v>1</v>
      </c>
      <c r="R3762" s="195" t="str">
        <f t="shared" si="172"/>
        <v>2018LIGHT VEHICLES</v>
      </c>
    </row>
    <row r="3763" spans="3:18" x14ac:dyDescent="0.25">
      <c r="C3763" s="294" t="s">
        <v>1011</v>
      </c>
      <c r="D3763" s="317" t="s">
        <v>749</v>
      </c>
      <c r="E3763" s="122" t="s">
        <v>1009</v>
      </c>
      <c r="F3763" s="122" t="s">
        <v>1010</v>
      </c>
      <c r="G3763" s="122" t="s">
        <v>785</v>
      </c>
      <c r="H3763" s="122" t="s">
        <v>777</v>
      </c>
      <c r="I3763" s="312">
        <v>2018</v>
      </c>
      <c r="J3763" s="122" t="s">
        <v>712</v>
      </c>
      <c r="K3763" s="283">
        <v>6</v>
      </c>
      <c r="L3763" s="318">
        <v>-33.615974000000001</v>
      </c>
      <c r="M3763" s="318">
        <v>150.27333100000001</v>
      </c>
      <c r="O3763">
        <f>INDEX('MEC - traffic congestion'!$M$145:$M$249,MATCH($D3763,'MEC - traffic congestion'!$C$145:$C$249,0))</f>
        <v>1</v>
      </c>
      <c r="P3763" t="str">
        <f t="shared" si="170"/>
        <v>2018PUBLIC HOLIDAYS</v>
      </c>
      <c r="Q3763">
        <f t="shared" si="171"/>
        <v>1</v>
      </c>
      <c r="R3763" s="195" t="str">
        <f t="shared" si="172"/>
        <v>2018LIGHT VEHICLES</v>
      </c>
    </row>
    <row r="3764" spans="3:18" x14ac:dyDescent="0.25">
      <c r="C3764" s="294" t="s">
        <v>1011</v>
      </c>
      <c r="D3764" s="317" t="s">
        <v>749</v>
      </c>
      <c r="E3764" s="122" t="s">
        <v>1009</v>
      </c>
      <c r="F3764" s="122" t="s">
        <v>1010</v>
      </c>
      <c r="G3764" s="122" t="s">
        <v>785</v>
      </c>
      <c r="H3764" s="122" t="s">
        <v>777</v>
      </c>
      <c r="I3764" s="312">
        <v>2018</v>
      </c>
      <c r="J3764" s="122" t="s">
        <v>713</v>
      </c>
      <c r="K3764" s="283">
        <v>8</v>
      </c>
      <c r="L3764" s="318">
        <v>-33.615974000000001</v>
      </c>
      <c r="M3764" s="318">
        <v>150.27333100000001</v>
      </c>
      <c r="O3764">
        <f>INDEX('MEC - traffic congestion'!$M$145:$M$249,MATCH($D3764,'MEC - traffic congestion'!$C$145:$C$249,0))</f>
        <v>1</v>
      </c>
      <c r="P3764" t="str">
        <f t="shared" si="170"/>
        <v>2018WEEKENDS</v>
      </c>
      <c r="Q3764">
        <f t="shared" si="171"/>
        <v>1</v>
      </c>
      <c r="R3764" s="195" t="str">
        <f t="shared" si="172"/>
        <v>2018LIGHT VEHICLES</v>
      </c>
    </row>
    <row r="3765" spans="3:18" x14ac:dyDescent="0.25">
      <c r="C3765" s="294" t="s">
        <v>1011</v>
      </c>
      <c r="D3765" s="317" t="s">
        <v>749</v>
      </c>
      <c r="E3765" s="122" t="s">
        <v>1009</v>
      </c>
      <c r="F3765" s="122" t="s">
        <v>1010</v>
      </c>
      <c r="G3765" s="122" t="s">
        <v>785</v>
      </c>
      <c r="H3765" s="122" t="s">
        <v>777</v>
      </c>
      <c r="I3765" s="312">
        <v>2019</v>
      </c>
      <c r="J3765" s="122" t="s">
        <v>709</v>
      </c>
      <c r="K3765" s="283">
        <v>5</v>
      </c>
      <c r="L3765" s="318">
        <v>-33.615974000000001</v>
      </c>
      <c r="M3765" s="318">
        <v>150.27333100000001</v>
      </c>
      <c r="O3765">
        <f>INDEX('MEC - traffic congestion'!$M$145:$M$249,MATCH($D3765,'MEC - traffic congestion'!$C$145:$C$249,0))</f>
        <v>1</v>
      </c>
      <c r="P3765" t="str">
        <f t="shared" si="170"/>
        <v>2019AM PEAK</v>
      </c>
      <c r="Q3765">
        <f t="shared" si="171"/>
        <v>1</v>
      </c>
      <c r="R3765" s="195" t="str">
        <f t="shared" si="172"/>
        <v>2019LIGHT VEHICLES</v>
      </c>
    </row>
    <row r="3766" spans="3:18" x14ac:dyDescent="0.25">
      <c r="C3766" s="294" t="s">
        <v>1011</v>
      </c>
      <c r="D3766" s="317" t="s">
        <v>749</v>
      </c>
      <c r="E3766" s="122" t="s">
        <v>1009</v>
      </c>
      <c r="F3766" s="122" t="s">
        <v>1010</v>
      </c>
      <c r="G3766" s="122" t="s">
        <v>785</v>
      </c>
      <c r="H3766" s="122" t="s">
        <v>777</v>
      </c>
      <c r="I3766" s="312">
        <v>2019</v>
      </c>
      <c r="J3766" s="122" t="s">
        <v>710</v>
      </c>
      <c r="K3766" s="283">
        <v>8</v>
      </c>
      <c r="L3766" s="318">
        <v>-33.615974000000001</v>
      </c>
      <c r="M3766" s="318">
        <v>150.27333100000001</v>
      </c>
      <c r="O3766">
        <f>INDEX('MEC - traffic congestion'!$M$145:$M$249,MATCH($D3766,'MEC - traffic congestion'!$C$145:$C$249,0))</f>
        <v>1</v>
      </c>
      <c r="P3766" t="str">
        <f t="shared" si="170"/>
        <v>2019OFF PEAK</v>
      </c>
      <c r="Q3766">
        <f t="shared" si="171"/>
        <v>1</v>
      </c>
      <c r="R3766" s="195" t="str">
        <f t="shared" si="172"/>
        <v>2019LIGHT VEHICLES</v>
      </c>
    </row>
    <row r="3767" spans="3:18" x14ac:dyDescent="0.25">
      <c r="C3767" s="294" t="s">
        <v>1011</v>
      </c>
      <c r="D3767" s="317" t="s">
        <v>749</v>
      </c>
      <c r="E3767" s="122" t="s">
        <v>1009</v>
      </c>
      <c r="F3767" s="122" t="s">
        <v>1010</v>
      </c>
      <c r="G3767" s="122" t="s">
        <v>785</v>
      </c>
      <c r="H3767" s="122" t="s">
        <v>777</v>
      </c>
      <c r="I3767" s="312">
        <v>2019</v>
      </c>
      <c r="J3767" s="122" t="s">
        <v>711</v>
      </c>
      <c r="K3767" s="283">
        <v>4</v>
      </c>
      <c r="L3767" s="318">
        <v>-33.615974000000001</v>
      </c>
      <c r="M3767" s="318">
        <v>150.27333100000001</v>
      </c>
      <c r="O3767">
        <f>INDEX('MEC - traffic congestion'!$M$145:$M$249,MATCH($D3767,'MEC - traffic congestion'!$C$145:$C$249,0))</f>
        <v>1</v>
      </c>
      <c r="P3767" t="str">
        <f t="shared" si="170"/>
        <v>2019PM PEAK</v>
      </c>
      <c r="Q3767">
        <f t="shared" si="171"/>
        <v>1</v>
      </c>
      <c r="R3767" s="195" t="str">
        <f t="shared" si="172"/>
        <v>2019LIGHT VEHICLES</v>
      </c>
    </row>
    <row r="3768" spans="3:18" x14ac:dyDescent="0.25">
      <c r="C3768" s="294" t="s">
        <v>1011</v>
      </c>
      <c r="D3768" s="317" t="s">
        <v>749</v>
      </c>
      <c r="E3768" s="122" t="s">
        <v>1009</v>
      </c>
      <c r="F3768" s="122" t="s">
        <v>1010</v>
      </c>
      <c r="G3768" s="122" t="s">
        <v>785</v>
      </c>
      <c r="H3768" s="122" t="s">
        <v>777</v>
      </c>
      <c r="I3768" s="312">
        <v>2019</v>
      </c>
      <c r="J3768" s="122" t="s">
        <v>712</v>
      </c>
      <c r="K3768" s="283">
        <v>10</v>
      </c>
      <c r="L3768" s="318">
        <v>-33.615974000000001</v>
      </c>
      <c r="M3768" s="318">
        <v>150.27333100000001</v>
      </c>
      <c r="O3768">
        <f>INDEX('MEC - traffic congestion'!$M$145:$M$249,MATCH($D3768,'MEC - traffic congestion'!$C$145:$C$249,0))</f>
        <v>1</v>
      </c>
      <c r="P3768" t="str">
        <f t="shared" si="170"/>
        <v>2019PUBLIC HOLIDAYS</v>
      </c>
      <c r="Q3768">
        <f t="shared" si="171"/>
        <v>1</v>
      </c>
      <c r="R3768" s="195" t="str">
        <f t="shared" si="172"/>
        <v>2019LIGHT VEHICLES</v>
      </c>
    </row>
    <row r="3769" spans="3:18" x14ac:dyDescent="0.25">
      <c r="C3769" s="294" t="s">
        <v>1011</v>
      </c>
      <c r="D3769" s="317" t="s">
        <v>749</v>
      </c>
      <c r="E3769" s="122" t="s">
        <v>1009</v>
      </c>
      <c r="F3769" s="122" t="s">
        <v>1010</v>
      </c>
      <c r="G3769" s="122" t="s">
        <v>785</v>
      </c>
      <c r="H3769" s="122" t="s">
        <v>777</v>
      </c>
      <c r="I3769" s="312">
        <v>2019</v>
      </c>
      <c r="J3769" s="122" t="s">
        <v>713</v>
      </c>
      <c r="K3769" s="283">
        <v>10</v>
      </c>
      <c r="L3769" s="318">
        <v>-33.615974000000001</v>
      </c>
      <c r="M3769" s="318">
        <v>150.27333100000001</v>
      </c>
      <c r="O3769">
        <f>INDEX('MEC - traffic congestion'!$M$145:$M$249,MATCH($D3769,'MEC - traffic congestion'!$C$145:$C$249,0))</f>
        <v>1</v>
      </c>
      <c r="P3769" t="str">
        <f t="shared" si="170"/>
        <v>2019WEEKENDS</v>
      </c>
      <c r="Q3769">
        <f t="shared" si="171"/>
        <v>1</v>
      </c>
      <c r="R3769" s="195" t="str">
        <f t="shared" si="172"/>
        <v>2019LIGHT VEHICLES</v>
      </c>
    </row>
    <row r="3770" spans="3:18" x14ac:dyDescent="0.25">
      <c r="C3770" s="294" t="s">
        <v>1011</v>
      </c>
      <c r="D3770" s="317" t="s">
        <v>749</v>
      </c>
      <c r="E3770" s="122" t="s">
        <v>1009</v>
      </c>
      <c r="F3770" s="122" t="s">
        <v>1010</v>
      </c>
      <c r="G3770" s="122" t="s">
        <v>785</v>
      </c>
      <c r="H3770" s="122" t="s">
        <v>777</v>
      </c>
      <c r="I3770" s="312">
        <v>2020</v>
      </c>
      <c r="J3770" s="122" t="s">
        <v>709</v>
      </c>
      <c r="K3770" s="283">
        <v>6</v>
      </c>
      <c r="L3770" s="318">
        <v>-33.615974000000001</v>
      </c>
      <c r="M3770" s="318">
        <v>150.27333100000001</v>
      </c>
      <c r="O3770">
        <f>INDEX('MEC - traffic congestion'!$M$145:$M$249,MATCH($D3770,'MEC - traffic congestion'!$C$145:$C$249,0))</f>
        <v>1</v>
      </c>
      <c r="P3770" t="str">
        <f t="shared" si="170"/>
        <v>2020AM PEAK</v>
      </c>
      <c r="Q3770">
        <f t="shared" si="171"/>
        <v>1</v>
      </c>
      <c r="R3770" s="195" t="str">
        <f t="shared" si="172"/>
        <v>2020LIGHT VEHICLES</v>
      </c>
    </row>
    <row r="3771" spans="3:18" x14ac:dyDescent="0.25">
      <c r="C3771" s="294" t="s">
        <v>1011</v>
      </c>
      <c r="D3771" s="317" t="s">
        <v>749</v>
      </c>
      <c r="E3771" s="122" t="s">
        <v>1009</v>
      </c>
      <c r="F3771" s="122" t="s">
        <v>1010</v>
      </c>
      <c r="G3771" s="122" t="s">
        <v>785</v>
      </c>
      <c r="H3771" s="122" t="s">
        <v>777</v>
      </c>
      <c r="I3771" s="312">
        <v>2020</v>
      </c>
      <c r="J3771" s="122" t="s">
        <v>710</v>
      </c>
      <c r="K3771" s="283">
        <v>7</v>
      </c>
      <c r="L3771" s="318">
        <v>-33.615974000000001</v>
      </c>
      <c r="M3771" s="318">
        <v>150.27333100000001</v>
      </c>
      <c r="O3771">
        <f>INDEX('MEC - traffic congestion'!$M$145:$M$249,MATCH($D3771,'MEC - traffic congestion'!$C$145:$C$249,0))</f>
        <v>1</v>
      </c>
      <c r="P3771" t="str">
        <f t="shared" si="170"/>
        <v>2020OFF PEAK</v>
      </c>
      <c r="Q3771">
        <f t="shared" si="171"/>
        <v>1</v>
      </c>
      <c r="R3771" s="195" t="str">
        <f t="shared" si="172"/>
        <v>2020LIGHT VEHICLES</v>
      </c>
    </row>
    <row r="3772" spans="3:18" x14ac:dyDescent="0.25">
      <c r="C3772" s="294" t="s">
        <v>1011</v>
      </c>
      <c r="D3772" s="317" t="s">
        <v>749</v>
      </c>
      <c r="E3772" s="122" t="s">
        <v>1009</v>
      </c>
      <c r="F3772" s="122" t="s">
        <v>1010</v>
      </c>
      <c r="G3772" s="122" t="s">
        <v>785</v>
      </c>
      <c r="H3772" s="122" t="s">
        <v>777</v>
      </c>
      <c r="I3772" s="312">
        <v>2020</v>
      </c>
      <c r="J3772" s="122" t="s">
        <v>711</v>
      </c>
      <c r="K3772" s="283">
        <v>5</v>
      </c>
      <c r="L3772" s="318">
        <v>-33.615974000000001</v>
      </c>
      <c r="M3772" s="318">
        <v>150.27333100000001</v>
      </c>
      <c r="O3772">
        <f>INDEX('MEC - traffic congestion'!$M$145:$M$249,MATCH($D3772,'MEC - traffic congestion'!$C$145:$C$249,0))</f>
        <v>1</v>
      </c>
      <c r="P3772" t="str">
        <f t="shared" si="170"/>
        <v>2020PM PEAK</v>
      </c>
      <c r="Q3772">
        <f t="shared" si="171"/>
        <v>1</v>
      </c>
      <c r="R3772" s="195" t="str">
        <f t="shared" si="172"/>
        <v>2020LIGHT VEHICLES</v>
      </c>
    </row>
    <row r="3773" spans="3:18" x14ac:dyDescent="0.25">
      <c r="C3773" s="294" t="s">
        <v>1011</v>
      </c>
      <c r="D3773" s="317" t="s">
        <v>749</v>
      </c>
      <c r="E3773" s="122" t="s">
        <v>1009</v>
      </c>
      <c r="F3773" s="122" t="s">
        <v>1010</v>
      </c>
      <c r="G3773" s="122" t="s">
        <v>785</v>
      </c>
      <c r="H3773" s="122" t="s">
        <v>777</v>
      </c>
      <c r="I3773" s="312">
        <v>2020</v>
      </c>
      <c r="J3773" s="122" t="s">
        <v>712</v>
      </c>
      <c r="K3773" s="283">
        <v>6</v>
      </c>
      <c r="L3773" s="318">
        <v>-33.615974000000001</v>
      </c>
      <c r="M3773" s="318">
        <v>150.27333100000001</v>
      </c>
      <c r="O3773">
        <f>INDEX('MEC - traffic congestion'!$M$145:$M$249,MATCH($D3773,'MEC - traffic congestion'!$C$145:$C$249,0))</f>
        <v>1</v>
      </c>
      <c r="P3773" t="str">
        <f t="shared" si="170"/>
        <v>2020PUBLIC HOLIDAYS</v>
      </c>
      <c r="Q3773">
        <f t="shared" si="171"/>
        <v>1</v>
      </c>
      <c r="R3773" s="195" t="str">
        <f t="shared" si="172"/>
        <v>2020LIGHT VEHICLES</v>
      </c>
    </row>
    <row r="3774" spans="3:18" x14ac:dyDescent="0.25">
      <c r="C3774" s="294" t="s">
        <v>1011</v>
      </c>
      <c r="D3774" s="317" t="s">
        <v>749</v>
      </c>
      <c r="E3774" s="122" t="s">
        <v>1009</v>
      </c>
      <c r="F3774" s="122" t="s">
        <v>1010</v>
      </c>
      <c r="G3774" s="122" t="s">
        <v>785</v>
      </c>
      <c r="H3774" s="122" t="s">
        <v>777</v>
      </c>
      <c r="I3774" s="312">
        <v>2020</v>
      </c>
      <c r="J3774" s="122" t="s">
        <v>713</v>
      </c>
      <c r="K3774" s="283">
        <v>11</v>
      </c>
      <c r="L3774" s="318">
        <v>-33.615974000000001</v>
      </c>
      <c r="M3774" s="318">
        <v>150.27333100000001</v>
      </c>
      <c r="O3774">
        <f>INDEX('MEC - traffic congestion'!$M$145:$M$249,MATCH($D3774,'MEC - traffic congestion'!$C$145:$C$249,0))</f>
        <v>1</v>
      </c>
      <c r="P3774" t="str">
        <f t="shared" si="170"/>
        <v>2020WEEKENDS</v>
      </c>
      <c r="Q3774">
        <f t="shared" si="171"/>
        <v>1</v>
      </c>
      <c r="R3774" s="195" t="str">
        <f t="shared" si="172"/>
        <v>2020LIGHT VEHICLES</v>
      </c>
    </row>
    <row r="3775" spans="3:18" x14ac:dyDescent="0.25">
      <c r="C3775" s="294" t="s">
        <v>1011</v>
      </c>
      <c r="D3775" s="317" t="s">
        <v>749</v>
      </c>
      <c r="E3775" s="122" t="s">
        <v>1009</v>
      </c>
      <c r="F3775" s="122" t="s">
        <v>1010</v>
      </c>
      <c r="G3775" s="122" t="s">
        <v>785</v>
      </c>
      <c r="H3775" s="122" t="s">
        <v>777</v>
      </c>
      <c r="I3775" s="312">
        <v>2021</v>
      </c>
      <c r="J3775" s="122" t="s">
        <v>709</v>
      </c>
      <c r="K3775" s="283">
        <v>6</v>
      </c>
      <c r="L3775" s="318">
        <v>-33.615974000000001</v>
      </c>
      <c r="M3775" s="318">
        <v>150.27333100000001</v>
      </c>
      <c r="O3775">
        <f>INDEX('MEC - traffic congestion'!$M$145:$M$249,MATCH($D3775,'MEC - traffic congestion'!$C$145:$C$249,0))</f>
        <v>1</v>
      </c>
      <c r="P3775" t="str">
        <f t="shared" si="170"/>
        <v>2021AM PEAK</v>
      </c>
      <c r="Q3775">
        <f t="shared" si="171"/>
        <v>1</v>
      </c>
      <c r="R3775" s="195" t="str">
        <f t="shared" si="172"/>
        <v>2021LIGHT VEHICLES</v>
      </c>
    </row>
    <row r="3776" spans="3:18" x14ac:dyDescent="0.25">
      <c r="C3776" s="294" t="s">
        <v>1011</v>
      </c>
      <c r="D3776" s="317" t="s">
        <v>749</v>
      </c>
      <c r="E3776" s="122" t="s">
        <v>1009</v>
      </c>
      <c r="F3776" s="122" t="s">
        <v>1010</v>
      </c>
      <c r="G3776" s="122" t="s">
        <v>785</v>
      </c>
      <c r="H3776" s="122" t="s">
        <v>777</v>
      </c>
      <c r="I3776" s="312">
        <v>2021</v>
      </c>
      <c r="J3776" s="122" t="s">
        <v>710</v>
      </c>
      <c r="K3776" s="283">
        <v>8</v>
      </c>
      <c r="L3776" s="318">
        <v>-33.615974000000001</v>
      </c>
      <c r="M3776" s="318">
        <v>150.27333100000001</v>
      </c>
      <c r="O3776">
        <f>INDEX('MEC - traffic congestion'!$M$145:$M$249,MATCH($D3776,'MEC - traffic congestion'!$C$145:$C$249,0))</f>
        <v>1</v>
      </c>
      <c r="P3776" t="str">
        <f t="shared" si="170"/>
        <v>2021OFF PEAK</v>
      </c>
      <c r="Q3776">
        <f t="shared" si="171"/>
        <v>1</v>
      </c>
      <c r="R3776" s="195" t="str">
        <f t="shared" si="172"/>
        <v>2021LIGHT VEHICLES</v>
      </c>
    </row>
    <row r="3777" spans="3:18" x14ac:dyDescent="0.25">
      <c r="C3777" s="294" t="s">
        <v>1011</v>
      </c>
      <c r="D3777" s="317" t="s">
        <v>749</v>
      </c>
      <c r="E3777" s="122" t="s">
        <v>1009</v>
      </c>
      <c r="F3777" s="122" t="s">
        <v>1010</v>
      </c>
      <c r="G3777" s="122" t="s">
        <v>785</v>
      </c>
      <c r="H3777" s="122" t="s">
        <v>777</v>
      </c>
      <c r="I3777" s="312">
        <v>2021</v>
      </c>
      <c r="J3777" s="122" t="s">
        <v>711</v>
      </c>
      <c r="K3777" s="283">
        <v>4</v>
      </c>
      <c r="L3777" s="318">
        <v>-33.615974000000001</v>
      </c>
      <c r="M3777" s="318">
        <v>150.27333100000001</v>
      </c>
      <c r="O3777">
        <f>INDEX('MEC - traffic congestion'!$M$145:$M$249,MATCH($D3777,'MEC - traffic congestion'!$C$145:$C$249,0))</f>
        <v>1</v>
      </c>
      <c r="P3777" t="str">
        <f t="shared" si="170"/>
        <v>2021PM PEAK</v>
      </c>
      <c r="Q3777">
        <f t="shared" si="171"/>
        <v>1</v>
      </c>
      <c r="R3777" s="195" t="str">
        <f t="shared" si="172"/>
        <v>2021LIGHT VEHICLES</v>
      </c>
    </row>
    <row r="3778" spans="3:18" x14ac:dyDescent="0.25">
      <c r="C3778" s="294" t="s">
        <v>1011</v>
      </c>
      <c r="D3778" s="317" t="s">
        <v>749</v>
      </c>
      <c r="E3778" s="122" t="s">
        <v>1009</v>
      </c>
      <c r="F3778" s="122" t="s">
        <v>1010</v>
      </c>
      <c r="G3778" s="122" t="s">
        <v>785</v>
      </c>
      <c r="H3778" s="122" t="s">
        <v>777</v>
      </c>
      <c r="I3778" s="312">
        <v>2021</v>
      </c>
      <c r="J3778" s="122" t="s">
        <v>713</v>
      </c>
      <c r="K3778" s="283">
        <v>9</v>
      </c>
      <c r="L3778" s="318">
        <v>-33.615974000000001</v>
      </c>
      <c r="M3778" s="318">
        <v>150.27333100000001</v>
      </c>
      <c r="O3778">
        <f>INDEX('MEC - traffic congestion'!$M$145:$M$249,MATCH($D3778,'MEC - traffic congestion'!$C$145:$C$249,0))</f>
        <v>1</v>
      </c>
      <c r="P3778" t="str">
        <f t="shared" si="170"/>
        <v>2021WEEKENDS</v>
      </c>
      <c r="Q3778">
        <f t="shared" si="171"/>
        <v>1</v>
      </c>
      <c r="R3778" s="195" t="str">
        <f t="shared" si="172"/>
        <v>2021LIGHT VEHICLES</v>
      </c>
    </row>
    <row r="3779" spans="3:18" x14ac:dyDescent="0.25">
      <c r="C3779" s="294" t="s">
        <v>1011</v>
      </c>
      <c r="D3779" s="317" t="s">
        <v>749</v>
      </c>
      <c r="E3779" s="122" t="s">
        <v>1009</v>
      </c>
      <c r="F3779" s="122" t="s">
        <v>1010</v>
      </c>
      <c r="G3779" s="122" t="s">
        <v>785</v>
      </c>
      <c r="H3779" s="122" t="s">
        <v>777</v>
      </c>
      <c r="I3779" s="312">
        <v>2022</v>
      </c>
      <c r="J3779" s="122" t="s">
        <v>709</v>
      </c>
      <c r="K3779" s="283">
        <v>5</v>
      </c>
      <c r="L3779" s="318">
        <v>-33.615974000000001</v>
      </c>
      <c r="M3779" s="318">
        <v>150.27333100000001</v>
      </c>
      <c r="O3779">
        <f>INDEX('MEC - traffic congestion'!$M$145:$M$249,MATCH($D3779,'MEC - traffic congestion'!$C$145:$C$249,0))</f>
        <v>1</v>
      </c>
      <c r="P3779" t="str">
        <f t="shared" si="170"/>
        <v>2022AM PEAK</v>
      </c>
      <c r="Q3779">
        <f t="shared" si="171"/>
        <v>1</v>
      </c>
      <c r="R3779" s="195" t="str">
        <f t="shared" si="172"/>
        <v>2022LIGHT VEHICLES</v>
      </c>
    </row>
    <row r="3780" spans="3:18" x14ac:dyDescent="0.25">
      <c r="C3780" s="294" t="s">
        <v>1011</v>
      </c>
      <c r="D3780" s="317" t="s">
        <v>749</v>
      </c>
      <c r="E3780" s="122" t="s">
        <v>1009</v>
      </c>
      <c r="F3780" s="122" t="s">
        <v>1010</v>
      </c>
      <c r="G3780" s="122" t="s">
        <v>785</v>
      </c>
      <c r="H3780" s="122" t="s">
        <v>777</v>
      </c>
      <c r="I3780" s="312">
        <v>2022</v>
      </c>
      <c r="J3780" s="122" t="s">
        <v>710</v>
      </c>
      <c r="K3780" s="283">
        <v>9</v>
      </c>
      <c r="L3780" s="318">
        <v>-33.615974000000001</v>
      </c>
      <c r="M3780" s="318">
        <v>150.27333100000001</v>
      </c>
      <c r="O3780">
        <f>INDEX('MEC - traffic congestion'!$M$145:$M$249,MATCH($D3780,'MEC - traffic congestion'!$C$145:$C$249,0))</f>
        <v>1</v>
      </c>
      <c r="P3780" t="str">
        <f t="shared" si="170"/>
        <v>2022OFF PEAK</v>
      </c>
      <c r="Q3780">
        <f t="shared" si="171"/>
        <v>1</v>
      </c>
      <c r="R3780" s="195" t="str">
        <f t="shared" si="172"/>
        <v>2022LIGHT VEHICLES</v>
      </c>
    </row>
    <row r="3781" spans="3:18" x14ac:dyDescent="0.25">
      <c r="C3781" s="294" t="s">
        <v>1011</v>
      </c>
      <c r="D3781" s="317" t="s">
        <v>749</v>
      </c>
      <c r="E3781" s="122" t="s">
        <v>1009</v>
      </c>
      <c r="F3781" s="122" t="s">
        <v>1010</v>
      </c>
      <c r="G3781" s="122" t="s">
        <v>785</v>
      </c>
      <c r="H3781" s="122" t="s">
        <v>777</v>
      </c>
      <c r="I3781" s="312">
        <v>2022</v>
      </c>
      <c r="J3781" s="122" t="s">
        <v>711</v>
      </c>
      <c r="K3781" s="283">
        <v>4</v>
      </c>
      <c r="L3781" s="318">
        <v>-33.615974000000001</v>
      </c>
      <c r="M3781" s="318">
        <v>150.27333100000001</v>
      </c>
      <c r="O3781">
        <f>INDEX('MEC - traffic congestion'!$M$145:$M$249,MATCH($D3781,'MEC - traffic congestion'!$C$145:$C$249,0))</f>
        <v>1</v>
      </c>
      <c r="P3781" t="str">
        <f t="shared" si="170"/>
        <v>2022PM PEAK</v>
      </c>
      <c r="Q3781">
        <f t="shared" si="171"/>
        <v>1</v>
      </c>
      <c r="R3781" s="195" t="str">
        <f t="shared" si="172"/>
        <v>2022LIGHT VEHICLES</v>
      </c>
    </row>
    <row r="3782" spans="3:18" x14ac:dyDescent="0.25">
      <c r="C3782" s="294" t="s">
        <v>1011</v>
      </c>
      <c r="D3782" s="317" t="s">
        <v>749</v>
      </c>
      <c r="E3782" s="122" t="s">
        <v>1009</v>
      </c>
      <c r="F3782" s="122" t="s">
        <v>1010</v>
      </c>
      <c r="G3782" s="122" t="s">
        <v>785</v>
      </c>
      <c r="H3782" s="122" t="s">
        <v>777</v>
      </c>
      <c r="I3782" s="312">
        <v>2022</v>
      </c>
      <c r="J3782" s="122" t="s">
        <v>713</v>
      </c>
      <c r="K3782" s="283">
        <v>11</v>
      </c>
      <c r="L3782" s="318">
        <v>-33.615974000000001</v>
      </c>
      <c r="M3782" s="318">
        <v>150.27333100000001</v>
      </c>
      <c r="O3782">
        <f>INDEX('MEC - traffic congestion'!$M$145:$M$249,MATCH($D3782,'MEC - traffic congestion'!$C$145:$C$249,0))</f>
        <v>1</v>
      </c>
      <c r="P3782" t="str">
        <f t="shared" si="170"/>
        <v>2022WEEKENDS</v>
      </c>
      <c r="Q3782">
        <f t="shared" si="171"/>
        <v>1</v>
      </c>
      <c r="R3782" s="195" t="str">
        <f t="shared" si="172"/>
        <v>2022LIGHT VEHICLES</v>
      </c>
    </row>
    <row r="3783" spans="3:18" x14ac:dyDescent="0.25">
      <c r="C3783" s="294" t="s">
        <v>1011</v>
      </c>
      <c r="D3783" s="317" t="s">
        <v>749</v>
      </c>
      <c r="E3783" s="122" t="s">
        <v>1009</v>
      </c>
      <c r="F3783" s="122" t="s">
        <v>1010</v>
      </c>
      <c r="G3783" s="122" t="s">
        <v>785</v>
      </c>
      <c r="H3783" s="122" t="s">
        <v>777</v>
      </c>
      <c r="I3783" s="312">
        <v>2023</v>
      </c>
      <c r="J3783" s="122" t="s">
        <v>709</v>
      </c>
      <c r="K3783" s="283">
        <v>5</v>
      </c>
      <c r="L3783" s="318">
        <v>-33.615974000000001</v>
      </c>
      <c r="M3783" s="318">
        <v>150.27333100000001</v>
      </c>
      <c r="O3783">
        <f>INDEX('MEC - traffic congestion'!$M$145:$M$249,MATCH($D3783,'MEC - traffic congestion'!$C$145:$C$249,0))</f>
        <v>1</v>
      </c>
      <c r="P3783" t="str">
        <f t="shared" si="170"/>
        <v>2023AM PEAK</v>
      </c>
      <c r="Q3783">
        <f t="shared" si="171"/>
        <v>1</v>
      </c>
      <c r="R3783" s="195" t="str">
        <f t="shared" si="172"/>
        <v>2023LIGHT VEHICLES</v>
      </c>
    </row>
    <row r="3784" spans="3:18" x14ac:dyDescent="0.25">
      <c r="C3784" s="294" t="s">
        <v>1011</v>
      </c>
      <c r="D3784" s="317" t="s">
        <v>749</v>
      </c>
      <c r="E3784" s="122" t="s">
        <v>1009</v>
      </c>
      <c r="F3784" s="122" t="s">
        <v>1010</v>
      </c>
      <c r="G3784" s="122" t="s">
        <v>785</v>
      </c>
      <c r="H3784" s="122" t="s">
        <v>777</v>
      </c>
      <c r="I3784" s="312">
        <v>2023</v>
      </c>
      <c r="J3784" s="122" t="s">
        <v>710</v>
      </c>
      <c r="K3784" s="283">
        <v>6</v>
      </c>
      <c r="L3784" s="318">
        <v>-33.615974000000001</v>
      </c>
      <c r="M3784" s="318">
        <v>150.27333100000001</v>
      </c>
      <c r="O3784">
        <f>INDEX('MEC - traffic congestion'!$M$145:$M$249,MATCH($D3784,'MEC - traffic congestion'!$C$145:$C$249,0))</f>
        <v>1</v>
      </c>
      <c r="P3784" t="str">
        <f t="shared" si="170"/>
        <v>2023OFF PEAK</v>
      </c>
      <c r="Q3784">
        <f t="shared" si="171"/>
        <v>1</v>
      </c>
      <c r="R3784" s="195" t="str">
        <f t="shared" si="172"/>
        <v>2023LIGHT VEHICLES</v>
      </c>
    </row>
    <row r="3785" spans="3:18" x14ac:dyDescent="0.25">
      <c r="C3785" s="294" t="s">
        <v>1011</v>
      </c>
      <c r="D3785" s="317" t="s">
        <v>749</v>
      </c>
      <c r="E3785" s="122" t="s">
        <v>1009</v>
      </c>
      <c r="F3785" s="122" t="s">
        <v>1010</v>
      </c>
      <c r="G3785" s="122" t="s">
        <v>785</v>
      </c>
      <c r="H3785" s="122" t="s">
        <v>777</v>
      </c>
      <c r="I3785" s="312">
        <v>2023</v>
      </c>
      <c r="J3785" s="122" t="s">
        <v>711</v>
      </c>
      <c r="K3785" s="283">
        <v>5</v>
      </c>
      <c r="L3785" s="318">
        <v>-33.615974000000001</v>
      </c>
      <c r="M3785" s="318">
        <v>150.27333100000001</v>
      </c>
      <c r="O3785">
        <f>INDEX('MEC - traffic congestion'!$M$145:$M$249,MATCH($D3785,'MEC - traffic congestion'!$C$145:$C$249,0))</f>
        <v>1</v>
      </c>
      <c r="P3785" t="str">
        <f t="shared" si="170"/>
        <v>2023PM PEAK</v>
      </c>
      <c r="Q3785">
        <f t="shared" si="171"/>
        <v>1</v>
      </c>
      <c r="R3785" s="195" t="str">
        <f t="shared" si="172"/>
        <v>2023LIGHT VEHICLES</v>
      </c>
    </row>
    <row r="3786" spans="3:18" x14ac:dyDescent="0.25">
      <c r="C3786" s="294" t="s">
        <v>1011</v>
      </c>
      <c r="D3786" s="317" t="s">
        <v>749</v>
      </c>
      <c r="E3786" s="122" t="s">
        <v>1009</v>
      </c>
      <c r="F3786" s="122" t="s">
        <v>1010</v>
      </c>
      <c r="G3786" s="122" t="s">
        <v>785</v>
      </c>
      <c r="H3786" s="122" t="s">
        <v>777</v>
      </c>
      <c r="I3786" s="312">
        <v>2023</v>
      </c>
      <c r="J3786" s="122" t="s">
        <v>713</v>
      </c>
      <c r="K3786" s="283">
        <v>10</v>
      </c>
      <c r="L3786" s="318">
        <v>-33.615974000000001</v>
      </c>
      <c r="M3786" s="318">
        <v>150.27333100000001</v>
      </c>
      <c r="O3786">
        <f>INDEX('MEC - traffic congestion'!$M$145:$M$249,MATCH($D3786,'MEC - traffic congestion'!$C$145:$C$249,0))</f>
        <v>1</v>
      </c>
      <c r="P3786" t="str">
        <f t="shared" si="170"/>
        <v>2023WEEKENDS</v>
      </c>
      <c r="Q3786">
        <f t="shared" si="171"/>
        <v>1</v>
      </c>
      <c r="R3786" s="195" t="str">
        <f t="shared" si="172"/>
        <v>2023LIGHT VEHICLES</v>
      </c>
    </row>
    <row r="3787" spans="3:18" x14ac:dyDescent="0.25">
      <c r="C3787" s="294" t="s">
        <v>1011</v>
      </c>
      <c r="D3787" s="317" t="s">
        <v>749</v>
      </c>
      <c r="E3787" s="122" t="s">
        <v>1009</v>
      </c>
      <c r="F3787" s="122" t="s">
        <v>1010</v>
      </c>
      <c r="G3787" s="122" t="s">
        <v>785</v>
      </c>
      <c r="H3787" s="122" t="s">
        <v>777</v>
      </c>
      <c r="I3787" s="312">
        <v>2024</v>
      </c>
      <c r="J3787" s="122" t="s">
        <v>709</v>
      </c>
      <c r="K3787" s="283">
        <v>5</v>
      </c>
      <c r="L3787" s="318">
        <v>-33.615974000000001</v>
      </c>
      <c r="M3787" s="318">
        <v>150.27333100000001</v>
      </c>
      <c r="O3787">
        <f>INDEX('MEC - traffic congestion'!$M$145:$M$249,MATCH($D3787,'MEC - traffic congestion'!$C$145:$C$249,0))</f>
        <v>1</v>
      </c>
      <c r="P3787" t="str">
        <f t="shared" si="170"/>
        <v>2024AM PEAK</v>
      </c>
      <c r="Q3787">
        <f t="shared" si="171"/>
        <v>1</v>
      </c>
      <c r="R3787" s="195" t="str">
        <f t="shared" si="172"/>
        <v>2024LIGHT VEHICLES</v>
      </c>
    </row>
    <row r="3788" spans="3:18" x14ac:dyDescent="0.25">
      <c r="C3788" s="294" t="s">
        <v>1011</v>
      </c>
      <c r="D3788" s="317" t="s">
        <v>749</v>
      </c>
      <c r="E3788" s="122" t="s">
        <v>1009</v>
      </c>
      <c r="F3788" s="122" t="s">
        <v>1010</v>
      </c>
      <c r="G3788" s="122" t="s">
        <v>785</v>
      </c>
      <c r="H3788" s="122" t="s">
        <v>777</v>
      </c>
      <c r="I3788" s="312">
        <v>2024</v>
      </c>
      <c r="J3788" s="122" t="s">
        <v>710</v>
      </c>
      <c r="K3788" s="283">
        <v>6</v>
      </c>
      <c r="L3788" s="318">
        <v>-33.615974000000001</v>
      </c>
      <c r="M3788" s="318">
        <v>150.27333100000001</v>
      </c>
      <c r="O3788">
        <f>INDEX('MEC - traffic congestion'!$M$145:$M$249,MATCH($D3788,'MEC - traffic congestion'!$C$145:$C$249,0))</f>
        <v>1</v>
      </c>
      <c r="P3788" t="str">
        <f t="shared" si="170"/>
        <v>2024OFF PEAK</v>
      </c>
      <c r="Q3788">
        <f t="shared" si="171"/>
        <v>1</v>
      </c>
      <c r="R3788" s="195" t="str">
        <f t="shared" si="172"/>
        <v>2024LIGHT VEHICLES</v>
      </c>
    </row>
    <row r="3789" spans="3:18" x14ac:dyDescent="0.25">
      <c r="C3789" s="294" t="s">
        <v>1011</v>
      </c>
      <c r="D3789" s="317" t="s">
        <v>749</v>
      </c>
      <c r="E3789" s="122" t="s">
        <v>1009</v>
      </c>
      <c r="F3789" s="122" t="s">
        <v>1010</v>
      </c>
      <c r="G3789" s="122" t="s">
        <v>785</v>
      </c>
      <c r="H3789" s="122" t="s">
        <v>777</v>
      </c>
      <c r="I3789" s="312">
        <v>2024</v>
      </c>
      <c r="J3789" s="122" t="s">
        <v>711</v>
      </c>
      <c r="K3789" s="283">
        <v>5</v>
      </c>
      <c r="L3789" s="318">
        <v>-33.615974000000001</v>
      </c>
      <c r="M3789" s="318">
        <v>150.27333100000001</v>
      </c>
      <c r="O3789">
        <f>INDEX('MEC - traffic congestion'!$M$145:$M$249,MATCH($D3789,'MEC - traffic congestion'!$C$145:$C$249,0))</f>
        <v>1</v>
      </c>
      <c r="P3789" t="str">
        <f t="shared" si="170"/>
        <v>2024PM PEAK</v>
      </c>
      <c r="Q3789">
        <f t="shared" si="171"/>
        <v>1</v>
      </c>
      <c r="R3789" s="195" t="str">
        <f t="shared" si="172"/>
        <v>2024LIGHT VEHICLES</v>
      </c>
    </row>
    <row r="3790" spans="3:18" x14ac:dyDescent="0.25">
      <c r="C3790" s="294" t="s">
        <v>1011</v>
      </c>
      <c r="D3790" s="317" t="s">
        <v>749</v>
      </c>
      <c r="E3790" s="122" t="s">
        <v>1009</v>
      </c>
      <c r="F3790" s="122" t="s">
        <v>1010</v>
      </c>
      <c r="G3790" s="122" t="s">
        <v>785</v>
      </c>
      <c r="H3790" s="122" t="s">
        <v>777</v>
      </c>
      <c r="I3790" s="312">
        <v>2024</v>
      </c>
      <c r="J3790" s="122" t="s">
        <v>713</v>
      </c>
      <c r="K3790" s="283">
        <v>9</v>
      </c>
      <c r="L3790" s="318">
        <v>-33.615974000000001</v>
      </c>
      <c r="M3790" s="318">
        <v>150.27333100000001</v>
      </c>
      <c r="O3790">
        <f>INDEX('MEC - traffic congestion'!$M$145:$M$249,MATCH($D3790,'MEC - traffic congestion'!$C$145:$C$249,0))</f>
        <v>1</v>
      </c>
      <c r="P3790" t="str">
        <f t="shared" si="170"/>
        <v>2024WEEKENDS</v>
      </c>
      <c r="Q3790">
        <f t="shared" si="171"/>
        <v>1</v>
      </c>
      <c r="R3790" s="195" t="str">
        <f t="shared" si="172"/>
        <v>2024LIGHT VEHICLES</v>
      </c>
    </row>
    <row r="3791" spans="3:18" x14ac:dyDescent="0.25">
      <c r="C3791" s="294" t="s">
        <v>1012</v>
      </c>
      <c r="D3791" s="317" t="s">
        <v>750</v>
      </c>
      <c r="E3791" s="122" t="s">
        <v>1009</v>
      </c>
      <c r="F3791" s="122" t="s">
        <v>1010</v>
      </c>
      <c r="G3791" s="122" t="s">
        <v>785</v>
      </c>
      <c r="H3791" s="122" t="s">
        <v>777</v>
      </c>
      <c r="I3791" s="312">
        <v>2018</v>
      </c>
      <c r="J3791" s="122" t="s">
        <v>709</v>
      </c>
      <c r="K3791" s="283">
        <v>5</v>
      </c>
      <c r="L3791" s="318">
        <v>-33.616280000000003</v>
      </c>
      <c r="M3791" s="318">
        <v>150.273605</v>
      </c>
      <c r="O3791">
        <f>INDEX('MEC - traffic congestion'!$M$145:$M$249,MATCH($D3791,'MEC - traffic congestion'!$C$145:$C$249,0))</f>
        <v>1</v>
      </c>
      <c r="P3791" t="str">
        <f t="shared" si="170"/>
        <v>2018AM PEAK</v>
      </c>
      <c r="Q3791">
        <f t="shared" si="171"/>
        <v>1</v>
      </c>
      <c r="R3791" s="195" t="str">
        <f t="shared" si="172"/>
        <v>2018LIGHT VEHICLES</v>
      </c>
    </row>
    <row r="3792" spans="3:18" x14ac:dyDescent="0.25">
      <c r="C3792" s="294" t="s">
        <v>1012</v>
      </c>
      <c r="D3792" s="317" t="s">
        <v>750</v>
      </c>
      <c r="E3792" s="122" t="s">
        <v>1009</v>
      </c>
      <c r="F3792" s="122" t="s">
        <v>1010</v>
      </c>
      <c r="G3792" s="122" t="s">
        <v>785</v>
      </c>
      <c r="H3792" s="122" t="s">
        <v>777</v>
      </c>
      <c r="I3792" s="312">
        <v>2018</v>
      </c>
      <c r="J3792" s="122" t="s">
        <v>710</v>
      </c>
      <c r="K3792" s="283">
        <v>7</v>
      </c>
      <c r="L3792" s="318">
        <v>-33.616280000000003</v>
      </c>
      <c r="M3792" s="318">
        <v>150.273605</v>
      </c>
      <c r="O3792">
        <f>INDEX('MEC - traffic congestion'!$M$145:$M$249,MATCH($D3792,'MEC - traffic congestion'!$C$145:$C$249,0))</f>
        <v>1</v>
      </c>
      <c r="P3792" t="str">
        <f t="shared" si="170"/>
        <v>2018OFF PEAK</v>
      </c>
      <c r="Q3792">
        <f t="shared" si="171"/>
        <v>1</v>
      </c>
      <c r="R3792" s="195" t="str">
        <f t="shared" si="172"/>
        <v>2018LIGHT VEHICLES</v>
      </c>
    </row>
    <row r="3793" spans="3:18" x14ac:dyDescent="0.25">
      <c r="C3793" s="294" t="s">
        <v>1012</v>
      </c>
      <c r="D3793" s="317" t="s">
        <v>750</v>
      </c>
      <c r="E3793" s="122" t="s">
        <v>1009</v>
      </c>
      <c r="F3793" s="122" t="s">
        <v>1010</v>
      </c>
      <c r="G3793" s="122" t="s">
        <v>785</v>
      </c>
      <c r="H3793" s="122" t="s">
        <v>777</v>
      </c>
      <c r="I3793" s="312">
        <v>2018</v>
      </c>
      <c r="J3793" s="122" t="s">
        <v>711</v>
      </c>
      <c r="K3793" s="283">
        <v>7</v>
      </c>
      <c r="L3793" s="318">
        <v>-33.616280000000003</v>
      </c>
      <c r="M3793" s="318">
        <v>150.273605</v>
      </c>
      <c r="O3793">
        <f>INDEX('MEC - traffic congestion'!$M$145:$M$249,MATCH($D3793,'MEC - traffic congestion'!$C$145:$C$249,0))</f>
        <v>1</v>
      </c>
      <c r="P3793" t="str">
        <f t="shared" si="170"/>
        <v>2018PM PEAK</v>
      </c>
      <c r="Q3793">
        <f t="shared" si="171"/>
        <v>1</v>
      </c>
      <c r="R3793" s="195" t="str">
        <f t="shared" si="172"/>
        <v>2018LIGHT VEHICLES</v>
      </c>
    </row>
    <row r="3794" spans="3:18" x14ac:dyDescent="0.25">
      <c r="C3794" s="294" t="s">
        <v>1012</v>
      </c>
      <c r="D3794" s="317" t="s">
        <v>750</v>
      </c>
      <c r="E3794" s="122" t="s">
        <v>1009</v>
      </c>
      <c r="F3794" s="122" t="s">
        <v>1010</v>
      </c>
      <c r="G3794" s="122" t="s">
        <v>785</v>
      </c>
      <c r="H3794" s="122" t="s">
        <v>777</v>
      </c>
      <c r="I3794" s="312">
        <v>2018</v>
      </c>
      <c r="J3794" s="122" t="s">
        <v>712</v>
      </c>
      <c r="K3794" s="283">
        <v>6</v>
      </c>
      <c r="L3794" s="318">
        <v>-33.616280000000003</v>
      </c>
      <c r="M3794" s="318">
        <v>150.273605</v>
      </c>
      <c r="O3794">
        <f>INDEX('MEC - traffic congestion'!$M$145:$M$249,MATCH($D3794,'MEC - traffic congestion'!$C$145:$C$249,0))</f>
        <v>1</v>
      </c>
      <c r="P3794" t="str">
        <f t="shared" si="170"/>
        <v>2018PUBLIC HOLIDAYS</v>
      </c>
      <c r="Q3794">
        <f t="shared" si="171"/>
        <v>1</v>
      </c>
      <c r="R3794" s="195" t="str">
        <f t="shared" si="172"/>
        <v>2018LIGHT VEHICLES</v>
      </c>
    </row>
    <row r="3795" spans="3:18" x14ac:dyDescent="0.25">
      <c r="C3795" s="294" t="s">
        <v>1012</v>
      </c>
      <c r="D3795" s="317" t="s">
        <v>750</v>
      </c>
      <c r="E3795" s="122" t="s">
        <v>1009</v>
      </c>
      <c r="F3795" s="122" t="s">
        <v>1010</v>
      </c>
      <c r="G3795" s="122" t="s">
        <v>785</v>
      </c>
      <c r="H3795" s="122" t="s">
        <v>777</v>
      </c>
      <c r="I3795" s="312">
        <v>2018</v>
      </c>
      <c r="J3795" s="122" t="s">
        <v>713</v>
      </c>
      <c r="K3795" s="283">
        <v>11</v>
      </c>
      <c r="L3795" s="318">
        <v>-33.616280000000003</v>
      </c>
      <c r="M3795" s="318">
        <v>150.273605</v>
      </c>
      <c r="O3795">
        <f>INDEX('MEC - traffic congestion'!$M$145:$M$249,MATCH($D3795,'MEC - traffic congestion'!$C$145:$C$249,0))</f>
        <v>1</v>
      </c>
      <c r="P3795" t="str">
        <f t="shared" si="170"/>
        <v>2018WEEKENDS</v>
      </c>
      <c r="Q3795">
        <f t="shared" si="171"/>
        <v>1</v>
      </c>
      <c r="R3795" s="195" t="str">
        <f t="shared" si="172"/>
        <v>2018LIGHT VEHICLES</v>
      </c>
    </row>
    <row r="3796" spans="3:18" x14ac:dyDescent="0.25">
      <c r="C3796" s="294" t="s">
        <v>1012</v>
      </c>
      <c r="D3796" s="317" t="s">
        <v>750</v>
      </c>
      <c r="E3796" s="122" t="s">
        <v>1009</v>
      </c>
      <c r="F3796" s="122" t="s">
        <v>1010</v>
      </c>
      <c r="G3796" s="122" t="s">
        <v>785</v>
      </c>
      <c r="H3796" s="122" t="s">
        <v>777</v>
      </c>
      <c r="I3796" s="312">
        <v>2019</v>
      </c>
      <c r="J3796" s="122" t="s">
        <v>709</v>
      </c>
      <c r="K3796" s="283">
        <v>6</v>
      </c>
      <c r="L3796" s="318">
        <v>-33.616280000000003</v>
      </c>
      <c r="M3796" s="318">
        <v>150.273605</v>
      </c>
      <c r="O3796">
        <f>INDEX('MEC - traffic congestion'!$M$145:$M$249,MATCH($D3796,'MEC - traffic congestion'!$C$145:$C$249,0))</f>
        <v>1</v>
      </c>
      <c r="P3796" t="str">
        <f t="shared" si="170"/>
        <v>2019AM PEAK</v>
      </c>
      <c r="Q3796">
        <f t="shared" si="171"/>
        <v>1</v>
      </c>
      <c r="R3796" s="195" t="str">
        <f t="shared" si="172"/>
        <v>2019LIGHT VEHICLES</v>
      </c>
    </row>
    <row r="3797" spans="3:18" x14ac:dyDescent="0.25">
      <c r="C3797" s="294" t="s">
        <v>1012</v>
      </c>
      <c r="D3797" s="317" t="s">
        <v>750</v>
      </c>
      <c r="E3797" s="122" t="s">
        <v>1009</v>
      </c>
      <c r="F3797" s="122" t="s">
        <v>1010</v>
      </c>
      <c r="G3797" s="122" t="s">
        <v>785</v>
      </c>
      <c r="H3797" s="122" t="s">
        <v>777</v>
      </c>
      <c r="I3797" s="312">
        <v>2019</v>
      </c>
      <c r="J3797" s="122" t="s">
        <v>710</v>
      </c>
      <c r="K3797" s="283">
        <v>10</v>
      </c>
      <c r="L3797" s="318">
        <v>-33.616280000000003</v>
      </c>
      <c r="M3797" s="318">
        <v>150.273605</v>
      </c>
      <c r="O3797">
        <f>INDEX('MEC - traffic congestion'!$M$145:$M$249,MATCH($D3797,'MEC - traffic congestion'!$C$145:$C$249,0))</f>
        <v>1</v>
      </c>
      <c r="P3797" t="str">
        <f t="shared" ref="P3797:P3860" si="173">IF($O3797=1,$I3797&amp;$J3797,"")</f>
        <v>2019OFF PEAK</v>
      </c>
      <c r="Q3797">
        <f t="shared" ref="Q3797:Q3860" si="174">IF(AND($M3797&gt;150.246,AND($L3797&gt;-34.397,$L3797&lt;-32.662)),1,0)</f>
        <v>1</v>
      </c>
      <c r="R3797" s="195" t="str">
        <f t="shared" ref="R3797:R3860" si="175">IF($O3797=1,$I3797&amp;$H3797,"")</f>
        <v>2019LIGHT VEHICLES</v>
      </c>
    </row>
    <row r="3798" spans="3:18" x14ac:dyDescent="0.25">
      <c r="C3798" s="294" t="s">
        <v>1012</v>
      </c>
      <c r="D3798" s="317" t="s">
        <v>750</v>
      </c>
      <c r="E3798" s="122" t="s">
        <v>1009</v>
      </c>
      <c r="F3798" s="122" t="s">
        <v>1010</v>
      </c>
      <c r="G3798" s="122" t="s">
        <v>785</v>
      </c>
      <c r="H3798" s="122" t="s">
        <v>777</v>
      </c>
      <c r="I3798" s="312">
        <v>2019</v>
      </c>
      <c r="J3798" s="122" t="s">
        <v>711</v>
      </c>
      <c r="K3798" s="283">
        <v>8</v>
      </c>
      <c r="L3798" s="318">
        <v>-33.616280000000003</v>
      </c>
      <c r="M3798" s="318">
        <v>150.273605</v>
      </c>
      <c r="O3798">
        <f>INDEX('MEC - traffic congestion'!$M$145:$M$249,MATCH($D3798,'MEC - traffic congestion'!$C$145:$C$249,0))</f>
        <v>1</v>
      </c>
      <c r="P3798" t="str">
        <f t="shared" si="173"/>
        <v>2019PM PEAK</v>
      </c>
      <c r="Q3798">
        <f t="shared" si="174"/>
        <v>1</v>
      </c>
      <c r="R3798" s="195" t="str">
        <f t="shared" si="175"/>
        <v>2019LIGHT VEHICLES</v>
      </c>
    </row>
    <row r="3799" spans="3:18" x14ac:dyDescent="0.25">
      <c r="C3799" s="294" t="s">
        <v>1012</v>
      </c>
      <c r="D3799" s="317" t="s">
        <v>750</v>
      </c>
      <c r="E3799" s="122" t="s">
        <v>1009</v>
      </c>
      <c r="F3799" s="122" t="s">
        <v>1010</v>
      </c>
      <c r="G3799" s="122" t="s">
        <v>785</v>
      </c>
      <c r="H3799" s="122" t="s">
        <v>777</v>
      </c>
      <c r="I3799" s="312">
        <v>2019</v>
      </c>
      <c r="J3799" s="122" t="s">
        <v>712</v>
      </c>
      <c r="K3799" s="283">
        <v>12</v>
      </c>
      <c r="L3799" s="318">
        <v>-33.616280000000003</v>
      </c>
      <c r="M3799" s="318">
        <v>150.273605</v>
      </c>
      <c r="O3799">
        <f>INDEX('MEC - traffic congestion'!$M$145:$M$249,MATCH($D3799,'MEC - traffic congestion'!$C$145:$C$249,0))</f>
        <v>1</v>
      </c>
      <c r="P3799" t="str">
        <f t="shared" si="173"/>
        <v>2019PUBLIC HOLIDAYS</v>
      </c>
      <c r="Q3799">
        <f t="shared" si="174"/>
        <v>1</v>
      </c>
      <c r="R3799" s="195" t="str">
        <f t="shared" si="175"/>
        <v>2019LIGHT VEHICLES</v>
      </c>
    </row>
    <row r="3800" spans="3:18" x14ac:dyDescent="0.25">
      <c r="C3800" s="294" t="s">
        <v>1012</v>
      </c>
      <c r="D3800" s="317" t="s">
        <v>750</v>
      </c>
      <c r="E3800" s="122" t="s">
        <v>1009</v>
      </c>
      <c r="F3800" s="122" t="s">
        <v>1010</v>
      </c>
      <c r="G3800" s="122" t="s">
        <v>785</v>
      </c>
      <c r="H3800" s="122" t="s">
        <v>777</v>
      </c>
      <c r="I3800" s="312">
        <v>2019</v>
      </c>
      <c r="J3800" s="122" t="s">
        <v>713</v>
      </c>
      <c r="K3800" s="283">
        <v>13</v>
      </c>
      <c r="L3800" s="318">
        <v>-33.616280000000003</v>
      </c>
      <c r="M3800" s="318">
        <v>150.273605</v>
      </c>
      <c r="O3800">
        <f>INDEX('MEC - traffic congestion'!$M$145:$M$249,MATCH($D3800,'MEC - traffic congestion'!$C$145:$C$249,0))</f>
        <v>1</v>
      </c>
      <c r="P3800" t="str">
        <f t="shared" si="173"/>
        <v>2019WEEKENDS</v>
      </c>
      <c r="Q3800">
        <f t="shared" si="174"/>
        <v>1</v>
      </c>
      <c r="R3800" s="195" t="str">
        <f t="shared" si="175"/>
        <v>2019LIGHT VEHICLES</v>
      </c>
    </row>
    <row r="3801" spans="3:18" x14ac:dyDescent="0.25">
      <c r="C3801" s="294" t="s">
        <v>1012</v>
      </c>
      <c r="D3801" s="317" t="s">
        <v>750</v>
      </c>
      <c r="E3801" s="122" t="s">
        <v>1009</v>
      </c>
      <c r="F3801" s="122" t="s">
        <v>1010</v>
      </c>
      <c r="G3801" s="122" t="s">
        <v>785</v>
      </c>
      <c r="H3801" s="122" t="s">
        <v>777</v>
      </c>
      <c r="I3801" s="312">
        <v>2020</v>
      </c>
      <c r="J3801" s="122" t="s">
        <v>709</v>
      </c>
      <c r="K3801" s="283">
        <v>4</v>
      </c>
      <c r="L3801" s="318">
        <v>-33.616280000000003</v>
      </c>
      <c r="M3801" s="318">
        <v>150.273605</v>
      </c>
      <c r="O3801">
        <f>INDEX('MEC - traffic congestion'!$M$145:$M$249,MATCH($D3801,'MEC - traffic congestion'!$C$145:$C$249,0))</f>
        <v>1</v>
      </c>
      <c r="P3801" t="str">
        <f t="shared" si="173"/>
        <v>2020AM PEAK</v>
      </c>
      <c r="Q3801">
        <f t="shared" si="174"/>
        <v>1</v>
      </c>
      <c r="R3801" s="195" t="str">
        <f t="shared" si="175"/>
        <v>2020LIGHT VEHICLES</v>
      </c>
    </row>
    <row r="3802" spans="3:18" x14ac:dyDescent="0.25">
      <c r="C3802" s="294" t="s">
        <v>1012</v>
      </c>
      <c r="D3802" s="317" t="s">
        <v>750</v>
      </c>
      <c r="E3802" s="122" t="s">
        <v>1009</v>
      </c>
      <c r="F3802" s="122" t="s">
        <v>1010</v>
      </c>
      <c r="G3802" s="122" t="s">
        <v>785</v>
      </c>
      <c r="H3802" s="122" t="s">
        <v>777</v>
      </c>
      <c r="I3802" s="312">
        <v>2020</v>
      </c>
      <c r="J3802" s="122" t="s">
        <v>710</v>
      </c>
      <c r="K3802" s="283">
        <v>6</v>
      </c>
      <c r="L3802" s="318">
        <v>-33.616280000000003</v>
      </c>
      <c r="M3802" s="318">
        <v>150.273605</v>
      </c>
      <c r="O3802">
        <f>INDEX('MEC - traffic congestion'!$M$145:$M$249,MATCH($D3802,'MEC - traffic congestion'!$C$145:$C$249,0))</f>
        <v>1</v>
      </c>
      <c r="P3802" t="str">
        <f t="shared" si="173"/>
        <v>2020OFF PEAK</v>
      </c>
      <c r="Q3802">
        <f t="shared" si="174"/>
        <v>1</v>
      </c>
      <c r="R3802" s="195" t="str">
        <f t="shared" si="175"/>
        <v>2020LIGHT VEHICLES</v>
      </c>
    </row>
    <row r="3803" spans="3:18" x14ac:dyDescent="0.25">
      <c r="C3803" s="294" t="s">
        <v>1012</v>
      </c>
      <c r="D3803" s="317" t="s">
        <v>750</v>
      </c>
      <c r="E3803" s="122" t="s">
        <v>1009</v>
      </c>
      <c r="F3803" s="122" t="s">
        <v>1010</v>
      </c>
      <c r="G3803" s="122" t="s">
        <v>785</v>
      </c>
      <c r="H3803" s="122" t="s">
        <v>777</v>
      </c>
      <c r="I3803" s="312">
        <v>2020</v>
      </c>
      <c r="J3803" s="122" t="s">
        <v>711</v>
      </c>
      <c r="K3803" s="283">
        <v>4</v>
      </c>
      <c r="L3803" s="318">
        <v>-33.616280000000003</v>
      </c>
      <c r="M3803" s="318">
        <v>150.273605</v>
      </c>
      <c r="O3803">
        <f>INDEX('MEC - traffic congestion'!$M$145:$M$249,MATCH($D3803,'MEC - traffic congestion'!$C$145:$C$249,0))</f>
        <v>1</v>
      </c>
      <c r="P3803" t="str">
        <f t="shared" si="173"/>
        <v>2020PM PEAK</v>
      </c>
      <c r="Q3803">
        <f t="shared" si="174"/>
        <v>1</v>
      </c>
      <c r="R3803" s="195" t="str">
        <f t="shared" si="175"/>
        <v>2020LIGHT VEHICLES</v>
      </c>
    </row>
    <row r="3804" spans="3:18" x14ac:dyDescent="0.25">
      <c r="C3804" s="294" t="s">
        <v>1012</v>
      </c>
      <c r="D3804" s="317" t="s">
        <v>750</v>
      </c>
      <c r="E3804" s="122" t="s">
        <v>1009</v>
      </c>
      <c r="F3804" s="122" t="s">
        <v>1010</v>
      </c>
      <c r="G3804" s="122" t="s">
        <v>785</v>
      </c>
      <c r="H3804" s="122" t="s">
        <v>777</v>
      </c>
      <c r="I3804" s="312">
        <v>2020</v>
      </c>
      <c r="J3804" s="122" t="s">
        <v>712</v>
      </c>
      <c r="K3804" s="283">
        <v>7</v>
      </c>
      <c r="L3804" s="318">
        <v>-33.616280000000003</v>
      </c>
      <c r="M3804" s="318">
        <v>150.273605</v>
      </c>
      <c r="O3804">
        <f>INDEX('MEC - traffic congestion'!$M$145:$M$249,MATCH($D3804,'MEC - traffic congestion'!$C$145:$C$249,0))</f>
        <v>1</v>
      </c>
      <c r="P3804" t="str">
        <f t="shared" si="173"/>
        <v>2020PUBLIC HOLIDAYS</v>
      </c>
      <c r="Q3804">
        <f t="shared" si="174"/>
        <v>1</v>
      </c>
      <c r="R3804" s="195" t="str">
        <f t="shared" si="175"/>
        <v>2020LIGHT VEHICLES</v>
      </c>
    </row>
    <row r="3805" spans="3:18" x14ac:dyDescent="0.25">
      <c r="C3805" s="294" t="s">
        <v>1012</v>
      </c>
      <c r="D3805" s="317" t="s">
        <v>750</v>
      </c>
      <c r="E3805" s="122" t="s">
        <v>1009</v>
      </c>
      <c r="F3805" s="122" t="s">
        <v>1010</v>
      </c>
      <c r="G3805" s="122" t="s">
        <v>785</v>
      </c>
      <c r="H3805" s="122" t="s">
        <v>777</v>
      </c>
      <c r="I3805" s="312">
        <v>2020</v>
      </c>
      <c r="J3805" s="122" t="s">
        <v>713</v>
      </c>
      <c r="K3805" s="283">
        <v>11</v>
      </c>
      <c r="L3805" s="318">
        <v>-33.616280000000003</v>
      </c>
      <c r="M3805" s="318">
        <v>150.273605</v>
      </c>
      <c r="O3805">
        <f>INDEX('MEC - traffic congestion'!$M$145:$M$249,MATCH($D3805,'MEC - traffic congestion'!$C$145:$C$249,0))</f>
        <v>1</v>
      </c>
      <c r="P3805" t="str">
        <f t="shared" si="173"/>
        <v>2020WEEKENDS</v>
      </c>
      <c r="Q3805">
        <f t="shared" si="174"/>
        <v>1</v>
      </c>
      <c r="R3805" s="195" t="str">
        <f t="shared" si="175"/>
        <v>2020LIGHT VEHICLES</v>
      </c>
    </row>
    <row r="3806" spans="3:18" x14ac:dyDescent="0.25">
      <c r="C3806" s="294" t="s">
        <v>1012</v>
      </c>
      <c r="D3806" s="317" t="s">
        <v>750</v>
      </c>
      <c r="E3806" s="122" t="s">
        <v>1009</v>
      </c>
      <c r="F3806" s="122" t="s">
        <v>1010</v>
      </c>
      <c r="G3806" s="122" t="s">
        <v>785</v>
      </c>
      <c r="H3806" s="122" t="s">
        <v>777</v>
      </c>
      <c r="I3806" s="312">
        <v>2021</v>
      </c>
      <c r="J3806" s="122" t="s">
        <v>709</v>
      </c>
      <c r="K3806" s="283">
        <v>4</v>
      </c>
      <c r="L3806" s="318">
        <v>-33.616280000000003</v>
      </c>
      <c r="M3806" s="318">
        <v>150.273605</v>
      </c>
      <c r="O3806">
        <f>INDEX('MEC - traffic congestion'!$M$145:$M$249,MATCH($D3806,'MEC - traffic congestion'!$C$145:$C$249,0))</f>
        <v>1</v>
      </c>
      <c r="P3806" t="str">
        <f t="shared" si="173"/>
        <v>2021AM PEAK</v>
      </c>
      <c r="Q3806">
        <f t="shared" si="174"/>
        <v>1</v>
      </c>
      <c r="R3806" s="195" t="str">
        <f t="shared" si="175"/>
        <v>2021LIGHT VEHICLES</v>
      </c>
    </row>
    <row r="3807" spans="3:18" x14ac:dyDescent="0.25">
      <c r="C3807" s="294" t="s">
        <v>1012</v>
      </c>
      <c r="D3807" s="317" t="s">
        <v>750</v>
      </c>
      <c r="E3807" s="122" t="s">
        <v>1009</v>
      </c>
      <c r="F3807" s="122" t="s">
        <v>1010</v>
      </c>
      <c r="G3807" s="122" t="s">
        <v>785</v>
      </c>
      <c r="H3807" s="122" t="s">
        <v>777</v>
      </c>
      <c r="I3807" s="312">
        <v>2021</v>
      </c>
      <c r="J3807" s="122" t="s">
        <v>710</v>
      </c>
      <c r="K3807" s="283">
        <v>6</v>
      </c>
      <c r="L3807" s="318">
        <v>-33.616280000000003</v>
      </c>
      <c r="M3807" s="318">
        <v>150.273605</v>
      </c>
      <c r="O3807">
        <f>INDEX('MEC - traffic congestion'!$M$145:$M$249,MATCH($D3807,'MEC - traffic congestion'!$C$145:$C$249,0))</f>
        <v>1</v>
      </c>
      <c r="P3807" t="str">
        <f t="shared" si="173"/>
        <v>2021OFF PEAK</v>
      </c>
      <c r="Q3807">
        <f t="shared" si="174"/>
        <v>1</v>
      </c>
      <c r="R3807" s="195" t="str">
        <f t="shared" si="175"/>
        <v>2021LIGHT VEHICLES</v>
      </c>
    </row>
    <row r="3808" spans="3:18" x14ac:dyDescent="0.25">
      <c r="C3808" s="294" t="s">
        <v>1012</v>
      </c>
      <c r="D3808" s="317" t="s">
        <v>750</v>
      </c>
      <c r="E3808" s="122" t="s">
        <v>1009</v>
      </c>
      <c r="F3808" s="122" t="s">
        <v>1010</v>
      </c>
      <c r="G3808" s="122" t="s">
        <v>785</v>
      </c>
      <c r="H3808" s="122" t="s">
        <v>777</v>
      </c>
      <c r="I3808" s="312">
        <v>2021</v>
      </c>
      <c r="J3808" s="122" t="s">
        <v>711</v>
      </c>
      <c r="K3808" s="283">
        <v>4</v>
      </c>
      <c r="L3808" s="318">
        <v>-33.616280000000003</v>
      </c>
      <c r="M3808" s="318">
        <v>150.273605</v>
      </c>
      <c r="O3808">
        <f>INDEX('MEC - traffic congestion'!$M$145:$M$249,MATCH($D3808,'MEC - traffic congestion'!$C$145:$C$249,0))</f>
        <v>1</v>
      </c>
      <c r="P3808" t="str">
        <f t="shared" si="173"/>
        <v>2021PM PEAK</v>
      </c>
      <c r="Q3808">
        <f t="shared" si="174"/>
        <v>1</v>
      </c>
      <c r="R3808" s="195" t="str">
        <f t="shared" si="175"/>
        <v>2021LIGHT VEHICLES</v>
      </c>
    </row>
    <row r="3809" spans="3:18" x14ac:dyDescent="0.25">
      <c r="C3809" s="294" t="s">
        <v>1012</v>
      </c>
      <c r="D3809" s="317" t="s">
        <v>750</v>
      </c>
      <c r="E3809" s="122" t="s">
        <v>1009</v>
      </c>
      <c r="F3809" s="122" t="s">
        <v>1010</v>
      </c>
      <c r="G3809" s="122" t="s">
        <v>785</v>
      </c>
      <c r="H3809" s="122" t="s">
        <v>777</v>
      </c>
      <c r="I3809" s="312">
        <v>2021</v>
      </c>
      <c r="J3809" s="122" t="s">
        <v>713</v>
      </c>
      <c r="K3809" s="283">
        <v>9</v>
      </c>
      <c r="L3809" s="318">
        <v>-33.616280000000003</v>
      </c>
      <c r="M3809" s="318">
        <v>150.273605</v>
      </c>
      <c r="O3809">
        <f>INDEX('MEC - traffic congestion'!$M$145:$M$249,MATCH($D3809,'MEC - traffic congestion'!$C$145:$C$249,0))</f>
        <v>1</v>
      </c>
      <c r="P3809" t="str">
        <f t="shared" si="173"/>
        <v>2021WEEKENDS</v>
      </c>
      <c r="Q3809">
        <f t="shared" si="174"/>
        <v>1</v>
      </c>
      <c r="R3809" s="195" t="str">
        <f t="shared" si="175"/>
        <v>2021LIGHT VEHICLES</v>
      </c>
    </row>
    <row r="3810" spans="3:18" x14ac:dyDescent="0.25">
      <c r="C3810" s="294" t="s">
        <v>1012</v>
      </c>
      <c r="D3810" s="317" t="s">
        <v>750</v>
      </c>
      <c r="E3810" s="122" t="s">
        <v>1009</v>
      </c>
      <c r="F3810" s="122" t="s">
        <v>1010</v>
      </c>
      <c r="G3810" s="122" t="s">
        <v>785</v>
      </c>
      <c r="H3810" s="122" t="s">
        <v>777</v>
      </c>
      <c r="I3810" s="312">
        <v>2022</v>
      </c>
      <c r="J3810" s="122" t="s">
        <v>709</v>
      </c>
      <c r="K3810" s="283">
        <v>5</v>
      </c>
      <c r="L3810" s="318">
        <v>-33.616280000000003</v>
      </c>
      <c r="M3810" s="318">
        <v>150.273605</v>
      </c>
      <c r="O3810">
        <f>INDEX('MEC - traffic congestion'!$M$145:$M$249,MATCH($D3810,'MEC - traffic congestion'!$C$145:$C$249,0))</f>
        <v>1</v>
      </c>
      <c r="P3810" t="str">
        <f t="shared" si="173"/>
        <v>2022AM PEAK</v>
      </c>
      <c r="Q3810">
        <f t="shared" si="174"/>
        <v>1</v>
      </c>
      <c r="R3810" s="195" t="str">
        <f t="shared" si="175"/>
        <v>2022LIGHT VEHICLES</v>
      </c>
    </row>
    <row r="3811" spans="3:18" x14ac:dyDescent="0.25">
      <c r="C3811" s="294" t="s">
        <v>1012</v>
      </c>
      <c r="D3811" s="317" t="s">
        <v>750</v>
      </c>
      <c r="E3811" s="122" t="s">
        <v>1009</v>
      </c>
      <c r="F3811" s="122" t="s">
        <v>1010</v>
      </c>
      <c r="G3811" s="122" t="s">
        <v>785</v>
      </c>
      <c r="H3811" s="122" t="s">
        <v>777</v>
      </c>
      <c r="I3811" s="312">
        <v>2022</v>
      </c>
      <c r="J3811" s="122" t="s">
        <v>710</v>
      </c>
      <c r="K3811" s="283">
        <v>6</v>
      </c>
      <c r="L3811" s="318">
        <v>-33.616280000000003</v>
      </c>
      <c r="M3811" s="318">
        <v>150.273605</v>
      </c>
      <c r="O3811">
        <f>INDEX('MEC - traffic congestion'!$M$145:$M$249,MATCH($D3811,'MEC - traffic congestion'!$C$145:$C$249,0))</f>
        <v>1</v>
      </c>
      <c r="P3811" t="str">
        <f t="shared" si="173"/>
        <v>2022OFF PEAK</v>
      </c>
      <c r="Q3811">
        <f t="shared" si="174"/>
        <v>1</v>
      </c>
      <c r="R3811" s="195" t="str">
        <f t="shared" si="175"/>
        <v>2022LIGHT VEHICLES</v>
      </c>
    </row>
    <row r="3812" spans="3:18" x14ac:dyDescent="0.25">
      <c r="C3812" s="294" t="s">
        <v>1012</v>
      </c>
      <c r="D3812" s="317" t="s">
        <v>750</v>
      </c>
      <c r="E3812" s="122" t="s">
        <v>1009</v>
      </c>
      <c r="F3812" s="122" t="s">
        <v>1010</v>
      </c>
      <c r="G3812" s="122" t="s">
        <v>785</v>
      </c>
      <c r="H3812" s="122" t="s">
        <v>777</v>
      </c>
      <c r="I3812" s="312">
        <v>2022</v>
      </c>
      <c r="J3812" s="122" t="s">
        <v>711</v>
      </c>
      <c r="K3812" s="283">
        <v>4</v>
      </c>
      <c r="L3812" s="318">
        <v>-33.616280000000003</v>
      </c>
      <c r="M3812" s="318">
        <v>150.273605</v>
      </c>
      <c r="O3812">
        <f>INDEX('MEC - traffic congestion'!$M$145:$M$249,MATCH($D3812,'MEC - traffic congestion'!$C$145:$C$249,0))</f>
        <v>1</v>
      </c>
      <c r="P3812" t="str">
        <f t="shared" si="173"/>
        <v>2022PM PEAK</v>
      </c>
      <c r="Q3812">
        <f t="shared" si="174"/>
        <v>1</v>
      </c>
      <c r="R3812" s="195" t="str">
        <f t="shared" si="175"/>
        <v>2022LIGHT VEHICLES</v>
      </c>
    </row>
    <row r="3813" spans="3:18" x14ac:dyDescent="0.25">
      <c r="C3813" s="294" t="s">
        <v>1012</v>
      </c>
      <c r="D3813" s="317" t="s">
        <v>750</v>
      </c>
      <c r="E3813" s="122" t="s">
        <v>1009</v>
      </c>
      <c r="F3813" s="122" t="s">
        <v>1010</v>
      </c>
      <c r="G3813" s="122" t="s">
        <v>785</v>
      </c>
      <c r="H3813" s="122" t="s">
        <v>777</v>
      </c>
      <c r="I3813" s="312">
        <v>2022</v>
      </c>
      <c r="J3813" s="122" t="s">
        <v>713</v>
      </c>
      <c r="K3813" s="283">
        <v>11</v>
      </c>
      <c r="L3813" s="318">
        <v>-33.616280000000003</v>
      </c>
      <c r="M3813" s="318">
        <v>150.273605</v>
      </c>
      <c r="O3813">
        <f>INDEX('MEC - traffic congestion'!$M$145:$M$249,MATCH($D3813,'MEC - traffic congestion'!$C$145:$C$249,0))</f>
        <v>1</v>
      </c>
      <c r="P3813" t="str">
        <f t="shared" si="173"/>
        <v>2022WEEKENDS</v>
      </c>
      <c r="Q3813">
        <f t="shared" si="174"/>
        <v>1</v>
      </c>
      <c r="R3813" s="195" t="str">
        <f t="shared" si="175"/>
        <v>2022LIGHT VEHICLES</v>
      </c>
    </row>
    <row r="3814" spans="3:18" x14ac:dyDescent="0.25">
      <c r="C3814" s="294" t="s">
        <v>1012</v>
      </c>
      <c r="D3814" s="317" t="s">
        <v>750</v>
      </c>
      <c r="E3814" s="122" t="s">
        <v>1009</v>
      </c>
      <c r="F3814" s="122" t="s">
        <v>1010</v>
      </c>
      <c r="G3814" s="122" t="s">
        <v>785</v>
      </c>
      <c r="H3814" s="122" t="s">
        <v>777</v>
      </c>
      <c r="I3814" s="312">
        <v>2023</v>
      </c>
      <c r="J3814" s="122" t="s">
        <v>709</v>
      </c>
      <c r="K3814" s="283">
        <v>5</v>
      </c>
      <c r="L3814" s="318">
        <v>-33.616280000000003</v>
      </c>
      <c r="M3814" s="318">
        <v>150.273605</v>
      </c>
      <c r="O3814">
        <f>INDEX('MEC - traffic congestion'!$M$145:$M$249,MATCH($D3814,'MEC - traffic congestion'!$C$145:$C$249,0))</f>
        <v>1</v>
      </c>
      <c r="P3814" t="str">
        <f t="shared" si="173"/>
        <v>2023AM PEAK</v>
      </c>
      <c r="Q3814">
        <f t="shared" si="174"/>
        <v>1</v>
      </c>
      <c r="R3814" s="195" t="str">
        <f t="shared" si="175"/>
        <v>2023LIGHT VEHICLES</v>
      </c>
    </row>
    <row r="3815" spans="3:18" x14ac:dyDescent="0.25">
      <c r="C3815" s="294" t="s">
        <v>1012</v>
      </c>
      <c r="D3815" s="317" t="s">
        <v>750</v>
      </c>
      <c r="E3815" s="122" t="s">
        <v>1009</v>
      </c>
      <c r="F3815" s="122" t="s">
        <v>1010</v>
      </c>
      <c r="G3815" s="122" t="s">
        <v>785</v>
      </c>
      <c r="H3815" s="122" t="s">
        <v>777</v>
      </c>
      <c r="I3815" s="312">
        <v>2023</v>
      </c>
      <c r="J3815" s="122" t="s">
        <v>710</v>
      </c>
      <c r="K3815" s="283">
        <v>6</v>
      </c>
      <c r="L3815" s="318">
        <v>-33.616280000000003</v>
      </c>
      <c r="M3815" s="318">
        <v>150.273605</v>
      </c>
      <c r="O3815">
        <f>INDEX('MEC - traffic congestion'!$M$145:$M$249,MATCH($D3815,'MEC - traffic congestion'!$C$145:$C$249,0))</f>
        <v>1</v>
      </c>
      <c r="P3815" t="str">
        <f t="shared" si="173"/>
        <v>2023OFF PEAK</v>
      </c>
      <c r="Q3815">
        <f t="shared" si="174"/>
        <v>1</v>
      </c>
      <c r="R3815" s="195" t="str">
        <f t="shared" si="175"/>
        <v>2023LIGHT VEHICLES</v>
      </c>
    </row>
    <row r="3816" spans="3:18" x14ac:dyDescent="0.25">
      <c r="C3816" s="294" t="s">
        <v>1012</v>
      </c>
      <c r="D3816" s="317" t="s">
        <v>750</v>
      </c>
      <c r="E3816" s="122" t="s">
        <v>1009</v>
      </c>
      <c r="F3816" s="122" t="s">
        <v>1010</v>
      </c>
      <c r="G3816" s="122" t="s">
        <v>785</v>
      </c>
      <c r="H3816" s="122" t="s">
        <v>777</v>
      </c>
      <c r="I3816" s="312">
        <v>2023</v>
      </c>
      <c r="J3816" s="122" t="s">
        <v>711</v>
      </c>
      <c r="K3816" s="283">
        <v>4</v>
      </c>
      <c r="L3816" s="318">
        <v>-33.616280000000003</v>
      </c>
      <c r="M3816" s="318">
        <v>150.273605</v>
      </c>
      <c r="O3816">
        <f>INDEX('MEC - traffic congestion'!$M$145:$M$249,MATCH($D3816,'MEC - traffic congestion'!$C$145:$C$249,0))</f>
        <v>1</v>
      </c>
      <c r="P3816" t="str">
        <f t="shared" si="173"/>
        <v>2023PM PEAK</v>
      </c>
      <c r="Q3816">
        <f t="shared" si="174"/>
        <v>1</v>
      </c>
      <c r="R3816" s="195" t="str">
        <f t="shared" si="175"/>
        <v>2023LIGHT VEHICLES</v>
      </c>
    </row>
    <row r="3817" spans="3:18" x14ac:dyDescent="0.25">
      <c r="C3817" s="294" t="s">
        <v>1012</v>
      </c>
      <c r="D3817" s="317" t="s">
        <v>750</v>
      </c>
      <c r="E3817" s="122" t="s">
        <v>1009</v>
      </c>
      <c r="F3817" s="122" t="s">
        <v>1010</v>
      </c>
      <c r="G3817" s="122" t="s">
        <v>785</v>
      </c>
      <c r="H3817" s="122" t="s">
        <v>777</v>
      </c>
      <c r="I3817" s="312">
        <v>2023</v>
      </c>
      <c r="J3817" s="122" t="s">
        <v>713</v>
      </c>
      <c r="K3817" s="283">
        <v>10</v>
      </c>
      <c r="L3817" s="318">
        <v>-33.616280000000003</v>
      </c>
      <c r="M3817" s="318">
        <v>150.273605</v>
      </c>
      <c r="O3817">
        <f>INDEX('MEC - traffic congestion'!$M$145:$M$249,MATCH($D3817,'MEC - traffic congestion'!$C$145:$C$249,0))</f>
        <v>1</v>
      </c>
      <c r="P3817" t="str">
        <f t="shared" si="173"/>
        <v>2023WEEKENDS</v>
      </c>
      <c r="Q3817">
        <f t="shared" si="174"/>
        <v>1</v>
      </c>
      <c r="R3817" s="195" t="str">
        <f t="shared" si="175"/>
        <v>2023LIGHT VEHICLES</v>
      </c>
    </row>
    <row r="3818" spans="3:18" x14ac:dyDescent="0.25">
      <c r="C3818" s="294" t="s">
        <v>1012</v>
      </c>
      <c r="D3818" s="317" t="s">
        <v>750</v>
      </c>
      <c r="E3818" s="122" t="s">
        <v>1009</v>
      </c>
      <c r="F3818" s="122" t="s">
        <v>1010</v>
      </c>
      <c r="G3818" s="122" t="s">
        <v>785</v>
      </c>
      <c r="H3818" s="122" t="s">
        <v>777</v>
      </c>
      <c r="I3818" s="312">
        <v>2024</v>
      </c>
      <c r="J3818" s="122" t="s">
        <v>709</v>
      </c>
      <c r="K3818" s="283">
        <v>5</v>
      </c>
      <c r="L3818" s="318">
        <v>-33.616280000000003</v>
      </c>
      <c r="M3818" s="318">
        <v>150.273605</v>
      </c>
      <c r="O3818">
        <f>INDEX('MEC - traffic congestion'!$M$145:$M$249,MATCH($D3818,'MEC - traffic congestion'!$C$145:$C$249,0))</f>
        <v>1</v>
      </c>
      <c r="P3818" t="str">
        <f t="shared" si="173"/>
        <v>2024AM PEAK</v>
      </c>
      <c r="Q3818">
        <f t="shared" si="174"/>
        <v>1</v>
      </c>
      <c r="R3818" s="195" t="str">
        <f t="shared" si="175"/>
        <v>2024LIGHT VEHICLES</v>
      </c>
    </row>
    <row r="3819" spans="3:18" x14ac:dyDescent="0.25">
      <c r="C3819" s="294" t="s">
        <v>1012</v>
      </c>
      <c r="D3819" s="317" t="s">
        <v>750</v>
      </c>
      <c r="E3819" s="122" t="s">
        <v>1009</v>
      </c>
      <c r="F3819" s="122" t="s">
        <v>1010</v>
      </c>
      <c r="G3819" s="122" t="s">
        <v>785</v>
      </c>
      <c r="H3819" s="122" t="s">
        <v>777</v>
      </c>
      <c r="I3819" s="312">
        <v>2024</v>
      </c>
      <c r="J3819" s="122" t="s">
        <v>710</v>
      </c>
      <c r="K3819" s="283">
        <v>6</v>
      </c>
      <c r="L3819" s="318">
        <v>-33.616280000000003</v>
      </c>
      <c r="M3819" s="318">
        <v>150.273605</v>
      </c>
      <c r="O3819">
        <f>INDEX('MEC - traffic congestion'!$M$145:$M$249,MATCH($D3819,'MEC - traffic congestion'!$C$145:$C$249,0))</f>
        <v>1</v>
      </c>
      <c r="P3819" t="str">
        <f t="shared" si="173"/>
        <v>2024OFF PEAK</v>
      </c>
      <c r="Q3819">
        <f t="shared" si="174"/>
        <v>1</v>
      </c>
      <c r="R3819" s="195" t="str">
        <f t="shared" si="175"/>
        <v>2024LIGHT VEHICLES</v>
      </c>
    </row>
    <row r="3820" spans="3:18" x14ac:dyDescent="0.25">
      <c r="C3820" s="294" t="s">
        <v>1012</v>
      </c>
      <c r="D3820" s="317" t="s">
        <v>750</v>
      </c>
      <c r="E3820" s="122" t="s">
        <v>1009</v>
      </c>
      <c r="F3820" s="122" t="s">
        <v>1010</v>
      </c>
      <c r="G3820" s="122" t="s">
        <v>785</v>
      </c>
      <c r="H3820" s="122" t="s">
        <v>777</v>
      </c>
      <c r="I3820" s="312">
        <v>2024</v>
      </c>
      <c r="J3820" s="122" t="s">
        <v>711</v>
      </c>
      <c r="K3820" s="283">
        <v>6</v>
      </c>
      <c r="L3820" s="318">
        <v>-33.616280000000003</v>
      </c>
      <c r="M3820" s="318">
        <v>150.273605</v>
      </c>
      <c r="O3820">
        <f>INDEX('MEC - traffic congestion'!$M$145:$M$249,MATCH($D3820,'MEC - traffic congestion'!$C$145:$C$249,0))</f>
        <v>1</v>
      </c>
      <c r="P3820" t="str">
        <f t="shared" si="173"/>
        <v>2024PM PEAK</v>
      </c>
      <c r="Q3820">
        <f t="shared" si="174"/>
        <v>1</v>
      </c>
      <c r="R3820" s="195" t="str">
        <f t="shared" si="175"/>
        <v>2024LIGHT VEHICLES</v>
      </c>
    </row>
    <row r="3821" spans="3:18" x14ac:dyDescent="0.25">
      <c r="C3821" s="294" t="s">
        <v>1012</v>
      </c>
      <c r="D3821" s="317" t="s">
        <v>750</v>
      </c>
      <c r="E3821" s="122" t="s">
        <v>1009</v>
      </c>
      <c r="F3821" s="122" t="s">
        <v>1010</v>
      </c>
      <c r="G3821" s="122" t="s">
        <v>785</v>
      </c>
      <c r="H3821" s="122" t="s">
        <v>777</v>
      </c>
      <c r="I3821" s="312">
        <v>2024</v>
      </c>
      <c r="J3821" s="122" t="s">
        <v>713</v>
      </c>
      <c r="K3821" s="283">
        <v>9</v>
      </c>
      <c r="L3821" s="318">
        <v>-33.616280000000003</v>
      </c>
      <c r="M3821" s="318">
        <v>150.273605</v>
      </c>
      <c r="O3821">
        <f>INDEX('MEC - traffic congestion'!$M$145:$M$249,MATCH($D3821,'MEC - traffic congestion'!$C$145:$C$249,0))</f>
        <v>1</v>
      </c>
      <c r="P3821" t="str">
        <f t="shared" si="173"/>
        <v>2024WEEKENDS</v>
      </c>
      <c r="Q3821">
        <f t="shared" si="174"/>
        <v>1</v>
      </c>
      <c r="R3821" s="195" t="str">
        <f t="shared" si="175"/>
        <v>2024LIGHT VEHICLES</v>
      </c>
    </row>
    <row r="3822" spans="3:18" x14ac:dyDescent="0.25">
      <c r="C3822" s="294" t="s">
        <v>1013</v>
      </c>
      <c r="D3822" s="317" t="s">
        <v>751</v>
      </c>
      <c r="E3822" s="122" t="s">
        <v>1009</v>
      </c>
      <c r="F3822" s="122" t="s">
        <v>1010</v>
      </c>
      <c r="G3822" s="122" t="s">
        <v>786</v>
      </c>
      <c r="H3822" s="122" t="s">
        <v>777</v>
      </c>
      <c r="I3822" s="312">
        <v>2018</v>
      </c>
      <c r="J3822" s="122" t="s">
        <v>709</v>
      </c>
      <c r="K3822" s="283">
        <v>1117</v>
      </c>
      <c r="L3822" s="318">
        <v>-33.618144999999998</v>
      </c>
      <c r="M3822" s="318">
        <v>150.274261</v>
      </c>
      <c r="O3822">
        <f>INDEX('MEC - traffic congestion'!$M$145:$M$249,MATCH($D3822,'MEC - traffic congestion'!$C$145:$C$249,0))</f>
        <v>1</v>
      </c>
      <c r="P3822" t="str">
        <f t="shared" si="173"/>
        <v>2018AM PEAK</v>
      </c>
      <c r="Q3822">
        <f t="shared" si="174"/>
        <v>1</v>
      </c>
      <c r="R3822" s="195" t="str">
        <f t="shared" si="175"/>
        <v>2018LIGHT VEHICLES</v>
      </c>
    </row>
    <row r="3823" spans="3:18" x14ac:dyDescent="0.25">
      <c r="C3823" s="294" t="s">
        <v>1013</v>
      </c>
      <c r="D3823" s="317" t="s">
        <v>751</v>
      </c>
      <c r="E3823" s="122" t="s">
        <v>1009</v>
      </c>
      <c r="F3823" s="122" t="s">
        <v>1010</v>
      </c>
      <c r="G3823" s="122" t="s">
        <v>786</v>
      </c>
      <c r="H3823" s="122" t="s">
        <v>777</v>
      </c>
      <c r="I3823" s="312">
        <v>2018</v>
      </c>
      <c r="J3823" s="122" t="s">
        <v>710</v>
      </c>
      <c r="K3823" s="283">
        <v>2602</v>
      </c>
      <c r="L3823" s="318">
        <v>-33.618144999999998</v>
      </c>
      <c r="M3823" s="318">
        <v>150.274261</v>
      </c>
      <c r="O3823">
        <f>INDEX('MEC - traffic congestion'!$M$145:$M$249,MATCH($D3823,'MEC - traffic congestion'!$C$145:$C$249,0))</f>
        <v>1</v>
      </c>
      <c r="P3823" t="str">
        <f t="shared" si="173"/>
        <v>2018OFF PEAK</v>
      </c>
      <c r="Q3823">
        <f t="shared" si="174"/>
        <v>1</v>
      </c>
      <c r="R3823" s="195" t="str">
        <f t="shared" si="175"/>
        <v>2018LIGHT VEHICLES</v>
      </c>
    </row>
    <row r="3824" spans="3:18" x14ac:dyDescent="0.25">
      <c r="C3824" s="294" t="s">
        <v>1013</v>
      </c>
      <c r="D3824" s="317" t="s">
        <v>751</v>
      </c>
      <c r="E3824" s="122" t="s">
        <v>1009</v>
      </c>
      <c r="F3824" s="122" t="s">
        <v>1010</v>
      </c>
      <c r="G3824" s="122" t="s">
        <v>786</v>
      </c>
      <c r="H3824" s="122" t="s">
        <v>777</v>
      </c>
      <c r="I3824" s="312">
        <v>2018</v>
      </c>
      <c r="J3824" s="122" t="s">
        <v>711</v>
      </c>
      <c r="K3824" s="283">
        <v>1519</v>
      </c>
      <c r="L3824" s="318">
        <v>-33.618144999999998</v>
      </c>
      <c r="M3824" s="318">
        <v>150.274261</v>
      </c>
      <c r="O3824">
        <f>INDEX('MEC - traffic congestion'!$M$145:$M$249,MATCH($D3824,'MEC - traffic congestion'!$C$145:$C$249,0))</f>
        <v>1</v>
      </c>
      <c r="P3824" t="str">
        <f t="shared" si="173"/>
        <v>2018PM PEAK</v>
      </c>
      <c r="Q3824">
        <f t="shared" si="174"/>
        <v>1</v>
      </c>
      <c r="R3824" s="195" t="str">
        <f t="shared" si="175"/>
        <v>2018LIGHT VEHICLES</v>
      </c>
    </row>
    <row r="3825" spans="3:18" x14ac:dyDescent="0.25">
      <c r="C3825" s="294" t="s">
        <v>1013</v>
      </c>
      <c r="D3825" s="317" t="s">
        <v>751</v>
      </c>
      <c r="E3825" s="122" t="s">
        <v>1009</v>
      </c>
      <c r="F3825" s="122" t="s">
        <v>1010</v>
      </c>
      <c r="G3825" s="122" t="s">
        <v>786</v>
      </c>
      <c r="H3825" s="122" t="s">
        <v>777</v>
      </c>
      <c r="I3825" s="312">
        <v>2018</v>
      </c>
      <c r="J3825" s="122" t="s">
        <v>712</v>
      </c>
      <c r="K3825" s="283">
        <v>6474</v>
      </c>
      <c r="L3825" s="318">
        <v>-33.618144999999998</v>
      </c>
      <c r="M3825" s="318">
        <v>150.274261</v>
      </c>
      <c r="O3825">
        <f>INDEX('MEC - traffic congestion'!$M$145:$M$249,MATCH($D3825,'MEC - traffic congestion'!$C$145:$C$249,0))</f>
        <v>1</v>
      </c>
      <c r="P3825" t="str">
        <f t="shared" si="173"/>
        <v>2018PUBLIC HOLIDAYS</v>
      </c>
      <c r="Q3825">
        <f t="shared" si="174"/>
        <v>1</v>
      </c>
      <c r="R3825" s="195" t="str">
        <f t="shared" si="175"/>
        <v>2018LIGHT VEHICLES</v>
      </c>
    </row>
    <row r="3826" spans="3:18" x14ac:dyDescent="0.25">
      <c r="C3826" s="294" t="s">
        <v>1013</v>
      </c>
      <c r="D3826" s="317" t="s">
        <v>751</v>
      </c>
      <c r="E3826" s="122" t="s">
        <v>1009</v>
      </c>
      <c r="F3826" s="122" t="s">
        <v>1010</v>
      </c>
      <c r="G3826" s="122" t="s">
        <v>786</v>
      </c>
      <c r="H3826" s="122" t="s">
        <v>777</v>
      </c>
      <c r="I3826" s="312">
        <v>2018</v>
      </c>
      <c r="J3826" s="122" t="s">
        <v>713</v>
      </c>
      <c r="K3826" s="283">
        <v>6551</v>
      </c>
      <c r="L3826" s="318">
        <v>-33.618144999999998</v>
      </c>
      <c r="M3826" s="318">
        <v>150.274261</v>
      </c>
      <c r="O3826">
        <f>INDEX('MEC - traffic congestion'!$M$145:$M$249,MATCH($D3826,'MEC - traffic congestion'!$C$145:$C$249,0))</f>
        <v>1</v>
      </c>
      <c r="P3826" t="str">
        <f t="shared" si="173"/>
        <v>2018WEEKENDS</v>
      </c>
      <c r="Q3826">
        <f t="shared" si="174"/>
        <v>1</v>
      </c>
      <c r="R3826" s="195" t="str">
        <f t="shared" si="175"/>
        <v>2018LIGHT VEHICLES</v>
      </c>
    </row>
    <row r="3827" spans="3:18" x14ac:dyDescent="0.25">
      <c r="C3827" s="294" t="s">
        <v>1013</v>
      </c>
      <c r="D3827" s="317" t="s">
        <v>751</v>
      </c>
      <c r="E3827" s="122" t="s">
        <v>1009</v>
      </c>
      <c r="F3827" s="122" t="s">
        <v>1010</v>
      </c>
      <c r="G3827" s="122" t="s">
        <v>786</v>
      </c>
      <c r="H3827" s="122" t="s">
        <v>777</v>
      </c>
      <c r="I3827" s="312">
        <v>2019</v>
      </c>
      <c r="J3827" s="122" t="s">
        <v>709</v>
      </c>
      <c r="K3827" s="283">
        <v>1138</v>
      </c>
      <c r="L3827" s="318">
        <v>-33.618144999999998</v>
      </c>
      <c r="M3827" s="318">
        <v>150.274261</v>
      </c>
      <c r="O3827">
        <f>INDEX('MEC - traffic congestion'!$M$145:$M$249,MATCH($D3827,'MEC - traffic congestion'!$C$145:$C$249,0))</f>
        <v>1</v>
      </c>
      <c r="P3827" t="str">
        <f t="shared" si="173"/>
        <v>2019AM PEAK</v>
      </c>
      <c r="Q3827">
        <f t="shared" si="174"/>
        <v>1</v>
      </c>
      <c r="R3827" s="195" t="str">
        <f t="shared" si="175"/>
        <v>2019LIGHT VEHICLES</v>
      </c>
    </row>
    <row r="3828" spans="3:18" x14ac:dyDescent="0.25">
      <c r="C3828" s="294" t="s">
        <v>1013</v>
      </c>
      <c r="D3828" s="317" t="s">
        <v>751</v>
      </c>
      <c r="E3828" s="122" t="s">
        <v>1009</v>
      </c>
      <c r="F3828" s="122" t="s">
        <v>1010</v>
      </c>
      <c r="G3828" s="122" t="s">
        <v>786</v>
      </c>
      <c r="H3828" s="122" t="s">
        <v>777</v>
      </c>
      <c r="I3828" s="312">
        <v>2019</v>
      </c>
      <c r="J3828" s="122" t="s">
        <v>710</v>
      </c>
      <c r="K3828" s="283">
        <v>2609</v>
      </c>
      <c r="L3828" s="318">
        <v>-33.618144999999998</v>
      </c>
      <c r="M3828" s="318">
        <v>150.274261</v>
      </c>
      <c r="O3828">
        <f>INDEX('MEC - traffic congestion'!$M$145:$M$249,MATCH($D3828,'MEC - traffic congestion'!$C$145:$C$249,0))</f>
        <v>1</v>
      </c>
      <c r="P3828" t="str">
        <f t="shared" si="173"/>
        <v>2019OFF PEAK</v>
      </c>
      <c r="Q3828">
        <f t="shared" si="174"/>
        <v>1</v>
      </c>
      <c r="R3828" s="195" t="str">
        <f t="shared" si="175"/>
        <v>2019LIGHT VEHICLES</v>
      </c>
    </row>
    <row r="3829" spans="3:18" x14ac:dyDescent="0.25">
      <c r="C3829" s="294" t="s">
        <v>1013</v>
      </c>
      <c r="D3829" s="317" t="s">
        <v>751</v>
      </c>
      <c r="E3829" s="122" t="s">
        <v>1009</v>
      </c>
      <c r="F3829" s="122" t="s">
        <v>1010</v>
      </c>
      <c r="G3829" s="122" t="s">
        <v>786</v>
      </c>
      <c r="H3829" s="122" t="s">
        <v>777</v>
      </c>
      <c r="I3829" s="312">
        <v>2019</v>
      </c>
      <c r="J3829" s="122" t="s">
        <v>711</v>
      </c>
      <c r="K3829" s="283">
        <v>1561</v>
      </c>
      <c r="L3829" s="318">
        <v>-33.618144999999998</v>
      </c>
      <c r="M3829" s="318">
        <v>150.274261</v>
      </c>
      <c r="O3829">
        <f>INDEX('MEC - traffic congestion'!$M$145:$M$249,MATCH($D3829,'MEC - traffic congestion'!$C$145:$C$249,0))</f>
        <v>1</v>
      </c>
      <c r="P3829" t="str">
        <f t="shared" si="173"/>
        <v>2019PM PEAK</v>
      </c>
      <c r="Q3829">
        <f t="shared" si="174"/>
        <v>1</v>
      </c>
      <c r="R3829" s="195" t="str">
        <f t="shared" si="175"/>
        <v>2019LIGHT VEHICLES</v>
      </c>
    </row>
    <row r="3830" spans="3:18" x14ac:dyDescent="0.25">
      <c r="C3830" s="294" t="s">
        <v>1013</v>
      </c>
      <c r="D3830" s="317" t="s">
        <v>751</v>
      </c>
      <c r="E3830" s="122" t="s">
        <v>1009</v>
      </c>
      <c r="F3830" s="122" t="s">
        <v>1010</v>
      </c>
      <c r="G3830" s="122" t="s">
        <v>786</v>
      </c>
      <c r="H3830" s="122" t="s">
        <v>777</v>
      </c>
      <c r="I3830" s="312">
        <v>2019</v>
      </c>
      <c r="J3830" s="122" t="s">
        <v>712</v>
      </c>
      <c r="K3830" s="283">
        <v>7574</v>
      </c>
      <c r="L3830" s="318">
        <v>-33.618144999999998</v>
      </c>
      <c r="M3830" s="318">
        <v>150.274261</v>
      </c>
      <c r="O3830">
        <f>INDEX('MEC - traffic congestion'!$M$145:$M$249,MATCH($D3830,'MEC - traffic congestion'!$C$145:$C$249,0))</f>
        <v>1</v>
      </c>
      <c r="P3830" t="str">
        <f t="shared" si="173"/>
        <v>2019PUBLIC HOLIDAYS</v>
      </c>
      <c r="Q3830">
        <f t="shared" si="174"/>
        <v>1</v>
      </c>
      <c r="R3830" s="195" t="str">
        <f t="shared" si="175"/>
        <v>2019LIGHT VEHICLES</v>
      </c>
    </row>
    <row r="3831" spans="3:18" x14ac:dyDescent="0.25">
      <c r="C3831" s="294" t="s">
        <v>1013</v>
      </c>
      <c r="D3831" s="317" t="s">
        <v>751</v>
      </c>
      <c r="E3831" s="122" t="s">
        <v>1009</v>
      </c>
      <c r="F3831" s="122" t="s">
        <v>1010</v>
      </c>
      <c r="G3831" s="122" t="s">
        <v>786</v>
      </c>
      <c r="H3831" s="122" t="s">
        <v>777</v>
      </c>
      <c r="I3831" s="312">
        <v>2019</v>
      </c>
      <c r="J3831" s="122" t="s">
        <v>713</v>
      </c>
      <c r="K3831" s="283">
        <v>6654</v>
      </c>
      <c r="L3831" s="318">
        <v>-33.618144999999998</v>
      </c>
      <c r="M3831" s="318">
        <v>150.274261</v>
      </c>
      <c r="O3831">
        <f>INDEX('MEC - traffic congestion'!$M$145:$M$249,MATCH($D3831,'MEC - traffic congestion'!$C$145:$C$249,0))</f>
        <v>1</v>
      </c>
      <c r="P3831" t="str">
        <f t="shared" si="173"/>
        <v>2019WEEKENDS</v>
      </c>
      <c r="Q3831">
        <f t="shared" si="174"/>
        <v>1</v>
      </c>
      <c r="R3831" s="195" t="str">
        <f t="shared" si="175"/>
        <v>2019LIGHT VEHICLES</v>
      </c>
    </row>
    <row r="3832" spans="3:18" x14ac:dyDescent="0.25">
      <c r="C3832" s="294" t="s">
        <v>1013</v>
      </c>
      <c r="D3832" s="317" t="s">
        <v>751</v>
      </c>
      <c r="E3832" s="122" t="s">
        <v>1009</v>
      </c>
      <c r="F3832" s="122" t="s">
        <v>1010</v>
      </c>
      <c r="G3832" s="122" t="s">
        <v>786</v>
      </c>
      <c r="H3832" s="122" t="s">
        <v>777</v>
      </c>
      <c r="I3832" s="312">
        <v>2020</v>
      </c>
      <c r="J3832" s="122" t="s">
        <v>709</v>
      </c>
      <c r="K3832" s="283">
        <v>1173</v>
      </c>
      <c r="L3832" s="318">
        <v>-33.618144999999998</v>
      </c>
      <c r="M3832" s="318">
        <v>150.274261</v>
      </c>
      <c r="O3832">
        <f>INDEX('MEC - traffic congestion'!$M$145:$M$249,MATCH($D3832,'MEC - traffic congestion'!$C$145:$C$249,0))</f>
        <v>1</v>
      </c>
      <c r="P3832" t="str">
        <f t="shared" si="173"/>
        <v>2020AM PEAK</v>
      </c>
      <c r="Q3832">
        <f t="shared" si="174"/>
        <v>1</v>
      </c>
      <c r="R3832" s="195" t="str">
        <f t="shared" si="175"/>
        <v>2020LIGHT VEHICLES</v>
      </c>
    </row>
    <row r="3833" spans="3:18" x14ac:dyDescent="0.25">
      <c r="C3833" s="294" t="s">
        <v>1013</v>
      </c>
      <c r="D3833" s="317" t="s">
        <v>751</v>
      </c>
      <c r="E3833" s="122" t="s">
        <v>1009</v>
      </c>
      <c r="F3833" s="122" t="s">
        <v>1010</v>
      </c>
      <c r="G3833" s="122" t="s">
        <v>786</v>
      </c>
      <c r="H3833" s="122" t="s">
        <v>777</v>
      </c>
      <c r="I3833" s="312">
        <v>2020</v>
      </c>
      <c r="J3833" s="122" t="s">
        <v>710</v>
      </c>
      <c r="K3833" s="283">
        <v>2532</v>
      </c>
      <c r="L3833" s="318">
        <v>-33.618144999999998</v>
      </c>
      <c r="M3833" s="318">
        <v>150.274261</v>
      </c>
      <c r="O3833">
        <f>INDEX('MEC - traffic congestion'!$M$145:$M$249,MATCH($D3833,'MEC - traffic congestion'!$C$145:$C$249,0))</f>
        <v>1</v>
      </c>
      <c r="P3833" t="str">
        <f t="shared" si="173"/>
        <v>2020OFF PEAK</v>
      </c>
      <c r="Q3833">
        <f t="shared" si="174"/>
        <v>1</v>
      </c>
      <c r="R3833" s="195" t="str">
        <f t="shared" si="175"/>
        <v>2020LIGHT VEHICLES</v>
      </c>
    </row>
    <row r="3834" spans="3:18" x14ac:dyDescent="0.25">
      <c r="C3834" s="294" t="s">
        <v>1013</v>
      </c>
      <c r="D3834" s="317" t="s">
        <v>751</v>
      </c>
      <c r="E3834" s="122" t="s">
        <v>1009</v>
      </c>
      <c r="F3834" s="122" t="s">
        <v>1010</v>
      </c>
      <c r="G3834" s="122" t="s">
        <v>786</v>
      </c>
      <c r="H3834" s="122" t="s">
        <v>777</v>
      </c>
      <c r="I3834" s="312">
        <v>2020</v>
      </c>
      <c r="J3834" s="122" t="s">
        <v>711</v>
      </c>
      <c r="K3834" s="283">
        <v>1416</v>
      </c>
      <c r="L3834" s="318">
        <v>-33.618144999999998</v>
      </c>
      <c r="M3834" s="318">
        <v>150.274261</v>
      </c>
      <c r="O3834">
        <f>INDEX('MEC - traffic congestion'!$M$145:$M$249,MATCH($D3834,'MEC - traffic congestion'!$C$145:$C$249,0))</f>
        <v>1</v>
      </c>
      <c r="P3834" t="str">
        <f t="shared" si="173"/>
        <v>2020PM PEAK</v>
      </c>
      <c r="Q3834">
        <f t="shared" si="174"/>
        <v>1</v>
      </c>
      <c r="R3834" s="195" t="str">
        <f t="shared" si="175"/>
        <v>2020LIGHT VEHICLES</v>
      </c>
    </row>
    <row r="3835" spans="3:18" x14ac:dyDescent="0.25">
      <c r="C3835" s="294" t="s">
        <v>1013</v>
      </c>
      <c r="D3835" s="317" t="s">
        <v>751</v>
      </c>
      <c r="E3835" s="122" t="s">
        <v>1009</v>
      </c>
      <c r="F3835" s="122" t="s">
        <v>1010</v>
      </c>
      <c r="G3835" s="122" t="s">
        <v>786</v>
      </c>
      <c r="H3835" s="122" t="s">
        <v>777</v>
      </c>
      <c r="I3835" s="312">
        <v>2020</v>
      </c>
      <c r="J3835" s="122" t="s">
        <v>712</v>
      </c>
      <c r="K3835" s="283">
        <v>5752</v>
      </c>
      <c r="L3835" s="318">
        <v>-33.618144999999998</v>
      </c>
      <c r="M3835" s="318">
        <v>150.274261</v>
      </c>
      <c r="O3835">
        <f>INDEX('MEC - traffic congestion'!$M$145:$M$249,MATCH($D3835,'MEC - traffic congestion'!$C$145:$C$249,0))</f>
        <v>1</v>
      </c>
      <c r="P3835" t="str">
        <f t="shared" si="173"/>
        <v>2020PUBLIC HOLIDAYS</v>
      </c>
      <c r="Q3835">
        <f t="shared" si="174"/>
        <v>1</v>
      </c>
      <c r="R3835" s="195" t="str">
        <f t="shared" si="175"/>
        <v>2020LIGHT VEHICLES</v>
      </c>
    </row>
    <row r="3836" spans="3:18" x14ac:dyDescent="0.25">
      <c r="C3836" s="294" t="s">
        <v>1013</v>
      </c>
      <c r="D3836" s="317" t="s">
        <v>751</v>
      </c>
      <c r="E3836" s="122" t="s">
        <v>1009</v>
      </c>
      <c r="F3836" s="122" t="s">
        <v>1010</v>
      </c>
      <c r="G3836" s="122" t="s">
        <v>786</v>
      </c>
      <c r="H3836" s="122" t="s">
        <v>777</v>
      </c>
      <c r="I3836" s="312">
        <v>2020</v>
      </c>
      <c r="J3836" s="122" t="s">
        <v>713</v>
      </c>
      <c r="K3836" s="283">
        <v>5852</v>
      </c>
      <c r="L3836" s="318">
        <v>-33.618144999999998</v>
      </c>
      <c r="M3836" s="318">
        <v>150.274261</v>
      </c>
      <c r="O3836">
        <f>INDEX('MEC - traffic congestion'!$M$145:$M$249,MATCH($D3836,'MEC - traffic congestion'!$C$145:$C$249,0))</f>
        <v>1</v>
      </c>
      <c r="P3836" t="str">
        <f t="shared" si="173"/>
        <v>2020WEEKENDS</v>
      </c>
      <c r="Q3836">
        <f t="shared" si="174"/>
        <v>1</v>
      </c>
      <c r="R3836" s="195" t="str">
        <f t="shared" si="175"/>
        <v>2020LIGHT VEHICLES</v>
      </c>
    </row>
    <row r="3837" spans="3:18" x14ac:dyDescent="0.25">
      <c r="C3837" s="294" t="s">
        <v>1013</v>
      </c>
      <c r="D3837" s="317" t="s">
        <v>751</v>
      </c>
      <c r="E3837" s="122" t="s">
        <v>1009</v>
      </c>
      <c r="F3837" s="122" t="s">
        <v>1010</v>
      </c>
      <c r="G3837" s="122" t="s">
        <v>786</v>
      </c>
      <c r="H3837" s="122" t="s">
        <v>777</v>
      </c>
      <c r="I3837" s="312">
        <v>2021</v>
      </c>
      <c r="J3837" s="122" t="s">
        <v>709</v>
      </c>
      <c r="K3837" s="283">
        <v>1040</v>
      </c>
      <c r="L3837" s="318">
        <v>-33.618144999999998</v>
      </c>
      <c r="M3837" s="318">
        <v>150.274261</v>
      </c>
      <c r="O3837">
        <f>INDEX('MEC - traffic congestion'!$M$145:$M$249,MATCH($D3837,'MEC - traffic congestion'!$C$145:$C$249,0))</f>
        <v>1</v>
      </c>
      <c r="P3837" t="str">
        <f t="shared" si="173"/>
        <v>2021AM PEAK</v>
      </c>
      <c r="Q3837">
        <f t="shared" si="174"/>
        <v>1</v>
      </c>
      <c r="R3837" s="195" t="str">
        <f t="shared" si="175"/>
        <v>2021LIGHT VEHICLES</v>
      </c>
    </row>
    <row r="3838" spans="3:18" x14ac:dyDescent="0.25">
      <c r="C3838" s="294" t="s">
        <v>1013</v>
      </c>
      <c r="D3838" s="317" t="s">
        <v>751</v>
      </c>
      <c r="E3838" s="122" t="s">
        <v>1009</v>
      </c>
      <c r="F3838" s="122" t="s">
        <v>1010</v>
      </c>
      <c r="G3838" s="122" t="s">
        <v>786</v>
      </c>
      <c r="H3838" s="122" t="s">
        <v>777</v>
      </c>
      <c r="I3838" s="312">
        <v>2021</v>
      </c>
      <c r="J3838" s="122" t="s">
        <v>710</v>
      </c>
      <c r="K3838" s="283">
        <v>2223</v>
      </c>
      <c r="L3838" s="318">
        <v>-33.618144999999998</v>
      </c>
      <c r="M3838" s="318">
        <v>150.274261</v>
      </c>
      <c r="O3838">
        <f>INDEX('MEC - traffic congestion'!$M$145:$M$249,MATCH($D3838,'MEC - traffic congestion'!$C$145:$C$249,0))</f>
        <v>1</v>
      </c>
      <c r="P3838" t="str">
        <f t="shared" si="173"/>
        <v>2021OFF PEAK</v>
      </c>
      <c r="Q3838">
        <f t="shared" si="174"/>
        <v>1</v>
      </c>
      <c r="R3838" s="195" t="str">
        <f t="shared" si="175"/>
        <v>2021LIGHT VEHICLES</v>
      </c>
    </row>
    <row r="3839" spans="3:18" x14ac:dyDescent="0.25">
      <c r="C3839" s="294" t="s">
        <v>1013</v>
      </c>
      <c r="D3839" s="317" t="s">
        <v>751</v>
      </c>
      <c r="E3839" s="122" t="s">
        <v>1009</v>
      </c>
      <c r="F3839" s="122" t="s">
        <v>1010</v>
      </c>
      <c r="G3839" s="122" t="s">
        <v>786</v>
      </c>
      <c r="H3839" s="122" t="s">
        <v>777</v>
      </c>
      <c r="I3839" s="312">
        <v>2021</v>
      </c>
      <c r="J3839" s="122" t="s">
        <v>711</v>
      </c>
      <c r="K3839" s="283">
        <v>1266</v>
      </c>
      <c r="L3839" s="318">
        <v>-33.618144999999998</v>
      </c>
      <c r="M3839" s="318">
        <v>150.274261</v>
      </c>
      <c r="O3839">
        <f>INDEX('MEC - traffic congestion'!$M$145:$M$249,MATCH($D3839,'MEC - traffic congestion'!$C$145:$C$249,0))</f>
        <v>1</v>
      </c>
      <c r="P3839" t="str">
        <f t="shared" si="173"/>
        <v>2021PM PEAK</v>
      </c>
      <c r="Q3839">
        <f t="shared" si="174"/>
        <v>1</v>
      </c>
      <c r="R3839" s="195" t="str">
        <f t="shared" si="175"/>
        <v>2021LIGHT VEHICLES</v>
      </c>
    </row>
    <row r="3840" spans="3:18" x14ac:dyDescent="0.25">
      <c r="C3840" s="294" t="s">
        <v>1013</v>
      </c>
      <c r="D3840" s="317" t="s">
        <v>751</v>
      </c>
      <c r="E3840" s="122" t="s">
        <v>1009</v>
      </c>
      <c r="F3840" s="122" t="s">
        <v>1010</v>
      </c>
      <c r="G3840" s="122" t="s">
        <v>786</v>
      </c>
      <c r="H3840" s="122" t="s">
        <v>777</v>
      </c>
      <c r="I3840" s="312">
        <v>2021</v>
      </c>
      <c r="J3840" s="122" t="s">
        <v>713</v>
      </c>
      <c r="K3840" s="283">
        <v>4988</v>
      </c>
      <c r="L3840" s="318">
        <v>-33.618144999999998</v>
      </c>
      <c r="M3840" s="318">
        <v>150.274261</v>
      </c>
      <c r="O3840">
        <f>INDEX('MEC - traffic congestion'!$M$145:$M$249,MATCH($D3840,'MEC - traffic congestion'!$C$145:$C$249,0))</f>
        <v>1</v>
      </c>
      <c r="P3840" t="str">
        <f t="shared" si="173"/>
        <v>2021WEEKENDS</v>
      </c>
      <c r="Q3840">
        <f t="shared" si="174"/>
        <v>1</v>
      </c>
      <c r="R3840" s="195" t="str">
        <f t="shared" si="175"/>
        <v>2021LIGHT VEHICLES</v>
      </c>
    </row>
    <row r="3841" spans="3:18" x14ac:dyDescent="0.25">
      <c r="C3841" s="294" t="s">
        <v>1013</v>
      </c>
      <c r="D3841" s="317" t="s">
        <v>751</v>
      </c>
      <c r="E3841" s="122" t="s">
        <v>1009</v>
      </c>
      <c r="F3841" s="122" t="s">
        <v>1010</v>
      </c>
      <c r="G3841" s="122" t="s">
        <v>786</v>
      </c>
      <c r="H3841" s="122" t="s">
        <v>777</v>
      </c>
      <c r="I3841" s="312">
        <v>2022</v>
      </c>
      <c r="J3841" s="122" t="s">
        <v>709</v>
      </c>
      <c r="K3841" s="283">
        <v>952</v>
      </c>
      <c r="L3841" s="318">
        <v>-33.618144999999998</v>
      </c>
      <c r="M3841" s="318">
        <v>150.274261</v>
      </c>
      <c r="O3841">
        <f>INDEX('MEC - traffic congestion'!$M$145:$M$249,MATCH($D3841,'MEC - traffic congestion'!$C$145:$C$249,0))</f>
        <v>1</v>
      </c>
      <c r="P3841" t="str">
        <f t="shared" si="173"/>
        <v>2022AM PEAK</v>
      </c>
      <c r="Q3841">
        <f t="shared" si="174"/>
        <v>1</v>
      </c>
      <c r="R3841" s="195" t="str">
        <f t="shared" si="175"/>
        <v>2022LIGHT VEHICLES</v>
      </c>
    </row>
    <row r="3842" spans="3:18" x14ac:dyDescent="0.25">
      <c r="C3842" s="294" t="s">
        <v>1013</v>
      </c>
      <c r="D3842" s="317" t="s">
        <v>751</v>
      </c>
      <c r="E3842" s="122" t="s">
        <v>1009</v>
      </c>
      <c r="F3842" s="122" t="s">
        <v>1010</v>
      </c>
      <c r="G3842" s="122" t="s">
        <v>786</v>
      </c>
      <c r="H3842" s="122" t="s">
        <v>777</v>
      </c>
      <c r="I3842" s="312">
        <v>2022</v>
      </c>
      <c r="J3842" s="122" t="s">
        <v>710</v>
      </c>
      <c r="K3842" s="283">
        <v>2280</v>
      </c>
      <c r="L3842" s="318">
        <v>-33.618144999999998</v>
      </c>
      <c r="M3842" s="318">
        <v>150.274261</v>
      </c>
      <c r="O3842">
        <f>INDEX('MEC - traffic congestion'!$M$145:$M$249,MATCH($D3842,'MEC - traffic congestion'!$C$145:$C$249,0))</f>
        <v>1</v>
      </c>
      <c r="P3842" t="str">
        <f t="shared" si="173"/>
        <v>2022OFF PEAK</v>
      </c>
      <c r="Q3842">
        <f t="shared" si="174"/>
        <v>1</v>
      </c>
      <c r="R3842" s="195" t="str">
        <f t="shared" si="175"/>
        <v>2022LIGHT VEHICLES</v>
      </c>
    </row>
    <row r="3843" spans="3:18" x14ac:dyDescent="0.25">
      <c r="C3843" s="294" t="s">
        <v>1013</v>
      </c>
      <c r="D3843" s="317" t="s">
        <v>751</v>
      </c>
      <c r="E3843" s="122" t="s">
        <v>1009</v>
      </c>
      <c r="F3843" s="122" t="s">
        <v>1010</v>
      </c>
      <c r="G3843" s="122" t="s">
        <v>786</v>
      </c>
      <c r="H3843" s="122" t="s">
        <v>777</v>
      </c>
      <c r="I3843" s="312">
        <v>2022</v>
      </c>
      <c r="J3843" s="122" t="s">
        <v>711</v>
      </c>
      <c r="K3843" s="283">
        <v>1283</v>
      </c>
      <c r="L3843" s="318">
        <v>-33.618144999999998</v>
      </c>
      <c r="M3843" s="318">
        <v>150.274261</v>
      </c>
      <c r="O3843">
        <f>INDEX('MEC - traffic congestion'!$M$145:$M$249,MATCH($D3843,'MEC - traffic congestion'!$C$145:$C$249,0))</f>
        <v>1</v>
      </c>
      <c r="P3843" t="str">
        <f t="shared" si="173"/>
        <v>2022PM PEAK</v>
      </c>
      <c r="Q3843">
        <f t="shared" si="174"/>
        <v>1</v>
      </c>
      <c r="R3843" s="195" t="str">
        <f t="shared" si="175"/>
        <v>2022LIGHT VEHICLES</v>
      </c>
    </row>
    <row r="3844" spans="3:18" x14ac:dyDescent="0.25">
      <c r="C3844" s="294" t="s">
        <v>1013</v>
      </c>
      <c r="D3844" s="317" t="s">
        <v>751</v>
      </c>
      <c r="E3844" s="122" t="s">
        <v>1009</v>
      </c>
      <c r="F3844" s="122" t="s">
        <v>1010</v>
      </c>
      <c r="G3844" s="122" t="s">
        <v>786</v>
      </c>
      <c r="H3844" s="122" t="s">
        <v>777</v>
      </c>
      <c r="I3844" s="312">
        <v>2022</v>
      </c>
      <c r="J3844" s="122" t="s">
        <v>713</v>
      </c>
      <c r="K3844" s="283">
        <v>5011</v>
      </c>
      <c r="L3844" s="318">
        <v>-33.618144999999998</v>
      </c>
      <c r="M3844" s="318">
        <v>150.274261</v>
      </c>
      <c r="O3844">
        <f>INDEX('MEC - traffic congestion'!$M$145:$M$249,MATCH($D3844,'MEC - traffic congestion'!$C$145:$C$249,0))</f>
        <v>1</v>
      </c>
      <c r="P3844" t="str">
        <f t="shared" si="173"/>
        <v>2022WEEKENDS</v>
      </c>
      <c r="Q3844">
        <f t="shared" si="174"/>
        <v>1</v>
      </c>
      <c r="R3844" s="195" t="str">
        <f t="shared" si="175"/>
        <v>2022LIGHT VEHICLES</v>
      </c>
    </row>
    <row r="3845" spans="3:18" x14ac:dyDescent="0.25">
      <c r="C3845" s="294" t="s">
        <v>1013</v>
      </c>
      <c r="D3845" s="317" t="s">
        <v>751</v>
      </c>
      <c r="E3845" s="122" t="s">
        <v>1009</v>
      </c>
      <c r="F3845" s="122" t="s">
        <v>1010</v>
      </c>
      <c r="G3845" s="122" t="s">
        <v>786</v>
      </c>
      <c r="H3845" s="122" t="s">
        <v>777</v>
      </c>
      <c r="I3845" s="312">
        <v>2023</v>
      </c>
      <c r="J3845" s="122" t="s">
        <v>709</v>
      </c>
      <c r="K3845" s="283">
        <v>4</v>
      </c>
      <c r="L3845" s="318">
        <v>-33.618144999999998</v>
      </c>
      <c r="M3845" s="318">
        <v>150.274261</v>
      </c>
      <c r="O3845">
        <f>INDEX('MEC - traffic congestion'!$M$145:$M$249,MATCH($D3845,'MEC - traffic congestion'!$C$145:$C$249,0))</f>
        <v>1</v>
      </c>
      <c r="P3845" t="str">
        <f t="shared" si="173"/>
        <v>2023AM PEAK</v>
      </c>
      <c r="Q3845">
        <f t="shared" si="174"/>
        <v>1</v>
      </c>
      <c r="R3845" s="195" t="str">
        <f t="shared" si="175"/>
        <v>2023LIGHT VEHICLES</v>
      </c>
    </row>
    <row r="3846" spans="3:18" x14ac:dyDescent="0.25">
      <c r="C3846" s="294" t="s">
        <v>1013</v>
      </c>
      <c r="D3846" s="317" t="s">
        <v>751</v>
      </c>
      <c r="E3846" s="122" t="s">
        <v>1009</v>
      </c>
      <c r="F3846" s="122" t="s">
        <v>1010</v>
      </c>
      <c r="G3846" s="122" t="s">
        <v>786</v>
      </c>
      <c r="H3846" s="122" t="s">
        <v>777</v>
      </c>
      <c r="I3846" s="312">
        <v>2023</v>
      </c>
      <c r="J3846" s="122" t="s">
        <v>710</v>
      </c>
      <c r="K3846" s="283">
        <v>6</v>
      </c>
      <c r="L3846" s="318">
        <v>-33.618144999999998</v>
      </c>
      <c r="M3846" s="318">
        <v>150.274261</v>
      </c>
      <c r="O3846">
        <f>INDEX('MEC - traffic congestion'!$M$145:$M$249,MATCH($D3846,'MEC - traffic congestion'!$C$145:$C$249,0))</f>
        <v>1</v>
      </c>
      <c r="P3846" t="str">
        <f t="shared" si="173"/>
        <v>2023OFF PEAK</v>
      </c>
      <c r="Q3846">
        <f t="shared" si="174"/>
        <v>1</v>
      </c>
      <c r="R3846" s="195" t="str">
        <f t="shared" si="175"/>
        <v>2023LIGHT VEHICLES</v>
      </c>
    </row>
    <row r="3847" spans="3:18" x14ac:dyDescent="0.25">
      <c r="C3847" s="294" t="s">
        <v>1013</v>
      </c>
      <c r="D3847" s="317" t="s">
        <v>751</v>
      </c>
      <c r="E3847" s="122" t="s">
        <v>1009</v>
      </c>
      <c r="F3847" s="122" t="s">
        <v>1010</v>
      </c>
      <c r="G3847" s="122" t="s">
        <v>786</v>
      </c>
      <c r="H3847" s="122" t="s">
        <v>777</v>
      </c>
      <c r="I3847" s="312">
        <v>2023</v>
      </c>
      <c r="J3847" s="122" t="s">
        <v>711</v>
      </c>
      <c r="K3847" s="283">
        <v>2</v>
      </c>
      <c r="L3847" s="318">
        <v>-33.618144999999998</v>
      </c>
      <c r="M3847" s="318">
        <v>150.274261</v>
      </c>
      <c r="O3847">
        <f>INDEX('MEC - traffic congestion'!$M$145:$M$249,MATCH($D3847,'MEC - traffic congestion'!$C$145:$C$249,0))</f>
        <v>1</v>
      </c>
      <c r="P3847" t="str">
        <f t="shared" si="173"/>
        <v>2023PM PEAK</v>
      </c>
      <c r="Q3847">
        <f t="shared" si="174"/>
        <v>1</v>
      </c>
      <c r="R3847" s="195" t="str">
        <f t="shared" si="175"/>
        <v>2023LIGHT VEHICLES</v>
      </c>
    </row>
    <row r="3848" spans="3:18" x14ac:dyDescent="0.25">
      <c r="C3848" s="294" t="s">
        <v>1013</v>
      </c>
      <c r="D3848" s="317" t="s">
        <v>751</v>
      </c>
      <c r="E3848" s="122" t="s">
        <v>1009</v>
      </c>
      <c r="F3848" s="122" t="s">
        <v>1010</v>
      </c>
      <c r="G3848" s="122" t="s">
        <v>786</v>
      </c>
      <c r="H3848" s="122" t="s">
        <v>777</v>
      </c>
      <c r="I3848" s="312">
        <v>2023</v>
      </c>
      <c r="J3848" s="122" t="s">
        <v>713</v>
      </c>
      <c r="K3848" s="283">
        <v>10</v>
      </c>
      <c r="L3848" s="318">
        <v>-33.618144999999998</v>
      </c>
      <c r="M3848" s="318">
        <v>150.274261</v>
      </c>
      <c r="O3848">
        <f>INDEX('MEC - traffic congestion'!$M$145:$M$249,MATCH($D3848,'MEC - traffic congestion'!$C$145:$C$249,0))</f>
        <v>1</v>
      </c>
      <c r="P3848" t="str">
        <f t="shared" si="173"/>
        <v>2023WEEKENDS</v>
      </c>
      <c r="Q3848">
        <f t="shared" si="174"/>
        <v>1</v>
      </c>
      <c r="R3848" s="195" t="str">
        <f t="shared" si="175"/>
        <v>2023LIGHT VEHICLES</v>
      </c>
    </row>
    <row r="3849" spans="3:18" x14ac:dyDescent="0.25">
      <c r="C3849" s="294" t="s">
        <v>1013</v>
      </c>
      <c r="D3849" s="317" t="s">
        <v>751</v>
      </c>
      <c r="E3849" s="122" t="s">
        <v>1009</v>
      </c>
      <c r="F3849" s="122" t="s">
        <v>1010</v>
      </c>
      <c r="G3849" s="122" t="s">
        <v>786</v>
      </c>
      <c r="H3849" s="122" t="s">
        <v>777</v>
      </c>
      <c r="I3849" s="312">
        <v>2024</v>
      </c>
      <c r="J3849" s="122" t="s">
        <v>709</v>
      </c>
      <c r="K3849" s="283">
        <v>2</v>
      </c>
      <c r="L3849" s="318">
        <v>-33.618144999999998</v>
      </c>
      <c r="M3849" s="318">
        <v>150.274261</v>
      </c>
      <c r="O3849">
        <f>INDEX('MEC - traffic congestion'!$M$145:$M$249,MATCH($D3849,'MEC - traffic congestion'!$C$145:$C$249,0))</f>
        <v>1</v>
      </c>
      <c r="P3849" t="str">
        <f t="shared" si="173"/>
        <v>2024AM PEAK</v>
      </c>
      <c r="Q3849">
        <f t="shared" si="174"/>
        <v>1</v>
      </c>
      <c r="R3849" s="195" t="str">
        <f t="shared" si="175"/>
        <v>2024LIGHT VEHICLES</v>
      </c>
    </row>
    <row r="3850" spans="3:18" x14ac:dyDescent="0.25">
      <c r="C3850" s="294" t="s">
        <v>1013</v>
      </c>
      <c r="D3850" s="317" t="s">
        <v>751</v>
      </c>
      <c r="E3850" s="122" t="s">
        <v>1009</v>
      </c>
      <c r="F3850" s="122" t="s">
        <v>1010</v>
      </c>
      <c r="G3850" s="122" t="s">
        <v>786</v>
      </c>
      <c r="H3850" s="122" t="s">
        <v>777</v>
      </c>
      <c r="I3850" s="312">
        <v>2024</v>
      </c>
      <c r="J3850" s="122" t="s">
        <v>710</v>
      </c>
      <c r="K3850" s="283">
        <v>6</v>
      </c>
      <c r="L3850" s="318">
        <v>-33.618144999999998</v>
      </c>
      <c r="M3850" s="318">
        <v>150.274261</v>
      </c>
      <c r="O3850">
        <f>INDEX('MEC - traffic congestion'!$M$145:$M$249,MATCH($D3850,'MEC - traffic congestion'!$C$145:$C$249,0))</f>
        <v>1</v>
      </c>
      <c r="P3850" t="str">
        <f t="shared" si="173"/>
        <v>2024OFF PEAK</v>
      </c>
      <c r="Q3850">
        <f t="shared" si="174"/>
        <v>1</v>
      </c>
      <c r="R3850" s="195" t="str">
        <f t="shared" si="175"/>
        <v>2024LIGHT VEHICLES</v>
      </c>
    </row>
    <row r="3851" spans="3:18" x14ac:dyDescent="0.25">
      <c r="C3851" s="294" t="s">
        <v>1013</v>
      </c>
      <c r="D3851" s="317" t="s">
        <v>751</v>
      </c>
      <c r="E3851" s="122" t="s">
        <v>1009</v>
      </c>
      <c r="F3851" s="122" t="s">
        <v>1010</v>
      </c>
      <c r="G3851" s="122" t="s">
        <v>786</v>
      </c>
      <c r="H3851" s="122" t="s">
        <v>777</v>
      </c>
      <c r="I3851" s="312">
        <v>2024</v>
      </c>
      <c r="J3851" s="122" t="s">
        <v>711</v>
      </c>
      <c r="K3851" s="283">
        <v>2</v>
      </c>
      <c r="L3851" s="318">
        <v>-33.618144999999998</v>
      </c>
      <c r="M3851" s="318">
        <v>150.274261</v>
      </c>
      <c r="O3851">
        <f>INDEX('MEC - traffic congestion'!$M$145:$M$249,MATCH($D3851,'MEC - traffic congestion'!$C$145:$C$249,0))</f>
        <v>1</v>
      </c>
      <c r="P3851" t="str">
        <f t="shared" si="173"/>
        <v>2024PM PEAK</v>
      </c>
      <c r="Q3851">
        <f t="shared" si="174"/>
        <v>1</v>
      </c>
      <c r="R3851" s="195" t="str">
        <f t="shared" si="175"/>
        <v>2024LIGHT VEHICLES</v>
      </c>
    </row>
    <row r="3852" spans="3:18" x14ac:dyDescent="0.25">
      <c r="C3852" s="294" t="s">
        <v>1013</v>
      </c>
      <c r="D3852" s="317" t="s">
        <v>751</v>
      </c>
      <c r="E3852" s="122" t="s">
        <v>1009</v>
      </c>
      <c r="F3852" s="122" t="s">
        <v>1010</v>
      </c>
      <c r="G3852" s="122" t="s">
        <v>786</v>
      </c>
      <c r="H3852" s="122" t="s">
        <v>777</v>
      </c>
      <c r="I3852" s="312">
        <v>2024</v>
      </c>
      <c r="J3852" s="122" t="s">
        <v>713</v>
      </c>
      <c r="K3852" s="283">
        <v>7</v>
      </c>
      <c r="L3852" s="318">
        <v>-33.618144999999998</v>
      </c>
      <c r="M3852" s="318">
        <v>150.274261</v>
      </c>
      <c r="O3852">
        <f>INDEX('MEC - traffic congestion'!$M$145:$M$249,MATCH($D3852,'MEC - traffic congestion'!$C$145:$C$249,0))</f>
        <v>1</v>
      </c>
      <c r="P3852" t="str">
        <f t="shared" si="173"/>
        <v>2024WEEKENDS</v>
      </c>
      <c r="Q3852">
        <f t="shared" si="174"/>
        <v>1</v>
      </c>
      <c r="R3852" s="195" t="str">
        <f t="shared" si="175"/>
        <v>2024LIGHT VEHICLES</v>
      </c>
    </row>
    <row r="3853" spans="3:18" x14ac:dyDescent="0.25">
      <c r="C3853" s="294" t="s">
        <v>1014</v>
      </c>
      <c r="D3853" s="317" t="s">
        <v>752</v>
      </c>
      <c r="E3853" s="122" t="s">
        <v>1009</v>
      </c>
      <c r="F3853" s="122" t="s">
        <v>1010</v>
      </c>
      <c r="G3853" s="122" t="s">
        <v>785</v>
      </c>
      <c r="H3853" s="122" t="s">
        <v>777</v>
      </c>
      <c r="I3853" s="312">
        <v>2018</v>
      </c>
      <c r="J3853" s="122" t="s">
        <v>709</v>
      </c>
      <c r="K3853" s="283">
        <v>1091</v>
      </c>
      <c r="L3853" s="318">
        <v>-33.617626000000001</v>
      </c>
      <c r="M3853" s="318">
        <v>150.274033</v>
      </c>
      <c r="O3853">
        <f>INDEX('MEC - traffic congestion'!$M$145:$M$249,MATCH($D3853,'MEC - traffic congestion'!$C$145:$C$249,0))</f>
        <v>1</v>
      </c>
      <c r="P3853" t="str">
        <f t="shared" si="173"/>
        <v>2018AM PEAK</v>
      </c>
      <c r="Q3853">
        <f t="shared" si="174"/>
        <v>1</v>
      </c>
      <c r="R3853" s="195" t="str">
        <f t="shared" si="175"/>
        <v>2018LIGHT VEHICLES</v>
      </c>
    </row>
    <row r="3854" spans="3:18" x14ac:dyDescent="0.25">
      <c r="C3854" s="294" t="s">
        <v>1014</v>
      </c>
      <c r="D3854" s="317" t="s">
        <v>752</v>
      </c>
      <c r="E3854" s="122" t="s">
        <v>1009</v>
      </c>
      <c r="F3854" s="122" t="s">
        <v>1010</v>
      </c>
      <c r="G3854" s="122" t="s">
        <v>786</v>
      </c>
      <c r="H3854" s="122" t="s">
        <v>777</v>
      </c>
      <c r="I3854" s="312">
        <v>2018</v>
      </c>
      <c r="J3854" s="122" t="s">
        <v>709</v>
      </c>
      <c r="K3854" s="283">
        <v>1112</v>
      </c>
      <c r="L3854" s="318">
        <v>-33.617626000000001</v>
      </c>
      <c r="M3854" s="318">
        <v>150.274033</v>
      </c>
      <c r="O3854">
        <f>INDEX('MEC - traffic congestion'!$M$145:$M$249,MATCH($D3854,'MEC - traffic congestion'!$C$145:$C$249,0))</f>
        <v>1</v>
      </c>
      <c r="P3854" t="str">
        <f t="shared" si="173"/>
        <v>2018AM PEAK</v>
      </c>
      <c r="Q3854">
        <f t="shared" si="174"/>
        <v>1</v>
      </c>
      <c r="R3854" s="195" t="str">
        <f t="shared" si="175"/>
        <v>2018LIGHT VEHICLES</v>
      </c>
    </row>
    <row r="3855" spans="3:18" x14ac:dyDescent="0.25">
      <c r="C3855" s="294" t="s">
        <v>1014</v>
      </c>
      <c r="D3855" s="317" t="s">
        <v>752</v>
      </c>
      <c r="E3855" s="122" t="s">
        <v>1009</v>
      </c>
      <c r="F3855" s="122" t="s">
        <v>1010</v>
      </c>
      <c r="G3855" s="122" t="s">
        <v>785</v>
      </c>
      <c r="H3855" s="122" t="s">
        <v>777</v>
      </c>
      <c r="I3855" s="312">
        <v>2018</v>
      </c>
      <c r="J3855" s="122" t="s">
        <v>710</v>
      </c>
      <c r="K3855" s="283">
        <v>2364</v>
      </c>
      <c r="L3855" s="318">
        <v>-33.617626000000001</v>
      </c>
      <c r="M3855" s="318">
        <v>150.274033</v>
      </c>
      <c r="O3855">
        <f>INDEX('MEC - traffic congestion'!$M$145:$M$249,MATCH($D3855,'MEC - traffic congestion'!$C$145:$C$249,0))</f>
        <v>1</v>
      </c>
      <c r="P3855" t="str">
        <f t="shared" si="173"/>
        <v>2018OFF PEAK</v>
      </c>
      <c r="Q3855">
        <f t="shared" si="174"/>
        <v>1</v>
      </c>
      <c r="R3855" s="195" t="str">
        <f t="shared" si="175"/>
        <v>2018LIGHT VEHICLES</v>
      </c>
    </row>
    <row r="3856" spans="3:18" x14ac:dyDescent="0.25">
      <c r="C3856" s="294" t="s">
        <v>1014</v>
      </c>
      <c r="D3856" s="317" t="s">
        <v>752</v>
      </c>
      <c r="E3856" s="122" t="s">
        <v>1009</v>
      </c>
      <c r="F3856" s="122" t="s">
        <v>1010</v>
      </c>
      <c r="G3856" s="122" t="s">
        <v>786</v>
      </c>
      <c r="H3856" s="122" t="s">
        <v>777</v>
      </c>
      <c r="I3856" s="312">
        <v>2018</v>
      </c>
      <c r="J3856" s="122" t="s">
        <v>710</v>
      </c>
      <c r="K3856" s="283">
        <v>2586</v>
      </c>
      <c r="L3856" s="318">
        <v>-33.617626000000001</v>
      </c>
      <c r="M3856" s="318">
        <v>150.274033</v>
      </c>
      <c r="O3856">
        <f>INDEX('MEC - traffic congestion'!$M$145:$M$249,MATCH($D3856,'MEC - traffic congestion'!$C$145:$C$249,0))</f>
        <v>1</v>
      </c>
      <c r="P3856" t="str">
        <f t="shared" si="173"/>
        <v>2018OFF PEAK</v>
      </c>
      <c r="Q3856">
        <f t="shared" si="174"/>
        <v>1</v>
      </c>
      <c r="R3856" s="195" t="str">
        <f t="shared" si="175"/>
        <v>2018LIGHT VEHICLES</v>
      </c>
    </row>
    <row r="3857" spans="3:18" x14ac:dyDescent="0.25">
      <c r="C3857" s="294" t="s">
        <v>1014</v>
      </c>
      <c r="D3857" s="317" t="s">
        <v>752</v>
      </c>
      <c r="E3857" s="122" t="s">
        <v>1009</v>
      </c>
      <c r="F3857" s="122" t="s">
        <v>1010</v>
      </c>
      <c r="G3857" s="122" t="s">
        <v>785</v>
      </c>
      <c r="H3857" s="122" t="s">
        <v>777</v>
      </c>
      <c r="I3857" s="312">
        <v>2018</v>
      </c>
      <c r="J3857" s="122" t="s">
        <v>711</v>
      </c>
      <c r="K3857" s="283">
        <v>1497</v>
      </c>
      <c r="L3857" s="318">
        <v>-33.617626000000001</v>
      </c>
      <c r="M3857" s="318">
        <v>150.274033</v>
      </c>
      <c r="O3857">
        <f>INDEX('MEC - traffic congestion'!$M$145:$M$249,MATCH($D3857,'MEC - traffic congestion'!$C$145:$C$249,0))</f>
        <v>1</v>
      </c>
      <c r="P3857" t="str">
        <f t="shared" si="173"/>
        <v>2018PM PEAK</v>
      </c>
      <c r="Q3857">
        <f t="shared" si="174"/>
        <v>1</v>
      </c>
      <c r="R3857" s="195" t="str">
        <f t="shared" si="175"/>
        <v>2018LIGHT VEHICLES</v>
      </c>
    </row>
    <row r="3858" spans="3:18" x14ac:dyDescent="0.25">
      <c r="C3858" s="294" t="s">
        <v>1014</v>
      </c>
      <c r="D3858" s="317" t="s">
        <v>752</v>
      </c>
      <c r="E3858" s="122" t="s">
        <v>1009</v>
      </c>
      <c r="F3858" s="122" t="s">
        <v>1010</v>
      </c>
      <c r="G3858" s="122" t="s">
        <v>786</v>
      </c>
      <c r="H3858" s="122" t="s">
        <v>777</v>
      </c>
      <c r="I3858" s="312">
        <v>2018</v>
      </c>
      <c r="J3858" s="122" t="s">
        <v>711</v>
      </c>
      <c r="K3858" s="283">
        <v>1507</v>
      </c>
      <c r="L3858" s="318">
        <v>-33.617626000000001</v>
      </c>
      <c r="M3858" s="318">
        <v>150.274033</v>
      </c>
      <c r="O3858">
        <f>INDEX('MEC - traffic congestion'!$M$145:$M$249,MATCH($D3858,'MEC - traffic congestion'!$C$145:$C$249,0))</f>
        <v>1</v>
      </c>
      <c r="P3858" t="str">
        <f t="shared" si="173"/>
        <v>2018PM PEAK</v>
      </c>
      <c r="Q3858">
        <f t="shared" si="174"/>
        <v>1</v>
      </c>
      <c r="R3858" s="195" t="str">
        <f t="shared" si="175"/>
        <v>2018LIGHT VEHICLES</v>
      </c>
    </row>
    <row r="3859" spans="3:18" x14ac:dyDescent="0.25">
      <c r="C3859" s="294" t="s">
        <v>1014</v>
      </c>
      <c r="D3859" s="317" t="s">
        <v>752</v>
      </c>
      <c r="E3859" s="122" t="s">
        <v>1009</v>
      </c>
      <c r="F3859" s="122" t="s">
        <v>1010</v>
      </c>
      <c r="G3859" s="122" t="s">
        <v>785</v>
      </c>
      <c r="H3859" s="122" t="s">
        <v>777</v>
      </c>
      <c r="I3859" s="312">
        <v>2018</v>
      </c>
      <c r="J3859" s="122" t="s">
        <v>712</v>
      </c>
      <c r="K3859" s="283">
        <v>6683</v>
      </c>
      <c r="L3859" s="318">
        <v>-33.617626000000001</v>
      </c>
      <c r="M3859" s="318">
        <v>150.274033</v>
      </c>
      <c r="O3859">
        <f>INDEX('MEC - traffic congestion'!$M$145:$M$249,MATCH($D3859,'MEC - traffic congestion'!$C$145:$C$249,0))</f>
        <v>1</v>
      </c>
      <c r="P3859" t="str">
        <f t="shared" si="173"/>
        <v>2018PUBLIC HOLIDAYS</v>
      </c>
      <c r="Q3859">
        <f t="shared" si="174"/>
        <v>1</v>
      </c>
      <c r="R3859" s="195" t="str">
        <f t="shared" si="175"/>
        <v>2018LIGHT VEHICLES</v>
      </c>
    </row>
    <row r="3860" spans="3:18" x14ac:dyDescent="0.25">
      <c r="C3860" s="294" t="s">
        <v>1014</v>
      </c>
      <c r="D3860" s="317" t="s">
        <v>752</v>
      </c>
      <c r="E3860" s="122" t="s">
        <v>1009</v>
      </c>
      <c r="F3860" s="122" t="s">
        <v>1010</v>
      </c>
      <c r="G3860" s="122" t="s">
        <v>786</v>
      </c>
      <c r="H3860" s="122" t="s">
        <v>777</v>
      </c>
      <c r="I3860" s="312">
        <v>2018</v>
      </c>
      <c r="J3860" s="122" t="s">
        <v>712</v>
      </c>
      <c r="K3860" s="283">
        <v>6351</v>
      </c>
      <c r="L3860" s="318">
        <v>-33.617626000000001</v>
      </c>
      <c r="M3860" s="318">
        <v>150.274033</v>
      </c>
      <c r="O3860">
        <f>INDEX('MEC - traffic congestion'!$M$145:$M$249,MATCH($D3860,'MEC - traffic congestion'!$C$145:$C$249,0))</f>
        <v>1</v>
      </c>
      <c r="P3860" t="str">
        <f t="shared" si="173"/>
        <v>2018PUBLIC HOLIDAYS</v>
      </c>
      <c r="Q3860">
        <f t="shared" si="174"/>
        <v>1</v>
      </c>
      <c r="R3860" s="195" t="str">
        <f t="shared" si="175"/>
        <v>2018LIGHT VEHICLES</v>
      </c>
    </row>
    <row r="3861" spans="3:18" x14ac:dyDescent="0.25">
      <c r="C3861" s="294" t="s">
        <v>1014</v>
      </c>
      <c r="D3861" s="317" t="s">
        <v>752</v>
      </c>
      <c r="E3861" s="122" t="s">
        <v>1009</v>
      </c>
      <c r="F3861" s="122" t="s">
        <v>1010</v>
      </c>
      <c r="G3861" s="122" t="s">
        <v>785</v>
      </c>
      <c r="H3861" s="122" t="s">
        <v>777</v>
      </c>
      <c r="I3861" s="312">
        <v>2018</v>
      </c>
      <c r="J3861" s="122" t="s">
        <v>713</v>
      </c>
      <c r="K3861" s="283">
        <v>6797</v>
      </c>
      <c r="L3861" s="318">
        <v>-33.617626000000001</v>
      </c>
      <c r="M3861" s="318">
        <v>150.274033</v>
      </c>
      <c r="O3861">
        <f>INDEX('MEC - traffic congestion'!$M$145:$M$249,MATCH($D3861,'MEC - traffic congestion'!$C$145:$C$249,0))</f>
        <v>1</v>
      </c>
      <c r="P3861" t="str">
        <f t="shared" ref="P3861:P3924" si="176">IF($O3861=1,$I3861&amp;$J3861,"")</f>
        <v>2018WEEKENDS</v>
      </c>
      <c r="Q3861">
        <f t="shared" ref="Q3861:Q3924" si="177">IF(AND($M3861&gt;150.246,AND($L3861&gt;-34.397,$L3861&lt;-32.662)),1,0)</f>
        <v>1</v>
      </c>
      <c r="R3861" s="195" t="str">
        <f t="shared" ref="R3861:R3924" si="178">IF($O3861=1,$I3861&amp;$H3861,"")</f>
        <v>2018LIGHT VEHICLES</v>
      </c>
    </row>
    <row r="3862" spans="3:18" x14ac:dyDescent="0.25">
      <c r="C3862" s="294" t="s">
        <v>1014</v>
      </c>
      <c r="D3862" s="317" t="s">
        <v>752</v>
      </c>
      <c r="E3862" s="122" t="s">
        <v>1009</v>
      </c>
      <c r="F3862" s="122" t="s">
        <v>1010</v>
      </c>
      <c r="G3862" s="122" t="s">
        <v>786</v>
      </c>
      <c r="H3862" s="122" t="s">
        <v>777</v>
      </c>
      <c r="I3862" s="312">
        <v>2018</v>
      </c>
      <c r="J3862" s="122" t="s">
        <v>713</v>
      </c>
      <c r="K3862" s="283">
        <v>6464</v>
      </c>
      <c r="L3862" s="318">
        <v>-33.617626000000001</v>
      </c>
      <c r="M3862" s="318">
        <v>150.274033</v>
      </c>
      <c r="O3862">
        <f>INDEX('MEC - traffic congestion'!$M$145:$M$249,MATCH($D3862,'MEC - traffic congestion'!$C$145:$C$249,0))</f>
        <v>1</v>
      </c>
      <c r="P3862" t="str">
        <f t="shared" si="176"/>
        <v>2018WEEKENDS</v>
      </c>
      <c r="Q3862">
        <f t="shared" si="177"/>
        <v>1</v>
      </c>
      <c r="R3862" s="195" t="str">
        <f t="shared" si="178"/>
        <v>2018LIGHT VEHICLES</v>
      </c>
    </row>
    <row r="3863" spans="3:18" x14ac:dyDescent="0.25">
      <c r="C3863" s="294" t="s">
        <v>1014</v>
      </c>
      <c r="D3863" s="317" t="s">
        <v>752</v>
      </c>
      <c r="E3863" s="122" t="s">
        <v>1009</v>
      </c>
      <c r="F3863" s="122" t="s">
        <v>1010</v>
      </c>
      <c r="G3863" s="122" t="s">
        <v>785</v>
      </c>
      <c r="H3863" s="122" t="s">
        <v>777</v>
      </c>
      <c r="I3863" s="312">
        <v>2019</v>
      </c>
      <c r="J3863" s="122" t="s">
        <v>709</v>
      </c>
      <c r="K3863" s="283">
        <v>1107</v>
      </c>
      <c r="L3863" s="318">
        <v>-33.617626000000001</v>
      </c>
      <c r="M3863" s="318">
        <v>150.274033</v>
      </c>
      <c r="O3863">
        <f>INDEX('MEC - traffic congestion'!$M$145:$M$249,MATCH($D3863,'MEC - traffic congestion'!$C$145:$C$249,0))</f>
        <v>1</v>
      </c>
      <c r="P3863" t="str">
        <f t="shared" si="176"/>
        <v>2019AM PEAK</v>
      </c>
      <c r="Q3863">
        <f t="shared" si="177"/>
        <v>1</v>
      </c>
      <c r="R3863" s="195" t="str">
        <f t="shared" si="178"/>
        <v>2019LIGHT VEHICLES</v>
      </c>
    </row>
    <row r="3864" spans="3:18" x14ac:dyDescent="0.25">
      <c r="C3864" s="294" t="s">
        <v>1014</v>
      </c>
      <c r="D3864" s="317" t="s">
        <v>752</v>
      </c>
      <c r="E3864" s="122" t="s">
        <v>1009</v>
      </c>
      <c r="F3864" s="122" t="s">
        <v>1010</v>
      </c>
      <c r="G3864" s="122" t="s">
        <v>786</v>
      </c>
      <c r="H3864" s="122" t="s">
        <v>777</v>
      </c>
      <c r="I3864" s="312">
        <v>2019</v>
      </c>
      <c r="J3864" s="122" t="s">
        <v>709</v>
      </c>
      <c r="K3864" s="283">
        <v>1135</v>
      </c>
      <c r="L3864" s="318">
        <v>-33.617626000000001</v>
      </c>
      <c r="M3864" s="318">
        <v>150.274033</v>
      </c>
      <c r="O3864">
        <f>INDEX('MEC - traffic congestion'!$M$145:$M$249,MATCH($D3864,'MEC - traffic congestion'!$C$145:$C$249,0))</f>
        <v>1</v>
      </c>
      <c r="P3864" t="str">
        <f t="shared" si="176"/>
        <v>2019AM PEAK</v>
      </c>
      <c r="Q3864">
        <f t="shared" si="177"/>
        <v>1</v>
      </c>
      <c r="R3864" s="195" t="str">
        <f t="shared" si="178"/>
        <v>2019LIGHT VEHICLES</v>
      </c>
    </row>
    <row r="3865" spans="3:18" x14ac:dyDescent="0.25">
      <c r="C3865" s="294" t="s">
        <v>1014</v>
      </c>
      <c r="D3865" s="317" t="s">
        <v>752</v>
      </c>
      <c r="E3865" s="122" t="s">
        <v>1009</v>
      </c>
      <c r="F3865" s="122" t="s">
        <v>1010</v>
      </c>
      <c r="G3865" s="122" t="s">
        <v>785</v>
      </c>
      <c r="H3865" s="122" t="s">
        <v>777</v>
      </c>
      <c r="I3865" s="312">
        <v>2019</v>
      </c>
      <c r="J3865" s="122" t="s">
        <v>710</v>
      </c>
      <c r="K3865" s="283">
        <v>2357</v>
      </c>
      <c r="L3865" s="318">
        <v>-33.617626000000001</v>
      </c>
      <c r="M3865" s="318">
        <v>150.274033</v>
      </c>
      <c r="O3865">
        <f>INDEX('MEC - traffic congestion'!$M$145:$M$249,MATCH($D3865,'MEC - traffic congestion'!$C$145:$C$249,0))</f>
        <v>1</v>
      </c>
      <c r="P3865" t="str">
        <f t="shared" si="176"/>
        <v>2019OFF PEAK</v>
      </c>
      <c r="Q3865">
        <f t="shared" si="177"/>
        <v>1</v>
      </c>
      <c r="R3865" s="195" t="str">
        <f t="shared" si="178"/>
        <v>2019LIGHT VEHICLES</v>
      </c>
    </row>
    <row r="3866" spans="3:18" x14ac:dyDescent="0.25">
      <c r="C3866" s="294" t="s">
        <v>1014</v>
      </c>
      <c r="D3866" s="317" t="s">
        <v>752</v>
      </c>
      <c r="E3866" s="122" t="s">
        <v>1009</v>
      </c>
      <c r="F3866" s="122" t="s">
        <v>1010</v>
      </c>
      <c r="G3866" s="122" t="s">
        <v>786</v>
      </c>
      <c r="H3866" s="122" t="s">
        <v>777</v>
      </c>
      <c r="I3866" s="312">
        <v>2019</v>
      </c>
      <c r="J3866" s="122" t="s">
        <v>710</v>
      </c>
      <c r="K3866" s="283">
        <v>2550</v>
      </c>
      <c r="L3866" s="318">
        <v>-33.617626000000001</v>
      </c>
      <c r="M3866" s="318">
        <v>150.274033</v>
      </c>
      <c r="O3866">
        <f>INDEX('MEC - traffic congestion'!$M$145:$M$249,MATCH($D3866,'MEC - traffic congestion'!$C$145:$C$249,0))</f>
        <v>1</v>
      </c>
      <c r="P3866" t="str">
        <f t="shared" si="176"/>
        <v>2019OFF PEAK</v>
      </c>
      <c r="Q3866">
        <f t="shared" si="177"/>
        <v>1</v>
      </c>
      <c r="R3866" s="195" t="str">
        <f t="shared" si="178"/>
        <v>2019LIGHT VEHICLES</v>
      </c>
    </row>
    <row r="3867" spans="3:18" x14ac:dyDescent="0.25">
      <c r="C3867" s="294" t="s">
        <v>1014</v>
      </c>
      <c r="D3867" s="317" t="s">
        <v>752</v>
      </c>
      <c r="E3867" s="122" t="s">
        <v>1009</v>
      </c>
      <c r="F3867" s="122" t="s">
        <v>1010</v>
      </c>
      <c r="G3867" s="122" t="s">
        <v>785</v>
      </c>
      <c r="H3867" s="122" t="s">
        <v>777</v>
      </c>
      <c r="I3867" s="312">
        <v>2019</v>
      </c>
      <c r="J3867" s="122" t="s">
        <v>711</v>
      </c>
      <c r="K3867" s="283">
        <v>1515</v>
      </c>
      <c r="L3867" s="318">
        <v>-33.617626000000001</v>
      </c>
      <c r="M3867" s="318">
        <v>150.274033</v>
      </c>
      <c r="O3867">
        <f>INDEX('MEC - traffic congestion'!$M$145:$M$249,MATCH($D3867,'MEC - traffic congestion'!$C$145:$C$249,0))</f>
        <v>1</v>
      </c>
      <c r="P3867" t="str">
        <f t="shared" si="176"/>
        <v>2019PM PEAK</v>
      </c>
      <c r="Q3867">
        <f t="shared" si="177"/>
        <v>1</v>
      </c>
      <c r="R3867" s="195" t="str">
        <f t="shared" si="178"/>
        <v>2019LIGHT VEHICLES</v>
      </c>
    </row>
    <row r="3868" spans="3:18" x14ac:dyDescent="0.25">
      <c r="C3868" s="294" t="s">
        <v>1014</v>
      </c>
      <c r="D3868" s="317" t="s">
        <v>752</v>
      </c>
      <c r="E3868" s="122" t="s">
        <v>1009</v>
      </c>
      <c r="F3868" s="122" t="s">
        <v>1010</v>
      </c>
      <c r="G3868" s="122" t="s">
        <v>786</v>
      </c>
      <c r="H3868" s="122" t="s">
        <v>777</v>
      </c>
      <c r="I3868" s="312">
        <v>2019</v>
      </c>
      <c r="J3868" s="122" t="s">
        <v>711</v>
      </c>
      <c r="K3868" s="283">
        <v>1512</v>
      </c>
      <c r="L3868" s="318">
        <v>-33.617626000000001</v>
      </c>
      <c r="M3868" s="318">
        <v>150.274033</v>
      </c>
      <c r="O3868">
        <f>INDEX('MEC - traffic congestion'!$M$145:$M$249,MATCH($D3868,'MEC - traffic congestion'!$C$145:$C$249,0))</f>
        <v>1</v>
      </c>
      <c r="P3868" t="str">
        <f t="shared" si="176"/>
        <v>2019PM PEAK</v>
      </c>
      <c r="Q3868">
        <f t="shared" si="177"/>
        <v>1</v>
      </c>
      <c r="R3868" s="195" t="str">
        <f t="shared" si="178"/>
        <v>2019LIGHT VEHICLES</v>
      </c>
    </row>
    <row r="3869" spans="3:18" x14ac:dyDescent="0.25">
      <c r="C3869" s="294" t="s">
        <v>1014</v>
      </c>
      <c r="D3869" s="317" t="s">
        <v>752</v>
      </c>
      <c r="E3869" s="122" t="s">
        <v>1009</v>
      </c>
      <c r="F3869" s="122" t="s">
        <v>1010</v>
      </c>
      <c r="G3869" s="122" t="s">
        <v>785</v>
      </c>
      <c r="H3869" s="122" t="s">
        <v>777</v>
      </c>
      <c r="I3869" s="312">
        <v>2019</v>
      </c>
      <c r="J3869" s="122" t="s">
        <v>712</v>
      </c>
      <c r="K3869" s="283">
        <v>6160</v>
      </c>
      <c r="L3869" s="318">
        <v>-33.617626000000001</v>
      </c>
      <c r="M3869" s="318">
        <v>150.274033</v>
      </c>
      <c r="O3869">
        <f>INDEX('MEC - traffic congestion'!$M$145:$M$249,MATCH($D3869,'MEC - traffic congestion'!$C$145:$C$249,0))</f>
        <v>1</v>
      </c>
      <c r="P3869" t="str">
        <f t="shared" si="176"/>
        <v>2019PUBLIC HOLIDAYS</v>
      </c>
      <c r="Q3869">
        <f t="shared" si="177"/>
        <v>1</v>
      </c>
      <c r="R3869" s="195" t="str">
        <f t="shared" si="178"/>
        <v>2019LIGHT VEHICLES</v>
      </c>
    </row>
    <row r="3870" spans="3:18" x14ac:dyDescent="0.25">
      <c r="C3870" s="294" t="s">
        <v>1014</v>
      </c>
      <c r="D3870" s="317" t="s">
        <v>752</v>
      </c>
      <c r="E3870" s="122" t="s">
        <v>1009</v>
      </c>
      <c r="F3870" s="122" t="s">
        <v>1010</v>
      </c>
      <c r="G3870" s="122" t="s">
        <v>786</v>
      </c>
      <c r="H3870" s="122" t="s">
        <v>777</v>
      </c>
      <c r="I3870" s="312">
        <v>2019</v>
      </c>
      <c r="J3870" s="122" t="s">
        <v>712</v>
      </c>
      <c r="K3870" s="283">
        <v>6610</v>
      </c>
      <c r="L3870" s="318">
        <v>-33.617626000000001</v>
      </c>
      <c r="M3870" s="318">
        <v>150.274033</v>
      </c>
      <c r="O3870">
        <f>INDEX('MEC - traffic congestion'!$M$145:$M$249,MATCH($D3870,'MEC - traffic congestion'!$C$145:$C$249,0))</f>
        <v>1</v>
      </c>
      <c r="P3870" t="str">
        <f t="shared" si="176"/>
        <v>2019PUBLIC HOLIDAYS</v>
      </c>
      <c r="Q3870">
        <f t="shared" si="177"/>
        <v>1</v>
      </c>
      <c r="R3870" s="195" t="str">
        <f t="shared" si="178"/>
        <v>2019LIGHT VEHICLES</v>
      </c>
    </row>
    <row r="3871" spans="3:18" x14ac:dyDescent="0.25">
      <c r="C3871" s="294" t="s">
        <v>1014</v>
      </c>
      <c r="D3871" s="317" t="s">
        <v>752</v>
      </c>
      <c r="E3871" s="122" t="s">
        <v>1009</v>
      </c>
      <c r="F3871" s="122" t="s">
        <v>1010</v>
      </c>
      <c r="G3871" s="122" t="s">
        <v>785</v>
      </c>
      <c r="H3871" s="122" t="s">
        <v>777</v>
      </c>
      <c r="I3871" s="312">
        <v>2019</v>
      </c>
      <c r="J3871" s="122" t="s">
        <v>713</v>
      </c>
      <c r="K3871" s="283">
        <v>6664</v>
      </c>
      <c r="L3871" s="318">
        <v>-33.617626000000001</v>
      </c>
      <c r="M3871" s="318">
        <v>150.274033</v>
      </c>
      <c r="O3871">
        <f>INDEX('MEC - traffic congestion'!$M$145:$M$249,MATCH($D3871,'MEC - traffic congestion'!$C$145:$C$249,0))</f>
        <v>1</v>
      </c>
      <c r="P3871" t="str">
        <f t="shared" si="176"/>
        <v>2019WEEKENDS</v>
      </c>
      <c r="Q3871">
        <f t="shared" si="177"/>
        <v>1</v>
      </c>
      <c r="R3871" s="195" t="str">
        <f t="shared" si="178"/>
        <v>2019LIGHT VEHICLES</v>
      </c>
    </row>
    <row r="3872" spans="3:18" x14ac:dyDescent="0.25">
      <c r="C3872" s="294" t="s">
        <v>1014</v>
      </c>
      <c r="D3872" s="317" t="s">
        <v>752</v>
      </c>
      <c r="E3872" s="122" t="s">
        <v>1009</v>
      </c>
      <c r="F3872" s="122" t="s">
        <v>1010</v>
      </c>
      <c r="G3872" s="122" t="s">
        <v>786</v>
      </c>
      <c r="H3872" s="122" t="s">
        <v>777</v>
      </c>
      <c r="I3872" s="312">
        <v>2019</v>
      </c>
      <c r="J3872" s="122" t="s">
        <v>713</v>
      </c>
      <c r="K3872" s="283">
        <v>6312</v>
      </c>
      <c r="L3872" s="318">
        <v>-33.617626000000001</v>
      </c>
      <c r="M3872" s="318">
        <v>150.274033</v>
      </c>
      <c r="O3872">
        <f>INDEX('MEC - traffic congestion'!$M$145:$M$249,MATCH($D3872,'MEC - traffic congestion'!$C$145:$C$249,0))</f>
        <v>1</v>
      </c>
      <c r="P3872" t="str">
        <f t="shared" si="176"/>
        <v>2019WEEKENDS</v>
      </c>
      <c r="Q3872">
        <f t="shared" si="177"/>
        <v>1</v>
      </c>
      <c r="R3872" s="195" t="str">
        <f t="shared" si="178"/>
        <v>2019LIGHT VEHICLES</v>
      </c>
    </row>
    <row r="3873" spans="3:18" x14ac:dyDescent="0.25">
      <c r="C3873" s="294" t="s">
        <v>1014</v>
      </c>
      <c r="D3873" s="317" t="s">
        <v>752</v>
      </c>
      <c r="E3873" s="122" t="s">
        <v>1009</v>
      </c>
      <c r="F3873" s="122" t="s">
        <v>1010</v>
      </c>
      <c r="G3873" s="122" t="s">
        <v>785</v>
      </c>
      <c r="H3873" s="122" t="s">
        <v>777</v>
      </c>
      <c r="I3873" s="312">
        <v>2020</v>
      </c>
      <c r="J3873" s="122" t="s">
        <v>709</v>
      </c>
      <c r="K3873" s="283">
        <v>973</v>
      </c>
      <c r="L3873" s="318">
        <v>-33.617626000000001</v>
      </c>
      <c r="M3873" s="318">
        <v>150.274033</v>
      </c>
      <c r="O3873">
        <f>INDEX('MEC - traffic congestion'!$M$145:$M$249,MATCH($D3873,'MEC - traffic congestion'!$C$145:$C$249,0))</f>
        <v>1</v>
      </c>
      <c r="P3873" t="str">
        <f t="shared" si="176"/>
        <v>2020AM PEAK</v>
      </c>
      <c r="Q3873">
        <f t="shared" si="177"/>
        <v>1</v>
      </c>
      <c r="R3873" s="195" t="str">
        <f t="shared" si="178"/>
        <v>2020LIGHT VEHICLES</v>
      </c>
    </row>
    <row r="3874" spans="3:18" x14ac:dyDescent="0.25">
      <c r="C3874" s="294" t="s">
        <v>1014</v>
      </c>
      <c r="D3874" s="317" t="s">
        <v>752</v>
      </c>
      <c r="E3874" s="122" t="s">
        <v>1009</v>
      </c>
      <c r="F3874" s="122" t="s">
        <v>1010</v>
      </c>
      <c r="G3874" s="122" t="s">
        <v>786</v>
      </c>
      <c r="H3874" s="122" t="s">
        <v>777</v>
      </c>
      <c r="I3874" s="312">
        <v>2020</v>
      </c>
      <c r="J3874" s="122" t="s">
        <v>709</v>
      </c>
      <c r="K3874" s="283">
        <v>1115</v>
      </c>
      <c r="L3874" s="318">
        <v>-33.617626000000001</v>
      </c>
      <c r="M3874" s="318">
        <v>150.274033</v>
      </c>
      <c r="O3874">
        <f>INDEX('MEC - traffic congestion'!$M$145:$M$249,MATCH($D3874,'MEC - traffic congestion'!$C$145:$C$249,0))</f>
        <v>1</v>
      </c>
      <c r="P3874" t="str">
        <f t="shared" si="176"/>
        <v>2020AM PEAK</v>
      </c>
      <c r="Q3874">
        <f t="shared" si="177"/>
        <v>1</v>
      </c>
      <c r="R3874" s="195" t="str">
        <f t="shared" si="178"/>
        <v>2020LIGHT VEHICLES</v>
      </c>
    </row>
    <row r="3875" spans="3:18" x14ac:dyDescent="0.25">
      <c r="C3875" s="294" t="s">
        <v>1014</v>
      </c>
      <c r="D3875" s="317" t="s">
        <v>752</v>
      </c>
      <c r="E3875" s="122" t="s">
        <v>1009</v>
      </c>
      <c r="F3875" s="122" t="s">
        <v>1010</v>
      </c>
      <c r="G3875" s="122" t="s">
        <v>785</v>
      </c>
      <c r="H3875" s="122" t="s">
        <v>777</v>
      </c>
      <c r="I3875" s="312">
        <v>2020</v>
      </c>
      <c r="J3875" s="122" t="s">
        <v>710</v>
      </c>
      <c r="K3875" s="283">
        <v>2216</v>
      </c>
      <c r="L3875" s="318">
        <v>-33.617626000000001</v>
      </c>
      <c r="M3875" s="318">
        <v>150.274033</v>
      </c>
      <c r="O3875">
        <f>INDEX('MEC - traffic congestion'!$M$145:$M$249,MATCH($D3875,'MEC - traffic congestion'!$C$145:$C$249,0))</f>
        <v>1</v>
      </c>
      <c r="P3875" t="str">
        <f t="shared" si="176"/>
        <v>2020OFF PEAK</v>
      </c>
      <c r="Q3875">
        <f t="shared" si="177"/>
        <v>1</v>
      </c>
      <c r="R3875" s="195" t="str">
        <f t="shared" si="178"/>
        <v>2020LIGHT VEHICLES</v>
      </c>
    </row>
    <row r="3876" spans="3:18" x14ac:dyDescent="0.25">
      <c r="C3876" s="294" t="s">
        <v>1014</v>
      </c>
      <c r="D3876" s="317" t="s">
        <v>752</v>
      </c>
      <c r="E3876" s="122" t="s">
        <v>1009</v>
      </c>
      <c r="F3876" s="122" t="s">
        <v>1010</v>
      </c>
      <c r="G3876" s="122" t="s">
        <v>786</v>
      </c>
      <c r="H3876" s="122" t="s">
        <v>777</v>
      </c>
      <c r="I3876" s="312">
        <v>2020</v>
      </c>
      <c r="J3876" s="122" t="s">
        <v>710</v>
      </c>
      <c r="K3876" s="283">
        <v>2434</v>
      </c>
      <c r="L3876" s="318">
        <v>-33.617626000000001</v>
      </c>
      <c r="M3876" s="318">
        <v>150.274033</v>
      </c>
      <c r="O3876">
        <f>INDEX('MEC - traffic congestion'!$M$145:$M$249,MATCH($D3876,'MEC - traffic congestion'!$C$145:$C$249,0))</f>
        <v>1</v>
      </c>
      <c r="P3876" t="str">
        <f t="shared" si="176"/>
        <v>2020OFF PEAK</v>
      </c>
      <c r="Q3876">
        <f t="shared" si="177"/>
        <v>1</v>
      </c>
      <c r="R3876" s="195" t="str">
        <f t="shared" si="178"/>
        <v>2020LIGHT VEHICLES</v>
      </c>
    </row>
    <row r="3877" spans="3:18" x14ac:dyDescent="0.25">
      <c r="C3877" s="294" t="s">
        <v>1014</v>
      </c>
      <c r="D3877" s="317" t="s">
        <v>752</v>
      </c>
      <c r="E3877" s="122" t="s">
        <v>1009</v>
      </c>
      <c r="F3877" s="122" t="s">
        <v>1010</v>
      </c>
      <c r="G3877" s="122" t="s">
        <v>785</v>
      </c>
      <c r="H3877" s="122" t="s">
        <v>777</v>
      </c>
      <c r="I3877" s="312">
        <v>2020</v>
      </c>
      <c r="J3877" s="122" t="s">
        <v>711</v>
      </c>
      <c r="K3877" s="283">
        <v>1420</v>
      </c>
      <c r="L3877" s="318">
        <v>-33.617626000000001</v>
      </c>
      <c r="M3877" s="318">
        <v>150.274033</v>
      </c>
      <c r="O3877">
        <f>INDEX('MEC - traffic congestion'!$M$145:$M$249,MATCH($D3877,'MEC - traffic congestion'!$C$145:$C$249,0))</f>
        <v>1</v>
      </c>
      <c r="P3877" t="str">
        <f t="shared" si="176"/>
        <v>2020PM PEAK</v>
      </c>
      <c r="Q3877">
        <f t="shared" si="177"/>
        <v>1</v>
      </c>
      <c r="R3877" s="195" t="str">
        <f t="shared" si="178"/>
        <v>2020LIGHT VEHICLES</v>
      </c>
    </row>
    <row r="3878" spans="3:18" x14ac:dyDescent="0.25">
      <c r="C3878" s="294" t="s">
        <v>1014</v>
      </c>
      <c r="D3878" s="317" t="s">
        <v>752</v>
      </c>
      <c r="E3878" s="122" t="s">
        <v>1009</v>
      </c>
      <c r="F3878" s="122" t="s">
        <v>1010</v>
      </c>
      <c r="G3878" s="122" t="s">
        <v>786</v>
      </c>
      <c r="H3878" s="122" t="s">
        <v>777</v>
      </c>
      <c r="I3878" s="312">
        <v>2020</v>
      </c>
      <c r="J3878" s="122" t="s">
        <v>711</v>
      </c>
      <c r="K3878" s="283">
        <v>1389</v>
      </c>
      <c r="L3878" s="318">
        <v>-33.617626000000001</v>
      </c>
      <c r="M3878" s="318">
        <v>150.274033</v>
      </c>
      <c r="O3878">
        <f>INDEX('MEC - traffic congestion'!$M$145:$M$249,MATCH($D3878,'MEC - traffic congestion'!$C$145:$C$249,0))</f>
        <v>1</v>
      </c>
      <c r="P3878" t="str">
        <f t="shared" si="176"/>
        <v>2020PM PEAK</v>
      </c>
      <c r="Q3878">
        <f t="shared" si="177"/>
        <v>1</v>
      </c>
      <c r="R3878" s="195" t="str">
        <f t="shared" si="178"/>
        <v>2020LIGHT VEHICLES</v>
      </c>
    </row>
    <row r="3879" spans="3:18" x14ac:dyDescent="0.25">
      <c r="C3879" s="294" t="s">
        <v>1014</v>
      </c>
      <c r="D3879" s="317" t="s">
        <v>752</v>
      </c>
      <c r="E3879" s="122" t="s">
        <v>1009</v>
      </c>
      <c r="F3879" s="122" t="s">
        <v>1010</v>
      </c>
      <c r="G3879" s="122" t="s">
        <v>785</v>
      </c>
      <c r="H3879" s="122" t="s">
        <v>777</v>
      </c>
      <c r="I3879" s="312">
        <v>2020</v>
      </c>
      <c r="J3879" s="122" t="s">
        <v>712</v>
      </c>
      <c r="K3879" s="283">
        <v>3991</v>
      </c>
      <c r="L3879" s="318">
        <v>-33.617626000000001</v>
      </c>
      <c r="M3879" s="318">
        <v>150.274033</v>
      </c>
      <c r="O3879">
        <f>INDEX('MEC - traffic congestion'!$M$145:$M$249,MATCH($D3879,'MEC - traffic congestion'!$C$145:$C$249,0))</f>
        <v>1</v>
      </c>
      <c r="P3879" t="str">
        <f t="shared" si="176"/>
        <v>2020PUBLIC HOLIDAYS</v>
      </c>
      <c r="Q3879">
        <f t="shared" si="177"/>
        <v>1</v>
      </c>
      <c r="R3879" s="195" t="str">
        <f t="shared" si="178"/>
        <v>2020LIGHT VEHICLES</v>
      </c>
    </row>
    <row r="3880" spans="3:18" x14ac:dyDescent="0.25">
      <c r="C3880" s="294" t="s">
        <v>1014</v>
      </c>
      <c r="D3880" s="317" t="s">
        <v>752</v>
      </c>
      <c r="E3880" s="122" t="s">
        <v>1009</v>
      </c>
      <c r="F3880" s="122" t="s">
        <v>1010</v>
      </c>
      <c r="G3880" s="122" t="s">
        <v>786</v>
      </c>
      <c r="H3880" s="122" t="s">
        <v>777</v>
      </c>
      <c r="I3880" s="312">
        <v>2020</v>
      </c>
      <c r="J3880" s="122" t="s">
        <v>712</v>
      </c>
      <c r="K3880" s="283">
        <v>3692</v>
      </c>
      <c r="L3880" s="318">
        <v>-33.617626000000001</v>
      </c>
      <c r="M3880" s="318">
        <v>150.274033</v>
      </c>
      <c r="O3880">
        <f>INDEX('MEC - traffic congestion'!$M$145:$M$249,MATCH($D3880,'MEC - traffic congestion'!$C$145:$C$249,0))</f>
        <v>1</v>
      </c>
      <c r="P3880" t="str">
        <f t="shared" si="176"/>
        <v>2020PUBLIC HOLIDAYS</v>
      </c>
      <c r="Q3880">
        <f t="shared" si="177"/>
        <v>1</v>
      </c>
      <c r="R3880" s="195" t="str">
        <f t="shared" si="178"/>
        <v>2020LIGHT VEHICLES</v>
      </c>
    </row>
    <row r="3881" spans="3:18" x14ac:dyDescent="0.25">
      <c r="C3881" s="294" t="s">
        <v>1014</v>
      </c>
      <c r="D3881" s="317" t="s">
        <v>752</v>
      </c>
      <c r="E3881" s="122" t="s">
        <v>1009</v>
      </c>
      <c r="F3881" s="122" t="s">
        <v>1010</v>
      </c>
      <c r="G3881" s="122" t="s">
        <v>785</v>
      </c>
      <c r="H3881" s="122" t="s">
        <v>777</v>
      </c>
      <c r="I3881" s="312">
        <v>2020</v>
      </c>
      <c r="J3881" s="122" t="s">
        <v>713</v>
      </c>
      <c r="K3881" s="283">
        <v>5914</v>
      </c>
      <c r="L3881" s="318">
        <v>-33.617626000000001</v>
      </c>
      <c r="M3881" s="318">
        <v>150.274033</v>
      </c>
      <c r="O3881">
        <f>INDEX('MEC - traffic congestion'!$M$145:$M$249,MATCH($D3881,'MEC - traffic congestion'!$C$145:$C$249,0))</f>
        <v>1</v>
      </c>
      <c r="P3881" t="str">
        <f t="shared" si="176"/>
        <v>2020WEEKENDS</v>
      </c>
      <c r="Q3881">
        <f t="shared" si="177"/>
        <v>1</v>
      </c>
      <c r="R3881" s="195" t="str">
        <f t="shared" si="178"/>
        <v>2020LIGHT VEHICLES</v>
      </c>
    </row>
    <row r="3882" spans="3:18" x14ac:dyDescent="0.25">
      <c r="C3882" s="294" t="s">
        <v>1014</v>
      </c>
      <c r="D3882" s="317" t="s">
        <v>752</v>
      </c>
      <c r="E3882" s="122" t="s">
        <v>1009</v>
      </c>
      <c r="F3882" s="122" t="s">
        <v>1010</v>
      </c>
      <c r="G3882" s="122" t="s">
        <v>786</v>
      </c>
      <c r="H3882" s="122" t="s">
        <v>777</v>
      </c>
      <c r="I3882" s="312">
        <v>2020</v>
      </c>
      <c r="J3882" s="122" t="s">
        <v>713</v>
      </c>
      <c r="K3882" s="283">
        <v>5469</v>
      </c>
      <c r="L3882" s="318">
        <v>-33.617626000000001</v>
      </c>
      <c r="M3882" s="318">
        <v>150.274033</v>
      </c>
      <c r="O3882">
        <f>INDEX('MEC - traffic congestion'!$M$145:$M$249,MATCH($D3882,'MEC - traffic congestion'!$C$145:$C$249,0))</f>
        <v>1</v>
      </c>
      <c r="P3882" t="str">
        <f t="shared" si="176"/>
        <v>2020WEEKENDS</v>
      </c>
      <c r="Q3882">
        <f t="shared" si="177"/>
        <v>1</v>
      </c>
      <c r="R3882" s="195" t="str">
        <f t="shared" si="178"/>
        <v>2020LIGHT VEHICLES</v>
      </c>
    </row>
    <row r="3883" spans="3:18" x14ac:dyDescent="0.25">
      <c r="C3883" s="294" t="s">
        <v>1014</v>
      </c>
      <c r="D3883" s="317" t="s">
        <v>752</v>
      </c>
      <c r="E3883" s="122" t="s">
        <v>1009</v>
      </c>
      <c r="F3883" s="122" t="s">
        <v>1010</v>
      </c>
      <c r="G3883" s="122" t="s">
        <v>785</v>
      </c>
      <c r="H3883" s="122" t="s">
        <v>777</v>
      </c>
      <c r="I3883" s="312">
        <v>2021</v>
      </c>
      <c r="J3883" s="122" t="s">
        <v>709</v>
      </c>
      <c r="K3883" s="283">
        <v>897</v>
      </c>
      <c r="L3883" s="318">
        <v>-33.617626000000001</v>
      </c>
      <c r="M3883" s="318">
        <v>150.274033</v>
      </c>
      <c r="O3883">
        <f>INDEX('MEC - traffic congestion'!$M$145:$M$249,MATCH($D3883,'MEC - traffic congestion'!$C$145:$C$249,0))</f>
        <v>1</v>
      </c>
      <c r="P3883" t="str">
        <f t="shared" si="176"/>
        <v>2021AM PEAK</v>
      </c>
      <c r="Q3883">
        <f t="shared" si="177"/>
        <v>1</v>
      </c>
      <c r="R3883" s="195" t="str">
        <f t="shared" si="178"/>
        <v>2021LIGHT VEHICLES</v>
      </c>
    </row>
    <row r="3884" spans="3:18" x14ac:dyDescent="0.25">
      <c r="C3884" s="294" t="s">
        <v>1014</v>
      </c>
      <c r="D3884" s="317" t="s">
        <v>752</v>
      </c>
      <c r="E3884" s="122" t="s">
        <v>1009</v>
      </c>
      <c r="F3884" s="122" t="s">
        <v>1010</v>
      </c>
      <c r="G3884" s="122" t="s">
        <v>786</v>
      </c>
      <c r="H3884" s="122" t="s">
        <v>777</v>
      </c>
      <c r="I3884" s="312">
        <v>2021</v>
      </c>
      <c r="J3884" s="122" t="s">
        <v>709</v>
      </c>
      <c r="K3884" s="283">
        <v>1028</v>
      </c>
      <c r="L3884" s="318">
        <v>-33.617626000000001</v>
      </c>
      <c r="M3884" s="318">
        <v>150.274033</v>
      </c>
      <c r="O3884">
        <f>INDEX('MEC - traffic congestion'!$M$145:$M$249,MATCH($D3884,'MEC - traffic congestion'!$C$145:$C$249,0))</f>
        <v>1</v>
      </c>
      <c r="P3884" t="str">
        <f t="shared" si="176"/>
        <v>2021AM PEAK</v>
      </c>
      <c r="Q3884">
        <f t="shared" si="177"/>
        <v>1</v>
      </c>
      <c r="R3884" s="195" t="str">
        <f t="shared" si="178"/>
        <v>2021LIGHT VEHICLES</v>
      </c>
    </row>
    <row r="3885" spans="3:18" x14ac:dyDescent="0.25">
      <c r="C3885" s="294" t="s">
        <v>1014</v>
      </c>
      <c r="D3885" s="317" t="s">
        <v>752</v>
      </c>
      <c r="E3885" s="122" t="s">
        <v>1009</v>
      </c>
      <c r="F3885" s="122" t="s">
        <v>1010</v>
      </c>
      <c r="G3885" s="122" t="s">
        <v>785</v>
      </c>
      <c r="H3885" s="122" t="s">
        <v>777</v>
      </c>
      <c r="I3885" s="312">
        <v>2021</v>
      </c>
      <c r="J3885" s="122" t="s">
        <v>710</v>
      </c>
      <c r="K3885" s="283">
        <v>2024</v>
      </c>
      <c r="L3885" s="318">
        <v>-33.617626000000001</v>
      </c>
      <c r="M3885" s="318">
        <v>150.274033</v>
      </c>
      <c r="O3885">
        <f>INDEX('MEC - traffic congestion'!$M$145:$M$249,MATCH($D3885,'MEC - traffic congestion'!$C$145:$C$249,0))</f>
        <v>1</v>
      </c>
      <c r="P3885" t="str">
        <f t="shared" si="176"/>
        <v>2021OFF PEAK</v>
      </c>
      <c r="Q3885">
        <f t="shared" si="177"/>
        <v>1</v>
      </c>
      <c r="R3885" s="195" t="str">
        <f t="shared" si="178"/>
        <v>2021LIGHT VEHICLES</v>
      </c>
    </row>
    <row r="3886" spans="3:18" x14ac:dyDescent="0.25">
      <c r="C3886" s="294" t="s">
        <v>1014</v>
      </c>
      <c r="D3886" s="317" t="s">
        <v>752</v>
      </c>
      <c r="E3886" s="122" t="s">
        <v>1009</v>
      </c>
      <c r="F3886" s="122" t="s">
        <v>1010</v>
      </c>
      <c r="G3886" s="122" t="s">
        <v>786</v>
      </c>
      <c r="H3886" s="122" t="s">
        <v>777</v>
      </c>
      <c r="I3886" s="312">
        <v>2021</v>
      </c>
      <c r="J3886" s="122" t="s">
        <v>710</v>
      </c>
      <c r="K3886" s="283">
        <v>2203</v>
      </c>
      <c r="L3886" s="318">
        <v>-33.617626000000001</v>
      </c>
      <c r="M3886" s="318">
        <v>150.274033</v>
      </c>
      <c r="O3886">
        <f>INDEX('MEC - traffic congestion'!$M$145:$M$249,MATCH($D3886,'MEC - traffic congestion'!$C$145:$C$249,0))</f>
        <v>1</v>
      </c>
      <c r="P3886" t="str">
        <f t="shared" si="176"/>
        <v>2021OFF PEAK</v>
      </c>
      <c r="Q3886">
        <f t="shared" si="177"/>
        <v>1</v>
      </c>
      <c r="R3886" s="195" t="str">
        <f t="shared" si="178"/>
        <v>2021LIGHT VEHICLES</v>
      </c>
    </row>
    <row r="3887" spans="3:18" x14ac:dyDescent="0.25">
      <c r="C3887" s="294" t="s">
        <v>1014</v>
      </c>
      <c r="D3887" s="317" t="s">
        <v>752</v>
      </c>
      <c r="E3887" s="122" t="s">
        <v>1009</v>
      </c>
      <c r="F3887" s="122" t="s">
        <v>1010</v>
      </c>
      <c r="G3887" s="122" t="s">
        <v>785</v>
      </c>
      <c r="H3887" s="122" t="s">
        <v>777</v>
      </c>
      <c r="I3887" s="312">
        <v>2021</v>
      </c>
      <c r="J3887" s="122" t="s">
        <v>711</v>
      </c>
      <c r="K3887" s="283">
        <v>1302</v>
      </c>
      <c r="L3887" s="318">
        <v>-33.617626000000001</v>
      </c>
      <c r="M3887" s="318">
        <v>150.274033</v>
      </c>
      <c r="O3887">
        <f>INDEX('MEC - traffic congestion'!$M$145:$M$249,MATCH($D3887,'MEC - traffic congestion'!$C$145:$C$249,0))</f>
        <v>1</v>
      </c>
      <c r="P3887" t="str">
        <f t="shared" si="176"/>
        <v>2021PM PEAK</v>
      </c>
      <c r="Q3887">
        <f t="shared" si="177"/>
        <v>1</v>
      </c>
      <c r="R3887" s="195" t="str">
        <f t="shared" si="178"/>
        <v>2021LIGHT VEHICLES</v>
      </c>
    </row>
    <row r="3888" spans="3:18" x14ac:dyDescent="0.25">
      <c r="C3888" s="294" t="s">
        <v>1014</v>
      </c>
      <c r="D3888" s="317" t="s">
        <v>752</v>
      </c>
      <c r="E3888" s="122" t="s">
        <v>1009</v>
      </c>
      <c r="F3888" s="122" t="s">
        <v>1010</v>
      </c>
      <c r="G3888" s="122" t="s">
        <v>786</v>
      </c>
      <c r="H3888" s="122" t="s">
        <v>777</v>
      </c>
      <c r="I3888" s="312">
        <v>2021</v>
      </c>
      <c r="J3888" s="122" t="s">
        <v>711</v>
      </c>
      <c r="K3888" s="283">
        <v>1257</v>
      </c>
      <c r="L3888" s="318">
        <v>-33.617626000000001</v>
      </c>
      <c r="M3888" s="318">
        <v>150.274033</v>
      </c>
      <c r="O3888">
        <f>INDEX('MEC - traffic congestion'!$M$145:$M$249,MATCH($D3888,'MEC - traffic congestion'!$C$145:$C$249,0))</f>
        <v>1</v>
      </c>
      <c r="P3888" t="str">
        <f t="shared" si="176"/>
        <v>2021PM PEAK</v>
      </c>
      <c r="Q3888">
        <f t="shared" si="177"/>
        <v>1</v>
      </c>
      <c r="R3888" s="195" t="str">
        <f t="shared" si="178"/>
        <v>2021LIGHT VEHICLES</v>
      </c>
    </row>
    <row r="3889" spans="3:18" x14ac:dyDescent="0.25">
      <c r="C3889" s="294" t="s">
        <v>1014</v>
      </c>
      <c r="D3889" s="317" t="s">
        <v>752</v>
      </c>
      <c r="E3889" s="122" t="s">
        <v>1009</v>
      </c>
      <c r="F3889" s="122" t="s">
        <v>1010</v>
      </c>
      <c r="G3889" s="122" t="s">
        <v>785</v>
      </c>
      <c r="H3889" s="122" t="s">
        <v>777</v>
      </c>
      <c r="I3889" s="312">
        <v>2021</v>
      </c>
      <c r="J3889" s="122" t="s">
        <v>713</v>
      </c>
      <c r="K3889" s="283">
        <v>5240</v>
      </c>
      <c r="L3889" s="318">
        <v>-33.617626000000001</v>
      </c>
      <c r="M3889" s="318">
        <v>150.274033</v>
      </c>
      <c r="O3889">
        <f>INDEX('MEC - traffic congestion'!$M$145:$M$249,MATCH($D3889,'MEC - traffic congestion'!$C$145:$C$249,0))</f>
        <v>1</v>
      </c>
      <c r="P3889" t="str">
        <f t="shared" si="176"/>
        <v>2021WEEKENDS</v>
      </c>
      <c r="Q3889">
        <f t="shared" si="177"/>
        <v>1</v>
      </c>
      <c r="R3889" s="195" t="str">
        <f t="shared" si="178"/>
        <v>2021LIGHT VEHICLES</v>
      </c>
    </row>
    <row r="3890" spans="3:18" x14ac:dyDescent="0.25">
      <c r="C3890" s="294" t="s">
        <v>1014</v>
      </c>
      <c r="D3890" s="317" t="s">
        <v>752</v>
      </c>
      <c r="E3890" s="122" t="s">
        <v>1009</v>
      </c>
      <c r="F3890" s="122" t="s">
        <v>1010</v>
      </c>
      <c r="G3890" s="122" t="s">
        <v>786</v>
      </c>
      <c r="H3890" s="122" t="s">
        <v>777</v>
      </c>
      <c r="I3890" s="312">
        <v>2021</v>
      </c>
      <c r="J3890" s="122" t="s">
        <v>713</v>
      </c>
      <c r="K3890" s="283">
        <v>4904</v>
      </c>
      <c r="L3890" s="318">
        <v>-33.617626000000001</v>
      </c>
      <c r="M3890" s="318">
        <v>150.274033</v>
      </c>
      <c r="O3890">
        <f>INDEX('MEC - traffic congestion'!$M$145:$M$249,MATCH($D3890,'MEC - traffic congestion'!$C$145:$C$249,0))</f>
        <v>1</v>
      </c>
      <c r="P3890" t="str">
        <f t="shared" si="176"/>
        <v>2021WEEKENDS</v>
      </c>
      <c r="Q3890">
        <f t="shared" si="177"/>
        <v>1</v>
      </c>
      <c r="R3890" s="195" t="str">
        <f t="shared" si="178"/>
        <v>2021LIGHT VEHICLES</v>
      </c>
    </row>
    <row r="3891" spans="3:18" x14ac:dyDescent="0.25">
      <c r="C3891" s="294" t="s">
        <v>1014</v>
      </c>
      <c r="D3891" s="317" t="s">
        <v>752</v>
      </c>
      <c r="E3891" s="122" t="s">
        <v>1009</v>
      </c>
      <c r="F3891" s="122" t="s">
        <v>1010</v>
      </c>
      <c r="G3891" s="122" t="s">
        <v>785</v>
      </c>
      <c r="H3891" s="122" t="s">
        <v>777</v>
      </c>
      <c r="I3891" s="312">
        <v>2022</v>
      </c>
      <c r="J3891" s="122" t="s">
        <v>709</v>
      </c>
      <c r="K3891" s="283">
        <v>1066</v>
      </c>
      <c r="L3891" s="318">
        <v>-33.617626000000001</v>
      </c>
      <c r="M3891" s="318">
        <v>150.274033</v>
      </c>
      <c r="O3891">
        <f>INDEX('MEC - traffic congestion'!$M$145:$M$249,MATCH($D3891,'MEC - traffic congestion'!$C$145:$C$249,0))</f>
        <v>1</v>
      </c>
      <c r="P3891" t="str">
        <f t="shared" si="176"/>
        <v>2022AM PEAK</v>
      </c>
      <c r="Q3891">
        <f t="shared" si="177"/>
        <v>1</v>
      </c>
      <c r="R3891" s="195" t="str">
        <f t="shared" si="178"/>
        <v>2022LIGHT VEHICLES</v>
      </c>
    </row>
    <row r="3892" spans="3:18" x14ac:dyDescent="0.25">
      <c r="C3892" s="294" t="s">
        <v>1014</v>
      </c>
      <c r="D3892" s="317" t="s">
        <v>752</v>
      </c>
      <c r="E3892" s="122" t="s">
        <v>1009</v>
      </c>
      <c r="F3892" s="122" t="s">
        <v>1010</v>
      </c>
      <c r="G3892" s="122" t="s">
        <v>786</v>
      </c>
      <c r="H3892" s="122" t="s">
        <v>777</v>
      </c>
      <c r="I3892" s="312">
        <v>2022</v>
      </c>
      <c r="J3892" s="122" t="s">
        <v>709</v>
      </c>
      <c r="K3892" s="283">
        <v>1116</v>
      </c>
      <c r="L3892" s="318">
        <v>-33.617626000000001</v>
      </c>
      <c r="M3892" s="318">
        <v>150.274033</v>
      </c>
      <c r="O3892">
        <f>INDEX('MEC - traffic congestion'!$M$145:$M$249,MATCH($D3892,'MEC - traffic congestion'!$C$145:$C$249,0))</f>
        <v>1</v>
      </c>
      <c r="P3892" t="str">
        <f t="shared" si="176"/>
        <v>2022AM PEAK</v>
      </c>
      <c r="Q3892">
        <f t="shared" si="177"/>
        <v>1</v>
      </c>
      <c r="R3892" s="195" t="str">
        <f t="shared" si="178"/>
        <v>2022LIGHT VEHICLES</v>
      </c>
    </row>
    <row r="3893" spans="3:18" x14ac:dyDescent="0.25">
      <c r="C3893" s="294" t="s">
        <v>1014</v>
      </c>
      <c r="D3893" s="317" t="s">
        <v>752</v>
      </c>
      <c r="E3893" s="122" t="s">
        <v>1009</v>
      </c>
      <c r="F3893" s="122" t="s">
        <v>1010</v>
      </c>
      <c r="G3893" s="122" t="s">
        <v>785</v>
      </c>
      <c r="H3893" s="122" t="s">
        <v>777</v>
      </c>
      <c r="I3893" s="312">
        <v>2022</v>
      </c>
      <c r="J3893" s="122" t="s">
        <v>710</v>
      </c>
      <c r="K3893" s="283">
        <v>2354</v>
      </c>
      <c r="L3893" s="318">
        <v>-33.617626000000001</v>
      </c>
      <c r="M3893" s="318">
        <v>150.274033</v>
      </c>
      <c r="O3893">
        <f>INDEX('MEC - traffic congestion'!$M$145:$M$249,MATCH($D3893,'MEC - traffic congestion'!$C$145:$C$249,0))</f>
        <v>1</v>
      </c>
      <c r="P3893" t="str">
        <f t="shared" si="176"/>
        <v>2022OFF PEAK</v>
      </c>
      <c r="Q3893">
        <f t="shared" si="177"/>
        <v>1</v>
      </c>
      <c r="R3893" s="195" t="str">
        <f t="shared" si="178"/>
        <v>2022LIGHT VEHICLES</v>
      </c>
    </row>
    <row r="3894" spans="3:18" x14ac:dyDescent="0.25">
      <c r="C3894" s="294" t="s">
        <v>1014</v>
      </c>
      <c r="D3894" s="317" t="s">
        <v>752</v>
      </c>
      <c r="E3894" s="122" t="s">
        <v>1009</v>
      </c>
      <c r="F3894" s="122" t="s">
        <v>1010</v>
      </c>
      <c r="G3894" s="122" t="s">
        <v>786</v>
      </c>
      <c r="H3894" s="122" t="s">
        <v>777</v>
      </c>
      <c r="I3894" s="312">
        <v>2022</v>
      </c>
      <c r="J3894" s="122" t="s">
        <v>710</v>
      </c>
      <c r="K3894" s="283">
        <v>2545</v>
      </c>
      <c r="L3894" s="318">
        <v>-33.617626000000001</v>
      </c>
      <c r="M3894" s="318">
        <v>150.274033</v>
      </c>
      <c r="O3894">
        <f>INDEX('MEC - traffic congestion'!$M$145:$M$249,MATCH($D3894,'MEC - traffic congestion'!$C$145:$C$249,0))</f>
        <v>1</v>
      </c>
      <c r="P3894" t="str">
        <f t="shared" si="176"/>
        <v>2022OFF PEAK</v>
      </c>
      <c r="Q3894">
        <f t="shared" si="177"/>
        <v>1</v>
      </c>
      <c r="R3894" s="195" t="str">
        <f t="shared" si="178"/>
        <v>2022LIGHT VEHICLES</v>
      </c>
    </row>
    <row r="3895" spans="3:18" x14ac:dyDescent="0.25">
      <c r="C3895" s="294" t="s">
        <v>1014</v>
      </c>
      <c r="D3895" s="317" t="s">
        <v>752</v>
      </c>
      <c r="E3895" s="122" t="s">
        <v>1009</v>
      </c>
      <c r="F3895" s="122" t="s">
        <v>1010</v>
      </c>
      <c r="G3895" s="122" t="s">
        <v>785</v>
      </c>
      <c r="H3895" s="122" t="s">
        <v>777</v>
      </c>
      <c r="I3895" s="312">
        <v>2022</v>
      </c>
      <c r="J3895" s="122" t="s">
        <v>711</v>
      </c>
      <c r="K3895" s="283">
        <v>1432</v>
      </c>
      <c r="L3895" s="318">
        <v>-33.617626000000001</v>
      </c>
      <c r="M3895" s="318">
        <v>150.274033</v>
      </c>
      <c r="O3895">
        <f>INDEX('MEC - traffic congestion'!$M$145:$M$249,MATCH($D3895,'MEC - traffic congestion'!$C$145:$C$249,0))</f>
        <v>1</v>
      </c>
      <c r="P3895" t="str">
        <f t="shared" si="176"/>
        <v>2022PM PEAK</v>
      </c>
      <c r="Q3895">
        <f t="shared" si="177"/>
        <v>1</v>
      </c>
      <c r="R3895" s="195" t="str">
        <f t="shared" si="178"/>
        <v>2022LIGHT VEHICLES</v>
      </c>
    </row>
    <row r="3896" spans="3:18" x14ac:dyDescent="0.25">
      <c r="C3896" s="294" t="s">
        <v>1014</v>
      </c>
      <c r="D3896" s="317" t="s">
        <v>752</v>
      </c>
      <c r="E3896" s="122" t="s">
        <v>1009</v>
      </c>
      <c r="F3896" s="122" t="s">
        <v>1010</v>
      </c>
      <c r="G3896" s="122" t="s">
        <v>786</v>
      </c>
      <c r="H3896" s="122" t="s">
        <v>777</v>
      </c>
      <c r="I3896" s="312">
        <v>2022</v>
      </c>
      <c r="J3896" s="122" t="s">
        <v>711</v>
      </c>
      <c r="K3896" s="283">
        <v>1447</v>
      </c>
      <c r="L3896" s="318">
        <v>-33.617626000000001</v>
      </c>
      <c r="M3896" s="318">
        <v>150.274033</v>
      </c>
      <c r="O3896">
        <f>INDEX('MEC - traffic congestion'!$M$145:$M$249,MATCH($D3896,'MEC - traffic congestion'!$C$145:$C$249,0))</f>
        <v>1</v>
      </c>
      <c r="P3896" t="str">
        <f t="shared" si="176"/>
        <v>2022PM PEAK</v>
      </c>
      <c r="Q3896">
        <f t="shared" si="177"/>
        <v>1</v>
      </c>
      <c r="R3896" s="195" t="str">
        <f t="shared" si="178"/>
        <v>2022LIGHT VEHICLES</v>
      </c>
    </row>
    <row r="3897" spans="3:18" x14ac:dyDescent="0.25">
      <c r="C3897" s="294" t="s">
        <v>1014</v>
      </c>
      <c r="D3897" s="317" t="s">
        <v>752</v>
      </c>
      <c r="E3897" s="122" t="s">
        <v>1009</v>
      </c>
      <c r="F3897" s="122" t="s">
        <v>1010</v>
      </c>
      <c r="G3897" s="122" t="s">
        <v>785</v>
      </c>
      <c r="H3897" s="122" t="s">
        <v>777</v>
      </c>
      <c r="I3897" s="312">
        <v>2022</v>
      </c>
      <c r="J3897" s="122" t="s">
        <v>713</v>
      </c>
      <c r="K3897" s="283">
        <v>6366</v>
      </c>
      <c r="L3897" s="318">
        <v>-33.617626000000001</v>
      </c>
      <c r="M3897" s="318">
        <v>150.274033</v>
      </c>
      <c r="O3897">
        <f>INDEX('MEC - traffic congestion'!$M$145:$M$249,MATCH($D3897,'MEC - traffic congestion'!$C$145:$C$249,0))</f>
        <v>1</v>
      </c>
      <c r="P3897" t="str">
        <f t="shared" si="176"/>
        <v>2022WEEKENDS</v>
      </c>
      <c r="Q3897">
        <f t="shared" si="177"/>
        <v>1</v>
      </c>
      <c r="R3897" s="195" t="str">
        <f t="shared" si="178"/>
        <v>2022LIGHT VEHICLES</v>
      </c>
    </row>
    <row r="3898" spans="3:18" x14ac:dyDescent="0.25">
      <c r="C3898" s="294" t="s">
        <v>1014</v>
      </c>
      <c r="D3898" s="317" t="s">
        <v>752</v>
      </c>
      <c r="E3898" s="122" t="s">
        <v>1009</v>
      </c>
      <c r="F3898" s="122" t="s">
        <v>1010</v>
      </c>
      <c r="G3898" s="122" t="s">
        <v>786</v>
      </c>
      <c r="H3898" s="122" t="s">
        <v>777</v>
      </c>
      <c r="I3898" s="312">
        <v>2022</v>
      </c>
      <c r="J3898" s="122" t="s">
        <v>713</v>
      </c>
      <c r="K3898" s="283">
        <v>5901</v>
      </c>
      <c r="L3898" s="318">
        <v>-33.617626000000001</v>
      </c>
      <c r="M3898" s="318">
        <v>150.274033</v>
      </c>
      <c r="O3898">
        <f>INDEX('MEC - traffic congestion'!$M$145:$M$249,MATCH($D3898,'MEC - traffic congestion'!$C$145:$C$249,0))</f>
        <v>1</v>
      </c>
      <c r="P3898" t="str">
        <f t="shared" si="176"/>
        <v>2022WEEKENDS</v>
      </c>
      <c r="Q3898">
        <f t="shared" si="177"/>
        <v>1</v>
      </c>
      <c r="R3898" s="195" t="str">
        <f t="shared" si="178"/>
        <v>2022LIGHT VEHICLES</v>
      </c>
    </row>
    <row r="3899" spans="3:18" x14ac:dyDescent="0.25">
      <c r="C3899" s="294" t="s">
        <v>1014</v>
      </c>
      <c r="D3899" s="317" t="s">
        <v>752</v>
      </c>
      <c r="E3899" s="122" t="s">
        <v>1009</v>
      </c>
      <c r="F3899" s="122" t="s">
        <v>1010</v>
      </c>
      <c r="G3899" s="122" t="s">
        <v>785</v>
      </c>
      <c r="H3899" s="122" t="s">
        <v>777</v>
      </c>
      <c r="I3899" s="312">
        <v>2023</v>
      </c>
      <c r="J3899" s="122" t="s">
        <v>709</v>
      </c>
      <c r="K3899" s="283">
        <v>1109</v>
      </c>
      <c r="L3899" s="318">
        <v>-33.617626000000001</v>
      </c>
      <c r="M3899" s="318">
        <v>150.274033</v>
      </c>
      <c r="O3899">
        <f>INDEX('MEC - traffic congestion'!$M$145:$M$249,MATCH($D3899,'MEC - traffic congestion'!$C$145:$C$249,0))</f>
        <v>1</v>
      </c>
      <c r="P3899" t="str">
        <f t="shared" si="176"/>
        <v>2023AM PEAK</v>
      </c>
      <c r="Q3899">
        <f t="shared" si="177"/>
        <v>1</v>
      </c>
      <c r="R3899" s="195" t="str">
        <f t="shared" si="178"/>
        <v>2023LIGHT VEHICLES</v>
      </c>
    </row>
    <row r="3900" spans="3:18" x14ac:dyDescent="0.25">
      <c r="C3900" s="294" t="s">
        <v>1014</v>
      </c>
      <c r="D3900" s="317" t="s">
        <v>752</v>
      </c>
      <c r="E3900" s="122" t="s">
        <v>1009</v>
      </c>
      <c r="F3900" s="122" t="s">
        <v>1010</v>
      </c>
      <c r="G3900" s="122" t="s">
        <v>786</v>
      </c>
      <c r="H3900" s="122" t="s">
        <v>777</v>
      </c>
      <c r="I3900" s="312">
        <v>2023</v>
      </c>
      <c r="J3900" s="122" t="s">
        <v>709</v>
      </c>
      <c r="K3900" s="283">
        <v>1148</v>
      </c>
      <c r="L3900" s="318">
        <v>-33.617626000000001</v>
      </c>
      <c r="M3900" s="318">
        <v>150.274033</v>
      </c>
      <c r="O3900">
        <f>INDEX('MEC - traffic congestion'!$M$145:$M$249,MATCH($D3900,'MEC - traffic congestion'!$C$145:$C$249,0))</f>
        <v>1</v>
      </c>
      <c r="P3900" t="str">
        <f t="shared" si="176"/>
        <v>2023AM PEAK</v>
      </c>
      <c r="Q3900">
        <f t="shared" si="177"/>
        <v>1</v>
      </c>
      <c r="R3900" s="195" t="str">
        <f t="shared" si="178"/>
        <v>2023LIGHT VEHICLES</v>
      </c>
    </row>
    <row r="3901" spans="3:18" x14ac:dyDescent="0.25">
      <c r="C3901" s="294" t="s">
        <v>1014</v>
      </c>
      <c r="D3901" s="317" t="s">
        <v>752</v>
      </c>
      <c r="E3901" s="122" t="s">
        <v>1009</v>
      </c>
      <c r="F3901" s="122" t="s">
        <v>1010</v>
      </c>
      <c r="G3901" s="122" t="s">
        <v>785</v>
      </c>
      <c r="H3901" s="122" t="s">
        <v>777</v>
      </c>
      <c r="I3901" s="312">
        <v>2023</v>
      </c>
      <c r="J3901" s="122" t="s">
        <v>710</v>
      </c>
      <c r="K3901" s="283">
        <v>2443</v>
      </c>
      <c r="L3901" s="318">
        <v>-33.617626000000001</v>
      </c>
      <c r="M3901" s="318">
        <v>150.274033</v>
      </c>
      <c r="O3901">
        <f>INDEX('MEC - traffic congestion'!$M$145:$M$249,MATCH($D3901,'MEC - traffic congestion'!$C$145:$C$249,0))</f>
        <v>1</v>
      </c>
      <c r="P3901" t="str">
        <f t="shared" si="176"/>
        <v>2023OFF PEAK</v>
      </c>
      <c r="Q3901">
        <f t="shared" si="177"/>
        <v>1</v>
      </c>
      <c r="R3901" s="195" t="str">
        <f t="shared" si="178"/>
        <v>2023LIGHT VEHICLES</v>
      </c>
    </row>
    <row r="3902" spans="3:18" x14ac:dyDescent="0.25">
      <c r="C3902" s="294" t="s">
        <v>1014</v>
      </c>
      <c r="D3902" s="317" t="s">
        <v>752</v>
      </c>
      <c r="E3902" s="122" t="s">
        <v>1009</v>
      </c>
      <c r="F3902" s="122" t="s">
        <v>1010</v>
      </c>
      <c r="G3902" s="122" t="s">
        <v>786</v>
      </c>
      <c r="H3902" s="122" t="s">
        <v>777</v>
      </c>
      <c r="I3902" s="312">
        <v>2023</v>
      </c>
      <c r="J3902" s="122" t="s">
        <v>710</v>
      </c>
      <c r="K3902" s="283">
        <v>2640</v>
      </c>
      <c r="L3902" s="318">
        <v>-33.617626000000001</v>
      </c>
      <c r="M3902" s="318">
        <v>150.274033</v>
      </c>
      <c r="O3902">
        <f>INDEX('MEC - traffic congestion'!$M$145:$M$249,MATCH($D3902,'MEC - traffic congestion'!$C$145:$C$249,0))</f>
        <v>1</v>
      </c>
      <c r="P3902" t="str">
        <f t="shared" si="176"/>
        <v>2023OFF PEAK</v>
      </c>
      <c r="Q3902">
        <f t="shared" si="177"/>
        <v>1</v>
      </c>
      <c r="R3902" s="195" t="str">
        <f t="shared" si="178"/>
        <v>2023LIGHT VEHICLES</v>
      </c>
    </row>
    <row r="3903" spans="3:18" x14ac:dyDescent="0.25">
      <c r="C3903" s="294" t="s">
        <v>1014</v>
      </c>
      <c r="D3903" s="317" t="s">
        <v>752</v>
      </c>
      <c r="E3903" s="122" t="s">
        <v>1009</v>
      </c>
      <c r="F3903" s="122" t="s">
        <v>1010</v>
      </c>
      <c r="G3903" s="122" t="s">
        <v>785</v>
      </c>
      <c r="H3903" s="122" t="s">
        <v>777</v>
      </c>
      <c r="I3903" s="312">
        <v>2023</v>
      </c>
      <c r="J3903" s="122" t="s">
        <v>711</v>
      </c>
      <c r="K3903" s="283">
        <v>1537</v>
      </c>
      <c r="L3903" s="318">
        <v>-33.617626000000001</v>
      </c>
      <c r="M3903" s="318">
        <v>150.274033</v>
      </c>
      <c r="O3903">
        <f>INDEX('MEC - traffic congestion'!$M$145:$M$249,MATCH($D3903,'MEC - traffic congestion'!$C$145:$C$249,0))</f>
        <v>1</v>
      </c>
      <c r="P3903" t="str">
        <f t="shared" si="176"/>
        <v>2023PM PEAK</v>
      </c>
      <c r="Q3903">
        <f t="shared" si="177"/>
        <v>1</v>
      </c>
      <c r="R3903" s="195" t="str">
        <f t="shared" si="178"/>
        <v>2023LIGHT VEHICLES</v>
      </c>
    </row>
    <row r="3904" spans="3:18" x14ac:dyDescent="0.25">
      <c r="C3904" s="294" t="s">
        <v>1014</v>
      </c>
      <c r="D3904" s="317" t="s">
        <v>752</v>
      </c>
      <c r="E3904" s="122" t="s">
        <v>1009</v>
      </c>
      <c r="F3904" s="122" t="s">
        <v>1010</v>
      </c>
      <c r="G3904" s="122" t="s">
        <v>786</v>
      </c>
      <c r="H3904" s="122" t="s">
        <v>777</v>
      </c>
      <c r="I3904" s="312">
        <v>2023</v>
      </c>
      <c r="J3904" s="122" t="s">
        <v>711</v>
      </c>
      <c r="K3904" s="283">
        <v>1517</v>
      </c>
      <c r="L3904" s="318">
        <v>-33.617626000000001</v>
      </c>
      <c r="M3904" s="318">
        <v>150.274033</v>
      </c>
      <c r="O3904">
        <f>INDEX('MEC - traffic congestion'!$M$145:$M$249,MATCH($D3904,'MEC - traffic congestion'!$C$145:$C$249,0))</f>
        <v>1</v>
      </c>
      <c r="P3904" t="str">
        <f t="shared" si="176"/>
        <v>2023PM PEAK</v>
      </c>
      <c r="Q3904">
        <f t="shared" si="177"/>
        <v>1</v>
      </c>
      <c r="R3904" s="195" t="str">
        <f t="shared" si="178"/>
        <v>2023LIGHT VEHICLES</v>
      </c>
    </row>
    <row r="3905" spans="3:18" x14ac:dyDescent="0.25">
      <c r="C3905" s="294" t="s">
        <v>1014</v>
      </c>
      <c r="D3905" s="317" t="s">
        <v>752</v>
      </c>
      <c r="E3905" s="122" t="s">
        <v>1009</v>
      </c>
      <c r="F3905" s="122" t="s">
        <v>1010</v>
      </c>
      <c r="G3905" s="122" t="s">
        <v>785</v>
      </c>
      <c r="H3905" s="122" t="s">
        <v>777</v>
      </c>
      <c r="I3905" s="312">
        <v>2023</v>
      </c>
      <c r="J3905" s="122" t="s">
        <v>713</v>
      </c>
      <c r="K3905" s="283">
        <v>6619</v>
      </c>
      <c r="L3905" s="318">
        <v>-33.617626000000001</v>
      </c>
      <c r="M3905" s="318">
        <v>150.274033</v>
      </c>
      <c r="O3905">
        <f>INDEX('MEC - traffic congestion'!$M$145:$M$249,MATCH($D3905,'MEC - traffic congestion'!$C$145:$C$249,0))</f>
        <v>1</v>
      </c>
      <c r="P3905" t="str">
        <f t="shared" si="176"/>
        <v>2023WEEKENDS</v>
      </c>
      <c r="Q3905">
        <f t="shared" si="177"/>
        <v>1</v>
      </c>
      <c r="R3905" s="195" t="str">
        <f t="shared" si="178"/>
        <v>2023LIGHT VEHICLES</v>
      </c>
    </row>
    <row r="3906" spans="3:18" x14ac:dyDescent="0.25">
      <c r="C3906" s="294" t="s">
        <v>1014</v>
      </c>
      <c r="D3906" s="317" t="s">
        <v>752</v>
      </c>
      <c r="E3906" s="122" t="s">
        <v>1009</v>
      </c>
      <c r="F3906" s="122" t="s">
        <v>1010</v>
      </c>
      <c r="G3906" s="122" t="s">
        <v>786</v>
      </c>
      <c r="H3906" s="122" t="s">
        <v>777</v>
      </c>
      <c r="I3906" s="312">
        <v>2023</v>
      </c>
      <c r="J3906" s="122" t="s">
        <v>713</v>
      </c>
      <c r="K3906" s="283">
        <v>6217</v>
      </c>
      <c r="L3906" s="318">
        <v>-33.617626000000001</v>
      </c>
      <c r="M3906" s="318">
        <v>150.274033</v>
      </c>
      <c r="O3906">
        <f>INDEX('MEC - traffic congestion'!$M$145:$M$249,MATCH($D3906,'MEC - traffic congestion'!$C$145:$C$249,0))</f>
        <v>1</v>
      </c>
      <c r="P3906" t="str">
        <f t="shared" si="176"/>
        <v>2023WEEKENDS</v>
      </c>
      <c r="Q3906">
        <f t="shared" si="177"/>
        <v>1</v>
      </c>
      <c r="R3906" s="195" t="str">
        <f t="shared" si="178"/>
        <v>2023LIGHT VEHICLES</v>
      </c>
    </row>
    <row r="3907" spans="3:18" x14ac:dyDescent="0.25">
      <c r="C3907" s="294" t="s">
        <v>1014</v>
      </c>
      <c r="D3907" s="317" t="s">
        <v>752</v>
      </c>
      <c r="E3907" s="122" t="s">
        <v>1009</v>
      </c>
      <c r="F3907" s="122" t="s">
        <v>1010</v>
      </c>
      <c r="G3907" s="122" t="s">
        <v>785</v>
      </c>
      <c r="H3907" s="122" t="s">
        <v>777</v>
      </c>
      <c r="I3907" s="312">
        <v>2024</v>
      </c>
      <c r="J3907" s="122" t="s">
        <v>709</v>
      </c>
      <c r="K3907" s="283">
        <v>1109</v>
      </c>
      <c r="L3907" s="318">
        <v>-33.617626000000001</v>
      </c>
      <c r="M3907" s="318">
        <v>150.274033</v>
      </c>
      <c r="O3907">
        <f>INDEX('MEC - traffic congestion'!$M$145:$M$249,MATCH($D3907,'MEC - traffic congestion'!$C$145:$C$249,0))</f>
        <v>1</v>
      </c>
      <c r="P3907" t="str">
        <f t="shared" si="176"/>
        <v>2024AM PEAK</v>
      </c>
      <c r="Q3907">
        <f t="shared" si="177"/>
        <v>1</v>
      </c>
      <c r="R3907" s="195" t="str">
        <f t="shared" si="178"/>
        <v>2024LIGHT VEHICLES</v>
      </c>
    </row>
    <row r="3908" spans="3:18" x14ac:dyDescent="0.25">
      <c r="C3908" s="294" t="s">
        <v>1014</v>
      </c>
      <c r="D3908" s="317" t="s">
        <v>752</v>
      </c>
      <c r="E3908" s="122" t="s">
        <v>1009</v>
      </c>
      <c r="F3908" s="122" t="s">
        <v>1010</v>
      </c>
      <c r="G3908" s="122" t="s">
        <v>786</v>
      </c>
      <c r="H3908" s="122" t="s">
        <v>777</v>
      </c>
      <c r="I3908" s="312">
        <v>2024</v>
      </c>
      <c r="J3908" s="122" t="s">
        <v>709</v>
      </c>
      <c r="K3908" s="283">
        <v>1161</v>
      </c>
      <c r="L3908" s="318">
        <v>-33.617626000000001</v>
      </c>
      <c r="M3908" s="318">
        <v>150.274033</v>
      </c>
      <c r="O3908">
        <f>INDEX('MEC - traffic congestion'!$M$145:$M$249,MATCH($D3908,'MEC - traffic congestion'!$C$145:$C$249,0))</f>
        <v>1</v>
      </c>
      <c r="P3908" t="str">
        <f t="shared" si="176"/>
        <v>2024AM PEAK</v>
      </c>
      <c r="Q3908">
        <f t="shared" si="177"/>
        <v>1</v>
      </c>
      <c r="R3908" s="195" t="str">
        <f t="shared" si="178"/>
        <v>2024LIGHT VEHICLES</v>
      </c>
    </row>
    <row r="3909" spans="3:18" x14ac:dyDescent="0.25">
      <c r="C3909" s="294" t="s">
        <v>1014</v>
      </c>
      <c r="D3909" s="317" t="s">
        <v>752</v>
      </c>
      <c r="E3909" s="122" t="s">
        <v>1009</v>
      </c>
      <c r="F3909" s="122" t="s">
        <v>1010</v>
      </c>
      <c r="G3909" s="122" t="s">
        <v>785</v>
      </c>
      <c r="H3909" s="122" t="s">
        <v>777</v>
      </c>
      <c r="I3909" s="312">
        <v>2024</v>
      </c>
      <c r="J3909" s="122" t="s">
        <v>710</v>
      </c>
      <c r="K3909" s="283">
        <v>2528</v>
      </c>
      <c r="L3909" s="318">
        <v>-33.617626000000001</v>
      </c>
      <c r="M3909" s="318">
        <v>150.274033</v>
      </c>
      <c r="O3909">
        <f>INDEX('MEC - traffic congestion'!$M$145:$M$249,MATCH($D3909,'MEC - traffic congestion'!$C$145:$C$249,0))</f>
        <v>1</v>
      </c>
      <c r="P3909" t="str">
        <f t="shared" si="176"/>
        <v>2024OFF PEAK</v>
      </c>
      <c r="Q3909">
        <f t="shared" si="177"/>
        <v>1</v>
      </c>
      <c r="R3909" s="195" t="str">
        <f t="shared" si="178"/>
        <v>2024LIGHT VEHICLES</v>
      </c>
    </row>
    <row r="3910" spans="3:18" x14ac:dyDescent="0.25">
      <c r="C3910" s="294" t="s">
        <v>1014</v>
      </c>
      <c r="D3910" s="317" t="s">
        <v>752</v>
      </c>
      <c r="E3910" s="122" t="s">
        <v>1009</v>
      </c>
      <c r="F3910" s="122" t="s">
        <v>1010</v>
      </c>
      <c r="G3910" s="122" t="s">
        <v>786</v>
      </c>
      <c r="H3910" s="122" t="s">
        <v>777</v>
      </c>
      <c r="I3910" s="312">
        <v>2024</v>
      </c>
      <c r="J3910" s="122" t="s">
        <v>710</v>
      </c>
      <c r="K3910" s="283">
        <v>2726</v>
      </c>
      <c r="L3910" s="318">
        <v>-33.617626000000001</v>
      </c>
      <c r="M3910" s="318">
        <v>150.274033</v>
      </c>
      <c r="O3910">
        <f>INDEX('MEC - traffic congestion'!$M$145:$M$249,MATCH($D3910,'MEC - traffic congestion'!$C$145:$C$249,0))</f>
        <v>1</v>
      </c>
      <c r="P3910" t="str">
        <f t="shared" si="176"/>
        <v>2024OFF PEAK</v>
      </c>
      <c r="Q3910">
        <f t="shared" si="177"/>
        <v>1</v>
      </c>
      <c r="R3910" s="195" t="str">
        <f t="shared" si="178"/>
        <v>2024LIGHT VEHICLES</v>
      </c>
    </row>
    <row r="3911" spans="3:18" x14ac:dyDescent="0.25">
      <c r="C3911" s="294" t="s">
        <v>1014</v>
      </c>
      <c r="D3911" s="317" t="s">
        <v>752</v>
      </c>
      <c r="E3911" s="122" t="s">
        <v>1009</v>
      </c>
      <c r="F3911" s="122" t="s">
        <v>1010</v>
      </c>
      <c r="G3911" s="122" t="s">
        <v>785</v>
      </c>
      <c r="H3911" s="122" t="s">
        <v>777</v>
      </c>
      <c r="I3911" s="312">
        <v>2024</v>
      </c>
      <c r="J3911" s="122" t="s">
        <v>711</v>
      </c>
      <c r="K3911" s="283">
        <v>1564</v>
      </c>
      <c r="L3911" s="318">
        <v>-33.617626000000001</v>
      </c>
      <c r="M3911" s="318">
        <v>150.274033</v>
      </c>
      <c r="O3911">
        <f>INDEX('MEC - traffic congestion'!$M$145:$M$249,MATCH($D3911,'MEC - traffic congestion'!$C$145:$C$249,0))</f>
        <v>1</v>
      </c>
      <c r="P3911" t="str">
        <f t="shared" si="176"/>
        <v>2024PM PEAK</v>
      </c>
      <c r="Q3911">
        <f t="shared" si="177"/>
        <v>1</v>
      </c>
      <c r="R3911" s="195" t="str">
        <f t="shared" si="178"/>
        <v>2024LIGHT VEHICLES</v>
      </c>
    </row>
    <row r="3912" spans="3:18" x14ac:dyDescent="0.25">
      <c r="C3912" s="294" t="s">
        <v>1014</v>
      </c>
      <c r="D3912" s="317" t="s">
        <v>752</v>
      </c>
      <c r="E3912" s="122" t="s">
        <v>1009</v>
      </c>
      <c r="F3912" s="122" t="s">
        <v>1010</v>
      </c>
      <c r="G3912" s="122" t="s">
        <v>786</v>
      </c>
      <c r="H3912" s="122" t="s">
        <v>777</v>
      </c>
      <c r="I3912" s="312">
        <v>2024</v>
      </c>
      <c r="J3912" s="122" t="s">
        <v>711</v>
      </c>
      <c r="K3912" s="283">
        <v>1565</v>
      </c>
      <c r="L3912" s="318">
        <v>-33.617626000000001</v>
      </c>
      <c r="M3912" s="318">
        <v>150.274033</v>
      </c>
      <c r="O3912">
        <f>INDEX('MEC - traffic congestion'!$M$145:$M$249,MATCH($D3912,'MEC - traffic congestion'!$C$145:$C$249,0))</f>
        <v>1</v>
      </c>
      <c r="P3912" t="str">
        <f t="shared" si="176"/>
        <v>2024PM PEAK</v>
      </c>
      <c r="Q3912">
        <f t="shared" si="177"/>
        <v>1</v>
      </c>
      <c r="R3912" s="195" t="str">
        <f t="shared" si="178"/>
        <v>2024LIGHT VEHICLES</v>
      </c>
    </row>
    <row r="3913" spans="3:18" x14ac:dyDescent="0.25">
      <c r="C3913" s="294" t="s">
        <v>1014</v>
      </c>
      <c r="D3913" s="317" t="s">
        <v>752</v>
      </c>
      <c r="E3913" s="122" t="s">
        <v>1009</v>
      </c>
      <c r="F3913" s="122" t="s">
        <v>1010</v>
      </c>
      <c r="G3913" s="122" t="s">
        <v>785</v>
      </c>
      <c r="H3913" s="122" t="s">
        <v>777</v>
      </c>
      <c r="I3913" s="312">
        <v>2024</v>
      </c>
      <c r="J3913" s="122" t="s">
        <v>713</v>
      </c>
      <c r="K3913" s="283">
        <v>6883</v>
      </c>
      <c r="L3913" s="318">
        <v>-33.617626000000001</v>
      </c>
      <c r="M3913" s="318">
        <v>150.274033</v>
      </c>
      <c r="O3913">
        <f>INDEX('MEC - traffic congestion'!$M$145:$M$249,MATCH($D3913,'MEC - traffic congestion'!$C$145:$C$249,0))</f>
        <v>1</v>
      </c>
      <c r="P3913" t="str">
        <f t="shared" si="176"/>
        <v>2024WEEKENDS</v>
      </c>
      <c r="Q3913">
        <f t="shared" si="177"/>
        <v>1</v>
      </c>
      <c r="R3913" s="195" t="str">
        <f t="shared" si="178"/>
        <v>2024LIGHT VEHICLES</v>
      </c>
    </row>
    <row r="3914" spans="3:18" x14ac:dyDescent="0.25">
      <c r="C3914" s="294" t="s">
        <v>1014</v>
      </c>
      <c r="D3914" s="317" t="s">
        <v>752</v>
      </c>
      <c r="E3914" s="122" t="s">
        <v>1009</v>
      </c>
      <c r="F3914" s="122" t="s">
        <v>1010</v>
      </c>
      <c r="G3914" s="122" t="s">
        <v>786</v>
      </c>
      <c r="H3914" s="122" t="s">
        <v>777</v>
      </c>
      <c r="I3914" s="312">
        <v>2024</v>
      </c>
      <c r="J3914" s="122" t="s">
        <v>713</v>
      </c>
      <c r="K3914" s="283">
        <v>6471</v>
      </c>
      <c r="L3914" s="318">
        <v>-33.617626000000001</v>
      </c>
      <c r="M3914" s="318">
        <v>150.274033</v>
      </c>
      <c r="O3914">
        <f>INDEX('MEC - traffic congestion'!$M$145:$M$249,MATCH($D3914,'MEC - traffic congestion'!$C$145:$C$249,0))</f>
        <v>1</v>
      </c>
      <c r="P3914" t="str">
        <f t="shared" si="176"/>
        <v>2024WEEKENDS</v>
      </c>
      <c r="Q3914">
        <f t="shared" si="177"/>
        <v>1</v>
      </c>
      <c r="R3914" s="195" t="str">
        <f t="shared" si="178"/>
        <v>2024LIGHT VEHICLES</v>
      </c>
    </row>
    <row r="3915" spans="3:18" x14ac:dyDescent="0.25">
      <c r="C3915" s="294" t="s">
        <v>1015</v>
      </c>
      <c r="D3915" s="317" t="s">
        <v>753</v>
      </c>
      <c r="E3915" s="122" t="s">
        <v>1009</v>
      </c>
      <c r="F3915" s="122" t="s">
        <v>1010</v>
      </c>
      <c r="G3915" s="122" t="s">
        <v>786</v>
      </c>
      <c r="H3915" s="122" t="s">
        <v>777</v>
      </c>
      <c r="I3915" s="312">
        <v>2018</v>
      </c>
      <c r="J3915" s="122" t="s">
        <v>709</v>
      </c>
      <c r="K3915" s="283">
        <v>1120</v>
      </c>
      <c r="L3915" s="318">
        <v>-33.616905000000003</v>
      </c>
      <c r="M3915" s="318">
        <v>150.27362099999999</v>
      </c>
      <c r="O3915">
        <f>INDEX('MEC - traffic congestion'!$M$145:$M$249,MATCH($D3915,'MEC - traffic congestion'!$C$145:$C$249,0))</f>
        <v>1</v>
      </c>
      <c r="P3915" t="str">
        <f t="shared" si="176"/>
        <v>2018AM PEAK</v>
      </c>
      <c r="Q3915">
        <f t="shared" si="177"/>
        <v>1</v>
      </c>
      <c r="R3915" s="195" t="str">
        <f t="shared" si="178"/>
        <v>2018LIGHT VEHICLES</v>
      </c>
    </row>
    <row r="3916" spans="3:18" x14ac:dyDescent="0.25">
      <c r="C3916" s="294" t="s">
        <v>1015</v>
      </c>
      <c r="D3916" s="317" t="s">
        <v>753</v>
      </c>
      <c r="E3916" s="122" t="s">
        <v>1009</v>
      </c>
      <c r="F3916" s="122" t="s">
        <v>1010</v>
      </c>
      <c r="G3916" s="122" t="s">
        <v>786</v>
      </c>
      <c r="H3916" s="122" t="s">
        <v>777</v>
      </c>
      <c r="I3916" s="312">
        <v>2018</v>
      </c>
      <c r="J3916" s="122" t="s">
        <v>710</v>
      </c>
      <c r="K3916" s="283">
        <v>2609</v>
      </c>
      <c r="L3916" s="318">
        <v>-33.616905000000003</v>
      </c>
      <c r="M3916" s="318">
        <v>150.27362099999999</v>
      </c>
      <c r="O3916">
        <f>INDEX('MEC - traffic congestion'!$M$145:$M$249,MATCH($D3916,'MEC - traffic congestion'!$C$145:$C$249,0))</f>
        <v>1</v>
      </c>
      <c r="P3916" t="str">
        <f t="shared" si="176"/>
        <v>2018OFF PEAK</v>
      </c>
      <c r="Q3916">
        <f t="shared" si="177"/>
        <v>1</v>
      </c>
      <c r="R3916" s="195" t="str">
        <f t="shared" si="178"/>
        <v>2018LIGHT VEHICLES</v>
      </c>
    </row>
    <row r="3917" spans="3:18" x14ac:dyDescent="0.25">
      <c r="C3917" s="294" t="s">
        <v>1015</v>
      </c>
      <c r="D3917" s="317" t="s">
        <v>753</v>
      </c>
      <c r="E3917" s="122" t="s">
        <v>1009</v>
      </c>
      <c r="F3917" s="122" t="s">
        <v>1010</v>
      </c>
      <c r="G3917" s="122" t="s">
        <v>786</v>
      </c>
      <c r="H3917" s="122" t="s">
        <v>777</v>
      </c>
      <c r="I3917" s="312">
        <v>2018</v>
      </c>
      <c r="J3917" s="122" t="s">
        <v>711</v>
      </c>
      <c r="K3917" s="283">
        <v>1522</v>
      </c>
      <c r="L3917" s="318">
        <v>-33.616905000000003</v>
      </c>
      <c r="M3917" s="318">
        <v>150.27362099999999</v>
      </c>
      <c r="O3917">
        <f>INDEX('MEC - traffic congestion'!$M$145:$M$249,MATCH($D3917,'MEC - traffic congestion'!$C$145:$C$249,0))</f>
        <v>1</v>
      </c>
      <c r="P3917" t="str">
        <f t="shared" si="176"/>
        <v>2018PM PEAK</v>
      </c>
      <c r="Q3917">
        <f t="shared" si="177"/>
        <v>1</v>
      </c>
      <c r="R3917" s="195" t="str">
        <f t="shared" si="178"/>
        <v>2018LIGHT VEHICLES</v>
      </c>
    </row>
    <row r="3918" spans="3:18" x14ac:dyDescent="0.25">
      <c r="C3918" s="294" t="s">
        <v>1015</v>
      </c>
      <c r="D3918" s="317" t="s">
        <v>753</v>
      </c>
      <c r="E3918" s="122" t="s">
        <v>1009</v>
      </c>
      <c r="F3918" s="122" t="s">
        <v>1010</v>
      </c>
      <c r="G3918" s="122" t="s">
        <v>786</v>
      </c>
      <c r="H3918" s="122" t="s">
        <v>777</v>
      </c>
      <c r="I3918" s="312">
        <v>2018</v>
      </c>
      <c r="J3918" s="122" t="s">
        <v>712</v>
      </c>
      <c r="K3918" s="283">
        <v>6461</v>
      </c>
      <c r="L3918" s="318">
        <v>-33.616905000000003</v>
      </c>
      <c r="M3918" s="318">
        <v>150.27362099999999</v>
      </c>
      <c r="O3918">
        <f>INDEX('MEC - traffic congestion'!$M$145:$M$249,MATCH($D3918,'MEC - traffic congestion'!$C$145:$C$249,0))</f>
        <v>1</v>
      </c>
      <c r="P3918" t="str">
        <f t="shared" si="176"/>
        <v>2018PUBLIC HOLIDAYS</v>
      </c>
      <c r="Q3918">
        <f t="shared" si="177"/>
        <v>1</v>
      </c>
      <c r="R3918" s="195" t="str">
        <f t="shared" si="178"/>
        <v>2018LIGHT VEHICLES</v>
      </c>
    </row>
    <row r="3919" spans="3:18" x14ac:dyDescent="0.25">
      <c r="C3919" s="294" t="s">
        <v>1015</v>
      </c>
      <c r="D3919" s="317" t="s">
        <v>753</v>
      </c>
      <c r="E3919" s="122" t="s">
        <v>1009</v>
      </c>
      <c r="F3919" s="122" t="s">
        <v>1010</v>
      </c>
      <c r="G3919" s="122" t="s">
        <v>786</v>
      </c>
      <c r="H3919" s="122" t="s">
        <v>777</v>
      </c>
      <c r="I3919" s="312">
        <v>2018</v>
      </c>
      <c r="J3919" s="122" t="s">
        <v>713</v>
      </c>
      <c r="K3919" s="283">
        <v>6533</v>
      </c>
      <c r="L3919" s="318">
        <v>-33.616905000000003</v>
      </c>
      <c r="M3919" s="318">
        <v>150.27362099999999</v>
      </c>
      <c r="O3919">
        <f>INDEX('MEC - traffic congestion'!$M$145:$M$249,MATCH($D3919,'MEC - traffic congestion'!$C$145:$C$249,0))</f>
        <v>1</v>
      </c>
      <c r="P3919" t="str">
        <f t="shared" si="176"/>
        <v>2018WEEKENDS</v>
      </c>
      <c r="Q3919">
        <f t="shared" si="177"/>
        <v>1</v>
      </c>
      <c r="R3919" s="195" t="str">
        <f t="shared" si="178"/>
        <v>2018LIGHT VEHICLES</v>
      </c>
    </row>
    <row r="3920" spans="3:18" x14ac:dyDescent="0.25">
      <c r="C3920" s="294" t="s">
        <v>1015</v>
      </c>
      <c r="D3920" s="317" t="s">
        <v>753</v>
      </c>
      <c r="E3920" s="122" t="s">
        <v>1009</v>
      </c>
      <c r="F3920" s="122" t="s">
        <v>1010</v>
      </c>
      <c r="G3920" s="122" t="s">
        <v>786</v>
      </c>
      <c r="H3920" s="122" t="s">
        <v>777</v>
      </c>
      <c r="I3920" s="312">
        <v>2019</v>
      </c>
      <c r="J3920" s="122" t="s">
        <v>709</v>
      </c>
      <c r="K3920" s="283">
        <v>1141</v>
      </c>
      <c r="L3920" s="318">
        <v>-33.616905000000003</v>
      </c>
      <c r="M3920" s="318">
        <v>150.27362099999999</v>
      </c>
      <c r="O3920">
        <f>INDEX('MEC - traffic congestion'!$M$145:$M$249,MATCH($D3920,'MEC - traffic congestion'!$C$145:$C$249,0))</f>
        <v>1</v>
      </c>
      <c r="P3920" t="str">
        <f t="shared" si="176"/>
        <v>2019AM PEAK</v>
      </c>
      <c r="Q3920">
        <f t="shared" si="177"/>
        <v>1</v>
      </c>
      <c r="R3920" s="195" t="str">
        <f t="shared" si="178"/>
        <v>2019LIGHT VEHICLES</v>
      </c>
    </row>
    <row r="3921" spans="3:18" x14ac:dyDescent="0.25">
      <c r="C3921" s="294" t="s">
        <v>1015</v>
      </c>
      <c r="D3921" s="317" t="s">
        <v>753</v>
      </c>
      <c r="E3921" s="122" t="s">
        <v>1009</v>
      </c>
      <c r="F3921" s="122" t="s">
        <v>1010</v>
      </c>
      <c r="G3921" s="122" t="s">
        <v>786</v>
      </c>
      <c r="H3921" s="122" t="s">
        <v>777</v>
      </c>
      <c r="I3921" s="312">
        <v>2019</v>
      </c>
      <c r="J3921" s="122" t="s">
        <v>710</v>
      </c>
      <c r="K3921" s="283">
        <v>2560</v>
      </c>
      <c r="L3921" s="318">
        <v>-33.616905000000003</v>
      </c>
      <c r="M3921" s="318">
        <v>150.27362099999999</v>
      </c>
      <c r="O3921">
        <f>INDEX('MEC - traffic congestion'!$M$145:$M$249,MATCH($D3921,'MEC - traffic congestion'!$C$145:$C$249,0))</f>
        <v>1</v>
      </c>
      <c r="P3921" t="str">
        <f t="shared" si="176"/>
        <v>2019OFF PEAK</v>
      </c>
      <c r="Q3921">
        <f t="shared" si="177"/>
        <v>1</v>
      </c>
      <c r="R3921" s="195" t="str">
        <f t="shared" si="178"/>
        <v>2019LIGHT VEHICLES</v>
      </c>
    </row>
    <row r="3922" spans="3:18" x14ac:dyDescent="0.25">
      <c r="C3922" s="294" t="s">
        <v>1015</v>
      </c>
      <c r="D3922" s="317" t="s">
        <v>753</v>
      </c>
      <c r="E3922" s="122" t="s">
        <v>1009</v>
      </c>
      <c r="F3922" s="122" t="s">
        <v>1010</v>
      </c>
      <c r="G3922" s="122" t="s">
        <v>786</v>
      </c>
      <c r="H3922" s="122" t="s">
        <v>777</v>
      </c>
      <c r="I3922" s="312">
        <v>2019</v>
      </c>
      <c r="J3922" s="122" t="s">
        <v>711</v>
      </c>
      <c r="K3922" s="283">
        <v>1517</v>
      </c>
      <c r="L3922" s="318">
        <v>-33.616905000000003</v>
      </c>
      <c r="M3922" s="318">
        <v>150.27362099999999</v>
      </c>
      <c r="O3922">
        <f>INDEX('MEC - traffic congestion'!$M$145:$M$249,MATCH($D3922,'MEC - traffic congestion'!$C$145:$C$249,0))</f>
        <v>1</v>
      </c>
      <c r="P3922" t="str">
        <f t="shared" si="176"/>
        <v>2019PM PEAK</v>
      </c>
      <c r="Q3922">
        <f t="shared" si="177"/>
        <v>1</v>
      </c>
      <c r="R3922" s="195" t="str">
        <f t="shared" si="178"/>
        <v>2019LIGHT VEHICLES</v>
      </c>
    </row>
    <row r="3923" spans="3:18" x14ac:dyDescent="0.25">
      <c r="C3923" s="294" t="s">
        <v>1015</v>
      </c>
      <c r="D3923" s="317" t="s">
        <v>753</v>
      </c>
      <c r="E3923" s="122" t="s">
        <v>1009</v>
      </c>
      <c r="F3923" s="122" t="s">
        <v>1010</v>
      </c>
      <c r="G3923" s="122" t="s">
        <v>786</v>
      </c>
      <c r="H3923" s="122" t="s">
        <v>777</v>
      </c>
      <c r="I3923" s="312">
        <v>2019</v>
      </c>
      <c r="J3923" s="122" t="s">
        <v>712</v>
      </c>
      <c r="K3923" s="283">
        <v>6687</v>
      </c>
      <c r="L3923" s="318">
        <v>-33.616905000000003</v>
      </c>
      <c r="M3923" s="318">
        <v>150.27362099999999</v>
      </c>
      <c r="O3923">
        <f>INDEX('MEC - traffic congestion'!$M$145:$M$249,MATCH($D3923,'MEC - traffic congestion'!$C$145:$C$249,0))</f>
        <v>1</v>
      </c>
      <c r="P3923" t="str">
        <f t="shared" si="176"/>
        <v>2019PUBLIC HOLIDAYS</v>
      </c>
      <c r="Q3923">
        <f t="shared" si="177"/>
        <v>1</v>
      </c>
      <c r="R3923" s="195" t="str">
        <f t="shared" si="178"/>
        <v>2019LIGHT VEHICLES</v>
      </c>
    </row>
    <row r="3924" spans="3:18" x14ac:dyDescent="0.25">
      <c r="C3924" s="294" t="s">
        <v>1015</v>
      </c>
      <c r="D3924" s="317" t="s">
        <v>753</v>
      </c>
      <c r="E3924" s="122" t="s">
        <v>1009</v>
      </c>
      <c r="F3924" s="122" t="s">
        <v>1010</v>
      </c>
      <c r="G3924" s="122" t="s">
        <v>786</v>
      </c>
      <c r="H3924" s="122" t="s">
        <v>777</v>
      </c>
      <c r="I3924" s="312">
        <v>2019</v>
      </c>
      <c r="J3924" s="122" t="s">
        <v>713</v>
      </c>
      <c r="K3924" s="283">
        <v>6357</v>
      </c>
      <c r="L3924" s="318">
        <v>-33.616905000000003</v>
      </c>
      <c r="M3924" s="318">
        <v>150.27362099999999</v>
      </c>
      <c r="O3924">
        <f>INDEX('MEC - traffic congestion'!$M$145:$M$249,MATCH($D3924,'MEC - traffic congestion'!$C$145:$C$249,0))</f>
        <v>1</v>
      </c>
      <c r="P3924" t="str">
        <f t="shared" si="176"/>
        <v>2019WEEKENDS</v>
      </c>
      <c r="Q3924">
        <f t="shared" si="177"/>
        <v>1</v>
      </c>
      <c r="R3924" s="195" t="str">
        <f t="shared" si="178"/>
        <v>2019LIGHT VEHICLES</v>
      </c>
    </row>
    <row r="3925" spans="3:18" x14ac:dyDescent="0.25">
      <c r="C3925" s="294" t="s">
        <v>1015</v>
      </c>
      <c r="D3925" s="317" t="s">
        <v>753</v>
      </c>
      <c r="E3925" s="122" t="s">
        <v>1009</v>
      </c>
      <c r="F3925" s="122" t="s">
        <v>1010</v>
      </c>
      <c r="G3925" s="122" t="s">
        <v>786</v>
      </c>
      <c r="H3925" s="122" t="s">
        <v>777</v>
      </c>
      <c r="I3925" s="312">
        <v>2020</v>
      </c>
      <c r="J3925" s="122" t="s">
        <v>709</v>
      </c>
      <c r="K3925" s="283">
        <v>1118</v>
      </c>
      <c r="L3925" s="318">
        <v>-33.616905000000003</v>
      </c>
      <c r="M3925" s="318">
        <v>150.27362099999999</v>
      </c>
      <c r="O3925">
        <f>INDEX('MEC - traffic congestion'!$M$145:$M$249,MATCH($D3925,'MEC - traffic congestion'!$C$145:$C$249,0))</f>
        <v>1</v>
      </c>
      <c r="P3925" t="str">
        <f t="shared" ref="P3925:P3988" si="179">IF($O3925=1,$I3925&amp;$J3925,"")</f>
        <v>2020AM PEAK</v>
      </c>
      <c r="Q3925">
        <f t="shared" ref="Q3925:Q3988" si="180">IF(AND($M3925&gt;150.246,AND($L3925&gt;-34.397,$L3925&lt;-32.662)),1,0)</f>
        <v>1</v>
      </c>
      <c r="R3925" s="195" t="str">
        <f t="shared" ref="R3925:R3988" si="181">IF($O3925=1,$I3925&amp;$H3925,"")</f>
        <v>2020LIGHT VEHICLES</v>
      </c>
    </row>
    <row r="3926" spans="3:18" x14ac:dyDescent="0.25">
      <c r="C3926" s="294" t="s">
        <v>1015</v>
      </c>
      <c r="D3926" s="317" t="s">
        <v>753</v>
      </c>
      <c r="E3926" s="122" t="s">
        <v>1009</v>
      </c>
      <c r="F3926" s="122" t="s">
        <v>1010</v>
      </c>
      <c r="G3926" s="122" t="s">
        <v>786</v>
      </c>
      <c r="H3926" s="122" t="s">
        <v>777</v>
      </c>
      <c r="I3926" s="312">
        <v>2020</v>
      </c>
      <c r="J3926" s="122" t="s">
        <v>710</v>
      </c>
      <c r="K3926" s="283">
        <v>2436</v>
      </c>
      <c r="L3926" s="318">
        <v>-33.616905000000003</v>
      </c>
      <c r="M3926" s="318">
        <v>150.27362099999999</v>
      </c>
      <c r="O3926">
        <f>INDEX('MEC - traffic congestion'!$M$145:$M$249,MATCH($D3926,'MEC - traffic congestion'!$C$145:$C$249,0))</f>
        <v>1</v>
      </c>
      <c r="P3926" t="str">
        <f t="shared" si="179"/>
        <v>2020OFF PEAK</v>
      </c>
      <c r="Q3926">
        <f t="shared" si="180"/>
        <v>1</v>
      </c>
      <c r="R3926" s="195" t="str">
        <f t="shared" si="181"/>
        <v>2020LIGHT VEHICLES</v>
      </c>
    </row>
    <row r="3927" spans="3:18" x14ac:dyDescent="0.25">
      <c r="C3927" s="294" t="s">
        <v>1015</v>
      </c>
      <c r="D3927" s="317" t="s">
        <v>753</v>
      </c>
      <c r="E3927" s="122" t="s">
        <v>1009</v>
      </c>
      <c r="F3927" s="122" t="s">
        <v>1010</v>
      </c>
      <c r="G3927" s="122" t="s">
        <v>786</v>
      </c>
      <c r="H3927" s="122" t="s">
        <v>777</v>
      </c>
      <c r="I3927" s="312">
        <v>2020</v>
      </c>
      <c r="J3927" s="122" t="s">
        <v>711</v>
      </c>
      <c r="K3927" s="283">
        <v>1394</v>
      </c>
      <c r="L3927" s="318">
        <v>-33.616905000000003</v>
      </c>
      <c r="M3927" s="318">
        <v>150.27362099999999</v>
      </c>
      <c r="O3927">
        <f>INDEX('MEC - traffic congestion'!$M$145:$M$249,MATCH($D3927,'MEC - traffic congestion'!$C$145:$C$249,0))</f>
        <v>1</v>
      </c>
      <c r="P3927" t="str">
        <f t="shared" si="179"/>
        <v>2020PM PEAK</v>
      </c>
      <c r="Q3927">
        <f t="shared" si="180"/>
        <v>1</v>
      </c>
      <c r="R3927" s="195" t="str">
        <f t="shared" si="181"/>
        <v>2020LIGHT VEHICLES</v>
      </c>
    </row>
    <row r="3928" spans="3:18" x14ac:dyDescent="0.25">
      <c r="C3928" s="294" t="s">
        <v>1015</v>
      </c>
      <c r="D3928" s="317" t="s">
        <v>753</v>
      </c>
      <c r="E3928" s="122" t="s">
        <v>1009</v>
      </c>
      <c r="F3928" s="122" t="s">
        <v>1010</v>
      </c>
      <c r="G3928" s="122" t="s">
        <v>786</v>
      </c>
      <c r="H3928" s="122" t="s">
        <v>777</v>
      </c>
      <c r="I3928" s="312">
        <v>2020</v>
      </c>
      <c r="J3928" s="122" t="s">
        <v>712</v>
      </c>
      <c r="K3928" s="283">
        <v>3702</v>
      </c>
      <c r="L3928" s="318">
        <v>-33.616905000000003</v>
      </c>
      <c r="M3928" s="318">
        <v>150.27362099999999</v>
      </c>
      <c r="O3928">
        <f>INDEX('MEC - traffic congestion'!$M$145:$M$249,MATCH($D3928,'MEC - traffic congestion'!$C$145:$C$249,0))</f>
        <v>1</v>
      </c>
      <c r="P3928" t="str">
        <f t="shared" si="179"/>
        <v>2020PUBLIC HOLIDAYS</v>
      </c>
      <c r="Q3928">
        <f t="shared" si="180"/>
        <v>1</v>
      </c>
      <c r="R3928" s="195" t="str">
        <f t="shared" si="181"/>
        <v>2020LIGHT VEHICLES</v>
      </c>
    </row>
    <row r="3929" spans="3:18" x14ac:dyDescent="0.25">
      <c r="C3929" s="294" t="s">
        <v>1015</v>
      </c>
      <c r="D3929" s="317" t="s">
        <v>753</v>
      </c>
      <c r="E3929" s="122" t="s">
        <v>1009</v>
      </c>
      <c r="F3929" s="122" t="s">
        <v>1010</v>
      </c>
      <c r="G3929" s="122" t="s">
        <v>786</v>
      </c>
      <c r="H3929" s="122" t="s">
        <v>777</v>
      </c>
      <c r="I3929" s="312">
        <v>2020</v>
      </c>
      <c r="J3929" s="122" t="s">
        <v>713</v>
      </c>
      <c r="K3929" s="283">
        <v>5537</v>
      </c>
      <c r="L3929" s="318">
        <v>-33.616905000000003</v>
      </c>
      <c r="M3929" s="318">
        <v>150.27362099999999</v>
      </c>
      <c r="O3929">
        <f>INDEX('MEC - traffic congestion'!$M$145:$M$249,MATCH($D3929,'MEC - traffic congestion'!$C$145:$C$249,0))</f>
        <v>1</v>
      </c>
      <c r="P3929" t="str">
        <f t="shared" si="179"/>
        <v>2020WEEKENDS</v>
      </c>
      <c r="Q3929">
        <f t="shared" si="180"/>
        <v>1</v>
      </c>
      <c r="R3929" s="195" t="str">
        <f t="shared" si="181"/>
        <v>2020LIGHT VEHICLES</v>
      </c>
    </row>
    <row r="3930" spans="3:18" x14ac:dyDescent="0.25">
      <c r="C3930" s="294" t="s">
        <v>1015</v>
      </c>
      <c r="D3930" s="317" t="s">
        <v>753</v>
      </c>
      <c r="E3930" s="122" t="s">
        <v>1009</v>
      </c>
      <c r="F3930" s="122" t="s">
        <v>1010</v>
      </c>
      <c r="G3930" s="122" t="s">
        <v>786</v>
      </c>
      <c r="H3930" s="122" t="s">
        <v>777</v>
      </c>
      <c r="I3930" s="312">
        <v>2021</v>
      </c>
      <c r="J3930" s="122" t="s">
        <v>709</v>
      </c>
      <c r="K3930" s="283">
        <v>1009</v>
      </c>
      <c r="L3930" s="318">
        <v>-33.616905000000003</v>
      </c>
      <c r="M3930" s="318">
        <v>150.27362099999999</v>
      </c>
      <c r="O3930">
        <f>INDEX('MEC - traffic congestion'!$M$145:$M$249,MATCH($D3930,'MEC - traffic congestion'!$C$145:$C$249,0))</f>
        <v>1</v>
      </c>
      <c r="P3930" t="str">
        <f t="shared" si="179"/>
        <v>2021AM PEAK</v>
      </c>
      <c r="Q3930">
        <f t="shared" si="180"/>
        <v>1</v>
      </c>
      <c r="R3930" s="195" t="str">
        <f t="shared" si="181"/>
        <v>2021LIGHT VEHICLES</v>
      </c>
    </row>
    <row r="3931" spans="3:18" x14ac:dyDescent="0.25">
      <c r="C3931" s="294" t="s">
        <v>1015</v>
      </c>
      <c r="D3931" s="317" t="s">
        <v>753</v>
      </c>
      <c r="E3931" s="122" t="s">
        <v>1009</v>
      </c>
      <c r="F3931" s="122" t="s">
        <v>1010</v>
      </c>
      <c r="G3931" s="122" t="s">
        <v>786</v>
      </c>
      <c r="H3931" s="122" t="s">
        <v>777</v>
      </c>
      <c r="I3931" s="312">
        <v>2021</v>
      </c>
      <c r="J3931" s="122" t="s">
        <v>710</v>
      </c>
      <c r="K3931" s="283">
        <v>2139</v>
      </c>
      <c r="L3931" s="318">
        <v>-33.616905000000003</v>
      </c>
      <c r="M3931" s="318">
        <v>150.27362099999999</v>
      </c>
      <c r="O3931">
        <f>INDEX('MEC - traffic congestion'!$M$145:$M$249,MATCH($D3931,'MEC - traffic congestion'!$C$145:$C$249,0))</f>
        <v>1</v>
      </c>
      <c r="P3931" t="str">
        <f t="shared" si="179"/>
        <v>2021OFF PEAK</v>
      </c>
      <c r="Q3931">
        <f t="shared" si="180"/>
        <v>1</v>
      </c>
      <c r="R3931" s="195" t="str">
        <f t="shared" si="181"/>
        <v>2021LIGHT VEHICLES</v>
      </c>
    </row>
    <row r="3932" spans="3:18" x14ac:dyDescent="0.25">
      <c r="C3932" s="294" t="s">
        <v>1015</v>
      </c>
      <c r="D3932" s="317" t="s">
        <v>753</v>
      </c>
      <c r="E3932" s="122" t="s">
        <v>1009</v>
      </c>
      <c r="F3932" s="122" t="s">
        <v>1010</v>
      </c>
      <c r="G3932" s="122" t="s">
        <v>786</v>
      </c>
      <c r="H3932" s="122" t="s">
        <v>777</v>
      </c>
      <c r="I3932" s="312">
        <v>2021</v>
      </c>
      <c r="J3932" s="122" t="s">
        <v>711</v>
      </c>
      <c r="K3932" s="283">
        <v>1240</v>
      </c>
      <c r="L3932" s="318">
        <v>-33.616905000000003</v>
      </c>
      <c r="M3932" s="318">
        <v>150.27362099999999</v>
      </c>
      <c r="O3932">
        <f>INDEX('MEC - traffic congestion'!$M$145:$M$249,MATCH($D3932,'MEC - traffic congestion'!$C$145:$C$249,0))</f>
        <v>1</v>
      </c>
      <c r="P3932" t="str">
        <f t="shared" si="179"/>
        <v>2021PM PEAK</v>
      </c>
      <c r="Q3932">
        <f t="shared" si="180"/>
        <v>1</v>
      </c>
      <c r="R3932" s="195" t="str">
        <f t="shared" si="181"/>
        <v>2021LIGHT VEHICLES</v>
      </c>
    </row>
    <row r="3933" spans="3:18" x14ac:dyDescent="0.25">
      <c r="C3933" s="294" t="s">
        <v>1015</v>
      </c>
      <c r="D3933" s="317" t="s">
        <v>753</v>
      </c>
      <c r="E3933" s="122" t="s">
        <v>1009</v>
      </c>
      <c r="F3933" s="122" t="s">
        <v>1010</v>
      </c>
      <c r="G3933" s="122" t="s">
        <v>786</v>
      </c>
      <c r="H3933" s="122" t="s">
        <v>777</v>
      </c>
      <c r="I3933" s="312">
        <v>2021</v>
      </c>
      <c r="J3933" s="122" t="s">
        <v>713</v>
      </c>
      <c r="K3933" s="283">
        <v>4789</v>
      </c>
      <c r="L3933" s="318">
        <v>-33.616905000000003</v>
      </c>
      <c r="M3933" s="318">
        <v>150.27362099999999</v>
      </c>
      <c r="O3933">
        <f>INDEX('MEC - traffic congestion'!$M$145:$M$249,MATCH($D3933,'MEC - traffic congestion'!$C$145:$C$249,0))</f>
        <v>1</v>
      </c>
      <c r="P3933" t="str">
        <f t="shared" si="179"/>
        <v>2021WEEKENDS</v>
      </c>
      <c r="Q3933">
        <f t="shared" si="180"/>
        <v>1</v>
      </c>
      <c r="R3933" s="195" t="str">
        <f t="shared" si="181"/>
        <v>2021LIGHT VEHICLES</v>
      </c>
    </row>
    <row r="3934" spans="3:18" x14ac:dyDescent="0.25">
      <c r="C3934" s="294" t="s">
        <v>1015</v>
      </c>
      <c r="D3934" s="317" t="s">
        <v>753</v>
      </c>
      <c r="E3934" s="122" t="s">
        <v>1009</v>
      </c>
      <c r="F3934" s="122" t="s">
        <v>1010</v>
      </c>
      <c r="G3934" s="122" t="s">
        <v>786</v>
      </c>
      <c r="H3934" s="122" t="s">
        <v>777</v>
      </c>
      <c r="I3934" s="312">
        <v>2022</v>
      </c>
      <c r="J3934" s="122" t="s">
        <v>709</v>
      </c>
      <c r="K3934" s="283">
        <v>1131</v>
      </c>
      <c r="L3934" s="318">
        <v>-33.616905000000003</v>
      </c>
      <c r="M3934" s="318">
        <v>150.27362099999999</v>
      </c>
      <c r="O3934">
        <f>INDEX('MEC - traffic congestion'!$M$145:$M$249,MATCH($D3934,'MEC - traffic congestion'!$C$145:$C$249,0))</f>
        <v>1</v>
      </c>
      <c r="P3934" t="str">
        <f t="shared" si="179"/>
        <v>2022AM PEAK</v>
      </c>
      <c r="Q3934">
        <f t="shared" si="180"/>
        <v>1</v>
      </c>
      <c r="R3934" s="195" t="str">
        <f t="shared" si="181"/>
        <v>2022LIGHT VEHICLES</v>
      </c>
    </row>
    <row r="3935" spans="3:18" x14ac:dyDescent="0.25">
      <c r="C3935" s="294" t="s">
        <v>1015</v>
      </c>
      <c r="D3935" s="317" t="s">
        <v>753</v>
      </c>
      <c r="E3935" s="122" t="s">
        <v>1009</v>
      </c>
      <c r="F3935" s="122" t="s">
        <v>1010</v>
      </c>
      <c r="G3935" s="122" t="s">
        <v>786</v>
      </c>
      <c r="H3935" s="122" t="s">
        <v>777</v>
      </c>
      <c r="I3935" s="312">
        <v>2022</v>
      </c>
      <c r="J3935" s="122" t="s">
        <v>710</v>
      </c>
      <c r="K3935" s="283">
        <v>2542</v>
      </c>
      <c r="L3935" s="318">
        <v>-33.616905000000003</v>
      </c>
      <c r="M3935" s="318">
        <v>150.27362099999999</v>
      </c>
      <c r="O3935">
        <f>INDEX('MEC - traffic congestion'!$M$145:$M$249,MATCH($D3935,'MEC - traffic congestion'!$C$145:$C$249,0))</f>
        <v>1</v>
      </c>
      <c r="P3935" t="str">
        <f t="shared" si="179"/>
        <v>2022OFF PEAK</v>
      </c>
      <c r="Q3935">
        <f t="shared" si="180"/>
        <v>1</v>
      </c>
      <c r="R3935" s="195" t="str">
        <f t="shared" si="181"/>
        <v>2022LIGHT VEHICLES</v>
      </c>
    </row>
    <row r="3936" spans="3:18" x14ac:dyDescent="0.25">
      <c r="C3936" s="294" t="s">
        <v>1015</v>
      </c>
      <c r="D3936" s="317" t="s">
        <v>753</v>
      </c>
      <c r="E3936" s="122" t="s">
        <v>1009</v>
      </c>
      <c r="F3936" s="122" t="s">
        <v>1010</v>
      </c>
      <c r="G3936" s="122" t="s">
        <v>786</v>
      </c>
      <c r="H3936" s="122" t="s">
        <v>777</v>
      </c>
      <c r="I3936" s="312">
        <v>2022</v>
      </c>
      <c r="J3936" s="122" t="s">
        <v>711</v>
      </c>
      <c r="K3936" s="283">
        <v>1444</v>
      </c>
      <c r="L3936" s="318">
        <v>-33.616905000000003</v>
      </c>
      <c r="M3936" s="318">
        <v>150.27362099999999</v>
      </c>
      <c r="O3936">
        <f>INDEX('MEC - traffic congestion'!$M$145:$M$249,MATCH($D3936,'MEC - traffic congestion'!$C$145:$C$249,0))</f>
        <v>1</v>
      </c>
      <c r="P3936" t="str">
        <f t="shared" si="179"/>
        <v>2022PM PEAK</v>
      </c>
      <c r="Q3936">
        <f t="shared" si="180"/>
        <v>1</v>
      </c>
      <c r="R3936" s="195" t="str">
        <f t="shared" si="181"/>
        <v>2022LIGHT VEHICLES</v>
      </c>
    </row>
    <row r="3937" spans="3:18" x14ac:dyDescent="0.25">
      <c r="C3937" s="294" t="s">
        <v>1015</v>
      </c>
      <c r="D3937" s="317" t="s">
        <v>753</v>
      </c>
      <c r="E3937" s="122" t="s">
        <v>1009</v>
      </c>
      <c r="F3937" s="122" t="s">
        <v>1010</v>
      </c>
      <c r="G3937" s="122" t="s">
        <v>786</v>
      </c>
      <c r="H3937" s="122" t="s">
        <v>777</v>
      </c>
      <c r="I3937" s="312">
        <v>2022</v>
      </c>
      <c r="J3937" s="122" t="s">
        <v>713</v>
      </c>
      <c r="K3937" s="283">
        <v>5544</v>
      </c>
      <c r="L3937" s="318">
        <v>-33.616905000000003</v>
      </c>
      <c r="M3937" s="318">
        <v>150.27362099999999</v>
      </c>
      <c r="O3937">
        <f>INDEX('MEC - traffic congestion'!$M$145:$M$249,MATCH($D3937,'MEC - traffic congestion'!$C$145:$C$249,0))</f>
        <v>1</v>
      </c>
      <c r="P3937" t="str">
        <f t="shared" si="179"/>
        <v>2022WEEKENDS</v>
      </c>
      <c r="Q3937">
        <f t="shared" si="180"/>
        <v>1</v>
      </c>
      <c r="R3937" s="195" t="str">
        <f t="shared" si="181"/>
        <v>2022LIGHT VEHICLES</v>
      </c>
    </row>
    <row r="3938" spans="3:18" x14ac:dyDescent="0.25">
      <c r="C3938" s="294" t="s">
        <v>1015</v>
      </c>
      <c r="D3938" s="317" t="s">
        <v>753</v>
      </c>
      <c r="E3938" s="122" t="s">
        <v>1009</v>
      </c>
      <c r="F3938" s="122" t="s">
        <v>1010</v>
      </c>
      <c r="G3938" s="122" t="s">
        <v>786</v>
      </c>
      <c r="H3938" s="122" t="s">
        <v>777</v>
      </c>
      <c r="I3938" s="312">
        <v>2023</v>
      </c>
      <c r="J3938" s="122" t="s">
        <v>709</v>
      </c>
      <c r="K3938" s="283">
        <v>1161</v>
      </c>
      <c r="L3938" s="318">
        <v>-33.616905000000003</v>
      </c>
      <c r="M3938" s="318">
        <v>150.27362099999999</v>
      </c>
      <c r="O3938">
        <f>INDEX('MEC - traffic congestion'!$M$145:$M$249,MATCH($D3938,'MEC - traffic congestion'!$C$145:$C$249,0))</f>
        <v>1</v>
      </c>
      <c r="P3938" t="str">
        <f t="shared" si="179"/>
        <v>2023AM PEAK</v>
      </c>
      <c r="Q3938">
        <f t="shared" si="180"/>
        <v>1</v>
      </c>
      <c r="R3938" s="195" t="str">
        <f t="shared" si="181"/>
        <v>2023LIGHT VEHICLES</v>
      </c>
    </row>
    <row r="3939" spans="3:18" x14ac:dyDescent="0.25">
      <c r="C3939" s="294" t="s">
        <v>1015</v>
      </c>
      <c r="D3939" s="317" t="s">
        <v>753</v>
      </c>
      <c r="E3939" s="122" t="s">
        <v>1009</v>
      </c>
      <c r="F3939" s="122" t="s">
        <v>1010</v>
      </c>
      <c r="G3939" s="122" t="s">
        <v>786</v>
      </c>
      <c r="H3939" s="122" t="s">
        <v>777</v>
      </c>
      <c r="I3939" s="312">
        <v>2023</v>
      </c>
      <c r="J3939" s="122" t="s">
        <v>710</v>
      </c>
      <c r="K3939" s="283">
        <v>2654</v>
      </c>
      <c r="L3939" s="318">
        <v>-33.616905000000003</v>
      </c>
      <c r="M3939" s="318">
        <v>150.27362099999999</v>
      </c>
      <c r="O3939">
        <f>INDEX('MEC - traffic congestion'!$M$145:$M$249,MATCH($D3939,'MEC - traffic congestion'!$C$145:$C$249,0))</f>
        <v>1</v>
      </c>
      <c r="P3939" t="str">
        <f t="shared" si="179"/>
        <v>2023OFF PEAK</v>
      </c>
      <c r="Q3939">
        <f t="shared" si="180"/>
        <v>1</v>
      </c>
      <c r="R3939" s="195" t="str">
        <f t="shared" si="181"/>
        <v>2023LIGHT VEHICLES</v>
      </c>
    </row>
    <row r="3940" spans="3:18" x14ac:dyDescent="0.25">
      <c r="C3940" s="294" t="s">
        <v>1015</v>
      </c>
      <c r="D3940" s="317" t="s">
        <v>753</v>
      </c>
      <c r="E3940" s="122" t="s">
        <v>1009</v>
      </c>
      <c r="F3940" s="122" t="s">
        <v>1010</v>
      </c>
      <c r="G3940" s="122" t="s">
        <v>786</v>
      </c>
      <c r="H3940" s="122" t="s">
        <v>777</v>
      </c>
      <c r="I3940" s="312">
        <v>2023</v>
      </c>
      <c r="J3940" s="122" t="s">
        <v>711</v>
      </c>
      <c r="K3940" s="283">
        <v>1526</v>
      </c>
      <c r="L3940" s="318">
        <v>-33.616905000000003</v>
      </c>
      <c r="M3940" s="318">
        <v>150.27362099999999</v>
      </c>
      <c r="O3940">
        <f>INDEX('MEC - traffic congestion'!$M$145:$M$249,MATCH($D3940,'MEC - traffic congestion'!$C$145:$C$249,0))</f>
        <v>1</v>
      </c>
      <c r="P3940" t="str">
        <f t="shared" si="179"/>
        <v>2023PM PEAK</v>
      </c>
      <c r="Q3940">
        <f t="shared" si="180"/>
        <v>1</v>
      </c>
      <c r="R3940" s="195" t="str">
        <f t="shared" si="181"/>
        <v>2023LIGHT VEHICLES</v>
      </c>
    </row>
    <row r="3941" spans="3:18" x14ac:dyDescent="0.25">
      <c r="C3941" s="294" t="s">
        <v>1015</v>
      </c>
      <c r="D3941" s="317" t="s">
        <v>753</v>
      </c>
      <c r="E3941" s="122" t="s">
        <v>1009</v>
      </c>
      <c r="F3941" s="122" t="s">
        <v>1010</v>
      </c>
      <c r="G3941" s="122" t="s">
        <v>786</v>
      </c>
      <c r="H3941" s="122" t="s">
        <v>777</v>
      </c>
      <c r="I3941" s="312">
        <v>2023</v>
      </c>
      <c r="J3941" s="122" t="s">
        <v>713</v>
      </c>
      <c r="K3941" s="283">
        <v>6308</v>
      </c>
      <c r="L3941" s="318">
        <v>-33.616905000000003</v>
      </c>
      <c r="M3941" s="318">
        <v>150.27362099999999</v>
      </c>
      <c r="O3941">
        <f>INDEX('MEC - traffic congestion'!$M$145:$M$249,MATCH($D3941,'MEC - traffic congestion'!$C$145:$C$249,0))</f>
        <v>1</v>
      </c>
      <c r="P3941" t="str">
        <f t="shared" si="179"/>
        <v>2023WEEKENDS</v>
      </c>
      <c r="Q3941">
        <f t="shared" si="180"/>
        <v>1</v>
      </c>
      <c r="R3941" s="195" t="str">
        <f t="shared" si="181"/>
        <v>2023LIGHT VEHICLES</v>
      </c>
    </row>
    <row r="3942" spans="3:18" x14ac:dyDescent="0.25">
      <c r="C3942" s="294" t="s">
        <v>1015</v>
      </c>
      <c r="D3942" s="317" t="s">
        <v>753</v>
      </c>
      <c r="E3942" s="122" t="s">
        <v>1009</v>
      </c>
      <c r="F3942" s="122" t="s">
        <v>1010</v>
      </c>
      <c r="G3942" s="122" t="s">
        <v>786</v>
      </c>
      <c r="H3942" s="122" t="s">
        <v>777</v>
      </c>
      <c r="I3942" s="312">
        <v>2024</v>
      </c>
      <c r="J3942" s="122" t="s">
        <v>709</v>
      </c>
      <c r="K3942" s="283">
        <v>1160</v>
      </c>
      <c r="L3942" s="318">
        <v>-33.616905000000003</v>
      </c>
      <c r="M3942" s="318">
        <v>150.27362099999999</v>
      </c>
      <c r="O3942">
        <f>INDEX('MEC - traffic congestion'!$M$145:$M$249,MATCH($D3942,'MEC - traffic congestion'!$C$145:$C$249,0))</f>
        <v>1</v>
      </c>
      <c r="P3942" t="str">
        <f t="shared" si="179"/>
        <v>2024AM PEAK</v>
      </c>
      <c r="Q3942">
        <f t="shared" si="180"/>
        <v>1</v>
      </c>
      <c r="R3942" s="195" t="str">
        <f t="shared" si="181"/>
        <v>2024LIGHT VEHICLES</v>
      </c>
    </row>
    <row r="3943" spans="3:18" x14ac:dyDescent="0.25">
      <c r="C3943" s="294" t="s">
        <v>1015</v>
      </c>
      <c r="D3943" s="317" t="s">
        <v>753</v>
      </c>
      <c r="E3943" s="122" t="s">
        <v>1009</v>
      </c>
      <c r="F3943" s="122" t="s">
        <v>1010</v>
      </c>
      <c r="G3943" s="122" t="s">
        <v>786</v>
      </c>
      <c r="H3943" s="122" t="s">
        <v>777</v>
      </c>
      <c r="I3943" s="312">
        <v>2024</v>
      </c>
      <c r="J3943" s="122" t="s">
        <v>710</v>
      </c>
      <c r="K3943" s="283">
        <v>2731</v>
      </c>
      <c r="L3943" s="318">
        <v>-33.616905000000003</v>
      </c>
      <c r="M3943" s="318">
        <v>150.27362099999999</v>
      </c>
      <c r="O3943">
        <f>INDEX('MEC - traffic congestion'!$M$145:$M$249,MATCH($D3943,'MEC - traffic congestion'!$C$145:$C$249,0))</f>
        <v>1</v>
      </c>
      <c r="P3943" t="str">
        <f t="shared" si="179"/>
        <v>2024OFF PEAK</v>
      </c>
      <c r="Q3943">
        <f t="shared" si="180"/>
        <v>1</v>
      </c>
      <c r="R3943" s="195" t="str">
        <f t="shared" si="181"/>
        <v>2024LIGHT VEHICLES</v>
      </c>
    </row>
    <row r="3944" spans="3:18" x14ac:dyDescent="0.25">
      <c r="C3944" s="294" t="s">
        <v>1015</v>
      </c>
      <c r="D3944" s="317" t="s">
        <v>753</v>
      </c>
      <c r="E3944" s="122" t="s">
        <v>1009</v>
      </c>
      <c r="F3944" s="122" t="s">
        <v>1010</v>
      </c>
      <c r="G3944" s="122" t="s">
        <v>786</v>
      </c>
      <c r="H3944" s="122" t="s">
        <v>777</v>
      </c>
      <c r="I3944" s="312">
        <v>2024</v>
      </c>
      <c r="J3944" s="122" t="s">
        <v>711</v>
      </c>
      <c r="K3944" s="283">
        <v>1571</v>
      </c>
      <c r="L3944" s="318">
        <v>-33.616905000000003</v>
      </c>
      <c r="M3944" s="318">
        <v>150.27362099999999</v>
      </c>
      <c r="O3944">
        <f>INDEX('MEC - traffic congestion'!$M$145:$M$249,MATCH($D3944,'MEC - traffic congestion'!$C$145:$C$249,0))</f>
        <v>1</v>
      </c>
      <c r="P3944" t="str">
        <f t="shared" si="179"/>
        <v>2024PM PEAK</v>
      </c>
      <c r="Q3944">
        <f t="shared" si="180"/>
        <v>1</v>
      </c>
      <c r="R3944" s="195" t="str">
        <f t="shared" si="181"/>
        <v>2024LIGHT VEHICLES</v>
      </c>
    </row>
    <row r="3945" spans="3:18" x14ac:dyDescent="0.25">
      <c r="C3945" s="294" t="s">
        <v>1015</v>
      </c>
      <c r="D3945" s="317" t="s">
        <v>753</v>
      </c>
      <c r="E3945" s="122" t="s">
        <v>1009</v>
      </c>
      <c r="F3945" s="122" t="s">
        <v>1010</v>
      </c>
      <c r="G3945" s="122" t="s">
        <v>786</v>
      </c>
      <c r="H3945" s="122" t="s">
        <v>777</v>
      </c>
      <c r="I3945" s="312">
        <v>2024</v>
      </c>
      <c r="J3945" s="122" t="s">
        <v>713</v>
      </c>
      <c r="K3945" s="283">
        <v>6647</v>
      </c>
      <c r="L3945" s="318">
        <v>-33.616905000000003</v>
      </c>
      <c r="M3945" s="318">
        <v>150.27362099999999</v>
      </c>
      <c r="O3945">
        <f>INDEX('MEC - traffic congestion'!$M$145:$M$249,MATCH($D3945,'MEC - traffic congestion'!$C$145:$C$249,0))</f>
        <v>1</v>
      </c>
      <c r="P3945" t="str">
        <f t="shared" si="179"/>
        <v>2024WEEKENDS</v>
      </c>
      <c r="Q3945">
        <f t="shared" si="180"/>
        <v>1</v>
      </c>
      <c r="R3945" s="195" t="str">
        <f t="shared" si="181"/>
        <v>2024LIGHT VEHICLES</v>
      </c>
    </row>
    <row r="3946" spans="3:18" x14ac:dyDescent="0.25">
      <c r="C3946" s="294" t="s">
        <v>1016</v>
      </c>
      <c r="D3946" s="317" t="s">
        <v>754</v>
      </c>
      <c r="E3946" s="122" t="s">
        <v>999</v>
      </c>
      <c r="F3946" s="122" t="s">
        <v>1017</v>
      </c>
      <c r="G3946" s="122" t="s">
        <v>785</v>
      </c>
      <c r="H3946" s="122" t="s">
        <v>777</v>
      </c>
      <c r="I3946" s="312">
        <v>2018</v>
      </c>
      <c r="J3946" s="122" t="s">
        <v>709</v>
      </c>
      <c r="K3946" s="283">
        <v>1215</v>
      </c>
      <c r="L3946" s="318">
        <v>-33.654926000000003</v>
      </c>
      <c r="M3946" s="318">
        <v>151.06097399999999</v>
      </c>
      <c r="O3946">
        <f>INDEX('MEC - traffic congestion'!$M$145:$M$249,MATCH($D3946,'MEC - traffic congestion'!$C$145:$C$249,0))</f>
        <v>1</v>
      </c>
      <c r="P3946" t="str">
        <f t="shared" si="179"/>
        <v>2018AM PEAK</v>
      </c>
      <c r="Q3946">
        <f t="shared" si="180"/>
        <v>1</v>
      </c>
      <c r="R3946" s="195" t="str">
        <f t="shared" si="181"/>
        <v>2018LIGHT VEHICLES</v>
      </c>
    </row>
    <row r="3947" spans="3:18" x14ac:dyDescent="0.25">
      <c r="C3947" s="294" t="s">
        <v>1016</v>
      </c>
      <c r="D3947" s="317" t="s">
        <v>754</v>
      </c>
      <c r="E3947" s="122" t="s">
        <v>999</v>
      </c>
      <c r="F3947" s="122" t="s">
        <v>1017</v>
      </c>
      <c r="G3947" s="122" t="s">
        <v>786</v>
      </c>
      <c r="H3947" s="122" t="s">
        <v>777</v>
      </c>
      <c r="I3947" s="312">
        <v>2018</v>
      </c>
      <c r="J3947" s="122" t="s">
        <v>709</v>
      </c>
      <c r="K3947" s="283">
        <v>743</v>
      </c>
      <c r="L3947" s="318">
        <v>-33.654926000000003</v>
      </c>
      <c r="M3947" s="318">
        <v>151.06097399999999</v>
      </c>
      <c r="O3947">
        <f>INDEX('MEC - traffic congestion'!$M$145:$M$249,MATCH($D3947,'MEC - traffic congestion'!$C$145:$C$249,0))</f>
        <v>1</v>
      </c>
      <c r="P3947" t="str">
        <f t="shared" si="179"/>
        <v>2018AM PEAK</v>
      </c>
      <c r="Q3947">
        <f t="shared" si="180"/>
        <v>1</v>
      </c>
      <c r="R3947" s="195" t="str">
        <f t="shared" si="181"/>
        <v>2018LIGHT VEHICLES</v>
      </c>
    </row>
    <row r="3948" spans="3:18" x14ac:dyDescent="0.25">
      <c r="C3948" s="294" t="s">
        <v>1016</v>
      </c>
      <c r="D3948" s="317" t="s">
        <v>754</v>
      </c>
      <c r="E3948" s="122" t="s">
        <v>999</v>
      </c>
      <c r="F3948" s="122" t="s">
        <v>1017</v>
      </c>
      <c r="G3948" s="122" t="s">
        <v>785</v>
      </c>
      <c r="H3948" s="122" t="s">
        <v>777</v>
      </c>
      <c r="I3948" s="312">
        <v>2018</v>
      </c>
      <c r="J3948" s="122" t="s">
        <v>710</v>
      </c>
      <c r="K3948" s="283">
        <v>1008</v>
      </c>
      <c r="L3948" s="318">
        <v>-33.654926000000003</v>
      </c>
      <c r="M3948" s="318">
        <v>151.06097399999999</v>
      </c>
      <c r="O3948">
        <f>INDEX('MEC - traffic congestion'!$M$145:$M$249,MATCH($D3948,'MEC - traffic congestion'!$C$145:$C$249,0))</f>
        <v>1</v>
      </c>
      <c r="P3948" t="str">
        <f t="shared" si="179"/>
        <v>2018OFF PEAK</v>
      </c>
      <c r="Q3948">
        <f t="shared" si="180"/>
        <v>1</v>
      </c>
      <c r="R3948" s="195" t="str">
        <f t="shared" si="181"/>
        <v>2018LIGHT VEHICLES</v>
      </c>
    </row>
    <row r="3949" spans="3:18" x14ac:dyDescent="0.25">
      <c r="C3949" s="294" t="s">
        <v>1016</v>
      </c>
      <c r="D3949" s="317" t="s">
        <v>754</v>
      </c>
      <c r="E3949" s="122" t="s">
        <v>999</v>
      </c>
      <c r="F3949" s="122" t="s">
        <v>1017</v>
      </c>
      <c r="G3949" s="122" t="s">
        <v>786</v>
      </c>
      <c r="H3949" s="122" t="s">
        <v>777</v>
      </c>
      <c r="I3949" s="312">
        <v>2018</v>
      </c>
      <c r="J3949" s="122" t="s">
        <v>710</v>
      </c>
      <c r="K3949" s="283">
        <v>1160</v>
      </c>
      <c r="L3949" s="318">
        <v>-33.654926000000003</v>
      </c>
      <c r="M3949" s="318">
        <v>151.06097399999999</v>
      </c>
      <c r="O3949">
        <f>INDEX('MEC - traffic congestion'!$M$145:$M$249,MATCH($D3949,'MEC - traffic congestion'!$C$145:$C$249,0))</f>
        <v>1</v>
      </c>
      <c r="P3949" t="str">
        <f t="shared" si="179"/>
        <v>2018OFF PEAK</v>
      </c>
      <c r="Q3949">
        <f t="shared" si="180"/>
        <v>1</v>
      </c>
      <c r="R3949" s="195" t="str">
        <f t="shared" si="181"/>
        <v>2018LIGHT VEHICLES</v>
      </c>
    </row>
    <row r="3950" spans="3:18" x14ac:dyDescent="0.25">
      <c r="C3950" s="294" t="s">
        <v>1016</v>
      </c>
      <c r="D3950" s="317" t="s">
        <v>754</v>
      </c>
      <c r="E3950" s="122" t="s">
        <v>999</v>
      </c>
      <c r="F3950" s="122" t="s">
        <v>1017</v>
      </c>
      <c r="G3950" s="122" t="s">
        <v>785</v>
      </c>
      <c r="H3950" s="122" t="s">
        <v>777</v>
      </c>
      <c r="I3950" s="312">
        <v>2018</v>
      </c>
      <c r="J3950" s="122" t="s">
        <v>711</v>
      </c>
      <c r="K3950" s="283">
        <v>792</v>
      </c>
      <c r="L3950" s="318">
        <v>-33.654926000000003</v>
      </c>
      <c r="M3950" s="318">
        <v>151.06097399999999</v>
      </c>
      <c r="O3950">
        <f>INDEX('MEC - traffic congestion'!$M$145:$M$249,MATCH($D3950,'MEC - traffic congestion'!$C$145:$C$249,0))</f>
        <v>1</v>
      </c>
      <c r="P3950" t="str">
        <f t="shared" si="179"/>
        <v>2018PM PEAK</v>
      </c>
      <c r="Q3950">
        <f t="shared" si="180"/>
        <v>1</v>
      </c>
      <c r="R3950" s="195" t="str">
        <f t="shared" si="181"/>
        <v>2018LIGHT VEHICLES</v>
      </c>
    </row>
    <row r="3951" spans="3:18" x14ac:dyDescent="0.25">
      <c r="C3951" s="294" t="s">
        <v>1016</v>
      </c>
      <c r="D3951" s="317" t="s">
        <v>754</v>
      </c>
      <c r="E3951" s="122" t="s">
        <v>999</v>
      </c>
      <c r="F3951" s="122" t="s">
        <v>1017</v>
      </c>
      <c r="G3951" s="122" t="s">
        <v>786</v>
      </c>
      <c r="H3951" s="122" t="s">
        <v>777</v>
      </c>
      <c r="I3951" s="312">
        <v>2018</v>
      </c>
      <c r="J3951" s="122" t="s">
        <v>711</v>
      </c>
      <c r="K3951" s="283">
        <v>1360</v>
      </c>
      <c r="L3951" s="318">
        <v>-33.654926000000003</v>
      </c>
      <c r="M3951" s="318">
        <v>151.06097399999999</v>
      </c>
      <c r="O3951">
        <f>INDEX('MEC - traffic congestion'!$M$145:$M$249,MATCH($D3951,'MEC - traffic congestion'!$C$145:$C$249,0))</f>
        <v>1</v>
      </c>
      <c r="P3951" t="str">
        <f t="shared" si="179"/>
        <v>2018PM PEAK</v>
      </c>
      <c r="Q3951">
        <f t="shared" si="180"/>
        <v>1</v>
      </c>
      <c r="R3951" s="195" t="str">
        <f t="shared" si="181"/>
        <v>2018LIGHT VEHICLES</v>
      </c>
    </row>
    <row r="3952" spans="3:18" x14ac:dyDescent="0.25">
      <c r="C3952" s="294" t="s">
        <v>1016</v>
      </c>
      <c r="D3952" s="317" t="s">
        <v>754</v>
      </c>
      <c r="E3952" s="122" t="s">
        <v>999</v>
      </c>
      <c r="F3952" s="122" t="s">
        <v>1017</v>
      </c>
      <c r="G3952" s="122" t="s">
        <v>785</v>
      </c>
      <c r="H3952" s="122" t="s">
        <v>777</v>
      </c>
      <c r="I3952" s="312">
        <v>2018</v>
      </c>
      <c r="J3952" s="122" t="s">
        <v>712</v>
      </c>
      <c r="K3952" s="283">
        <v>2201</v>
      </c>
      <c r="L3952" s="318">
        <v>-33.654926000000003</v>
      </c>
      <c r="M3952" s="318">
        <v>151.06097399999999</v>
      </c>
      <c r="O3952">
        <f>INDEX('MEC - traffic congestion'!$M$145:$M$249,MATCH($D3952,'MEC - traffic congestion'!$C$145:$C$249,0))</f>
        <v>1</v>
      </c>
      <c r="P3952" t="str">
        <f t="shared" si="179"/>
        <v>2018PUBLIC HOLIDAYS</v>
      </c>
      <c r="Q3952">
        <f t="shared" si="180"/>
        <v>1</v>
      </c>
      <c r="R3952" s="195" t="str">
        <f t="shared" si="181"/>
        <v>2018LIGHT VEHICLES</v>
      </c>
    </row>
    <row r="3953" spans="3:18" x14ac:dyDescent="0.25">
      <c r="C3953" s="294" t="s">
        <v>1016</v>
      </c>
      <c r="D3953" s="317" t="s">
        <v>754</v>
      </c>
      <c r="E3953" s="122" t="s">
        <v>999</v>
      </c>
      <c r="F3953" s="122" t="s">
        <v>1017</v>
      </c>
      <c r="G3953" s="122" t="s">
        <v>786</v>
      </c>
      <c r="H3953" s="122" t="s">
        <v>777</v>
      </c>
      <c r="I3953" s="312">
        <v>2018</v>
      </c>
      <c r="J3953" s="122" t="s">
        <v>712</v>
      </c>
      <c r="K3953" s="283">
        <v>2182</v>
      </c>
      <c r="L3953" s="318">
        <v>-33.654926000000003</v>
      </c>
      <c r="M3953" s="318">
        <v>151.06097399999999</v>
      </c>
      <c r="O3953">
        <f>INDEX('MEC - traffic congestion'!$M$145:$M$249,MATCH($D3953,'MEC - traffic congestion'!$C$145:$C$249,0))</f>
        <v>1</v>
      </c>
      <c r="P3953" t="str">
        <f t="shared" si="179"/>
        <v>2018PUBLIC HOLIDAYS</v>
      </c>
      <c r="Q3953">
        <f t="shared" si="180"/>
        <v>1</v>
      </c>
      <c r="R3953" s="195" t="str">
        <f t="shared" si="181"/>
        <v>2018LIGHT VEHICLES</v>
      </c>
    </row>
    <row r="3954" spans="3:18" x14ac:dyDescent="0.25">
      <c r="C3954" s="294" t="s">
        <v>1016</v>
      </c>
      <c r="D3954" s="317" t="s">
        <v>754</v>
      </c>
      <c r="E3954" s="122" t="s">
        <v>999</v>
      </c>
      <c r="F3954" s="122" t="s">
        <v>1017</v>
      </c>
      <c r="G3954" s="122" t="s">
        <v>785</v>
      </c>
      <c r="H3954" s="122" t="s">
        <v>777</v>
      </c>
      <c r="I3954" s="312">
        <v>2018</v>
      </c>
      <c r="J3954" s="122" t="s">
        <v>713</v>
      </c>
      <c r="K3954" s="283">
        <v>2316</v>
      </c>
      <c r="L3954" s="318">
        <v>-33.654926000000003</v>
      </c>
      <c r="M3954" s="318">
        <v>151.06097399999999</v>
      </c>
      <c r="O3954">
        <f>INDEX('MEC - traffic congestion'!$M$145:$M$249,MATCH($D3954,'MEC - traffic congestion'!$C$145:$C$249,0))</f>
        <v>1</v>
      </c>
      <c r="P3954" t="str">
        <f t="shared" si="179"/>
        <v>2018WEEKENDS</v>
      </c>
      <c r="Q3954">
        <f t="shared" si="180"/>
        <v>1</v>
      </c>
      <c r="R3954" s="195" t="str">
        <f t="shared" si="181"/>
        <v>2018LIGHT VEHICLES</v>
      </c>
    </row>
    <row r="3955" spans="3:18" x14ac:dyDescent="0.25">
      <c r="C3955" s="294" t="s">
        <v>1016</v>
      </c>
      <c r="D3955" s="317" t="s">
        <v>754</v>
      </c>
      <c r="E3955" s="122" t="s">
        <v>999</v>
      </c>
      <c r="F3955" s="122" t="s">
        <v>1017</v>
      </c>
      <c r="G3955" s="122" t="s">
        <v>786</v>
      </c>
      <c r="H3955" s="122" t="s">
        <v>777</v>
      </c>
      <c r="I3955" s="312">
        <v>2018</v>
      </c>
      <c r="J3955" s="122" t="s">
        <v>713</v>
      </c>
      <c r="K3955" s="283">
        <v>2463</v>
      </c>
      <c r="L3955" s="318">
        <v>-33.654926000000003</v>
      </c>
      <c r="M3955" s="318">
        <v>151.06097399999999</v>
      </c>
      <c r="O3955">
        <f>INDEX('MEC - traffic congestion'!$M$145:$M$249,MATCH($D3955,'MEC - traffic congestion'!$C$145:$C$249,0))</f>
        <v>1</v>
      </c>
      <c r="P3955" t="str">
        <f t="shared" si="179"/>
        <v>2018WEEKENDS</v>
      </c>
      <c r="Q3955">
        <f t="shared" si="180"/>
        <v>1</v>
      </c>
      <c r="R3955" s="195" t="str">
        <f t="shared" si="181"/>
        <v>2018LIGHT VEHICLES</v>
      </c>
    </row>
    <row r="3956" spans="3:18" x14ac:dyDescent="0.25">
      <c r="C3956" s="294" t="s">
        <v>1016</v>
      </c>
      <c r="D3956" s="317" t="s">
        <v>754</v>
      </c>
      <c r="E3956" s="122" t="s">
        <v>999</v>
      </c>
      <c r="F3956" s="122" t="s">
        <v>1017</v>
      </c>
      <c r="G3956" s="122" t="s">
        <v>785</v>
      </c>
      <c r="H3956" s="122" t="s">
        <v>777</v>
      </c>
      <c r="I3956" s="312">
        <v>2019</v>
      </c>
      <c r="J3956" s="122" t="s">
        <v>709</v>
      </c>
      <c r="K3956" s="283">
        <v>1143</v>
      </c>
      <c r="L3956" s="318">
        <v>-33.654926000000003</v>
      </c>
      <c r="M3956" s="318">
        <v>151.06097399999999</v>
      </c>
      <c r="O3956">
        <f>INDEX('MEC - traffic congestion'!$M$145:$M$249,MATCH($D3956,'MEC - traffic congestion'!$C$145:$C$249,0))</f>
        <v>1</v>
      </c>
      <c r="P3956" t="str">
        <f t="shared" si="179"/>
        <v>2019AM PEAK</v>
      </c>
      <c r="Q3956">
        <f t="shared" si="180"/>
        <v>1</v>
      </c>
      <c r="R3956" s="195" t="str">
        <f t="shared" si="181"/>
        <v>2019LIGHT VEHICLES</v>
      </c>
    </row>
    <row r="3957" spans="3:18" x14ac:dyDescent="0.25">
      <c r="C3957" s="294" t="s">
        <v>1016</v>
      </c>
      <c r="D3957" s="317" t="s">
        <v>754</v>
      </c>
      <c r="E3957" s="122" t="s">
        <v>999</v>
      </c>
      <c r="F3957" s="122" t="s">
        <v>1017</v>
      </c>
      <c r="G3957" s="122" t="s">
        <v>786</v>
      </c>
      <c r="H3957" s="122" t="s">
        <v>777</v>
      </c>
      <c r="I3957" s="312">
        <v>2019</v>
      </c>
      <c r="J3957" s="122" t="s">
        <v>709</v>
      </c>
      <c r="K3957" s="283">
        <v>681</v>
      </c>
      <c r="L3957" s="318">
        <v>-33.654926000000003</v>
      </c>
      <c r="M3957" s="318">
        <v>151.06097399999999</v>
      </c>
      <c r="O3957">
        <f>INDEX('MEC - traffic congestion'!$M$145:$M$249,MATCH($D3957,'MEC - traffic congestion'!$C$145:$C$249,0))</f>
        <v>1</v>
      </c>
      <c r="P3957" t="str">
        <f t="shared" si="179"/>
        <v>2019AM PEAK</v>
      </c>
      <c r="Q3957">
        <f t="shared" si="180"/>
        <v>1</v>
      </c>
      <c r="R3957" s="195" t="str">
        <f t="shared" si="181"/>
        <v>2019LIGHT VEHICLES</v>
      </c>
    </row>
    <row r="3958" spans="3:18" x14ac:dyDescent="0.25">
      <c r="C3958" s="294" t="s">
        <v>1016</v>
      </c>
      <c r="D3958" s="317" t="s">
        <v>754</v>
      </c>
      <c r="E3958" s="122" t="s">
        <v>999</v>
      </c>
      <c r="F3958" s="122" t="s">
        <v>1017</v>
      </c>
      <c r="G3958" s="122" t="s">
        <v>785</v>
      </c>
      <c r="H3958" s="122" t="s">
        <v>777</v>
      </c>
      <c r="I3958" s="312">
        <v>2019</v>
      </c>
      <c r="J3958" s="122" t="s">
        <v>710</v>
      </c>
      <c r="K3958" s="283">
        <v>999</v>
      </c>
      <c r="L3958" s="318">
        <v>-33.654926000000003</v>
      </c>
      <c r="M3958" s="318">
        <v>151.06097399999999</v>
      </c>
      <c r="O3958">
        <f>INDEX('MEC - traffic congestion'!$M$145:$M$249,MATCH($D3958,'MEC - traffic congestion'!$C$145:$C$249,0))</f>
        <v>1</v>
      </c>
      <c r="P3958" t="str">
        <f t="shared" si="179"/>
        <v>2019OFF PEAK</v>
      </c>
      <c r="Q3958">
        <f t="shared" si="180"/>
        <v>1</v>
      </c>
      <c r="R3958" s="195" t="str">
        <f t="shared" si="181"/>
        <v>2019LIGHT VEHICLES</v>
      </c>
    </row>
    <row r="3959" spans="3:18" x14ac:dyDescent="0.25">
      <c r="C3959" s="294" t="s">
        <v>1016</v>
      </c>
      <c r="D3959" s="317" t="s">
        <v>754</v>
      </c>
      <c r="E3959" s="122" t="s">
        <v>999</v>
      </c>
      <c r="F3959" s="122" t="s">
        <v>1017</v>
      </c>
      <c r="G3959" s="122" t="s">
        <v>786</v>
      </c>
      <c r="H3959" s="122" t="s">
        <v>777</v>
      </c>
      <c r="I3959" s="312">
        <v>2019</v>
      </c>
      <c r="J3959" s="122" t="s">
        <v>710</v>
      </c>
      <c r="K3959" s="283">
        <v>1137</v>
      </c>
      <c r="L3959" s="318">
        <v>-33.654926000000003</v>
      </c>
      <c r="M3959" s="318">
        <v>151.06097399999999</v>
      </c>
      <c r="O3959">
        <f>INDEX('MEC - traffic congestion'!$M$145:$M$249,MATCH($D3959,'MEC - traffic congestion'!$C$145:$C$249,0))</f>
        <v>1</v>
      </c>
      <c r="P3959" t="str">
        <f t="shared" si="179"/>
        <v>2019OFF PEAK</v>
      </c>
      <c r="Q3959">
        <f t="shared" si="180"/>
        <v>1</v>
      </c>
      <c r="R3959" s="195" t="str">
        <f t="shared" si="181"/>
        <v>2019LIGHT VEHICLES</v>
      </c>
    </row>
    <row r="3960" spans="3:18" x14ac:dyDescent="0.25">
      <c r="C3960" s="294" t="s">
        <v>1016</v>
      </c>
      <c r="D3960" s="317" t="s">
        <v>754</v>
      </c>
      <c r="E3960" s="122" t="s">
        <v>999</v>
      </c>
      <c r="F3960" s="122" t="s">
        <v>1017</v>
      </c>
      <c r="G3960" s="122" t="s">
        <v>785</v>
      </c>
      <c r="H3960" s="122" t="s">
        <v>777</v>
      </c>
      <c r="I3960" s="312">
        <v>2019</v>
      </c>
      <c r="J3960" s="122" t="s">
        <v>711</v>
      </c>
      <c r="K3960" s="283">
        <v>762</v>
      </c>
      <c r="L3960" s="318">
        <v>-33.654926000000003</v>
      </c>
      <c r="M3960" s="318">
        <v>151.06097399999999</v>
      </c>
      <c r="O3960">
        <f>INDEX('MEC - traffic congestion'!$M$145:$M$249,MATCH($D3960,'MEC - traffic congestion'!$C$145:$C$249,0))</f>
        <v>1</v>
      </c>
      <c r="P3960" t="str">
        <f t="shared" si="179"/>
        <v>2019PM PEAK</v>
      </c>
      <c r="Q3960">
        <f t="shared" si="180"/>
        <v>1</v>
      </c>
      <c r="R3960" s="195" t="str">
        <f t="shared" si="181"/>
        <v>2019LIGHT VEHICLES</v>
      </c>
    </row>
    <row r="3961" spans="3:18" x14ac:dyDescent="0.25">
      <c r="C3961" s="294" t="s">
        <v>1016</v>
      </c>
      <c r="D3961" s="317" t="s">
        <v>754</v>
      </c>
      <c r="E3961" s="122" t="s">
        <v>999</v>
      </c>
      <c r="F3961" s="122" t="s">
        <v>1017</v>
      </c>
      <c r="G3961" s="122" t="s">
        <v>786</v>
      </c>
      <c r="H3961" s="122" t="s">
        <v>777</v>
      </c>
      <c r="I3961" s="312">
        <v>2019</v>
      </c>
      <c r="J3961" s="122" t="s">
        <v>711</v>
      </c>
      <c r="K3961" s="283">
        <v>1247</v>
      </c>
      <c r="L3961" s="318">
        <v>-33.654926000000003</v>
      </c>
      <c r="M3961" s="318">
        <v>151.06097399999999</v>
      </c>
      <c r="O3961">
        <f>INDEX('MEC - traffic congestion'!$M$145:$M$249,MATCH($D3961,'MEC - traffic congestion'!$C$145:$C$249,0))</f>
        <v>1</v>
      </c>
      <c r="P3961" t="str">
        <f t="shared" si="179"/>
        <v>2019PM PEAK</v>
      </c>
      <c r="Q3961">
        <f t="shared" si="180"/>
        <v>1</v>
      </c>
      <c r="R3961" s="195" t="str">
        <f t="shared" si="181"/>
        <v>2019LIGHT VEHICLES</v>
      </c>
    </row>
    <row r="3962" spans="3:18" x14ac:dyDescent="0.25">
      <c r="C3962" s="294" t="s">
        <v>1016</v>
      </c>
      <c r="D3962" s="317" t="s">
        <v>754</v>
      </c>
      <c r="E3962" s="122" t="s">
        <v>999</v>
      </c>
      <c r="F3962" s="122" t="s">
        <v>1017</v>
      </c>
      <c r="G3962" s="122" t="s">
        <v>785</v>
      </c>
      <c r="H3962" s="122" t="s">
        <v>777</v>
      </c>
      <c r="I3962" s="312">
        <v>2019</v>
      </c>
      <c r="J3962" s="122" t="s">
        <v>712</v>
      </c>
      <c r="K3962" s="283">
        <v>2150</v>
      </c>
      <c r="L3962" s="318">
        <v>-33.654926000000003</v>
      </c>
      <c r="M3962" s="318">
        <v>151.06097399999999</v>
      </c>
      <c r="O3962">
        <f>INDEX('MEC - traffic congestion'!$M$145:$M$249,MATCH($D3962,'MEC - traffic congestion'!$C$145:$C$249,0))</f>
        <v>1</v>
      </c>
      <c r="P3962" t="str">
        <f t="shared" si="179"/>
        <v>2019PUBLIC HOLIDAYS</v>
      </c>
      <c r="Q3962">
        <f t="shared" si="180"/>
        <v>1</v>
      </c>
      <c r="R3962" s="195" t="str">
        <f t="shared" si="181"/>
        <v>2019LIGHT VEHICLES</v>
      </c>
    </row>
    <row r="3963" spans="3:18" x14ac:dyDescent="0.25">
      <c r="C3963" s="294" t="s">
        <v>1016</v>
      </c>
      <c r="D3963" s="317" t="s">
        <v>754</v>
      </c>
      <c r="E3963" s="122" t="s">
        <v>999</v>
      </c>
      <c r="F3963" s="122" t="s">
        <v>1017</v>
      </c>
      <c r="G3963" s="122" t="s">
        <v>786</v>
      </c>
      <c r="H3963" s="122" t="s">
        <v>777</v>
      </c>
      <c r="I3963" s="312">
        <v>2019</v>
      </c>
      <c r="J3963" s="122" t="s">
        <v>712</v>
      </c>
      <c r="K3963" s="283">
        <v>2077</v>
      </c>
      <c r="L3963" s="318">
        <v>-33.654926000000003</v>
      </c>
      <c r="M3963" s="318">
        <v>151.06097399999999</v>
      </c>
      <c r="O3963">
        <f>INDEX('MEC - traffic congestion'!$M$145:$M$249,MATCH($D3963,'MEC - traffic congestion'!$C$145:$C$249,0))</f>
        <v>1</v>
      </c>
      <c r="P3963" t="str">
        <f t="shared" si="179"/>
        <v>2019PUBLIC HOLIDAYS</v>
      </c>
      <c r="Q3963">
        <f t="shared" si="180"/>
        <v>1</v>
      </c>
      <c r="R3963" s="195" t="str">
        <f t="shared" si="181"/>
        <v>2019LIGHT VEHICLES</v>
      </c>
    </row>
    <row r="3964" spans="3:18" x14ac:dyDescent="0.25">
      <c r="C3964" s="294" t="s">
        <v>1016</v>
      </c>
      <c r="D3964" s="317" t="s">
        <v>754</v>
      </c>
      <c r="E3964" s="122" t="s">
        <v>999</v>
      </c>
      <c r="F3964" s="122" t="s">
        <v>1017</v>
      </c>
      <c r="G3964" s="122" t="s">
        <v>785</v>
      </c>
      <c r="H3964" s="122" t="s">
        <v>777</v>
      </c>
      <c r="I3964" s="312">
        <v>2019</v>
      </c>
      <c r="J3964" s="122" t="s">
        <v>713</v>
      </c>
      <c r="K3964" s="283">
        <v>2303</v>
      </c>
      <c r="L3964" s="318">
        <v>-33.654926000000003</v>
      </c>
      <c r="M3964" s="318">
        <v>151.06097399999999</v>
      </c>
      <c r="O3964">
        <f>INDEX('MEC - traffic congestion'!$M$145:$M$249,MATCH($D3964,'MEC - traffic congestion'!$C$145:$C$249,0))</f>
        <v>1</v>
      </c>
      <c r="P3964" t="str">
        <f t="shared" si="179"/>
        <v>2019WEEKENDS</v>
      </c>
      <c r="Q3964">
        <f t="shared" si="180"/>
        <v>1</v>
      </c>
      <c r="R3964" s="195" t="str">
        <f t="shared" si="181"/>
        <v>2019LIGHT VEHICLES</v>
      </c>
    </row>
    <row r="3965" spans="3:18" x14ac:dyDescent="0.25">
      <c r="C3965" s="294" t="s">
        <v>1016</v>
      </c>
      <c r="D3965" s="317" t="s">
        <v>754</v>
      </c>
      <c r="E3965" s="122" t="s">
        <v>999</v>
      </c>
      <c r="F3965" s="122" t="s">
        <v>1017</v>
      </c>
      <c r="G3965" s="122" t="s">
        <v>786</v>
      </c>
      <c r="H3965" s="122" t="s">
        <v>777</v>
      </c>
      <c r="I3965" s="312">
        <v>2019</v>
      </c>
      <c r="J3965" s="122" t="s">
        <v>713</v>
      </c>
      <c r="K3965" s="283">
        <v>2438</v>
      </c>
      <c r="L3965" s="318">
        <v>-33.654926000000003</v>
      </c>
      <c r="M3965" s="318">
        <v>151.06097399999999</v>
      </c>
      <c r="O3965">
        <f>INDEX('MEC - traffic congestion'!$M$145:$M$249,MATCH($D3965,'MEC - traffic congestion'!$C$145:$C$249,0))</f>
        <v>1</v>
      </c>
      <c r="P3965" t="str">
        <f t="shared" si="179"/>
        <v>2019WEEKENDS</v>
      </c>
      <c r="Q3965">
        <f t="shared" si="180"/>
        <v>1</v>
      </c>
      <c r="R3965" s="195" t="str">
        <f t="shared" si="181"/>
        <v>2019LIGHT VEHICLES</v>
      </c>
    </row>
    <row r="3966" spans="3:18" x14ac:dyDescent="0.25">
      <c r="C3966" s="294" t="s">
        <v>1016</v>
      </c>
      <c r="D3966" s="317" t="s">
        <v>754</v>
      </c>
      <c r="E3966" s="122" t="s">
        <v>999</v>
      </c>
      <c r="F3966" s="122" t="s">
        <v>1017</v>
      </c>
      <c r="G3966" s="122" t="s">
        <v>785</v>
      </c>
      <c r="H3966" s="122" t="s">
        <v>777</v>
      </c>
      <c r="I3966" s="312">
        <v>2020</v>
      </c>
      <c r="J3966" s="122" t="s">
        <v>709</v>
      </c>
      <c r="K3966" s="283">
        <v>874</v>
      </c>
      <c r="L3966" s="318">
        <v>-33.654926000000003</v>
      </c>
      <c r="M3966" s="318">
        <v>151.06097399999999</v>
      </c>
      <c r="O3966">
        <f>INDEX('MEC - traffic congestion'!$M$145:$M$249,MATCH($D3966,'MEC - traffic congestion'!$C$145:$C$249,0))</f>
        <v>1</v>
      </c>
      <c r="P3966" t="str">
        <f t="shared" si="179"/>
        <v>2020AM PEAK</v>
      </c>
      <c r="Q3966">
        <f t="shared" si="180"/>
        <v>1</v>
      </c>
      <c r="R3966" s="195" t="str">
        <f t="shared" si="181"/>
        <v>2020LIGHT VEHICLES</v>
      </c>
    </row>
    <row r="3967" spans="3:18" x14ac:dyDescent="0.25">
      <c r="C3967" s="294" t="s">
        <v>1016</v>
      </c>
      <c r="D3967" s="317" t="s">
        <v>754</v>
      </c>
      <c r="E3967" s="122" t="s">
        <v>999</v>
      </c>
      <c r="F3967" s="122" t="s">
        <v>1017</v>
      </c>
      <c r="G3967" s="122" t="s">
        <v>786</v>
      </c>
      <c r="H3967" s="122" t="s">
        <v>777</v>
      </c>
      <c r="I3967" s="312">
        <v>2020</v>
      </c>
      <c r="J3967" s="122" t="s">
        <v>709</v>
      </c>
      <c r="K3967" s="283">
        <v>585</v>
      </c>
      <c r="L3967" s="318">
        <v>-33.654926000000003</v>
      </c>
      <c r="M3967" s="318">
        <v>151.06097399999999</v>
      </c>
      <c r="O3967">
        <f>INDEX('MEC - traffic congestion'!$M$145:$M$249,MATCH($D3967,'MEC - traffic congestion'!$C$145:$C$249,0))</f>
        <v>1</v>
      </c>
      <c r="P3967" t="str">
        <f t="shared" si="179"/>
        <v>2020AM PEAK</v>
      </c>
      <c r="Q3967">
        <f t="shared" si="180"/>
        <v>1</v>
      </c>
      <c r="R3967" s="195" t="str">
        <f t="shared" si="181"/>
        <v>2020LIGHT VEHICLES</v>
      </c>
    </row>
    <row r="3968" spans="3:18" x14ac:dyDescent="0.25">
      <c r="C3968" s="294" t="s">
        <v>1016</v>
      </c>
      <c r="D3968" s="317" t="s">
        <v>754</v>
      </c>
      <c r="E3968" s="122" t="s">
        <v>999</v>
      </c>
      <c r="F3968" s="122" t="s">
        <v>1017</v>
      </c>
      <c r="G3968" s="122" t="s">
        <v>785</v>
      </c>
      <c r="H3968" s="122" t="s">
        <v>777</v>
      </c>
      <c r="I3968" s="312">
        <v>2020</v>
      </c>
      <c r="J3968" s="122" t="s">
        <v>710</v>
      </c>
      <c r="K3968" s="283">
        <v>907</v>
      </c>
      <c r="L3968" s="318">
        <v>-33.654926000000003</v>
      </c>
      <c r="M3968" s="318">
        <v>151.06097399999999</v>
      </c>
      <c r="O3968">
        <f>INDEX('MEC - traffic congestion'!$M$145:$M$249,MATCH($D3968,'MEC - traffic congestion'!$C$145:$C$249,0))</f>
        <v>1</v>
      </c>
      <c r="P3968" t="str">
        <f t="shared" si="179"/>
        <v>2020OFF PEAK</v>
      </c>
      <c r="Q3968">
        <f t="shared" si="180"/>
        <v>1</v>
      </c>
      <c r="R3968" s="195" t="str">
        <f t="shared" si="181"/>
        <v>2020LIGHT VEHICLES</v>
      </c>
    </row>
    <row r="3969" spans="3:18" x14ac:dyDescent="0.25">
      <c r="C3969" s="294" t="s">
        <v>1016</v>
      </c>
      <c r="D3969" s="317" t="s">
        <v>754</v>
      </c>
      <c r="E3969" s="122" t="s">
        <v>999</v>
      </c>
      <c r="F3969" s="122" t="s">
        <v>1017</v>
      </c>
      <c r="G3969" s="122" t="s">
        <v>786</v>
      </c>
      <c r="H3969" s="122" t="s">
        <v>777</v>
      </c>
      <c r="I3969" s="312">
        <v>2020</v>
      </c>
      <c r="J3969" s="122" t="s">
        <v>710</v>
      </c>
      <c r="K3969" s="283">
        <v>1004</v>
      </c>
      <c r="L3969" s="318">
        <v>-33.654926000000003</v>
      </c>
      <c r="M3969" s="318">
        <v>151.06097399999999</v>
      </c>
      <c r="O3969">
        <f>INDEX('MEC - traffic congestion'!$M$145:$M$249,MATCH($D3969,'MEC - traffic congestion'!$C$145:$C$249,0))</f>
        <v>1</v>
      </c>
      <c r="P3969" t="str">
        <f t="shared" si="179"/>
        <v>2020OFF PEAK</v>
      </c>
      <c r="Q3969">
        <f t="shared" si="180"/>
        <v>1</v>
      </c>
      <c r="R3969" s="195" t="str">
        <f t="shared" si="181"/>
        <v>2020LIGHT VEHICLES</v>
      </c>
    </row>
    <row r="3970" spans="3:18" x14ac:dyDescent="0.25">
      <c r="C3970" s="294" t="s">
        <v>1016</v>
      </c>
      <c r="D3970" s="317" t="s">
        <v>754</v>
      </c>
      <c r="E3970" s="122" t="s">
        <v>999</v>
      </c>
      <c r="F3970" s="122" t="s">
        <v>1017</v>
      </c>
      <c r="G3970" s="122" t="s">
        <v>785</v>
      </c>
      <c r="H3970" s="122" t="s">
        <v>777</v>
      </c>
      <c r="I3970" s="312">
        <v>2020</v>
      </c>
      <c r="J3970" s="122" t="s">
        <v>711</v>
      </c>
      <c r="K3970" s="283">
        <v>668</v>
      </c>
      <c r="L3970" s="318">
        <v>-33.654926000000003</v>
      </c>
      <c r="M3970" s="318">
        <v>151.06097399999999</v>
      </c>
      <c r="O3970">
        <f>INDEX('MEC - traffic congestion'!$M$145:$M$249,MATCH($D3970,'MEC - traffic congestion'!$C$145:$C$249,0))</f>
        <v>1</v>
      </c>
      <c r="P3970" t="str">
        <f t="shared" si="179"/>
        <v>2020PM PEAK</v>
      </c>
      <c r="Q3970">
        <f t="shared" si="180"/>
        <v>1</v>
      </c>
      <c r="R3970" s="195" t="str">
        <f t="shared" si="181"/>
        <v>2020LIGHT VEHICLES</v>
      </c>
    </row>
    <row r="3971" spans="3:18" x14ac:dyDescent="0.25">
      <c r="C3971" s="294" t="s">
        <v>1016</v>
      </c>
      <c r="D3971" s="317" t="s">
        <v>754</v>
      </c>
      <c r="E3971" s="122" t="s">
        <v>999</v>
      </c>
      <c r="F3971" s="122" t="s">
        <v>1017</v>
      </c>
      <c r="G3971" s="122" t="s">
        <v>786</v>
      </c>
      <c r="H3971" s="122" t="s">
        <v>777</v>
      </c>
      <c r="I3971" s="312">
        <v>2020</v>
      </c>
      <c r="J3971" s="122" t="s">
        <v>711</v>
      </c>
      <c r="K3971" s="283">
        <v>1028</v>
      </c>
      <c r="L3971" s="318">
        <v>-33.654926000000003</v>
      </c>
      <c r="M3971" s="318">
        <v>151.06097399999999</v>
      </c>
      <c r="O3971">
        <f>INDEX('MEC - traffic congestion'!$M$145:$M$249,MATCH($D3971,'MEC - traffic congestion'!$C$145:$C$249,0))</f>
        <v>1</v>
      </c>
      <c r="P3971" t="str">
        <f t="shared" si="179"/>
        <v>2020PM PEAK</v>
      </c>
      <c r="Q3971">
        <f t="shared" si="180"/>
        <v>1</v>
      </c>
      <c r="R3971" s="195" t="str">
        <f t="shared" si="181"/>
        <v>2020LIGHT VEHICLES</v>
      </c>
    </row>
    <row r="3972" spans="3:18" x14ac:dyDescent="0.25">
      <c r="C3972" s="294" t="s">
        <v>1016</v>
      </c>
      <c r="D3972" s="317" t="s">
        <v>754</v>
      </c>
      <c r="E3972" s="122" t="s">
        <v>999</v>
      </c>
      <c r="F3972" s="122" t="s">
        <v>1017</v>
      </c>
      <c r="G3972" s="122" t="s">
        <v>785</v>
      </c>
      <c r="H3972" s="122" t="s">
        <v>777</v>
      </c>
      <c r="I3972" s="312">
        <v>2020</v>
      </c>
      <c r="J3972" s="122" t="s">
        <v>712</v>
      </c>
      <c r="K3972" s="283">
        <v>1437</v>
      </c>
      <c r="L3972" s="318">
        <v>-33.654926000000003</v>
      </c>
      <c r="M3972" s="318">
        <v>151.06097399999999</v>
      </c>
      <c r="O3972">
        <f>INDEX('MEC - traffic congestion'!$M$145:$M$249,MATCH($D3972,'MEC - traffic congestion'!$C$145:$C$249,0))</f>
        <v>1</v>
      </c>
      <c r="P3972" t="str">
        <f t="shared" si="179"/>
        <v>2020PUBLIC HOLIDAYS</v>
      </c>
      <c r="Q3972">
        <f t="shared" si="180"/>
        <v>1</v>
      </c>
      <c r="R3972" s="195" t="str">
        <f t="shared" si="181"/>
        <v>2020LIGHT VEHICLES</v>
      </c>
    </row>
    <row r="3973" spans="3:18" x14ac:dyDescent="0.25">
      <c r="C3973" s="294" t="s">
        <v>1016</v>
      </c>
      <c r="D3973" s="317" t="s">
        <v>754</v>
      </c>
      <c r="E3973" s="122" t="s">
        <v>999</v>
      </c>
      <c r="F3973" s="122" t="s">
        <v>1017</v>
      </c>
      <c r="G3973" s="122" t="s">
        <v>786</v>
      </c>
      <c r="H3973" s="122" t="s">
        <v>777</v>
      </c>
      <c r="I3973" s="312">
        <v>2020</v>
      </c>
      <c r="J3973" s="122" t="s">
        <v>712</v>
      </c>
      <c r="K3973" s="283">
        <v>1570</v>
      </c>
      <c r="L3973" s="318">
        <v>-33.654926000000003</v>
      </c>
      <c r="M3973" s="318">
        <v>151.06097399999999</v>
      </c>
      <c r="O3973">
        <f>INDEX('MEC - traffic congestion'!$M$145:$M$249,MATCH($D3973,'MEC - traffic congestion'!$C$145:$C$249,0))</f>
        <v>1</v>
      </c>
      <c r="P3973" t="str">
        <f t="shared" si="179"/>
        <v>2020PUBLIC HOLIDAYS</v>
      </c>
      <c r="Q3973">
        <f t="shared" si="180"/>
        <v>1</v>
      </c>
      <c r="R3973" s="195" t="str">
        <f t="shared" si="181"/>
        <v>2020LIGHT VEHICLES</v>
      </c>
    </row>
    <row r="3974" spans="3:18" x14ac:dyDescent="0.25">
      <c r="C3974" s="294" t="s">
        <v>1016</v>
      </c>
      <c r="D3974" s="317" t="s">
        <v>754</v>
      </c>
      <c r="E3974" s="122" t="s">
        <v>999</v>
      </c>
      <c r="F3974" s="122" t="s">
        <v>1017</v>
      </c>
      <c r="G3974" s="122" t="s">
        <v>785</v>
      </c>
      <c r="H3974" s="122" t="s">
        <v>777</v>
      </c>
      <c r="I3974" s="312">
        <v>2020</v>
      </c>
      <c r="J3974" s="122" t="s">
        <v>713</v>
      </c>
      <c r="K3974" s="283">
        <v>2030</v>
      </c>
      <c r="L3974" s="318">
        <v>-33.654926000000003</v>
      </c>
      <c r="M3974" s="318">
        <v>151.06097399999999</v>
      </c>
      <c r="O3974">
        <f>INDEX('MEC - traffic congestion'!$M$145:$M$249,MATCH($D3974,'MEC - traffic congestion'!$C$145:$C$249,0))</f>
        <v>1</v>
      </c>
      <c r="P3974" t="str">
        <f t="shared" si="179"/>
        <v>2020WEEKENDS</v>
      </c>
      <c r="Q3974">
        <f t="shared" si="180"/>
        <v>1</v>
      </c>
      <c r="R3974" s="195" t="str">
        <f t="shared" si="181"/>
        <v>2020LIGHT VEHICLES</v>
      </c>
    </row>
    <row r="3975" spans="3:18" x14ac:dyDescent="0.25">
      <c r="C3975" s="294" t="s">
        <v>1016</v>
      </c>
      <c r="D3975" s="317" t="s">
        <v>754</v>
      </c>
      <c r="E3975" s="122" t="s">
        <v>999</v>
      </c>
      <c r="F3975" s="122" t="s">
        <v>1017</v>
      </c>
      <c r="G3975" s="122" t="s">
        <v>786</v>
      </c>
      <c r="H3975" s="122" t="s">
        <v>777</v>
      </c>
      <c r="I3975" s="312">
        <v>2020</v>
      </c>
      <c r="J3975" s="122" t="s">
        <v>713</v>
      </c>
      <c r="K3975" s="283">
        <v>2195</v>
      </c>
      <c r="L3975" s="318">
        <v>-33.654926000000003</v>
      </c>
      <c r="M3975" s="318">
        <v>151.06097399999999</v>
      </c>
      <c r="O3975">
        <f>INDEX('MEC - traffic congestion'!$M$145:$M$249,MATCH($D3975,'MEC - traffic congestion'!$C$145:$C$249,0))</f>
        <v>1</v>
      </c>
      <c r="P3975" t="str">
        <f t="shared" si="179"/>
        <v>2020WEEKENDS</v>
      </c>
      <c r="Q3975">
        <f t="shared" si="180"/>
        <v>1</v>
      </c>
      <c r="R3975" s="195" t="str">
        <f t="shared" si="181"/>
        <v>2020LIGHT VEHICLES</v>
      </c>
    </row>
    <row r="3976" spans="3:18" x14ac:dyDescent="0.25">
      <c r="C3976" s="294" t="s">
        <v>1016</v>
      </c>
      <c r="D3976" s="317" t="s">
        <v>754</v>
      </c>
      <c r="E3976" s="122" t="s">
        <v>999</v>
      </c>
      <c r="F3976" s="122" t="s">
        <v>1017</v>
      </c>
      <c r="G3976" s="122" t="s">
        <v>785</v>
      </c>
      <c r="H3976" s="122" t="s">
        <v>777</v>
      </c>
      <c r="I3976" s="312">
        <v>2021</v>
      </c>
      <c r="J3976" s="122" t="s">
        <v>709</v>
      </c>
      <c r="K3976" s="283">
        <v>729</v>
      </c>
      <c r="L3976" s="318">
        <v>-33.654926000000003</v>
      </c>
      <c r="M3976" s="318">
        <v>151.06097399999999</v>
      </c>
      <c r="O3976">
        <f>INDEX('MEC - traffic congestion'!$M$145:$M$249,MATCH($D3976,'MEC - traffic congestion'!$C$145:$C$249,0))</f>
        <v>1</v>
      </c>
      <c r="P3976" t="str">
        <f t="shared" si="179"/>
        <v>2021AM PEAK</v>
      </c>
      <c r="Q3976">
        <f t="shared" si="180"/>
        <v>1</v>
      </c>
      <c r="R3976" s="195" t="str">
        <f t="shared" si="181"/>
        <v>2021LIGHT VEHICLES</v>
      </c>
    </row>
    <row r="3977" spans="3:18" x14ac:dyDescent="0.25">
      <c r="C3977" s="294" t="s">
        <v>1016</v>
      </c>
      <c r="D3977" s="317" t="s">
        <v>754</v>
      </c>
      <c r="E3977" s="122" t="s">
        <v>999</v>
      </c>
      <c r="F3977" s="122" t="s">
        <v>1017</v>
      </c>
      <c r="G3977" s="122" t="s">
        <v>786</v>
      </c>
      <c r="H3977" s="122" t="s">
        <v>777</v>
      </c>
      <c r="I3977" s="312">
        <v>2021</v>
      </c>
      <c r="J3977" s="122" t="s">
        <v>709</v>
      </c>
      <c r="K3977" s="283">
        <v>487</v>
      </c>
      <c r="L3977" s="318">
        <v>-33.654926000000003</v>
      </c>
      <c r="M3977" s="318">
        <v>151.06097399999999</v>
      </c>
      <c r="O3977">
        <f>INDEX('MEC - traffic congestion'!$M$145:$M$249,MATCH($D3977,'MEC - traffic congestion'!$C$145:$C$249,0))</f>
        <v>1</v>
      </c>
      <c r="P3977" t="str">
        <f t="shared" si="179"/>
        <v>2021AM PEAK</v>
      </c>
      <c r="Q3977">
        <f t="shared" si="180"/>
        <v>1</v>
      </c>
      <c r="R3977" s="195" t="str">
        <f t="shared" si="181"/>
        <v>2021LIGHT VEHICLES</v>
      </c>
    </row>
    <row r="3978" spans="3:18" x14ac:dyDescent="0.25">
      <c r="C3978" s="294" t="s">
        <v>1016</v>
      </c>
      <c r="D3978" s="317" t="s">
        <v>754</v>
      </c>
      <c r="E3978" s="122" t="s">
        <v>999</v>
      </c>
      <c r="F3978" s="122" t="s">
        <v>1017</v>
      </c>
      <c r="G3978" s="122" t="s">
        <v>785</v>
      </c>
      <c r="H3978" s="122" t="s">
        <v>777</v>
      </c>
      <c r="I3978" s="312">
        <v>2021</v>
      </c>
      <c r="J3978" s="122" t="s">
        <v>710</v>
      </c>
      <c r="K3978" s="283">
        <v>793</v>
      </c>
      <c r="L3978" s="318">
        <v>-33.654926000000003</v>
      </c>
      <c r="M3978" s="318">
        <v>151.06097399999999</v>
      </c>
      <c r="O3978">
        <f>INDEX('MEC - traffic congestion'!$M$145:$M$249,MATCH($D3978,'MEC - traffic congestion'!$C$145:$C$249,0))</f>
        <v>1</v>
      </c>
      <c r="P3978" t="str">
        <f t="shared" si="179"/>
        <v>2021OFF PEAK</v>
      </c>
      <c r="Q3978">
        <f t="shared" si="180"/>
        <v>1</v>
      </c>
      <c r="R3978" s="195" t="str">
        <f t="shared" si="181"/>
        <v>2021LIGHT VEHICLES</v>
      </c>
    </row>
    <row r="3979" spans="3:18" x14ac:dyDescent="0.25">
      <c r="C3979" s="294" t="s">
        <v>1016</v>
      </c>
      <c r="D3979" s="317" t="s">
        <v>754</v>
      </c>
      <c r="E3979" s="122" t="s">
        <v>999</v>
      </c>
      <c r="F3979" s="122" t="s">
        <v>1017</v>
      </c>
      <c r="G3979" s="122" t="s">
        <v>786</v>
      </c>
      <c r="H3979" s="122" t="s">
        <v>777</v>
      </c>
      <c r="I3979" s="312">
        <v>2021</v>
      </c>
      <c r="J3979" s="122" t="s">
        <v>710</v>
      </c>
      <c r="K3979" s="283">
        <v>875</v>
      </c>
      <c r="L3979" s="318">
        <v>-33.654926000000003</v>
      </c>
      <c r="M3979" s="318">
        <v>151.06097399999999</v>
      </c>
      <c r="O3979">
        <f>INDEX('MEC - traffic congestion'!$M$145:$M$249,MATCH($D3979,'MEC - traffic congestion'!$C$145:$C$249,0))</f>
        <v>1</v>
      </c>
      <c r="P3979" t="str">
        <f t="shared" si="179"/>
        <v>2021OFF PEAK</v>
      </c>
      <c r="Q3979">
        <f t="shared" si="180"/>
        <v>1</v>
      </c>
      <c r="R3979" s="195" t="str">
        <f t="shared" si="181"/>
        <v>2021LIGHT VEHICLES</v>
      </c>
    </row>
    <row r="3980" spans="3:18" x14ac:dyDescent="0.25">
      <c r="C3980" s="294" t="s">
        <v>1016</v>
      </c>
      <c r="D3980" s="317" t="s">
        <v>754</v>
      </c>
      <c r="E3980" s="122" t="s">
        <v>999</v>
      </c>
      <c r="F3980" s="122" t="s">
        <v>1017</v>
      </c>
      <c r="G3980" s="122" t="s">
        <v>785</v>
      </c>
      <c r="H3980" s="122" t="s">
        <v>777</v>
      </c>
      <c r="I3980" s="312">
        <v>2021</v>
      </c>
      <c r="J3980" s="122" t="s">
        <v>711</v>
      </c>
      <c r="K3980" s="283">
        <v>537</v>
      </c>
      <c r="L3980" s="318">
        <v>-33.654926000000003</v>
      </c>
      <c r="M3980" s="318">
        <v>151.06097399999999</v>
      </c>
      <c r="O3980">
        <f>INDEX('MEC - traffic congestion'!$M$145:$M$249,MATCH($D3980,'MEC - traffic congestion'!$C$145:$C$249,0))</f>
        <v>1</v>
      </c>
      <c r="P3980" t="str">
        <f t="shared" si="179"/>
        <v>2021PM PEAK</v>
      </c>
      <c r="Q3980">
        <f t="shared" si="180"/>
        <v>1</v>
      </c>
      <c r="R3980" s="195" t="str">
        <f t="shared" si="181"/>
        <v>2021LIGHT VEHICLES</v>
      </c>
    </row>
    <row r="3981" spans="3:18" x14ac:dyDescent="0.25">
      <c r="C3981" s="294" t="s">
        <v>1016</v>
      </c>
      <c r="D3981" s="317" t="s">
        <v>754</v>
      </c>
      <c r="E3981" s="122" t="s">
        <v>999</v>
      </c>
      <c r="F3981" s="122" t="s">
        <v>1017</v>
      </c>
      <c r="G3981" s="122" t="s">
        <v>786</v>
      </c>
      <c r="H3981" s="122" t="s">
        <v>777</v>
      </c>
      <c r="I3981" s="312">
        <v>2021</v>
      </c>
      <c r="J3981" s="122" t="s">
        <v>711</v>
      </c>
      <c r="K3981" s="283">
        <v>820</v>
      </c>
      <c r="L3981" s="318">
        <v>-33.654926000000003</v>
      </c>
      <c r="M3981" s="318">
        <v>151.06097399999999</v>
      </c>
      <c r="O3981">
        <f>INDEX('MEC - traffic congestion'!$M$145:$M$249,MATCH($D3981,'MEC - traffic congestion'!$C$145:$C$249,0))</f>
        <v>1</v>
      </c>
      <c r="P3981" t="str">
        <f t="shared" si="179"/>
        <v>2021PM PEAK</v>
      </c>
      <c r="Q3981">
        <f t="shared" si="180"/>
        <v>1</v>
      </c>
      <c r="R3981" s="195" t="str">
        <f t="shared" si="181"/>
        <v>2021LIGHT VEHICLES</v>
      </c>
    </row>
    <row r="3982" spans="3:18" x14ac:dyDescent="0.25">
      <c r="C3982" s="294" t="s">
        <v>1016</v>
      </c>
      <c r="D3982" s="317" t="s">
        <v>754</v>
      </c>
      <c r="E3982" s="122" t="s">
        <v>999</v>
      </c>
      <c r="F3982" s="122" t="s">
        <v>1017</v>
      </c>
      <c r="G3982" s="122" t="s">
        <v>785</v>
      </c>
      <c r="H3982" s="122" t="s">
        <v>777</v>
      </c>
      <c r="I3982" s="312">
        <v>2021</v>
      </c>
      <c r="J3982" s="122" t="s">
        <v>713</v>
      </c>
      <c r="K3982" s="283">
        <v>1757</v>
      </c>
      <c r="L3982" s="318">
        <v>-33.654926000000003</v>
      </c>
      <c r="M3982" s="318">
        <v>151.06097399999999</v>
      </c>
      <c r="O3982">
        <f>INDEX('MEC - traffic congestion'!$M$145:$M$249,MATCH($D3982,'MEC - traffic congestion'!$C$145:$C$249,0))</f>
        <v>1</v>
      </c>
      <c r="P3982" t="str">
        <f t="shared" si="179"/>
        <v>2021WEEKENDS</v>
      </c>
      <c r="Q3982">
        <f t="shared" si="180"/>
        <v>1</v>
      </c>
      <c r="R3982" s="195" t="str">
        <f t="shared" si="181"/>
        <v>2021LIGHT VEHICLES</v>
      </c>
    </row>
    <row r="3983" spans="3:18" x14ac:dyDescent="0.25">
      <c r="C3983" s="294" t="s">
        <v>1016</v>
      </c>
      <c r="D3983" s="317" t="s">
        <v>754</v>
      </c>
      <c r="E3983" s="122" t="s">
        <v>999</v>
      </c>
      <c r="F3983" s="122" t="s">
        <v>1017</v>
      </c>
      <c r="G3983" s="122" t="s">
        <v>786</v>
      </c>
      <c r="H3983" s="122" t="s">
        <v>777</v>
      </c>
      <c r="I3983" s="312">
        <v>2021</v>
      </c>
      <c r="J3983" s="122" t="s">
        <v>713</v>
      </c>
      <c r="K3983" s="283">
        <v>1870</v>
      </c>
      <c r="L3983" s="318">
        <v>-33.654926000000003</v>
      </c>
      <c r="M3983" s="318">
        <v>151.06097399999999</v>
      </c>
      <c r="O3983">
        <f>INDEX('MEC - traffic congestion'!$M$145:$M$249,MATCH($D3983,'MEC - traffic congestion'!$C$145:$C$249,0))</f>
        <v>1</v>
      </c>
      <c r="P3983" t="str">
        <f t="shared" si="179"/>
        <v>2021WEEKENDS</v>
      </c>
      <c r="Q3983">
        <f t="shared" si="180"/>
        <v>1</v>
      </c>
      <c r="R3983" s="195" t="str">
        <f t="shared" si="181"/>
        <v>2021LIGHT VEHICLES</v>
      </c>
    </row>
    <row r="3984" spans="3:18" x14ac:dyDescent="0.25">
      <c r="C3984" s="294" t="s">
        <v>1016</v>
      </c>
      <c r="D3984" s="317" t="s">
        <v>754</v>
      </c>
      <c r="E3984" s="122" t="s">
        <v>999</v>
      </c>
      <c r="F3984" s="122" t="s">
        <v>1017</v>
      </c>
      <c r="G3984" s="122" t="s">
        <v>785</v>
      </c>
      <c r="H3984" s="122" t="s">
        <v>777</v>
      </c>
      <c r="I3984" s="312">
        <v>2022</v>
      </c>
      <c r="J3984" s="122" t="s">
        <v>709</v>
      </c>
      <c r="K3984" s="283">
        <v>393</v>
      </c>
      <c r="L3984" s="318">
        <v>-33.654926000000003</v>
      </c>
      <c r="M3984" s="318">
        <v>151.06097399999999</v>
      </c>
      <c r="O3984">
        <f>INDEX('MEC - traffic congestion'!$M$145:$M$249,MATCH($D3984,'MEC - traffic congestion'!$C$145:$C$249,0))</f>
        <v>1</v>
      </c>
      <c r="P3984" t="str">
        <f t="shared" si="179"/>
        <v>2022AM PEAK</v>
      </c>
      <c r="Q3984">
        <f t="shared" si="180"/>
        <v>1</v>
      </c>
      <c r="R3984" s="195" t="str">
        <f t="shared" si="181"/>
        <v>2022LIGHT VEHICLES</v>
      </c>
    </row>
    <row r="3985" spans="3:18" x14ac:dyDescent="0.25">
      <c r="C3985" s="294" t="s">
        <v>1016</v>
      </c>
      <c r="D3985" s="317" t="s">
        <v>754</v>
      </c>
      <c r="E3985" s="122" t="s">
        <v>999</v>
      </c>
      <c r="F3985" s="122" t="s">
        <v>1017</v>
      </c>
      <c r="G3985" s="122" t="s">
        <v>786</v>
      </c>
      <c r="H3985" s="122" t="s">
        <v>777</v>
      </c>
      <c r="I3985" s="312">
        <v>2022</v>
      </c>
      <c r="J3985" s="122" t="s">
        <v>709</v>
      </c>
      <c r="K3985" s="283">
        <v>290</v>
      </c>
      <c r="L3985" s="318">
        <v>-33.654926000000003</v>
      </c>
      <c r="M3985" s="318">
        <v>151.06097399999999</v>
      </c>
      <c r="O3985">
        <f>INDEX('MEC - traffic congestion'!$M$145:$M$249,MATCH($D3985,'MEC - traffic congestion'!$C$145:$C$249,0))</f>
        <v>1</v>
      </c>
      <c r="P3985" t="str">
        <f t="shared" si="179"/>
        <v>2022AM PEAK</v>
      </c>
      <c r="Q3985">
        <f t="shared" si="180"/>
        <v>1</v>
      </c>
      <c r="R3985" s="195" t="str">
        <f t="shared" si="181"/>
        <v>2022LIGHT VEHICLES</v>
      </c>
    </row>
    <row r="3986" spans="3:18" x14ac:dyDescent="0.25">
      <c r="C3986" s="294" t="s">
        <v>1016</v>
      </c>
      <c r="D3986" s="317" t="s">
        <v>754</v>
      </c>
      <c r="E3986" s="122" t="s">
        <v>999</v>
      </c>
      <c r="F3986" s="122" t="s">
        <v>1017</v>
      </c>
      <c r="G3986" s="122" t="s">
        <v>785</v>
      </c>
      <c r="H3986" s="122" t="s">
        <v>777</v>
      </c>
      <c r="I3986" s="312">
        <v>2022</v>
      </c>
      <c r="J3986" s="122" t="s">
        <v>710</v>
      </c>
      <c r="K3986" s="283">
        <v>481</v>
      </c>
      <c r="L3986" s="318">
        <v>-33.654926000000003</v>
      </c>
      <c r="M3986" s="318">
        <v>151.06097399999999</v>
      </c>
      <c r="O3986">
        <f>INDEX('MEC - traffic congestion'!$M$145:$M$249,MATCH($D3986,'MEC - traffic congestion'!$C$145:$C$249,0))</f>
        <v>1</v>
      </c>
      <c r="P3986" t="str">
        <f t="shared" si="179"/>
        <v>2022OFF PEAK</v>
      </c>
      <c r="Q3986">
        <f t="shared" si="180"/>
        <v>1</v>
      </c>
      <c r="R3986" s="195" t="str">
        <f t="shared" si="181"/>
        <v>2022LIGHT VEHICLES</v>
      </c>
    </row>
    <row r="3987" spans="3:18" x14ac:dyDescent="0.25">
      <c r="C3987" s="294" t="s">
        <v>1016</v>
      </c>
      <c r="D3987" s="317" t="s">
        <v>754</v>
      </c>
      <c r="E3987" s="122" t="s">
        <v>999</v>
      </c>
      <c r="F3987" s="122" t="s">
        <v>1017</v>
      </c>
      <c r="G3987" s="122" t="s">
        <v>786</v>
      </c>
      <c r="H3987" s="122" t="s">
        <v>777</v>
      </c>
      <c r="I3987" s="312">
        <v>2022</v>
      </c>
      <c r="J3987" s="122" t="s">
        <v>710</v>
      </c>
      <c r="K3987" s="283">
        <v>541</v>
      </c>
      <c r="L3987" s="318">
        <v>-33.654926000000003</v>
      </c>
      <c r="M3987" s="318">
        <v>151.06097399999999</v>
      </c>
      <c r="O3987">
        <f>INDEX('MEC - traffic congestion'!$M$145:$M$249,MATCH($D3987,'MEC - traffic congestion'!$C$145:$C$249,0))</f>
        <v>1</v>
      </c>
      <c r="P3987" t="str">
        <f t="shared" si="179"/>
        <v>2022OFF PEAK</v>
      </c>
      <c r="Q3987">
        <f t="shared" si="180"/>
        <v>1</v>
      </c>
      <c r="R3987" s="195" t="str">
        <f t="shared" si="181"/>
        <v>2022LIGHT VEHICLES</v>
      </c>
    </row>
    <row r="3988" spans="3:18" x14ac:dyDescent="0.25">
      <c r="C3988" s="294" t="s">
        <v>1016</v>
      </c>
      <c r="D3988" s="317" t="s">
        <v>754</v>
      </c>
      <c r="E3988" s="122" t="s">
        <v>999</v>
      </c>
      <c r="F3988" s="122" t="s">
        <v>1017</v>
      </c>
      <c r="G3988" s="122" t="s">
        <v>785</v>
      </c>
      <c r="H3988" s="122" t="s">
        <v>777</v>
      </c>
      <c r="I3988" s="312">
        <v>2022</v>
      </c>
      <c r="J3988" s="122" t="s">
        <v>711</v>
      </c>
      <c r="K3988" s="283">
        <v>306</v>
      </c>
      <c r="L3988" s="318">
        <v>-33.654926000000003</v>
      </c>
      <c r="M3988" s="318">
        <v>151.06097399999999</v>
      </c>
      <c r="O3988">
        <f>INDEX('MEC - traffic congestion'!$M$145:$M$249,MATCH($D3988,'MEC - traffic congestion'!$C$145:$C$249,0))</f>
        <v>1</v>
      </c>
      <c r="P3988" t="str">
        <f t="shared" si="179"/>
        <v>2022PM PEAK</v>
      </c>
      <c r="Q3988">
        <f t="shared" si="180"/>
        <v>1</v>
      </c>
      <c r="R3988" s="195" t="str">
        <f t="shared" si="181"/>
        <v>2022LIGHT VEHICLES</v>
      </c>
    </row>
    <row r="3989" spans="3:18" x14ac:dyDescent="0.25">
      <c r="C3989" s="294" t="s">
        <v>1016</v>
      </c>
      <c r="D3989" s="317" t="s">
        <v>754</v>
      </c>
      <c r="E3989" s="122" t="s">
        <v>999</v>
      </c>
      <c r="F3989" s="122" t="s">
        <v>1017</v>
      </c>
      <c r="G3989" s="122" t="s">
        <v>786</v>
      </c>
      <c r="H3989" s="122" t="s">
        <v>777</v>
      </c>
      <c r="I3989" s="312">
        <v>2022</v>
      </c>
      <c r="J3989" s="122" t="s">
        <v>711</v>
      </c>
      <c r="K3989" s="283">
        <v>471</v>
      </c>
      <c r="L3989" s="318">
        <v>-33.654926000000003</v>
      </c>
      <c r="M3989" s="318">
        <v>151.06097399999999</v>
      </c>
      <c r="O3989">
        <f>INDEX('MEC - traffic congestion'!$M$145:$M$249,MATCH($D3989,'MEC - traffic congestion'!$C$145:$C$249,0))</f>
        <v>1</v>
      </c>
      <c r="P3989" t="str">
        <f t="shared" ref="P3989:P4052" si="182">IF($O3989=1,$I3989&amp;$J3989,"")</f>
        <v>2022PM PEAK</v>
      </c>
      <c r="Q3989">
        <f t="shared" ref="Q3989:Q4052" si="183">IF(AND($M3989&gt;150.246,AND($L3989&gt;-34.397,$L3989&lt;-32.662)),1,0)</f>
        <v>1</v>
      </c>
      <c r="R3989" s="195" t="str">
        <f t="shared" ref="R3989:R4052" si="184">IF($O3989=1,$I3989&amp;$H3989,"")</f>
        <v>2022LIGHT VEHICLES</v>
      </c>
    </row>
    <row r="3990" spans="3:18" x14ac:dyDescent="0.25">
      <c r="C3990" s="294" t="s">
        <v>1016</v>
      </c>
      <c r="D3990" s="317" t="s">
        <v>754</v>
      </c>
      <c r="E3990" s="122" t="s">
        <v>999</v>
      </c>
      <c r="F3990" s="122" t="s">
        <v>1017</v>
      </c>
      <c r="G3990" s="122" t="s">
        <v>785</v>
      </c>
      <c r="H3990" s="122" t="s">
        <v>777</v>
      </c>
      <c r="I3990" s="312">
        <v>2022</v>
      </c>
      <c r="J3990" s="122" t="s">
        <v>713</v>
      </c>
      <c r="K3990" s="283">
        <v>1158</v>
      </c>
      <c r="L3990" s="318">
        <v>-33.654926000000003</v>
      </c>
      <c r="M3990" s="318">
        <v>151.06097399999999</v>
      </c>
      <c r="O3990">
        <f>INDEX('MEC - traffic congestion'!$M$145:$M$249,MATCH($D3990,'MEC - traffic congestion'!$C$145:$C$249,0))</f>
        <v>1</v>
      </c>
      <c r="P3990" t="str">
        <f t="shared" si="182"/>
        <v>2022WEEKENDS</v>
      </c>
      <c r="Q3990">
        <f t="shared" si="183"/>
        <v>1</v>
      </c>
      <c r="R3990" s="195" t="str">
        <f t="shared" si="184"/>
        <v>2022LIGHT VEHICLES</v>
      </c>
    </row>
    <row r="3991" spans="3:18" x14ac:dyDescent="0.25">
      <c r="C3991" s="294" t="s">
        <v>1016</v>
      </c>
      <c r="D3991" s="317" t="s">
        <v>754</v>
      </c>
      <c r="E3991" s="122" t="s">
        <v>999</v>
      </c>
      <c r="F3991" s="122" t="s">
        <v>1017</v>
      </c>
      <c r="G3991" s="122" t="s">
        <v>786</v>
      </c>
      <c r="H3991" s="122" t="s">
        <v>777</v>
      </c>
      <c r="I3991" s="312">
        <v>2022</v>
      </c>
      <c r="J3991" s="122" t="s">
        <v>713</v>
      </c>
      <c r="K3991" s="283">
        <v>1209</v>
      </c>
      <c r="L3991" s="318">
        <v>-33.654926000000003</v>
      </c>
      <c r="M3991" s="318">
        <v>151.06097399999999</v>
      </c>
      <c r="O3991">
        <f>INDEX('MEC - traffic congestion'!$M$145:$M$249,MATCH($D3991,'MEC - traffic congestion'!$C$145:$C$249,0))</f>
        <v>1</v>
      </c>
      <c r="P3991" t="str">
        <f t="shared" si="182"/>
        <v>2022WEEKENDS</v>
      </c>
      <c r="Q3991">
        <f t="shared" si="183"/>
        <v>1</v>
      </c>
      <c r="R3991" s="195" t="str">
        <f t="shared" si="184"/>
        <v>2022LIGHT VEHICLES</v>
      </c>
    </row>
    <row r="3992" spans="3:18" x14ac:dyDescent="0.25">
      <c r="C3992" s="294" t="s">
        <v>1016</v>
      </c>
      <c r="D3992" s="317" t="s">
        <v>754</v>
      </c>
      <c r="E3992" s="122" t="s">
        <v>999</v>
      </c>
      <c r="F3992" s="122" t="s">
        <v>1017</v>
      </c>
      <c r="G3992" s="122" t="s">
        <v>785</v>
      </c>
      <c r="H3992" s="122" t="s">
        <v>777</v>
      </c>
      <c r="I3992" s="312">
        <v>2023</v>
      </c>
      <c r="J3992" s="122" t="s">
        <v>709</v>
      </c>
      <c r="K3992" s="283">
        <v>714</v>
      </c>
      <c r="L3992" s="318">
        <v>-33.654926000000003</v>
      </c>
      <c r="M3992" s="318">
        <v>151.06097399999999</v>
      </c>
      <c r="O3992">
        <f>INDEX('MEC - traffic congestion'!$M$145:$M$249,MATCH($D3992,'MEC - traffic congestion'!$C$145:$C$249,0))</f>
        <v>1</v>
      </c>
      <c r="P3992" t="str">
        <f t="shared" si="182"/>
        <v>2023AM PEAK</v>
      </c>
      <c r="Q3992">
        <f t="shared" si="183"/>
        <v>1</v>
      </c>
      <c r="R3992" s="195" t="str">
        <f t="shared" si="184"/>
        <v>2023LIGHT VEHICLES</v>
      </c>
    </row>
    <row r="3993" spans="3:18" x14ac:dyDescent="0.25">
      <c r="C3993" s="294" t="s">
        <v>1016</v>
      </c>
      <c r="D3993" s="317" t="s">
        <v>754</v>
      </c>
      <c r="E3993" s="122" t="s">
        <v>999</v>
      </c>
      <c r="F3993" s="122" t="s">
        <v>1017</v>
      </c>
      <c r="G3993" s="122" t="s">
        <v>786</v>
      </c>
      <c r="H3993" s="122" t="s">
        <v>777</v>
      </c>
      <c r="I3993" s="312">
        <v>2023</v>
      </c>
      <c r="J3993" s="122" t="s">
        <v>709</v>
      </c>
      <c r="K3993" s="283">
        <v>455</v>
      </c>
      <c r="L3993" s="318">
        <v>-33.654926000000003</v>
      </c>
      <c r="M3993" s="318">
        <v>151.06097399999999</v>
      </c>
      <c r="O3993">
        <f>INDEX('MEC - traffic congestion'!$M$145:$M$249,MATCH($D3993,'MEC - traffic congestion'!$C$145:$C$249,0))</f>
        <v>1</v>
      </c>
      <c r="P3993" t="str">
        <f t="shared" si="182"/>
        <v>2023AM PEAK</v>
      </c>
      <c r="Q3993">
        <f t="shared" si="183"/>
        <v>1</v>
      </c>
      <c r="R3993" s="195" t="str">
        <f t="shared" si="184"/>
        <v>2023LIGHT VEHICLES</v>
      </c>
    </row>
    <row r="3994" spans="3:18" x14ac:dyDescent="0.25">
      <c r="C3994" s="294" t="s">
        <v>1016</v>
      </c>
      <c r="D3994" s="317" t="s">
        <v>754</v>
      </c>
      <c r="E3994" s="122" t="s">
        <v>999</v>
      </c>
      <c r="F3994" s="122" t="s">
        <v>1017</v>
      </c>
      <c r="G3994" s="122" t="s">
        <v>785</v>
      </c>
      <c r="H3994" s="122" t="s">
        <v>777</v>
      </c>
      <c r="I3994" s="312">
        <v>2023</v>
      </c>
      <c r="J3994" s="122" t="s">
        <v>710</v>
      </c>
      <c r="K3994" s="283">
        <v>759</v>
      </c>
      <c r="L3994" s="318">
        <v>-33.654926000000003</v>
      </c>
      <c r="M3994" s="318">
        <v>151.06097399999999</v>
      </c>
      <c r="O3994">
        <f>INDEX('MEC - traffic congestion'!$M$145:$M$249,MATCH($D3994,'MEC - traffic congestion'!$C$145:$C$249,0))</f>
        <v>1</v>
      </c>
      <c r="P3994" t="str">
        <f t="shared" si="182"/>
        <v>2023OFF PEAK</v>
      </c>
      <c r="Q3994">
        <f t="shared" si="183"/>
        <v>1</v>
      </c>
      <c r="R3994" s="195" t="str">
        <f t="shared" si="184"/>
        <v>2023LIGHT VEHICLES</v>
      </c>
    </row>
    <row r="3995" spans="3:18" x14ac:dyDescent="0.25">
      <c r="C3995" s="294" t="s">
        <v>1016</v>
      </c>
      <c r="D3995" s="317" t="s">
        <v>754</v>
      </c>
      <c r="E3995" s="122" t="s">
        <v>999</v>
      </c>
      <c r="F3995" s="122" t="s">
        <v>1017</v>
      </c>
      <c r="G3995" s="122" t="s">
        <v>786</v>
      </c>
      <c r="H3995" s="122" t="s">
        <v>777</v>
      </c>
      <c r="I3995" s="312">
        <v>2023</v>
      </c>
      <c r="J3995" s="122" t="s">
        <v>710</v>
      </c>
      <c r="K3995" s="283">
        <v>842</v>
      </c>
      <c r="L3995" s="318">
        <v>-33.654926000000003</v>
      </c>
      <c r="M3995" s="318">
        <v>151.06097399999999</v>
      </c>
      <c r="O3995">
        <f>INDEX('MEC - traffic congestion'!$M$145:$M$249,MATCH($D3995,'MEC - traffic congestion'!$C$145:$C$249,0))</f>
        <v>1</v>
      </c>
      <c r="P3995" t="str">
        <f t="shared" si="182"/>
        <v>2023OFF PEAK</v>
      </c>
      <c r="Q3995">
        <f t="shared" si="183"/>
        <v>1</v>
      </c>
      <c r="R3995" s="195" t="str">
        <f t="shared" si="184"/>
        <v>2023LIGHT VEHICLES</v>
      </c>
    </row>
    <row r="3996" spans="3:18" x14ac:dyDescent="0.25">
      <c r="C3996" s="294" t="s">
        <v>1016</v>
      </c>
      <c r="D3996" s="317" t="s">
        <v>754</v>
      </c>
      <c r="E3996" s="122" t="s">
        <v>999</v>
      </c>
      <c r="F3996" s="122" t="s">
        <v>1017</v>
      </c>
      <c r="G3996" s="122" t="s">
        <v>785</v>
      </c>
      <c r="H3996" s="122" t="s">
        <v>777</v>
      </c>
      <c r="I3996" s="312">
        <v>2023</v>
      </c>
      <c r="J3996" s="122" t="s">
        <v>711</v>
      </c>
      <c r="K3996" s="283">
        <v>512</v>
      </c>
      <c r="L3996" s="318">
        <v>-33.654926000000003</v>
      </c>
      <c r="M3996" s="318">
        <v>151.06097399999999</v>
      </c>
      <c r="O3996">
        <f>INDEX('MEC - traffic congestion'!$M$145:$M$249,MATCH($D3996,'MEC - traffic congestion'!$C$145:$C$249,0))</f>
        <v>1</v>
      </c>
      <c r="P3996" t="str">
        <f t="shared" si="182"/>
        <v>2023PM PEAK</v>
      </c>
      <c r="Q3996">
        <f t="shared" si="183"/>
        <v>1</v>
      </c>
      <c r="R3996" s="195" t="str">
        <f t="shared" si="184"/>
        <v>2023LIGHT VEHICLES</v>
      </c>
    </row>
    <row r="3997" spans="3:18" x14ac:dyDescent="0.25">
      <c r="C3997" s="294" t="s">
        <v>1016</v>
      </c>
      <c r="D3997" s="317" t="s">
        <v>754</v>
      </c>
      <c r="E3997" s="122" t="s">
        <v>999</v>
      </c>
      <c r="F3997" s="122" t="s">
        <v>1017</v>
      </c>
      <c r="G3997" s="122" t="s">
        <v>786</v>
      </c>
      <c r="H3997" s="122" t="s">
        <v>777</v>
      </c>
      <c r="I3997" s="312">
        <v>2023</v>
      </c>
      <c r="J3997" s="122" t="s">
        <v>711</v>
      </c>
      <c r="K3997" s="283">
        <v>854</v>
      </c>
      <c r="L3997" s="318">
        <v>-33.654926000000003</v>
      </c>
      <c r="M3997" s="318">
        <v>151.06097399999999</v>
      </c>
      <c r="O3997">
        <f>INDEX('MEC - traffic congestion'!$M$145:$M$249,MATCH($D3997,'MEC - traffic congestion'!$C$145:$C$249,0))</f>
        <v>1</v>
      </c>
      <c r="P3997" t="str">
        <f t="shared" si="182"/>
        <v>2023PM PEAK</v>
      </c>
      <c r="Q3997">
        <f t="shared" si="183"/>
        <v>1</v>
      </c>
      <c r="R3997" s="195" t="str">
        <f t="shared" si="184"/>
        <v>2023LIGHT VEHICLES</v>
      </c>
    </row>
    <row r="3998" spans="3:18" x14ac:dyDescent="0.25">
      <c r="C3998" s="294" t="s">
        <v>1016</v>
      </c>
      <c r="D3998" s="317" t="s">
        <v>754</v>
      </c>
      <c r="E3998" s="122" t="s">
        <v>999</v>
      </c>
      <c r="F3998" s="122" t="s">
        <v>1017</v>
      </c>
      <c r="G3998" s="122" t="s">
        <v>785</v>
      </c>
      <c r="H3998" s="122" t="s">
        <v>777</v>
      </c>
      <c r="I3998" s="312">
        <v>2023</v>
      </c>
      <c r="J3998" s="122" t="s">
        <v>713</v>
      </c>
      <c r="K3998" s="283">
        <v>1776</v>
      </c>
      <c r="L3998" s="318">
        <v>-33.654926000000003</v>
      </c>
      <c r="M3998" s="318">
        <v>151.06097399999999</v>
      </c>
      <c r="O3998">
        <f>INDEX('MEC - traffic congestion'!$M$145:$M$249,MATCH($D3998,'MEC - traffic congestion'!$C$145:$C$249,0))</f>
        <v>1</v>
      </c>
      <c r="P3998" t="str">
        <f t="shared" si="182"/>
        <v>2023WEEKENDS</v>
      </c>
      <c r="Q3998">
        <f t="shared" si="183"/>
        <v>1</v>
      </c>
      <c r="R3998" s="195" t="str">
        <f t="shared" si="184"/>
        <v>2023LIGHT VEHICLES</v>
      </c>
    </row>
    <row r="3999" spans="3:18" x14ac:dyDescent="0.25">
      <c r="C3999" s="294" t="s">
        <v>1016</v>
      </c>
      <c r="D3999" s="317" t="s">
        <v>754</v>
      </c>
      <c r="E3999" s="122" t="s">
        <v>999</v>
      </c>
      <c r="F3999" s="122" t="s">
        <v>1017</v>
      </c>
      <c r="G3999" s="122" t="s">
        <v>786</v>
      </c>
      <c r="H3999" s="122" t="s">
        <v>777</v>
      </c>
      <c r="I3999" s="312">
        <v>2023</v>
      </c>
      <c r="J3999" s="122" t="s">
        <v>713</v>
      </c>
      <c r="K3999" s="283">
        <v>1878</v>
      </c>
      <c r="L3999" s="318">
        <v>-33.654926000000003</v>
      </c>
      <c r="M3999" s="318">
        <v>151.06097399999999</v>
      </c>
      <c r="O3999">
        <f>INDEX('MEC - traffic congestion'!$M$145:$M$249,MATCH($D3999,'MEC - traffic congestion'!$C$145:$C$249,0))</f>
        <v>1</v>
      </c>
      <c r="P3999" t="str">
        <f t="shared" si="182"/>
        <v>2023WEEKENDS</v>
      </c>
      <c r="Q3999">
        <f t="shared" si="183"/>
        <v>1</v>
      </c>
      <c r="R3999" s="195" t="str">
        <f t="shared" si="184"/>
        <v>2023LIGHT VEHICLES</v>
      </c>
    </row>
    <row r="4000" spans="3:18" x14ac:dyDescent="0.25">
      <c r="C4000" s="294" t="s">
        <v>1016</v>
      </c>
      <c r="D4000" s="317" t="s">
        <v>754</v>
      </c>
      <c r="E4000" s="122" t="s">
        <v>999</v>
      </c>
      <c r="F4000" s="122" t="s">
        <v>1017</v>
      </c>
      <c r="G4000" s="122" t="s">
        <v>785</v>
      </c>
      <c r="H4000" s="122" t="s">
        <v>777</v>
      </c>
      <c r="I4000" s="312">
        <v>2024</v>
      </c>
      <c r="J4000" s="122" t="s">
        <v>709</v>
      </c>
      <c r="K4000" s="283">
        <v>732</v>
      </c>
      <c r="L4000" s="318">
        <v>-33.654926000000003</v>
      </c>
      <c r="M4000" s="318">
        <v>151.06097399999999</v>
      </c>
      <c r="O4000">
        <f>INDEX('MEC - traffic congestion'!$M$145:$M$249,MATCH($D4000,'MEC - traffic congestion'!$C$145:$C$249,0))</f>
        <v>1</v>
      </c>
      <c r="P4000" t="str">
        <f t="shared" si="182"/>
        <v>2024AM PEAK</v>
      </c>
      <c r="Q4000">
        <f t="shared" si="183"/>
        <v>1</v>
      </c>
      <c r="R4000" s="195" t="str">
        <f t="shared" si="184"/>
        <v>2024LIGHT VEHICLES</v>
      </c>
    </row>
    <row r="4001" spans="3:18" x14ac:dyDescent="0.25">
      <c r="C4001" s="294" t="s">
        <v>1016</v>
      </c>
      <c r="D4001" s="317" t="s">
        <v>754</v>
      </c>
      <c r="E4001" s="122" t="s">
        <v>999</v>
      </c>
      <c r="F4001" s="122" t="s">
        <v>1017</v>
      </c>
      <c r="G4001" s="122" t="s">
        <v>786</v>
      </c>
      <c r="H4001" s="122" t="s">
        <v>777</v>
      </c>
      <c r="I4001" s="312">
        <v>2024</v>
      </c>
      <c r="J4001" s="122" t="s">
        <v>709</v>
      </c>
      <c r="K4001" s="283">
        <v>447</v>
      </c>
      <c r="L4001" s="318">
        <v>-33.654926000000003</v>
      </c>
      <c r="M4001" s="318">
        <v>151.06097399999999</v>
      </c>
      <c r="O4001">
        <f>INDEX('MEC - traffic congestion'!$M$145:$M$249,MATCH($D4001,'MEC - traffic congestion'!$C$145:$C$249,0))</f>
        <v>1</v>
      </c>
      <c r="P4001" t="str">
        <f t="shared" si="182"/>
        <v>2024AM PEAK</v>
      </c>
      <c r="Q4001">
        <f t="shared" si="183"/>
        <v>1</v>
      </c>
      <c r="R4001" s="195" t="str">
        <f t="shared" si="184"/>
        <v>2024LIGHT VEHICLES</v>
      </c>
    </row>
    <row r="4002" spans="3:18" x14ac:dyDescent="0.25">
      <c r="C4002" s="294" t="s">
        <v>1016</v>
      </c>
      <c r="D4002" s="317" t="s">
        <v>754</v>
      </c>
      <c r="E4002" s="122" t="s">
        <v>999</v>
      </c>
      <c r="F4002" s="122" t="s">
        <v>1017</v>
      </c>
      <c r="G4002" s="122" t="s">
        <v>785</v>
      </c>
      <c r="H4002" s="122" t="s">
        <v>777</v>
      </c>
      <c r="I4002" s="312">
        <v>2024</v>
      </c>
      <c r="J4002" s="122" t="s">
        <v>710</v>
      </c>
      <c r="K4002" s="283">
        <v>781</v>
      </c>
      <c r="L4002" s="318">
        <v>-33.654926000000003</v>
      </c>
      <c r="M4002" s="318">
        <v>151.06097399999999</v>
      </c>
      <c r="O4002">
        <f>INDEX('MEC - traffic congestion'!$M$145:$M$249,MATCH($D4002,'MEC - traffic congestion'!$C$145:$C$249,0))</f>
        <v>1</v>
      </c>
      <c r="P4002" t="str">
        <f t="shared" si="182"/>
        <v>2024OFF PEAK</v>
      </c>
      <c r="Q4002">
        <f t="shared" si="183"/>
        <v>1</v>
      </c>
      <c r="R4002" s="195" t="str">
        <f t="shared" si="184"/>
        <v>2024LIGHT VEHICLES</v>
      </c>
    </row>
    <row r="4003" spans="3:18" x14ac:dyDescent="0.25">
      <c r="C4003" s="294" t="s">
        <v>1016</v>
      </c>
      <c r="D4003" s="317" t="s">
        <v>754</v>
      </c>
      <c r="E4003" s="122" t="s">
        <v>999</v>
      </c>
      <c r="F4003" s="122" t="s">
        <v>1017</v>
      </c>
      <c r="G4003" s="122" t="s">
        <v>786</v>
      </c>
      <c r="H4003" s="122" t="s">
        <v>777</v>
      </c>
      <c r="I4003" s="312">
        <v>2024</v>
      </c>
      <c r="J4003" s="122" t="s">
        <v>710</v>
      </c>
      <c r="K4003" s="283">
        <v>867</v>
      </c>
      <c r="L4003" s="318">
        <v>-33.654926000000003</v>
      </c>
      <c r="M4003" s="318">
        <v>151.06097399999999</v>
      </c>
      <c r="O4003">
        <f>INDEX('MEC - traffic congestion'!$M$145:$M$249,MATCH($D4003,'MEC - traffic congestion'!$C$145:$C$249,0))</f>
        <v>1</v>
      </c>
      <c r="P4003" t="str">
        <f t="shared" si="182"/>
        <v>2024OFF PEAK</v>
      </c>
      <c r="Q4003">
        <f t="shared" si="183"/>
        <v>1</v>
      </c>
      <c r="R4003" s="195" t="str">
        <f t="shared" si="184"/>
        <v>2024LIGHT VEHICLES</v>
      </c>
    </row>
    <row r="4004" spans="3:18" x14ac:dyDescent="0.25">
      <c r="C4004" s="294" t="s">
        <v>1016</v>
      </c>
      <c r="D4004" s="317" t="s">
        <v>754</v>
      </c>
      <c r="E4004" s="122" t="s">
        <v>999</v>
      </c>
      <c r="F4004" s="122" t="s">
        <v>1017</v>
      </c>
      <c r="G4004" s="122" t="s">
        <v>785</v>
      </c>
      <c r="H4004" s="122" t="s">
        <v>777</v>
      </c>
      <c r="I4004" s="312">
        <v>2024</v>
      </c>
      <c r="J4004" s="122" t="s">
        <v>711</v>
      </c>
      <c r="K4004" s="283">
        <v>510</v>
      </c>
      <c r="L4004" s="318">
        <v>-33.654926000000003</v>
      </c>
      <c r="M4004" s="318">
        <v>151.06097399999999</v>
      </c>
      <c r="O4004">
        <f>INDEX('MEC - traffic congestion'!$M$145:$M$249,MATCH($D4004,'MEC - traffic congestion'!$C$145:$C$249,0))</f>
        <v>1</v>
      </c>
      <c r="P4004" t="str">
        <f t="shared" si="182"/>
        <v>2024PM PEAK</v>
      </c>
      <c r="Q4004">
        <f t="shared" si="183"/>
        <v>1</v>
      </c>
      <c r="R4004" s="195" t="str">
        <f t="shared" si="184"/>
        <v>2024LIGHT VEHICLES</v>
      </c>
    </row>
    <row r="4005" spans="3:18" x14ac:dyDescent="0.25">
      <c r="C4005" s="294" t="s">
        <v>1016</v>
      </c>
      <c r="D4005" s="317" t="s">
        <v>754</v>
      </c>
      <c r="E4005" s="122" t="s">
        <v>999</v>
      </c>
      <c r="F4005" s="122" t="s">
        <v>1017</v>
      </c>
      <c r="G4005" s="122" t="s">
        <v>786</v>
      </c>
      <c r="H4005" s="122" t="s">
        <v>777</v>
      </c>
      <c r="I4005" s="312">
        <v>2024</v>
      </c>
      <c r="J4005" s="122" t="s">
        <v>711</v>
      </c>
      <c r="K4005" s="283">
        <v>860</v>
      </c>
      <c r="L4005" s="318">
        <v>-33.654926000000003</v>
      </c>
      <c r="M4005" s="318">
        <v>151.06097399999999</v>
      </c>
      <c r="O4005">
        <f>INDEX('MEC - traffic congestion'!$M$145:$M$249,MATCH($D4005,'MEC - traffic congestion'!$C$145:$C$249,0))</f>
        <v>1</v>
      </c>
      <c r="P4005" t="str">
        <f t="shared" si="182"/>
        <v>2024PM PEAK</v>
      </c>
      <c r="Q4005">
        <f t="shared" si="183"/>
        <v>1</v>
      </c>
      <c r="R4005" s="195" t="str">
        <f t="shared" si="184"/>
        <v>2024LIGHT VEHICLES</v>
      </c>
    </row>
    <row r="4006" spans="3:18" x14ac:dyDescent="0.25">
      <c r="C4006" s="294" t="s">
        <v>1016</v>
      </c>
      <c r="D4006" s="317" t="s">
        <v>754</v>
      </c>
      <c r="E4006" s="122" t="s">
        <v>999</v>
      </c>
      <c r="F4006" s="122" t="s">
        <v>1017</v>
      </c>
      <c r="G4006" s="122" t="s">
        <v>785</v>
      </c>
      <c r="H4006" s="122" t="s">
        <v>777</v>
      </c>
      <c r="I4006" s="312">
        <v>2024</v>
      </c>
      <c r="J4006" s="122" t="s">
        <v>713</v>
      </c>
      <c r="K4006" s="283">
        <v>1753</v>
      </c>
      <c r="L4006" s="318">
        <v>-33.654926000000003</v>
      </c>
      <c r="M4006" s="318">
        <v>151.06097399999999</v>
      </c>
      <c r="O4006">
        <f>INDEX('MEC - traffic congestion'!$M$145:$M$249,MATCH($D4006,'MEC - traffic congestion'!$C$145:$C$249,0))</f>
        <v>1</v>
      </c>
      <c r="P4006" t="str">
        <f t="shared" si="182"/>
        <v>2024WEEKENDS</v>
      </c>
      <c r="Q4006">
        <f t="shared" si="183"/>
        <v>1</v>
      </c>
      <c r="R4006" s="195" t="str">
        <f t="shared" si="184"/>
        <v>2024LIGHT VEHICLES</v>
      </c>
    </row>
    <row r="4007" spans="3:18" x14ac:dyDescent="0.25">
      <c r="C4007" s="294" t="s">
        <v>1016</v>
      </c>
      <c r="D4007" s="317" t="s">
        <v>754</v>
      </c>
      <c r="E4007" s="122" t="s">
        <v>999</v>
      </c>
      <c r="F4007" s="122" t="s">
        <v>1017</v>
      </c>
      <c r="G4007" s="122" t="s">
        <v>786</v>
      </c>
      <c r="H4007" s="122" t="s">
        <v>777</v>
      </c>
      <c r="I4007" s="312">
        <v>2024</v>
      </c>
      <c r="J4007" s="122" t="s">
        <v>713</v>
      </c>
      <c r="K4007" s="283">
        <v>1892</v>
      </c>
      <c r="L4007" s="318">
        <v>-33.654926000000003</v>
      </c>
      <c r="M4007" s="318">
        <v>151.06097399999999</v>
      </c>
      <c r="O4007">
        <f>INDEX('MEC - traffic congestion'!$M$145:$M$249,MATCH($D4007,'MEC - traffic congestion'!$C$145:$C$249,0))</f>
        <v>1</v>
      </c>
      <c r="P4007" t="str">
        <f t="shared" si="182"/>
        <v>2024WEEKENDS</v>
      </c>
      <c r="Q4007">
        <f t="shared" si="183"/>
        <v>1</v>
      </c>
      <c r="R4007" s="195" t="str">
        <f t="shared" si="184"/>
        <v>2024LIGHT VEHICLES</v>
      </c>
    </row>
    <row r="4008" spans="3:18" x14ac:dyDescent="0.25">
      <c r="C4008" s="294" t="s">
        <v>1018</v>
      </c>
      <c r="D4008" s="317" t="s">
        <v>755</v>
      </c>
      <c r="E4008" s="122" t="s">
        <v>999</v>
      </c>
      <c r="F4008" s="122" t="s">
        <v>1017</v>
      </c>
      <c r="G4008" s="122" t="s">
        <v>785</v>
      </c>
      <c r="H4008" s="122" t="s">
        <v>777</v>
      </c>
      <c r="I4008" s="312">
        <v>2018</v>
      </c>
      <c r="J4008" s="122" t="s">
        <v>709</v>
      </c>
      <c r="K4008" s="283">
        <v>1187</v>
      </c>
      <c r="L4008" s="318">
        <v>-33.655560000000001</v>
      </c>
      <c r="M4008" s="318">
        <v>151.063828</v>
      </c>
      <c r="O4008">
        <f>INDEX('MEC - traffic congestion'!$M$145:$M$249,MATCH($D4008,'MEC - traffic congestion'!$C$145:$C$249,0))</f>
        <v>1</v>
      </c>
      <c r="P4008" t="str">
        <f t="shared" si="182"/>
        <v>2018AM PEAK</v>
      </c>
      <c r="Q4008">
        <f t="shared" si="183"/>
        <v>1</v>
      </c>
      <c r="R4008" s="195" t="str">
        <f t="shared" si="184"/>
        <v>2018LIGHT VEHICLES</v>
      </c>
    </row>
    <row r="4009" spans="3:18" x14ac:dyDescent="0.25">
      <c r="C4009" s="294" t="s">
        <v>1018</v>
      </c>
      <c r="D4009" s="317" t="s">
        <v>755</v>
      </c>
      <c r="E4009" s="122" t="s">
        <v>999</v>
      </c>
      <c r="F4009" s="122" t="s">
        <v>1017</v>
      </c>
      <c r="G4009" s="122" t="s">
        <v>786</v>
      </c>
      <c r="H4009" s="122" t="s">
        <v>777</v>
      </c>
      <c r="I4009" s="312">
        <v>2018</v>
      </c>
      <c r="J4009" s="122" t="s">
        <v>709</v>
      </c>
      <c r="K4009" s="283">
        <v>704</v>
      </c>
      <c r="L4009" s="318">
        <v>-33.655560000000001</v>
      </c>
      <c r="M4009" s="318">
        <v>151.063828</v>
      </c>
      <c r="O4009">
        <f>INDEX('MEC - traffic congestion'!$M$145:$M$249,MATCH($D4009,'MEC - traffic congestion'!$C$145:$C$249,0))</f>
        <v>1</v>
      </c>
      <c r="P4009" t="str">
        <f t="shared" si="182"/>
        <v>2018AM PEAK</v>
      </c>
      <c r="Q4009">
        <f t="shared" si="183"/>
        <v>1</v>
      </c>
      <c r="R4009" s="195" t="str">
        <f t="shared" si="184"/>
        <v>2018LIGHT VEHICLES</v>
      </c>
    </row>
    <row r="4010" spans="3:18" x14ac:dyDescent="0.25">
      <c r="C4010" s="294" t="s">
        <v>1018</v>
      </c>
      <c r="D4010" s="317" t="s">
        <v>755</v>
      </c>
      <c r="E4010" s="122" t="s">
        <v>999</v>
      </c>
      <c r="F4010" s="122" t="s">
        <v>1017</v>
      </c>
      <c r="G4010" s="122" t="s">
        <v>785</v>
      </c>
      <c r="H4010" s="122" t="s">
        <v>777</v>
      </c>
      <c r="I4010" s="312">
        <v>2018</v>
      </c>
      <c r="J4010" s="122" t="s">
        <v>710</v>
      </c>
      <c r="K4010" s="283">
        <v>919</v>
      </c>
      <c r="L4010" s="318">
        <v>-33.655560000000001</v>
      </c>
      <c r="M4010" s="318">
        <v>151.063828</v>
      </c>
      <c r="O4010">
        <f>INDEX('MEC - traffic congestion'!$M$145:$M$249,MATCH($D4010,'MEC - traffic congestion'!$C$145:$C$249,0))</f>
        <v>1</v>
      </c>
      <c r="P4010" t="str">
        <f t="shared" si="182"/>
        <v>2018OFF PEAK</v>
      </c>
      <c r="Q4010">
        <f t="shared" si="183"/>
        <v>1</v>
      </c>
      <c r="R4010" s="195" t="str">
        <f t="shared" si="184"/>
        <v>2018LIGHT VEHICLES</v>
      </c>
    </row>
    <row r="4011" spans="3:18" x14ac:dyDescent="0.25">
      <c r="C4011" s="294" t="s">
        <v>1018</v>
      </c>
      <c r="D4011" s="317" t="s">
        <v>755</v>
      </c>
      <c r="E4011" s="122" t="s">
        <v>999</v>
      </c>
      <c r="F4011" s="122" t="s">
        <v>1017</v>
      </c>
      <c r="G4011" s="122" t="s">
        <v>786</v>
      </c>
      <c r="H4011" s="122" t="s">
        <v>777</v>
      </c>
      <c r="I4011" s="312">
        <v>2018</v>
      </c>
      <c r="J4011" s="122" t="s">
        <v>710</v>
      </c>
      <c r="K4011" s="283">
        <v>1086</v>
      </c>
      <c r="L4011" s="318">
        <v>-33.655560000000001</v>
      </c>
      <c r="M4011" s="318">
        <v>151.063828</v>
      </c>
      <c r="O4011">
        <f>INDEX('MEC - traffic congestion'!$M$145:$M$249,MATCH($D4011,'MEC - traffic congestion'!$C$145:$C$249,0))</f>
        <v>1</v>
      </c>
      <c r="P4011" t="str">
        <f t="shared" si="182"/>
        <v>2018OFF PEAK</v>
      </c>
      <c r="Q4011">
        <f t="shared" si="183"/>
        <v>1</v>
      </c>
      <c r="R4011" s="195" t="str">
        <f t="shared" si="184"/>
        <v>2018LIGHT VEHICLES</v>
      </c>
    </row>
    <row r="4012" spans="3:18" x14ac:dyDescent="0.25">
      <c r="C4012" s="294" t="s">
        <v>1018</v>
      </c>
      <c r="D4012" s="317" t="s">
        <v>755</v>
      </c>
      <c r="E4012" s="122" t="s">
        <v>999</v>
      </c>
      <c r="F4012" s="122" t="s">
        <v>1017</v>
      </c>
      <c r="G4012" s="122" t="s">
        <v>785</v>
      </c>
      <c r="H4012" s="122" t="s">
        <v>777</v>
      </c>
      <c r="I4012" s="312">
        <v>2018</v>
      </c>
      <c r="J4012" s="122" t="s">
        <v>711</v>
      </c>
      <c r="K4012" s="283">
        <v>737</v>
      </c>
      <c r="L4012" s="318">
        <v>-33.655560000000001</v>
      </c>
      <c r="M4012" s="318">
        <v>151.063828</v>
      </c>
      <c r="O4012">
        <f>INDEX('MEC - traffic congestion'!$M$145:$M$249,MATCH($D4012,'MEC - traffic congestion'!$C$145:$C$249,0))</f>
        <v>1</v>
      </c>
      <c r="P4012" t="str">
        <f t="shared" si="182"/>
        <v>2018PM PEAK</v>
      </c>
      <c r="Q4012">
        <f t="shared" si="183"/>
        <v>1</v>
      </c>
      <c r="R4012" s="195" t="str">
        <f t="shared" si="184"/>
        <v>2018LIGHT VEHICLES</v>
      </c>
    </row>
    <row r="4013" spans="3:18" x14ac:dyDescent="0.25">
      <c r="C4013" s="294" t="s">
        <v>1018</v>
      </c>
      <c r="D4013" s="317" t="s">
        <v>755</v>
      </c>
      <c r="E4013" s="122" t="s">
        <v>999</v>
      </c>
      <c r="F4013" s="122" t="s">
        <v>1017</v>
      </c>
      <c r="G4013" s="122" t="s">
        <v>786</v>
      </c>
      <c r="H4013" s="122" t="s">
        <v>777</v>
      </c>
      <c r="I4013" s="312">
        <v>2018</v>
      </c>
      <c r="J4013" s="122" t="s">
        <v>711</v>
      </c>
      <c r="K4013" s="283">
        <v>1322</v>
      </c>
      <c r="L4013" s="318">
        <v>-33.655560000000001</v>
      </c>
      <c r="M4013" s="318">
        <v>151.063828</v>
      </c>
      <c r="O4013">
        <f>INDEX('MEC - traffic congestion'!$M$145:$M$249,MATCH($D4013,'MEC - traffic congestion'!$C$145:$C$249,0))</f>
        <v>1</v>
      </c>
      <c r="P4013" t="str">
        <f t="shared" si="182"/>
        <v>2018PM PEAK</v>
      </c>
      <c r="Q4013">
        <f t="shared" si="183"/>
        <v>1</v>
      </c>
      <c r="R4013" s="195" t="str">
        <f t="shared" si="184"/>
        <v>2018LIGHT VEHICLES</v>
      </c>
    </row>
    <row r="4014" spans="3:18" x14ac:dyDescent="0.25">
      <c r="C4014" s="294" t="s">
        <v>1018</v>
      </c>
      <c r="D4014" s="317" t="s">
        <v>755</v>
      </c>
      <c r="E4014" s="122" t="s">
        <v>999</v>
      </c>
      <c r="F4014" s="122" t="s">
        <v>1017</v>
      </c>
      <c r="G4014" s="122" t="s">
        <v>785</v>
      </c>
      <c r="H4014" s="122" t="s">
        <v>777</v>
      </c>
      <c r="I4014" s="312">
        <v>2018</v>
      </c>
      <c r="J4014" s="122" t="s">
        <v>712</v>
      </c>
      <c r="K4014" s="283">
        <v>2087</v>
      </c>
      <c r="L4014" s="318">
        <v>-33.655560000000001</v>
      </c>
      <c r="M4014" s="318">
        <v>151.063828</v>
      </c>
      <c r="O4014">
        <f>INDEX('MEC - traffic congestion'!$M$145:$M$249,MATCH($D4014,'MEC - traffic congestion'!$C$145:$C$249,0))</f>
        <v>1</v>
      </c>
      <c r="P4014" t="str">
        <f t="shared" si="182"/>
        <v>2018PUBLIC HOLIDAYS</v>
      </c>
      <c r="Q4014">
        <f t="shared" si="183"/>
        <v>1</v>
      </c>
      <c r="R4014" s="195" t="str">
        <f t="shared" si="184"/>
        <v>2018LIGHT VEHICLES</v>
      </c>
    </row>
    <row r="4015" spans="3:18" x14ac:dyDescent="0.25">
      <c r="C4015" s="294" t="s">
        <v>1018</v>
      </c>
      <c r="D4015" s="317" t="s">
        <v>755</v>
      </c>
      <c r="E4015" s="122" t="s">
        <v>999</v>
      </c>
      <c r="F4015" s="122" t="s">
        <v>1017</v>
      </c>
      <c r="G4015" s="122" t="s">
        <v>786</v>
      </c>
      <c r="H4015" s="122" t="s">
        <v>777</v>
      </c>
      <c r="I4015" s="312">
        <v>2018</v>
      </c>
      <c r="J4015" s="122" t="s">
        <v>712</v>
      </c>
      <c r="K4015" s="283">
        <v>2056</v>
      </c>
      <c r="L4015" s="318">
        <v>-33.655560000000001</v>
      </c>
      <c r="M4015" s="318">
        <v>151.063828</v>
      </c>
      <c r="O4015">
        <f>INDEX('MEC - traffic congestion'!$M$145:$M$249,MATCH($D4015,'MEC - traffic congestion'!$C$145:$C$249,0))</f>
        <v>1</v>
      </c>
      <c r="P4015" t="str">
        <f t="shared" si="182"/>
        <v>2018PUBLIC HOLIDAYS</v>
      </c>
      <c r="Q4015">
        <f t="shared" si="183"/>
        <v>1</v>
      </c>
      <c r="R4015" s="195" t="str">
        <f t="shared" si="184"/>
        <v>2018LIGHT VEHICLES</v>
      </c>
    </row>
    <row r="4016" spans="3:18" x14ac:dyDescent="0.25">
      <c r="C4016" s="294" t="s">
        <v>1018</v>
      </c>
      <c r="D4016" s="317" t="s">
        <v>755</v>
      </c>
      <c r="E4016" s="122" t="s">
        <v>999</v>
      </c>
      <c r="F4016" s="122" t="s">
        <v>1017</v>
      </c>
      <c r="G4016" s="122" t="s">
        <v>785</v>
      </c>
      <c r="H4016" s="122" t="s">
        <v>777</v>
      </c>
      <c r="I4016" s="312">
        <v>2018</v>
      </c>
      <c r="J4016" s="122" t="s">
        <v>713</v>
      </c>
      <c r="K4016" s="283">
        <v>2200</v>
      </c>
      <c r="L4016" s="318">
        <v>-33.655560000000001</v>
      </c>
      <c r="M4016" s="318">
        <v>151.063828</v>
      </c>
      <c r="O4016">
        <f>INDEX('MEC - traffic congestion'!$M$145:$M$249,MATCH($D4016,'MEC - traffic congestion'!$C$145:$C$249,0))</f>
        <v>1</v>
      </c>
      <c r="P4016" t="str">
        <f t="shared" si="182"/>
        <v>2018WEEKENDS</v>
      </c>
      <c r="Q4016">
        <f t="shared" si="183"/>
        <v>1</v>
      </c>
      <c r="R4016" s="195" t="str">
        <f t="shared" si="184"/>
        <v>2018LIGHT VEHICLES</v>
      </c>
    </row>
    <row r="4017" spans="3:18" x14ac:dyDescent="0.25">
      <c r="C4017" s="294" t="s">
        <v>1018</v>
      </c>
      <c r="D4017" s="317" t="s">
        <v>755</v>
      </c>
      <c r="E4017" s="122" t="s">
        <v>999</v>
      </c>
      <c r="F4017" s="122" t="s">
        <v>1017</v>
      </c>
      <c r="G4017" s="122" t="s">
        <v>786</v>
      </c>
      <c r="H4017" s="122" t="s">
        <v>777</v>
      </c>
      <c r="I4017" s="312">
        <v>2018</v>
      </c>
      <c r="J4017" s="122" t="s">
        <v>713</v>
      </c>
      <c r="K4017" s="283">
        <v>2333</v>
      </c>
      <c r="L4017" s="318">
        <v>-33.655560000000001</v>
      </c>
      <c r="M4017" s="318">
        <v>151.063828</v>
      </c>
      <c r="O4017">
        <f>INDEX('MEC - traffic congestion'!$M$145:$M$249,MATCH($D4017,'MEC - traffic congestion'!$C$145:$C$249,0))</f>
        <v>1</v>
      </c>
      <c r="P4017" t="str">
        <f t="shared" si="182"/>
        <v>2018WEEKENDS</v>
      </c>
      <c r="Q4017">
        <f t="shared" si="183"/>
        <v>1</v>
      </c>
      <c r="R4017" s="195" t="str">
        <f t="shared" si="184"/>
        <v>2018LIGHT VEHICLES</v>
      </c>
    </row>
    <row r="4018" spans="3:18" x14ac:dyDescent="0.25">
      <c r="C4018" s="294" t="s">
        <v>1018</v>
      </c>
      <c r="D4018" s="317" t="s">
        <v>755</v>
      </c>
      <c r="E4018" s="122" t="s">
        <v>999</v>
      </c>
      <c r="F4018" s="122" t="s">
        <v>1017</v>
      </c>
      <c r="G4018" s="122" t="s">
        <v>785</v>
      </c>
      <c r="H4018" s="122" t="s">
        <v>777</v>
      </c>
      <c r="I4018" s="312">
        <v>2019</v>
      </c>
      <c r="J4018" s="122" t="s">
        <v>709</v>
      </c>
      <c r="K4018" s="283">
        <v>1099</v>
      </c>
      <c r="L4018" s="318">
        <v>-33.655560000000001</v>
      </c>
      <c r="M4018" s="318">
        <v>151.063828</v>
      </c>
      <c r="O4018">
        <f>INDEX('MEC - traffic congestion'!$M$145:$M$249,MATCH($D4018,'MEC - traffic congestion'!$C$145:$C$249,0))</f>
        <v>1</v>
      </c>
      <c r="P4018" t="str">
        <f t="shared" si="182"/>
        <v>2019AM PEAK</v>
      </c>
      <c r="Q4018">
        <f t="shared" si="183"/>
        <v>1</v>
      </c>
      <c r="R4018" s="195" t="str">
        <f t="shared" si="184"/>
        <v>2019LIGHT VEHICLES</v>
      </c>
    </row>
    <row r="4019" spans="3:18" x14ac:dyDescent="0.25">
      <c r="C4019" s="294" t="s">
        <v>1018</v>
      </c>
      <c r="D4019" s="317" t="s">
        <v>755</v>
      </c>
      <c r="E4019" s="122" t="s">
        <v>999</v>
      </c>
      <c r="F4019" s="122" t="s">
        <v>1017</v>
      </c>
      <c r="G4019" s="122" t="s">
        <v>786</v>
      </c>
      <c r="H4019" s="122" t="s">
        <v>777</v>
      </c>
      <c r="I4019" s="312">
        <v>2019</v>
      </c>
      <c r="J4019" s="122" t="s">
        <v>709</v>
      </c>
      <c r="K4019" s="283">
        <v>642</v>
      </c>
      <c r="L4019" s="318">
        <v>-33.655560000000001</v>
      </c>
      <c r="M4019" s="318">
        <v>151.063828</v>
      </c>
      <c r="O4019">
        <f>INDEX('MEC - traffic congestion'!$M$145:$M$249,MATCH($D4019,'MEC - traffic congestion'!$C$145:$C$249,0))</f>
        <v>1</v>
      </c>
      <c r="P4019" t="str">
        <f t="shared" si="182"/>
        <v>2019AM PEAK</v>
      </c>
      <c r="Q4019">
        <f t="shared" si="183"/>
        <v>1</v>
      </c>
      <c r="R4019" s="195" t="str">
        <f t="shared" si="184"/>
        <v>2019LIGHT VEHICLES</v>
      </c>
    </row>
    <row r="4020" spans="3:18" x14ac:dyDescent="0.25">
      <c r="C4020" s="294" t="s">
        <v>1018</v>
      </c>
      <c r="D4020" s="317" t="s">
        <v>755</v>
      </c>
      <c r="E4020" s="122" t="s">
        <v>999</v>
      </c>
      <c r="F4020" s="122" t="s">
        <v>1017</v>
      </c>
      <c r="G4020" s="122" t="s">
        <v>785</v>
      </c>
      <c r="H4020" s="122" t="s">
        <v>777</v>
      </c>
      <c r="I4020" s="312">
        <v>2019</v>
      </c>
      <c r="J4020" s="122" t="s">
        <v>710</v>
      </c>
      <c r="K4020" s="283">
        <v>918</v>
      </c>
      <c r="L4020" s="318">
        <v>-33.655560000000001</v>
      </c>
      <c r="M4020" s="318">
        <v>151.063828</v>
      </c>
      <c r="O4020">
        <f>INDEX('MEC - traffic congestion'!$M$145:$M$249,MATCH($D4020,'MEC - traffic congestion'!$C$145:$C$249,0))</f>
        <v>1</v>
      </c>
      <c r="P4020" t="str">
        <f t="shared" si="182"/>
        <v>2019OFF PEAK</v>
      </c>
      <c r="Q4020">
        <f t="shared" si="183"/>
        <v>1</v>
      </c>
      <c r="R4020" s="195" t="str">
        <f t="shared" si="184"/>
        <v>2019LIGHT VEHICLES</v>
      </c>
    </row>
    <row r="4021" spans="3:18" x14ac:dyDescent="0.25">
      <c r="C4021" s="294" t="s">
        <v>1018</v>
      </c>
      <c r="D4021" s="317" t="s">
        <v>755</v>
      </c>
      <c r="E4021" s="122" t="s">
        <v>999</v>
      </c>
      <c r="F4021" s="122" t="s">
        <v>1017</v>
      </c>
      <c r="G4021" s="122" t="s">
        <v>786</v>
      </c>
      <c r="H4021" s="122" t="s">
        <v>777</v>
      </c>
      <c r="I4021" s="312">
        <v>2019</v>
      </c>
      <c r="J4021" s="122" t="s">
        <v>710</v>
      </c>
      <c r="K4021" s="283">
        <v>1072</v>
      </c>
      <c r="L4021" s="318">
        <v>-33.655560000000001</v>
      </c>
      <c r="M4021" s="318">
        <v>151.063828</v>
      </c>
      <c r="O4021">
        <f>INDEX('MEC - traffic congestion'!$M$145:$M$249,MATCH($D4021,'MEC - traffic congestion'!$C$145:$C$249,0))</f>
        <v>1</v>
      </c>
      <c r="P4021" t="str">
        <f t="shared" si="182"/>
        <v>2019OFF PEAK</v>
      </c>
      <c r="Q4021">
        <f t="shared" si="183"/>
        <v>1</v>
      </c>
      <c r="R4021" s="195" t="str">
        <f t="shared" si="184"/>
        <v>2019LIGHT VEHICLES</v>
      </c>
    </row>
    <row r="4022" spans="3:18" x14ac:dyDescent="0.25">
      <c r="C4022" s="294" t="s">
        <v>1018</v>
      </c>
      <c r="D4022" s="317" t="s">
        <v>755</v>
      </c>
      <c r="E4022" s="122" t="s">
        <v>999</v>
      </c>
      <c r="F4022" s="122" t="s">
        <v>1017</v>
      </c>
      <c r="G4022" s="122" t="s">
        <v>785</v>
      </c>
      <c r="H4022" s="122" t="s">
        <v>777</v>
      </c>
      <c r="I4022" s="312">
        <v>2019</v>
      </c>
      <c r="J4022" s="122" t="s">
        <v>711</v>
      </c>
      <c r="K4022" s="283">
        <v>708</v>
      </c>
      <c r="L4022" s="318">
        <v>-33.655560000000001</v>
      </c>
      <c r="M4022" s="318">
        <v>151.063828</v>
      </c>
      <c r="O4022">
        <f>INDEX('MEC - traffic congestion'!$M$145:$M$249,MATCH($D4022,'MEC - traffic congestion'!$C$145:$C$249,0))</f>
        <v>1</v>
      </c>
      <c r="P4022" t="str">
        <f t="shared" si="182"/>
        <v>2019PM PEAK</v>
      </c>
      <c r="Q4022">
        <f t="shared" si="183"/>
        <v>1</v>
      </c>
      <c r="R4022" s="195" t="str">
        <f t="shared" si="184"/>
        <v>2019LIGHT VEHICLES</v>
      </c>
    </row>
    <row r="4023" spans="3:18" x14ac:dyDescent="0.25">
      <c r="C4023" s="294" t="s">
        <v>1018</v>
      </c>
      <c r="D4023" s="317" t="s">
        <v>755</v>
      </c>
      <c r="E4023" s="122" t="s">
        <v>999</v>
      </c>
      <c r="F4023" s="122" t="s">
        <v>1017</v>
      </c>
      <c r="G4023" s="122" t="s">
        <v>786</v>
      </c>
      <c r="H4023" s="122" t="s">
        <v>777</v>
      </c>
      <c r="I4023" s="312">
        <v>2019</v>
      </c>
      <c r="J4023" s="122" t="s">
        <v>711</v>
      </c>
      <c r="K4023" s="283">
        <v>1216</v>
      </c>
      <c r="L4023" s="318">
        <v>-33.655560000000001</v>
      </c>
      <c r="M4023" s="318">
        <v>151.063828</v>
      </c>
      <c r="O4023">
        <f>INDEX('MEC - traffic congestion'!$M$145:$M$249,MATCH($D4023,'MEC - traffic congestion'!$C$145:$C$249,0))</f>
        <v>1</v>
      </c>
      <c r="P4023" t="str">
        <f t="shared" si="182"/>
        <v>2019PM PEAK</v>
      </c>
      <c r="Q4023">
        <f t="shared" si="183"/>
        <v>1</v>
      </c>
      <c r="R4023" s="195" t="str">
        <f t="shared" si="184"/>
        <v>2019LIGHT VEHICLES</v>
      </c>
    </row>
    <row r="4024" spans="3:18" x14ac:dyDescent="0.25">
      <c r="C4024" s="294" t="s">
        <v>1018</v>
      </c>
      <c r="D4024" s="317" t="s">
        <v>755</v>
      </c>
      <c r="E4024" s="122" t="s">
        <v>999</v>
      </c>
      <c r="F4024" s="122" t="s">
        <v>1017</v>
      </c>
      <c r="G4024" s="122" t="s">
        <v>785</v>
      </c>
      <c r="H4024" s="122" t="s">
        <v>777</v>
      </c>
      <c r="I4024" s="312">
        <v>2019</v>
      </c>
      <c r="J4024" s="122" t="s">
        <v>712</v>
      </c>
      <c r="K4024" s="283">
        <v>2045</v>
      </c>
      <c r="L4024" s="318">
        <v>-33.655560000000001</v>
      </c>
      <c r="M4024" s="318">
        <v>151.063828</v>
      </c>
      <c r="O4024">
        <f>INDEX('MEC - traffic congestion'!$M$145:$M$249,MATCH($D4024,'MEC - traffic congestion'!$C$145:$C$249,0))</f>
        <v>1</v>
      </c>
      <c r="P4024" t="str">
        <f t="shared" si="182"/>
        <v>2019PUBLIC HOLIDAYS</v>
      </c>
      <c r="Q4024">
        <f t="shared" si="183"/>
        <v>1</v>
      </c>
      <c r="R4024" s="195" t="str">
        <f t="shared" si="184"/>
        <v>2019LIGHT VEHICLES</v>
      </c>
    </row>
    <row r="4025" spans="3:18" x14ac:dyDescent="0.25">
      <c r="C4025" s="294" t="s">
        <v>1018</v>
      </c>
      <c r="D4025" s="317" t="s">
        <v>755</v>
      </c>
      <c r="E4025" s="122" t="s">
        <v>999</v>
      </c>
      <c r="F4025" s="122" t="s">
        <v>1017</v>
      </c>
      <c r="G4025" s="122" t="s">
        <v>786</v>
      </c>
      <c r="H4025" s="122" t="s">
        <v>777</v>
      </c>
      <c r="I4025" s="312">
        <v>2019</v>
      </c>
      <c r="J4025" s="122" t="s">
        <v>712</v>
      </c>
      <c r="K4025" s="283">
        <v>1955</v>
      </c>
      <c r="L4025" s="318">
        <v>-33.655560000000001</v>
      </c>
      <c r="M4025" s="318">
        <v>151.063828</v>
      </c>
      <c r="O4025">
        <f>INDEX('MEC - traffic congestion'!$M$145:$M$249,MATCH($D4025,'MEC - traffic congestion'!$C$145:$C$249,0))</f>
        <v>1</v>
      </c>
      <c r="P4025" t="str">
        <f t="shared" si="182"/>
        <v>2019PUBLIC HOLIDAYS</v>
      </c>
      <c r="Q4025">
        <f t="shared" si="183"/>
        <v>1</v>
      </c>
      <c r="R4025" s="195" t="str">
        <f t="shared" si="184"/>
        <v>2019LIGHT VEHICLES</v>
      </c>
    </row>
    <row r="4026" spans="3:18" x14ac:dyDescent="0.25">
      <c r="C4026" s="294" t="s">
        <v>1018</v>
      </c>
      <c r="D4026" s="317" t="s">
        <v>755</v>
      </c>
      <c r="E4026" s="122" t="s">
        <v>999</v>
      </c>
      <c r="F4026" s="122" t="s">
        <v>1017</v>
      </c>
      <c r="G4026" s="122" t="s">
        <v>785</v>
      </c>
      <c r="H4026" s="122" t="s">
        <v>777</v>
      </c>
      <c r="I4026" s="312">
        <v>2019</v>
      </c>
      <c r="J4026" s="122" t="s">
        <v>713</v>
      </c>
      <c r="K4026" s="283">
        <v>2173</v>
      </c>
      <c r="L4026" s="318">
        <v>-33.655560000000001</v>
      </c>
      <c r="M4026" s="318">
        <v>151.063828</v>
      </c>
      <c r="O4026">
        <f>INDEX('MEC - traffic congestion'!$M$145:$M$249,MATCH($D4026,'MEC - traffic congestion'!$C$145:$C$249,0))</f>
        <v>1</v>
      </c>
      <c r="P4026" t="str">
        <f t="shared" si="182"/>
        <v>2019WEEKENDS</v>
      </c>
      <c r="Q4026">
        <f t="shared" si="183"/>
        <v>1</v>
      </c>
      <c r="R4026" s="195" t="str">
        <f t="shared" si="184"/>
        <v>2019LIGHT VEHICLES</v>
      </c>
    </row>
    <row r="4027" spans="3:18" x14ac:dyDescent="0.25">
      <c r="C4027" s="294" t="s">
        <v>1018</v>
      </c>
      <c r="D4027" s="317" t="s">
        <v>755</v>
      </c>
      <c r="E4027" s="122" t="s">
        <v>999</v>
      </c>
      <c r="F4027" s="122" t="s">
        <v>1017</v>
      </c>
      <c r="G4027" s="122" t="s">
        <v>786</v>
      </c>
      <c r="H4027" s="122" t="s">
        <v>777</v>
      </c>
      <c r="I4027" s="312">
        <v>2019</v>
      </c>
      <c r="J4027" s="122" t="s">
        <v>713</v>
      </c>
      <c r="K4027" s="283">
        <v>2294</v>
      </c>
      <c r="L4027" s="318">
        <v>-33.655560000000001</v>
      </c>
      <c r="M4027" s="318">
        <v>151.063828</v>
      </c>
      <c r="O4027">
        <f>INDEX('MEC - traffic congestion'!$M$145:$M$249,MATCH($D4027,'MEC - traffic congestion'!$C$145:$C$249,0))</f>
        <v>1</v>
      </c>
      <c r="P4027" t="str">
        <f t="shared" si="182"/>
        <v>2019WEEKENDS</v>
      </c>
      <c r="Q4027">
        <f t="shared" si="183"/>
        <v>1</v>
      </c>
      <c r="R4027" s="195" t="str">
        <f t="shared" si="184"/>
        <v>2019LIGHT VEHICLES</v>
      </c>
    </row>
    <row r="4028" spans="3:18" x14ac:dyDescent="0.25">
      <c r="C4028" s="294" t="s">
        <v>1018</v>
      </c>
      <c r="D4028" s="317" t="s">
        <v>755</v>
      </c>
      <c r="E4028" s="122" t="s">
        <v>999</v>
      </c>
      <c r="F4028" s="122" t="s">
        <v>1017</v>
      </c>
      <c r="G4028" s="122" t="s">
        <v>785</v>
      </c>
      <c r="H4028" s="122" t="s">
        <v>777</v>
      </c>
      <c r="I4028" s="312">
        <v>2020</v>
      </c>
      <c r="J4028" s="122" t="s">
        <v>709</v>
      </c>
      <c r="K4028" s="283">
        <v>829</v>
      </c>
      <c r="L4028" s="318">
        <v>-33.655560000000001</v>
      </c>
      <c r="M4028" s="318">
        <v>151.063828</v>
      </c>
      <c r="O4028">
        <f>INDEX('MEC - traffic congestion'!$M$145:$M$249,MATCH($D4028,'MEC - traffic congestion'!$C$145:$C$249,0))</f>
        <v>1</v>
      </c>
      <c r="P4028" t="str">
        <f t="shared" si="182"/>
        <v>2020AM PEAK</v>
      </c>
      <c r="Q4028">
        <f t="shared" si="183"/>
        <v>1</v>
      </c>
      <c r="R4028" s="195" t="str">
        <f t="shared" si="184"/>
        <v>2020LIGHT VEHICLES</v>
      </c>
    </row>
    <row r="4029" spans="3:18" x14ac:dyDescent="0.25">
      <c r="C4029" s="294" t="s">
        <v>1018</v>
      </c>
      <c r="D4029" s="317" t="s">
        <v>755</v>
      </c>
      <c r="E4029" s="122" t="s">
        <v>999</v>
      </c>
      <c r="F4029" s="122" t="s">
        <v>1017</v>
      </c>
      <c r="G4029" s="122" t="s">
        <v>786</v>
      </c>
      <c r="H4029" s="122" t="s">
        <v>777</v>
      </c>
      <c r="I4029" s="312">
        <v>2020</v>
      </c>
      <c r="J4029" s="122" t="s">
        <v>709</v>
      </c>
      <c r="K4029" s="283">
        <v>531</v>
      </c>
      <c r="L4029" s="318">
        <v>-33.655560000000001</v>
      </c>
      <c r="M4029" s="318">
        <v>151.063828</v>
      </c>
      <c r="O4029">
        <f>INDEX('MEC - traffic congestion'!$M$145:$M$249,MATCH($D4029,'MEC - traffic congestion'!$C$145:$C$249,0))</f>
        <v>1</v>
      </c>
      <c r="P4029" t="str">
        <f t="shared" si="182"/>
        <v>2020AM PEAK</v>
      </c>
      <c r="Q4029">
        <f t="shared" si="183"/>
        <v>1</v>
      </c>
      <c r="R4029" s="195" t="str">
        <f t="shared" si="184"/>
        <v>2020LIGHT VEHICLES</v>
      </c>
    </row>
    <row r="4030" spans="3:18" x14ac:dyDescent="0.25">
      <c r="C4030" s="294" t="s">
        <v>1018</v>
      </c>
      <c r="D4030" s="317" t="s">
        <v>755</v>
      </c>
      <c r="E4030" s="122" t="s">
        <v>999</v>
      </c>
      <c r="F4030" s="122" t="s">
        <v>1017</v>
      </c>
      <c r="G4030" s="122" t="s">
        <v>785</v>
      </c>
      <c r="H4030" s="122" t="s">
        <v>777</v>
      </c>
      <c r="I4030" s="312">
        <v>2020</v>
      </c>
      <c r="J4030" s="122" t="s">
        <v>710</v>
      </c>
      <c r="K4030" s="283">
        <v>819</v>
      </c>
      <c r="L4030" s="318">
        <v>-33.655560000000001</v>
      </c>
      <c r="M4030" s="318">
        <v>151.063828</v>
      </c>
      <c r="O4030">
        <f>INDEX('MEC - traffic congestion'!$M$145:$M$249,MATCH($D4030,'MEC - traffic congestion'!$C$145:$C$249,0))</f>
        <v>1</v>
      </c>
      <c r="P4030" t="str">
        <f t="shared" si="182"/>
        <v>2020OFF PEAK</v>
      </c>
      <c r="Q4030">
        <f t="shared" si="183"/>
        <v>1</v>
      </c>
      <c r="R4030" s="195" t="str">
        <f t="shared" si="184"/>
        <v>2020LIGHT VEHICLES</v>
      </c>
    </row>
    <row r="4031" spans="3:18" x14ac:dyDescent="0.25">
      <c r="C4031" s="294" t="s">
        <v>1018</v>
      </c>
      <c r="D4031" s="317" t="s">
        <v>755</v>
      </c>
      <c r="E4031" s="122" t="s">
        <v>999</v>
      </c>
      <c r="F4031" s="122" t="s">
        <v>1017</v>
      </c>
      <c r="G4031" s="122" t="s">
        <v>786</v>
      </c>
      <c r="H4031" s="122" t="s">
        <v>777</v>
      </c>
      <c r="I4031" s="312">
        <v>2020</v>
      </c>
      <c r="J4031" s="122" t="s">
        <v>710</v>
      </c>
      <c r="K4031" s="283">
        <v>922</v>
      </c>
      <c r="L4031" s="318">
        <v>-33.655560000000001</v>
      </c>
      <c r="M4031" s="318">
        <v>151.063828</v>
      </c>
      <c r="O4031">
        <f>INDEX('MEC - traffic congestion'!$M$145:$M$249,MATCH($D4031,'MEC - traffic congestion'!$C$145:$C$249,0))</f>
        <v>1</v>
      </c>
      <c r="P4031" t="str">
        <f t="shared" si="182"/>
        <v>2020OFF PEAK</v>
      </c>
      <c r="Q4031">
        <f t="shared" si="183"/>
        <v>1</v>
      </c>
      <c r="R4031" s="195" t="str">
        <f t="shared" si="184"/>
        <v>2020LIGHT VEHICLES</v>
      </c>
    </row>
    <row r="4032" spans="3:18" x14ac:dyDescent="0.25">
      <c r="C4032" s="294" t="s">
        <v>1018</v>
      </c>
      <c r="D4032" s="317" t="s">
        <v>755</v>
      </c>
      <c r="E4032" s="122" t="s">
        <v>999</v>
      </c>
      <c r="F4032" s="122" t="s">
        <v>1017</v>
      </c>
      <c r="G4032" s="122" t="s">
        <v>785</v>
      </c>
      <c r="H4032" s="122" t="s">
        <v>777</v>
      </c>
      <c r="I4032" s="312">
        <v>2020</v>
      </c>
      <c r="J4032" s="122" t="s">
        <v>711</v>
      </c>
      <c r="K4032" s="283">
        <v>598</v>
      </c>
      <c r="L4032" s="318">
        <v>-33.655560000000001</v>
      </c>
      <c r="M4032" s="318">
        <v>151.063828</v>
      </c>
      <c r="O4032">
        <f>INDEX('MEC - traffic congestion'!$M$145:$M$249,MATCH($D4032,'MEC - traffic congestion'!$C$145:$C$249,0))</f>
        <v>1</v>
      </c>
      <c r="P4032" t="str">
        <f t="shared" si="182"/>
        <v>2020PM PEAK</v>
      </c>
      <c r="Q4032">
        <f t="shared" si="183"/>
        <v>1</v>
      </c>
      <c r="R4032" s="195" t="str">
        <f t="shared" si="184"/>
        <v>2020LIGHT VEHICLES</v>
      </c>
    </row>
    <row r="4033" spans="3:18" x14ac:dyDescent="0.25">
      <c r="C4033" s="294" t="s">
        <v>1018</v>
      </c>
      <c r="D4033" s="317" t="s">
        <v>755</v>
      </c>
      <c r="E4033" s="122" t="s">
        <v>999</v>
      </c>
      <c r="F4033" s="122" t="s">
        <v>1017</v>
      </c>
      <c r="G4033" s="122" t="s">
        <v>786</v>
      </c>
      <c r="H4033" s="122" t="s">
        <v>777</v>
      </c>
      <c r="I4033" s="312">
        <v>2020</v>
      </c>
      <c r="J4033" s="122" t="s">
        <v>711</v>
      </c>
      <c r="K4033" s="283">
        <v>975</v>
      </c>
      <c r="L4033" s="318">
        <v>-33.655560000000001</v>
      </c>
      <c r="M4033" s="318">
        <v>151.063828</v>
      </c>
      <c r="O4033">
        <f>INDEX('MEC - traffic congestion'!$M$145:$M$249,MATCH($D4033,'MEC - traffic congestion'!$C$145:$C$249,0))</f>
        <v>1</v>
      </c>
      <c r="P4033" t="str">
        <f t="shared" si="182"/>
        <v>2020PM PEAK</v>
      </c>
      <c r="Q4033">
        <f t="shared" si="183"/>
        <v>1</v>
      </c>
      <c r="R4033" s="195" t="str">
        <f t="shared" si="184"/>
        <v>2020LIGHT VEHICLES</v>
      </c>
    </row>
    <row r="4034" spans="3:18" x14ac:dyDescent="0.25">
      <c r="C4034" s="294" t="s">
        <v>1018</v>
      </c>
      <c r="D4034" s="317" t="s">
        <v>755</v>
      </c>
      <c r="E4034" s="122" t="s">
        <v>999</v>
      </c>
      <c r="F4034" s="122" t="s">
        <v>1017</v>
      </c>
      <c r="G4034" s="122" t="s">
        <v>785</v>
      </c>
      <c r="H4034" s="122" t="s">
        <v>777</v>
      </c>
      <c r="I4034" s="312">
        <v>2020</v>
      </c>
      <c r="J4034" s="122" t="s">
        <v>712</v>
      </c>
      <c r="K4034" s="283">
        <v>1338</v>
      </c>
      <c r="L4034" s="318">
        <v>-33.655560000000001</v>
      </c>
      <c r="M4034" s="318">
        <v>151.063828</v>
      </c>
      <c r="O4034">
        <f>INDEX('MEC - traffic congestion'!$M$145:$M$249,MATCH($D4034,'MEC - traffic congestion'!$C$145:$C$249,0))</f>
        <v>1</v>
      </c>
      <c r="P4034" t="str">
        <f t="shared" si="182"/>
        <v>2020PUBLIC HOLIDAYS</v>
      </c>
      <c r="Q4034">
        <f t="shared" si="183"/>
        <v>1</v>
      </c>
      <c r="R4034" s="195" t="str">
        <f t="shared" si="184"/>
        <v>2020LIGHT VEHICLES</v>
      </c>
    </row>
    <row r="4035" spans="3:18" x14ac:dyDescent="0.25">
      <c r="C4035" s="294" t="s">
        <v>1018</v>
      </c>
      <c r="D4035" s="317" t="s">
        <v>755</v>
      </c>
      <c r="E4035" s="122" t="s">
        <v>999</v>
      </c>
      <c r="F4035" s="122" t="s">
        <v>1017</v>
      </c>
      <c r="G4035" s="122" t="s">
        <v>786</v>
      </c>
      <c r="H4035" s="122" t="s">
        <v>777</v>
      </c>
      <c r="I4035" s="312">
        <v>2020</v>
      </c>
      <c r="J4035" s="122" t="s">
        <v>712</v>
      </c>
      <c r="K4035" s="283">
        <v>1461</v>
      </c>
      <c r="L4035" s="318">
        <v>-33.655560000000001</v>
      </c>
      <c r="M4035" s="318">
        <v>151.063828</v>
      </c>
      <c r="O4035">
        <f>INDEX('MEC - traffic congestion'!$M$145:$M$249,MATCH($D4035,'MEC - traffic congestion'!$C$145:$C$249,0))</f>
        <v>1</v>
      </c>
      <c r="P4035" t="str">
        <f t="shared" si="182"/>
        <v>2020PUBLIC HOLIDAYS</v>
      </c>
      <c r="Q4035">
        <f t="shared" si="183"/>
        <v>1</v>
      </c>
      <c r="R4035" s="195" t="str">
        <f t="shared" si="184"/>
        <v>2020LIGHT VEHICLES</v>
      </c>
    </row>
    <row r="4036" spans="3:18" x14ac:dyDescent="0.25">
      <c r="C4036" s="294" t="s">
        <v>1018</v>
      </c>
      <c r="D4036" s="317" t="s">
        <v>755</v>
      </c>
      <c r="E4036" s="122" t="s">
        <v>999</v>
      </c>
      <c r="F4036" s="122" t="s">
        <v>1017</v>
      </c>
      <c r="G4036" s="122" t="s">
        <v>785</v>
      </c>
      <c r="H4036" s="122" t="s">
        <v>777</v>
      </c>
      <c r="I4036" s="312">
        <v>2020</v>
      </c>
      <c r="J4036" s="122" t="s">
        <v>713</v>
      </c>
      <c r="K4036" s="283">
        <v>1893</v>
      </c>
      <c r="L4036" s="318">
        <v>-33.655560000000001</v>
      </c>
      <c r="M4036" s="318">
        <v>151.063828</v>
      </c>
      <c r="O4036">
        <f>INDEX('MEC - traffic congestion'!$M$145:$M$249,MATCH($D4036,'MEC - traffic congestion'!$C$145:$C$249,0))</f>
        <v>1</v>
      </c>
      <c r="P4036" t="str">
        <f t="shared" si="182"/>
        <v>2020WEEKENDS</v>
      </c>
      <c r="Q4036">
        <f t="shared" si="183"/>
        <v>1</v>
      </c>
      <c r="R4036" s="195" t="str">
        <f t="shared" si="184"/>
        <v>2020LIGHT VEHICLES</v>
      </c>
    </row>
    <row r="4037" spans="3:18" x14ac:dyDescent="0.25">
      <c r="C4037" s="294" t="s">
        <v>1018</v>
      </c>
      <c r="D4037" s="317" t="s">
        <v>755</v>
      </c>
      <c r="E4037" s="122" t="s">
        <v>999</v>
      </c>
      <c r="F4037" s="122" t="s">
        <v>1017</v>
      </c>
      <c r="G4037" s="122" t="s">
        <v>786</v>
      </c>
      <c r="H4037" s="122" t="s">
        <v>777</v>
      </c>
      <c r="I4037" s="312">
        <v>2020</v>
      </c>
      <c r="J4037" s="122" t="s">
        <v>713</v>
      </c>
      <c r="K4037" s="283">
        <v>2023</v>
      </c>
      <c r="L4037" s="318">
        <v>-33.655560000000001</v>
      </c>
      <c r="M4037" s="318">
        <v>151.063828</v>
      </c>
      <c r="O4037">
        <f>INDEX('MEC - traffic congestion'!$M$145:$M$249,MATCH($D4037,'MEC - traffic congestion'!$C$145:$C$249,0))</f>
        <v>1</v>
      </c>
      <c r="P4037" t="str">
        <f t="shared" si="182"/>
        <v>2020WEEKENDS</v>
      </c>
      <c r="Q4037">
        <f t="shared" si="183"/>
        <v>1</v>
      </c>
      <c r="R4037" s="195" t="str">
        <f t="shared" si="184"/>
        <v>2020LIGHT VEHICLES</v>
      </c>
    </row>
    <row r="4038" spans="3:18" x14ac:dyDescent="0.25">
      <c r="C4038" s="294" t="s">
        <v>1018</v>
      </c>
      <c r="D4038" s="317" t="s">
        <v>755</v>
      </c>
      <c r="E4038" s="122" t="s">
        <v>999</v>
      </c>
      <c r="F4038" s="122" t="s">
        <v>1017</v>
      </c>
      <c r="G4038" s="122" t="s">
        <v>785</v>
      </c>
      <c r="H4038" s="122" t="s">
        <v>777</v>
      </c>
      <c r="I4038" s="312">
        <v>2021</v>
      </c>
      <c r="J4038" s="122" t="s">
        <v>709</v>
      </c>
      <c r="K4038" s="283">
        <v>688</v>
      </c>
      <c r="L4038" s="318">
        <v>-33.655560000000001</v>
      </c>
      <c r="M4038" s="318">
        <v>151.063828</v>
      </c>
      <c r="O4038">
        <f>INDEX('MEC - traffic congestion'!$M$145:$M$249,MATCH($D4038,'MEC - traffic congestion'!$C$145:$C$249,0))</f>
        <v>1</v>
      </c>
      <c r="P4038" t="str">
        <f t="shared" si="182"/>
        <v>2021AM PEAK</v>
      </c>
      <c r="Q4038">
        <f t="shared" si="183"/>
        <v>1</v>
      </c>
      <c r="R4038" s="195" t="str">
        <f t="shared" si="184"/>
        <v>2021LIGHT VEHICLES</v>
      </c>
    </row>
    <row r="4039" spans="3:18" x14ac:dyDescent="0.25">
      <c r="C4039" s="294" t="s">
        <v>1018</v>
      </c>
      <c r="D4039" s="317" t="s">
        <v>755</v>
      </c>
      <c r="E4039" s="122" t="s">
        <v>999</v>
      </c>
      <c r="F4039" s="122" t="s">
        <v>1017</v>
      </c>
      <c r="G4039" s="122" t="s">
        <v>786</v>
      </c>
      <c r="H4039" s="122" t="s">
        <v>777</v>
      </c>
      <c r="I4039" s="312">
        <v>2021</v>
      </c>
      <c r="J4039" s="122" t="s">
        <v>709</v>
      </c>
      <c r="K4039" s="283">
        <v>441</v>
      </c>
      <c r="L4039" s="318">
        <v>-33.655560000000001</v>
      </c>
      <c r="M4039" s="318">
        <v>151.063828</v>
      </c>
      <c r="O4039">
        <f>INDEX('MEC - traffic congestion'!$M$145:$M$249,MATCH($D4039,'MEC - traffic congestion'!$C$145:$C$249,0))</f>
        <v>1</v>
      </c>
      <c r="P4039" t="str">
        <f t="shared" si="182"/>
        <v>2021AM PEAK</v>
      </c>
      <c r="Q4039">
        <f t="shared" si="183"/>
        <v>1</v>
      </c>
      <c r="R4039" s="195" t="str">
        <f t="shared" si="184"/>
        <v>2021LIGHT VEHICLES</v>
      </c>
    </row>
    <row r="4040" spans="3:18" x14ac:dyDescent="0.25">
      <c r="C4040" s="294" t="s">
        <v>1018</v>
      </c>
      <c r="D4040" s="317" t="s">
        <v>755</v>
      </c>
      <c r="E4040" s="122" t="s">
        <v>999</v>
      </c>
      <c r="F4040" s="122" t="s">
        <v>1017</v>
      </c>
      <c r="G4040" s="122" t="s">
        <v>785</v>
      </c>
      <c r="H4040" s="122" t="s">
        <v>777</v>
      </c>
      <c r="I4040" s="312">
        <v>2021</v>
      </c>
      <c r="J4040" s="122" t="s">
        <v>710</v>
      </c>
      <c r="K4040" s="283">
        <v>714</v>
      </c>
      <c r="L4040" s="318">
        <v>-33.655560000000001</v>
      </c>
      <c r="M4040" s="318">
        <v>151.063828</v>
      </c>
      <c r="O4040">
        <f>INDEX('MEC - traffic congestion'!$M$145:$M$249,MATCH($D4040,'MEC - traffic congestion'!$C$145:$C$249,0))</f>
        <v>1</v>
      </c>
      <c r="P4040" t="str">
        <f t="shared" si="182"/>
        <v>2021OFF PEAK</v>
      </c>
      <c r="Q4040">
        <f t="shared" si="183"/>
        <v>1</v>
      </c>
      <c r="R4040" s="195" t="str">
        <f t="shared" si="184"/>
        <v>2021LIGHT VEHICLES</v>
      </c>
    </row>
    <row r="4041" spans="3:18" x14ac:dyDescent="0.25">
      <c r="C4041" s="294" t="s">
        <v>1018</v>
      </c>
      <c r="D4041" s="317" t="s">
        <v>755</v>
      </c>
      <c r="E4041" s="122" t="s">
        <v>999</v>
      </c>
      <c r="F4041" s="122" t="s">
        <v>1017</v>
      </c>
      <c r="G4041" s="122" t="s">
        <v>786</v>
      </c>
      <c r="H4041" s="122" t="s">
        <v>777</v>
      </c>
      <c r="I4041" s="312">
        <v>2021</v>
      </c>
      <c r="J4041" s="122" t="s">
        <v>710</v>
      </c>
      <c r="K4041" s="283">
        <v>800</v>
      </c>
      <c r="L4041" s="318">
        <v>-33.655560000000001</v>
      </c>
      <c r="M4041" s="318">
        <v>151.063828</v>
      </c>
      <c r="O4041">
        <f>INDEX('MEC - traffic congestion'!$M$145:$M$249,MATCH($D4041,'MEC - traffic congestion'!$C$145:$C$249,0))</f>
        <v>1</v>
      </c>
      <c r="P4041" t="str">
        <f t="shared" si="182"/>
        <v>2021OFF PEAK</v>
      </c>
      <c r="Q4041">
        <f t="shared" si="183"/>
        <v>1</v>
      </c>
      <c r="R4041" s="195" t="str">
        <f t="shared" si="184"/>
        <v>2021LIGHT VEHICLES</v>
      </c>
    </row>
    <row r="4042" spans="3:18" x14ac:dyDescent="0.25">
      <c r="C4042" s="294" t="s">
        <v>1018</v>
      </c>
      <c r="D4042" s="317" t="s">
        <v>755</v>
      </c>
      <c r="E4042" s="122" t="s">
        <v>999</v>
      </c>
      <c r="F4042" s="122" t="s">
        <v>1017</v>
      </c>
      <c r="G4042" s="122" t="s">
        <v>785</v>
      </c>
      <c r="H4042" s="122" t="s">
        <v>777</v>
      </c>
      <c r="I4042" s="312">
        <v>2021</v>
      </c>
      <c r="J4042" s="122" t="s">
        <v>711</v>
      </c>
      <c r="K4042" s="283">
        <v>482</v>
      </c>
      <c r="L4042" s="318">
        <v>-33.655560000000001</v>
      </c>
      <c r="M4042" s="318">
        <v>151.063828</v>
      </c>
      <c r="O4042">
        <f>INDEX('MEC - traffic congestion'!$M$145:$M$249,MATCH($D4042,'MEC - traffic congestion'!$C$145:$C$249,0))</f>
        <v>1</v>
      </c>
      <c r="P4042" t="str">
        <f t="shared" si="182"/>
        <v>2021PM PEAK</v>
      </c>
      <c r="Q4042">
        <f t="shared" si="183"/>
        <v>1</v>
      </c>
      <c r="R4042" s="195" t="str">
        <f t="shared" si="184"/>
        <v>2021LIGHT VEHICLES</v>
      </c>
    </row>
    <row r="4043" spans="3:18" x14ac:dyDescent="0.25">
      <c r="C4043" s="294" t="s">
        <v>1018</v>
      </c>
      <c r="D4043" s="317" t="s">
        <v>755</v>
      </c>
      <c r="E4043" s="122" t="s">
        <v>999</v>
      </c>
      <c r="F4043" s="122" t="s">
        <v>1017</v>
      </c>
      <c r="G4043" s="122" t="s">
        <v>786</v>
      </c>
      <c r="H4043" s="122" t="s">
        <v>777</v>
      </c>
      <c r="I4043" s="312">
        <v>2021</v>
      </c>
      <c r="J4043" s="122" t="s">
        <v>711</v>
      </c>
      <c r="K4043" s="283">
        <v>776</v>
      </c>
      <c r="L4043" s="318">
        <v>-33.655560000000001</v>
      </c>
      <c r="M4043" s="318">
        <v>151.063828</v>
      </c>
      <c r="O4043">
        <f>INDEX('MEC - traffic congestion'!$M$145:$M$249,MATCH($D4043,'MEC - traffic congestion'!$C$145:$C$249,0))</f>
        <v>1</v>
      </c>
      <c r="P4043" t="str">
        <f t="shared" si="182"/>
        <v>2021PM PEAK</v>
      </c>
      <c r="Q4043">
        <f t="shared" si="183"/>
        <v>1</v>
      </c>
      <c r="R4043" s="195" t="str">
        <f t="shared" si="184"/>
        <v>2021LIGHT VEHICLES</v>
      </c>
    </row>
    <row r="4044" spans="3:18" x14ac:dyDescent="0.25">
      <c r="C4044" s="294" t="s">
        <v>1018</v>
      </c>
      <c r="D4044" s="317" t="s">
        <v>755</v>
      </c>
      <c r="E4044" s="122" t="s">
        <v>999</v>
      </c>
      <c r="F4044" s="122" t="s">
        <v>1017</v>
      </c>
      <c r="G4044" s="122" t="s">
        <v>785</v>
      </c>
      <c r="H4044" s="122" t="s">
        <v>777</v>
      </c>
      <c r="I4044" s="312">
        <v>2021</v>
      </c>
      <c r="J4044" s="122" t="s">
        <v>713</v>
      </c>
      <c r="K4044" s="283">
        <v>1616</v>
      </c>
      <c r="L4044" s="318">
        <v>-33.655560000000001</v>
      </c>
      <c r="M4044" s="318">
        <v>151.063828</v>
      </c>
      <c r="O4044">
        <f>INDEX('MEC - traffic congestion'!$M$145:$M$249,MATCH($D4044,'MEC - traffic congestion'!$C$145:$C$249,0))</f>
        <v>1</v>
      </c>
      <c r="P4044" t="str">
        <f t="shared" si="182"/>
        <v>2021WEEKENDS</v>
      </c>
      <c r="Q4044">
        <f t="shared" si="183"/>
        <v>1</v>
      </c>
      <c r="R4044" s="195" t="str">
        <f t="shared" si="184"/>
        <v>2021LIGHT VEHICLES</v>
      </c>
    </row>
    <row r="4045" spans="3:18" x14ac:dyDescent="0.25">
      <c r="C4045" s="294" t="s">
        <v>1018</v>
      </c>
      <c r="D4045" s="317" t="s">
        <v>755</v>
      </c>
      <c r="E4045" s="122" t="s">
        <v>999</v>
      </c>
      <c r="F4045" s="122" t="s">
        <v>1017</v>
      </c>
      <c r="G4045" s="122" t="s">
        <v>786</v>
      </c>
      <c r="H4045" s="122" t="s">
        <v>777</v>
      </c>
      <c r="I4045" s="312">
        <v>2021</v>
      </c>
      <c r="J4045" s="122" t="s">
        <v>713</v>
      </c>
      <c r="K4045" s="283">
        <v>1725</v>
      </c>
      <c r="L4045" s="318">
        <v>-33.655560000000001</v>
      </c>
      <c r="M4045" s="318">
        <v>151.063828</v>
      </c>
      <c r="O4045">
        <f>INDEX('MEC - traffic congestion'!$M$145:$M$249,MATCH($D4045,'MEC - traffic congestion'!$C$145:$C$249,0))</f>
        <v>1</v>
      </c>
      <c r="P4045" t="str">
        <f t="shared" si="182"/>
        <v>2021WEEKENDS</v>
      </c>
      <c r="Q4045">
        <f t="shared" si="183"/>
        <v>1</v>
      </c>
      <c r="R4045" s="195" t="str">
        <f t="shared" si="184"/>
        <v>2021LIGHT VEHICLES</v>
      </c>
    </row>
    <row r="4046" spans="3:18" x14ac:dyDescent="0.25">
      <c r="C4046" s="294" t="s">
        <v>1018</v>
      </c>
      <c r="D4046" s="317" t="s">
        <v>755</v>
      </c>
      <c r="E4046" s="122" t="s">
        <v>999</v>
      </c>
      <c r="F4046" s="122" t="s">
        <v>1017</v>
      </c>
      <c r="G4046" s="122" t="s">
        <v>785</v>
      </c>
      <c r="H4046" s="122" t="s">
        <v>777</v>
      </c>
      <c r="I4046" s="312">
        <v>2022</v>
      </c>
      <c r="J4046" s="122" t="s">
        <v>709</v>
      </c>
      <c r="K4046" s="283">
        <v>365</v>
      </c>
      <c r="L4046" s="318">
        <v>-33.655560000000001</v>
      </c>
      <c r="M4046" s="318">
        <v>151.063828</v>
      </c>
      <c r="O4046">
        <f>INDEX('MEC - traffic congestion'!$M$145:$M$249,MATCH($D4046,'MEC - traffic congestion'!$C$145:$C$249,0))</f>
        <v>1</v>
      </c>
      <c r="P4046" t="str">
        <f t="shared" si="182"/>
        <v>2022AM PEAK</v>
      </c>
      <c r="Q4046">
        <f t="shared" si="183"/>
        <v>1</v>
      </c>
      <c r="R4046" s="195" t="str">
        <f t="shared" si="184"/>
        <v>2022LIGHT VEHICLES</v>
      </c>
    </row>
    <row r="4047" spans="3:18" x14ac:dyDescent="0.25">
      <c r="C4047" s="294" t="s">
        <v>1018</v>
      </c>
      <c r="D4047" s="317" t="s">
        <v>755</v>
      </c>
      <c r="E4047" s="122" t="s">
        <v>999</v>
      </c>
      <c r="F4047" s="122" t="s">
        <v>1017</v>
      </c>
      <c r="G4047" s="122" t="s">
        <v>786</v>
      </c>
      <c r="H4047" s="122" t="s">
        <v>777</v>
      </c>
      <c r="I4047" s="312">
        <v>2022</v>
      </c>
      <c r="J4047" s="122" t="s">
        <v>709</v>
      </c>
      <c r="K4047" s="283">
        <v>225</v>
      </c>
      <c r="L4047" s="318">
        <v>-33.655560000000001</v>
      </c>
      <c r="M4047" s="318">
        <v>151.063828</v>
      </c>
      <c r="O4047">
        <f>INDEX('MEC - traffic congestion'!$M$145:$M$249,MATCH($D4047,'MEC - traffic congestion'!$C$145:$C$249,0))</f>
        <v>1</v>
      </c>
      <c r="P4047" t="str">
        <f t="shared" si="182"/>
        <v>2022AM PEAK</v>
      </c>
      <c r="Q4047">
        <f t="shared" si="183"/>
        <v>1</v>
      </c>
      <c r="R4047" s="195" t="str">
        <f t="shared" si="184"/>
        <v>2022LIGHT VEHICLES</v>
      </c>
    </row>
    <row r="4048" spans="3:18" x14ac:dyDescent="0.25">
      <c r="C4048" s="294" t="s">
        <v>1018</v>
      </c>
      <c r="D4048" s="317" t="s">
        <v>755</v>
      </c>
      <c r="E4048" s="122" t="s">
        <v>999</v>
      </c>
      <c r="F4048" s="122" t="s">
        <v>1017</v>
      </c>
      <c r="G4048" s="122" t="s">
        <v>785</v>
      </c>
      <c r="H4048" s="122" t="s">
        <v>777</v>
      </c>
      <c r="I4048" s="312">
        <v>2022</v>
      </c>
      <c r="J4048" s="122" t="s">
        <v>710</v>
      </c>
      <c r="K4048" s="283">
        <v>400</v>
      </c>
      <c r="L4048" s="318">
        <v>-33.655560000000001</v>
      </c>
      <c r="M4048" s="318">
        <v>151.063828</v>
      </c>
      <c r="O4048">
        <f>INDEX('MEC - traffic congestion'!$M$145:$M$249,MATCH($D4048,'MEC - traffic congestion'!$C$145:$C$249,0))</f>
        <v>1</v>
      </c>
      <c r="P4048" t="str">
        <f t="shared" si="182"/>
        <v>2022OFF PEAK</v>
      </c>
      <c r="Q4048">
        <f t="shared" si="183"/>
        <v>1</v>
      </c>
      <c r="R4048" s="195" t="str">
        <f t="shared" si="184"/>
        <v>2022LIGHT VEHICLES</v>
      </c>
    </row>
    <row r="4049" spans="3:18" x14ac:dyDescent="0.25">
      <c r="C4049" s="294" t="s">
        <v>1018</v>
      </c>
      <c r="D4049" s="317" t="s">
        <v>755</v>
      </c>
      <c r="E4049" s="122" t="s">
        <v>999</v>
      </c>
      <c r="F4049" s="122" t="s">
        <v>1017</v>
      </c>
      <c r="G4049" s="122" t="s">
        <v>786</v>
      </c>
      <c r="H4049" s="122" t="s">
        <v>777</v>
      </c>
      <c r="I4049" s="312">
        <v>2022</v>
      </c>
      <c r="J4049" s="122" t="s">
        <v>710</v>
      </c>
      <c r="K4049" s="283">
        <v>452</v>
      </c>
      <c r="L4049" s="318">
        <v>-33.655560000000001</v>
      </c>
      <c r="M4049" s="318">
        <v>151.063828</v>
      </c>
      <c r="O4049">
        <f>INDEX('MEC - traffic congestion'!$M$145:$M$249,MATCH($D4049,'MEC - traffic congestion'!$C$145:$C$249,0))</f>
        <v>1</v>
      </c>
      <c r="P4049" t="str">
        <f t="shared" si="182"/>
        <v>2022OFF PEAK</v>
      </c>
      <c r="Q4049">
        <f t="shared" si="183"/>
        <v>1</v>
      </c>
      <c r="R4049" s="195" t="str">
        <f t="shared" si="184"/>
        <v>2022LIGHT VEHICLES</v>
      </c>
    </row>
    <row r="4050" spans="3:18" x14ac:dyDescent="0.25">
      <c r="C4050" s="294" t="s">
        <v>1018</v>
      </c>
      <c r="D4050" s="317" t="s">
        <v>755</v>
      </c>
      <c r="E4050" s="122" t="s">
        <v>999</v>
      </c>
      <c r="F4050" s="122" t="s">
        <v>1017</v>
      </c>
      <c r="G4050" s="122" t="s">
        <v>785</v>
      </c>
      <c r="H4050" s="122" t="s">
        <v>777</v>
      </c>
      <c r="I4050" s="312">
        <v>2022</v>
      </c>
      <c r="J4050" s="122" t="s">
        <v>711</v>
      </c>
      <c r="K4050" s="283">
        <v>258</v>
      </c>
      <c r="L4050" s="318">
        <v>-33.655560000000001</v>
      </c>
      <c r="M4050" s="318">
        <v>151.063828</v>
      </c>
      <c r="O4050">
        <f>INDEX('MEC - traffic congestion'!$M$145:$M$249,MATCH($D4050,'MEC - traffic congestion'!$C$145:$C$249,0))</f>
        <v>1</v>
      </c>
      <c r="P4050" t="str">
        <f t="shared" si="182"/>
        <v>2022PM PEAK</v>
      </c>
      <c r="Q4050">
        <f t="shared" si="183"/>
        <v>1</v>
      </c>
      <c r="R4050" s="195" t="str">
        <f t="shared" si="184"/>
        <v>2022LIGHT VEHICLES</v>
      </c>
    </row>
    <row r="4051" spans="3:18" x14ac:dyDescent="0.25">
      <c r="C4051" s="294" t="s">
        <v>1018</v>
      </c>
      <c r="D4051" s="317" t="s">
        <v>755</v>
      </c>
      <c r="E4051" s="122" t="s">
        <v>999</v>
      </c>
      <c r="F4051" s="122" t="s">
        <v>1017</v>
      </c>
      <c r="G4051" s="122" t="s">
        <v>786</v>
      </c>
      <c r="H4051" s="122" t="s">
        <v>777</v>
      </c>
      <c r="I4051" s="312">
        <v>2022</v>
      </c>
      <c r="J4051" s="122" t="s">
        <v>711</v>
      </c>
      <c r="K4051" s="283">
        <v>430</v>
      </c>
      <c r="L4051" s="318">
        <v>-33.655560000000001</v>
      </c>
      <c r="M4051" s="318">
        <v>151.063828</v>
      </c>
      <c r="O4051">
        <f>INDEX('MEC - traffic congestion'!$M$145:$M$249,MATCH($D4051,'MEC - traffic congestion'!$C$145:$C$249,0))</f>
        <v>1</v>
      </c>
      <c r="P4051" t="str">
        <f t="shared" si="182"/>
        <v>2022PM PEAK</v>
      </c>
      <c r="Q4051">
        <f t="shared" si="183"/>
        <v>1</v>
      </c>
      <c r="R4051" s="195" t="str">
        <f t="shared" si="184"/>
        <v>2022LIGHT VEHICLES</v>
      </c>
    </row>
    <row r="4052" spans="3:18" x14ac:dyDescent="0.25">
      <c r="C4052" s="294" t="s">
        <v>1018</v>
      </c>
      <c r="D4052" s="317" t="s">
        <v>755</v>
      </c>
      <c r="E4052" s="122" t="s">
        <v>999</v>
      </c>
      <c r="F4052" s="122" t="s">
        <v>1017</v>
      </c>
      <c r="G4052" s="122" t="s">
        <v>785</v>
      </c>
      <c r="H4052" s="122" t="s">
        <v>777</v>
      </c>
      <c r="I4052" s="312">
        <v>2022</v>
      </c>
      <c r="J4052" s="122" t="s">
        <v>713</v>
      </c>
      <c r="K4052" s="283">
        <v>998</v>
      </c>
      <c r="L4052" s="318">
        <v>-33.655560000000001</v>
      </c>
      <c r="M4052" s="318">
        <v>151.063828</v>
      </c>
      <c r="O4052">
        <f>INDEX('MEC - traffic congestion'!$M$145:$M$249,MATCH($D4052,'MEC - traffic congestion'!$C$145:$C$249,0))</f>
        <v>1</v>
      </c>
      <c r="P4052" t="str">
        <f t="shared" si="182"/>
        <v>2022WEEKENDS</v>
      </c>
      <c r="Q4052">
        <f t="shared" si="183"/>
        <v>1</v>
      </c>
      <c r="R4052" s="195" t="str">
        <f t="shared" si="184"/>
        <v>2022LIGHT VEHICLES</v>
      </c>
    </row>
    <row r="4053" spans="3:18" x14ac:dyDescent="0.25">
      <c r="C4053" s="294" t="s">
        <v>1018</v>
      </c>
      <c r="D4053" s="317" t="s">
        <v>755</v>
      </c>
      <c r="E4053" s="122" t="s">
        <v>999</v>
      </c>
      <c r="F4053" s="122" t="s">
        <v>1017</v>
      </c>
      <c r="G4053" s="122" t="s">
        <v>786</v>
      </c>
      <c r="H4053" s="122" t="s">
        <v>777</v>
      </c>
      <c r="I4053" s="312">
        <v>2022</v>
      </c>
      <c r="J4053" s="122" t="s">
        <v>713</v>
      </c>
      <c r="K4053" s="283">
        <v>1122</v>
      </c>
      <c r="L4053" s="318">
        <v>-33.655560000000001</v>
      </c>
      <c r="M4053" s="318">
        <v>151.063828</v>
      </c>
      <c r="O4053">
        <f>INDEX('MEC - traffic congestion'!$M$145:$M$249,MATCH($D4053,'MEC - traffic congestion'!$C$145:$C$249,0))</f>
        <v>1</v>
      </c>
      <c r="P4053" t="str">
        <f t="shared" ref="P4053:P4116" si="185">IF($O4053=1,$I4053&amp;$J4053,"")</f>
        <v>2022WEEKENDS</v>
      </c>
      <c r="Q4053">
        <f t="shared" ref="Q4053:Q4116" si="186">IF(AND($M4053&gt;150.246,AND($L4053&gt;-34.397,$L4053&lt;-32.662)),1,0)</f>
        <v>1</v>
      </c>
      <c r="R4053" s="195" t="str">
        <f t="shared" ref="R4053:R4116" si="187">IF($O4053=1,$I4053&amp;$H4053,"")</f>
        <v>2022LIGHT VEHICLES</v>
      </c>
    </row>
    <row r="4054" spans="3:18" x14ac:dyDescent="0.25">
      <c r="C4054" s="294" t="s">
        <v>1018</v>
      </c>
      <c r="D4054" s="317" t="s">
        <v>755</v>
      </c>
      <c r="E4054" s="122" t="s">
        <v>999</v>
      </c>
      <c r="F4054" s="122" t="s">
        <v>1017</v>
      </c>
      <c r="G4054" s="122" t="s">
        <v>785</v>
      </c>
      <c r="H4054" s="122" t="s">
        <v>777</v>
      </c>
      <c r="I4054" s="312">
        <v>2023</v>
      </c>
      <c r="J4054" s="122" t="s">
        <v>709</v>
      </c>
      <c r="K4054" s="283">
        <v>668</v>
      </c>
      <c r="L4054" s="318">
        <v>-33.655560000000001</v>
      </c>
      <c r="M4054" s="318">
        <v>151.063828</v>
      </c>
      <c r="O4054">
        <f>INDEX('MEC - traffic congestion'!$M$145:$M$249,MATCH($D4054,'MEC - traffic congestion'!$C$145:$C$249,0))</f>
        <v>1</v>
      </c>
      <c r="P4054" t="str">
        <f t="shared" si="185"/>
        <v>2023AM PEAK</v>
      </c>
      <c r="Q4054">
        <f t="shared" si="186"/>
        <v>1</v>
      </c>
      <c r="R4054" s="195" t="str">
        <f t="shared" si="187"/>
        <v>2023LIGHT VEHICLES</v>
      </c>
    </row>
    <row r="4055" spans="3:18" x14ac:dyDescent="0.25">
      <c r="C4055" s="294" t="s">
        <v>1018</v>
      </c>
      <c r="D4055" s="317" t="s">
        <v>755</v>
      </c>
      <c r="E4055" s="122" t="s">
        <v>999</v>
      </c>
      <c r="F4055" s="122" t="s">
        <v>1017</v>
      </c>
      <c r="G4055" s="122" t="s">
        <v>786</v>
      </c>
      <c r="H4055" s="122" t="s">
        <v>777</v>
      </c>
      <c r="I4055" s="312">
        <v>2023</v>
      </c>
      <c r="J4055" s="122" t="s">
        <v>709</v>
      </c>
      <c r="K4055" s="283">
        <v>414</v>
      </c>
      <c r="L4055" s="318">
        <v>-33.655560000000001</v>
      </c>
      <c r="M4055" s="318">
        <v>151.063828</v>
      </c>
      <c r="O4055">
        <f>INDEX('MEC - traffic congestion'!$M$145:$M$249,MATCH($D4055,'MEC - traffic congestion'!$C$145:$C$249,0))</f>
        <v>1</v>
      </c>
      <c r="P4055" t="str">
        <f t="shared" si="185"/>
        <v>2023AM PEAK</v>
      </c>
      <c r="Q4055">
        <f t="shared" si="186"/>
        <v>1</v>
      </c>
      <c r="R4055" s="195" t="str">
        <f t="shared" si="187"/>
        <v>2023LIGHT VEHICLES</v>
      </c>
    </row>
    <row r="4056" spans="3:18" x14ac:dyDescent="0.25">
      <c r="C4056" s="294" t="s">
        <v>1018</v>
      </c>
      <c r="D4056" s="317" t="s">
        <v>755</v>
      </c>
      <c r="E4056" s="122" t="s">
        <v>999</v>
      </c>
      <c r="F4056" s="122" t="s">
        <v>1017</v>
      </c>
      <c r="G4056" s="122" t="s">
        <v>785</v>
      </c>
      <c r="H4056" s="122" t="s">
        <v>777</v>
      </c>
      <c r="I4056" s="312">
        <v>2023</v>
      </c>
      <c r="J4056" s="122" t="s">
        <v>710</v>
      </c>
      <c r="K4056" s="283">
        <v>676</v>
      </c>
      <c r="L4056" s="318">
        <v>-33.655560000000001</v>
      </c>
      <c r="M4056" s="318">
        <v>151.063828</v>
      </c>
      <c r="O4056">
        <f>INDEX('MEC - traffic congestion'!$M$145:$M$249,MATCH($D4056,'MEC - traffic congestion'!$C$145:$C$249,0))</f>
        <v>1</v>
      </c>
      <c r="P4056" t="str">
        <f t="shared" si="185"/>
        <v>2023OFF PEAK</v>
      </c>
      <c r="Q4056">
        <f t="shared" si="186"/>
        <v>1</v>
      </c>
      <c r="R4056" s="195" t="str">
        <f t="shared" si="187"/>
        <v>2023LIGHT VEHICLES</v>
      </c>
    </row>
    <row r="4057" spans="3:18" x14ac:dyDescent="0.25">
      <c r="C4057" s="294" t="s">
        <v>1018</v>
      </c>
      <c r="D4057" s="317" t="s">
        <v>755</v>
      </c>
      <c r="E4057" s="122" t="s">
        <v>999</v>
      </c>
      <c r="F4057" s="122" t="s">
        <v>1017</v>
      </c>
      <c r="G4057" s="122" t="s">
        <v>786</v>
      </c>
      <c r="H4057" s="122" t="s">
        <v>777</v>
      </c>
      <c r="I4057" s="312">
        <v>2023</v>
      </c>
      <c r="J4057" s="122" t="s">
        <v>710</v>
      </c>
      <c r="K4057" s="283">
        <v>763</v>
      </c>
      <c r="L4057" s="318">
        <v>-33.655560000000001</v>
      </c>
      <c r="M4057" s="318">
        <v>151.063828</v>
      </c>
      <c r="O4057">
        <f>INDEX('MEC - traffic congestion'!$M$145:$M$249,MATCH($D4057,'MEC - traffic congestion'!$C$145:$C$249,0))</f>
        <v>1</v>
      </c>
      <c r="P4057" t="str">
        <f t="shared" si="185"/>
        <v>2023OFF PEAK</v>
      </c>
      <c r="Q4057">
        <f t="shared" si="186"/>
        <v>1</v>
      </c>
      <c r="R4057" s="195" t="str">
        <f t="shared" si="187"/>
        <v>2023LIGHT VEHICLES</v>
      </c>
    </row>
    <row r="4058" spans="3:18" x14ac:dyDescent="0.25">
      <c r="C4058" s="294" t="s">
        <v>1018</v>
      </c>
      <c r="D4058" s="317" t="s">
        <v>755</v>
      </c>
      <c r="E4058" s="122" t="s">
        <v>999</v>
      </c>
      <c r="F4058" s="122" t="s">
        <v>1017</v>
      </c>
      <c r="G4058" s="122" t="s">
        <v>785</v>
      </c>
      <c r="H4058" s="122" t="s">
        <v>777</v>
      </c>
      <c r="I4058" s="312">
        <v>2023</v>
      </c>
      <c r="J4058" s="122" t="s">
        <v>711</v>
      </c>
      <c r="K4058" s="283">
        <v>454</v>
      </c>
      <c r="L4058" s="318">
        <v>-33.655560000000001</v>
      </c>
      <c r="M4058" s="318">
        <v>151.063828</v>
      </c>
      <c r="O4058">
        <f>INDEX('MEC - traffic congestion'!$M$145:$M$249,MATCH($D4058,'MEC - traffic congestion'!$C$145:$C$249,0))</f>
        <v>1</v>
      </c>
      <c r="P4058" t="str">
        <f t="shared" si="185"/>
        <v>2023PM PEAK</v>
      </c>
      <c r="Q4058">
        <f t="shared" si="186"/>
        <v>1</v>
      </c>
      <c r="R4058" s="195" t="str">
        <f t="shared" si="187"/>
        <v>2023LIGHT VEHICLES</v>
      </c>
    </row>
    <row r="4059" spans="3:18" x14ac:dyDescent="0.25">
      <c r="C4059" s="294" t="s">
        <v>1018</v>
      </c>
      <c r="D4059" s="317" t="s">
        <v>755</v>
      </c>
      <c r="E4059" s="122" t="s">
        <v>999</v>
      </c>
      <c r="F4059" s="122" t="s">
        <v>1017</v>
      </c>
      <c r="G4059" s="122" t="s">
        <v>786</v>
      </c>
      <c r="H4059" s="122" t="s">
        <v>777</v>
      </c>
      <c r="I4059" s="312">
        <v>2023</v>
      </c>
      <c r="J4059" s="122" t="s">
        <v>711</v>
      </c>
      <c r="K4059" s="283">
        <v>811</v>
      </c>
      <c r="L4059" s="318">
        <v>-33.655560000000001</v>
      </c>
      <c r="M4059" s="318">
        <v>151.063828</v>
      </c>
      <c r="O4059">
        <f>INDEX('MEC - traffic congestion'!$M$145:$M$249,MATCH($D4059,'MEC - traffic congestion'!$C$145:$C$249,0))</f>
        <v>1</v>
      </c>
      <c r="P4059" t="str">
        <f t="shared" si="185"/>
        <v>2023PM PEAK</v>
      </c>
      <c r="Q4059">
        <f t="shared" si="186"/>
        <v>1</v>
      </c>
      <c r="R4059" s="195" t="str">
        <f t="shared" si="187"/>
        <v>2023LIGHT VEHICLES</v>
      </c>
    </row>
    <row r="4060" spans="3:18" x14ac:dyDescent="0.25">
      <c r="C4060" s="294" t="s">
        <v>1018</v>
      </c>
      <c r="D4060" s="317" t="s">
        <v>755</v>
      </c>
      <c r="E4060" s="122" t="s">
        <v>999</v>
      </c>
      <c r="F4060" s="122" t="s">
        <v>1017</v>
      </c>
      <c r="G4060" s="122" t="s">
        <v>785</v>
      </c>
      <c r="H4060" s="122" t="s">
        <v>777</v>
      </c>
      <c r="I4060" s="312">
        <v>2023</v>
      </c>
      <c r="J4060" s="122" t="s">
        <v>713</v>
      </c>
      <c r="K4060" s="283">
        <v>1600</v>
      </c>
      <c r="L4060" s="318">
        <v>-33.655560000000001</v>
      </c>
      <c r="M4060" s="318">
        <v>151.063828</v>
      </c>
      <c r="O4060">
        <f>INDEX('MEC - traffic congestion'!$M$145:$M$249,MATCH($D4060,'MEC - traffic congestion'!$C$145:$C$249,0))</f>
        <v>1</v>
      </c>
      <c r="P4060" t="str">
        <f t="shared" si="185"/>
        <v>2023WEEKENDS</v>
      </c>
      <c r="Q4060">
        <f t="shared" si="186"/>
        <v>1</v>
      </c>
      <c r="R4060" s="195" t="str">
        <f t="shared" si="187"/>
        <v>2023LIGHT VEHICLES</v>
      </c>
    </row>
    <row r="4061" spans="3:18" x14ac:dyDescent="0.25">
      <c r="C4061" s="294" t="s">
        <v>1018</v>
      </c>
      <c r="D4061" s="317" t="s">
        <v>755</v>
      </c>
      <c r="E4061" s="122" t="s">
        <v>999</v>
      </c>
      <c r="F4061" s="122" t="s">
        <v>1017</v>
      </c>
      <c r="G4061" s="122" t="s">
        <v>786</v>
      </c>
      <c r="H4061" s="122" t="s">
        <v>777</v>
      </c>
      <c r="I4061" s="312">
        <v>2023</v>
      </c>
      <c r="J4061" s="122" t="s">
        <v>713</v>
      </c>
      <c r="K4061" s="283">
        <v>1721</v>
      </c>
      <c r="L4061" s="318">
        <v>-33.655560000000001</v>
      </c>
      <c r="M4061" s="318">
        <v>151.063828</v>
      </c>
      <c r="O4061">
        <f>INDEX('MEC - traffic congestion'!$M$145:$M$249,MATCH($D4061,'MEC - traffic congestion'!$C$145:$C$249,0))</f>
        <v>1</v>
      </c>
      <c r="P4061" t="str">
        <f t="shared" si="185"/>
        <v>2023WEEKENDS</v>
      </c>
      <c r="Q4061">
        <f t="shared" si="186"/>
        <v>1</v>
      </c>
      <c r="R4061" s="195" t="str">
        <f t="shared" si="187"/>
        <v>2023LIGHT VEHICLES</v>
      </c>
    </row>
    <row r="4062" spans="3:18" x14ac:dyDescent="0.25">
      <c r="C4062" s="294" t="s">
        <v>1018</v>
      </c>
      <c r="D4062" s="317" t="s">
        <v>755</v>
      </c>
      <c r="E4062" s="122" t="s">
        <v>999</v>
      </c>
      <c r="F4062" s="122" t="s">
        <v>1017</v>
      </c>
      <c r="G4062" s="122" t="s">
        <v>785</v>
      </c>
      <c r="H4062" s="122" t="s">
        <v>777</v>
      </c>
      <c r="I4062" s="312">
        <v>2024</v>
      </c>
      <c r="J4062" s="122" t="s">
        <v>709</v>
      </c>
      <c r="K4062" s="283">
        <v>700</v>
      </c>
      <c r="L4062" s="318">
        <v>-33.655560000000001</v>
      </c>
      <c r="M4062" s="318">
        <v>151.063828</v>
      </c>
      <c r="O4062">
        <f>INDEX('MEC - traffic congestion'!$M$145:$M$249,MATCH($D4062,'MEC - traffic congestion'!$C$145:$C$249,0))</f>
        <v>1</v>
      </c>
      <c r="P4062" t="str">
        <f t="shared" si="185"/>
        <v>2024AM PEAK</v>
      </c>
      <c r="Q4062">
        <f t="shared" si="186"/>
        <v>1</v>
      </c>
      <c r="R4062" s="195" t="str">
        <f t="shared" si="187"/>
        <v>2024LIGHT VEHICLES</v>
      </c>
    </row>
    <row r="4063" spans="3:18" x14ac:dyDescent="0.25">
      <c r="C4063" s="294" t="s">
        <v>1018</v>
      </c>
      <c r="D4063" s="317" t="s">
        <v>755</v>
      </c>
      <c r="E4063" s="122" t="s">
        <v>999</v>
      </c>
      <c r="F4063" s="122" t="s">
        <v>1017</v>
      </c>
      <c r="G4063" s="122" t="s">
        <v>786</v>
      </c>
      <c r="H4063" s="122" t="s">
        <v>777</v>
      </c>
      <c r="I4063" s="312">
        <v>2024</v>
      </c>
      <c r="J4063" s="122" t="s">
        <v>709</v>
      </c>
      <c r="K4063" s="283">
        <v>414</v>
      </c>
      <c r="L4063" s="318">
        <v>-33.655560000000001</v>
      </c>
      <c r="M4063" s="318">
        <v>151.063828</v>
      </c>
      <c r="O4063">
        <f>INDEX('MEC - traffic congestion'!$M$145:$M$249,MATCH($D4063,'MEC - traffic congestion'!$C$145:$C$249,0))</f>
        <v>1</v>
      </c>
      <c r="P4063" t="str">
        <f t="shared" si="185"/>
        <v>2024AM PEAK</v>
      </c>
      <c r="Q4063">
        <f t="shared" si="186"/>
        <v>1</v>
      </c>
      <c r="R4063" s="195" t="str">
        <f t="shared" si="187"/>
        <v>2024LIGHT VEHICLES</v>
      </c>
    </row>
    <row r="4064" spans="3:18" x14ac:dyDescent="0.25">
      <c r="C4064" s="294" t="s">
        <v>1018</v>
      </c>
      <c r="D4064" s="317" t="s">
        <v>755</v>
      </c>
      <c r="E4064" s="122" t="s">
        <v>999</v>
      </c>
      <c r="F4064" s="122" t="s">
        <v>1017</v>
      </c>
      <c r="G4064" s="122" t="s">
        <v>785</v>
      </c>
      <c r="H4064" s="122" t="s">
        <v>777</v>
      </c>
      <c r="I4064" s="312">
        <v>2024</v>
      </c>
      <c r="J4064" s="122" t="s">
        <v>710</v>
      </c>
      <c r="K4064" s="283">
        <v>706</v>
      </c>
      <c r="L4064" s="318">
        <v>-33.655560000000001</v>
      </c>
      <c r="M4064" s="318">
        <v>151.063828</v>
      </c>
      <c r="O4064">
        <f>INDEX('MEC - traffic congestion'!$M$145:$M$249,MATCH($D4064,'MEC - traffic congestion'!$C$145:$C$249,0))</f>
        <v>1</v>
      </c>
      <c r="P4064" t="str">
        <f t="shared" si="185"/>
        <v>2024OFF PEAK</v>
      </c>
      <c r="Q4064">
        <f t="shared" si="186"/>
        <v>1</v>
      </c>
      <c r="R4064" s="195" t="str">
        <f t="shared" si="187"/>
        <v>2024LIGHT VEHICLES</v>
      </c>
    </row>
    <row r="4065" spans="3:18" x14ac:dyDescent="0.25">
      <c r="C4065" s="294" t="s">
        <v>1018</v>
      </c>
      <c r="D4065" s="317" t="s">
        <v>755</v>
      </c>
      <c r="E4065" s="122" t="s">
        <v>999</v>
      </c>
      <c r="F4065" s="122" t="s">
        <v>1017</v>
      </c>
      <c r="G4065" s="122" t="s">
        <v>786</v>
      </c>
      <c r="H4065" s="122" t="s">
        <v>777</v>
      </c>
      <c r="I4065" s="312">
        <v>2024</v>
      </c>
      <c r="J4065" s="122" t="s">
        <v>710</v>
      </c>
      <c r="K4065" s="283">
        <v>798</v>
      </c>
      <c r="L4065" s="318">
        <v>-33.655560000000001</v>
      </c>
      <c r="M4065" s="318">
        <v>151.063828</v>
      </c>
      <c r="O4065">
        <f>INDEX('MEC - traffic congestion'!$M$145:$M$249,MATCH($D4065,'MEC - traffic congestion'!$C$145:$C$249,0))</f>
        <v>1</v>
      </c>
      <c r="P4065" t="str">
        <f t="shared" si="185"/>
        <v>2024OFF PEAK</v>
      </c>
      <c r="Q4065">
        <f t="shared" si="186"/>
        <v>1</v>
      </c>
      <c r="R4065" s="195" t="str">
        <f t="shared" si="187"/>
        <v>2024LIGHT VEHICLES</v>
      </c>
    </row>
    <row r="4066" spans="3:18" x14ac:dyDescent="0.25">
      <c r="C4066" s="294" t="s">
        <v>1018</v>
      </c>
      <c r="D4066" s="317" t="s">
        <v>755</v>
      </c>
      <c r="E4066" s="122" t="s">
        <v>999</v>
      </c>
      <c r="F4066" s="122" t="s">
        <v>1017</v>
      </c>
      <c r="G4066" s="122" t="s">
        <v>785</v>
      </c>
      <c r="H4066" s="122" t="s">
        <v>777</v>
      </c>
      <c r="I4066" s="312">
        <v>2024</v>
      </c>
      <c r="J4066" s="122" t="s">
        <v>711</v>
      </c>
      <c r="K4066" s="283">
        <v>460</v>
      </c>
      <c r="L4066" s="318">
        <v>-33.655560000000001</v>
      </c>
      <c r="M4066" s="318">
        <v>151.063828</v>
      </c>
      <c r="O4066">
        <f>INDEX('MEC - traffic congestion'!$M$145:$M$249,MATCH($D4066,'MEC - traffic congestion'!$C$145:$C$249,0))</f>
        <v>1</v>
      </c>
      <c r="P4066" t="str">
        <f t="shared" si="185"/>
        <v>2024PM PEAK</v>
      </c>
      <c r="Q4066">
        <f t="shared" si="186"/>
        <v>1</v>
      </c>
      <c r="R4066" s="195" t="str">
        <f t="shared" si="187"/>
        <v>2024LIGHT VEHICLES</v>
      </c>
    </row>
    <row r="4067" spans="3:18" x14ac:dyDescent="0.25">
      <c r="C4067" s="294" t="s">
        <v>1018</v>
      </c>
      <c r="D4067" s="317" t="s">
        <v>755</v>
      </c>
      <c r="E4067" s="122" t="s">
        <v>999</v>
      </c>
      <c r="F4067" s="122" t="s">
        <v>1017</v>
      </c>
      <c r="G4067" s="122" t="s">
        <v>786</v>
      </c>
      <c r="H4067" s="122" t="s">
        <v>777</v>
      </c>
      <c r="I4067" s="312">
        <v>2024</v>
      </c>
      <c r="J4067" s="122" t="s">
        <v>711</v>
      </c>
      <c r="K4067" s="283">
        <v>825</v>
      </c>
      <c r="L4067" s="318">
        <v>-33.655560000000001</v>
      </c>
      <c r="M4067" s="318">
        <v>151.063828</v>
      </c>
      <c r="O4067">
        <f>INDEX('MEC - traffic congestion'!$M$145:$M$249,MATCH($D4067,'MEC - traffic congestion'!$C$145:$C$249,0))</f>
        <v>1</v>
      </c>
      <c r="P4067" t="str">
        <f t="shared" si="185"/>
        <v>2024PM PEAK</v>
      </c>
      <c r="Q4067">
        <f t="shared" si="186"/>
        <v>1</v>
      </c>
      <c r="R4067" s="195" t="str">
        <f t="shared" si="187"/>
        <v>2024LIGHT VEHICLES</v>
      </c>
    </row>
    <row r="4068" spans="3:18" x14ac:dyDescent="0.25">
      <c r="C4068" s="294" t="s">
        <v>1018</v>
      </c>
      <c r="D4068" s="317" t="s">
        <v>755</v>
      </c>
      <c r="E4068" s="122" t="s">
        <v>999</v>
      </c>
      <c r="F4068" s="122" t="s">
        <v>1017</v>
      </c>
      <c r="G4068" s="122" t="s">
        <v>785</v>
      </c>
      <c r="H4068" s="122" t="s">
        <v>777</v>
      </c>
      <c r="I4068" s="312">
        <v>2024</v>
      </c>
      <c r="J4068" s="122" t="s">
        <v>713</v>
      </c>
      <c r="K4068" s="283">
        <v>1605</v>
      </c>
      <c r="L4068" s="318">
        <v>-33.655560000000001</v>
      </c>
      <c r="M4068" s="318">
        <v>151.063828</v>
      </c>
      <c r="O4068">
        <f>INDEX('MEC - traffic congestion'!$M$145:$M$249,MATCH($D4068,'MEC - traffic congestion'!$C$145:$C$249,0))</f>
        <v>1</v>
      </c>
      <c r="P4068" t="str">
        <f t="shared" si="185"/>
        <v>2024WEEKENDS</v>
      </c>
      <c r="Q4068">
        <f t="shared" si="186"/>
        <v>1</v>
      </c>
      <c r="R4068" s="195" t="str">
        <f t="shared" si="187"/>
        <v>2024LIGHT VEHICLES</v>
      </c>
    </row>
    <row r="4069" spans="3:18" x14ac:dyDescent="0.25">
      <c r="C4069" s="294" t="s">
        <v>1018</v>
      </c>
      <c r="D4069" s="317" t="s">
        <v>755</v>
      </c>
      <c r="E4069" s="122" t="s">
        <v>999</v>
      </c>
      <c r="F4069" s="122" t="s">
        <v>1017</v>
      </c>
      <c r="G4069" s="122" t="s">
        <v>786</v>
      </c>
      <c r="H4069" s="122" t="s">
        <v>777</v>
      </c>
      <c r="I4069" s="312">
        <v>2024</v>
      </c>
      <c r="J4069" s="122" t="s">
        <v>713</v>
      </c>
      <c r="K4069" s="283">
        <v>1743</v>
      </c>
      <c r="L4069" s="318">
        <v>-33.655560000000001</v>
      </c>
      <c r="M4069" s="318">
        <v>151.063828</v>
      </c>
      <c r="O4069">
        <f>INDEX('MEC - traffic congestion'!$M$145:$M$249,MATCH($D4069,'MEC - traffic congestion'!$C$145:$C$249,0))</f>
        <v>1</v>
      </c>
      <c r="P4069" t="str">
        <f t="shared" si="185"/>
        <v>2024WEEKENDS</v>
      </c>
      <c r="Q4069">
        <f t="shared" si="186"/>
        <v>1</v>
      </c>
      <c r="R4069" s="195" t="str">
        <f t="shared" si="187"/>
        <v>2024LIGHT VEHICLES</v>
      </c>
    </row>
    <row r="4070" spans="3:18" x14ac:dyDescent="0.25">
      <c r="C4070" s="294" t="s">
        <v>1019</v>
      </c>
      <c r="D4070" s="317" t="s">
        <v>756</v>
      </c>
      <c r="E4070" s="122" t="s">
        <v>999</v>
      </c>
      <c r="F4070" s="122" t="s">
        <v>1020</v>
      </c>
      <c r="G4070" s="122" t="s">
        <v>785</v>
      </c>
      <c r="H4070" s="122" t="s">
        <v>777</v>
      </c>
      <c r="I4070" s="312">
        <v>2018</v>
      </c>
      <c r="J4070" s="122" t="s">
        <v>709</v>
      </c>
      <c r="K4070" s="283">
        <v>3321</v>
      </c>
      <c r="L4070" s="318">
        <v>-33.689632000000003</v>
      </c>
      <c r="M4070" s="318">
        <v>151.097748</v>
      </c>
      <c r="O4070">
        <f>INDEX('MEC - traffic congestion'!$M$145:$M$249,MATCH($D4070,'MEC - traffic congestion'!$C$145:$C$249,0))</f>
        <v>1</v>
      </c>
      <c r="P4070" t="str">
        <f t="shared" si="185"/>
        <v>2018AM PEAK</v>
      </c>
      <c r="Q4070">
        <f t="shared" si="186"/>
        <v>1</v>
      </c>
      <c r="R4070" s="195" t="str">
        <f t="shared" si="187"/>
        <v>2018LIGHT VEHICLES</v>
      </c>
    </row>
    <row r="4071" spans="3:18" x14ac:dyDescent="0.25">
      <c r="C4071" s="294" t="s">
        <v>1019</v>
      </c>
      <c r="D4071" s="317" t="s">
        <v>756</v>
      </c>
      <c r="E4071" s="122" t="s">
        <v>999</v>
      </c>
      <c r="F4071" s="122" t="s">
        <v>1020</v>
      </c>
      <c r="G4071" s="122" t="s">
        <v>786</v>
      </c>
      <c r="H4071" s="122" t="s">
        <v>777</v>
      </c>
      <c r="I4071" s="312">
        <v>2018</v>
      </c>
      <c r="J4071" s="122" t="s">
        <v>709</v>
      </c>
      <c r="K4071" s="283">
        <v>1455</v>
      </c>
      <c r="L4071" s="318">
        <v>-33.689632000000003</v>
      </c>
      <c r="M4071" s="318">
        <v>151.097748</v>
      </c>
      <c r="O4071">
        <f>INDEX('MEC - traffic congestion'!$M$145:$M$249,MATCH($D4071,'MEC - traffic congestion'!$C$145:$C$249,0))</f>
        <v>1</v>
      </c>
      <c r="P4071" t="str">
        <f t="shared" si="185"/>
        <v>2018AM PEAK</v>
      </c>
      <c r="Q4071">
        <f t="shared" si="186"/>
        <v>1</v>
      </c>
      <c r="R4071" s="195" t="str">
        <f t="shared" si="187"/>
        <v>2018LIGHT VEHICLES</v>
      </c>
    </row>
    <row r="4072" spans="3:18" x14ac:dyDescent="0.25">
      <c r="C4072" s="294" t="s">
        <v>1019</v>
      </c>
      <c r="D4072" s="317" t="s">
        <v>756</v>
      </c>
      <c r="E4072" s="122" t="s">
        <v>999</v>
      </c>
      <c r="F4072" s="122" t="s">
        <v>1020</v>
      </c>
      <c r="G4072" s="122" t="s">
        <v>785</v>
      </c>
      <c r="H4072" s="122" t="s">
        <v>777</v>
      </c>
      <c r="I4072" s="312">
        <v>2018</v>
      </c>
      <c r="J4072" s="122" t="s">
        <v>710</v>
      </c>
      <c r="K4072" s="283">
        <v>3072</v>
      </c>
      <c r="L4072" s="318">
        <v>-33.689632000000003</v>
      </c>
      <c r="M4072" s="318">
        <v>151.097748</v>
      </c>
      <c r="O4072">
        <f>INDEX('MEC - traffic congestion'!$M$145:$M$249,MATCH($D4072,'MEC - traffic congestion'!$C$145:$C$249,0))</f>
        <v>1</v>
      </c>
      <c r="P4072" t="str">
        <f t="shared" si="185"/>
        <v>2018OFF PEAK</v>
      </c>
      <c r="Q4072">
        <f t="shared" si="186"/>
        <v>1</v>
      </c>
      <c r="R4072" s="195" t="str">
        <f t="shared" si="187"/>
        <v>2018LIGHT VEHICLES</v>
      </c>
    </row>
    <row r="4073" spans="3:18" x14ac:dyDescent="0.25">
      <c r="C4073" s="294" t="s">
        <v>1019</v>
      </c>
      <c r="D4073" s="317" t="s">
        <v>756</v>
      </c>
      <c r="E4073" s="122" t="s">
        <v>999</v>
      </c>
      <c r="F4073" s="122" t="s">
        <v>1020</v>
      </c>
      <c r="G4073" s="122" t="s">
        <v>786</v>
      </c>
      <c r="H4073" s="122" t="s">
        <v>777</v>
      </c>
      <c r="I4073" s="312">
        <v>2018</v>
      </c>
      <c r="J4073" s="122" t="s">
        <v>710</v>
      </c>
      <c r="K4073" s="283">
        <v>3727</v>
      </c>
      <c r="L4073" s="318">
        <v>-33.689632000000003</v>
      </c>
      <c r="M4073" s="318">
        <v>151.097748</v>
      </c>
      <c r="O4073">
        <f>INDEX('MEC - traffic congestion'!$M$145:$M$249,MATCH($D4073,'MEC - traffic congestion'!$C$145:$C$249,0))</f>
        <v>1</v>
      </c>
      <c r="P4073" t="str">
        <f t="shared" si="185"/>
        <v>2018OFF PEAK</v>
      </c>
      <c r="Q4073">
        <f t="shared" si="186"/>
        <v>1</v>
      </c>
      <c r="R4073" s="195" t="str">
        <f t="shared" si="187"/>
        <v>2018LIGHT VEHICLES</v>
      </c>
    </row>
    <row r="4074" spans="3:18" x14ac:dyDescent="0.25">
      <c r="C4074" s="294" t="s">
        <v>1019</v>
      </c>
      <c r="D4074" s="317" t="s">
        <v>756</v>
      </c>
      <c r="E4074" s="122" t="s">
        <v>999</v>
      </c>
      <c r="F4074" s="122" t="s">
        <v>1020</v>
      </c>
      <c r="G4074" s="122" t="s">
        <v>785</v>
      </c>
      <c r="H4074" s="122" t="s">
        <v>777</v>
      </c>
      <c r="I4074" s="312">
        <v>2018</v>
      </c>
      <c r="J4074" s="122" t="s">
        <v>711</v>
      </c>
      <c r="K4074" s="283">
        <v>1967</v>
      </c>
      <c r="L4074" s="318">
        <v>-33.689632000000003</v>
      </c>
      <c r="M4074" s="318">
        <v>151.097748</v>
      </c>
      <c r="O4074">
        <f>INDEX('MEC - traffic congestion'!$M$145:$M$249,MATCH($D4074,'MEC - traffic congestion'!$C$145:$C$249,0))</f>
        <v>1</v>
      </c>
      <c r="P4074" t="str">
        <f t="shared" si="185"/>
        <v>2018PM PEAK</v>
      </c>
      <c r="Q4074">
        <f t="shared" si="186"/>
        <v>1</v>
      </c>
      <c r="R4074" s="195" t="str">
        <f t="shared" si="187"/>
        <v>2018LIGHT VEHICLES</v>
      </c>
    </row>
    <row r="4075" spans="3:18" x14ac:dyDescent="0.25">
      <c r="C4075" s="294" t="s">
        <v>1019</v>
      </c>
      <c r="D4075" s="317" t="s">
        <v>756</v>
      </c>
      <c r="E4075" s="122" t="s">
        <v>999</v>
      </c>
      <c r="F4075" s="122" t="s">
        <v>1020</v>
      </c>
      <c r="G4075" s="122" t="s">
        <v>786</v>
      </c>
      <c r="H4075" s="122" t="s">
        <v>777</v>
      </c>
      <c r="I4075" s="312">
        <v>2018</v>
      </c>
      <c r="J4075" s="122" t="s">
        <v>711</v>
      </c>
      <c r="K4075" s="283">
        <v>3761</v>
      </c>
      <c r="L4075" s="318">
        <v>-33.689632000000003</v>
      </c>
      <c r="M4075" s="318">
        <v>151.097748</v>
      </c>
      <c r="O4075">
        <f>INDEX('MEC - traffic congestion'!$M$145:$M$249,MATCH($D4075,'MEC - traffic congestion'!$C$145:$C$249,0))</f>
        <v>1</v>
      </c>
      <c r="P4075" t="str">
        <f t="shared" si="185"/>
        <v>2018PM PEAK</v>
      </c>
      <c r="Q4075">
        <f t="shared" si="186"/>
        <v>1</v>
      </c>
      <c r="R4075" s="195" t="str">
        <f t="shared" si="187"/>
        <v>2018LIGHT VEHICLES</v>
      </c>
    </row>
    <row r="4076" spans="3:18" x14ac:dyDescent="0.25">
      <c r="C4076" s="294" t="s">
        <v>1019</v>
      </c>
      <c r="D4076" s="317" t="s">
        <v>756</v>
      </c>
      <c r="E4076" s="122" t="s">
        <v>999</v>
      </c>
      <c r="F4076" s="122" t="s">
        <v>1020</v>
      </c>
      <c r="G4076" s="122" t="s">
        <v>785</v>
      </c>
      <c r="H4076" s="122" t="s">
        <v>777</v>
      </c>
      <c r="I4076" s="312">
        <v>2018</v>
      </c>
      <c r="J4076" s="122" t="s">
        <v>712</v>
      </c>
      <c r="K4076" s="283">
        <v>5453</v>
      </c>
      <c r="L4076" s="318">
        <v>-33.689632000000003</v>
      </c>
      <c r="M4076" s="318">
        <v>151.097748</v>
      </c>
      <c r="O4076">
        <f>INDEX('MEC - traffic congestion'!$M$145:$M$249,MATCH($D4076,'MEC - traffic congestion'!$C$145:$C$249,0))</f>
        <v>1</v>
      </c>
      <c r="P4076" t="str">
        <f t="shared" si="185"/>
        <v>2018PUBLIC HOLIDAYS</v>
      </c>
      <c r="Q4076">
        <f t="shared" si="186"/>
        <v>1</v>
      </c>
      <c r="R4076" s="195" t="str">
        <f t="shared" si="187"/>
        <v>2018LIGHT VEHICLES</v>
      </c>
    </row>
    <row r="4077" spans="3:18" x14ac:dyDescent="0.25">
      <c r="C4077" s="294" t="s">
        <v>1019</v>
      </c>
      <c r="D4077" s="317" t="s">
        <v>756</v>
      </c>
      <c r="E4077" s="122" t="s">
        <v>999</v>
      </c>
      <c r="F4077" s="122" t="s">
        <v>1020</v>
      </c>
      <c r="G4077" s="122" t="s">
        <v>786</v>
      </c>
      <c r="H4077" s="122" t="s">
        <v>777</v>
      </c>
      <c r="I4077" s="312">
        <v>2018</v>
      </c>
      <c r="J4077" s="122" t="s">
        <v>712</v>
      </c>
      <c r="K4077" s="283">
        <v>5581</v>
      </c>
      <c r="L4077" s="318">
        <v>-33.689632000000003</v>
      </c>
      <c r="M4077" s="318">
        <v>151.097748</v>
      </c>
      <c r="O4077">
        <f>INDEX('MEC - traffic congestion'!$M$145:$M$249,MATCH($D4077,'MEC - traffic congestion'!$C$145:$C$249,0))</f>
        <v>1</v>
      </c>
      <c r="P4077" t="str">
        <f t="shared" si="185"/>
        <v>2018PUBLIC HOLIDAYS</v>
      </c>
      <c r="Q4077">
        <f t="shared" si="186"/>
        <v>1</v>
      </c>
      <c r="R4077" s="195" t="str">
        <f t="shared" si="187"/>
        <v>2018LIGHT VEHICLES</v>
      </c>
    </row>
    <row r="4078" spans="3:18" x14ac:dyDescent="0.25">
      <c r="C4078" s="294" t="s">
        <v>1019</v>
      </c>
      <c r="D4078" s="317" t="s">
        <v>756</v>
      </c>
      <c r="E4078" s="122" t="s">
        <v>999</v>
      </c>
      <c r="F4078" s="122" t="s">
        <v>1020</v>
      </c>
      <c r="G4078" s="122" t="s">
        <v>785</v>
      </c>
      <c r="H4078" s="122" t="s">
        <v>777</v>
      </c>
      <c r="I4078" s="312">
        <v>2018</v>
      </c>
      <c r="J4078" s="122" t="s">
        <v>713</v>
      </c>
      <c r="K4078" s="283">
        <v>7191</v>
      </c>
      <c r="L4078" s="318">
        <v>-33.689632000000003</v>
      </c>
      <c r="M4078" s="318">
        <v>151.097748</v>
      </c>
      <c r="O4078">
        <f>INDEX('MEC - traffic congestion'!$M$145:$M$249,MATCH($D4078,'MEC - traffic congestion'!$C$145:$C$249,0))</f>
        <v>1</v>
      </c>
      <c r="P4078" t="str">
        <f t="shared" si="185"/>
        <v>2018WEEKENDS</v>
      </c>
      <c r="Q4078">
        <f t="shared" si="186"/>
        <v>1</v>
      </c>
      <c r="R4078" s="195" t="str">
        <f t="shared" si="187"/>
        <v>2018LIGHT VEHICLES</v>
      </c>
    </row>
    <row r="4079" spans="3:18" x14ac:dyDescent="0.25">
      <c r="C4079" s="294" t="s">
        <v>1019</v>
      </c>
      <c r="D4079" s="317" t="s">
        <v>756</v>
      </c>
      <c r="E4079" s="122" t="s">
        <v>999</v>
      </c>
      <c r="F4079" s="122" t="s">
        <v>1020</v>
      </c>
      <c r="G4079" s="122" t="s">
        <v>786</v>
      </c>
      <c r="H4079" s="122" t="s">
        <v>777</v>
      </c>
      <c r="I4079" s="312">
        <v>2018</v>
      </c>
      <c r="J4079" s="122" t="s">
        <v>713</v>
      </c>
      <c r="K4079" s="283">
        <v>7460</v>
      </c>
      <c r="L4079" s="318">
        <v>-33.689632000000003</v>
      </c>
      <c r="M4079" s="318">
        <v>151.097748</v>
      </c>
      <c r="O4079">
        <f>INDEX('MEC - traffic congestion'!$M$145:$M$249,MATCH($D4079,'MEC - traffic congestion'!$C$145:$C$249,0))</f>
        <v>1</v>
      </c>
      <c r="P4079" t="str">
        <f t="shared" si="185"/>
        <v>2018WEEKENDS</v>
      </c>
      <c r="Q4079">
        <f t="shared" si="186"/>
        <v>1</v>
      </c>
      <c r="R4079" s="195" t="str">
        <f t="shared" si="187"/>
        <v>2018LIGHT VEHICLES</v>
      </c>
    </row>
    <row r="4080" spans="3:18" x14ac:dyDescent="0.25">
      <c r="C4080" s="294" t="s">
        <v>1019</v>
      </c>
      <c r="D4080" s="317" t="s">
        <v>756</v>
      </c>
      <c r="E4080" s="122" t="s">
        <v>999</v>
      </c>
      <c r="F4080" s="122" t="s">
        <v>1020</v>
      </c>
      <c r="G4080" s="122" t="s">
        <v>785</v>
      </c>
      <c r="H4080" s="122" t="s">
        <v>777</v>
      </c>
      <c r="I4080" s="312">
        <v>2019</v>
      </c>
      <c r="J4080" s="122" t="s">
        <v>709</v>
      </c>
      <c r="K4080" s="283">
        <v>3294</v>
      </c>
      <c r="L4080" s="318">
        <v>-33.689632000000003</v>
      </c>
      <c r="M4080" s="318">
        <v>151.097748</v>
      </c>
      <c r="O4080">
        <f>INDEX('MEC - traffic congestion'!$M$145:$M$249,MATCH($D4080,'MEC - traffic congestion'!$C$145:$C$249,0))</f>
        <v>1</v>
      </c>
      <c r="P4080" t="str">
        <f t="shared" si="185"/>
        <v>2019AM PEAK</v>
      </c>
      <c r="Q4080">
        <f t="shared" si="186"/>
        <v>1</v>
      </c>
      <c r="R4080" s="195" t="str">
        <f t="shared" si="187"/>
        <v>2019LIGHT VEHICLES</v>
      </c>
    </row>
    <row r="4081" spans="3:18" x14ac:dyDescent="0.25">
      <c r="C4081" s="294" t="s">
        <v>1019</v>
      </c>
      <c r="D4081" s="317" t="s">
        <v>756</v>
      </c>
      <c r="E4081" s="122" t="s">
        <v>999</v>
      </c>
      <c r="F4081" s="122" t="s">
        <v>1020</v>
      </c>
      <c r="G4081" s="122" t="s">
        <v>786</v>
      </c>
      <c r="H4081" s="122" t="s">
        <v>777</v>
      </c>
      <c r="I4081" s="312">
        <v>2019</v>
      </c>
      <c r="J4081" s="122" t="s">
        <v>709</v>
      </c>
      <c r="K4081" s="283">
        <v>1428</v>
      </c>
      <c r="L4081" s="318">
        <v>-33.689632000000003</v>
      </c>
      <c r="M4081" s="318">
        <v>151.097748</v>
      </c>
      <c r="O4081">
        <f>INDEX('MEC - traffic congestion'!$M$145:$M$249,MATCH($D4081,'MEC - traffic congestion'!$C$145:$C$249,0))</f>
        <v>1</v>
      </c>
      <c r="P4081" t="str">
        <f t="shared" si="185"/>
        <v>2019AM PEAK</v>
      </c>
      <c r="Q4081">
        <f t="shared" si="186"/>
        <v>1</v>
      </c>
      <c r="R4081" s="195" t="str">
        <f t="shared" si="187"/>
        <v>2019LIGHT VEHICLES</v>
      </c>
    </row>
    <row r="4082" spans="3:18" x14ac:dyDescent="0.25">
      <c r="C4082" s="294" t="s">
        <v>1019</v>
      </c>
      <c r="D4082" s="317" t="s">
        <v>756</v>
      </c>
      <c r="E4082" s="122" t="s">
        <v>999</v>
      </c>
      <c r="F4082" s="122" t="s">
        <v>1020</v>
      </c>
      <c r="G4082" s="122" t="s">
        <v>785</v>
      </c>
      <c r="H4082" s="122" t="s">
        <v>777</v>
      </c>
      <c r="I4082" s="312">
        <v>2019</v>
      </c>
      <c r="J4082" s="122" t="s">
        <v>710</v>
      </c>
      <c r="K4082" s="283">
        <v>3041</v>
      </c>
      <c r="L4082" s="318">
        <v>-33.689632000000003</v>
      </c>
      <c r="M4082" s="318">
        <v>151.097748</v>
      </c>
      <c r="O4082">
        <f>INDEX('MEC - traffic congestion'!$M$145:$M$249,MATCH($D4082,'MEC - traffic congestion'!$C$145:$C$249,0))</f>
        <v>1</v>
      </c>
      <c r="P4082" t="str">
        <f t="shared" si="185"/>
        <v>2019OFF PEAK</v>
      </c>
      <c r="Q4082">
        <f t="shared" si="186"/>
        <v>1</v>
      </c>
      <c r="R4082" s="195" t="str">
        <f t="shared" si="187"/>
        <v>2019LIGHT VEHICLES</v>
      </c>
    </row>
    <row r="4083" spans="3:18" x14ac:dyDescent="0.25">
      <c r="C4083" s="294" t="s">
        <v>1019</v>
      </c>
      <c r="D4083" s="317" t="s">
        <v>756</v>
      </c>
      <c r="E4083" s="122" t="s">
        <v>999</v>
      </c>
      <c r="F4083" s="122" t="s">
        <v>1020</v>
      </c>
      <c r="G4083" s="122" t="s">
        <v>786</v>
      </c>
      <c r="H4083" s="122" t="s">
        <v>777</v>
      </c>
      <c r="I4083" s="312">
        <v>2019</v>
      </c>
      <c r="J4083" s="122" t="s">
        <v>710</v>
      </c>
      <c r="K4083" s="283">
        <v>3679</v>
      </c>
      <c r="L4083" s="318">
        <v>-33.689632000000003</v>
      </c>
      <c r="M4083" s="318">
        <v>151.097748</v>
      </c>
      <c r="O4083">
        <f>INDEX('MEC - traffic congestion'!$M$145:$M$249,MATCH($D4083,'MEC - traffic congestion'!$C$145:$C$249,0))</f>
        <v>1</v>
      </c>
      <c r="P4083" t="str">
        <f t="shared" si="185"/>
        <v>2019OFF PEAK</v>
      </c>
      <c r="Q4083">
        <f t="shared" si="186"/>
        <v>1</v>
      </c>
      <c r="R4083" s="195" t="str">
        <f t="shared" si="187"/>
        <v>2019LIGHT VEHICLES</v>
      </c>
    </row>
    <row r="4084" spans="3:18" x14ac:dyDescent="0.25">
      <c r="C4084" s="294" t="s">
        <v>1019</v>
      </c>
      <c r="D4084" s="317" t="s">
        <v>756</v>
      </c>
      <c r="E4084" s="122" t="s">
        <v>999</v>
      </c>
      <c r="F4084" s="122" t="s">
        <v>1020</v>
      </c>
      <c r="G4084" s="122" t="s">
        <v>785</v>
      </c>
      <c r="H4084" s="122" t="s">
        <v>777</v>
      </c>
      <c r="I4084" s="312">
        <v>2019</v>
      </c>
      <c r="J4084" s="122" t="s">
        <v>711</v>
      </c>
      <c r="K4084" s="283">
        <v>1949</v>
      </c>
      <c r="L4084" s="318">
        <v>-33.689632000000003</v>
      </c>
      <c r="M4084" s="318">
        <v>151.097748</v>
      </c>
      <c r="O4084">
        <f>INDEX('MEC - traffic congestion'!$M$145:$M$249,MATCH($D4084,'MEC - traffic congestion'!$C$145:$C$249,0))</f>
        <v>1</v>
      </c>
      <c r="P4084" t="str">
        <f t="shared" si="185"/>
        <v>2019PM PEAK</v>
      </c>
      <c r="Q4084">
        <f t="shared" si="186"/>
        <v>1</v>
      </c>
      <c r="R4084" s="195" t="str">
        <f t="shared" si="187"/>
        <v>2019LIGHT VEHICLES</v>
      </c>
    </row>
    <row r="4085" spans="3:18" x14ac:dyDescent="0.25">
      <c r="C4085" s="294" t="s">
        <v>1019</v>
      </c>
      <c r="D4085" s="317" t="s">
        <v>756</v>
      </c>
      <c r="E4085" s="122" t="s">
        <v>999</v>
      </c>
      <c r="F4085" s="122" t="s">
        <v>1020</v>
      </c>
      <c r="G4085" s="122" t="s">
        <v>786</v>
      </c>
      <c r="H4085" s="122" t="s">
        <v>777</v>
      </c>
      <c r="I4085" s="312">
        <v>2019</v>
      </c>
      <c r="J4085" s="122" t="s">
        <v>711</v>
      </c>
      <c r="K4085" s="283">
        <v>3621</v>
      </c>
      <c r="L4085" s="318">
        <v>-33.689632000000003</v>
      </c>
      <c r="M4085" s="318">
        <v>151.097748</v>
      </c>
      <c r="O4085">
        <f>INDEX('MEC - traffic congestion'!$M$145:$M$249,MATCH($D4085,'MEC - traffic congestion'!$C$145:$C$249,0))</f>
        <v>1</v>
      </c>
      <c r="P4085" t="str">
        <f t="shared" si="185"/>
        <v>2019PM PEAK</v>
      </c>
      <c r="Q4085">
        <f t="shared" si="186"/>
        <v>1</v>
      </c>
      <c r="R4085" s="195" t="str">
        <f t="shared" si="187"/>
        <v>2019LIGHT VEHICLES</v>
      </c>
    </row>
    <row r="4086" spans="3:18" x14ac:dyDescent="0.25">
      <c r="C4086" s="294" t="s">
        <v>1019</v>
      </c>
      <c r="D4086" s="317" t="s">
        <v>756</v>
      </c>
      <c r="E4086" s="122" t="s">
        <v>999</v>
      </c>
      <c r="F4086" s="122" t="s">
        <v>1020</v>
      </c>
      <c r="G4086" s="122" t="s">
        <v>785</v>
      </c>
      <c r="H4086" s="122" t="s">
        <v>777</v>
      </c>
      <c r="I4086" s="312">
        <v>2019</v>
      </c>
      <c r="J4086" s="122" t="s">
        <v>712</v>
      </c>
      <c r="K4086" s="283">
        <v>5559</v>
      </c>
      <c r="L4086" s="318">
        <v>-33.689632000000003</v>
      </c>
      <c r="M4086" s="318">
        <v>151.097748</v>
      </c>
      <c r="O4086">
        <f>INDEX('MEC - traffic congestion'!$M$145:$M$249,MATCH($D4086,'MEC - traffic congestion'!$C$145:$C$249,0))</f>
        <v>1</v>
      </c>
      <c r="P4086" t="str">
        <f t="shared" si="185"/>
        <v>2019PUBLIC HOLIDAYS</v>
      </c>
      <c r="Q4086">
        <f t="shared" si="186"/>
        <v>1</v>
      </c>
      <c r="R4086" s="195" t="str">
        <f t="shared" si="187"/>
        <v>2019LIGHT VEHICLES</v>
      </c>
    </row>
    <row r="4087" spans="3:18" x14ac:dyDescent="0.25">
      <c r="C4087" s="294" t="s">
        <v>1019</v>
      </c>
      <c r="D4087" s="317" t="s">
        <v>756</v>
      </c>
      <c r="E4087" s="122" t="s">
        <v>999</v>
      </c>
      <c r="F4087" s="122" t="s">
        <v>1020</v>
      </c>
      <c r="G4087" s="122" t="s">
        <v>786</v>
      </c>
      <c r="H4087" s="122" t="s">
        <v>777</v>
      </c>
      <c r="I4087" s="312">
        <v>2019</v>
      </c>
      <c r="J4087" s="122" t="s">
        <v>712</v>
      </c>
      <c r="K4087" s="283">
        <v>5574</v>
      </c>
      <c r="L4087" s="318">
        <v>-33.689632000000003</v>
      </c>
      <c r="M4087" s="318">
        <v>151.097748</v>
      </c>
      <c r="O4087">
        <f>INDEX('MEC - traffic congestion'!$M$145:$M$249,MATCH($D4087,'MEC - traffic congestion'!$C$145:$C$249,0))</f>
        <v>1</v>
      </c>
      <c r="P4087" t="str">
        <f t="shared" si="185"/>
        <v>2019PUBLIC HOLIDAYS</v>
      </c>
      <c r="Q4087">
        <f t="shared" si="186"/>
        <v>1</v>
      </c>
      <c r="R4087" s="195" t="str">
        <f t="shared" si="187"/>
        <v>2019LIGHT VEHICLES</v>
      </c>
    </row>
    <row r="4088" spans="3:18" x14ac:dyDescent="0.25">
      <c r="C4088" s="294" t="s">
        <v>1019</v>
      </c>
      <c r="D4088" s="317" t="s">
        <v>756</v>
      </c>
      <c r="E4088" s="122" t="s">
        <v>999</v>
      </c>
      <c r="F4088" s="122" t="s">
        <v>1020</v>
      </c>
      <c r="G4088" s="122" t="s">
        <v>785</v>
      </c>
      <c r="H4088" s="122" t="s">
        <v>777</v>
      </c>
      <c r="I4088" s="312">
        <v>2019</v>
      </c>
      <c r="J4088" s="122" t="s">
        <v>713</v>
      </c>
      <c r="K4088" s="283">
        <v>7111</v>
      </c>
      <c r="L4088" s="318">
        <v>-33.689632000000003</v>
      </c>
      <c r="M4088" s="318">
        <v>151.097748</v>
      </c>
      <c r="O4088">
        <f>INDEX('MEC - traffic congestion'!$M$145:$M$249,MATCH($D4088,'MEC - traffic congestion'!$C$145:$C$249,0))</f>
        <v>1</v>
      </c>
      <c r="P4088" t="str">
        <f t="shared" si="185"/>
        <v>2019WEEKENDS</v>
      </c>
      <c r="Q4088">
        <f t="shared" si="186"/>
        <v>1</v>
      </c>
      <c r="R4088" s="195" t="str">
        <f t="shared" si="187"/>
        <v>2019LIGHT VEHICLES</v>
      </c>
    </row>
    <row r="4089" spans="3:18" x14ac:dyDescent="0.25">
      <c r="C4089" s="294" t="s">
        <v>1019</v>
      </c>
      <c r="D4089" s="317" t="s">
        <v>756</v>
      </c>
      <c r="E4089" s="122" t="s">
        <v>999</v>
      </c>
      <c r="F4089" s="122" t="s">
        <v>1020</v>
      </c>
      <c r="G4089" s="122" t="s">
        <v>786</v>
      </c>
      <c r="H4089" s="122" t="s">
        <v>777</v>
      </c>
      <c r="I4089" s="312">
        <v>2019</v>
      </c>
      <c r="J4089" s="122" t="s">
        <v>713</v>
      </c>
      <c r="K4089" s="283">
        <v>7402</v>
      </c>
      <c r="L4089" s="318">
        <v>-33.689632000000003</v>
      </c>
      <c r="M4089" s="318">
        <v>151.097748</v>
      </c>
      <c r="O4089">
        <f>INDEX('MEC - traffic congestion'!$M$145:$M$249,MATCH($D4089,'MEC - traffic congestion'!$C$145:$C$249,0))</f>
        <v>1</v>
      </c>
      <c r="P4089" t="str">
        <f t="shared" si="185"/>
        <v>2019WEEKENDS</v>
      </c>
      <c r="Q4089">
        <f t="shared" si="186"/>
        <v>1</v>
      </c>
      <c r="R4089" s="195" t="str">
        <f t="shared" si="187"/>
        <v>2019LIGHT VEHICLES</v>
      </c>
    </row>
    <row r="4090" spans="3:18" x14ac:dyDescent="0.25">
      <c r="C4090" s="294" t="s">
        <v>1019</v>
      </c>
      <c r="D4090" s="317" t="s">
        <v>756</v>
      </c>
      <c r="E4090" s="122" t="s">
        <v>999</v>
      </c>
      <c r="F4090" s="122" t="s">
        <v>1020</v>
      </c>
      <c r="G4090" s="122" t="s">
        <v>785</v>
      </c>
      <c r="H4090" s="122" t="s">
        <v>777</v>
      </c>
      <c r="I4090" s="312">
        <v>2020</v>
      </c>
      <c r="J4090" s="122" t="s">
        <v>709</v>
      </c>
      <c r="K4090" s="283">
        <v>2722</v>
      </c>
      <c r="L4090" s="318">
        <v>-33.689632000000003</v>
      </c>
      <c r="M4090" s="318">
        <v>151.097748</v>
      </c>
      <c r="O4090">
        <f>INDEX('MEC - traffic congestion'!$M$145:$M$249,MATCH($D4090,'MEC - traffic congestion'!$C$145:$C$249,0))</f>
        <v>1</v>
      </c>
      <c r="P4090" t="str">
        <f t="shared" si="185"/>
        <v>2020AM PEAK</v>
      </c>
      <c r="Q4090">
        <f t="shared" si="186"/>
        <v>1</v>
      </c>
      <c r="R4090" s="195" t="str">
        <f t="shared" si="187"/>
        <v>2020LIGHT VEHICLES</v>
      </c>
    </row>
    <row r="4091" spans="3:18" x14ac:dyDescent="0.25">
      <c r="C4091" s="294" t="s">
        <v>1019</v>
      </c>
      <c r="D4091" s="317" t="s">
        <v>756</v>
      </c>
      <c r="E4091" s="122" t="s">
        <v>999</v>
      </c>
      <c r="F4091" s="122" t="s">
        <v>1020</v>
      </c>
      <c r="G4091" s="122" t="s">
        <v>786</v>
      </c>
      <c r="H4091" s="122" t="s">
        <v>777</v>
      </c>
      <c r="I4091" s="312">
        <v>2020</v>
      </c>
      <c r="J4091" s="122" t="s">
        <v>709</v>
      </c>
      <c r="K4091" s="283">
        <v>1383</v>
      </c>
      <c r="L4091" s="318">
        <v>-33.689632000000003</v>
      </c>
      <c r="M4091" s="318">
        <v>151.097748</v>
      </c>
      <c r="O4091">
        <f>INDEX('MEC - traffic congestion'!$M$145:$M$249,MATCH($D4091,'MEC - traffic congestion'!$C$145:$C$249,0))</f>
        <v>1</v>
      </c>
      <c r="P4091" t="str">
        <f t="shared" si="185"/>
        <v>2020AM PEAK</v>
      </c>
      <c r="Q4091">
        <f t="shared" si="186"/>
        <v>1</v>
      </c>
      <c r="R4091" s="195" t="str">
        <f t="shared" si="187"/>
        <v>2020LIGHT VEHICLES</v>
      </c>
    </row>
    <row r="4092" spans="3:18" x14ac:dyDescent="0.25">
      <c r="C4092" s="294" t="s">
        <v>1019</v>
      </c>
      <c r="D4092" s="317" t="s">
        <v>756</v>
      </c>
      <c r="E4092" s="122" t="s">
        <v>999</v>
      </c>
      <c r="F4092" s="122" t="s">
        <v>1020</v>
      </c>
      <c r="G4092" s="122" t="s">
        <v>785</v>
      </c>
      <c r="H4092" s="122" t="s">
        <v>777</v>
      </c>
      <c r="I4092" s="312">
        <v>2020</v>
      </c>
      <c r="J4092" s="122" t="s">
        <v>710</v>
      </c>
      <c r="K4092" s="283">
        <v>2944</v>
      </c>
      <c r="L4092" s="318">
        <v>-33.689632000000003</v>
      </c>
      <c r="M4092" s="318">
        <v>151.097748</v>
      </c>
      <c r="O4092">
        <f>INDEX('MEC - traffic congestion'!$M$145:$M$249,MATCH($D4092,'MEC - traffic congestion'!$C$145:$C$249,0))</f>
        <v>1</v>
      </c>
      <c r="P4092" t="str">
        <f t="shared" si="185"/>
        <v>2020OFF PEAK</v>
      </c>
      <c r="Q4092">
        <f t="shared" si="186"/>
        <v>1</v>
      </c>
      <c r="R4092" s="195" t="str">
        <f t="shared" si="187"/>
        <v>2020LIGHT VEHICLES</v>
      </c>
    </row>
    <row r="4093" spans="3:18" x14ac:dyDescent="0.25">
      <c r="C4093" s="294" t="s">
        <v>1019</v>
      </c>
      <c r="D4093" s="317" t="s">
        <v>756</v>
      </c>
      <c r="E4093" s="122" t="s">
        <v>999</v>
      </c>
      <c r="F4093" s="122" t="s">
        <v>1020</v>
      </c>
      <c r="G4093" s="122" t="s">
        <v>786</v>
      </c>
      <c r="H4093" s="122" t="s">
        <v>777</v>
      </c>
      <c r="I4093" s="312">
        <v>2020</v>
      </c>
      <c r="J4093" s="122" t="s">
        <v>710</v>
      </c>
      <c r="K4093" s="283">
        <v>3319</v>
      </c>
      <c r="L4093" s="318">
        <v>-33.689632000000003</v>
      </c>
      <c r="M4093" s="318">
        <v>151.097748</v>
      </c>
      <c r="O4093">
        <f>INDEX('MEC - traffic congestion'!$M$145:$M$249,MATCH($D4093,'MEC - traffic congestion'!$C$145:$C$249,0))</f>
        <v>1</v>
      </c>
      <c r="P4093" t="str">
        <f t="shared" si="185"/>
        <v>2020OFF PEAK</v>
      </c>
      <c r="Q4093">
        <f t="shared" si="186"/>
        <v>1</v>
      </c>
      <c r="R4093" s="195" t="str">
        <f t="shared" si="187"/>
        <v>2020LIGHT VEHICLES</v>
      </c>
    </row>
    <row r="4094" spans="3:18" x14ac:dyDescent="0.25">
      <c r="C4094" s="294" t="s">
        <v>1019</v>
      </c>
      <c r="D4094" s="317" t="s">
        <v>756</v>
      </c>
      <c r="E4094" s="122" t="s">
        <v>999</v>
      </c>
      <c r="F4094" s="122" t="s">
        <v>1020</v>
      </c>
      <c r="G4094" s="122" t="s">
        <v>785</v>
      </c>
      <c r="H4094" s="122" t="s">
        <v>777</v>
      </c>
      <c r="I4094" s="312">
        <v>2020</v>
      </c>
      <c r="J4094" s="122" t="s">
        <v>711</v>
      </c>
      <c r="K4094" s="283">
        <v>1869</v>
      </c>
      <c r="L4094" s="318">
        <v>-33.689632000000003</v>
      </c>
      <c r="M4094" s="318">
        <v>151.097748</v>
      </c>
      <c r="O4094">
        <f>INDEX('MEC - traffic congestion'!$M$145:$M$249,MATCH($D4094,'MEC - traffic congestion'!$C$145:$C$249,0))</f>
        <v>1</v>
      </c>
      <c r="P4094" t="str">
        <f t="shared" si="185"/>
        <v>2020PM PEAK</v>
      </c>
      <c r="Q4094">
        <f t="shared" si="186"/>
        <v>1</v>
      </c>
      <c r="R4094" s="195" t="str">
        <f t="shared" si="187"/>
        <v>2020LIGHT VEHICLES</v>
      </c>
    </row>
    <row r="4095" spans="3:18" x14ac:dyDescent="0.25">
      <c r="C4095" s="294" t="s">
        <v>1019</v>
      </c>
      <c r="D4095" s="317" t="s">
        <v>756</v>
      </c>
      <c r="E4095" s="122" t="s">
        <v>999</v>
      </c>
      <c r="F4095" s="122" t="s">
        <v>1020</v>
      </c>
      <c r="G4095" s="122" t="s">
        <v>786</v>
      </c>
      <c r="H4095" s="122" t="s">
        <v>777</v>
      </c>
      <c r="I4095" s="312">
        <v>2020</v>
      </c>
      <c r="J4095" s="122" t="s">
        <v>711</v>
      </c>
      <c r="K4095" s="283">
        <v>3225</v>
      </c>
      <c r="L4095" s="318">
        <v>-33.689632000000003</v>
      </c>
      <c r="M4095" s="318">
        <v>151.097748</v>
      </c>
      <c r="O4095">
        <f>INDEX('MEC - traffic congestion'!$M$145:$M$249,MATCH($D4095,'MEC - traffic congestion'!$C$145:$C$249,0))</f>
        <v>1</v>
      </c>
      <c r="P4095" t="str">
        <f t="shared" si="185"/>
        <v>2020PM PEAK</v>
      </c>
      <c r="Q4095">
        <f t="shared" si="186"/>
        <v>1</v>
      </c>
      <c r="R4095" s="195" t="str">
        <f t="shared" si="187"/>
        <v>2020LIGHT VEHICLES</v>
      </c>
    </row>
    <row r="4096" spans="3:18" x14ac:dyDescent="0.25">
      <c r="C4096" s="294" t="s">
        <v>1019</v>
      </c>
      <c r="D4096" s="317" t="s">
        <v>756</v>
      </c>
      <c r="E4096" s="122" t="s">
        <v>999</v>
      </c>
      <c r="F4096" s="122" t="s">
        <v>1020</v>
      </c>
      <c r="G4096" s="122" t="s">
        <v>785</v>
      </c>
      <c r="H4096" s="122" t="s">
        <v>777</v>
      </c>
      <c r="I4096" s="312">
        <v>2020</v>
      </c>
      <c r="J4096" s="122" t="s">
        <v>712</v>
      </c>
      <c r="K4096" s="283">
        <v>4397</v>
      </c>
      <c r="L4096" s="318">
        <v>-33.689632000000003</v>
      </c>
      <c r="M4096" s="318">
        <v>151.097748</v>
      </c>
      <c r="O4096">
        <f>INDEX('MEC - traffic congestion'!$M$145:$M$249,MATCH($D4096,'MEC - traffic congestion'!$C$145:$C$249,0))</f>
        <v>1</v>
      </c>
      <c r="P4096" t="str">
        <f t="shared" si="185"/>
        <v>2020PUBLIC HOLIDAYS</v>
      </c>
      <c r="Q4096">
        <f t="shared" si="186"/>
        <v>1</v>
      </c>
      <c r="R4096" s="195" t="str">
        <f t="shared" si="187"/>
        <v>2020LIGHT VEHICLES</v>
      </c>
    </row>
    <row r="4097" spans="3:18" x14ac:dyDescent="0.25">
      <c r="C4097" s="294" t="s">
        <v>1019</v>
      </c>
      <c r="D4097" s="317" t="s">
        <v>756</v>
      </c>
      <c r="E4097" s="122" t="s">
        <v>999</v>
      </c>
      <c r="F4097" s="122" t="s">
        <v>1020</v>
      </c>
      <c r="G4097" s="122" t="s">
        <v>786</v>
      </c>
      <c r="H4097" s="122" t="s">
        <v>777</v>
      </c>
      <c r="I4097" s="312">
        <v>2020</v>
      </c>
      <c r="J4097" s="122" t="s">
        <v>712</v>
      </c>
      <c r="K4097" s="283">
        <v>4543</v>
      </c>
      <c r="L4097" s="318">
        <v>-33.689632000000003</v>
      </c>
      <c r="M4097" s="318">
        <v>151.097748</v>
      </c>
      <c r="O4097">
        <f>INDEX('MEC - traffic congestion'!$M$145:$M$249,MATCH($D4097,'MEC - traffic congestion'!$C$145:$C$249,0))</f>
        <v>1</v>
      </c>
      <c r="P4097" t="str">
        <f t="shared" si="185"/>
        <v>2020PUBLIC HOLIDAYS</v>
      </c>
      <c r="Q4097">
        <f t="shared" si="186"/>
        <v>1</v>
      </c>
      <c r="R4097" s="195" t="str">
        <f t="shared" si="187"/>
        <v>2020LIGHT VEHICLES</v>
      </c>
    </row>
    <row r="4098" spans="3:18" x14ac:dyDescent="0.25">
      <c r="C4098" s="294" t="s">
        <v>1019</v>
      </c>
      <c r="D4098" s="317" t="s">
        <v>756</v>
      </c>
      <c r="E4098" s="122" t="s">
        <v>999</v>
      </c>
      <c r="F4098" s="122" t="s">
        <v>1020</v>
      </c>
      <c r="G4098" s="122" t="s">
        <v>785</v>
      </c>
      <c r="H4098" s="122" t="s">
        <v>777</v>
      </c>
      <c r="I4098" s="312">
        <v>2020</v>
      </c>
      <c r="J4098" s="122" t="s">
        <v>713</v>
      </c>
      <c r="K4098" s="283">
        <v>6362</v>
      </c>
      <c r="L4098" s="318">
        <v>-33.689632000000003</v>
      </c>
      <c r="M4098" s="318">
        <v>151.097748</v>
      </c>
      <c r="O4098">
        <f>INDEX('MEC - traffic congestion'!$M$145:$M$249,MATCH($D4098,'MEC - traffic congestion'!$C$145:$C$249,0))</f>
        <v>1</v>
      </c>
      <c r="P4098" t="str">
        <f t="shared" si="185"/>
        <v>2020WEEKENDS</v>
      </c>
      <c r="Q4098">
        <f t="shared" si="186"/>
        <v>1</v>
      </c>
      <c r="R4098" s="195" t="str">
        <f t="shared" si="187"/>
        <v>2020LIGHT VEHICLES</v>
      </c>
    </row>
    <row r="4099" spans="3:18" x14ac:dyDescent="0.25">
      <c r="C4099" s="294" t="s">
        <v>1019</v>
      </c>
      <c r="D4099" s="317" t="s">
        <v>756</v>
      </c>
      <c r="E4099" s="122" t="s">
        <v>999</v>
      </c>
      <c r="F4099" s="122" t="s">
        <v>1020</v>
      </c>
      <c r="G4099" s="122" t="s">
        <v>786</v>
      </c>
      <c r="H4099" s="122" t="s">
        <v>777</v>
      </c>
      <c r="I4099" s="312">
        <v>2020</v>
      </c>
      <c r="J4099" s="122" t="s">
        <v>713</v>
      </c>
      <c r="K4099" s="283">
        <v>6519</v>
      </c>
      <c r="L4099" s="318">
        <v>-33.689632000000003</v>
      </c>
      <c r="M4099" s="318">
        <v>151.097748</v>
      </c>
      <c r="O4099">
        <f>INDEX('MEC - traffic congestion'!$M$145:$M$249,MATCH($D4099,'MEC - traffic congestion'!$C$145:$C$249,0))</f>
        <v>1</v>
      </c>
      <c r="P4099" t="str">
        <f t="shared" si="185"/>
        <v>2020WEEKENDS</v>
      </c>
      <c r="Q4099">
        <f t="shared" si="186"/>
        <v>1</v>
      </c>
      <c r="R4099" s="195" t="str">
        <f t="shared" si="187"/>
        <v>2020LIGHT VEHICLES</v>
      </c>
    </row>
    <row r="4100" spans="3:18" x14ac:dyDescent="0.25">
      <c r="C4100" s="294" t="s">
        <v>1019</v>
      </c>
      <c r="D4100" s="317" t="s">
        <v>756</v>
      </c>
      <c r="E4100" s="122" t="s">
        <v>999</v>
      </c>
      <c r="F4100" s="122" t="s">
        <v>1020</v>
      </c>
      <c r="G4100" s="122" t="s">
        <v>785</v>
      </c>
      <c r="H4100" s="122" t="s">
        <v>777</v>
      </c>
      <c r="I4100" s="312">
        <v>2021</v>
      </c>
      <c r="J4100" s="122" t="s">
        <v>709</v>
      </c>
      <c r="K4100" s="283">
        <v>2468</v>
      </c>
      <c r="L4100" s="318">
        <v>-33.689632000000003</v>
      </c>
      <c r="M4100" s="318">
        <v>151.097748</v>
      </c>
      <c r="O4100">
        <f>INDEX('MEC - traffic congestion'!$M$145:$M$249,MATCH($D4100,'MEC - traffic congestion'!$C$145:$C$249,0))</f>
        <v>1</v>
      </c>
      <c r="P4100" t="str">
        <f t="shared" si="185"/>
        <v>2021AM PEAK</v>
      </c>
      <c r="Q4100">
        <f t="shared" si="186"/>
        <v>1</v>
      </c>
      <c r="R4100" s="195" t="str">
        <f t="shared" si="187"/>
        <v>2021LIGHT VEHICLES</v>
      </c>
    </row>
    <row r="4101" spans="3:18" x14ac:dyDescent="0.25">
      <c r="C4101" s="294" t="s">
        <v>1019</v>
      </c>
      <c r="D4101" s="317" t="s">
        <v>756</v>
      </c>
      <c r="E4101" s="122" t="s">
        <v>999</v>
      </c>
      <c r="F4101" s="122" t="s">
        <v>1020</v>
      </c>
      <c r="G4101" s="122" t="s">
        <v>786</v>
      </c>
      <c r="H4101" s="122" t="s">
        <v>777</v>
      </c>
      <c r="I4101" s="312">
        <v>2021</v>
      </c>
      <c r="J4101" s="122" t="s">
        <v>709</v>
      </c>
      <c r="K4101" s="283">
        <v>1306</v>
      </c>
      <c r="L4101" s="318">
        <v>-33.689632000000003</v>
      </c>
      <c r="M4101" s="318">
        <v>151.097748</v>
      </c>
      <c r="O4101">
        <f>INDEX('MEC - traffic congestion'!$M$145:$M$249,MATCH($D4101,'MEC - traffic congestion'!$C$145:$C$249,0))</f>
        <v>1</v>
      </c>
      <c r="P4101" t="str">
        <f t="shared" si="185"/>
        <v>2021AM PEAK</v>
      </c>
      <c r="Q4101">
        <f t="shared" si="186"/>
        <v>1</v>
      </c>
      <c r="R4101" s="195" t="str">
        <f t="shared" si="187"/>
        <v>2021LIGHT VEHICLES</v>
      </c>
    </row>
    <row r="4102" spans="3:18" x14ac:dyDescent="0.25">
      <c r="C4102" s="294" t="s">
        <v>1019</v>
      </c>
      <c r="D4102" s="317" t="s">
        <v>756</v>
      </c>
      <c r="E4102" s="122" t="s">
        <v>999</v>
      </c>
      <c r="F4102" s="122" t="s">
        <v>1020</v>
      </c>
      <c r="G4102" s="122" t="s">
        <v>785</v>
      </c>
      <c r="H4102" s="122" t="s">
        <v>777</v>
      </c>
      <c r="I4102" s="312">
        <v>2021</v>
      </c>
      <c r="J4102" s="122" t="s">
        <v>710</v>
      </c>
      <c r="K4102" s="283">
        <v>2784</v>
      </c>
      <c r="L4102" s="318">
        <v>-33.689632000000003</v>
      </c>
      <c r="M4102" s="318">
        <v>151.097748</v>
      </c>
      <c r="O4102">
        <f>INDEX('MEC - traffic congestion'!$M$145:$M$249,MATCH($D4102,'MEC - traffic congestion'!$C$145:$C$249,0))</f>
        <v>1</v>
      </c>
      <c r="P4102" t="str">
        <f t="shared" si="185"/>
        <v>2021OFF PEAK</v>
      </c>
      <c r="Q4102">
        <f t="shared" si="186"/>
        <v>1</v>
      </c>
      <c r="R4102" s="195" t="str">
        <f t="shared" si="187"/>
        <v>2021LIGHT VEHICLES</v>
      </c>
    </row>
    <row r="4103" spans="3:18" x14ac:dyDescent="0.25">
      <c r="C4103" s="294" t="s">
        <v>1019</v>
      </c>
      <c r="D4103" s="317" t="s">
        <v>756</v>
      </c>
      <c r="E4103" s="122" t="s">
        <v>999</v>
      </c>
      <c r="F4103" s="122" t="s">
        <v>1020</v>
      </c>
      <c r="G4103" s="122" t="s">
        <v>786</v>
      </c>
      <c r="H4103" s="122" t="s">
        <v>777</v>
      </c>
      <c r="I4103" s="312">
        <v>2021</v>
      </c>
      <c r="J4103" s="122" t="s">
        <v>710</v>
      </c>
      <c r="K4103" s="283">
        <v>3139</v>
      </c>
      <c r="L4103" s="318">
        <v>-33.689632000000003</v>
      </c>
      <c r="M4103" s="318">
        <v>151.097748</v>
      </c>
      <c r="O4103">
        <f>INDEX('MEC - traffic congestion'!$M$145:$M$249,MATCH($D4103,'MEC - traffic congestion'!$C$145:$C$249,0))</f>
        <v>1</v>
      </c>
      <c r="P4103" t="str">
        <f t="shared" si="185"/>
        <v>2021OFF PEAK</v>
      </c>
      <c r="Q4103">
        <f t="shared" si="186"/>
        <v>1</v>
      </c>
      <c r="R4103" s="195" t="str">
        <f t="shared" si="187"/>
        <v>2021LIGHT VEHICLES</v>
      </c>
    </row>
    <row r="4104" spans="3:18" x14ac:dyDescent="0.25">
      <c r="C4104" s="294" t="s">
        <v>1019</v>
      </c>
      <c r="D4104" s="317" t="s">
        <v>756</v>
      </c>
      <c r="E4104" s="122" t="s">
        <v>999</v>
      </c>
      <c r="F4104" s="122" t="s">
        <v>1020</v>
      </c>
      <c r="G4104" s="122" t="s">
        <v>785</v>
      </c>
      <c r="H4104" s="122" t="s">
        <v>777</v>
      </c>
      <c r="I4104" s="312">
        <v>2021</v>
      </c>
      <c r="J4104" s="122" t="s">
        <v>711</v>
      </c>
      <c r="K4104" s="283">
        <v>1765</v>
      </c>
      <c r="L4104" s="318">
        <v>-33.689632000000003</v>
      </c>
      <c r="M4104" s="318">
        <v>151.097748</v>
      </c>
      <c r="O4104">
        <f>INDEX('MEC - traffic congestion'!$M$145:$M$249,MATCH($D4104,'MEC - traffic congestion'!$C$145:$C$249,0))</f>
        <v>1</v>
      </c>
      <c r="P4104" t="str">
        <f t="shared" si="185"/>
        <v>2021PM PEAK</v>
      </c>
      <c r="Q4104">
        <f t="shared" si="186"/>
        <v>1</v>
      </c>
      <c r="R4104" s="195" t="str">
        <f t="shared" si="187"/>
        <v>2021LIGHT VEHICLES</v>
      </c>
    </row>
    <row r="4105" spans="3:18" x14ac:dyDescent="0.25">
      <c r="C4105" s="294" t="s">
        <v>1019</v>
      </c>
      <c r="D4105" s="317" t="s">
        <v>756</v>
      </c>
      <c r="E4105" s="122" t="s">
        <v>999</v>
      </c>
      <c r="F4105" s="122" t="s">
        <v>1020</v>
      </c>
      <c r="G4105" s="122" t="s">
        <v>786</v>
      </c>
      <c r="H4105" s="122" t="s">
        <v>777</v>
      </c>
      <c r="I4105" s="312">
        <v>2021</v>
      </c>
      <c r="J4105" s="122" t="s">
        <v>711</v>
      </c>
      <c r="K4105" s="283">
        <v>2891</v>
      </c>
      <c r="L4105" s="318">
        <v>-33.689632000000003</v>
      </c>
      <c r="M4105" s="318">
        <v>151.097748</v>
      </c>
      <c r="O4105">
        <f>INDEX('MEC - traffic congestion'!$M$145:$M$249,MATCH($D4105,'MEC - traffic congestion'!$C$145:$C$249,0))</f>
        <v>1</v>
      </c>
      <c r="P4105" t="str">
        <f t="shared" si="185"/>
        <v>2021PM PEAK</v>
      </c>
      <c r="Q4105">
        <f t="shared" si="186"/>
        <v>1</v>
      </c>
      <c r="R4105" s="195" t="str">
        <f t="shared" si="187"/>
        <v>2021LIGHT VEHICLES</v>
      </c>
    </row>
    <row r="4106" spans="3:18" x14ac:dyDescent="0.25">
      <c r="C4106" s="294" t="s">
        <v>1019</v>
      </c>
      <c r="D4106" s="317" t="s">
        <v>756</v>
      </c>
      <c r="E4106" s="122" t="s">
        <v>999</v>
      </c>
      <c r="F4106" s="122" t="s">
        <v>1020</v>
      </c>
      <c r="G4106" s="122" t="s">
        <v>785</v>
      </c>
      <c r="H4106" s="122" t="s">
        <v>777</v>
      </c>
      <c r="I4106" s="312">
        <v>2021</v>
      </c>
      <c r="J4106" s="122" t="s">
        <v>713</v>
      </c>
      <c r="K4106" s="283">
        <v>5786</v>
      </c>
      <c r="L4106" s="318">
        <v>-33.689632000000003</v>
      </c>
      <c r="M4106" s="318">
        <v>151.097748</v>
      </c>
      <c r="O4106">
        <f>INDEX('MEC - traffic congestion'!$M$145:$M$249,MATCH($D4106,'MEC - traffic congestion'!$C$145:$C$249,0))</f>
        <v>1</v>
      </c>
      <c r="P4106" t="str">
        <f t="shared" si="185"/>
        <v>2021WEEKENDS</v>
      </c>
      <c r="Q4106">
        <f t="shared" si="186"/>
        <v>1</v>
      </c>
      <c r="R4106" s="195" t="str">
        <f t="shared" si="187"/>
        <v>2021LIGHT VEHICLES</v>
      </c>
    </row>
    <row r="4107" spans="3:18" x14ac:dyDescent="0.25">
      <c r="C4107" s="294" t="s">
        <v>1019</v>
      </c>
      <c r="D4107" s="317" t="s">
        <v>756</v>
      </c>
      <c r="E4107" s="122" t="s">
        <v>999</v>
      </c>
      <c r="F4107" s="122" t="s">
        <v>1020</v>
      </c>
      <c r="G4107" s="122" t="s">
        <v>786</v>
      </c>
      <c r="H4107" s="122" t="s">
        <v>777</v>
      </c>
      <c r="I4107" s="312">
        <v>2021</v>
      </c>
      <c r="J4107" s="122" t="s">
        <v>713</v>
      </c>
      <c r="K4107" s="283">
        <v>6004</v>
      </c>
      <c r="L4107" s="318">
        <v>-33.689632000000003</v>
      </c>
      <c r="M4107" s="318">
        <v>151.097748</v>
      </c>
      <c r="O4107">
        <f>INDEX('MEC - traffic congestion'!$M$145:$M$249,MATCH($D4107,'MEC - traffic congestion'!$C$145:$C$249,0))</f>
        <v>1</v>
      </c>
      <c r="P4107" t="str">
        <f t="shared" si="185"/>
        <v>2021WEEKENDS</v>
      </c>
      <c r="Q4107">
        <f t="shared" si="186"/>
        <v>1</v>
      </c>
      <c r="R4107" s="195" t="str">
        <f t="shared" si="187"/>
        <v>2021LIGHT VEHICLES</v>
      </c>
    </row>
    <row r="4108" spans="3:18" x14ac:dyDescent="0.25">
      <c r="C4108" s="294" t="s">
        <v>1019</v>
      </c>
      <c r="D4108" s="317" t="s">
        <v>756</v>
      </c>
      <c r="E4108" s="122" t="s">
        <v>999</v>
      </c>
      <c r="F4108" s="122" t="s">
        <v>1020</v>
      </c>
      <c r="G4108" s="122" t="s">
        <v>785</v>
      </c>
      <c r="H4108" s="122" t="s">
        <v>777</v>
      </c>
      <c r="I4108" s="312">
        <v>2022</v>
      </c>
      <c r="J4108" s="122" t="s">
        <v>709</v>
      </c>
      <c r="K4108" s="283">
        <v>2356</v>
      </c>
      <c r="L4108" s="318">
        <v>-33.689632000000003</v>
      </c>
      <c r="M4108" s="318">
        <v>151.097748</v>
      </c>
      <c r="O4108">
        <f>INDEX('MEC - traffic congestion'!$M$145:$M$249,MATCH($D4108,'MEC - traffic congestion'!$C$145:$C$249,0))</f>
        <v>1</v>
      </c>
      <c r="P4108" t="str">
        <f t="shared" si="185"/>
        <v>2022AM PEAK</v>
      </c>
      <c r="Q4108">
        <f t="shared" si="186"/>
        <v>1</v>
      </c>
      <c r="R4108" s="195" t="str">
        <f t="shared" si="187"/>
        <v>2022LIGHT VEHICLES</v>
      </c>
    </row>
    <row r="4109" spans="3:18" x14ac:dyDescent="0.25">
      <c r="C4109" s="294" t="s">
        <v>1019</v>
      </c>
      <c r="D4109" s="317" t="s">
        <v>756</v>
      </c>
      <c r="E4109" s="122" t="s">
        <v>999</v>
      </c>
      <c r="F4109" s="122" t="s">
        <v>1020</v>
      </c>
      <c r="G4109" s="122" t="s">
        <v>786</v>
      </c>
      <c r="H4109" s="122" t="s">
        <v>777</v>
      </c>
      <c r="I4109" s="312">
        <v>2022</v>
      </c>
      <c r="J4109" s="122" t="s">
        <v>709</v>
      </c>
      <c r="K4109" s="283">
        <v>1252</v>
      </c>
      <c r="L4109" s="318">
        <v>-33.689632000000003</v>
      </c>
      <c r="M4109" s="318">
        <v>151.097748</v>
      </c>
      <c r="O4109">
        <f>INDEX('MEC - traffic congestion'!$M$145:$M$249,MATCH($D4109,'MEC - traffic congestion'!$C$145:$C$249,0))</f>
        <v>1</v>
      </c>
      <c r="P4109" t="str">
        <f t="shared" si="185"/>
        <v>2022AM PEAK</v>
      </c>
      <c r="Q4109">
        <f t="shared" si="186"/>
        <v>1</v>
      </c>
      <c r="R4109" s="195" t="str">
        <f t="shared" si="187"/>
        <v>2022LIGHT VEHICLES</v>
      </c>
    </row>
    <row r="4110" spans="3:18" x14ac:dyDescent="0.25">
      <c r="C4110" s="294" t="s">
        <v>1019</v>
      </c>
      <c r="D4110" s="317" t="s">
        <v>756</v>
      </c>
      <c r="E4110" s="122" t="s">
        <v>999</v>
      </c>
      <c r="F4110" s="122" t="s">
        <v>1020</v>
      </c>
      <c r="G4110" s="122" t="s">
        <v>785</v>
      </c>
      <c r="H4110" s="122" t="s">
        <v>777</v>
      </c>
      <c r="I4110" s="312">
        <v>2022</v>
      </c>
      <c r="J4110" s="122" t="s">
        <v>710</v>
      </c>
      <c r="K4110" s="283">
        <v>2654</v>
      </c>
      <c r="L4110" s="318">
        <v>-33.689632000000003</v>
      </c>
      <c r="M4110" s="318">
        <v>151.097748</v>
      </c>
      <c r="O4110">
        <f>INDEX('MEC - traffic congestion'!$M$145:$M$249,MATCH($D4110,'MEC - traffic congestion'!$C$145:$C$249,0))</f>
        <v>1</v>
      </c>
      <c r="P4110" t="str">
        <f t="shared" si="185"/>
        <v>2022OFF PEAK</v>
      </c>
      <c r="Q4110">
        <f t="shared" si="186"/>
        <v>1</v>
      </c>
      <c r="R4110" s="195" t="str">
        <f t="shared" si="187"/>
        <v>2022LIGHT VEHICLES</v>
      </c>
    </row>
    <row r="4111" spans="3:18" x14ac:dyDescent="0.25">
      <c r="C4111" s="294" t="s">
        <v>1019</v>
      </c>
      <c r="D4111" s="317" t="s">
        <v>756</v>
      </c>
      <c r="E4111" s="122" t="s">
        <v>999</v>
      </c>
      <c r="F4111" s="122" t="s">
        <v>1020</v>
      </c>
      <c r="G4111" s="122" t="s">
        <v>786</v>
      </c>
      <c r="H4111" s="122" t="s">
        <v>777</v>
      </c>
      <c r="I4111" s="312">
        <v>2022</v>
      </c>
      <c r="J4111" s="122" t="s">
        <v>710</v>
      </c>
      <c r="K4111" s="283">
        <v>3046</v>
      </c>
      <c r="L4111" s="318">
        <v>-33.689632000000003</v>
      </c>
      <c r="M4111" s="318">
        <v>151.097748</v>
      </c>
      <c r="O4111">
        <f>INDEX('MEC - traffic congestion'!$M$145:$M$249,MATCH($D4111,'MEC - traffic congestion'!$C$145:$C$249,0))</f>
        <v>1</v>
      </c>
      <c r="P4111" t="str">
        <f t="shared" si="185"/>
        <v>2022OFF PEAK</v>
      </c>
      <c r="Q4111">
        <f t="shared" si="186"/>
        <v>1</v>
      </c>
      <c r="R4111" s="195" t="str">
        <f t="shared" si="187"/>
        <v>2022LIGHT VEHICLES</v>
      </c>
    </row>
    <row r="4112" spans="3:18" x14ac:dyDescent="0.25">
      <c r="C4112" s="294" t="s">
        <v>1019</v>
      </c>
      <c r="D4112" s="317" t="s">
        <v>756</v>
      </c>
      <c r="E4112" s="122" t="s">
        <v>999</v>
      </c>
      <c r="F4112" s="122" t="s">
        <v>1020</v>
      </c>
      <c r="G4112" s="122" t="s">
        <v>785</v>
      </c>
      <c r="H4112" s="122" t="s">
        <v>777</v>
      </c>
      <c r="I4112" s="312">
        <v>2022</v>
      </c>
      <c r="J4112" s="122" t="s">
        <v>711</v>
      </c>
      <c r="K4112" s="283">
        <v>1709</v>
      </c>
      <c r="L4112" s="318">
        <v>-33.689632000000003</v>
      </c>
      <c r="M4112" s="318">
        <v>151.097748</v>
      </c>
      <c r="O4112">
        <f>INDEX('MEC - traffic congestion'!$M$145:$M$249,MATCH($D4112,'MEC - traffic congestion'!$C$145:$C$249,0))</f>
        <v>1</v>
      </c>
      <c r="P4112" t="str">
        <f t="shared" si="185"/>
        <v>2022PM PEAK</v>
      </c>
      <c r="Q4112">
        <f t="shared" si="186"/>
        <v>1</v>
      </c>
      <c r="R4112" s="195" t="str">
        <f t="shared" si="187"/>
        <v>2022LIGHT VEHICLES</v>
      </c>
    </row>
    <row r="4113" spans="3:18" x14ac:dyDescent="0.25">
      <c r="C4113" s="294" t="s">
        <v>1019</v>
      </c>
      <c r="D4113" s="317" t="s">
        <v>756</v>
      </c>
      <c r="E4113" s="122" t="s">
        <v>999</v>
      </c>
      <c r="F4113" s="122" t="s">
        <v>1020</v>
      </c>
      <c r="G4113" s="122" t="s">
        <v>786</v>
      </c>
      <c r="H4113" s="122" t="s">
        <v>777</v>
      </c>
      <c r="I4113" s="312">
        <v>2022</v>
      </c>
      <c r="J4113" s="122" t="s">
        <v>711</v>
      </c>
      <c r="K4113" s="283">
        <v>2700</v>
      </c>
      <c r="L4113" s="318">
        <v>-33.689632000000003</v>
      </c>
      <c r="M4113" s="318">
        <v>151.097748</v>
      </c>
      <c r="O4113">
        <f>INDEX('MEC - traffic congestion'!$M$145:$M$249,MATCH($D4113,'MEC - traffic congestion'!$C$145:$C$249,0))</f>
        <v>1</v>
      </c>
      <c r="P4113" t="str">
        <f t="shared" si="185"/>
        <v>2022PM PEAK</v>
      </c>
      <c r="Q4113">
        <f t="shared" si="186"/>
        <v>1</v>
      </c>
      <c r="R4113" s="195" t="str">
        <f t="shared" si="187"/>
        <v>2022LIGHT VEHICLES</v>
      </c>
    </row>
    <row r="4114" spans="3:18" x14ac:dyDescent="0.25">
      <c r="C4114" s="294" t="s">
        <v>1019</v>
      </c>
      <c r="D4114" s="317" t="s">
        <v>756</v>
      </c>
      <c r="E4114" s="122" t="s">
        <v>999</v>
      </c>
      <c r="F4114" s="122" t="s">
        <v>1020</v>
      </c>
      <c r="G4114" s="122" t="s">
        <v>785</v>
      </c>
      <c r="H4114" s="122" t="s">
        <v>777</v>
      </c>
      <c r="I4114" s="312">
        <v>2022</v>
      </c>
      <c r="J4114" s="122" t="s">
        <v>713</v>
      </c>
      <c r="K4114" s="283">
        <v>5843</v>
      </c>
      <c r="L4114" s="318">
        <v>-33.689632000000003</v>
      </c>
      <c r="M4114" s="318">
        <v>151.097748</v>
      </c>
      <c r="O4114">
        <f>INDEX('MEC - traffic congestion'!$M$145:$M$249,MATCH($D4114,'MEC - traffic congestion'!$C$145:$C$249,0))</f>
        <v>1</v>
      </c>
      <c r="P4114" t="str">
        <f t="shared" si="185"/>
        <v>2022WEEKENDS</v>
      </c>
      <c r="Q4114">
        <f t="shared" si="186"/>
        <v>1</v>
      </c>
      <c r="R4114" s="195" t="str">
        <f t="shared" si="187"/>
        <v>2022LIGHT VEHICLES</v>
      </c>
    </row>
    <row r="4115" spans="3:18" x14ac:dyDescent="0.25">
      <c r="C4115" s="294" t="s">
        <v>1019</v>
      </c>
      <c r="D4115" s="317" t="s">
        <v>756</v>
      </c>
      <c r="E4115" s="122" t="s">
        <v>999</v>
      </c>
      <c r="F4115" s="122" t="s">
        <v>1020</v>
      </c>
      <c r="G4115" s="122" t="s">
        <v>786</v>
      </c>
      <c r="H4115" s="122" t="s">
        <v>777</v>
      </c>
      <c r="I4115" s="312">
        <v>2022</v>
      </c>
      <c r="J4115" s="122" t="s">
        <v>713</v>
      </c>
      <c r="K4115" s="283">
        <v>5924</v>
      </c>
      <c r="L4115" s="318">
        <v>-33.689632000000003</v>
      </c>
      <c r="M4115" s="318">
        <v>151.097748</v>
      </c>
      <c r="O4115">
        <f>INDEX('MEC - traffic congestion'!$M$145:$M$249,MATCH($D4115,'MEC - traffic congestion'!$C$145:$C$249,0))</f>
        <v>1</v>
      </c>
      <c r="P4115" t="str">
        <f t="shared" si="185"/>
        <v>2022WEEKENDS</v>
      </c>
      <c r="Q4115">
        <f t="shared" si="186"/>
        <v>1</v>
      </c>
      <c r="R4115" s="195" t="str">
        <f t="shared" si="187"/>
        <v>2022LIGHT VEHICLES</v>
      </c>
    </row>
    <row r="4116" spans="3:18" x14ac:dyDescent="0.25">
      <c r="C4116" s="294" t="s">
        <v>1019</v>
      </c>
      <c r="D4116" s="317" t="s">
        <v>756</v>
      </c>
      <c r="E4116" s="122" t="s">
        <v>999</v>
      </c>
      <c r="F4116" s="122" t="s">
        <v>1020</v>
      </c>
      <c r="G4116" s="122" t="s">
        <v>785</v>
      </c>
      <c r="H4116" s="122" t="s">
        <v>777</v>
      </c>
      <c r="I4116" s="312">
        <v>2023</v>
      </c>
      <c r="J4116" s="122" t="s">
        <v>709</v>
      </c>
      <c r="K4116" s="283">
        <v>2752</v>
      </c>
      <c r="L4116" s="318">
        <v>-33.689632000000003</v>
      </c>
      <c r="M4116" s="318">
        <v>151.097748</v>
      </c>
      <c r="O4116">
        <f>INDEX('MEC - traffic congestion'!$M$145:$M$249,MATCH($D4116,'MEC - traffic congestion'!$C$145:$C$249,0))</f>
        <v>1</v>
      </c>
      <c r="P4116" t="str">
        <f t="shared" si="185"/>
        <v>2023AM PEAK</v>
      </c>
      <c r="Q4116">
        <f t="shared" si="186"/>
        <v>1</v>
      </c>
      <c r="R4116" s="195" t="str">
        <f t="shared" si="187"/>
        <v>2023LIGHT VEHICLES</v>
      </c>
    </row>
    <row r="4117" spans="3:18" x14ac:dyDescent="0.25">
      <c r="C4117" s="294" t="s">
        <v>1019</v>
      </c>
      <c r="D4117" s="317" t="s">
        <v>756</v>
      </c>
      <c r="E4117" s="122" t="s">
        <v>999</v>
      </c>
      <c r="F4117" s="122" t="s">
        <v>1020</v>
      </c>
      <c r="G4117" s="122" t="s">
        <v>786</v>
      </c>
      <c r="H4117" s="122" t="s">
        <v>777</v>
      </c>
      <c r="I4117" s="312">
        <v>2023</v>
      </c>
      <c r="J4117" s="122" t="s">
        <v>709</v>
      </c>
      <c r="K4117" s="283">
        <v>1409</v>
      </c>
      <c r="L4117" s="318">
        <v>-33.689632000000003</v>
      </c>
      <c r="M4117" s="318">
        <v>151.097748</v>
      </c>
      <c r="O4117">
        <f>INDEX('MEC - traffic congestion'!$M$145:$M$249,MATCH($D4117,'MEC - traffic congestion'!$C$145:$C$249,0))</f>
        <v>1</v>
      </c>
      <c r="P4117" t="str">
        <f t="shared" ref="P4117:P4180" si="188">IF($O4117=1,$I4117&amp;$J4117,"")</f>
        <v>2023AM PEAK</v>
      </c>
      <c r="Q4117">
        <f t="shared" ref="Q4117:Q4180" si="189">IF(AND($M4117&gt;150.246,AND($L4117&gt;-34.397,$L4117&lt;-32.662)),1,0)</f>
        <v>1</v>
      </c>
      <c r="R4117" s="195" t="str">
        <f t="shared" ref="R4117:R4180" si="190">IF($O4117=1,$I4117&amp;$H4117,"")</f>
        <v>2023LIGHT VEHICLES</v>
      </c>
    </row>
    <row r="4118" spans="3:18" x14ac:dyDescent="0.25">
      <c r="C4118" s="294" t="s">
        <v>1019</v>
      </c>
      <c r="D4118" s="317" t="s">
        <v>756</v>
      </c>
      <c r="E4118" s="122" t="s">
        <v>999</v>
      </c>
      <c r="F4118" s="122" t="s">
        <v>1020</v>
      </c>
      <c r="G4118" s="122" t="s">
        <v>785</v>
      </c>
      <c r="H4118" s="122" t="s">
        <v>777</v>
      </c>
      <c r="I4118" s="312">
        <v>2023</v>
      </c>
      <c r="J4118" s="122" t="s">
        <v>710</v>
      </c>
      <c r="K4118" s="283">
        <v>2896</v>
      </c>
      <c r="L4118" s="318">
        <v>-33.689632000000003</v>
      </c>
      <c r="M4118" s="318">
        <v>151.097748</v>
      </c>
      <c r="O4118">
        <f>INDEX('MEC - traffic congestion'!$M$145:$M$249,MATCH($D4118,'MEC - traffic congestion'!$C$145:$C$249,0))</f>
        <v>1</v>
      </c>
      <c r="P4118" t="str">
        <f t="shared" si="188"/>
        <v>2023OFF PEAK</v>
      </c>
      <c r="Q4118">
        <f t="shared" si="189"/>
        <v>1</v>
      </c>
      <c r="R4118" s="195" t="str">
        <f t="shared" si="190"/>
        <v>2023LIGHT VEHICLES</v>
      </c>
    </row>
    <row r="4119" spans="3:18" x14ac:dyDescent="0.25">
      <c r="C4119" s="294" t="s">
        <v>1019</v>
      </c>
      <c r="D4119" s="317" t="s">
        <v>756</v>
      </c>
      <c r="E4119" s="122" t="s">
        <v>999</v>
      </c>
      <c r="F4119" s="122" t="s">
        <v>1020</v>
      </c>
      <c r="G4119" s="122" t="s">
        <v>786</v>
      </c>
      <c r="H4119" s="122" t="s">
        <v>777</v>
      </c>
      <c r="I4119" s="312">
        <v>2023</v>
      </c>
      <c r="J4119" s="122" t="s">
        <v>710</v>
      </c>
      <c r="K4119" s="283">
        <v>3413</v>
      </c>
      <c r="L4119" s="318">
        <v>-33.689632000000003</v>
      </c>
      <c r="M4119" s="318">
        <v>151.097748</v>
      </c>
      <c r="O4119">
        <f>INDEX('MEC - traffic congestion'!$M$145:$M$249,MATCH($D4119,'MEC - traffic congestion'!$C$145:$C$249,0))</f>
        <v>1</v>
      </c>
      <c r="P4119" t="str">
        <f t="shared" si="188"/>
        <v>2023OFF PEAK</v>
      </c>
      <c r="Q4119">
        <f t="shared" si="189"/>
        <v>1</v>
      </c>
      <c r="R4119" s="195" t="str">
        <f t="shared" si="190"/>
        <v>2023LIGHT VEHICLES</v>
      </c>
    </row>
    <row r="4120" spans="3:18" x14ac:dyDescent="0.25">
      <c r="C4120" s="294" t="s">
        <v>1019</v>
      </c>
      <c r="D4120" s="317" t="s">
        <v>756</v>
      </c>
      <c r="E4120" s="122" t="s">
        <v>999</v>
      </c>
      <c r="F4120" s="122" t="s">
        <v>1020</v>
      </c>
      <c r="G4120" s="122" t="s">
        <v>785</v>
      </c>
      <c r="H4120" s="122" t="s">
        <v>777</v>
      </c>
      <c r="I4120" s="312">
        <v>2023</v>
      </c>
      <c r="J4120" s="122" t="s">
        <v>711</v>
      </c>
      <c r="K4120" s="283">
        <v>1962</v>
      </c>
      <c r="L4120" s="318">
        <v>-33.689632000000003</v>
      </c>
      <c r="M4120" s="318">
        <v>151.097748</v>
      </c>
      <c r="O4120">
        <f>INDEX('MEC - traffic congestion'!$M$145:$M$249,MATCH($D4120,'MEC - traffic congestion'!$C$145:$C$249,0))</f>
        <v>1</v>
      </c>
      <c r="P4120" t="str">
        <f t="shared" si="188"/>
        <v>2023PM PEAK</v>
      </c>
      <c r="Q4120">
        <f t="shared" si="189"/>
        <v>1</v>
      </c>
      <c r="R4120" s="195" t="str">
        <f t="shared" si="190"/>
        <v>2023LIGHT VEHICLES</v>
      </c>
    </row>
    <row r="4121" spans="3:18" x14ac:dyDescent="0.25">
      <c r="C4121" s="294" t="s">
        <v>1019</v>
      </c>
      <c r="D4121" s="317" t="s">
        <v>756</v>
      </c>
      <c r="E4121" s="122" t="s">
        <v>999</v>
      </c>
      <c r="F4121" s="122" t="s">
        <v>1020</v>
      </c>
      <c r="G4121" s="122" t="s">
        <v>786</v>
      </c>
      <c r="H4121" s="122" t="s">
        <v>777</v>
      </c>
      <c r="I4121" s="312">
        <v>2023</v>
      </c>
      <c r="J4121" s="122" t="s">
        <v>711</v>
      </c>
      <c r="K4121" s="283">
        <v>3227</v>
      </c>
      <c r="L4121" s="318">
        <v>-33.689632000000003</v>
      </c>
      <c r="M4121" s="318">
        <v>151.097748</v>
      </c>
      <c r="O4121">
        <f>INDEX('MEC - traffic congestion'!$M$145:$M$249,MATCH($D4121,'MEC - traffic congestion'!$C$145:$C$249,0))</f>
        <v>1</v>
      </c>
      <c r="P4121" t="str">
        <f t="shared" si="188"/>
        <v>2023PM PEAK</v>
      </c>
      <c r="Q4121">
        <f t="shared" si="189"/>
        <v>1</v>
      </c>
      <c r="R4121" s="195" t="str">
        <f t="shared" si="190"/>
        <v>2023LIGHT VEHICLES</v>
      </c>
    </row>
    <row r="4122" spans="3:18" x14ac:dyDescent="0.25">
      <c r="C4122" s="294" t="s">
        <v>1019</v>
      </c>
      <c r="D4122" s="317" t="s">
        <v>756</v>
      </c>
      <c r="E4122" s="122" t="s">
        <v>999</v>
      </c>
      <c r="F4122" s="122" t="s">
        <v>1020</v>
      </c>
      <c r="G4122" s="122" t="s">
        <v>785</v>
      </c>
      <c r="H4122" s="122" t="s">
        <v>777</v>
      </c>
      <c r="I4122" s="312">
        <v>2023</v>
      </c>
      <c r="J4122" s="122" t="s">
        <v>713</v>
      </c>
      <c r="K4122" s="283">
        <v>6475</v>
      </c>
      <c r="L4122" s="318">
        <v>-33.689632000000003</v>
      </c>
      <c r="M4122" s="318">
        <v>151.097748</v>
      </c>
      <c r="O4122">
        <f>INDEX('MEC - traffic congestion'!$M$145:$M$249,MATCH($D4122,'MEC - traffic congestion'!$C$145:$C$249,0))</f>
        <v>1</v>
      </c>
      <c r="P4122" t="str">
        <f t="shared" si="188"/>
        <v>2023WEEKENDS</v>
      </c>
      <c r="Q4122">
        <f t="shared" si="189"/>
        <v>1</v>
      </c>
      <c r="R4122" s="195" t="str">
        <f t="shared" si="190"/>
        <v>2023LIGHT VEHICLES</v>
      </c>
    </row>
    <row r="4123" spans="3:18" x14ac:dyDescent="0.25">
      <c r="C4123" s="294" t="s">
        <v>1019</v>
      </c>
      <c r="D4123" s="317" t="s">
        <v>756</v>
      </c>
      <c r="E4123" s="122" t="s">
        <v>999</v>
      </c>
      <c r="F4123" s="122" t="s">
        <v>1020</v>
      </c>
      <c r="G4123" s="122" t="s">
        <v>786</v>
      </c>
      <c r="H4123" s="122" t="s">
        <v>777</v>
      </c>
      <c r="I4123" s="312">
        <v>2023</v>
      </c>
      <c r="J4123" s="122" t="s">
        <v>713</v>
      </c>
      <c r="K4123" s="283">
        <v>6711</v>
      </c>
      <c r="L4123" s="318">
        <v>-33.689632000000003</v>
      </c>
      <c r="M4123" s="318">
        <v>151.097748</v>
      </c>
      <c r="O4123">
        <f>INDEX('MEC - traffic congestion'!$M$145:$M$249,MATCH($D4123,'MEC - traffic congestion'!$C$145:$C$249,0))</f>
        <v>1</v>
      </c>
      <c r="P4123" t="str">
        <f t="shared" si="188"/>
        <v>2023WEEKENDS</v>
      </c>
      <c r="Q4123">
        <f t="shared" si="189"/>
        <v>1</v>
      </c>
      <c r="R4123" s="195" t="str">
        <f t="shared" si="190"/>
        <v>2023LIGHT VEHICLES</v>
      </c>
    </row>
    <row r="4124" spans="3:18" x14ac:dyDescent="0.25">
      <c r="C4124" s="294" t="s">
        <v>1019</v>
      </c>
      <c r="D4124" s="317" t="s">
        <v>756</v>
      </c>
      <c r="E4124" s="122" t="s">
        <v>999</v>
      </c>
      <c r="F4124" s="122" t="s">
        <v>1020</v>
      </c>
      <c r="G4124" s="122" t="s">
        <v>785</v>
      </c>
      <c r="H4124" s="122" t="s">
        <v>777</v>
      </c>
      <c r="I4124" s="312">
        <v>2024</v>
      </c>
      <c r="J4124" s="122" t="s">
        <v>709</v>
      </c>
      <c r="K4124" s="283">
        <v>2724</v>
      </c>
      <c r="L4124" s="318">
        <v>-33.689632000000003</v>
      </c>
      <c r="M4124" s="318">
        <v>151.097748</v>
      </c>
      <c r="O4124">
        <f>INDEX('MEC - traffic congestion'!$M$145:$M$249,MATCH($D4124,'MEC - traffic congestion'!$C$145:$C$249,0))</f>
        <v>1</v>
      </c>
      <c r="P4124" t="str">
        <f t="shared" si="188"/>
        <v>2024AM PEAK</v>
      </c>
      <c r="Q4124">
        <f t="shared" si="189"/>
        <v>1</v>
      </c>
      <c r="R4124" s="195" t="str">
        <f t="shared" si="190"/>
        <v>2024LIGHT VEHICLES</v>
      </c>
    </row>
    <row r="4125" spans="3:18" x14ac:dyDescent="0.25">
      <c r="C4125" s="294" t="s">
        <v>1019</v>
      </c>
      <c r="D4125" s="317" t="s">
        <v>756</v>
      </c>
      <c r="E4125" s="122" t="s">
        <v>999</v>
      </c>
      <c r="F4125" s="122" t="s">
        <v>1020</v>
      </c>
      <c r="G4125" s="122" t="s">
        <v>786</v>
      </c>
      <c r="H4125" s="122" t="s">
        <v>777</v>
      </c>
      <c r="I4125" s="312">
        <v>2024</v>
      </c>
      <c r="J4125" s="122" t="s">
        <v>709</v>
      </c>
      <c r="K4125" s="283">
        <v>1354</v>
      </c>
      <c r="L4125" s="318">
        <v>-33.689632000000003</v>
      </c>
      <c r="M4125" s="318">
        <v>151.097748</v>
      </c>
      <c r="O4125">
        <f>INDEX('MEC - traffic congestion'!$M$145:$M$249,MATCH($D4125,'MEC - traffic congestion'!$C$145:$C$249,0))</f>
        <v>1</v>
      </c>
      <c r="P4125" t="str">
        <f t="shared" si="188"/>
        <v>2024AM PEAK</v>
      </c>
      <c r="Q4125">
        <f t="shared" si="189"/>
        <v>1</v>
      </c>
      <c r="R4125" s="195" t="str">
        <f t="shared" si="190"/>
        <v>2024LIGHT VEHICLES</v>
      </c>
    </row>
    <row r="4126" spans="3:18" x14ac:dyDescent="0.25">
      <c r="C4126" s="294" t="s">
        <v>1019</v>
      </c>
      <c r="D4126" s="317" t="s">
        <v>756</v>
      </c>
      <c r="E4126" s="122" t="s">
        <v>999</v>
      </c>
      <c r="F4126" s="122" t="s">
        <v>1020</v>
      </c>
      <c r="G4126" s="122" t="s">
        <v>785</v>
      </c>
      <c r="H4126" s="122" t="s">
        <v>777</v>
      </c>
      <c r="I4126" s="312">
        <v>2024</v>
      </c>
      <c r="J4126" s="122" t="s">
        <v>710</v>
      </c>
      <c r="K4126" s="283">
        <v>2948</v>
      </c>
      <c r="L4126" s="318">
        <v>-33.689632000000003</v>
      </c>
      <c r="M4126" s="318">
        <v>151.097748</v>
      </c>
      <c r="O4126">
        <f>INDEX('MEC - traffic congestion'!$M$145:$M$249,MATCH($D4126,'MEC - traffic congestion'!$C$145:$C$249,0))</f>
        <v>1</v>
      </c>
      <c r="P4126" t="str">
        <f t="shared" si="188"/>
        <v>2024OFF PEAK</v>
      </c>
      <c r="Q4126">
        <f t="shared" si="189"/>
        <v>1</v>
      </c>
      <c r="R4126" s="195" t="str">
        <f t="shared" si="190"/>
        <v>2024LIGHT VEHICLES</v>
      </c>
    </row>
    <row r="4127" spans="3:18" x14ac:dyDescent="0.25">
      <c r="C4127" s="294" t="s">
        <v>1019</v>
      </c>
      <c r="D4127" s="317" t="s">
        <v>756</v>
      </c>
      <c r="E4127" s="122" t="s">
        <v>999</v>
      </c>
      <c r="F4127" s="122" t="s">
        <v>1020</v>
      </c>
      <c r="G4127" s="122" t="s">
        <v>786</v>
      </c>
      <c r="H4127" s="122" t="s">
        <v>777</v>
      </c>
      <c r="I4127" s="312">
        <v>2024</v>
      </c>
      <c r="J4127" s="122" t="s">
        <v>710</v>
      </c>
      <c r="K4127" s="283">
        <v>3438</v>
      </c>
      <c r="L4127" s="318">
        <v>-33.689632000000003</v>
      </c>
      <c r="M4127" s="318">
        <v>151.097748</v>
      </c>
      <c r="O4127">
        <f>INDEX('MEC - traffic congestion'!$M$145:$M$249,MATCH($D4127,'MEC - traffic congestion'!$C$145:$C$249,0))</f>
        <v>1</v>
      </c>
      <c r="P4127" t="str">
        <f t="shared" si="188"/>
        <v>2024OFF PEAK</v>
      </c>
      <c r="Q4127">
        <f t="shared" si="189"/>
        <v>1</v>
      </c>
      <c r="R4127" s="195" t="str">
        <f t="shared" si="190"/>
        <v>2024LIGHT VEHICLES</v>
      </c>
    </row>
    <row r="4128" spans="3:18" x14ac:dyDescent="0.25">
      <c r="C4128" s="294" t="s">
        <v>1019</v>
      </c>
      <c r="D4128" s="317" t="s">
        <v>756</v>
      </c>
      <c r="E4128" s="122" t="s">
        <v>999</v>
      </c>
      <c r="F4128" s="122" t="s">
        <v>1020</v>
      </c>
      <c r="G4128" s="122" t="s">
        <v>785</v>
      </c>
      <c r="H4128" s="122" t="s">
        <v>777</v>
      </c>
      <c r="I4128" s="312">
        <v>2024</v>
      </c>
      <c r="J4128" s="122" t="s">
        <v>711</v>
      </c>
      <c r="K4128" s="283">
        <v>1924</v>
      </c>
      <c r="L4128" s="318">
        <v>-33.689632000000003</v>
      </c>
      <c r="M4128" s="318">
        <v>151.097748</v>
      </c>
      <c r="O4128">
        <f>INDEX('MEC - traffic congestion'!$M$145:$M$249,MATCH($D4128,'MEC - traffic congestion'!$C$145:$C$249,0))</f>
        <v>1</v>
      </c>
      <c r="P4128" t="str">
        <f t="shared" si="188"/>
        <v>2024PM PEAK</v>
      </c>
      <c r="Q4128">
        <f t="shared" si="189"/>
        <v>1</v>
      </c>
      <c r="R4128" s="195" t="str">
        <f t="shared" si="190"/>
        <v>2024LIGHT VEHICLES</v>
      </c>
    </row>
    <row r="4129" spans="3:18" x14ac:dyDescent="0.25">
      <c r="C4129" s="294" t="s">
        <v>1019</v>
      </c>
      <c r="D4129" s="317" t="s">
        <v>756</v>
      </c>
      <c r="E4129" s="122" t="s">
        <v>999</v>
      </c>
      <c r="F4129" s="122" t="s">
        <v>1020</v>
      </c>
      <c r="G4129" s="122" t="s">
        <v>786</v>
      </c>
      <c r="H4129" s="122" t="s">
        <v>777</v>
      </c>
      <c r="I4129" s="312">
        <v>2024</v>
      </c>
      <c r="J4129" s="122" t="s">
        <v>711</v>
      </c>
      <c r="K4129" s="283">
        <v>3171</v>
      </c>
      <c r="L4129" s="318">
        <v>-33.689632000000003</v>
      </c>
      <c r="M4129" s="318">
        <v>151.097748</v>
      </c>
      <c r="O4129">
        <f>INDEX('MEC - traffic congestion'!$M$145:$M$249,MATCH($D4129,'MEC - traffic congestion'!$C$145:$C$249,0))</f>
        <v>1</v>
      </c>
      <c r="P4129" t="str">
        <f t="shared" si="188"/>
        <v>2024PM PEAK</v>
      </c>
      <c r="Q4129">
        <f t="shared" si="189"/>
        <v>1</v>
      </c>
      <c r="R4129" s="195" t="str">
        <f t="shared" si="190"/>
        <v>2024LIGHT VEHICLES</v>
      </c>
    </row>
    <row r="4130" spans="3:18" x14ac:dyDescent="0.25">
      <c r="C4130" s="294" t="s">
        <v>1019</v>
      </c>
      <c r="D4130" s="317" t="s">
        <v>756</v>
      </c>
      <c r="E4130" s="122" t="s">
        <v>999</v>
      </c>
      <c r="F4130" s="122" t="s">
        <v>1020</v>
      </c>
      <c r="G4130" s="122" t="s">
        <v>785</v>
      </c>
      <c r="H4130" s="122" t="s">
        <v>777</v>
      </c>
      <c r="I4130" s="312">
        <v>2024</v>
      </c>
      <c r="J4130" s="122" t="s">
        <v>713</v>
      </c>
      <c r="K4130" s="283">
        <v>6346</v>
      </c>
      <c r="L4130" s="318">
        <v>-33.689632000000003</v>
      </c>
      <c r="M4130" s="318">
        <v>151.097748</v>
      </c>
      <c r="O4130">
        <f>INDEX('MEC - traffic congestion'!$M$145:$M$249,MATCH($D4130,'MEC - traffic congestion'!$C$145:$C$249,0))</f>
        <v>1</v>
      </c>
      <c r="P4130" t="str">
        <f t="shared" si="188"/>
        <v>2024WEEKENDS</v>
      </c>
      <c r="Q4130">
        <f t="shared" si="189"/>
        <v>1</v>
      </c>
      <c r="R4130" s="195" t="str">
        <f t="shared" si="190"/>
        <v>2024LIGHT VEHICLES</v>
      </c>
    </row>
    <row r="4131" spans="3:18" x14ac:dyDescent="0.25">
      <c r="C4131" s="294" t="s">
        <v>1019</v>
      </c>
      <c r="D4131" s="317" t="s">
        <v>756</v>
      </c>
      <c r="E4131" s="122" t="s">
        <v>999</v>
      </c>
      <c r="F4131" s="122" t="s">
        <v>1020</v>
      </c>
      <c r="G4131" s="122" t="s">
        <v>786</v>
      </c>
      <c r="H4131" s="122" t="s">
        <v>777</v>
      </c>
      <c r="I4131" s="312">
        <v>2024</v>
      </c>
      <c r="J4131" s="122" t="s">
        <v>713</v>
      </c>
      <c r="K4131" s="283">
        <v>6594</v>
      </c>
      <c r="L4131" s="318">
        <v>-33.689632000000003</v>
      </c>
      <c r="M4131" s="318">
        <v>151.097748</v>
      </c>
      <c r="O4131">
        <f>INDEX('MEC - traffic congestion'!$M$145:$M$249,MATCH($D4131,'MEC - traffic congestion'!$C$145:$C$249,0))</f>
        <v>1</v>
      </c>
      <c r="P4131" t="str">
        <f t="shared" si="188"/>
        <v>2024WEEKENDS</v>
      </c>
      <c r="Q4131">
        <f t="shared" si="189"/>
        <v>1</v>
      </c>
      <c r="R4131" s="195" t="str">
        <f t="shared" si="190"/>
        <v>2024LIGHT VEHICLES</v>
      </c>
    </row>
    <row r="4132" spans="3:18" x14ac:dyDescent="0.25">
      <c r="C4132" s="294" t="s">
        <v>1021</v>
      </c>
      <c r="D4132" s="317" t="s">
        <v>757</v>
      </c>
      <c r="E4132" s="122" t="s">
        <v>1022</v>
      </c>
      <c r="F4132" s="122" t="s">
        <v>1023</v>
      </c>
      <c r="G4132" s="122" t="s">
        <v>785</v>
      </c>
      <c r="H4132" s="122" t="s">
        <v>777</v>
      </c>
      <c r="I4132" s="312">
        <v>2018</v>
      </c>
      <c r="J4132" s="122" t="s">
        <v>709</v>
      </c>
      <c r="K4132" s="283">
        <v>206</v>
      </c>
      <c r="L4132" s="318">
        <v>-33.511532000000003</v>
      </c>
      <c r="M4132" s="318">
        <v>150.28422499999999</v>
      </c>
      <c r="O4132">
        <f>INDEX('MEC - traffic congestion'!$M$145:$M$249,MATCH($D4132,'MEC - traffic congestion'!$C$145:$C$249,0))</f>
        <v>1</v>
      </c>
      <c r="P4132" t="str">
        <f t="shared" si="188"/>
        <v>2018AM PEAK</v>
      </c>
      <c r="Q4132">
        <f t="shared" si="189"/>
        <v>1</v>
      </c>
      <c r="R4132" s="195" t="str">
        <f t="shared" si="190"/>
        <v>2018LIGHT VEHICLES</v>
      </c>
    </row>
    <row r="4133" spans="3:18" x14ac:dyDescent="0.25">
      <c r="C4133" s="294" t="s">
        <v>1021</v>
      </c>
      <c r="D4133" s="317" t="s">
        <v>757</v>
      </c>
      <c r="E4133" s="122" t="s">
        <v>1022</v>
      </c>
      <c r="F4133" s="122" t="s">
        <v>1023</v>
      </c>
      <c r="G4133" s="122" t="s">
        <v>786</v>
      </c>
      <c r="H4133" s="122" t="s">
        <v>777</v>
      </c>
      <c r="I4133" s="312">
        <v>2018</v>
      </c>
      <c r="J4133" s="122" t="s">
        <v>709</v>
      </c>
      <c r="K4133" s="283">
        <v>223</v>
      </c>
      <c r="L4133" s="318">
        <v>-33.511532000000003</v>
      </c>
      <c r="M4133" s="318">
        <v>150.28422499999999</v>
      </c>
      <c r="O4133">
        <f>INDEX('MEC - traffic congestion'!$M$145:$M$249,MATCH($D4133,'MEC - traffic congestion'!$C$145:$C$249,0))</f>
        <v>1</v>
      </c>
      <c r="P4133" t="str">
        <f t="shared" si="188"/>
        <v>2018AM PEAK</v>
      </c>
      <c r="Q4133">
        <f t="shared" si="189"/>
        <v>1</v>
      </c>
      <c r="R4133" s="195" t="str">
        <f t="shared" si="190"/>
        <v>2018LIGHT VEHICLES</v>
      </c>
    </row>
    <row r="4134" spans="3:18" x14ac:dyDescent="0.25">
      <c r="C4134" s="294" t="s">
        <v>1021</v>
      </c>
      <c r="D4134" s="317" t="s">
        <v>757</v>
      </c>
      <c r="E4134" s="122" t="s">
        <v>1022</v>
      </c>
      <c r="F4134" s="122" t="s">
        <v>1023</v>
      </c>
      <c r="G4134" s="122" t="s">
        <v>785</v>
      </c>
      <c r="H4134" s="122" t="s">
        <v>777</v>
      </c>
      <c r="I4134" s="312">
        <v>2018</v>
      </c>
      <c r="J4134" s="122" t="s">
        <v>710</v>
      </c>
      <c r="K4134" s="283">
        <v>547</v>
      </c>
      <c r="L4134" s="318">
        <v>-33.511532000000003</v>
      </c>
      <c r="M4134" s="318">
        <v>150.28422499999999</v>
      </c>
      <c r="O4134">
        <f>INDEX('MEC - traffic congestion'!$M$145:$M$249,MATCH($D4134,'MEC - traffic congestion'!$C$145:$C$249,0))</f>
        <v>1</v>
      </c>
      <c r="P4134" t="str">
        <f t="shared" si="188"/>
        <v>2018OFF PEAK</v>
      </c>
      <c r="Q4134">
        <f t="shared" si="189"/>
        <v>1</v>
      </c>
      <c r="R4134" s="195" t="str">
        <f t="shared" si="190"/>
        <v>2018LIGHT VEHICLES</v>
      </c>
    </row>
    <row r="4135" spans="3:18" x14ac:dyDescent="0.25">
      <c r="C4135" s="294" t="s">
        <v>1021</v>
      </c>
      <c r="D4135" s="317" t="s">
        <v>757</v>
      </c>
      <c r="E4135" s="122" t="s">
        <v>1022</v>
      </c>
      <c r="F4135" s="122" t="s">
        <v>1023</v>
      </c>
      <c r="G4135" s="122" t="s">
        <v>786</v>
      </c>
      <c r="H4135" s="122" t="s">
        <v>777</v>
      </c>
      <c r="I4135" s="312">
        <v>2018</v>
      </c>
      <c r="J4135" s="122" t="s">
        <v>710</v>
      </c>
      <c r="K4135" s="283">
        <v>566</v>
      </c>
      <c r="L4135" s="318">
        <v>-33.511532000000003</v>
      </c>
      <c r="M4135" s="318">
        <v>150.28422499999999</v>
      </c>
      <c r="O4135">
        <f>INDEX('MEC - traffic congestion'!$M$145:$M$249,MATCH($D4135,'MEC - traffic congestion'!$C$145:$C$249,0))</f>
        <v>1</v>
      </c>
      <c r="P4135" t="str">
        <f t="shared" si="188"/>
        <v>2018OFF PEAK</v>
      </c>
      <c r="Q4135">
        <f t="shared" si="189"/>
        <v>1</v>
      </c>
      <c r="R4135" s="195" t="str">
        <f t="shared" si="190"/>
        <v>2018LIGHT VEHICLES</v>
      </c>
    </row>
    <row r="4136" spans="3:18" x14ac:dyDescent="0.25">
      <c r="C4136" s="294" t="s">
        <v>1021</v>
      </c>
      <c r="D4136" s="317" t="s">
        <v>757</v>
      </c>
      <c r="E4136" s="122" t="s">
        <v>1022</v>
      </c>
      <c r="F4136" s="122" t="s">
        <v>1023</v>
      </c>
      <c r="G4136" s="122" t="s">
        <v>785</v>
      </c>
      <c r="H4136" s="122" t="s">
        <v>777</v>
      </c>
      <c r="I4136" s="312">
        <v>2018</v>
      </c>
      <c r="J4136" s="122" t="s">
        <v>711</v>
      </c>
      <c r="K4136" s="283">
        <v>311</v>
      </c>
      <c r="L4136" s="318">
        <v>-33.511532000000003</v>
      </c>
      <c r="M4136" s="318">
        <v>150.28422499999999</v>
      </c>
      <c r="O4136">
        <f>INDEX('MEC - traffic congestion'!$M$145:$M$249,MATCH($D4136,'MEC - traffic congestion'!$C$145:$C$249,0))</f>
        <v>1</v>
      </c>
      <c r="P4136" t="str">
        <f t="shared" si="188"/>
        <v>2018PM PEAK</v>
      </c>
      <c r="Q4136">
        <f t="shared" si="189"/>
        <v>1</v>
      </c>
      <c r="R4136" s="195" t="str">
        <f t="shared" si="190"/>
        <v>2018LIGHT VEHICLES</v>
      </c>
    </row>
    <row r="4137" spans="3:18" x14ac:dyDescent="0.25">
      <c r="C4137" s="294" t="s">
        <v>1021</v>
      </c>
      <c r="D4137" s="317" t="s">
        <v>757</v>
      </c>
      <c r="E4137" s="122" t="s">
        <v>1022</v>
      </c>
      <c r="F4137" s="122" t="s">
        <v>1023</v>
      </c>
      <c r="G4137" s="122" t="s">
        <v>786</v>
      </c>
      <c r="H4137" s="122" t="s">
        <v>777</v>
      </c>
      <c r="I4137" s="312">
        <v>2018</v>
      </c>
      <c r="J4137" s="122" t="s">
        <v>711</v>
      </c>
      <c r="K4137" s="283">
        <v>310</v>
      </c>
      <c r="L4137" s="318">
        <v>-33.511532000000003</v>
      </c>
      <c r="M4137" s="318">
        <v>150.28422499999999</v>
      </c>
      <c r="O4137">
        <f>INDEX('MEC - traffic congestion'!$M$145:$M$249,MATCH($D4137,'MEC - traffic congestion'!$C$145:$C$249,0))</f>
        <v>1</v>
      </c>
      <c r="P4137" t="str">
        <f t="shared" si="188"/>
        <v>2018PM PEAK</v>
      </c>
      <c r="Q4137">
        <f t="shared" si="189"/>
        <v>1</v>
      </c>
      <c r="R4137" s="195" t="str">
        <f t="shared" si="190"/>
        <v>2018LIGHT VEHICLES</v>
      </c>
    </row>
    <row r="4138" spans="3:18" x14ac:dyDescent="0.25">
      <c r="C4138" s="294" t="s">
        <v>1021</v>
      </c>
      <c r="D4138" s="317" t="s">
        <v>757</v>
      </c>
      <c r="E4138" s="122" t="s">
        <v>1022</v>
      </c>
      <c r="F4138" s="122" t="s">
        <v>1023</v>
      </c>
      <c r="G4138" s="122" t="s">
        <v>785</v>
      </c>
      <c r="H4138" s="122" t="s">
        <v>777</v>
      </c>
      <c r="I4138" s="312">
        <v>2018</v>
      </c>
      <c r="J4138" s="122" t="s">
        <v>712</v>
      </c>
      <c r="K4138" s="283">
        <v>2249</v>
      </c>
      <c r="L4138" s="318">
        <v>-33.511532000000003</v>
      </c>
      <c r="M4138" s="318">
        <v>150.28422499999999</v>
      </c>
      <c r="O4138">
        <f>INDEX('MEC - traffic congestion'!$M$145:$M$249,MATCH($D4138,'MEC - traffic congestion'!$C$145:$C$249,0))</f>
        <v>1</v>
      </c>
      <c r="P4138" t="str">
        <f t="shared" si="188"/>
        <v>2018PUBLIC HOLIDAYS</v>
      </c>
      <c r="Q4138">
        <f t="shared" si="189"/>
        <v>1</v>
      </c>
      <c r="R4138" s="195" t="str">
        <f t="shared" si="190"/>
        <v>2018LIGHT VEHICLES</v>
      </c>
    </row>
    <row r="4139" spans="3:18" x14ac:dyDescent="0.25">
      <c r="C4139" s="294" t="s">
        <v>1021</v>
      </c>
      <c r="D4139" s="317" t="s">
        <v>757</v>
      </c>
      <c r="E4139" s="122" t="s">
        <v>1022</v>
      </c>
      <c r="F4139" s="122" t="s">
        <v>1023</v>
      </c>
      <c r="G4139" s="122" t="s">
        <v>786</v>
      </c>
      <c r="H4139" s="122" t="s">
        <v>777</v>
      </c>
      <c r="I4139" s="312">
        <v>2018</v>
      </c>
      <c r="J4139" s="122" t="s">
        <v>712</v>
      </c>
      <c r="K4139" s="283">
        <v>1968</v>
      </c>
      <c r="L4139" s="318">
        <v>-33.511532000000003</v>
      </c>
      <c r="M4139" s="318">
        <v>150.28422499999999</v>
      </c>
      <c r="O4139">
        <f>INDEX('MEC - traffic congestion'!$M$145:$M$249,MATCH($D4139,'MEC - traffic congestion'!$C$145:$C$249,0))</f>
        <v>1</v>
      </c>
      <c r="P4139" t="str">
        <f t="shared" si="188"/>
        <v>2018PUBLIC HOLIDAYS</v>
      </c>
      <c r="Q4139">
        <f t="shared" si="189"/>
        <v>1</v>
      </c>
      <c r="R4139" s="195" t="str">
        <f t="shared" si="190"/>
        <v>2018LIGHT VEHICLES</v>
      </c>
    </row>
    <row r="4140" spans="3:18" x14ac:dyDescent="0.25">
      <c r="C4140" s="294" t="s">
        <v>1021</v>
      </c>
      <c r="D4140" s="317" t="s">
        <v>757</v>
      </c>
      <c r="E4140" s="122" t="s">
        <v>1022</v>
      </c>
      <c r="F4140" s="122" t="s">
        <v>1023</v>
      </c>
      <c r="G4140" s="122" t="s">
        <v>785</v>
      </c>
      <c r="H4140" s="122" t="s">
        <v>777</v>
      </c>
      <c r="I4140" s="312">
        <v>2018</v>
      </c>
      <c r="J4140" s="122" t="s">
        <v>713</v>
      </c>
      <c r="K4140" s="283">
        <v>2014</v>
      </c>
      <c r="L4140" s="318">
        <v>-33.511532000000003</v>
      </c>
      <c r="M4140" s="318">
        <v>150.28422499999999</v>
      </c>
      <c r="O4140">
        <f>INDEX('MEC - traffic congestion'!$M$145:$M$249,MATCH($D4140,'MEC - traffic congestion'!$C$145:$C$249,0))</f>
        <v>1</v>
      </c>
      <c r="P4140" t="str">
        <f t="shared" si="188"/>
        <v>2018WEEKENDS</v>
      </c>
      <c r="Q4140">
        <f t="shared" si="189"/>
        <v>1</v>
      </c>
      <c r="R4140" s="195" t="str">
        <f t="shared" si="190"/>
        <v>2018LIGHT VEHICLES</v>
      </c>
    </row>
    <row r="4141" spans="3:18" x14ac:dyDescent="0.25">
      <c r="C4141" s="294" t="s">
        <v>1021</v>
      </c>
      <c r="D4141" s="317" t="s">
        <v>757</v>
      </c>
      <c r="E4141" s="122" t="s">
        <v>1022</v>
      </c>
      <c r="F4141" s="122" t="s">
        <v>1023</v>
      </c>
      <c r="G4141" s="122" t="s">
        <v>786</v>
      </c>
      <c r="H4141" s="122" t="s">
        <v>777</v>
      </c>
      <c r="I4141" s="312">
        <v>2018</v>
      </c>
      <c r="J4141" s="122" t="s">
        <v>713</v>
      </c>
      <c r="K4141" s="283">
        <v>1663</v>
      </c>
      <c r="L4141" s="318">
        <v>-33.511532000000003</v>
      </c>
      <c r="M4141" s="318">
        <v>150.28422499999999</v>
      </c>
      <c r="O4141">
        <f>INDEX('MEC - traffic congestion'!$M$145:$M$249,MATCH($D4141,'MEC - traffic congestion'!$C$145:$C$249,0))</f>
        <v>1</v>
      </c>
      <c r="P4141" t="str">
        <f t="shared" si="188"/>
        <v>2018WEEKENDS</v>
      </c>
      <c r="Q4141">
        <f t="shared" si="189"/>
        <v>1</v>
      </c>
      <c r="R4141" s="195" t="str">
        <f t="shared" si="190"/>
        <v>2018LIGHT VEHICLES</v>
      </c>
    </row>
    <row r="4142" spans="3:18" x14ac:dyDescent="0.25">
      <c r="C4142" s="294" t="s">
        <v>1021</v>
      </c>
      <c r="D4142" s="317" t="s">
        <v>757</v>
      </c>
      <c r="E4142" s="122" t="s">
        <v>1022</v>
      </c>
      <c r="F4142" s="122" t="s">
        <v>1023</v>
      </c>
      <c r="G4142" s="122" t="s">
        <v>785</v>
      </c>
      <c r="H4142" s="122" t="s">
        <v>777</v>
      </c>
      <c r="I4142" s="312">
        <v>2019</v>
      </c>
      <c r="J4142" s="122" t="s">
        <v>709</v>
      </c>
      <c r="K4142" s="283">
        <v>203</v>
      </c>
      <c r="L4142" s="318">
        <v>-33.511532000000003</v>
      </c>
      <c r="M4142" s="318">
        <v>150.28422499999999</v>
      </c>
      <c r="O4142">
        <f>INDEX('MEC - traffic congestion'!$M$145:$M$249,MATCH($D4142,'MEC - traffic congestion'!$C$145:$C$249,0))</f>
        <v>1</v>
      </c>
      <c r="P4142" t="str">
        <f t="shared" si="188"/>
        <v>2019AM PEAK</v>
      </c>
      <c r="Q4142">
        <f t="shared" si="189"/>
        <v>1</v>
      </c>
      <c r="R4142" s="195" t="str">
        <f t="shared" si="190"/>
        <v>2019LIGHT VEHICLES</v>
      </c>
    </row>
    <row r="4143" spans="3:18" x14ac:dyDescent="0.25">
      <c r="C4143" s="294" t="s">
        <v>1021</v>
      </c>
      <c r="D4143" s="317" t="s">
        <v>757</v>
      </c>
      <c r="E4143" s="122" t="s">
        <v>1022</v>
      </c>
      <c r="F4143" s="122" t="s">
        <v>1023</v>
      </c>
      <c r="G4143" s="122" t="s">
        <v>786</v>
      </c>
      <c r="H4143" s="122" t="s">
        <v>777</v>
      </c>
      <c r="I4143" s="312">
        <v>2019</v>
      </c>
      <c r="J4143" s="122" t="s">
        <v>709</v>
      </c>
      <c r="K4143" s="283">
        <v>218</v>
      </c>
      <c r="L4143" s="318">
        <v>-33.511532000000003</v>
      </c>
      <c r="M4143" s="318">
        <v>150.28422499999999</v>
      </c>
      <c r="O4143">
        <f>INDEX('MEC - traffic congestion'!$M$145:$M$249,MATCH($D4143,'MEC - traffic congestion'!$C$145:$C$249,0))</f>
        <v>1</v>
      </c>
      <c r="P4143" t="str">
        <f t="shared" si="188"/>
        <v>2019AM PEAK</v>
      </c>
      <c r="Q4143">
        <f t="shared" si="189"/>
        <v>1</v>
      </c>
      <c r="R4143" s="195" t="str">
        <f t="shared" si="190"/>
        <v>2019LIGHT VEHICLES</v>
      </c>
    </row>
    <row r="4144" spans="3:18" x14ac:dyDescent="0.25">
      <c r="C4144" s="294" t="s">
        <v>1021</v>
      </c>
      <c r="D4144" s="317" t="s">
        <v>757</v>
      </c>
      <c r="E4144" s="122" t="s">
        <v>1022</v>
      </c>
      <c r="F4144" s="122" t="s">
        <v>1023</v>
      </c>
      <c r="G4144" s="122" t="s">
        <v>785</v>
      </c>
      <c r="H4144" s="122" t="s">
        <v>777</v>
      </c>
      <c r="I4144" s="312">
        <v>2019</v>
      </c>
      <c r="J4144" s="122" t="s">
        <v>710</v>
      </c>
      <c r="K4144" s="283">
        <v>566</v>
      </c>
      <c r="L4144" s="318">
        <v>-33.511532000000003</v>
      </c>
      <c r="M4144" s="318">
        <v>150.28422499999999</v>
      </c>
      <c r="O4144">
        <f>INDEX('MEC - traffic congestion'!$M$145:$M$249,MATCH($D4144,'MEC - traffic congestion'!$C$145:$C$249,0))</f>
        <v>1</v>
      </c>
      <c r="P4144" t="str">
        <f t="shared" si="188"/>
        <v>2019OFF PEAK</v>
      </c>
      <c r="Q4144">
        <f t="shared" si="189"/>
        <v>1</v>
      </c>
      <c r="R4144" s="195" t="str">
        <f t="shared" si="190"/>
        <v>2019LIGHT VEHICLES</v>
      </c>
    </row>
    <row r="4145" spans="3:18" x14ac:dyDescent="0.25">
      <c r="C4145" s="294" t="s">
        <v>1021</v>
      </c>
      <c r="D4145" s="317" t="s">
        <v>757</v>
      </c>
      <c r="E4145" s="122" t="s">
        <v>1022</v>
      </c>
      <c r="F4145" s="122" t="s">
        <v>1023</v>
      </c>
      <c r="G4145" s="122" t="s">
        <v>786</v>
      </c>
      <c r="H4145" s="122" t="s">
        <v>777</v>
      </c>
      <c r="I4145" s="312">
        <v>2019</v>
      </c>
      <c r="J4145" s="122" t="s">
        <v>710</v>
      </c>
      <c r="K4145" s="283">
        <v>546</v>
      </c>
      <c r="L4145" s="318">
        <v>-33.511532000000003</v>
      </c>
      <c r="M4145" s="318">
        <v>150.28422499999999</v>
      </c>
      <c r="O4145">
        <f>INDEX('MEC - traffic congestion'!$M$145:$M$249,MATCH($D4145,'MEC - traffic congestion'!$C$145:$C$249,0))</f>
        <v>1</v>
      </c>
      <c r="P4145" t="str">
        <f t="shared" si="188"/>
        <v>2019OFF PEAK</v>
      </c>
      <c r="Q4145">
        <f t="shared" si="189"/>
        <v>1</v>
      </c>
      <c r="R4145" s="195" t="str">
        <f t="shared" si="190"/>
        <v>2019LIGHT VEHICLES</v>
      </c>
    </row>
    <row r="4146" spans="3:18" x14ac:dyDescent="0.25">
      <c r="C4146" s="294" t="s">
        <v>1021</v>
      </c>
      <c r="D4146" s="317" t="s">
        <v>757</v>
      </c>
      <c r="E4146" s="122" t="s">
        <v>1022</v>
      </c>
      <c r="F4146" s="122" t="s">
        <v>1023</v>
      </c>
      <c r="G4146" s="122" t="s">
        <v>785</v>
      </c>
      <c r="H4146" s="122" t="s">
        <v>777</v>
      </c>
      <c r="I4146" s="312">
        <v>2019</v>
      </c>
      <c r="J4146" s="122" t="s">
        <v>711</v>
      </c>
      <c r="K4146" s="283">
        <v>313</v>
      </c>
      <c r="L4146" s="318">
        <v>-33.511532000000003</v>
      </c>
      <c r="M4146" s="318">
        <v>150.28422499999999</v>
      </c>
      <c r="O4146">
        <f>INDEX('MEC - traffic congestion'!$M$145:$M$249,MATCH($D4146,'MEC - traffic congestion'!$C$145:$C$249,0))</f>
        <v>1</v>
      </c>
      <c r="P4146" t="str">
        <f t="shared" si="188"/>
        <v>2019PM PEAK</v>
      </c>
      <c r="Q4146">
        <f t="shared" si="189"/>
        <v>1</v>
      </c>
      <c r="R4146" s="195" t="str">
        <f t="shared" si="190"/>
        <v>2019LIGHT VEHICLES</v>
      </c>
    </row>
    <row r="4147" spans="3:18" x14ac:dyDescent="0.25">
      <c r="C4147" s="294" t="s">
        <v>1021</v>
      </c>
      <c r="D4147" s="317" t="s">
        <v>757</v>
      </c>
      <c r="E4147" s="122" t="s">
        <v>1022</v>
      </c>
      <c r="F4147" s="122" t="s">
        <v>1023</v>
      </c>
      <c r="G4147" s="122" t="s">
        <v>786</v>
      </c>
      <c r="H4147" s="122" t="s">
        <v>777</v>
      </c>
      <c r="I4147" s="312">
        <v>2019</v>
      </c>
      <c r="J4147" s="122" t="s">
        <v>711</v>
      </c>
      <c r="K4147" s="283">
        <v>296</v>
      </c>
      <c r="L4147" s="318">
        <v>-33.511532000000003</v>
      </c>
      <c r="M4147" s="318">
        <v>150.28422499999999</v>
      </c>
      <c r="O4147">
        <f>INDEX('MEC - traffic congestion'!$M$145:$M$249,MATCH($D4147,'MEC - traffic congestion'!$C$145:$C$249,0))</f>
        <v>1</v>
      </c>
      <c r="P4147" t="str">
        <f t="shared" si="188"/>
        <v>2019PM PEAK</v>
      </c>
      <c r="Q4147">
        <f t="shared" si="189"/>
        <v>1</v>
      </c>
      <c r="R4147" s="195" t="str">
        <f t="shared" si="190"/>
        <v>2019LIGHT VEHICLES</v>
      </c>
    </row>
    <row r="4148" spans="3:18" x14ac:dyDescent="0.25">
      <c r="C4148" s="294" t="s">
        <v>1021</v>
      </c>
      <c r="D4148" s="317" t="s">
        <v>757</v>
      </c>
      <c r="E4148" s="122" t="s">
        <v>1022</v>
      </c>
      <c r="F4148" s="122" t="s">
        <v>1023</v>
      </c>
      <c r="G4148" s="122" t="s">
        <v>785</v>
      </c>
      <c r="H4148" s="122" t="s">
        <v>777</v>
      </c>
      <c r="I4148" s="312">
        <v>2019</v>
      </c>
      <c r="J4148" s="122" t="s">
        <v>712</v>
      </c>
      <c r="K4148" s="283">
        <v>2809</v>
      </c>
      <c r="L4148" s="318">
        <v>-33.511532000000003</v>
      </c>
      <c r="M4148" s="318">
        <v>150.28422499999999</v>
      </c>
      <c r="O4148">
        <f>INDEX('MEC - traffic congestion'!$M$145:$M$249,MATCH($D4148,'MEC - traffic congestion'!$C$145:$C$249,0))</f>
        <v>1</v>
      </c>
      <c r="P4148" t="str">
        <f t="shared" si="188"/>
        <v>2019PUBLIC HOLIDAYS</v>
      </c>
      <c r="Q4148">
        <f t="shared" si="189"/>
        <v>1</v>
      </c>
      <c r="R4148" s="195" t="str">
        <f t="shared" si="190"/>
        <v>2019LIGHT VEHICLES</v>
      </c>
    </row>
    <row r="4149" spans="3:18" x14ac:dyDescent="0.25">
      <c r="C4149" s="294" t="s">
        <v>1021</v>
      </c>
      <c r="D4149" s="317" t="s">
        <v>757</v>
      </c>
      <c r="E4149" s="122" t="s">
        <v>1022</v>
      </c>
      <c r="F4149" s="122" t="s">
        <v>1023</v>
      </c>
      <c r="G4149" s="122" t="s">
        <v>786</v>
      </c>
      <c r="H4149" s="122" t="s">
        <v>777</v>
      </c>
      <c r="I4149" s="312">
        <v>2019</v>
      </c>
      <c r="J4149" s="122" t="s">
        <v>712</v>
      </c>
      <c r="K4149" s="283">
        <v>1585</v>
      </c>
      <c r="L4149" s="318">
        <v>-33.511532000000003</v>
      </c>
      <c r="M4149" s="318">
        <v>150.28422499999999</v>
      </c>
      <c r="O4149">
        <f>INDEX('MEC - traffic congestion'!$M$145:$M$249,MATCH($D4149,'MEC - traffic congestion'!$C$145:$C$249,0))</f>
        <v>1</v>
      </c>
      <c r="P4149" t="str">
        <f t="shared" si="188"/>
        <v>2019PUBLIC HOLIDAYS</v>
      </c>
      <c r="Q4149">
        <f t="shared" si="189"/>
        <v>1</v>
      </c>
      <c r="R4149" s="195" t="str">
        <f t="shared" si="190"/>
        <v>2019LIGHT VEHICLES</v>
      </c>
    </row>
    <row r="4150" spans="3:18" x14ac:dyDescent="0.25">
      <c r="C4150" s="294" t="s">
        <v>1021</v>
      </c>
      <c r="D4150" s="317" t="s">
        <v>757</v>
      </c>
      <c r="E4150" s="122" t="s">
        <v>1022</v>
      </c>
      <c r="F4150" s="122" t="s">
        <v>1023</v>
      </c>
      <c r="G4150" s="122" t="s">
        <v>785</v>
      </c>
      <c r="H4150" s="122" t="s">
        <v>777</v>
      </c>
      <c r="I4150" s="312">
        <v>2019</v>
      </c>
      <c r="J4150" s="122" t="s">
        <v>713</v>
      </c>
      <c r="K4150" s="283">
        <v>1844</v>
      </c>
      <c r="L4150" s="318">
        <v>-33.511532000000003</v>
      </c>
      <c r="M4150" s="318">
        <v>150.28422499999999</v>
      </c>
      <c r="O4150">
        <f>INDEX('MEC - traffic congestion'!$M$145:$M$249,MATCH($D4150,'MEC - traffic congestion'!$C$145:$C$249,0))</f>
        <v>1</v>
      </c>
      <c r="P4150" t="str">
        <f t="shared" si="188"/>
        <v>2019WEEKENDS</v>
      </c>
      <c r="Q4150">
        <f t="shared" si="189"/>
        <v>1</v>
      </c>
      <c r="R4150" s="195" t="str">
        <f t="shared" si="190"/>
        <v>2019LIGHT VEHICLES</v>
      </c>
    </row>
    <row r="4151" spans="3:18" x14ac:dyDescent="0.25">
      <c r="C4151" s="294" t="s">
        <v>1021</v>
      </c>
      <c r="D4151" s="317" t="s">
        <v>757</v>
      </c>
      <c r="E4151" s="122" t="s">
        <v>1022</v>
      </c>
      <c r="F4151" s="122" t="s">
        <v>1023</v>
      </c>
      <c r="G4151" s="122" t="s">
        <v>786</v>
      </c>
      <c r="H4151" s="122" t="s">
        <v>777</v>
      </c>
      <c r="I4151" s="312">
        <v>2019</v>
      </c>
      <c r="J4151" s="122" t="s">
        <v>713</v>
      </c>
      <c r="K4151" s="283">
        <v>1633</v>
      </c>
      <c r="L4151" s="318">
        <v>-33.511532000000003</v>
      </c>
      <c r="M4151" s="318">
        <v>150.28422499999999</v>
      </c>
      <c r="O4151">
        <f>INDEX('MEC - traffic congestion'!$M$145:$M$249,MATCH($D4151,'MEC - traffic congestion'!$C$145:$C$249,0))</f>
        <v>1</v>
      </c>
      <c r="P4151" t="str">
        <f t="shared" si="188"/>
        <v>2019WEEKENDS</v>
      </c>
      <c r="Q4151">
        <f t="shared" si="189"/>
        <v>1</v>
      </c>
      <c r="R4151" s="195" t="str">
        <f t="shared" si="190"/>
        <v>2019LIGHT VEHICLES</v>
      </c>
    </row>
    <row r="4152" spans="3:18" x14ac:dyDescent="0.25">
      <c r="C4152" s="294" t="s">
        <v>1021</v>
      </c>
      <c r="D4152" s="317" t="s">
        <v>757</v>
      </c>
      <c r="E4152" s="122" t="s">
        <v>1022</v>
      </c>
      <c r="F4152" s="122" t="s">
        <v>1023</v>
      </c>
      <c r="G4152" s="122" t="s">
        <v>785</v>
      </c>
      <c r="H4152" s="122" t="s">
        <v>777</v>
      </c>
      <c r="I4152" s="312">
        <v>2020</v>
      </c>
      <c r="J4152" s="122" t="s">
        <v>709</v>
      </c>
      <c r="K4152" s="283">
        <v>170</v>
      </c>
      <c r="L4152" s="318">
        <v>-33.511532000000003</v>
      </c>
      <c r="M4152" s="318">
        <v>150.28422499999999</v>
      </c>
      <c r="O4152">
        <f>INDEX('MEC - traffic congestion'!$M$145:$M$249,MATCH($D4152,'MEC - traffic congestion'!$C$145:$C$249,0))</f>
        <v>1</v>
      </c>
      <c r="P4152" t="str">
        <f t="shared" si="188"/>
        <v>2020AM PEAK</v>
      </c>
      <c r="Q4152">
        <f t="shared" si="189"/>
        <v>1</v>
      </c>
      <c r="R4152" s="195" t="str">
        <f t="shared" si="190"/>
        <v>2020LIGHT VEHICLES</v>
      </c>
    </row>
    <row r="4153" spans="3:18" x14ac:dyDescent="0.25">
      <c r="C4153" s="294" t="s">
        <v>1021</v>
      </c>
      <c r="D4153" s="317" t="s">
        <v>757</v>
      </c>
      <c r="E4153" s="122" t="s">
        <v>1022</v>
      </c>
      <c r="F4153" s="122" t="s">
        <v>1023</v>
      </c>
      <c r="G4153" s="122" t="s">
        <v>786</v>
      </c>
      <c r="H4153" s="122" t="s">
        <v>777</v>
      </c>
      <c r="I4153" s="312">
        <v>2020</v>
      </c>
      <c r="J4153" s="122" t="s">
        <v>709</v>
      </c>
      <c r="K4153" s="283">
        <v>198</v>
      </c>
      <c r="L4153" s="318">
        <v>-33.511532000000003</v>
      </c>
      <c r="M4153" s="318">
        <v>150.28422499999999</v>
      </c>
      <c r="O4153">
        <f>INDEX('MEC - traffic congestion'!$M$145:$M$249,MATCH($D4153,'MEC - traffic congestion'!$C$145:$C$249,0))</f>
        <v>1</v>
      </c>
      <c r="P4153" t="str">
        <f t="shared" si="188"/>
        <v>2020AM PEAK</v>
      </c>
      <c r="Q4153">
        <f t="shared" si="189"/>
        <v>1</v>
      </c>
      <c r="R4153" s="195" t="str">
        <f t="shared" si="190"/>
        <v>2020LIGHT VEHICLES</v>
      </c>
    </row>
    <row r="4154" spans="3:18" x14ac:dyDescent="0.25">
      <c r="C4154" s="294" t="s">
        <v>1021</v>
      </c>
      <c r="D4154" s="317" t="s">
        <v>757</v>
      </c>
      <c r="E4154" s="122" t="s">
        <v>1022</v>
      </c>
      <c r="F4154" s="122" t="s">
        <v>1023</v>
      </c>
      <c r="G4154" s="122" t="s">
        <v>785</v>
      </c>
      <c r="H4154" s="122" t="s">
        <v>777</v>
      </c>
      <c r="I4154" s="312">
        <v>2020</v>
      </c>
      <c r="J4154" s="122" t="s">
        <v>710</v>
      </c>
      <c r="K4154" s="283">
        <v>491</v>
      </c>
      <c r="L4154" s="318">
        <v>-33.511532000000003</v>
      </c>
      <c r="M4154" s="318">
        <v>150.28422499999999</v>
      </c>
      <c r="O4154">
        <f>INDEX('MEC - traffic congestion'!$M$145:$M$249,MATCH($D4154,'MEC - traffic congestion'!$C$145:$C$249,0))</f>
        <v>1</v>
      </c>
      <c r="P4154" t="str">
        <f t="shared" si="188"/>
        <v>2020OFF PEAK</v>
      </c>
      <c r="Q4154">
        <f t="shared" si="189"/>
        <v>1</v>
      </c>
      <c r="R4154" s="195" t="str">
        <f t="shared" si="190"/>
        <v>2020LIGHT VEHICLES</v>
      </c>
    </row>
    <row r="4155" spans="3:18" x14ac:dyDescent="0.25">
      <c r="C4155" s="294" t="s">
        <v>1021</v>
      </c>
      <c r="D4155" s="317" t="s">
        <v>757</v>
      </c>
      <c r="E4155" s="122" t="s">
        <v>1022</v>
      </c>
      <c r="F4155" s="122" t="s">
        <v>1023</v>
      </c>
      <c r="G4155" s="122" t="s">
        <v>786</v>
      </c>
      <c r="H4155" s="122" t="s">
        <v>777</v>
      </c>
      <c r="I4155" s="312">
        <v>2020</v>
      </c>
      <c r="J4155" s="122" t="s">
        <v>710</v>
      </c>
      <c r="K4155" s="283">
        <v>526</v>
      </c>
      <c r="L4155" s="318">
        <v>-33.511532000000003</v>
      </c>
      <c r="M4155" s="318">
        <v>150.28422499999999</v>
      </c>
      <c r="O4155">
        <f>INDEX('MEC - traffic congestion'!$M$145:$M$249,MATCH($D4155,'MEC - traffic congestion'!$C$145:$C$249,0))</f>
        <v>1</v>
      </c>
      <c r="P4155" t="str">
        <f t="shared" si="188"/>
        <v>2020OFF PEAK</v>
      </c>
      <c r="Q4155">
        <f t="shared" si="189"/>
        <v>1</v>
      </c>
      <c r="R4155" s="195" t="str">
        <f t="shared" si="190"/>
        <v>2020LIGHT VEHICLES</v>
      </c>
    </row>
    <row r="4156" spans="3:18" x14ac:dyDescent="0.25">
      <c r="C4156" s="294" t="s">
        <v>1021</v>
      </c>
      <c r="D4156" s="317" t="s">
        <v>757</v>
      </c>
      <c r="E4156" s="122" t="s">
        <v>1022</v>
      </c>
      <c r="F4156" s="122" t="s">
        <v>1023</v>
      </c>
      <c r="G4156" s="122" t="s">
        <v>785</v>
      </c>
      <c r="H4156" s="122" t="s">
        <v>777</v>
      </c>
      <c r="I4156" s="312">
        <v>2020</v>
      </c>
      <c r="J4156" s="122" t="s">
        <v>711</v>
      </c>
      <c r="K4156" s="283">
        <v>271</v>
      </c>
      <c r="L4156" s="318">
        <v>-33.511532000000003</v>
      </c>
      <c r="M4156" s="318">
        <v>150.28422499999999</v>
      </c>
      <c r="O4156">
        <f>INDEX('MEC - traffic congestion'!$M$145:$M$249,MATCH($D4156,'MEC - traffic congestion'!$C$145:$C$249,0))</f>
        <v>1</v>
      </c>
      <c r="P4156" t="str">
        <f t="shared" si="188"/>
        <v>2020PM PEAK</v>
      </c>
      <c r="Q4156">
        <f t="shared" si="189"/>
        <v>1</v>
      </c>
      <c r="R4156" s="195" t="str">
        <f t="shared" si="190"/>
        <v>2020LIGHT VEHICLES</v>
      </c>
    </row>
    <row r="4157" spans="3:18" x14ac:dyDescent="0.25">
      <c r="C4157" s="294" t="s">
        <v>1021</v>
      </c>
      <c r="D4157" s="317" t="s">
        <v>757</v>
      </c>
      <c r="E4157" s="122" t="s">
        <v>1022</v>
      </c>
      <c r="F4157" s="122" t="s">
        <v>1023</v>
      </c>
      <c r="G4157" s="122" t="s">
        <v>786</v>
      </c>
      <c r="H4157" s="122" t="s">
        <v>777</v>
      </c>
      <c r="I4157" s="312">
        <v>2020</v>
      </c>
      <c r="J4157" s="122" t="s">
        <v>711</v>
      </c>
      <c r="K4157" s="283">
        <v>275</v>
      </c>
      <c r="L4157" s="318">
        <v>-33.511532000000003</v>
      </c>
      <c r="M4157" s="318">
        <v>150.28422499999999</v>
      </c>
      <c r="O4157">
        <f>INDEX('MEC - traffic congestion'!$M$145:$M$249,MATCH($D4157,'MEC - traffic congestion'!$C$145:$C$249,0))</f>
        <v>1</v>
      </c>
      <c r="P4157" t="str">
        <f t="shared" si="188"/>
        <v>2020PM PEAK</v>
      </c>
      <c r="Q4157">
        <f t="shared" si="189"/>
        <v>1</v>
      </c>
      <c r="R4157" s="195" t="str">
        <f t="shared" si="190"/>
        <v>2020LIGHT VEHICLES</v>
      </c>
    </row>
    <row r="4158" spans="3:18" x14ac:dyDescent="0.25">
      <c r="C4158" s="294" t="s">
        <v>1021</v>
      </c>
      <c r="D4158" s="317" t="s">
        <v>757</v>
      </c>
      <c r="E4158" s="122" t="s">
        <v>1022</v>
      </c>
      <c r="F4158" s="122" t="s">
        <v>1023</v>
      </c>
      <c r="G4158" s="122" t="s">
        <v>785</v>
      </c>
      <c r="H4158" s="122" t="s">
        <v>777</v>
      </c>
      <c r="I4158" s="312">
        <v>2020</v>
      </c>
      <c r="J4158" s="122" t="s">
        <v>712</v>
      </c>
      <c r="K4158" s="283">
        <v>2147</v>
      </c>
      <c r="L4158" s="318">
        <v>-33.511532000000003</v>
      </c>
      <c r="M4158" s="318">
        <v>150.28422499999999</v>
      </c>
      <c r="O4158">
        <f>INDEX('MEC - traffic congestion'!$M$145:$M$249,MATCH($D4158,'MEC - traffic congestion'!$C$145:$C$249,0))</f>
        <v>1</v>
      </c>
      <c r="P4158" t="str">
        <f t="shared" si="188"/>
        <v>2020PUBLIC HOLIDAYS</v>
      </c>
      <c r="Q4158">
        <f t="shared" si="189"/>
        <v>1</v>
      </c>
      <c r="R4158" s="195" t="str">
        <f t="shared" si="190"/>
        <v>2020LIGHT VEHICLES</v>
      </c>
    </row>
    <row r="4159" spans="3:18" x14ac:dyDescent="0.25">
      <c r="C4159" s="294" t="s">
        <v>1021</v>
      </c>
      <c r="D4159" s="317" t="s">
        <v>757</v>
      </c>
      <c r="E4159" s="122" t="s">
        <v>1022</v>
      </c>
      <c r="F4159" s="122" t="s">
        <v>1023</v>
      </c>
      <c r="G4159" s="122" t="s">
        <v>786</v>
      </c>
      <c r="H4159" s="122" t="s">
        <v>777</v>
      </c>
      <c r="I4159" s="312">
        <v>2020</v>
      </c>
      <c r="J4159" s="122" t="s">
        <v>712</v>
      </c>
      <c r="K4159" s="283">
        <v>1302</v>
      </c>
      <c r="L4159" s="318">
        <v>-33.511532000000003</v>
      </c>
      <c r="M4159" s="318">
        <v>150.28422499999999</v>
      </c>
      <c r="O4159">
        <f>INDEX('MEC - traffic congestion'!$M$145:$M$249,MATCH($D4159,'MEC - traffic congestion'!$C$145:$C$249,0))</f>
        <v>1</v>
      </c>
      <c r="P4159" t="str">
        <f t="shared" si="188"/>
        <v>2020PUBLIC HOLIDAYS</v>
      </c>
      <c r="Q4159">
        <f t="shared" si="189"/>
        <v>1</v>
      </c>
      <c r="R4159" s="195" t="str">
        <f t="shared" si="190"/>
        <v>2020LIGHT VEHICLES</v>
      </c>
    </row>
    <row r="4160" spans="3:18" x14ac:dyDescent="0.25">
      <c r="C4160" s="294" t="s">
        <v>1021</v>
      </c>
      <c r="D4160" s="317" t="s">
        <v>757</v>
      </c>
      <c r="E4160" s="122" t="s">
        <v>1022</v>
      </c>
      <c r="F4160" s="122" t="s">
        <v>1023</v>
      </c>
      <c r="G4160" s="122" t="s">
        <v>785</v>
      </c>
      <c r="H4160" s="122" t="s">
        <v>777</v>
      </c>
      <c r="I4160" s="312">
        <v>2020</v>
      </c>
      <c r="J4160" s="122" t="s">
        <v>713</v>
      </c>
      <c r="K4160" s="283">
        <v>1802</v>
      </c>
      <c r="L4160" s="318">
        <v>-33.511532000000003</v>
      </c>
      <c r="M4160" s="318">
        <v>150.28422499999999</v>
      </c>
      <c r="O4160">
        <f>INDEX('MEC - traffic congestion'!$M$145:$M$249,MATCH($D4160,'MEC - traffic congestion'!$C$145:$C$249,0))</f>
        <v>1</v>
      </c>
      <c r="P4160" t="str">
        <f t="shared" si="188"/>
        <v>2020WEEKENDS</v>
      </c>
      <c r="Q4160">
        <f t="shared" si="189"/>
        <v>1</v>
      </c>
      <c r="R4160" s="195" t="str">
        <f t="shared" si="190"/>
        <v>2020LIGHT VEHICLES</v>
      </c>
    </row>
    <row r="4161" spans="3:18" x14ac:dyDescent="0.25">
      <c r="C4161" s="294" t="s">
        <v>1021</v>
      </c>
      <c r="D4161" s="317" t="s">
        <v>757</v>
      </c>
      <c r="E4161" s="122" t="s">
        <v>1022</v>
      </c>
      <c r="F4161" s="122" t="s">
        <v>1023</v>
      </c>
      <c r="G4161" s="122" t="s">
        <v>786</v>
      </c>
      <c r="H4161" s="122" t="s">
        <v>777</v>
      </c>
      <c r="I4161" s="312">
        <v>2020</v>
      </c>
      <c r="J4161" s="122" t="s">
        <v>713</v>
      </c>
      <c r="K4161" s="283">
        <v>1456</v>
      </c>
      <c r="L4161" s="318">
        <v>-33.511532000000003</v>
      </c>
      <c r="M4161" s="318">
        <v>150.28422499999999</v>
      </c>
      <c r="O4161">
        <f>INDEX('MEC - traffic congestion'!$M$145:$M$249,MATCH($D4161,'MEC - traffic congestion'!$C$145:$C$249,0))</f>
        <v>1</v>
      </c>
      <c r="P4161" t="str">
        <f t="shared" si="188"/>
        <v>2020WEEKENDS</v>
      </c>
      <c r="Q4161">
        <f t="shared" si="189"/>
        <v>1</v>
      </c>
      <c r="R4161" s="195" t="str">
        <f t="shared" si="190"/>
        <v>2020LIGHT VEHICLES</v>
      </c>
    </row>
    <row r="4162" spans="3:18" x14ac:dyDescent="0.25">
      <c r="C4162" s="294" t="s">
        <v>1021</v>
      </c>
      <c r="D4162" s="317" t="s">
        <v>757</v>
      </c>
      <c r="E4162" s="122" t="s">
        <v>1022</v>
      </c>
      <c r="F4162" s="122" t="s">
        <v>1023</v>
      </c>
      <c r="G4162" s="122" t="s">
        <v>785</v>
      </c>
      <c r="H4162" s="122" t="s">
        <v>777</v>
      </c>
      <c r="I4162" s="312">
        <v>2021</v>
      </c>
      <c r="J4162" s="122" t="s">
        <v>709</v>
      </c>
      <c r="K4162" s="283">
        <v>148</v>
      </c>
      <c r="L4162" s="318">
        <v>-33.511532000000003</v>
      </c>
      <c r="M4162" s="318">
        <v>150.28422499999999</v>
      </c>
      <c r="O4162">
        <f>INDEX('MEC - traffic congestion'!$M$145:$M$249,MATCH($D4162,'MEC - traffic congestion'!$C$145:$C$249,0))</f>
        <v>1</v>
      </c>
      <c r="P4162" t="str">
        <f t="shared" si="188"/>
        <v>2021AM PEAK</v>
      </c>
      <c r="Q4162">
        <f t="shared" si="189"/>
        <v>1</v>
      </c>
      <c r="R4162" s="195" t="str">
        <f t="shared" si="190"/>
        <v>2021LIGHT VEHICLES</v>
      </c>
    </row>
    <row r="4163" spans="3:18" x14ac:dyDescent="0.25">
      <c r="C4163" s="294" t="s">
        <v>1021</v>
      </c>
      <c r="D4163" s="317" t="s">
        <v>757</v>
      </c>
      <c r="E4163" s="122" t="s">
        <v>1022</v>
      </c>
      <c r="F4163" s="122" t="s">
        <v>1023</v>
      </c>
      <c r="G4163" s="122" t="s">
        <v>786</v>
      </c>
      <c r="H4163" s="122" t="s">
        <v>777</v>
      </c>
      <c r="I4163" s="312">
        <v>2021</v>
      </c>
      <c r="J4163" s="122" t="s">
        <v>709</v>
      </c>
      <c r="K4163" s="283">
        <v>169</v>
      </c>
      <c r="L4163" s="318">
        <v>-33.511532000000003</v>
      </c>
      <c r="M4163" s="318">
        <v>150.28422499999999</v>
      </c>
      <c r="O4163">
        <f>INDEX('MEC - traffic congestion'!$M$145:$M$249,MATCH($D4163,'MEC - traffic congestion'!$C$145:$C$249,0))</f>
        <v>1</v>
      </c>
      <c r="P4163" t="str">
        <f t="shared" si="188"/>
        <v>2021AM PEAK</v>
      </c>
      <c r="Q4163">
        <f t="shared" si="189"/>
        <v>1</v>
      </c>
      <c r="R4163" s="195" t="str">
        <f t="shared" si="190"/>
        <v>2021LIGHT VEHICLES</v>
      </c>
    </row>
    <row r="4164" spans="3:18" x14ac:dyDescent="0.25">
      <c r="C4164" s="294" t="s">
        <v>1021</v>
      </c>
      <c r="D4164" s="317" t="s">
        <v>757</v>
      </c>
      <c r="E4164" s="122" t="s">
        <v>1022</v>
      </c>
      <c r="F4164" s="122" t="s">
        <v>1023</v>
      </c>
      <c r="G4164" s="122" t="s">
        <v>785</v>
      </c>
      <c r="H4164" s="122" t="s">
        <v>777</v>
      </c>
      <c r="I4164" s="312">
        <v>2021</v>
      </c>
      <c r="J4164" s="122" t="s">
        <v>710</v>
      </c>
      <c r="K4164" s="283">
        <v>398</v>
      </c>
      <c r="L4164" s="318">
        <v>-33.511532000000003</v>
      </c>
      <c r="M4164" s="318">
        <v>150.28422499999999</v>
      </c>
      <c r="O4164">
        <f>INDEX('MEC - traffic congestion'!$M$145:$M$249,MATCH($D4164,'MEC - traffic congestion'!$C$145:$C$249,0))</f>
        <v>1</v>
      </c>
      <c r="P4164" t="str">
        <f t="shared" si="188"/>
        <v>2021OFF PEAK</v>
      </c>
      <c r="Q4164">
        <f t="shared" si="189"/>
        <v>1</v>
      </c>
      <c r="R4164" s="195" t="str">
        <f t="shared" si="190"/>
        <v>2021LIGHT VEHICLES</v>
      </c>
    </row>
    <row r="4165" spans="3:18" x14ac:dyDescent="0.25">
      <c r="C4165" s="294" t="s">
        <v>1021</v>
      </c>
      <c r="D4165" s="317" t="s">
        <v>757</v>
      </c>
      <c r="E4165" s="122" t="s">
        <v>1022</v>
      </c>
      <c r="F4165" s="122" t="s">
        <v>1023</v>
      </c>
      <c r="G4165" s="122" t="s">
        <v>786</v>
      </c>
      <c r="H4165" s="122" t="s">
        <v>777</v>
      </c>
      <c r="I4165" s="312">
        <v>2021</v>
      </c>
      <c r="J4165" s="122" t="s">
        <v>710</v>
      </c>
      <c r="K4165" s="283">
        <v>405</v>
      </c>
      <c r="L4165" s="318">
        <v>-33.511532000000003</v>
      </c>
      <c r="M4165" s="318">
        <v>150.28422499999999</v>
      </c>
      <c r="O4165">
        <f>INDEX('MEC - traffic congestion'!$M$145:$M$249,MATCH($D4165,'MEC - traffic congestion'!$C$145:$C$249,0))</f>
        <v>1</v>
      </c>
      <c r="P4165" t="str">
        <f t="shared" si="188"/>
        <v>2021OFF PEAK</v>
      </c>
      <c r="Q4165">
        <f t="shared" si="189"/>
        <v>1</v>
      </c>
      <c r="R4165" s="195" t="str">
        <f t="shared" si="190"/>
        <v>2021LIGHT VEHICLES</v>
      </c>
    </row>
    <row r="4166" spans="3:18" x14ac:dyDescent="0.25">
      <c r="C4166" s="294" t="s">
        <v>1021</v>
      </c>
      <c r="D4166" s="317" t="s">
        <v>757</v>
      </c>
      <c r="E4166" s="122" t="s">
        <v>1022</v>
      </c>
      <c r="F4166" s="122" t="s">
        <v>1023</v>
      </c>
      <c r="G4166" s="122" t="s">
        <v>785</v>
      </c>
      <c r="H4166" s="122" t="s">
        <v>777</v>
      </c>
      <c r="I4166" s="312">
        <v>2021</v>
      </c>
      <c r="J4166" s="122" t="s">
        <v>711</v>
      </c>
      <c r="K4166" s="283">
        <v>232</v>
      </c>
      <c r="L4166" s="318">
        <v>-33.511532000000003</v>
      </c>
      <c r="M4166" s="318">
        <v>150.28422499999999</v>
      </c>
      <c r="O4166">
        <f>INDEX('MEC - traffic congestion'!$M$145:$M$249,MATCH($D4166,'MEC - traffic congestion'!$C$145:$C$249,0))</f>
        <v>1</v>
      </c>
      <c r="P4166" t="str">
        <f t="shared" si="188"/>
        <v>2021PM PEAK</v>
      </c>
      <c r="Q4166">
        <f t="shared" si="189"/>
        <v>1</v>
      </c>
      <c r="R4166" s="195" t="str">
        <f t="shared" si="190"/>
        <v>2021LIGHT VEHICLES</v>
      </c>
    </row>
    <row r="4167" spans="3:18" x14ac:dyDescent="0.25">
      <c r="C4167" s="294" t="s">
        <v>1021</v>
      </c>
      <c r="D4167" s="317" t="s">
        <v>757</v>
      </c>
      <c r="E4167" s="122" t="s">
        <v>1022</v>
      </c>
      <c r="F4167" s="122" t="s">
        <v>1023</v>
      </c>
      <c r="G4167" s="122" t="s">
        <v>786</v>
      </c>
      <c r="H4167" s="122" t="s">
        <v>777</v>
      </c>
      <c r="I4167" s="312">
        <v>2021</v>
      </c>
      <c r="J4167" s="122" t="s">
        <v>711</v>
      </c>
      <c r="K4167" s="283">
        <v>214</v>
      </c>
      <c r="L4167" s="318">
        <v>-33.511532000000003</v>
      </c>
      <c r="M4167" s="318">
        <v>150.28422499999999</v>
      </c>
      <c r="O4167">
        <f>INDEX('MEC - traffic congestion'!$M$145:$M$249,MATCH($D4167,'MEC - traffic congestion'!$C$145:$C$249,0))</f>
        <v>1</v>
      </c>
      <c r="P4167" t="str">
        <f t="shared" si="188"/>
        <v>2021PM PEAK</v>
      </c>
      <c r="Q4167">
        <f t="shared" si="189"/>
        <v>1</v>
      </c>
      <c r="R4167" s="195" t="str">
        <f t="shared" si="190"/>
        <v>2021LIGHT VEHICLES</v>
      </c>
    </row>
    <row r="4168" spans="3:18" x14ac:dyDescent="0.25">
      <c r="C4168" s="294" t="s">
        <v>1021</v>
      </c>
      <c r="D4168" s="317" t="s">
        <v>757</v>
      </c>
      <c r="E4168" s="122" t="s">
        <v>1022</v>
      </c>
      <c r="F4168" s="122" t="s">
        <v>1023</v>
      </c>
      <c r="G4168" s="122" t="s">
        <v>785</v>
      </c>
      <c r="H4168" s="122" t="s">
        <v>777</v>
      </c>
      <c r="I4168" s="312">
        <v>2021</v>
      </c>
      <c r="J4168" s="122" t="s">
        <v>713</v>
      </c>
      <c r="K4168" s="283">
        <v>1322</v>
      </c>
      <c r="L4168" s="318">
        <v>-33.511532000000003</v>
      </c>
      <c r="M4168" s="318">
        <v>150.28422499999999</v>
      </c>
      <c r="O4168">
        <f>INDEX('MEC - traffic congestion'!$M$145:$M$249,MATCH($D4168,'MEC - traffic congestion'!$C$145:$C$249,0))</f>
        <v>1</v>
      </c>
      <c r="P4168" t="str">
        <f t="shared" si="188"/>
        <v>2021WEEKENDS</v>
      </c>
      <c r="Q4168">
        <f t="shared" si="189"/>
        <v>1</v>
      </c>
      <c r="R4168" s="195" t="str">
        <f t="shared" si="190"/>
        <v>2021LIGHT VEHICLES</v>
      </c>
    </row>
    <row r="4169" spans="3:18" x14ac:dyDescent="0.25">
      <c r="C4169" s="294" t="s">
        <v>1021</v>
      </c>
      <c r="D4169" s="317" t="s">
        <v>757</v>
      </c>
      <c r="E4169" s="122" t="s">
        <v>1022</v>
      </c>
      <c r="F4169" s="122" t="s">
        <v>1023</v>
      </c>
      <c r="G4169" s="122" t="s">
        <v>786</v>
      </c>
      <c r="H4169" s="122" t="s">
        <v>777</v>
      </c>
      <c r="I4169" s="312">
        <v>2021</v>
      </c>
      <c r="J4169" s="122" t="s">
        <v>713</v>
      </c>
      <c r="K4169" s="283">
        <v>1076</v>
      </c>
      <c r="L4169" s="318">
        <v>-33.511532000000003</v>
      </c>
      <c r="M4169" s="318">
        <v>150.28422499999999</v>
      </c>
      <c r="O4169">
        <f>INDEX('MEC - traffic congestion'!$M$145:$M$249,MATCH($D4169,'MEC - traffic congestion'!$C$145:$C$249,0))</f>
        <v>1</v>
      </c>
      <c r="P4169" t="str">
        <f t="shared" si="188"/>
        <v>2021WEEKENDS</v>
      </c>
      <c r="Q4169">
        <f t="shared" si="189"/>
        <v>1</v>
      </c>
      <c r="R4169" s="195" t="str">
        <f t="shared" si="190"/>
        <v>2021LIGHT VEHICLES</v>
      </c>
    </row>
    <row r="4170" spans="3:18" x14ac:dyDescent="0.25">
      <c r="C4170" s="294" t="s">
        <v>1021</v>
      </c>
      <c r="D4170" s="317" t="s">
        <v>757</v>
      </c>
      <c r="E4170" s="122" t="s">
        <v>1022</v>
      </c>
      <c r="F4170" s="122" t="s">
        <v>1023</v>
      </c>
      <c r="G4170" s="122" t="s">
        <v>785</v>
      </c>
      <c r="H4170" s="122" t="s">
        <v>777</v>
      </c>
      <c r="I4170" s="312">
        <v>2022</v>
      </c>
      <c r="J4170" s="122" t="s">
        <v>709</v>
      </c>
      <c r="K4170" s="283">
        <v>178</v>
      </c>
      <c r="L4170" s="318">
        <v>-33.511532000000003</v>
      </c>
      <c r="M4170" s="318">
        <v>150.28422499999999</v>
      </c>
      <c r="O4170">
        <f>INDEX('MEC - traffic congestion'!$M$145:$M$249,MATCH($D4170,'MEC - traffic congestion'!$C$145:$C$249,0))</f>
        <v>1</v>
      </c>
      <c r="P4170" t="str">
        <f t="shared" si="188"/>
        <v>2022AM PEAK</v>
      </c>
      <c r="Q4170">
        <f t="shared" si="189"/>
        <v>1</v>
      </c>
      <c r="R4170" s="195" t="str">
        <f t="shared" si="190"/>
        <v>2022LIGHT VEHICLES</v>
      </c>
    </row>
    <row r="4171" spans="3:18" x14ac:dyDescent="0.25">
      <c r="C4171" s="294" t="s">
        <v>1021</v>
      </c>
      <c r="D4171" s="317" t="s">
        <v>757</v>
      </c>
      <c r="E4171" s="122" t="s">
        <v>1022</v>
      </c>
      <c r="F4171" s="122" t="s">
        <v>1023</v>
      </c>
      <c r="G4171" s="122" t="s">
        <v>786</v>
      </c>
      <c r="H4171" s="122" t="s">
        <v>777</v>
      </c>
      <c r="I4171" s="312">
        <v>2022</v>
      </c>
      <c r="J4171" s="122" t="s">
        <v>709</v>
      </c>
      <c r="K4171" s="283">
        <v>203</v>
      </c>
      <c r="L4171" s="318">
        <v>-33.511532000000003</v>
      </c>
      <c r="M4171" s="318">
        <v>150.28422499999999</v>
      </c>
      <c r="O4171">
        <f>INDEX('MEC - traffic congestion'!$M$145:$M$249,MATCH($D4171,'MEC - traffic congestion'!$C$145:$C$249,0))</f>
        <v>1</v>
      </c>
      <c r="P4171" t="str">
        <f t="shared" si="188"/>
        <v>2022AM PEAK</v>
      </c>
      <c r="Q4171">
        <f t="shared" si="189"/>
        <v>1</v>
      </c>
      <c r="R4171" s="195" t="str">
        <f t="shared" si="190"/>
        <v>2022LIGHT VEHICLES</v>
      </c>
    </row>
    <row r="4172" spans="3:18" x14ac:dyDescent="0.25">
      <c r="C4172" s="294" t="s">
        <v>1021</v>
      </c>
      <c r="D4172" s="317" t="s">
        <v>757</v>
      </c>
      <c r="E4172" s="122" t="s">
        <v>1022</v>
      </c>
      <c r="F4172" s="122" t="s">
        <v>1023</v>
      </c>
      <c r="G4172" s="122" t="s">
        <v>785</v>
      </c>
      <c r="H4172" s="122" t="s">
        <v>777</v>
      </c>
      <c r="I4172" s="312">
        <v>2022</v>
      </c>
      <c r="J4172" s="122" t="s">
        <v>710</v>
      </c>
      <c r="K4172" s="283">
        <v>513</v>
      </c>
      <c r="L4172" s="318">
        <v>-33.511532000000003</v>
      </c>
      <c r="M4172" s="318">
        <v>150.28422499999999</v>
      </c>
      <c r="O4172">
        <f>INDEX('MEC - traffic congestion'!$M$145:$M$249,MATCH($D4172,'MEC - traffic congestion'!$C$145:$C$249,0))</f>
        <v>1</v>
      </c>
      <c r="P4172" t="str">
        <f t="shared" si="188"/>
        <v>2022OFF PEAK</v>
      </c>
      <c r="Q4172">
        <f t="shared" si="189"/>
        <v>1</v>
      </c>
      <c r="R4172" s="195" t="str">
        <f t="shared" si="190"/>
        <v>2022LIGHT VEHICLES</v>
      </c>
    </row>
    <row r="4173" spans="3:18" x14ac:dyDescent="0.25">
      <c r="C4173" s="294" t="s">
        <v>1021</v>
      </c>
      <c r="D4173" s="317" t="s">
        <v>757</v>
      </c>
      <c r="E4173" s="122" t="s">
        <v>1022</v>
      </c>
      <c r="F4173" s="122" t="s">
        <v>1023</v>
      </c>
      <c r="G4173" s="122" t="s">
        <v>786</v>
      </c>
      <c r="H4173" s="122" t="s">
        <v>777</v>
      </c>
      <c r="I4173" s="312">
        <v>2022</v>
      </c>
      <c r="J4173" s="122" t="s">
        <v>710</v>
      </c>
      <c r="K4173" s="283">
        <v>510</v>
      </c>
      <c r="L4173" s="318">
        <v>-33.511532000000003</v>
      </c>
      <c r="M4173" s="318">
        <v>150.28422499999999</v>
      </c>
      <c r="O4173">
        <f>INDEX('MEC - traffic congestion'!$M$145:$M$249,MATCH($D4173,'MEC - traffic congestion'!$C$145:$C$249,0))</f>
        <v>1</v>
      </c>
      <c r="P4173" t="str">
        <f t="shared" si="188"/>
        <v>2022OFF PEAK</v>
      </c>
      <c r="Q4173">
        <f t="shared" si="189"/>
        <v>1</v>
      </c>
      <c r="R4173" s="195" t="str">
        <f t="shared" si="190"/>
        <v>2022LIGHT VEHICLES</v>
      </c>
    </row>
    <row r="4174" spans="3:18" x14ac:dyDescent="0.25">
      <c r="C4174" s="294" t="s">
        <v>1021</v>
      </c>
      <c r="D4174" s="317" t="s">
        <v>757</v>
      </c>
      <c r="E4174" s="122" t="s">
        <v>1022</v>
      </c>
      <c r="F4174" s="122" t="s">
        <v>1023</v>
      </c>
      <c r="G4174" s="122" t="s">
        <v>785</v>
      </c>
      <c r="H4174" s="122" t="s">
        <v>777</v>
      </c>
      <c r="I4174" s="312">
        <v>2022</v>
      </c>
      <c r="J4174" s="122" t="s">
        <v>711</v>
      </c>
      <c r="K4174" s="283">
        <v>276</v>
      </c>
      <c r="L4174" s="318">
        <v>-33.511532000000003</v>
      </c>
      <c r="M4174" s="318">
        <v>150.28422499999999</v>
      </c>
      <c r="O4174">
        <f>INDEX('MEC - traffic congestion'!$M$145:$M$249,MATCH($D4174,'MEC - traffic congestion'!$C$145:$C$249,0))</f>
        <v>1</v>
      </c>
      <c r="P4174" t="str">
        <f t="shared" si="188"/>
        <v>2022PM PEAK</v>
      </c>
      <c r="Q4174">
        <f t="shared" si="189"/>
        <v>1</v>
      </c>
      <c r="R4174" s="195" t="str">
        <f t="shared" si="190"/>
        <v>2022LIGHT VEHICLES</v>
      </c>
    </row>
    <row r="4175" spans="3:18" x14ac:dyDescent="0.25">
      <c r="C4175" s="294" t="s">
        <v>1021</v>
      </c>
      <c r="D4175" s="317" t="s">
        <v>757</v>
      </c>
      <c r="E4175" s="122" t="s">
        <v>1022</v>
      </c>
      <c r="F4175" s="122" t="s">
        <v>1023</v>
      </c>
      <c r="G4175" s="122" t="s">
        <v>786</v>
      </c>
      <c r="H4175" s="122" t="s">
        <v>777</v>
      </c>
      <c r="I4175" s="312">
        <v>2022</v>
      </c>
      <c r="J4175" s="122" t="s">
        <v>711</v>
      </c>
      <c r="K4175" s="283">
        <v>267</v>
      </c>
      <c r="L4175" s="318">
        <v>-33.511532000000003</v>
      </c>
      <c r="M4175" s="318">
        <v>150.28422499999999</v>
      </c>
      <c r="O4175">
        <f>INDEX('MEC - traffic congestion'!$M$145:$M$249,MATCH($D4175,'MEC - traffic congestion'!$C$145:$C$249,0))</f>
        <v>1</v>
      </c>
      <c r="P4175" t="str">
        <f t="shared" si="188"/>
        <v>2022PM PEAK</v>
      </c>
      <c r="Q4175">
        <f t="shared" si="189"/>
        <v>1</v>
      </c>
      <c r="R4175" s="195" t="str">
        <f t="shared" si="190"/>
        <v>2022LIGHT VEHICLES</v>
      </c>
    </row>
    <row r="4176" spans="3:18" x14ac:dyDescent="0.25">
      <c r="C4176" s="294" t="s">
        <v>1021</v>
      </c>
      <c r="D4176" s="317" t="s">
        <v>757</v>
      </c>
      <c r="E4176" s="122" t="s">
        <v>1022</v>
      </c>
      <c r="F4176" s="122" t="s">
        <v>1023</v>
      </c>
      <c r="G4176" s="122" t="s">
        <v>785</v>
      </c>
      <c r="H4176" s="122" t="s">
        <v>777</v>
      </c>
      <c r="I4176" s="312">
        <v>2022</v>
      </c>
      <c r="J4176" s="122" t="s">
        <v>713</v>
      </c>
      <c r="K4176" s="283">
        <v>1672</v>
      </c>
      <c r="L4176" s="318">
        <v>-33.511532000000003</v>
      </c>
      <c r="M4176" s="318">
        <v>150.28422499999999</v>
      </c>
      <c r="O4176">
        <f>INDEX('MEC - traffic congestion'!$M$145:$M$249,MATCH($D4176,'MEC - traffic congestion'!$C$145:$C$249,0))</f>
        <v>1</v>
      </c>
      <c r="P4176" t="str">
        <f t="shared" si="188"/>
        <v>2022WEEKENDS</v>
      </c>
      <c r="Q4176">
        <f t="shared" si="189"/>
        <v>1</v>
      </c>
      <c r="R4176" s="195" t="str">
        <f t="shared" si="190"/>
        <v>2022LIGHT VEHICLES</v>
      </c>
    </row>
    <row r="4177" spans="3:18" x14ac:dyDescent="0.25">
      <c r="C4177" s="294" t="s">
        <v>1021</v>
      </c>
      <c r="D4177" s="317" t="s">
        <v>757</v>
      </c>
      <c r="E4177" s="122" t="s">
        <v>1022</v>
      </c>
      <c r="F4177" s="122" t="s">
        <v>1023</v>
      </c>
      <c r="G4177" s="122" t="s">
        <v>786</v>
      </c>
      <c r="H4177" s="122" t="s">
        <v>777</v>
      </c>
      <c r="I4177" s="312">
        <v>2022</v>
      </c>
      <c r="J4177" s="122" t="s">
        <v>713</v>
      </c>
      <c r="K4177" s="283">
        <v>1396</v>
      </c>
      <c r="L4177" s="318">
        <v>-33.511532000000003</v>
      </c>
      <c r="M4177" s="318">
        <v>150.28422499999999</v>
      </c>
      <c r="O4177">
        <f>INDEX('MEC - traffic congestion'!$M$145:$M$249,MATCH($D4177,'MEC - traffic congestion'!$C$145:$C$249,0))</f>
        <v>1</v>
      </c>
      <c r="P4177" t="str">
        <f t="shared" si="188"/>
        <v>2022WEEKENDS</v>
      </c>
      <c r="Q4177">
        <f t="shared" si="189"/>
        <v>1</v>
      </c>
      <c r="R4177" s="195" t="str">
        <f t="shared" si="190"/>
        <v>2022LIGHT VEHICLES</v>
      </c>
    </row>
    <row r="4178" spans="3:18" x14ac:dyDescent="0.25">
      <c r="C4178" s="294" t="s">
        <v>1021</v>
      </c>
      <c r="D4178" s="317" t="s">
        <v>757</v>
      </c>
      <c r="E4178" s="122" t="s">
        <v>1022</v>
      </c>
      <c r="F4178" s="122" t="s">
        <v>1023</v>
      </c>
      <c r="G4178" s="122" t="s">
        <v>785</v>
      </c>
      <c r="H4178" s="122" t="s">
        <v>777</v>
      </c>
      <c r="I4178" s="312">
        <v>2023</v>
      </c>
      <c r="J4178" s="122" t="s">
        <v>709</v>
      </c>
      <c r="K4178" s="283">
        <v>183</v>
      </c>
      <c r="L4178" s="318">
        <v>-33.511532000000003</v>
      </c>
      <c r="M4178" s="318">
        <v>150.28422499999999</v>
      </c>
      <c r="O4178">
        <f>INDEX('MEC - traffic congestion'!$M$145:$M$249,MATCH($D4178,'MEC - traffic congestion'!$C$145:$C$249,0))</f>
        <v>1</v>
      </c>
      <c r="P4178" t="str">
        <f t="shared" si="188"/>
        <v>2023AM PEAK</v>
      </c>
      <c r="Q4178">
        <f t="shared" si="189"/>
        <v>1</v>
      </c>
      <c r="R4178" s="195" t="str">
        <f t="shared" si="190"/>
        <v>2023LIGHT VEHICLES</v>
      </c>
    </row>
    <row r="4179" spans="3:18" x14ac:dyDescent="0.25">
      <c r="C4179" s="294" t="s">
        <v>1021</v>
      </c>
      <c r="D4179" s="317" t="s">
        <v>757</v>
      </c>
      <c r="E4179" s="122" t="s">
        <v>1022</v>
      </c>
      <c r="F4179" s="122" t="s">
        <v>1023</v>
      </c>
      <c r="G4179" s="122" t="s">
        <v>786</v>
      </c>
      <c r="H4179" s="122" t="s">
        <v>777</v>
      </c>
      <c r="I4179" s="312">
        <v>2023</v>
      </c>
      <c r="J4179" s="122" t="s">
        <v>709</v>
      </c>
      <c r="K4179" s="283">
        <v>207</v>
      </c>
      <c r="L4179" s="318">
        <v>-33.511532000000003</v>
      </c>
      <c r="M4179" s="318">
        <v>150.28422499999999</v>
      </c>
      <c r="O4179">
        <f>INDEX('MEC - traffic congestion'!$M$145:$M$249,MATCH($D4179,'MEC - traffic congestion'!$C$145:$C$249,0))</f>
        <v>1</v>
      </c>
      <c r="P4179" t="str">
        <f t="shared" si="188"/>
        <v>2023AM PEAK</v>
      </c>
      <c r="Q4179">
        <f t="shared" si="189"/>
        <v>1</v>
      </c>
      <c r="R4179" s="195" t="str">
        <f t="shared" si="190"/>
        <v>2023LIGHT VEHICLES</v>
      </c>
    </row>
    <row r="4180" spans="3:18" x14ac:dyDescent="0.25">
      <c r="C4180" s="294" t="s">
        <v>1021</v>
      </c>
      <c r="D4180" s="317" t="s">
        <v>757</v>
      </c>
      <c r="E4180" s="122" t="s">
        <v>1022</v>
      </c>
      <c r="F4180" s="122" t="s">
        <v>1023</v>
      </c>
      <c r="G4180" s="122" t="s">
        <v>785</v>
      </c>
      <c r="H4180" s="122" t="s">
        <v>777</v>
      </c>
      <c r="I4180" s="312">
        <v>2023</v>
      </c>
      <c r="J4180" s="122" t="s">
        <v>710</v>
      </c>
      <c r="K4180" s="283">
        <v>494</v>
      </c>
      <c r="L4180" s="318">
        <v>-33.511532000000003</v>
      </c>
      <c r="M4180" s="318">
        <v>150.28422499999999</v>
      </c>
      <c r="O4180">
        <f>INDEX('MEC - traffic congestion'!$M$145:$M$249,MATCH($D4180,'MEC - traffic congestion'!$C$145:$C$249,0))</f>
        <v>1</v>
      </c>
      <c r="P4180" t="str">
        <f t="shared" si="188"/>
        <v>2023OFF PEAK</v>
      </c>
      <c r="Q4180">
        <f t="shared" si="189"/>
        <v>1</v>
      </c>
      <c r="R4180" s="195" t="str">
        <f t="shared" si="190"/>
        <v>2023LIGHT VEHICLES</v>
      </c>
    </row>
    <row r="4181" spans="3:18" x14ac:dyDescent="0.25">
      <c r="C4181" s="294" t="s">
        <v>1021</v>
      </c>
      <c r="D4181" s="317" t="s">
        <v>757</v>
      </c>
      <c r="E4181" s="122" t="s">
        <v>1022</v>
      </c>
      <c r="F4181" s="122" t="s">
        <v>1023</v>
      </c>
      <c r="G4181" s="122" t="s">
        <v>786</v>
      </c>
      <c r="H4181" s="122" t="s">
        <v>777</v>
      </c>
      <c r="I4181" s="312">
        <v>2023</v>
      </c>
      <c r="J4181" s="122" t="s">
        <v>710</v>
      </c>
      <c r="K4181" s="283">
        <v>513</v>
      </c>
      <c r="L4181" s="318">
        <v>-33.511532000000003</v>
      </c>
      <c r="M4181" s="318">
        <v>150.28422499999999</v>
      </c>
      <c r="O4181">
        <f>INDEX('MEC - traffic congestion'!$M$145:$M$249,MATCH($D4181,'MEC - traffic congestion'!$C$145:$C$249,0))</f>
        <v>1</v>
      </c>
      <c r="P4181" t="str">
        <f t="shared" ref="P4181:P4244" si="191">IF($O4181=1,$I4181&amp;$J4181,"")</f>
        <v>2023OFF PEAK</v>
      </c>
      <c r="Q4181">
        <f t="shared" ref="Q4181:Q4244" si="192">IF(AND($M4181&gt;150.246,AND($L4181&gt;-34.397,$L4181&lt;-32.662)),1,0)</f>
        <v>1</v>
      </c>
      <c r="R4181" s="195" t="str">
        <f t="shared" ref="R4181:R4244" si="193">IF($O4181=1,$I4181&amp;$H4181,"")</f>
        <v>2023LIGHT VEHICLES</v>
      </c>
    </row>
    <row r="4182" spans="3:18" x14ac:dyDescent="0.25">
      <c r="C4182" s="294" t="s">
        <v>1021</v>
      </c>
      <c r="D4182" s="317" t="s">
        <v>757</v>
      </c>
      <c r="E4182" s="122" t="s">
        <v>1022</v>
      </c>
      <c r="F4182" s="122" t="s">
        <v>1023</v>
      </c>
      <c r="G4182" s="122" t="s">
        <v>785</v>
      </c>
      <c r="H4182" s="122" t="s">
        <v>777</v>
      </c>
      <c r="I4182" s="312">
        <v>2023</v>
      </c>
      <c r="J4182" s="122" t="s">
        <v>711</v>
      </c>
      <c r="K4182" s="283">
        <v>277</v>
      </c>
      <c r="L4182" s="318">
        <v>-33.511532000000003</v>
      </c>
      <c r="M4182" s="318">
        <v>150.28422499999999</v>
      </c>
      <c r="O4182">
        <f>INDEX('MEC - traffic congestion'!$M$145:$M$249,MATCH($D4182,'MEC - traffic congestion'!$C$145:$C$249,0))</f>
        <v>1</v>
      </c>
      <c r="P4182" t="str">
        <f t="shared" si="191"/>
        <v>2023PM PEAK</v>
      </c>
      <c r="Q4182">
        <f t="shared" si="192"/>
        <v>1</v>
      </c>
      <c r="R4182" s="195" t="str">
        <f t="shared" si="193"/>
        <v>2023LIGHT VEHICLES</v>
      </c>
    </row>
    <row r="4183" spans="3:18" x14ac:dyDescent="0.25">
      <c r="C4183" s="294" t="s">
        <v>1021</v>
      </c>
      <c r="D4183" s="317" t="s">
        <v>757</v>
      </c>
      <c r="E4183" s="122" t="s">
        <v>1022</v>
      </c>
      <c r="F4183" s="122" t="s">
        <v>1023</v>
      </c>
      <c r="G4183" s="122" t="s">
        <v>786</v>
      </c>
      <c r="H4183" s="122" t="s">
        <v>777</v>
      </c>
      <c r="I4183" s="312">
        <v>2023</v>
      </c>
      <c r="J4183" s="122" t="s">
        <v>711</v>
      </c>
      <c r="K4183" s="283">
        <v>274</v>
      </c>
      <c r="L4183" s="318">
        <v>-33.511532000000003</v>
      </c>
      <c r="M4183" s="318">
        <v>150.28422499999999</v>
      </c>
      <c r="O4183">
        <f>INDEX('MEC - traffic congestion'!$M$145:$M$249,MATCH($D4183,'MEC - traffic congestion'!$C$145:$C$249,0))</f>
        <v>1</v>
      </c>
      <c r="P4183" t="str">
        <f t="shared" si="191"/>
        <v>2023PM PEAK</v>
      </c>
      <c r="Q4183">
        <f t="shared" si="192"/>
        <v>1</v>
      </c>
      <c r="R4183" s="195" t="str">
        <f t="shared" si="193"/>
        <v>2023LIGHT VEHICLES</v>
      </c>
    </row>
    <row r="4184" spans="3:18" x14ac:dyDescent="0.25">
      <c r="C4184" s="294" t="s">
        <v>1021</v>
      </c>
      <c r="D4184" s="317" t="s">
        <v>757</v>
      </c>
      <c r="E4184" s="122" t="s">
        <v>1022</v>
      </c>
      <c r="F4184" s="122" t="s">
        <v>1023</v>
      </c>
      <c r="G4184" s="122" t="s">
        <v>785</v>
      </c>
      <c r="H4184" s="122" t="s">
        <v>777</v>
      </c>
      <c r="I4184" s="312">
        <v>2023</v>
      </c>
      <c r="J4184" s="122" t="s">
        <v>713</v>
      </c>
      <c r="K4184" s="283">
        <v>1715</v>
      </c>
      <c r="L4184" s="318">
        <v>-33.511532000000003</v>
      </c>
      <c r="M4184" s="318">
        <v>150.28422499999999</v>
      </c>
      <c r="O4184">
        <f>INDEX('MEC - traffic congestion'!$M$145:$M$249,MATCH($D4184,'MEC - traffic congestion'!$C$145:$C$249,0))</f>
        <v>1</v>
      </c>
      <c r="P4184" t="str">
        <f t="shared" si="191"/>
        <v>2023WEEKENDS</v>
      </c>
      <c r="Q4184">
        <f t="shared" si="192"/>
        <v>1</v>
      </c>
      <c r="R4184" s="195" t="str">
        <f t="shared" si="193"/>
        <v>2023LIGHT VEHICLES</v>
      </c>
    </row>
    <row r="4185" spans="3:18" x14ac:dyDescent="0.25">
      <c r="C4185" s="294" t="s">
        <v>1021</v>
      </c>
      <c r="D4185" s="317" t="s">
        <v>757</v>
      </c>
      <c r="E4185" s="122" t="s">
        <v>1022</v>
      </c>
      <c r="F4185" s="122" t="s">
        <v>1023</v>
      </c>
      <c r="G4185" s="122" t="s">
        <v>786</v>
      </c>
      <c r="H4185" s="122" t="s">
        <v>777</v>
      </c>
      <c r="I4185" s="312">
        <v>2023</v>
      </c>
      <c r="J4185" s="122" t="s">
        <v>713</v>
      </c>
      <c r="K4185" s="283">
        <v>1488</v>
      </c>
      <c r="L4185" s="318">
        <v>-33.511532000000003</v>
      </c>
      <c r="M4185" s="318">
        <v>150.28422499999999</v>
      </c>
      <c r="O4185">
        <f>INDEX('MEC - traffic congestion'!$M$145:$M$249,MATCH($D4185,'MEC - traffic congestion'!$C$145:$C$249,0))</f>
        <v>1</v>
      </c>
      <c r="P4185" t="str">
        <f t="shared" si="191"/>
        <v>2023WEEKENDS</v>
      </c>
      <c r="Q4185">
        <f t="shared" si="192"/>
        <v>1</v>
      </c>
      <c r="R4185" s="195" t="str">
        <f t="shared" si="193"/>
        <v>2023LIGHT VEHICLES</v>
      </c>
    </row>
    <row r="4186" spans="3:18" x14ac:dyDescent="0.25">
      <c r="C4186" s="294" t="s">
        <v>1021</v>
      </c>
      <c r="D4186" s="317" t="s">
        <v>757</v>
      </c>
      <c r="E4186" s="122" t="s">
        <v>1022</v>
      </c>
      <c r="F4186" s="122" t="s">
        <v>1023</v>
      </c>
      <c r="G4186" s="122" t="s">
        <v>785</v>
      </c>
      <c r="H4186" s="122" t="s">
        <v>777</v>
      </c>
      <c r="I4186" s="312">
        <v>2024</v>
      </c>
      <c r="J4186" s="122" t="s">
        <v>709</v>
      </c>
      <c r="K4186" s="283">
        <v>178</v>
      </c>
      <c r="L4186" s="318">
        <v>-33.511532000000003</v>
      </c>
      <c r="M4186" s="318">
        <v>150.28422499999999</v>
      </c>
      <c r="O4186">
        <f>INDEX('MEC - traffic congestion'!$M$145:$M$249,MATCH($D4186,'MEC - traffic congestion'!$C$145:$C$249,0))</f>
        <v>1</v>
      </c>
      <c r="P4186" t="str">
        <f t="shared" si="191"/>
        <v>2024AM PEAK</v>
      </c>
      <c r="Q4186">
        <f t="shared" si="192"/>
        <v>1</v>
      </c>
      <c r="R4186" s="195" t="str">
        <f t="shared" si="193"/>
        <v>2024LIGHT VEHICLES</v>
      </c>
    </row>
    <row r="4187" spans="3:18" x14ac:dyDescent="0.25">
      <c r="C4187" s="294" t="s">
        <v>1021</v>
      </c>
      <c r="D4187" s="317" t="s">
        <v>757</v>
      </c>
      <c r="E4187" s="122" t="s">
        <v>1022</v>
      </c>
      <c r="F4187" s="122" t="s">
        <v>1023</v>
      </c>
      <c r="G4187" s="122" t="s">
        <v>786</v>
      </c>
      <c r="H4187" s="122" t="s">
        <v>777</v>
      </c>
      <c r="I4187" s="312">
        <v>2024</v>
      </c>
      <c r="J4187" s="122" t="s">
        <v>709</v>
      </c>
      <c r="K4187" s="283">
        <v>198</v>
      </c>
      <c r="L4187" s="318">
        <v>-33.511532000000003</v>
      </c>
      <c r="M4187" s="318">
        <v>150.28422499999999</v>
      </c>
      <c r="O4187">
        <f>INDEX('MEC - traffic congestion'!$M$145:$M$249,MATCH($D4187,'MEC - traffic congestion'!$C$145:$C$249,0))</f>
        <v>1</v>
      </c>
      <c r="P4187" t="str">
        <f t="shared" si="191"/>
        <v>2024AM PEAK</v>
      </c>
      <c r="Q4187">
        <f t="shared" si="192"/>
        <v>1</v>
      </c>
      <c r="R4187" s="195" t="str">
        <f t="shared" si="193"/>
        <v>2024LIGHT VEHICLES</v>
      </c>
    </row>
    <row r="4188" spans="3:18" x14ac:dyDescent="0.25">
      <c r="C4188" s="294" t="s">
        <v>1021</v>
      </c>
      <c r="D4188" s="317" t="s">
        <v>757</v>
      </c>
      <c r="E4188" s="122" t="s">
        <v>1022</v>
      </c>
      <c r="F4188" s="122" t="s">
        <v>1023</v>
      </c>
      <c r="G4188" s="122" t="s">
        <v>785</v>
      </c>
      <c r="H4188" s="122" t="s">
        <v>777</v>
      </c>
      <c r="I4188" s="312">
        <v>2024</v>
      </c>
      <c r="J4188" s="122" t="s">
        <v>710</v>
      </c>
      <c r="K4188" s="283">
        <v>492</v>
      </c>
      <c r="L4188" s="318">
        <v>-33.511532000000003</v>
      </c>
      <c r="M4188" s="318">
        <v>150.28422499999999</v>
      </c>
      <c r="O4188">
        <f>INDEX('MEC - traffic congestion'!$M$145:$M$249,MATCH($D4188,'MEC - traffic congestion'!$C$145:$C$249,0))</f>
        <v>1</v>
      </c>
      <c r="P4188" t="str">
        <f t="shared" si="191"/>
        <v>2024OFF PEAK</v>
      </c>
      <c r="Q4188">
        <f t="shared" si="192"/>
        <v>1</v>
      </c>
      <c r="R4188" s="195" t="str">
        <f t="shared" si="193"/>
        <v>2024LIGHT VEHICLES</v>
      </c>
    </row>
    <row r="4189" spans="3:18" x14ac:dyDescent="0.25">
      <c r="C4189" s="294" t="s">
        <v>1021</v>
      </c>
      <c r="D4189" s="317" t="s">
        <v>757</v>
      </c>
      <c r="E4189" s="122" t="s">
        <v>1022</v>
      </c>
      <c r="F4189" s="122" t="s">
        <v>1023</v>
      </c>
      <c r="G4189" s="122" t="s">
        <v>786</v>
      </c>
      <c r="H4189" s="122" t="s">
        <v>777</v>
      </c>
      <c r="I4189" s="312">
        <v>2024</v>
      </c>
      <c r="J4189" s="122" t="s">
        <v>710</v>
      </c>
      <c r="K4189" s="283">
        <v>515</v>
      </c>
      <c r="L4189" s="318">
        <v>-33.511532000000003</v>
      </c>
      <c r="M4189" s="318">
        <v>150.28422499999999</v>
      </c>
      <c r="O4189">
        <f>INDEX('MEC - traffic congestion'!$M$145:$M$249,MATCH($D4189,'MEC - traffic congestion'!$C$145:$C$249,0))</f>
        <v>1</v>
      </c>
      <c r="P4189" t="str">
        <f t="shared" si="191"/>
        <v>2024OFF PEAK</v>
      </c>
      <c r="Q4189">
        <f t="shared" si="192"/>
        <v>1</v>
      </c>
      <c r="R4189" s="195" t="str">
        <f t="shared" si="193"/>
        <v>2024LIGHT VEHICLES</v>
      </c>
    </row>
    <row r="4190" spans="3:18" x14ac:dyDescent="0.25">
      <c r="C4190" s="294" t="s">
        <v>1021</v>
      </c>
      <c r="D4190" s="317" t="s">
        <v>757</v>
      </c>
      <c r="E4190" s="122" t="s">
        <v>1022</v>
      </c>
      <c r="F4190" s="122" t="s">
        <v>1023</v>
      </c>
      <c r="G4190" s="122" t="s">
        <v>785</v>
      </c>
      <c r="H4190" s="122" t="s">
        <v>777</v>
      </c>
      <c r="I4190" s="312">
        <v>2024</v>
      </c>
      <c r="J4190" s="122" t="s">
        <v>711</v>
      </c>
      <c r="K4190" s="283">
        <v>279</v>
      </c>
      <c r="L4190" s="318">
        <v>-33.511532000000003</v>
      </c>
      <c r="M4190" s="318">
        <v>150.28422499999999</v>
      </c>
      <c r="O4190">
        <f>INDEX('MEC - traffic congestion'!$M$145:$M$249,MATCH($D4190,'MEC - traffic congestion'!$C$145:$C$249,0))</f>
        <v>1</v>
      </c>
      <c r="P4190" t="str">
        <f t="shared" si="191"/>
        <v>2024PM PEAK</v>
      </c>
      <c r="Q4190">
        <f t="shared" si="192"/>
        <v>1</v>
      </c>
      <c r="R4190" s="195" t="str">
        <f t="shared" si="193"/>
        <v>2024LIGHT VEHICLES</v>
      </c>
    </row>
    <row r="4191" spans="3:18" x14ac:dyDescent="0.25">
      <c r="C4191" s="294" t="s">
        <v>1021</v>
      </c>
      <c r="D4191" s="317" t="s">
        <v>757</v>
      </c>
      <c r="E4191" s="122" t="s">
        <v>1022</v>
      </c>
      <c r="F4191" s="122" t="s">
        <v>1023</v>
      </c>
      <c r="G4191" s="122" t="s">
        <v>786</v>
      </c>
      <c r="H4191" s="122" t="s">
        <v>777</v>
      </c>
      <c r="I4191" s="312">
        <v>2024</v>
      </c>
      <c r="J4191" s="122" t="s">
        <v>711</v>
      </c>
      <c r="K4191" s="283">
        <v>282</v>
      </c>
      <c r="L4191" s="318">
        <v>-33.511532000000003</v>
      </c>
      <c r="M4191" s="318">
        <v>150.28422499999999</v>
      </c>
      <c r="O4191">
        <f>INDEX('MEC - traffic congestion'!$M$145:$M$249,MATCH($D4191,'MEC - traffic congestion'!$C$145:$C$249,0))</f>
        <v>1</v>
      </c>
      <c r="P4191" t="str">
        <f t="shared" si="191"/>
        <v>2024PM PEAK</v>
      </c>
      <c r="Q4191">
        <f t="shared" si="192"/>
        <v>1</v>
      </c>
      <c r="R4191" s="195" t="str">
        <f t="shared" si="193"/>
        <v>2024LIGHT VEHICLES</v>
      </c>
    </row>
    <row r="4192" spans="3:18" x14ac:dyDescent="0.25">
      <c r="C4192" s="294" t="s">
        <v>1021</v>
      </c>
      <c r="D4192" s="317" t="s">
        <v>757</v>
      </c>
      <c r="E4192" s="122" t="s">
        <v>1022</v>
      </c>
      <c r="F4192" s="122" t="s">
        <v>1023</v>
      </c>
      <c r="G4192" s="122" t="s">
        <v>785</v>
      </c>
      <c r="H4192" s="122" t="s">
        <v>777</v>
      </c>
      <c r="I4192" s="312">
        <v>2024</v>
      </c>
      <c r="J4192" s="122" t="s">
        <v>713</v>
      </c>
      <c r="K4192" s="283">
        <v>1871</v>
      </c>
      <c r="L4192" s="318">
        <v>-33.511532000000003</v>
      </c>
      <c r="M4192" s="318">
        <v>150.28422499999999</v>
      </c>
      <c r="O4192">
        <f>INDEX('MEC - traffic congestion'!$M$145:$M$249,MATCH($D4192,'MEC - traffic congestion'!$C$145:$C$249,0))</f>
        <v>1</v>
      </c>
      <c r="P4192" t="str">
        <f t="shared" si="191"/>
        <v>2024WEEKENDS</v>
      </c>
      <c r="Q4192">
        <f t="shared" si="192"/>
        <v>1</v>
      </c>
      <c r="R4192" s="195" t="str">
        <f t="shared" si="193"/>
        <v>2024LIGHT VEHICLES</v>
      </c>
    </row>
    <row r="4193" spans="3:18" x14ac:dyDescent="0.25">
      <c r="C4193" s="294" t="s">
        <v>1021</v>
      </c>
      <c r="D4193" s="317" t="s">
        <v>757</v>
      </c>
      <c r="E4193" s="122" t="s">
        <v>1022</v>
      </c>
      <c r="F4193" s="122" t="s">
        <v>1023</v>
      </c>
      <c r="G4193" s="122" t="s">
        <v>786</v>
      </c>
      <c r="H4193" s="122" t="s">
        <v>777</v>
      </c>
      <c r="I4193" s="312">
        <v>2024</v>
      </c>
      <c r="J4193" s="122" t="s">
        <v>713</v>
      </c>
      <c r="K4193" s="283">
        <v>1471</v>
      </c>
      <c r="L4193" s="318">
        <v>-33.511532000000003</v>
      </c>
      <c r="M4193" s="318">
        <v>150.28422499999999</v>
      </c>
      <c r="O4193">
        <f>INDEX('MEC - traffic congestion'!$M$145:$M$249,MATCH($D4193,'MEC - traffic congestion'!$C$145:$C$249,0))</f>
        <v>1</v>
      </c>
      <c r="P4193" t="str">
        <f t="shared" si="191"/>
        <v>2024WEEKENDS</v>
      </c>
      <c r="Q4193">
        <f t="shared" si="192"/>
        <v>1</v>
      </c>
      <c r="R4193" s="195" t="str">
        <f t="shared" si="193"/>
        <v>2024LIGHT VEHICLES</v>
      </c>
    </row>
    <row r="4194" spans="3:18" x14ac:dyDescent="0.25">
      <c r="C4194" s="294" t="s">
        <v>1024</v>
      </c>
      <c r="D4194" s="317" t="s">
        <v>758</v>
      </c>
      <c r="E4194" s="122" t="s">
        <v>977</v>
      </c>
      <c r="F4194" s="122" t="s">
        <v>1005</v>
      </c>
      <c r="G4194" s="122" t="s">
        <v>776</v>
      </c>
      <c r="H4194" s="122" t="s">
        <v>777</v>
      </c>
      <c r="I4194" s="312">
        <v>2018</v>
      </c>
      <c r="J4194" s="122" t="s">
        <v>709</v>
      </c>
      <c r="K4194" s="283">
        <v>5673</v>
      </c>
      <c r="L4194" s="318">
        <v>-33.454524999999997</v>
      </c>
      <c r="M4194" s="318">
        <v>151.206726</v>
      </c>
      <c r="O4194">
        <f>INDEX('MEC - traffic congestion'!$M$145:$M$249,MATCH($D4194,'MEC - traffic congestion'!$C$145:$C$249,0))</f>
        <v>1</v>
      </c>
      <c r="P4194" t="str">
        <f t="shared" si="191"/>
        <v>2018AM PEAK</v>
      </c>
      <c r="Q4194">
        <f t="shared" si="192"/>
        <v>1</v>
      </c>
      <c r="R4194" s="195" t="str">
        <f t="shared" si="193"/>
        <v>2018LIGHT VEHICLES</v>
      </c>
    </row>
    <row r="4195" spans="3:18" x14ac:dyDescent="0.25">
      <c r="C4195" s="294" t="s">
        <v>1024</v>
      </c>
      <c r="D4195" s="317" t="s">
        <v>758</v>
      </c>
      <c r="E4195" s="122" t="s">
        <v>977</v>
      </c>
      <c r="F4195" s="122" t="s">
        <v>1005</v>
      </c>
      <c r="G4195" s="122" t="s">
        <v>778</v>
      </c>
      <c r="H4195" s="122" t="s">
        <v>777</v>
      </c>
      <c r="I4195" s="312">
        <v>2018</v>
      </c>
      <c r="J4195" s="122" t="s">
        <v>709</v>
      </c>
      <c r="K4195" s="283">
        <v>10577</v>
      </c>
      <c r="L4195" s="318">
        <v>-33.454524999999997</v>
      </c>
      <c r="M4195" s="318">
        <v>151.206726</v>
      </c>
      <c r="O4195">
        <f>INDEX('MEC - traffic congestion'!$M$145:$M$249,MATCH($D4195,'MEC - traffic congestion'!$C$145:$C$249,0))</f>
        <v>1</v>
      </c>
      <c r="P4195" t="str">
        <f t="shared" si="191"/>
        <v>2018AM PEAK</v>
      </c>
      <c r="Q4195">
        <f t="shared" si="192"/>
        <v>1</v>
      </c>
      <c r="R4195" s="195" t="str">
        <f t="shared" si="193"/>
        <v>2018LIGHT VEHICLES</v>
      </c>
    </row>
    <row r="4196" spans="3:18" x14ac:dyDescent="0.25">
      <c r="C4196" s="294" t="s">
        <v>1024</v>
      </c>
      <c r="D4196" s="317" t="s">
        <v>758</v>
      </c>
      <c r="E4196" s="122" t="s">
        <v>977</v>
      </c>
      <c r="F4196" s="122" t="s">
        <v>1005</v>
      </c>
      <c r="G4196" s="122" t="s">
        <v>776</v>
      </c>
      <c r="H4196" s="122" t="s">
        <v>777</v>
      </c>
      <c r="I4196" s="312">
        <v>2018</v>
      </c>
      <c r="J4196" s="122" t="s">
        <v>710</v>
      </c>
      <c r="K4196" s="283">
        <v>16286</v>
      </c>
      <c r="L4196" s="318">
        <v>-33.454524999999997</v>
      </c>
      <c r="M4196" s="318">
        <v>151.206726</v>
      </c>
      <c r="O4196">
        <f>INDEX('MEC - traffic congestion'!$M$145:$M$249,MATCH($D4196,'MEC - traffic congestion'!$C$145:$C$249,0))</f>
        <v>1</v>
      </c>
      <c r="P4196" t="str">
        <f t="shared" si="191"/>
        <v>2018OFF PEAK</v>
      </c>
      <c r="Q4196">
        <f t="shared" si="192"/>
        <v>1</v>
      </c>
      <c r="R4196" s="195" t="str">
        <f t="shared" si="193"/>
        <v>2018LIGHT VEHICLES</v>
      </c>
    </row>
    <row r="4197" spans="3:18" x14ac:dyDescent="0.25">
      <c r="C4197" s="294" t="s">
        <v>1024</v>
      </c>
      <c r="D4197" s="317" t="s">
        <v>758</v>
      </c>
      <c r="E4197" s="122" t="s">
        <v>977</v>
      </c>
      <c r="F4197" s="122" t="s">
        <v>1005</v>
      </c>
      <c r="G4197" s="122" t="s">
        <v>778</v>
      </c>
      <c r="H4197" s="122" t="s">
        <v>777</v>
      </c>
      <c r="I4197" s="312">
        <v>2018</v>
      </c>
      <c r="J4197" s="122" t="s">
        <v>710</v>
      </c>
      <c r="K4197" s="283">
        <v>16786</v>
      </c>
      <c r="L4197" s="318">
        <v>-33.454524999999997</v>
      </c>
      <c r="M4197" s="318">
        <v>151.206726</v>
      </c>
      <c r="O4197">
        <f>INDEX('MEC - traffic congestion'!$M$145:$M$249,MATCH($D4197,'MEC - traffic congestion'!$C$145:$C$249,0))</f>
        <v>1</v>
      </c>
      <c r="P4197" t="str">
        <f t="shared" si="191"/>
        <v>2018OFF PEAK</v>
      </c>
      <c r="Q4197">
        <f t="shared" si="192"/>
        <v>1</v>
      </c>
      <c r="R4197" s="195" t="str">
        <f t="shared" si="193"/>
        <v>2018LIGHT VEHICLES</v>
      </c>
    </row>
    <row r="4198" spans="3:18" x14ac:dyDescent="0.25">
      <c r="C4198" s="294" t="s">
        <v>1024</v>
      </c>
      <c r="D4198" s="317" t="s">
        <v>758</v>
      </c>
      <c r="E4198" s="122" t="s">
        <v>977</v>
      </c>
      <c r="F4198" s="122" t="s">
        <v>1005</v>
      </c>
      <c r="G4198" s="122" t="s">
        <v>776</v>
      </c>
      <c r="H4198" s="122" t="s">
        <v>777</v>
      </c>
      <c r="I4198" s="312">
        <v>2018</v>
      </c>
      <c r="J4198" s="122" t="s">
        <v>711</v>
      </c>
      <c r="K4198" s="283">
        <v>12900</v>
      </c>
      <c r="L4198" s="318">
        <v>-33.454524999999997</v>
      </c>
      <c r="M4198" s="318">
        <v>151.206726</v>
      </c>
      <c r="O4198">
        <f>INDEX('MEC - traffic congestion'!$M$145:$M$249,MATCH($D4198,'MEC - traffic congestion'!$C$145:$C$249,0))</f>
        <v>1</v>
      </c>
      <c r="P4198" t="str">
        <f t="shared" si="191"/>
        <v>2018PM PEAK</v>
      </c>
      <c r="Q4198">
        <f t="shared" si="192"/>
        <v>1</v>
      </c>
      <c r="R4198" s="195" t="str">
        <f t="shared" si="193"/>
        <v>2018LIGHT VEHICLES</v>
      </c>
    </row>
    <row r="4199" spans="3:18" x14ac:dyDescent="0.25">
      <c r="C4199" s="294" t="s">
        <v>1024</v>
      </c>
      <c r="D4199" s="317" t="s">
        <v>758</v>
      </c>
      <c r="E4199" s="122" t="s">
        <v>977</v>
      </c>
      <c r="F4199" s="122" t="s">
        <v>1005</v>
      </c>
      <c r="G4199" s="122" t="s">
        <v>778</v>
      </c>
      <c r="H4199" s="122" t="s">
        <v>777</v>
      </c>
      <c r="I4199" s="312">
        <v>2018</v>
      </c>
      <c r="J4199" s="122" t="s">
        <v>711</v>
      </c>
      <c r="K4199" s="283">
        <v>7314</v>
      </c>
      <c r="L4199" s="318">
        <v>-33.454524999999997</v>
      </c>
      <c r="M4199" s="318">
        <v>151.206726</v>
      </c>
      <c r="O4199">
        <f>INDEX('MEC - traffic congestion'!$M$145:$M$249,MATCH($D4199,'MEC - traffic congestion'!$C$145:$C$249,0))</f>
        <v>1</v>
      </c>
      <c r="P4199" t="str">
        <f t="shared" si="191"/>
        <v>2018PM PEAK</v>
      </c>
      <c r="Q4199">
        <f t="shared" si="192"/>
        <v>1</v>
      </c>
      <c r="R4199" s="195" t="str">
        <f t="shared" si="193"/>
        <v>2018LIGHT VEHICLES</v>
      </c>
    </row>
    <row r="4200" spans="3:18" x14ac:dyDescent="0.25">
      <c r="C4200" s="294" t="s">
        <v>1024</v>
      </c>
      <c r="D4200" s="317" t="s">
        <v>758</v>
      </c>
      <c r="E4200" s="122" t="s">
        <v>977</v>
      </c>
      <c r="F4200" s="122" t="s">
        <v>1005</v>
      </c>
      <c r="G4200" s="122" t="s">
        <v>776</v>
      </c>
      <c r="H4200" s="122" t="s">
        <v>777</v>
      </c>
      <c r="I4200" s="312">
        <v>2018</v>
      </c>
      <c r="J4200" s="122" t="s">
        <v>712</v>
      </c>
      <c r="K4200" s="283">
        <v>42620</v>
      </c>
      <c r="L4200" s="318">
        <v>-33.454524999999997</v>
      </c>
      <c r="M4200" s="318">
        <v>151.206726</v>
      </c>
      <c r="O4200">
        <f>INDEX('MEC - traffic congestion'!$M$145:$M$249,MATCH($D4200,'MEC - traffic congestion'!$C$145:$C$249,0))</f>
        <v>1</v>
      </c>
      <c r="P4200" t="str">
        <f t="shared" si="191"/>
        <v>2018PUBLIC HOLIDAYS</v>
      </c>
      <c r="Q4200">
        <f t="shared" si="192"/>
        <v>1</v>
      </c>
      <c r="R4200" s="195" t="str">
        <f t="shared" si="193"/>
        <v>2018LIGHT VEHICLES</v>
      </c>
    </row>
    <row r="4201" spans="3:18" x14ac:dyDescent="0.25">
      <c r="C4201" s="294" t="s">
        <v>1024</v>
      </c>
      <c r="D4201" s="317" t="s">
        <v>758</v>
      </c>
      <c r="E4201" s="122" t="s">
        <v>977</v>
      </c>
      <c r="F4201" s="122" t="s">
        <v>1005</v>
      </c>
      <c r="G4201" s="122" t="s">
        <v>778</v>
      </c>
      <c r="H4201" s="122" t="s">
        <v>777</v>
      </c>
      <c r="I4201" s="312">
        <v>2018</v>
      </c>
      <c r="J4201" s="122" t="s">
        <v>712</v>
      </c>
      <c r="K4201" s="283">
        <v>43609</v>
      </c>
      <c r="L4201" s="318">
        <v>-33.454524999999997</v>
      </c>
      <c r="M4201" s="318">
        <v>151.206726</v>
      </c>
      <c r="O4201">
        <f>INDEX('MEC - traffic congestion'!$M$145:$M$249,MATCH($D4201,'MEC - traffic congestion'!$C$145:$C$249,0))</f>
        <v>1</v>
      </c>
      <c r="P4201" t="str">
        <f t="shared" si="191"/>
        <v>2018PUBLIC HOLIDAYS</v>
      </c>
      <c r="Q4201">
        <f t="shared" si="192"/>
        <v>1</v>
      </c>
      <c r="R4201" s="195" t="str">
        <f t="shared" si="193"/>
        <v>2018LIGHT VEHICLES</v>
      </c>
    </row>
    <row r="4202" spans="3:18" x14ac:dyDescent="0.25">
      <c r="C4202" s="294" t="s">
        <v>1024</v>
      </c>
      <c r="D4202" s="317" t="s">
        <v>758</v>
      </c>
      <c r="E4202" s="122" t="s">
        <v>977</v>
      </c>
      <c r="F4202" s="122" t="s">
        <v>1005</v>
      </c>
      <c r="G4202" s="122" t="s">
        <v>776</v>
      </c>
      <c r="H4202" s="122" t="s">
        <v>777</v>
      </c>
      <c r="I4202" s="312">
        <v>2018</v>
      </c>
      <c r="J4202" s="122" t="s">
        <v>713</v>
      </c>
      <c r="K4202" s="283">
        <v>36785</v>
      </c>
      <c r="L4202" s="318">
        <v>-33.454524999999997</v>
      </c>
      <c r="M4202" s="318">
        <v>151.206726</v>
      </c>
      <c r="O4202">
        <f>INDEX('MEC - traffic congestion'!$M$145:$M$249,MATCH($D4202,'MEC - traffic congestion'!$C$145:$C$249,0))</f>
        <v>1</v>
      </c>
      <c r="P4202" t="str">
        <f t="shared" si="191"/>
        <v>2018WEEKENDS</v>
      </c>
      <c r="Q4202">
        <f t="shared" si="192"/>
        <v>1</v>
      </c>
      <c r="R4202" s="195" t="str">
        <f t="shared" si="193"/>
        <v>2018LIGHT VEHICLES</v>
      </c>
    </row>
    <row r="4203" spans="3:18" x14ac:dyDescent="0.25">
      <c r="C4203" s="294" t="s">
        <v>1024</v>
      </c>
      <c r="D4203" s="317" t="s">
        <v>758</v>
      </c>
      <c r="E4203" s="122" t="s">
        <v>977</v>
      </c>
      <c r="F4203" s="122" t="s">
        <v>1005</v>
      </c>
      <c r="G4203" s="122" t="s">
        <v>778</v>
      </c>
      <c r="H4203" s="122" t="s">
        <v>777</v>
      </c>
      <c r="I4203" s="312">
        <v>2018</v>
      </c>
      <c r="J4203" s="122" t="s">
        <v>713</v>
      </c>
      <c r="K4203" s="283">
        <v>39632</v>
      </c>
      <c r="L4203" s="318">
        <v>-33.454524999999997</v>
      </c>
      <c r="M4203" s="318">
        <v>151.206726</v>
      </c>
      <c r="O4203">
        <f>INDEX('MEC - traffic congestion'!$M$145:$M$249,MATCH($D4203,'MEC - traffic congestion'!$C$145:$C$249,0))</f>
        <v>1</v>
      </c>
      <c r="P4203" t="str">
        <f t="shared" si="191"/>
        <v>2018WEEKENDS</v>
      </c>
      <c r="Q4203">
        <f t="shared" si="192"/>
        <v>1</v>
      </c>
      <c r="R4203" s="195" t="str">
        <f t="shared" si="193"/>
        <v>2018LIGHT VEHICLES</v>
      </c>
    </row>
    <row r="4204" spans="3:18" x14ac:dyDescent="0.25">
      <c r="C4204" s="294" t="s">
        <v>1024</v>
      </c>
      <c r="D4204" s="317" t="s">
        <v>758</v>
      </c>
      <c r="E4204" s="122" t="s">
        <v>977</v>
      </c>
      <c r="F4204" s="122" t="s">
        <v>1005</v>
      </c>
      <c r="G4204" s="122" t="s">
        <v>776</v>
      </c>
      <c r="H4204" s="122" t="s">
        <v>777</v>
      </c>
      <c r="I4204" s="312">
        <v>2019</v>
      </c>
      <c r="J4204" s="122" t="s">
        <v>709</v>
      </c>
      <c r="K4204" s="283">
        <v>5690</v>
      </c>
      <c r="L4204" s="318">
        <v>-33.454524999999997</v>
      </c>
      <c r="M4204" s="318">
        <v>151.206726</v>
      </c>
      <c r="O4204">
        <f>INDEX('MEC - traffic congestion'!$M$145:$M$249,MATCH($D4204,'MEC - traffic congestion'!$C$145:$C$249,0))</f>
        <v>1</v>
      </c>
      <c r="P4204" t="str">
        <f t="shared" si="191"/>
        <v>2019AM PEAK</v>
      </c>
      <c r="Q4204">
        <f t="shared" si="192"/>
        <v>1</v>
      </c>
      <c r="R4204" s="195" t="str">
        <f t="shared" si="193"/>
        <v>2019LIGHT VEHICLES</v>
      </c>
    </row>
    <row r="4205" spans="3:18" x14ac:dyDescent="0.25">
      <c r="C4205" s="294" t="s">
        <v>1024</v>
      </c>
      <c r="D4205" s="317" t="s">
        <v>758</v>
      </c>
      <c r="E4205" s="122" t="s">
        <v>977</v>
      </c>
      <c r="F4205" s="122" t="s">
        <v>1005</v>
      </c>
      <c r="G4205" s="122" t="s">
        <v>778</v>
      </c>
      <c r="H4205" s="122" t="s">
        <v>777</v>
      </c>
      <c r="I4205" s="312">
        <v>2019</v>
      </c>
      <c r="J4205" s="122" t="s">
        <v>709</v>
      </c>
      <c r="K4205" s="283">
        <v>10350</v>
      </c>
      <c r="L4205" s="318">
        <v>-33.454524999999997</v>
      </c>
      <c r="M4205" s="318">
        <v>151.206726</v>
      </c>
      <c r="O4205">
        <f>INDEX('MEC - traffic congestion'!$M$145:$M$249,MATCH($D4205,'MEC - traffic congestion'!$C$145:$C$249,0))</f>
        <v>1</v>
      </c>
      <c r="P4205" t="str">
        <f t="shared" si="191"/>
        <v>2019AM PEAK</v>
      </c>
      <c r="Q4205">
        <f t="shared" si="192"/>
        <v>1</v>
      </c>
      <c r="R4205" s="195" t="str">
        <f t="shared" si="193"/>
        <v>2019LIGHT VEHICLES</v>
      </c>
    </row>
    <row r="4206" spans="3:18" x14ac:dyDescent="0.25">
      <c r="C4206" s="294" t="s">
        <v>1024</v>
      </c>
      <c r="D4206" s="317" t="s">
        <v>758</v>
      </c>
      <c r="E4206" s="122" t="s">
        <v>977</v>
      </c>
      <c r="F4206" s="122" t="s">
        <v>1005</v>
      </c>
      <c r="G4206" s="122" t="s">
        <v>776</v>
      </c>
      <c r="H4206" s="122" t="s">
        <v>777</v>
      </c>
      <c r="I4206" s="312">
        <v>2019</v>
      </c>
      <c r="J4206" s="122" t="s">
        <v>710</v>
      </c>
      <c r="K4206" s="283">
        <v>15867</v>
      </c>
      <c r="L4206" s="318">
        <v>-33.454524999999997</v>
      </c>
      <c r="M4206" s="318">
        <v>151.206726</v>
      </c>
      <c r="O4206">
        <f>INDEX('MEC - traffic congestion'!$M$145:$M$249,MATCH($D4206,'MEC - traffic congestion'!$C$145:$C$249,0))</f>
        <v>1</v>
      </c>
      <c r="P4206" t="str">
        <f t="shared" si="191"/>
        <v>2019OFF PEAK</v>
      </c>
      <c r="Q4206">
        <f t="shared" si="192"/>
        <v>1</v>
      </c>
      <c r="R4206" s="195" t="str">
        <f t="shared" si="193"/>
        <v>2019LIGHT VEHICLES</v>
      </c>
    </row>
    <row r="4207" spans="3:18" x14ac:dyDescent="0.25">
      <c r="C4207" s="294" t="s">
        <v>1024</v>
      </c>
      <c r="D4207" s="317" t="s">
        <v>758</v>
      </c>
      <c r="E4207" s="122" t="s">
        <v>977</v>
      </c>
      <c r="F4207" s="122" t="s">
        <v>1005</v>
      </c>
      <c r="G4207" s="122" t="s">
        <v>778</v>
      </c>
      <c r="H4207" s="122" t="s">
        <v>777</v>
      </c>
      <c r="I4207" s="312">
        <v>2019</v>
      </c>
      <c r="J4207" s="122" t="s">
        <v>710</v>
      </c>
      <c r="K4207" s="283">
        <v>16647</v>
      </c>
      <c r="L4207" s="318">
        <v>-33.454524999999997</v>
      </c>
      <c r="M4207" s="318">
        <v>151.206726</v>
      </c>
      <c r="O4207">
        <f>INDEX('MEC - traffic congestion'!$M$145:$M$249,MATCH($D4207,'MEC - traffic congestion'!$C$145:$C$249,0))</f>
        <v>1</v>
      </c>
      <c r="P4207" t="str">
        <f t="shared" si="191"/>
        <v>2019OFF PEAK</v>
      </c>
      <c r="Q4207">
        <f t="shared" si="192"/>
        <v>1</v>
      </c>
      <c r="R4207" s="195" t="str">
        <f t="shared" si="193"/>
        <v>2019LIGHT VEHICLES</v>
      </c>
    </row>
    <row r="4208" spans="3:18" x14ac:dyDescent="0.25">
      <c r="C4208" s="294" t="s">
        <v>1024</v>
      </c>
      <c r="D4208" s="317" t="s">
        <v>758</v>
      </c>
      <c r="E4208" s="122" t="s">
        <v>977</v>
      </c>
      <c r="F4208" s="122" t="s">
        <v>1005</v>
      </c>
      <c r="G4208" s="122" t="s">
        <v>776</v>
      </c>
      <c r="H4208" s="122" t="s">
        <v>777</v>
      </c>
      <c r="I4208" s="312">
        <v>2019</v>
      </c>
      <c r="J4208" s="122" t="s">
        <v>711</v>
      </c>
      <c r="K4208" s="283">
        <v>12571</v>
      </c>
      <c r="L4208" s="318">
        <v>-33.454524999999997</v>
      </c>
      <c r="M4208" s="318">
        <v>151.206726</v>
      </c>
      <c r="O4208">
        <f>INDEX('MEC - traffic congestion'!$M$145:$M$249,MATCH($D4208,'MEC - traffic congestion'!$C$145:$C$249,0))</f>
        <v>1</v>
      </c>
      <c r="P4208" t="str">
        <f t="shared" si="191"/>
        <v>2019PM PEAK</v>
      </c>
      <c r="Q4208">
        <f t="shared" si="192"/>
        <v>1</v>
      </c>
      <c r="R4208" s="195" t="str">
        <f t="shared" si="193"/>
        <v>2019LIGHT VEHICLES</v>
      </c>
    </row>
    <row r="4209" spans="3:18" x14ac:dyDescent="0.25">
      <c r="C4209" s="294" t="s">
        <v>1024</v>
      </c>
      <c r="D4209" s="317" t="s">
        <v>758</v>
      </c>
      <c r="E4209" s="122" t="s">
        <v>977</v>
      </c>
      <c r="F4209" s="122" t="s">
        <v>1005</v>
      </c>
      <c r="G4209" s="122" t="s">
        <v>778</v>
      </c>
      <c r="H4209" s="122" t="s">
        <v>777</v>
      </c>
      <c r="I4209" s="312">
        <v>2019</v>
      </c>
      <c r="J4209" s="122" t="s">
        <v>711</v>
      </c>
      <c r="K4209" s="283">
        <v>7438</v>
      </c>
      <c r="L4209" s="318">
        <v>-33.454524999999997</v>
      </c>
      <c r="M4209" s="318">
        <v>151.206726</v>
      </c>
      <c r="O4209">
        <f>INDEX('MEC - traffic congestion'!$M$145:$M$249,MATCH($D4209,'MEC - traffic congestion'!$C$145:$C$249,0))</f>
        <v>1</v>
      </c>
      <c r="P4209" t="str">
        <f t="shared" si="191"/>
        <v>2019PM PEAK</v>
      </c>
      <c r="Q4209">
        <f t="shared" si="192"/>
        <v>1</v>
      </c>
      <c r="R4209" s="195" t="str">
        <f t="shared" si="193"/>
        <v>2019LIGHT VEHICLES</v>
      </c>
    </row>
    <row r="4210" spans="3:18" x14ac:dyDescent="0.25">
      <c r="C4210" s="294" t="s">
        <v>1024</v>
      </c>
      <c r="D4210" s="317" t="s">
        <v>758</v>
      </c>
      <c r="E4210" s="122" t="s">
        <v>977</v>
      </c>
      <c r="F4210" s="122" t="s">
        <v>1005</v>
      </c>
      <c r="G4210" s="122" t="s">
        <v>776</v>
      </c>
      <c r="H4210" s="122" t="s">
        <v>777</v>
      </c>
      <c r="I4210" s="312">
        <v>2019</v>
      </c>
      <c r="J4210" s="122" t="s">
        <v>712</v>
      </c>
      <c r="K4210" s="283">
        <v>43100</v>
      </c>
      <c r="L4210" s="318">
        <v>-33.454524999999997</v>
      </c>
      <c r="M4210" s="318">
        <v>151.206726</v>
      </c>
      <c r="O4210">
        <f>INDEX('MEC - traffic congestion'!$M$145:$M$249,MATCH($D4210,'MEC - traffic congestion'!$C$145:$C$249,0))</f>
        <v>1</v>
      </c>
      <c r="P4210" t="str">
        <f t="shared" si="191"/>
        <v>2019PUBLIC HOLIDAYS</v>
      </c>
      <c r="Q4210">
        <f t="shared" si="192"/>
        <v>1</v>
      </c>
      <c r="R4210" s="195" t="str">
        <f t="shared" si="193"/>
        <v>2019LIGHT VEHICLES</v>
      </c>
    </row>
    <row r="4211" spans="3:18" x14ac:dyDescent="0.25">
      <c r="C4211" s="294" t="s">
        <v>1024</v>
      </c>
      <c r="D4211" s="317" t="s">
        <v>758</v>
      </c>
      <c r="E4211" s="122" t="s">
        <v>977</v>
      </c>
      <c r="F4211" s="122" t="s">
        <v>1005</v>
      </c>
      <c r="G4211" s="122" t="s">
        <v>778</v>
      </c>
      <c r="H4211" s="122" t="s">
        <v>777</v>
      </c>
      <c r="I4211" s="312">
        <v>2019</v>
      </c>
      <c r="J4211" s="122" t="s">
        <v>712</v>
      </c>
      <c r="K4211" s="283">
        <v>43463</v>
      </c>
      <c r="L4211" s="318">
        <v>-33.454524999999997</v>
      </c>
      <c r="M4211" s="318">
        <v>151.206726</v>
      </c>
      <c r="O4211">
        <f>INDEX('MEC - traffic congestion'!$M$145:$M$249,MATCH($D4211,'MEC - traffic congestion'!$C$145:$C$249,0))</f>
        <v>1</v>
      </c>
      <c r="P4211" t="str">
        <f t="shared" si="191"/>
        <v>2019PUBLIC HOLIDAYS</v>
      </c>
      <c r="Q4211">
        <f t="shared" si="192"/>
        <v>1</v>
      </c>
      <c r="R4211" s="195" t="str">
        <f t="shared" si="193"/>
        <v>2019LIGHT VEHICLES</v>
      </c>
    </row>
    <row r="4212" spans="3:18" x14ac:dyDescent="0.25">
      <c r="C4212" s="294" t="s">
        <v>1024</v>
      </c>
      <c r="D4212" s="317" t="s">
        <v>758</v>
      </c>
      <c r="E4212" s="122" t="s">
        <v>977</v>
      </c>
      <c r="F4212" s="122" t="s">
        <v>1005</v>
      </c>
      <c r="G4212" s="122" t="s">
        <v>776</v>
      </c>
      <c r="H4212" s="122" t="s">
        <v>777</v>
      </c>
      <c r="I4212" s="312">
        <v>2019</v>
      </c>
      <c r="J4212" s="122" t="s">
        <v>713</v>
      </c>
      <c r="K4212" s="283">
        <v>36173</v>
      </c>
      <c r="L4212" s="318">
        <v>-33.454524999999997</v>
      </c>
      <c r="M4212" s="318">
        <v>151.206726</v>
      </c>
      <c r="O4212">
        <f>INDEX('MEC - traffic congestion'!$M$145:$M$249,MATCH($D4212,'MEC - traffic congestion'!$C$145:$C$249,0))</f>
        <v>1</v>
      </c>
      <c r="P4212" t="str">
        <f t="shared" si="191"/>
        <v>2019WEEKENDS</v>
      </c>
      <c r="Q4212">
        <f t="shared" si="192"/>
        <v>1</v>
      </c>
      <c r="R4212" s="195" t="str">
        <f t="shared" si="193"/>
        <v>2019LIGHT VEHICLES</v>
      </c>
    </row>
    <row r="4213" spans="3:18" x14ac:dyDescent="0.25">
      <c r="C4213" s="294" t="s">
        <v>1024</v>
      </c>
      <c r="D4213" s="317" t="s">
        <v>758</v>
      </c>
      <c r="E4213" s="122" t="s">
        <v>977</v>
      </c>
      <c r="F4213" s="122" t="s">
        <v>1005</v>
      </c>
      <c r="G4213" s="122" t="s">
        <v>778</v>
      </c>
      <c r="H4213" s="122" t="s">
        <v>777</v>
      </c>
      <c r="I4213" s="312">
        <v>2019</v>
      </c>
      <c r="J4213" s="122" t="s">
        <v>713</v>
      </c>
      <c r="K4213" s="283">
        <v>39244</v>
      </c>
      <c r="L4213" s="318">
        <v>-33.454524999999997</v>
      </c>
      <c r="M4213" s="318">
        <v>151.206726</v>
      </c>
      <c r="O4213">
        <f>INDEX('MEC - traffic congestion'!$M$145:$M$249,MATCH($D4213,'MEC - traffic congestion'!$C$145:$C$249,0))</f>
        <v>1</v>
      </c>
      <c r="P4213" t="str">
        <f t="shared" si="191"/>
        <v>2019WEEKENDS</v>
      </c>
      <c r="Q4213">
        <f t="shared" si="192"/>
        <v>1</v>
      </c>
      <c r="R4213" s="195" t="str">
        <f t="shared" si="193"/>
        <v>2019LIGHT VEHICLES</v>
      </c>
    </row>
    <row r="4214" spans="3:18" x14ac:dyDescent="0.25">
      <c r="C4214" s="294" t="s">
        <v>1024</v>
      </c>
      <c r="D4214" s="317" t="s">
        <v>758</v>
      </c>
      <c r="E4214" s="122" t="s">
        <v>977</v>
      </c>
      <c r="F4214" s="122" t="s">
        <v>1005</v>
      </c>
      <c r="G4214" s="122" t="s">
        <v>776</v>
      </c>
      <c r="H4214" s="122" t="s">
        <v>777</v>
      </c>
      <c r="I4214" s="312">
        <v>2020</v>
      </c>
      <c r="J4214" s="122" t="s">
        <v>709</v>
      </c>
      <c r="K4214" s="283">
        <v>5433</v>
      </c>
      <c r="L4214" s="318">
        <v>-33.454524999999997</v>
      </c>
      <c r="M4214" s="318">
        <v>151.206726</v>
      </c>
      <c r="O4214">
        <f>INDEX('MEC - traffic congestion'!$M$145:$M$249,MATCH($D4214,'MEC - traffic congestion'!$C$145:$C$249,0))</f>
        <v>1</v>
      </c>
      <c r="P4214" t="str">
        <f t="shared" si="191"/>
        <v>2020AM PEAK</v>
      </c>
      <c r="Q4214">
        <f t="shared" si="192"/>
        <v>1</v>
      </c>
      <c r="R4214" s="195" t="str">
        <f t="shared" si="193"/>
        <v>2020LIGHT VEHICLES</v>
      </c>
    </row>
    <row r="4215" spans="3:18" x14ac:dyDescent="0.25">
      <c r="C4215" s="294" t="s">
        <v>1024</v>
      </c>
      <c r="D4215" s="317" t="s">
        <v>758</v>
      </c>
      <c r="E4215" s="122" t="s">
        <v>977</v>
      </c>
      <c r="F4215" s="122" t="s">
        <v>1005</v>
      </c>
      <c r="G4215" s="122" t="s">
        <v>778</v>
      </c>
      <c r="H4215" s="122" t="s">
        <v>777</v>
      </c>
      <c r="I4215" s="312">
        <v>2020</v>
      </c>
      <c r="J4215" s="122" t="s">
        <v>709</v>
      </c>
      <c r="K4215" s="283">
        <v>8880</v>
      </c>
      <c r="L4215" s="318">
        <v>-33.454524999999997</v>
      </c>
      <c r="M4215" s="318">
        <v>151.206726</v>
      </c>
      <c r="O4215">
        <f>INDEX('MEC - traffic congestion'!$M$145:$M$249,MATCH($D4215,'MEC - traffic congestion'!$C$145:$C$249,0))</f>
        <v>1</v>
      </c>
      <c r="P4215" t="str">
        <f t="shared" si="191"/>
        <v>2020AM PEAK</v>
      </c>
      <c r="Q4215">
        <f t="shared" si="192"/>
        <v>1</v>
      </c>
      <c r="R4215" s="195" t="str">
        <f t="shared" si="193"/>
        <v>2020LIGHT VEHICLES</v>
      </c>
    </row>
    <row r="4216" spans="3:18" x14ac:dyDescent="0.25">
      <c r="C4216" s="294" t="s">
        <v>1024</v>
      </c>
      <c r="D4216" s="317" t="s">
        <v>758</v>
      </c>
      <c r="E4216" s="122" t="s">
        <v>977</v>
      </c>
      <c r="F4216" s="122" t="s">
        <v>1005</v>
      </c>
      <c r="G4216" s="122" t="s">
        <v>776</v>
      </c>
      <c r="H4216" s="122" t="s">
        <v>777</v>
      </c>
      <c r="I4216" s="312">
        <v>2020</v>
      </c>
      <c r="J4216" s="122" t="s">
        <v>710</v>
      </c>
      <c r="K4216" s="283">
        <v>14375</v>
      </c>
      <c r="L4216" s="318">
        <v>-33.454524999999997</v>
      </c>
      <c r="M4216" s="318">
        <v>151.206726</v>
      </c>
      <c r="O4216">
        <f>INDEX('MEC - traffic congestion'!$M$145:$M$249,MATCH($D4216,'MEC - traffic congestion'!$C$145:$C$249,0))</f>
        <v>1</v>
      </c>
      <c r="P4216" t="str">
        <f t="shared" si="191"/>
        <v>2020OFF PEAK</v>
      </c>
      <c r="Q4216">
        <f t="shared" si="192"/>
        <v>1</v>
      </c>
      <c r="R4216" s="195" t="str">
        <f t="shared" si="193"/>
        <v>2020LIGHT VEHICLES</v>
      </c>
    </row>
    <row r="4217" spans="3:18" x14ac:dyDescent="0.25">
      <c r="C4217" s="294" t="s">
        <v>1024</v>
      </c>
      <c r="D4217" s="317" t="s">
        <v>758</v>
      </c>
      <c r="E4217" s="122" t="s">
        <v>977</v>
      </c>
      <c r="F4217" s="122" t="s">
        <v>1005</v>
      </c>
      <c r="G4217" s="122" t="s">
        <v>778</v>
      </c>
      <c r="H4217" s="122" t="s">
        <v>777</v>
      </c>
      <c r="I4217" s="312">
        <v>2020</v>
      </c>
      <c r="J4217" s="122" t="s">
        <v>710</v>
      </c>
      <c r="K4217" s="283">
        <v>14495</v>
      </c>
      <c r="L4217" s="318">
        <v>-33.454524999999997</v>
      </c>
      <c r="M4217" s="318">
        <v>151.206726</v>
      </c>
      <c r="O4217">
        <f>INDEX('MEC - traffic congestion'!$M$145:$M$249,MATCH($D4217,'MEC - traffic congestion'!$C$145:$C$249,0))</f>
        <v>1</v>
      </c>
      <c r="P4217" t="str">
        <f t="shared" si="191"/>
        <v>2020OFF PEAK</v>
      </c>
      <c r="Q4217">
        <f t="shared" si="192"/>
        <v>1</v>
      </c>
      <c r="R4217" s="195" t="str">
        <f t="shared" si="193"/>
        <v>2020LIGHT VEHICLES</v>
      </c>
    </row>
    <row r="4218" spans="3:18" x14ac:dyDescent="0.25">
      <c r="C4218" s="294" t="s">
        <v>1024</v>
      </c>
      <c r="D4218" s="317" t="s">
        <v>758</v>
      </c>
      <c r="E4218" s="122" t="s">
        <v>977</v>
      </c>
      <c r="F4218" s="122" t="s">
        <v>1005</v>
      </c>
      <c r="G4218" s="122" t="s">
        <v>776</v>
      </c>
      <c r="H4218" s="122" t="s">
        <v>777</v>
      </c>
      <c r="I4218" s="312">
        <v>2020</v>
      </c>
      <c r="J4218" s="122" t="s">
        <v>711</v>
      </c>
      <c r="K4218" s="283">
        <v>11457</v>
      </c>
      <c r="L4218" s="318">
        <v>-33.454524999999997</v>
      </c>
      <c r="M4218" s="318">
        <v>151.206726</v>
      </c>
      <c r="O4218">
        <f>INDEX('MEC - traffic congestion'!$M$145:$M$249,MATCH($D4218,'MEC - traffic congestion'!$C$145:$C$249,0))</f>
        <v>1</v>
      </c>
      <c r="P4218" t="str">
        <f t="shared" si="191"/>
        <v>2020PM PEAK</v>
      </c>
      <c r="Q4218">
        <f t="shared" si="192"/>
        <v>1</v>
      </c>
      <c r="R4218" s="195" t="str">
        <f t="shared" si="193"/>
        <v>2020LIGHT VEHICLES</v>
      </c>
    </row>
    <row r="4219" spans="3:18" x14ac:dyDescent="0.25">
      <c r="C4219" s="294" t="s">
        <v>1024</v>
      </c>
      <c r="D4219" s="317" t="s">
        <v>758</v>
      </c>
      <c r="E4219" s="122" t="s">
        <v>977</v>
      </c>
      <c r="F4219" s="122" t="s">
        <v>1005</v>
      </c>
      <c r="G4219" s="122" t="s">
        <v>778</v>
      </c>
      <c r="H4219" s="122" t="s">
        <v>777</v>
      </c>
      <c r="I4219" s="312">
        <v>2020</v>
      </c>
      <c r="J4219" s="122" t="s">
        <v>711</v>
      </c>
      <c r="K4219" s="283">
        <v>6643</v>
      </c>
      <c r="L4219" s="318">
        <v>-33.454524999999997</v>
      </c>
      <c r="M4219" s="318">
        <v>151.206726</v>
      </c>
      <c r="O4219">
        <f>INDEX('MEC - traffic congestion'!$M$145:$M$249,MATCH($D4219,'MEC - traffic congestion'!$C$145:$C$249,0))</f>
        <v>1</v>
      </c>
      <c r="P4219" t="str">
        <f t="shared" si="191"/>
        <v>2020PM PEAK</v>
      </c>
      <c r="Q4219">
        <f t="shared" si="192"/>
        <v>1</v>
      </c>
      <c r="R4219" s="195" t="str">
        <f t="shared" si="193"/>
        <v>2020LIGHT VEHICLES</v>
      </c>
    </row>
    <row r="4220" spans="3:18" x14ac:dyDescent="0.25">
      <c r="C4220" s="294" t="s">
        <v>1024</v>
      </c>
      <c r="D4220" s="317" t="s">
        <v>758</v>
      </c>
      <c r="E4220" s="122" t="s">
        <v>977</v>
      </c>
      <c r="F4220" s="122" t="s">
        <v>1005</v>
      </c>
      <c r="G4220" s="122" t="s">
        <v>776</v>
      </c>
      <c r="H4220" s="122" t="s">
        <v>777</v>
      </c>
      <c r="I4220" s="312">
        <v>2020</v>
      </c>
      <c r="J4220" s="122" t="s">
        <v>712</v>
      </c>
      <c r="K4220" s="283">
        <v>25561</v>
      </c>
      <c r="L4220" s="318">
        <v>-33.454524999999997</v>
      </c>
      <c r="M4220" s="318">
        <v>151.206726</v>
      </c>
      <c r="O4220">
        <f>INDEX('MEC - traffic congestion'!$M$145:$M$249,MATCH($D4220,'MEC - traffic congestion'!$C$145:$C$249,0))</f>
        <v>1</v>
      </c>
      <c r="P4220" t="str">
        <f t="shared" si="191"/>
        <v>2020PUBLIC HOLIDAYS</v>
      </c>
      <c r="Q4220">
        <f t="shared" si="192"/>
        <v>1</v>
      </c>
      <c r="R4220" s="195" t="str">
        <f t="shared" si="193"/>
        <v>2020LIGHT VEHICLES</v>
      </c>
    </row>
    <row r="4221" spans="3:18" x14ac:dyDescent="0.25">
      <c r="C4221" s="294" t="s">
        <v>1024</v>
      </c>
      <c r="D4221" s="317" t="s">
        <v>758</v>
      </c>
      <c r="E4221" s="122" t="s">
        <v>977</v>
      </c>
      <c r="F4221" s="122" t="s">
        <v>1005</v>
      </c>
      <c r="G4221" s="122" t="s">
        <v>778</v>
      </c>
      <c r="H4221" s="122" t="s">
        <v>777</v>
      </c>
      <c r="I4221" s="312">
        <v>2020</v>
      </c>
      <c r="J4221" s="122" t="s">
        <v>712</v>
      </c>
      <c r="K4221" s="283">
        <v>27803</v>
      </c>
      <c r="L4221" s="318">
        <v>-33.454524999999997</v>
      </c>
      <c r="M4221" s="318">
        <v>151.206726</v>
      </c>
      <c r="O4221">
        <f>INDEX('MEC - traffic congestion'!$M$145:$M$249,MATCH($D4221,'MEC - traffic congestion'!$C$145:$C$249,0))</f>
        <v>1</v>
      </c>
      <c r="P4221" t="str">
        <f t="shared" si="191"/>
        <v>2020PUBLIC HOLIDAYS</v>
      </c>
      <c r="Q4221">
        <f t="shared" si="192"/>
        <v>1</v>
      </c>
      <c r="R4221" s="195" t="str">
        <f t="shared" si="193"/>
        <v>2020LIGHT VEHICLES</v>
      </c>
    </row>
    <row r="4222" spans="3:18" x14ac:dyDescent="0.25">
      <c r="C4222" s="294" t="s">
        <v>1024</v>
      </c>
      <c r="D4222" s="317" t="s">
        <v>758</v>
      </c>
      <c r="E4222" s="122" t="s">
        <v>977</v>
      </c>
      <c r="F4222" s="122" t="s">
        <v>1005</v>
      </c>
      <c r="G4222" s="122" t="s">
        <v>776</v>
      </c>
      <c r="H4222" s="122" t="s">
        <v>777</v>
      </c>
      <c r="I4222" s="312">
        <v>2020</v>
      </c>
      <c r="J4222" s="122" t="s">
        <v>713</v>
      </c>
      <c r="K4222" s="283">
        <v>30984</v>
      </c>
      <c r="L4222" s="318">
        <v>-33.454524999999997</v>
      </c>
      <c r="M4222" s="318">
        <v>151.206726</v>
      </c>
      <c r="O4222">
        <f>INDEX('MEC - traffic congestion'!$M$145:$M$249,MATCH($D4222,'MEC - traffic congestion'!$C$145:$C$249,0))</f>
        <v>1</v>
      </c>
      <c r="P4222" t="str">
        <f t="shared" si="191"/>
        <v>2020WEEKENDS</v>
      </c>
      <c r="Q4222">
        <f t="shared" si="192"/>
        <v>1</v>
      </c>
      <c r="R4222" s="195" t="str">
        <f t="shared" si="193"/>
        <v>2020LIGHT VEHICLES</v>
      </c>
    </row>
    <row r="4223" spans="3:18" x14ac:dyDescent="0.25">
      <c r="C4223" s="294" t="s">
        <v>1024</v>
      </c>
      <c r="D4223" s="317" t="s">
        <v>758</v>
      </c>
      <c r="E4223" s="122" t="s">
        <v>977</v>
      </c>
      <c r="F4223" s="122" t="s">
        <v>1005</v>
      </c>
      <c r="G4223" s="122" t="s">
        <v>778</v>
      </c>
      <c r="H4223" s="122" t="s">
        <v>777</v>
      </c>
      <c r="I4223" s="312">
        <v>2020</v>
      </c>
      <c r="J4223" s="122" t="s">
        <v>713</v>
      </c>
      <c r="K4223" s="283">
        <v>33780</v>
      </c>
      <c r="L4223" s="318">
        <v>-33.454524999999997</v>
      </c>
      <c r="M4223" s="318">
        <v>151.206726</v>
      </c>
      <c r="O4223">
        <f>INDEX('MEC - traffic congestion'!$M$145:$M$249,MATCH($D4223,'MEC - traffic congestion'!$C$145:$C$249,0))</f>
        <v>1</v>
      </c>
      <c r="P4223" t="str">
        <f t="shared" si="191"/>
        <v>2020WEEKENDS</v>
      </c>
      <c r="Q4223">
        <f t="shared" si="192"/>
        <v>1</v>
      </c>
      <c r="R4223" s="195" t="str">
        <f t="shared" si="193"/>
        <v>2020LIGHT VEHICLES</v>
      </c>
    </row>
    <row r="4224" spans="3:18" x14ac:dyDescent="0.25">
      <c r="C4224" s="294" t="s">
        <v>1024</v>
      </c>
      <c r="D4224" s="317" t="s">
        <v>758</v>
      </c>
      <c r="E4224" s="122" t="s">
        <v>977</v>
      </c>
      <c r="F4224" s="122" t="s">
        <v>1005</v>
      </c>
      <c r="G4224" s="122" t="s">
        <v>776</v>
      </c>
      <c r="H4224" s="122" t="s">
        <v>777</v>
      </c>
      <c r="I4224" s="312">
        <v>2021</v>
      </c>
      <c r="J4224" s="122" t="s">
        <v>709</v>
      </c>
      <c r="K4224" s="283">
        <v>5382</v>
      </c>
      <c r="L4224" s="318">
        <v>-33.454524999999997</v>
      </c>
      <c r="M4224" s="318">
        <v>151.206726</v>
      </c>
      <c r="O4224">
        <f>INDEX('MEC - traffic congestion'!$M$145:$M$249,MATCH($D4224,'MEC - traffic congestion'!$C$145:$C$249,0))</f>
        <v>1</v>
      </c>
      <c r="P4224" t="str">
        <f t="shared" si="191"/>
        <v>2021AM PEAK</v>
      </c>
      <c r="Q4224">
        <f t="shared" si="192"/>
        <v>1</v>
      </c>
      <c r="R4224" s="195" t="str">
        <f t="shared" si="193"/>
        <v>2021LIGHT VEHICLES</v>
      </c>
    </row>
    <row r="4225" spans="3:18" x14ac:dyDescent="0.25">
      <c r="C4225" s="294" t="s">
        <v>1024</v>
      </c>
      <c r="D4225" s="317" t="s">
        <v>758</v>
      </c>
      <c r="E4225" s="122" t="s">
        <v>977</v>
      </c>
      <c r="F4225" s="122" t="s">
        <v>1005</v>
      </c>
      <c r="G4225" s="122" t="s">
        <v>778</v>
      </c>
      <c r="H4225" s="122" t="s">
        <v>777</v>
      </c>
      <c r="I4225" s="312">
        <v>2021</v>
      </c>
      <c r="J4225" s="122" t="s">
        <v>709</v>
      </c>
      <c r="K4225" s="283">
        <v>8367</v>
      </c>
      <c r="L4225" s="318">
        <v>-33.454524999999997</v>
      </c>
      <c r="M4225" s="318">
        <v>151.206726</v>
      </c>
      <c r="O4225">
        <f>INDEX('MEC - traffic congestion'!$M$145:$M$249,MATCH($D4225,'MEC - traffic congestion'!$C$145:$C$249,0))</f>
        <v>1</v>
      </c>
      <c r="P4225" t="str">
        <f t="shared" si="191"/>
        <v>2021AM PEAK</v>
      </c>
      <c r="Q4225">
        <f t="shared" si="192"/>
        <v>1</v>
      </c>
      <c r="R4225" s="195" t="str">
        <f t="shared" si="193"/>
        <v>2021LIGHT VEHICLES</v>
      </c>
    </row>
    <row r="4226" spans="3:18" x14ac:dyDescent="0.25">
      <c r="C4226" s="294" t="s">
        <v>1024</v>
      </c>
      <c r="D4226" s="317" t="s">
        <v>758</v>
      </c>
      <c r="E4226" s="122" t="s">
        <v>977</v>
      </c>
      <c r="F4226" s="122" t="s">
        <v>1005</v>
      </c>
      <c r="G4226" s="122" t="s">
        <v>776</v>
      </c>
      <c r="H4226" s="122" t="s">
        <v>777</v>
      </c>
      <c r="I4226" s="312">
        <v>2021</v>
      </c>
      <c r="J4226" s="122" t="s">
        <v>710</v>
      </c>
      <c r="K4226" s="283">
        <v>12896</v>
      </c>
      <c r="L4226" s="318">
        <v>-33.454524999999997</v>
      </c>
      <c r="M4226" s="318">
        <v>151.206726</v>
      </c>
      <c r="O4226">
        <f>INDEX('MEC - traffic congestion'!$M$145:$M$249,MATCH($D4226,'MEC - traffic congestion'!$C$145:$C$249,0))</f>
        <v>1</v>
      </c>
      <c r="P4226" t="str">
        <f t="shared" si="191"/>
        <v>2021OFF PEAK</v>
      </c>
      <c r="Q4226">
        <f t="shared" si="192"/>
        <v>1</v>
      </c>
      <c r="R4226" s="195" t="str">
        <f t="shared" si="193"/>
        <v>2021LIGHT VEHICLES</v>
      </c>
    </row>
    <row r="4227" spans="3:18" x14ac:dyDescent="0.25">
      <c r="C4227" s="294" t="s">
        <v>1024</v>
      </c>
      <c r="D4227" s="317" t="s">
        <v>758</v>
      </c>
      <c r="E4227" s="122" t="s">
        <v>977</v>
      </c>
      <c r="F4227" s="122" t="s">
        <v>1005</v>
      </c>
      <c r="G4227" s="122" t="s">
        <v>778</v>
      </c>
      <c r="H4227" s="122" t="s">
        <v>777</v>
      </c>
      <c r="I4227" s="312">
        <v>2021</v>
      </c>
      <c r="J4227" s="122" t="s">
        <v>710</v>
      </c>
      <c r="K4227" s="283">
        <v>13258</v>
      </c>
      <c r="L4227" s="318">
        <v>-33.454524999999997</v>
      </c>
      <c r="M4227" s="318">
        <v>151.206726</v>
      </c>
      <c r="O4227">
        <f>INDEX('MEC - traffic congestion'!$M$145:$M$249,MATCH($D4227,'MEC - traffic congestion'!$C$145:$C$249,0))</f>
        <v>1</v>
      </c>
      <c r="P4227" t="str">
        <f t="shared" si="191"/>
        <v>2021OFF PEAK</v>
      </c>
      <c r="Q4227">
        <f t="shared" si="192"/>
        <v>1</v>
      </c>
      <c r="R4227" s="195" t="str">
        <f t="shared" si="193"/>
        <v>2021LIGHT VEHICLES</v>
      </c>
    </row>
    <row r="4228" spans="3:18" x14ac:dyDescent="0.25">
      <c r="C4228" s="294" t="s">
        <v>1024</v>
      </c>
      <c r="D4228" s="317" t="s">
        <v>758</v>
      </c>
      <c r="E4228" s="122" t="s">
        <v>977</v>
      </c>
      <c r="F4228" s="122" t="s">
        <v>1005</v>
      </c>
      <c r="G4228" s="122" t="s">
        <v>776</v>
      </c>
      <c r="H4228" s="122" t="s">
        <v>777</v>
      </c>
      <c r="I4228" s="312">
        <v>2021</v>
      </c>
      <c r="J4228" s="122" t="s">
        <v>711</v>
      </c>
      <c r="K4228" s="283">
        <v>10100</v>
      </c>
      <c r="L4228" s="318">
        <v>-33.454524999999997</v>
      </c>
      <c r="M4228" s="318">
        <v>151.206726</v>
      </c>
      <c r="O4228">
        <f>INDEX('MEC - traffic congestion'!$M$145:$M$249,MATCH($D4228,'MEC - traffic congestion'!$C$145:$C$249,0))</f>
        <v>1</v>
      </c>
      <c r="P4228" t="str">
        <f t="shared" si="191"/>
        <v>2021PM PEAK</v>
      </c>
      <c r="Q4228">
        <f t="shared" si="192"/>
        <v>1</v>
      </c>
      <c r="R4228" s="195" t="str">
        <f t="shared" si="193"/>
        <v>2021LIGHT VEHICLES</v>
      </c>
    </row>
    <row r="4229" spans="3:18" x14ac:dyDescent="0.25">
      <c r="C4229" s="294" t="s">
        <v>1024</v>
      </c>
      <c r="D4229" s="317" t="s">
        <v>758</v>
      </c>
      <c r="E4229" s="122" t="s">
        <v>977</v>
      </c>
      <c r="F4229" s="122" t="s">
        <v>1005</v>
      </c>
      <c r="G4229" s="122" t="s">
        <v>778</v>
      </c>
      <c r="H4229" s="122" t="s">
        <v>777</v>
      </c>
      <c r="I4229" s="312">
        <v>2021</v>
      </c>
      <c r="J4229" s="122" t="s">
        <v>711</v>
      </c>
      <c r="K4229" s="283">
        <v>6270</v>
      </c>
      <c r="L4229" s="318">
        <v>-33.454524999999997</v>
      </c>
      <c r="M4229" s="318">
        <v>151.206726</v>
      </c>
      <c r="O4229">
        <f>INDEX('MEC - traffic congestion'!$M$145:$M$249,MATCH($D4229,'MEC - traffic congestion'!$C$145:$C$249,0))</f>
        <v>1</v>
      </c>
      <c r="P4229" t="str">
        <f t="shared" si="191"/>
        <v>2021PM PEAK</v>
      </c>
      <c r="Q4229">
        <f t="shared" si="192"/>
        <v>1</v>
      </c>
      <c r="R4229" s="195" t="str">
        <f t="shared" si="193"/>
        <v>2021LIGHT VEHICLES</v>
      </c>
    </row>
    <row r="4230" spans="3:18" x14ac:dyDescent="0.25">
      <c r="C4230" s="294" t="s">
        <v>1024</v>
      </c>
      <c r="D4230" s="317" t="s">
        <v>758</v>
      </c>
      <c r="E4230" s="122" t="s">
        <v>977</v>
      </c>
      <c r="F4230" s="122" t="s">
        <v>1005</v>
      </c>
      <c r="G4230" s="122" t="s">
        <v>776</v>
      </c>
      <c r="H4230" s="122" t="s">
        <v>777</v>
      </c>
      <c r="I4230" s="312">
        <v>2021</v>
      </c>
      <c r="J4230" s="122" t="s">
        <v>713</v>
      </c>
      <c r="K4230" s="283">
        <v>27492</v>
      </c>
      <c r="L4230" s="318">
        <v>-33.454524999999997</v>
      </c>
      <c r="M4230" s="318">
        <v>151.206726</v>
      </c>
      <c r="O4230">
        <f>INDEX('MEC - traffic congestion'!$M$145:$M$249,MATCH($D4230,'MEC - traffic congestion'!$C$145:$C$249,0))</f>
        <v>1</v>
      </c>
      <c r="P4230" t="str">
        <f t="shared" si="191"/>
        <v>2021WEEKENDS</v>
      </c>
      <c r="Q4230">
        <f t="shared" si="192"/>
        <v>1</v>
      </c>
      <c r="R4230" s="195" t="str">
        <f t="shared" si="193"/>
        <v>2021LIGHT VEHICLES</v>
      </c>
    </row>
    <row r="4231" spans="3:18" x14ac:dyDescent="0.25">
      <c r="C4231" s="294" t="s">
        <v>1024</v>
      </c>
      <c r="D4231" s="317" t="s">
        <v>758</v>
      </c>
      <c r="E4231" s="122" t="s">
        <v>977</v>
      </c>
      <c r="F4231" s="122" t="s">
        <v>1005</v>
      </c>
      <c r="G4231" s="122" t="s">
        <v>778</v>
      </c>
      <c r="H4231" s="122" t="s">
        <v>777</v>
      </c>
      <c r="I4231" s="312">
        <v>2021</v>
      </c>
      <c r="J4231" s="122" t="s">
        <v>713</v>
      </c>
      <c r="K4231" s="283">
        <v>29250</v>
      </c>
      <c r="L4231" s="318">
        <v>-33.454524999999997</v>
      </c>
      <c r="M4231" s="318">
        <v>151.206726</v>
      </c>
      <c r="O4231">
        <f>INDEX('MEC - traffic congestion'!$M$145:$M$249,MATCH($D4231,'MEC - traffic congestion'!$C$145:$C$249,0))</f>
        <v>1</v>
      </c>
      <c r="P4231" t="str">
        <f t="shared" si="191"/>
        <v>2021WEEKENDS</v>
      </c>
      <c r="Q4231">
        <f t="shared" si="192"/>
        <v>1</v>
      </c>
      <c r="R4231" s="195" t="str">
        <f t="shared" si="193"/>
        <v>2021LIGHT VEHICLES</v>
      </c>
    </row>
    <row r="4232" spans="3:18" x14ac:dyDescent="0.25">
      <c r="C4232" s="294" t="s">
        <v>1024</v>
      </c>
      <c r="D4232" s="317" t="s">
        <v>758</v>
      </c>
      <c r="E4232" s="122" t="s">
        <v>977</v>
      </c>
      <c r="F4232" s="122" t="s">
        <v>1005</v>
      </c>
      <c r="G4232" s="122" t="s">
        <v>776</v>
      </c>
      <c r="H4232" s="122" t="s">
        <v>777</v>
      </c>
      <c r="I4232" s="312">
        <v>2022</v>
      </c>
      <c r="J4232" s="122" t="s">
        <v>709</v>
      </c>
      <c r="K4232" s="283">
        <v>5054</v>
      </c>
      <c r="L4232" s="318">
        <v>-33.454524999999997</v>
      </c>
      <c r="M4232" s="318">
        <v>151.206726</v>
      </c>
      <c r="O4232">
        <f>INDEX('MEC - traffic congestion'!$M$145:$M$249,MATCH($D4232,'MEC - traffic congestion'!$C$145:$C$249,0))</f>
        <v>1</v>
      </c>
      <c r="P4232" t="str">
        <f t="shared" si="191"/>
        <v>2022AM PEAK</v>
      </c>
      <c r="Q4232">
        <f t="shared" si="192"/>
        <v>1</v>
      </c>
      <c r="R4232" s="195" t="str">
        <f t="shared" si="193"/>
        <v>2022LIGHT VEHICLES</v>
      </c>
    </row>
    <row r="4233" spans="3:18" x14ac:dyDescent="0.25">
      <c r="C4233" s="294" t="s">
        <v>1024</v>
      </c>
      <c r="D4233" s="317" t="s">
        <v>758</v>
      </c>
      <c r="E4233" s="122" t="s">
        <v>977</v>
      </c>
      <c r="F4233" s="122" t="s">
        <v>1005</v>
      </c>
      <c r="G4233" s="122" t="s">
        <v>778</v>
      </c>
      <c r="H4233" s="122" t="s">
        <v>777</v>
      </c>
      <c r="I4233" s="312">
        <v>2022</v>
      </c>
      <c r="J4233" s="122" t="s">
        <v>709</v>
      </c>
      <c r="K4233" s="283">
        <v>9281</v>
      </c>
      <c r="L4233" s="318">
        <v>-33.454524999999997</v>
      </c>
      <c r="M4233" s="318">
        <v>151.206726</v>
      </c>
      <c r="O4233">
        <f>INDEX('MEC - traffic congestion'!$M$145:$M$249,MATCH($D4233,'MEC - traffic congestion'!$C$145:$C$249,0))</f>
        <v>1</v>
      </c>
      <c r="P4233" t="str">
        <f t="shared" si="191"/>
        <v>2022AM PEAK</v>
      </c>
      <c r="Q4233">
        <f t="shared" si="192"/>
        <v>1</v>
      </c>
      <c r="R4233" s="195" t="str">
        <f t="shared" si="193"/>
        <v>2022LIGHT VEHICLES</v>
      </c>
    </row>
    <row r="4234" spans="3:18" x14ac:dyDescent="0.25">
      <c r="C4234" s="294" t="s">
        <v>1024</v>
      </c>
      <c r="D4234" s="317" t="s">
        <v>758</v>
      </c>
      <c r="E4234" s="122" t="s">
        <v>977</v>
      </c>
      <c r="F4234" s="122" t="s">
        <v>1005</v>
      </c>
      <c r="G4234" s="122" t="s">
        <v>776</v>
      </c>
      <c r="H4234" s="122" t="s">
        <v>777</v>
      </c>
      <c r="I4234" s="312">
        <v>2022</v>
      </c>
      <c r="J4234" s="122" t="s">
        <v>710</v>
      </c>
      <c r="K4234" s="283">
        <v>13008</v>
      </c>
      <c r="L4234" s="318">
        <v>-33.454524999999997</v>
      </c>
      <c r="M4234" s="318">
        <v>151.206726</v>
      </c>
      <c r="O4234">
        <f>INDEX('MEC - traffic congestion'!$M$145:$M$249,MATCH($D4234,'MEC - traffic congestion'!$C$145:$C$249,0))</f>
        <v>1</v>
      </c>
      <c r="P4234" t="str">
        <f t="shared" si="191"/>
        <v>2022OFF PEAK</v>
      </c>
      <c r="Q4234">
        <f t="shared" si="192"/>
        <v>1</v>
      </c>
      <c r="R4234" s="195" t="str">
        <f t="shared" si="193"/>
        <v>2022LIGHT VEHICLES</v>
      </c>
    </row>
    <row r="4235" spans="3:18" x14ac:dyDescent="0.25">
      <c r="C4235" s="294" t="s">
        <v>1024</v>
      </c>
      <c r="D4235" s="317" t="s">
        <v>758</v>
      </c>
      <c r="E4235" s="122" t="s">
        <v>977</v>
      </c>
      <c r="F4235" s="122" t="s">
        <v>1005</v>
      </c>
      <c r="G4235" s="122" t="s">
        <v>778</v>
      </c>
      <c r="H4235" s="122" t="s">
        <v>777</v>
      </c>
      <c r="I4235" s="312">
        <v>2022</v>
      </c>
      <c r="J4235" s="122" t="s">
        <v>710</v>
      </c>
      <c r="K4235" s="283">
        <v>15016</v>
      </c>
      <c r="L4235" s="318">
        <v>-33.454524999999997</v>
      </c>
      <c r="M4235" s="318">
        <v>151.206726</v>
      </c>
      <c r="O4235">
        <f>INDEX('MEC - traffic congestion'!$M$145:$M$249,MATCH($D4235,'MEC - traffic congestion'!$C$145:$C$249,0))</f>
        <v>1</v>
      </c>
      <c r="P4235" t="str">
        <f t="shared" si="191"/>
        <v>2022OFF PEAK</v>
      </c>
      <c r="Q4235">
        <f t="shared" si="192"/>
        <v>1</v>
      </c>
      <c r="R4235" s="195" t="str">
        <f t="shared" si="193"/>
        <v>2022LIGHT VEHICLES</v>
      </c>
    </row>
    <row r="4236" spans="3:18" x14ac:dyDescent="0.25">
      <c r="C4236" s="294" t="s">
        <v>1024</v>
      </c>
      <c r="D4236" s="317" t="s">
        <v>758</v>
      </c>
      <c r="E4236" s="122" t="s">
        <v>977</v>
      </c>
      <c r="F4236" s="122" t="s">
        <v>1005</v>
      </c>
      <c r="G4236" s="122" t="s">
        <v>776</v>
      </c>
      <c r="H4236" s="122" t="s">
        <v>777</v>
      </c>
      <c r="I4236" s="312">
        <v>2022</v>
      </c>
      <c r="J4236" s="122" t="s">
        <v>711</v>
      </c>
      <c r="K4236" s="283">
        <v>9552</v>
      </c>
      <c r="L4236" s="318">
        <v>-33.454524999999997</v>
      </c>
      <c r="M4236" s="318">
        <v>151.206726</v>
      </c>
      <c r="O4236">
        <f>INDEX('MEC - traffic congestion'!$M$145:$M$249,MATCH($D4236,'MEC - traffic congestion'!$C$145:$C$249,0))</f>
        <v>1</v>
      </c>
      <c r="P4236" t="str">
        <f t="shared" si="191"/>
        <v>2022PM PEAK</v>
      </c>
      <c r="Q4236">
        <f t="shared" si="192"/>
        <v>1</v>
      </c>
      <c r="R4236" s="195" t="str">
        <f t="shared" si="193"/>
        <v>2022LIGHT VEHICLES</v>
      </c>
    </row>
    <row r="4237" spans="3:18" x14ac:dyDescent="0.25">
      <c r="C4237" s="294" t="s">
        <v>1024</v>
      </c>
      <c r="D4237" s="317" t="s">
        <v>758</v>
      </c>
      <c r="E4237" s="122" t="s">
        <v>977</v>
      </c>
      <c r="F4237" s="122" t="s">
        <v>1005</v>
      </c>
      <c r="G4237" s="122" t="s">
        <v>778</v>
      </c>
      <c r="H4237" s="122" t="s">
        <v>777</v>
      </c>
      <c r="I4237" s="312">
        <v>2022</v>
      </c>
      <c r="J4237" s="122" t="s">
        <v>711</v>
      </c>
      <c r="K4237" s="283">
        <v>7165</v>
      </c>
      <c r="L4237" s="318">
        <v>-33.454524999999997</v>
      </c>
      <c r="M4237" s="318">
        <v>151.206726</v>
      </c>
      <c r="O4237">
        <f>INDEX('MEC - traffic congestion'!$M$145:$M$249,MATCH($D4237,'MEC - traffic congestion'!$C$145:$C$249,0))</f>
        <v>1</v>
      </c>
      <c r="P4237" t="str">
        <f t="shared" si="191"/>
        <v>2022PM PEAK</v>
      </c>
      <c r="Q4237">
        <f t="shared" si="192"/>
        <v>1</v>
      </c>
      <c r="R4237" s="195" t="str">
        <f t="shared" si="193"/>
        <v>2022LIGHT VEHICLES</v>
      </c>
    </row>
    <row r="4238" spans="3:18" x14ac:dyDescent="0.25">
      <c r="C4238" s="294" t="s">
        <v>1024</v>
      </c>
      <c r="D4238" s="317" t="s">
        <v>758</v>
      </c>
      <c r="E4238" s="122" t="s">
        <v>977</v>
      </c>
      <c r="F4238" s="122" t="s">
        <v>1005</v>
      </c>
      <c r="G4238" s="122" t="s">
        <v>776</v>
      </c>
      <c r="H4238" s="122" t="s">
        <v>777</v>
      </c>
      <c r="I4238" s="312">
        <v>2022</v>
      </c>
      <c r="J4238" s="122" t="s">
        <v>713</v>
      </c>
      <c r="K4238" s="283">
        <v>28254</v>
      </c>
      <c r="L4238" s="318">
        <v>-33.454524999999997</v>
      </c>
      <c r="M4238" s="318">
        <v>151.206726</v>
      </c>
      <c r="O4238">
        <f>INDEX('MEC - traffic congestion'!$M$145:$M$249,MATCH($D4238,'MEC - traffic congestion'!$C$145:$C$249,0))</f>
        <v>1</v>
      </c>
      <c r="P4238" t="str">
        <f t="shared" si="191"/>
        <v>2022WEEKENDS</v>
      </c>
      <c r="Q4238">
        <f t="shared" si="192"/>
        <v>1</v>
      </c>
      <c r="R4238" s="195" t="str">
        <f t="shared" si="193"/>
        <v>2022LIGHT VEHICLES</v>
      </c>
    </row>
    <row r="4239" spans="3:18" x14ac:dyDescent="0.25">
      <c r="C4239" s="294" t="s">
        <v>1024</v>
      </c>
      <c r="D4239" s="317" t="s">
        <v>758</v>
      </c>
      <c r="E4239" s="122" t="s">
        <v>977</v>
      </c>
      <c r="F4239" s="122" t="s">
        <v>1005</v>
      </c>
      <c r="G4239" s="122" t="s">
        <v>778</v>
      </c>
      <c r="H4239" s="122" t="s">
        <v>777</v>
      </c>
      <c r="I4239" s="312">
        <v>2022</v>
      </c>
      <c r="J4239" s="122" t="s">
        <v>713</v>
      </c>
      <c r="K4239" s="283">
        <v>35546</v>
      </c>
      <c r="L4239" s="318">
        <v>-33.454524999999997</v>
      </c>
      <c r="M4239" s="318">
        <v>151.206726</v>
      </c>
      <c r="O4239">
        <f>INDEX('MEC - traffic congestion'!$M$145:$M$249,MATCH($D4239,'MEC - traffic congestion'!$C$145:$C$249,0))</f>
        <v>1</v>
      </c>
      <c r="P4239" t="str">
        <f t="shared" si="191"/>
        <v>2022WEEKENDS</v>
      </c>
      <c r="Q4239">
        <f t="shared" si="192"/>
        <v>1</v>
      </c>
      <c r="R4239" s="195" t="str">
        <f t="shared" si="193"/>
        <v>2022LIGHT VEHICLES</v>
      </c>
    </row>
    <row r="4240" spans="3:18" x14ac:dyDescent="0.25">
      <c r="C4240" s="294" t="s">
        <v>1024</v>
      </c>
      <c r="D4240" s="317" t="s">
        <v>758</v>
      </c>
      <c r="E4240" s="122" t="s">
        <v>977</v>
      </c>
      <c r="F4240" s="122" t="s">
        <v>1005</v>
      </c>
      <c r="G4240" s="122" t="s">
        <v>776</v>
      </c>
      <c r="H4240" s="122" t="s">
        <v>777</v>
      </c>
      <c r="I4240" s="312">
        <v>2023</v>
      </c>
      <c r="J4240" s="122" t="s">
        <v>709</v>
      </c>
      <c r="K4240" s="283">
        <v>6212</v>
      </c>
      <c r="L4240" s="318">
        <v>-33.454524999999997</v>
      </c>
      <c r="M4240" s="318">
        <v>151.206726</v>
      </c>
      <c r="O4240">
        <f>INDEX('MEC - traffic congestion'!$M$145:$M$249,MATCH($D4240,'MEC - traffic congestion'!$C$145:$C$249,0))</f>
        <v>1</v>
      </c>
      <c r="P4240" t="str">
        <f t="shared" si="191"/>
        <v>2023AM PEAK</v>
      </c>
      <c r="Q4240">
        <f t="shared" si="192"/>
        <v>1</v>
      </c>
      <c r="R4240" s="195" t="str">
        <f t="shared" si="193"/>
        <v>2023LIGHT VEHICLES</v>
      </c>
    </row>
    <row r="4241" spans="3:18" x14ac:dyDescent="0.25">
      <c r="C4241" s="294" t="s">
        <v>1024</v>
      </c>
      <c r="D4241" s="317" t="s">
        <v>758</v>
      </c>
      <c r="E4241" s="122" t="s">
        <v>977</v>
      </c>
      <c r="F4241" s="122" t="s">
        <v>1005</v>
      </c>
      <c r="G4241" s="122" t="s">
        <v>778</v>
      </c>
      <c r="H4241" s="122" t="s">
        <v>777</v>
      </c>
      <c r="I4241" s="312">
        <v>2023</v>
      </c>
      <c r="J4241" s="122" t="s">
        <v>709</v>
      </c>
      <c r="K4241" s="283">
        <v>9502</v>
      </c>
      <c r="L4241" s="318">
        <v>-33.454524999999997</v>
      </c>
      <c r="M4241" s="318">
        <v>151.206726</v>
      </c>
      <c r="O4241">
        <f>INDEX('MEC - traffic congestion'!$M$145:$M$249,MATCH($D4241,'MEC - traffic congestion'!$C$145:$C$249,0))</f>
        <v>1</v>
      </c>
      <c r="P4241" t="str">
        <f t="shared" si="191"/>
        <v>2023AM PEAK</v>
      </c>
      <c r="Q4241">
        <f t="shared" si="192"/>
        <v>1</v>
      </c>
      <c r="R4241" s="195" t="str">
        <f t="shared" si="193"/>
        <v>2023LIGHT VEHICLES</v>
      </c>
    </row>
    <row r="4242" spans="3:18" x14ac:dyDescent="0.25">
      <c r="C4242" s="294" t="s">
        <v>1024</v>
      </c>
      <c r="D4242" s="317" t="s">
        <v>758</v>
      </c>
      <c r="E4242" s="122" t="s">
        <v>977</v>
      </c>
      <c r="F4242" s="122" t="s">
        <v>1005</v>
      </c>
      <c r="G4242" s="122" t="s">
        <v>776</v>
      </c>
      <c r="H4242" s="122" t="s">
        <v>777</v>
      </c>
      <c r="I4242" s="312">
        <v>2023</v>
      </c>
      <c r="J4242" s="122" t="s">
        <v>710</v>
      </c>
      <c r="K4242" s="283">
        <v>15618</v>
      </c>
      <c r="L4242" s="318">
        <v>-33.454524999999997</v>
      </c>
      <c r="M4242" s="318">
        <v>151.206726</v>
      </c>
      <c r="O4242">
        <f>INDEX('MEC - traffic congestion'!$M$145:$M$249,MATCH($D4242,'MEC - traffic congestion'!$C$145:$C$249,0))</f>
        <v>1</v>
      </c>
      <c r="P4242" t="str">
        <f t="shared" si="191"/>
        <v>2023OFF PEAK</v>
      </c>
      <c r="Q4242">
        <f t="shared" si="192"/>
        <v>1</v>
      </c>
      <c r="R4242" s="195" t="str">
        <f t="shared" si="193"/>
        <v>2023LIGHT VEHICLES</v>
      </c>
    </row>
    <row r="4243" spans="3:18" x14ac:dyDescent="0.25">
      <c r="C4243" s="294" t="s">
        <v>1024</v>
      </c>
      <c r="D4243" s="317" t="s">
        <v>758</v>
      </c>
      <c r="E4243" s="122" t="s">
        <v>977</v>
      </c>
      <c r="F4243" s="122" t="s">
        <v>1005</v>
      </c>
      <c r="G4243" s="122" t="s">
        <v>778</v>
      </c>
      <c r="H4243" s="122" t="s">
        <v>777</v>
      </c>
      <c r="I4243" s="312">
        <v>2023</v>
      </c>
      <c r="J4243" s="122" t="s">
        <v>710</v>
      </c>
      <c r="K4243" s="283">
        <v>15238</v>
      </c>
      <c r="L4243" s="318">
        <v>-33.454524999999997</v>
      </c>
      <c r="M4243" s="318">
        <v>151.206726</v>
      </c>
      <c r="O4243">
        <f>INDEX('MEC - traffic congestion'!$M$145:$M$249,MATCH($D4243,'MEC - traffic congestion'!$C$145:$C$249,0))</f>
        <v>1</v>
      </c>
      <c r="P4243" t="str">
        <f t="shared" si="191"/>
        <v>2023OFF PEAK</v>
      </c>
      <c r="Q4243">
        <f t="shared" si="192"/>
        <v>1</v>
      </c>
      <c r="R4243" s="195" t="str">
        <f t="shared" si="193"/>
        <v>2023LIGHT VEHICLES</v>
      </c>
    </row>
    <row r="4244" spans="3:18" x14ac:dyDescent="0.25">
      <c r="C4244" s="294" t="s">
        <v>1024</v>
      </c>
      <c r="D4244" s="317" t="s">
        <v>758</v>
      </c>
      <c r="E4244" s="122" t="s">
        <v>977</v>
      </c>
      <c r="F4244" s="122" t="s">
        <v>1005</v>
      </c>
      <c r="G4244" s="122" t="s">
        <v>776</v>
      </c>
      <c r="H4244" s="122" t="s">
        <v>777</v>
      </c>
      <c r="I4244" s="312">
        <v>2023</v>
      </c>
      <c r="J4244" s="122" t="s">
        <v>711</v>
      </c>
      <c r="K4244" s="283">
        <v>11376</v>
      </c>
      <c r="L4244" s="318">
        <v>-33.454524999999997</v>
      </c>
      <c r="M4244" s="318">
        <v>151.206726</v>
      </c>
      <c r="O4244">
        <f>INDEX('MEC - traffic congestion'!$M$145:$M$249,MATCH($D4244,'MEC - traffic congestion'!$C$145:$C$249,0))</f>
        <v>1</v>
      </c>
      <c r="P4244" t="str">
        <f t="shared" si="191"/>
        <v>2023PM PEAK</v>
      </c>
      <c r="Q4244">
        <f t="shared" si="192"/>
        <v>1</v>
      </c>
      <c r="R4244" s="195" t="str">
        <f t="shared" si="193"/>
        <v>2023LIGHT VEHICLES</v>
      </c>
    </row>
    <row r="4245" spans="3:18" x14ac:dyDescent="0.25">
      <c r="C4245" s="294" t="s">
        <v>1024</v>
      </c>
      <c r="D4245" s="317" t="s">
        <v>758</v>
      </c>
      <c r="E4245" s="122" t="s">
        <v>977</v>
      </c>
      <c r="F4245" s="122" t="s">
        <v>1005</v>
      </c>
      <c r="G4245" s="122" t="s">
        <v>778</v>
      </c>
      <c r="H4245" s="122" t="s">
        <v>777</v>
      </c>
      <c r="I4245" s="312">
        <v>2023</v>
      </c>
      <c r="J4245" s="122" t="s">
        <v>711</v>
      </c>
      <c r="K4245" s="283">
        <v>7490</v>
      </c>
      <c r="L4245" s="318">
        <v>-33.454524999999997</v>
      </c>
      <c r="M4245" s="318">
        <v>151.206726</v>
      </c>
      <c r="O4245">
        <f>INDEX('MEC - traffic congestion'!$M$145:$M$249,MATCH($D4245,'MEC - traffic congestion'!$C$145:$C$249,0))</f>
        <v>1</v>
      </c>
      <c r="P4245" t="str">
        <f t="shared" ref="P4245:P4308" si="194">IF($O4245=1,$I4245&amp;$J4245,"")</f>
        <v>2023PM PEAK</v>
      </c>
      <c r="Q4245">
        <f t="shared" ref="Q4245:Q4308" si="195">IF(AND($M4245&gt;150.246,AND($L4245&gt;-34.397,$L4245&lt;-32.662)),1,0)</f>
        <v>1</v>
      </c>
      <c r="R4245" s="195" t="str">
        <f t="shared" ref="R4245:R4308" si="196">IF($O4245=1,$I4245&amp;$H4245,"")</f>
        <v>2023LIGHT VEHICLES</v>
      </c>
    </row>
    <row r="4246" spans="3:18" x14ac:dyDescent="0.25">
      <c r="C4246" s="294" t="s">
        <v>1024</v>
      </c>
      <c r="D4246" s="317" t="s">
        <v>758</v>
      </c>
      <c r="E4246" s="122" t="s">
        <v>977</v>
      </c>
      <c r="F4246" s="122" t="s">
        <v>1005</v>
      </c>
      <c r="G4246" s="122" t="s">
        <v>776</v>
      </c>
      <c r="H4246" s="122" t="s">
        <v>777</v>
      </c>
      <c r="I4246" s="312">
        <v>2023</v>
      </c>
      <c r="J4246" s="122" t="s">
        <v>713</v>
      </c>
      <c r="K4246" s="283">
        <v>35722</v>
      </c>
      <c r="L4246" s="318">
        <v>-33.454524999999997</v>
      </c>
      <c r="M4246" s="318">
        <v>151.206726</v>
      </c>
      <c r="O4246">
        <f>INDEX('MEC - traffic congestion'!$M$145:$M$249,MATCH($D4246,'MEC - traffic congestion'!$C$145:$C$249,0))</f>
        <v>1</v>
      </c>
      <c r="P4246" t="str">
        <f t="shared" si="194"/>
        <v>2023WEEKENDS</v>
      </c>
      <c r="Q4246">
        <f t="shared" si="195"/>
        <v>1</v>
      </c>
      <c r="R4246" s="195" t="str">
        <f t="shared" si="196"/>
        <v>2023LIGHT VEHICLES</v>
      </c>
    </row>
    <row r="4247" spans="3:18" x14ac:dyDescent="0.25">
      <c r="C4247" s="294" t="s">
        <v>1024</v>
      </c>
      <c r="D4247" s="317" t="s">
        <v>758</v>
      </c>
      <c r="E4247" s="122" t="s">
        <v>977</v>
      </c>
      <c r="F4247" s="122" t="s">
        <v>1005</v>
      </c>
      <c r="G4247" s="122" t="s">
        <v>778</v>
      </c>
      <c r="H4247" s="122" t="s">
        <v>777</v>
      </c>
      <c r="I4247" s="312">
        <v>2023</v>
      </c>
      <c r="J4247" s="122" t="s">
        <v>713</v>
      </c>
      <c r="K4247" s="283">
        <v>37539</v>
      </c>
      <c r="L4247" s="318">
        <v>-33.454524999999997</v>
      </c>
      <c r="M4247" s="318">
        <v>151.206726</v>
      </c>
      <c r="O4247">
        <f>INDEX('MEC - traffic congestion'!$M$145:$M$249,MATCH($D4247,'MEC - traffic congestion'!$C$145:$C$249,0))</f>
        <v>1</v>
      </c>
      <c r="P4247" t="str">
        <f t="shared" si="194"/>
        <v>2023WEEKENDS</v>
      </c>
      <c r="Q4247">
        <f t="shared" si="195"/>
        <v>1</v>
      </c>
      <c r="R4247" s="195" t="str">
        <f t="shared" si="196"/>
        <v>2023LIGHT VEHICLES</v>
      </c>
    </row>
    <row r="4248" spans="3:18" x14ac:dyDescent="0.25">
      <c r="C4248" s="294" t="s">
        <v>1024</v>
      </c>
      <c r="D4248" s="317" t="s">
        <v>758</v>
      </c>
      <c r="E4248" s="122" t="s">
        <v>977</v>
      </c>
      <c r="F4248" s="122" t="s">
        <v>1005</v>
      </c>
      <c r="G4248" s="122" t="s">
        <v>776</v>
      </c>
      <c r="H4248" s="122" t="s">
        <v>777</v>
      </c>
      <c r="I4248" s="312">
        <v>2024</v>
      </c>
      <c r="J4248" s="122" t="s">
        <v>709</v>
      </c>
      <c r="K4248" s="283">
        <v>6394</v>
      </c>
      <c r="L4248" s="318">
        <v>-33.454524999999997</v>
      </c>
      <c r="M4248" s="318">
        <v>151.206726</v>
      </c>
      <c r="O4248">
        <f>INDEX('MEC - traffic congestion'!$M$145:$M$249,MATCH($D4248,'MEC - traffic congestion'!$C$145:$C$249,0))</f>
        <v>1</v>
      </c>
      <c r="P4248" t="str">
        <f t="shared" si="194"/>
        <v>2024AM PEAK</v>
      </c>
      <c r="Q4248">
        <f t="shared" si="195"/>
        <v>1</v>
      </c>
      <c r="R4248" s="195" t="str">
        <f t="shared" si="196"/>
        <v>2024LIGHT VEHICLES</v>
      </c>
    </row>
    <row r="4249" spans="3:18" x14ac:dyDescent="0.25">
      <c r="C4249" s="294" t="s">
        <v>1024</v>
      </c>
      <c r="D4249" s="317" t="s">
        <v>758</v>
      </c>
      <c r="E4249" s="122" t="s">
        <v>977</v>
      </c>
      <c r="F4249" s="122" t="s">
        <v>1005</v>
      </c>
      <c r="G4249" s="122" t="s">
        <v>778</v>
      </c>
      <c r="H4249" s="122" t="s">
        <v>777</v>
      </c>
      <c r="I4249" s="312">
        <v>2024</v>
      </c>
      <c r="J4249" s="122" t="s">
        <v>709</v>
      </c>
      <c r="K4249" s="283">
        <v>9405</v>
      </c>
      <c r="L4249" s="318">
        <v>-33.454524999999997</v>
      </c>
      <c r="M4249" s="318">
        <v>151.206726</v>
      </c>
      <c r="O4249">
        <f>INDEX('MEC - traffic congestion'!$M$145:$M$249,MATCH($D4249,'MEC - traffic congestion'!$C$145:$C$249,0))</f>
        <v>1</v>
      </c>
      <c r="P4249" t="str">
        <f t="shared" si="194"/>
        <v>2024AM PEAK</v>
      </c>
      <c r="Q4249">
        <f t="shared" si="195"/>
        <v>1</v>
      </c>
      <c r="R4249" s="195" t="str">
        <f t="shared" si="196"/>
        <v>2024LIGHT VEHICLES</v>
      </c>
    </row>
    <row r="4250" spans="3:18" x14ac:dyDescent="0.25">
      <c r="C4250" s="294" t="s">
        <v>1024</v>
      </c>
      <c r="D4250" s="317" t="s">
        <v>758</v>
      </c>
      <c r="E4250" s="122" t="s">
        <v>977</v>
      </c>
      <c r="F4250" s="122" t="s">
        <v>1005</v>
      </c>
      <c r="G4250" s="122" t="s">
        <v>776</v>
      </c>
      <c r="H4250" s="122" t="s">
        <v>777</v>
      </c>
      <c r="I4250" s="312">
        <v>2024</v>
      </c>
      <c r="J4250" s="122" t="s">
        <v>710</v>
      </c>
      <c r="K4250" s="283">
        <v>16343</v>
      </c>
      <c r="L4250" s="318">
        <v>-33.454524999999997</v>
      </c>
      <c r="M4250" s="318">
        <v>151.206726</v>
      </c>
      <c r="O4250">
        <f>INDEX('MEC - traffic congestion'!$M$145:$M$249,MATCH($D4250,'MEC - traffic congestion'!$C$145:$C$249,0))</f>
        <v>1</v>
      </c>
      <c r="P4250" t="str">
        <f t="shared" si="194"/>
        <v>2024OFF PEAK</v>
      </c>
      <c r="Q4250">
        <f t="shared" si="195"/>
        <v>1</v>
      </c>
      <c r="R4250" s="195" t="str">
        <f t="shared" si="196"/>
        <v>2024LIGHT VEHICLES</v>
      </c>
    </row>
    <row r="4251" spans="3:18" x14ac:dyDescent="0.25">
      <c r="C4251" s="294" t="s">
        <v>1024</v>
      </c>
      <c r="D4251" s="317" t="s">
        <v>758</v>
      </c>
      <c r="E4251" s="122" t="s">
        <v>977</v>
      </c>
      <c r="F4251" s="122" t="s">
        <v>1005</v>
      </c>
      <c r="G4251" s="122" t="s">
        <v>778</v>
      </c>
      <c r="H4251" s="122" t="s">
        <v>777</v>
      </c>
      <c r="I4251" s="312">
        <v>2024</v>
      </c>
      <c r="J4251" s="122" t="s">
        <v>710</v>
      </c>
      <c r="K4251" s="283">
        <v>15947</v>
      </c>
      <c r="L4251" s="318">
        <v>-33.454524999999997</v>
      </c>
      <c r="M4251" s="318">
        <v>151.206726</v>
      </c>
      <c r="O4251">
        <f>INDEX('MEC - traffic congestion'!$M$145:$M$249,MATCH($D4251,'MEC - traffic congestion'!$C$145:$C$249,0))</f>
        <v>1</v>
      </c>
      <c r="P4251" t="str">
        <f t="shared" si="194"/>
        <v>2024OFF PEAK</v>
      </c>
      <c r="Q4251">
        <f t="shared" si="195"/>
        <v>1</v>
      </c>
      <c r="R4251" s="195" t="str">
        <f t="shared" si="196"/>
        <v>2024LIGHT VEHICLES</v>
      </c>
    </row>
    <row r="4252" spans="3:18" x14ac:dyDescent="0.25">
      <c r="C4252" s="294" t="s">
        <v>1024</v>
      </c>
      <c r="D4252" s="317" t="s">
        <v>758</v>
      </c>
      <c r="E4252" s="122" t="s">
        <v>977</v>
      </c>
      <c r="F4252" s="122" t="s">
        <v>1005</v>
      </c>
      <c r="G4252" s="122" t="s">
        <v>776</v>
      </c>
      <c r="H4252" s="122" t="s">
        <v>777</v>
      </c>
      <c r="I4252" s="312">
        <v>2024</v>
      </c>
      <c r="J4252" s="122" t="s">
        <v>711</v>
      </c>
      <c r="K4252" s="283">
        <v>11047</v>
      </c>
      <c r="L4252" s="318">
        <v>-33.454524999999997</v>
      </c>
      <c r="M4252" s="318">
        <v>151.206726</v>
      </c>
      <c r="O4252">
        <f>INDEX('MEC - traffic congestion'!$M$145:$M$249,MATCH($D4252,'MEC - traffic congestion'!$C$145:$C$249,0))</f>
        <v>1</v>
      </c>
      <c r="P4252" t="str">
        <f t="shared" si="194"/>
        <v>2024PM PEAK</v>
      </c>
      <c r="Q4252">
        <f t="shared" si="195"/>
        <v>1</v>
      </c>
      <c r="R4252" s="195" t="str">
        <f t="shared" si="196"/>
        <v>2024LIGHT VEHICLES</v>
      </c>
    </row>
    <row r="4253" spans="3:18" x14ac:dyDescent="0.25">
      <c r="C4253" s="294" t="s">
        <v>1024</v>
      </c>
      <c r="D4253" s="317" t="s">
        <v>758</v>
      </c>
      <c r="E4253" s="122" t="s">
        <v>977</v>
      </c>
      <c r="F4253" s="122" t="s">
        <v>1005</v>
      </c>
      <c r="G4253" s="122" t="s">
        <v>778</v>
      </c>
      <c r="H4253" s="122" t="s">
        <v>777</v>
      </c>
      <c r="I4253" s="312">
        <v>2024</v>
      </c>
      <c r="J4253" s="122" t="s">
        <v>711</v>
      </c>
      <c r="K4253" s="283">
        <v>7988</v>
      </c>
      <c r="L4253" s="318">
        <v>-33.454524999999997</v>
      </c>
      <c r="M4253" s="318">
        <v>151.206726</v>
      </c>
      <c r="O4253">
        <f>INDEX('MEC - traffic congestion'!$M$145:$M$249,MATCH($D4253,'MEC - traffic congestion'!$C$145:$C$249,0))</f>
        <v>1</v>
      </c>
      <c r="P4253" t="str">
        <f t="shared" si="194"/>
        <v>2024PM PEAK</v>
      </c>
      <c r="Q4253">
        <f t="shared" si="195"/>
        <v>1</v>
      </c>
      <c r="R4253" s="195" t="str">
        <f t="shared" si="196"/>
        <v>2024LIGHT VEHICLES</v>
      </c>
    </row>
    <row r="4254" spans="3:18" x14ac:dyDescent="0.25">
      <c r="C4254" s="294" t="s">
        <v>1024</v>
      </c>
      <c r="D4254" s="317" t="s">
        <v>758</v>
      </c>
      <c r="E4254" s="122" t="s">
        <v>977</v>
      </c>
      <c r="F4254" s="122" t="s">
        <v>1005</v>
      </c>
      <c r="G4254" s="122" t="s">
        <v>776</v>
      </c>
      <c r="H4254" s="122" t="s">
        <v>777</v>
      </c>
      <c r="I4254" s="312">
        <v>2024</v>
      </c>
      <c r="J4254" s="122" t="s">
        <v>713</v>
      </c>
      <c r="K4254" s="283">
        <v>37002</v>
      </c>
      <c r="L4254" s="318">
        <v>-33.454524999999997</v>
      </c>
      <c r="M4254" s="318">
        <v>151.206726</v>
      </c>
      <c r="O4254">
        <f>INDEX('MEC - traffic congestion'!$M$145:$M$249,MATCH($D4254,'MEC - traffic congestion'!$C$145:$C$249,0))</f>
        <v>1</v>
      </c>
      <c r="P4254" t="str">
        <f t="shared" si="194"/>
        <v>2024WEEKENDS</v>
      </c>
      <c r="Q4254">
        <f t="shared" si="195"/>
        <v>1</v>
      </c>
      <c r="R4254" s="195" t="str">
        <f t="shared" si="196"/>
        <v>2024LIGHT VEHICLES</v>
      </c>
    </row>
    <row r="4255" spans="3:18" x14ac:dyDescent="0.25">
      <c r="C4255" s="294" t="s">
        <v>1024</v>
      </c>
      <c r="D4255" s="317" t="s">
        <v>758</v>
      </c>
      <c r="E4255" s="122" t="s">
        <v>977</v>
      </c>
      <c r="F4255" s="122" t="s">
        <v>1005</v>
      </c>
      <c r="G4255" s="122" t="s">
        <v>778</v>
      </c>
      <c r="H4255" s="122" t="s">
        <v>777</v>
      </c>
      <c r="I4255" s="312">
        <v>2024</v>
      </c>
      <c r="J4255" s="122" t="s">
        <v>713</v>
      </c>
      <c r="K4255" s="283">
        <v>40834</v>
      </c>
      <c r="L4255" s="318">
        <v>-33.454524999999997</v>
      </c>
      <c r="M4255" s="318">
        <v>151.206726</v>
      </c>
      <c r="O4255">
        <f>INDEX('MEC - traffic congestion'!$M$145:$M$249,MATCH($D4255,'MEC - traffic congestion'!$C$145:$C$249,0))</f>
        <v>1</v>
      </c>
      <c r="P4255" t="str">
        <f t="shared" si="194"/>
        <v>2024WEEKENDS</v>
      </c>
      <c r="Q4255">
        <f t="shared" si="195"/>
        <v>1</v>
      </c>
      <c r="R4255" s="195" t="str">
        <f t="shared" si="196"/>
        <v>2024LIGHT VEHICLES</v>
      </c>
    </row>
    <row r="4256" spans="3:18" x14ac:dyDescent="0.25">
      <c r="C4256" s="294" t="s">
        <v>1025</v>
      </c>
      <c r="D4256" s="317" t="s">
        <v>759</v>
      </c>
      <c r="E4256" s="122" t="s">
        <v>1026</v>
      </c>
      <c r="F4256" s="122" t="s">
        <v>975</v>
      </c>
      <c r="G4256" s="122" t="s">
        <v>785</v>
      </c>
      <c r="H4256" s="122" t="s">
        <v>777</v>
      </c>
      <c r="I4256" s="312">
        <v>2018</v>
      </c>
      <c r="J4256" s="122" t="s">
        <v>709</v>
      </c>
      <c r="K4256" s="283">
        <v>693</v>
      </c>
      <c r="L4256" s="318">
        <v>-34.313366000000002</v>
      </c>
      <c r="M4256" s="318">
        <v>150.58601400000001</v>
      </c>
      <c r="O4256">
        <f>INDEX('MEC - traffic congestion'!$M$145:$M$249,MATCH($D4256,'MEC - traffic congestion'!$C$145:$C$249,0))</f>
        <v>1</v>
      </c>
      <c r="P4256" t="str">
        <f t="shared" si="194"/>
        <v>2018AM PEAK</v>
      </c>
      <c r="Q4256">
        <f t="shared" si="195"/>
        <v>1</v>
      </c>
      <c r="R4256" s="195" t="str">
        <f t="shared" si="196"/>
        <v>2018LIGHT VEHICLES</v>
      </c>
    </row>
    <row r="4257" spans="3:18" x14ac:dyDescent="0.25">
      <c r="C4257" s="294" t="s">
        <v>1025</v>
      </c>
      <c r="D4257" s="317" t="s">
        <v>759</v>
      </c>
      <c r="E4257" s="122" t="s">
        <v>1026</v>
      </c>
      <c r="F4257" s="122" t="s">
        <v>975</v>
      </c>
      <c r="G4257" s="122" t="s">
        <v>786</v>
      </c>
      <c r="H4257" s="122" t="s">
        <v>777</v>
      </c>
      <c r="I4257" s="312">
        <v>2018</v>
      </c>
      <c r="J4257" s="122" t="s">
        <v>709</v>
      </c>
      <c r="K4257" s="283">
        <v>479</v>
      </c>
      <c r="L4257" s="318">
        <v>-34.313366000000002</v>
      </c>
      <c r="M4257" s="318">
        <v>150.58601400000001</v>
      </c>
      <c r="O4257">
        <f>INDEX('MEC - traffic congestion'!$M$145:$M$249,MATCH($D4257,'MEC - traffic congestion'!$C$145:$C$249,0))</f>
        <v>1</v>
      </c>
      <c r="P4257" t="str">
        <f t="shared" si="194"/>
        <v>2018AM PEAK</v>
      </c>
      <c r="Q4257">
        <f t="shared" si="195"/>
        <v>1</v>
      </c>
      <c r="R4257" s="195" t="str">
        <f t="shared" si="196"/>
        <v>2018LIGHT VEHICLES</v>
      </c>
    </row>
    <row r="4258" spans="3:18" x14ac:dyDescent="0.25">
      <c r="C4258" s="294" t="s">
        <v>1025</v>
      </c>
      <c r="D4258" s="317" t="s">
        <v>759</v>
      </c>
      <c r="E4258" s="122" t="s">
        <v>1026</v>
      </c>
      <c r="F4258" s="122" t="s">
        <v>975</v>
      </c>
      <c r="G4258" s="122" t="s">
        <v>785</v>
      </c>
      <c r="H4258" s="122" t="s">
        <v>777</v>
      </c>
      <c r="I4258" s="312">
        <v>2018</v>
      </c>
      <c r="J4258" s="122" t="s">
        <v>710</v>
      </c>
      <c r="K4258" s="283">
        <v>959</v>
      </c>
      <c r="L4258" s="318">
        <v>-34.313366000000002</v>
      </c>
      <c r="M4258" s="318">
        <v>150.58601400000001</v>
      </c>
      <c r="O4258">
        <f>INDEX('MEC - traffic congestion'!$M$145:$M$249,MATCH($D4258,'MEC - traffic congestion'!$C$145:$C$249,0))</f>
        <v>1</v>
      </c>
      <c r="P4258" t="str">
        <f t="shared" si="194"/>
        <v>2018OFF PEAK</v>
      </c>
      <c r="Q4258">
        <f t="shared" si="195"/>
        <v>1</v>
      </c>
      <c r="R4258" s="195" t="str">
        <f t="shared" si="196"/>
        <v>2018LIGHT VEHICLES</v>
      </c>
    </row>
    <row r="4259" spans="3:18" x14ac:dyDescent="0.25">
      <c r="C4259" s="294" t="s">
        <v>1025</v>
      </c>
      <c r="D4259" s="317" t="s">
        <v>759</v>
      </c>
      <c r="E4259" s="122" t="s">
        <v>1026</v>
      </c>
      <c r="F4259" s="122" t="s">
        <v>975</v>
      </c>
      <c r="G4259" s="122" t="s">
        <v>786</v>
      </c>
      <c r="H4259" s="122" t="s">
        <v>777</v>
      </c>
      <c r="I4259" s="312">
        <v>2018</v>
      </c>
      <c r="J4259" s="122" t="s">
        <v>710</v>
      </c>
      <c r="K4259" s="283">
        <v>1023</v>
      </c>
      <c r="L4259" s="318">
        <v>-34.313366000000002</v>
      </c>
      <c r="M4259" s="318">
        <v>150.58601400000001</v>
      </c>
      <c r="O4259">
        <f>INDEX('MEC - traffic congestion'!$M$145:$M$249,MATCH($D4259,'MEC - traffic congestion'!$C$145:$C$249,0))</f>
        <v>1</v>
      </c>
      <c r="P4259" t="str">
        <f t="shared" si="194"/>
        <v>2018OFF PEAK</v>
      </c>
      <c r="Q4259">
        <f t="shared" si="195"/>
        <v>1</v>
      </c>
      <c r="R4259" s="195" t="str">
        <f t="shared" si="196"/>
        <v>2018LIGHT VEHICLES</v>
      </c>
    </row>
    <row r="4260" spans="3:18" x14ac:dyDescent="0.25">
      <c r="C4260" s="294" t="s">
        <v>1025</v>
      </c>
      <c r="D4260" s="317" t="s">
        <v>759</v>
      </c>
      <c r="E4260" s="122" t="s">
        <v>1026</v>
      </c>
      <c r="F4260" s="122" t="s">
        <v>975</v>
      </c>
      <c r="G4260" s="122" t="s">
        <v>785</v>
      </c>
      <c r="H4260" s="122" t="s">
        <v>777</v>
      </c>
      <c r="I4260" s="312">
        <v>2018</v>
      </c>
      <c r="J4260" s="122" t="s">
        <v>711</v>
      </c>
      <c r="K4260" s="283">
        <v>619</v>
      </c>
      <c r="L4260" s="318">
        <v>-34.313366000000002</v>
      </c>
      <c r="M4260" s="318">
        <v>150.58601400000001</v>
      </c>
      <c r="O4260">
        <f>INDEX('MEC - traffic congestion'!$M$145:$M$249,MATCH($D4260,'MEC - traffic congestion'!$C$145:$C$249,0))</f>
        <v>1</v>
      </c>
      <c r="P4260" t="str">
        <f t="shared" si="194"/>
        <v>2018PM PEAK</v>
      </c>
      <c r="Q4260">
        <f t="shared" si="195"/>
        <v>1</v>
      </c>
      <c r="R4260" s="195" t="str">
        <f t="shared" si="196"/>
        <v>2018LIGHT VEHICLES</v>
      </c>
    </row>
    <row r="4261" spans="3:18" x14ac:dyDescent="0.25">
      <c r="C4261" s="294" t="s">
        <v>1025</v>
      </c>
      <c r="D4261" s="317" t="s">
        <v>759</v>
      </c>
      <c r="E4261" s="122" t="s">
        <v>1026</v>
      </c>
      <c r="F4261" s="122" t="s">
        <v>975</v>
      </c>
      <c r="G4261" s="122" t="s">
        <v>786</v>
      </c>
      <c r="H4261" s="122" t="s">
        <v>777</v>
      </c>
      <c r="I4261" s="312">
        <v>2018</v>
      </c>
      <c r="J4261" s="122" t="s">
        <v>711</v>
      </c>
      <c r="K4261" s="283">
        <v>781</v>
      </c>
      <c r="L4261" s="318">
        <v>-34.313366000000002</v>
      </c>
      <c r="M4261" s="318">
        <v>150.58601400000001</v>
      </c>
      <c r="O4261">
        <f>INDEX('MEC - traffic congestion'!$M$145:$M$249,MATCH($D4261,'MEC - traffic congestion'!$C$145:$C$249,0))</f>
        <v>1</v>
      </c>
      <c r="P4261" t="str">
        <f t="shared" si="194"/>
        <v>2018PM PEAK</v>
      </c>
      <c r="Q4261">
        <f t="shared" si="195"/>
        <v>1</v>
      </c>
      <c r="R4261" s="195" t="str">
        <f t="shared" si="196"/>
        <v>2018LIGHT VEHICLES</v>
      </c>
    </row>
    <row r="4262" spans="3:18" x14ac:dyDescent="0.25">
      <c r="C4262" s="294" t="s">
        <v>1025</v>
      </c>
      <c r="D4262" s="317" t="s">
        <v>759</v>
      </c>
      <c r="E4262" s="122" t="s">
        <v>1026</v>
      </c>
      <c r="F4262" s="122" t="s">
        <v>975</v>
      </c>
      <c r="G4262" s="122" t="s">
        <v>785</v>
      </c>
      <c r="H4262" s="122" t="s">
        <v>777</v>
      </c>
      <c r="I4262" s="312">
        <v>2018</v>
      </c>
      <c r="J4262" s="122" t="s">
        <v>712</v>
      </c>
      <c r="K4262" s="283">
        <v>1596</v>
      </c>
      <c r="L4262" s="318">
        <v>-34.313366000000002</v>
      </c>
      <c r="M4262" s="318">
        <v>150.58601400000001</v>
      </c>
      <c r="O4262">
        <f>INDEX('MEC - traffic congestion'!$M$145:$M$249,MATCH($D4262,'MEC - traffic congestion'!$C$145:$C$249,0))</f>
        <v>1</v>
      </c>
      <c r="P4262" t="str">
        <f t="shared" si="194"/>
        <v>2018PUBLIC HOLIDAYS</v>
      </c>
      <c r="Q4262">
        <f t="shared" si="195"/>
        <v>1</v>
      </c>
      <c r="R4262" s="195" t="str">
        <f t="shared" si="196"/>
        <v>2018LIGHT VEHICLES</v>
      </c>
    </row>
    <row r="4263" spans="3:18" x14ac:dyDescent="0.25">
      <c r="C4263" s="294" t="s">
        <v>1025</v>
      </c>
      <c r="D4263" s="317" t="s">
        <v>759</v>
      </c>
      <c r="E4263" s="122" t="s">
        <v>1026</v>
      </c>
      <c r="F4263" s="122" t="s">
        <v>975</v>
      </c>
      <c r="G4263" s="122" t="s">
        <v>786</v>
      </c>
      <c r="H4263" s="122" t="s">
        <v>777</v>
      </c>
      <c r="I4263" s="312">
        <v>2018</v>
      </c>
      <c r="J4263" s="122" t="s">
        <v>712</v>
      </c>
      <c r="K4263" s="283">
        <v>1964</v>
      </c>
      <c r="L4263" s="318">
        <v>-34.313366000000002</v>
      </c>
      <c r="M4263" s="318">
        <v>150.58601400000001</v>
      </c>
      <c r="O4263">
        <f>INDEX('MEC - traffic congestion'!$M$145:$M$249,MATCH($D4263,'MEC - traffic congestion'!$C$145:$C$249,0))</f>
        <v>1</v>
      </c>
      <c r="P4263" t="str">
        <f t="shared" si="194"/>
        <v>2018PUBLIC HOLIDAYS</v>
      </c>
      <c r="Q4263">
        <f t="shared" si="195"/>
        <v>1</v>
      </c>
      <c r="R4263" s="195" t="str">
        <f t="shared" si="196"/>
        <v>2018LIGHT VEHICLES</v>
      </c>
    </row>
    <row r="4264" spans="3:18" x14ac:dyDescent="0.25">
      <c r="C4264" s="294" t="s">
        <v>1025</v>
      </c>
      <c r="D4264" s="317" t="s">
        <v>759</v>
      </c>
      <c r="E4264" s="122" t="s">
        <v>1026</v>
      </c>
      <c r="F4264" s="122" t="s">
        <v>975</v>
      </c>
      <c r="G4264" s="122" t="s">
        <v>785</v>
      </c>
      <c r="H4264" s="122" t="s">
        <v>777</v>
      </c>
      <c r="I4264" s="312">
        <v>2018</v>
      </c>
      <c r="J4264" s="122" t="s">
        <v>713</v>
      </c>
      <c r="K4264" s="283">
        <v>1892</v>
      </c>
      <c r="L4264" s="318">
        <v>-34.313366000000002</v>
      </c>
      <c r="M4264" s="318">
        <v>150.58601400000001</v>
      </c>
      <c r="O4264">
        <f>INDEX('MEC - traffic congestion'!$M$145:$M$249,MATCH($D4264,'MEC - traffic congestion'!$C$145:$C$249,0))</f>
        <v>1</v>
      </c>
      <c r="P4264" t="str">
        <f t="shared" si="194"/>
        <v>2018WEEKENDS</v>
      </c>
      <c r="Q4264">
        <f t="shared" si="195"/>
        <v>1</v>
      </c>
      <c r="R4264" s="195" t="str">
        <f t="shared" si="196"/>
        <v>2018LIGHT VEHICLES</v>
      </c>
    </row>
    <row r="4265" spans="3:18" x14ac:dyDescent="0.25">
      <c r="C4265" s="294" t="s">
        <v>1025</v>
      </c>
      <c r="D4265" s="317" t="s">
        <v>759</v>
      </c>
      <c r="E4265" s="122" t="s">
        <v>1026</v>
      </c>
      <c r="F4265" s="122" t="s">
        <v>975</v>
      </c>
      <c r="G4265" s="122" t="s">
        <v>786</v>
      </c>
      <c r="H4265" s="122" t="s">
        <v>777</v>
      </c>
      <c r="I4265" s="312">
        <v>2018</v>
      </c>
      <c r="J4265" s="122" t="s">
        <v>713</v>
      </c>
      <c r="K4265" s="283">
        <v>1981</v>
      </c>
      <c r="L4265" s="318">
        <v>-34.313366000000002</v>
      </c>
      <c r="M4265" s="318">
        <v>150.58601400000001</v>
      </c>
      <c r="O4265">
        <f>INDEX('MEC - traffic congestion'!$M$145:$M$249,MATCH($D4265,'MEC - traffic congestion'!$C$145:$C$249,0))</f>
        <v>1</v>
      </c>
      <c r="P4265" t="str">
        <f t="shared" si="194"/>
        <v>2018WEEKENDS</v>
      </c>
      <c r="Q4265">
        <f t="shared" si="195"/>
        <v>1</v>
      </c>
      <c r="R4265" s="195" t="str">
        <f t="shared" si="196"/>
        <v>2018LIGHT VEHICLES</v>
      </c>
    </row>
    <row r="4266" spans="3:18" x14ac:dyDescent="0.25">
      <c r="C4266" s="294" t="s">
        <v>1025</v>
      </c>
      <c r="D4266" s="317" t="s">
        <v>759</v>
      </c>
      <c r="E4266" s="122" t="s">
        <v>1026</v>
      </c>
      <c r="F4266" s="122" t="s">
        <v>975</v>
      </c>
      <c r="G4266" s="122" t="s">
        <v>785</v>
      </c>
      <c r="H4266" s="122" t="s">
        <v>777</v>
      </c>
      <c r="I4266" s="312">
        <v>2019</v>
      </c>
      <c r="J4266" s="122" t="s">
        <v>709</v>
      </c>
      <c r="K4266" s="283">
        <v>721</v>
      </c>
      <c r="L4266" s="318">
        <v>-34.313366000000002</v>
      </c>
      <c r="M4266" s="318">
        <v>150.58601400000001</v>
      </c>
      <c r="O4266">
        <f>INDEX('MEC - traffic congestion'!$M$145:$M$249,MATCH($D4266,'MEC - traffic congestion'!$C$145:$C$249,0))</f>
        <v>1</v>
      </c>
      <c r="P4266" t="str">
        <f t="shared" si="194"/>
        <v>2019AM PEAK</v>
      </c>
      <c r="Q4266">
        <f t="shared" si="195"/>
        <v>1</v>
      </c>
      <c r="R4266" s="195" t="str">
        <f t="shared" si="196"/>
        <v>2019LIGHT VEHICLES</v>
      </c>
    </row>
    <row r="4267" spans="3:18" x14ac:dyDescent="0.25">
      <c r="C4267" s="294" t="s">
        <v>1025</v>
      </c>
      <c r="D4267" s="317" t="s">
        <v>759</v>
      </c>
      <c r="E4267" s="122" t="s">
        <v>1026</v>
      </c>
      <c r="F4267" s="122" t="s">
        <v>975</v>
      </c>
      <c r="G4267" s="122" t="s">
        <v>786</v>
      </c>
      <c r="H4267" s="122" t="s">
        <v>777</v>
      </c>
      <c r="I4267" s="312">
        <v>2019</v>
      </c>
      <c r="J4267" s="122" t="s">
        <v>709</v>
      </c>
      <c r="K4267" s="283">
        <v>483</v>
      </c>
      <c r="L4267" s="318">
        <v>-34.313366000000002</v>
      </c>
      <c r="M4267" s="318">
        <v>150.58601400000001</v>
      </c>
      <c r="O4267">
        <f>INDEX('MEC - traffic congestion'!$M$145:$M$249,MATCH($D4267,'MEC - traffic congestion'!$C$145:$C$249,0))</f>
        <v>1</v>
      </c>
      <c r="P4267" t="str">
        <f t="shared" si="194"/>
        <v>2019AM PEAK</v>
      </c>
      <c r="Q4267">
        <f t="shared" si="195"/>
        <v>1</v>
      </c>
      <c r="R4267" s="195" t="str">
        <f t="shared" si="196"/>
        <v>2019LIGHT VEHICLES</v>
      </c>
    </row>
    <row r="4268" spans="3:18" x14ac:dyDescent="0.25">
      <c r="C4268" s="294" t="s">
        <v>1025</v>
      </c>
      <c r="D4268" s="317" t="s">
        <v>759</v>
      </c>
      <c r="E4268" s="122" t="s">
        <v>1026</v>
      </c>
      <c r="F4268" s="122" t="s">
        <v>975</v>
      </c>
      <c r="G4268" s="122" t="s">
        <v>785</v>
      </c>
      <c r="H4268" s="122" t="s">
        <v>777</v>
      </c>
      <c r="I4268" s="312">
        <v>2019</v>
      </c>
      <c r="J4268" s="122" t="s">
        <v>710</v>
      </c>
      <c r="K4268" s="283">
        <v>1007</v>
      </c>
      <c r="L4268" s="318">
        <v>-34.313366000000002</v>
      </c>
      <c r="M4268" s="318">
        <v>150.58601400000001</v>
      </c>
      <c r="O4268">
        <f>INDEX('MEC - traffic congestion'!$M$145:$M$249,MATCH($D4268,'MEC - traffic congestion'!$C$145:$C$249,0))</f>
        <v>1</v>
      </c>
      <c r="P4268" t="str">
        <f t="shared" si="194"/>
        <v>2019OFF PEAK</v>
      </c>
      <c r="Q4268">
        <f t="shared" si="195"/>
        <v>1</v>
      </c>
      <c r="R4268" s="195" t="str">
        <f t="shared" si="196"/>
        <v>2019LIGHT VEHICLES</v>
      </c>
    </row>
    <row r="4269" spans="3:18" x14ac:dyDescent="0.25">
      <c r="C4269" s="294" t="s">
        <v>1025</v>
      </c>
      <c r="D4269" s="317" t="s">
        <v>759</v>
      </c>
      <c r="E4269" s="122" t="s">
        <v>1026</v>
      </c>
      <c r="F4269" s="122" t="s">
        <v>975</v>
      </c>
      <c r="G4269" s="122" t="s">
        <v>786</v>
      </c>
      <c r="H4269" s="122" t="s">
        <v>777</v>
      </c>
      <c r="I4269" s="312">
        <v>2019</v>
      </c>
      <c r="J4269" s="122" t="s">
        <v>710</v>
      </c>
      <c r="K4269" s="283">
        <v>1047</v>
      </c>
      <c r="L4269" s="318">
        <v>-34.313366000000002</v>
      </c>
      <c r="M4269" s="318">
        <v>150.58601400000001</v>
      </c>
      <c r="O4269">
        <f>INDEX('MEC - traffic congestion'!$M$145:$M$249,MATCH($D4269,'MEC - traffic congestion'!$C$145:$C$249,0))</f>
        <v>1</v>
      </c>
      <c r="P4269" t="str">
        <f t="shared" si="194"/>
        <v>2019OFF PEAK</v>
      </c>
      <c r="Q4269">
        <f t="shared" si="195"/>
        <v>1</v>
      </c>
      <c r="R4269" s="195" t="str">
        <f t="shared" si="196"/>
        <v>2019LIGHT VEHICLES</v>
      </c>
    </row>
    <row r="4270" spans="3:18" x14ac:dyDescent="0.25">
      <c r="C4270" s="294" t="s">
        <v>1025</v>
      </c>
      <c r="D4270" s="317" t="s">
        <v>759</v>
      </c>
      <c r="E4270" s="122" t="s">
        <v>1026</v>
      </c>
      <c r="F4270" s="122" t="s">
        <v>975</v>
      </c>
      <c r="G4270" s="122" t="s">
        <v>785</v>
      </c>
      <c r="H4270" s="122" t="s">
        <v>777</v>
      </c>
      <c r="I4270" s="312">
        <v>2019</v>
      </c>
      <c r="J4270" s="122" t="s">
        <v>711</v>
      </c>
      <c r="K4270" s="283">
        <v>626</v>
      </c>
      <c r="L4270" s="318">
        <v>-34.313366000000002</v>
      </c>
      <c r="M4270" s="318">
        <v>150.58601400000001</v>
      </c>
      <c r="O4270">
        <f>INDEX('MEC - traffic congestion'!$M$145:$M$249,MATCH($D4270,'MEC - traffic congestion'!$C$145:$C$249,0))</f>
        <v>1</v>
      </c>
      <c r="P4270" t="str">
        <f t="shared" si="194"/>
        <v>2019PM PEAK</v>
      </c>
      <c r="Q4270">
        <f t="shared" si="195"/>
        <v>1</v>
      </c>
      <c r="R4270" s="195" t="str">
        <f t="shared" si="196"/>
        <v>2019LIGHT VEHICLES</v>
      </c>
    </row>
    <row r="4271" spans="3:18" x14ac:dyDescent="0.25">
      <c r="C4271" s="294" t="s">
        <v>1025</v>
      </c>
      <c r="D4271" s="317" t="s">
        <v>759</v>
      </c>
      <c r="E4271" s="122" t="s">
        <v>1026</v>
      </c>
      <c r="F4271" s="122" t="s">
        <v>975</v>
      </c>
      <c r="G4271" s="122" t="s">
        <v>786</v>
      </c>
      <c r="H4271" s="122" t="s">
        <v>777</v>
      </c>
      <c r="I4271" s="312">
        <v>2019</v>
      </c>
      <c r="J4271" s="122" t="s">
        <v>711</v>
      </c>
      <c r="K4271" s="283">
        <v>814</v>
      </c>
      <c r="L4271" s="318">
        <v>-34.313366000000002</v>
      </c>
      <c r="M4271" s="318">
        <v>150.58601400000001</v>
      </c>
      <c r="O4271">
        <f>INDEX('MEC - traffic congestion'!$M$145:$M$249,MATCH($D4271,'MEC - traffic congestion'!$C$145:$C$249,0))</f>
        <v>1</v>
      </c>
      <c r="P4271" t="str">
        <f t="shared" si="194"/>
        <v>2019PM PEAK</v>
      </c>
      <c r="Q4271">
        <f t="shared" si="195"/>
        <v>1</v>
      </c>
      <c r="R4271" s="195" t="str">
        <f t="shared" si="196"/>
        <v>2019LIGHT VEHICLES</v>
      </c>
    </row>
    <row r="4272" spans="3:18" x14ac:dyDescent="0.25">
      <c r="C4272" s="294" t="s">
        <v>1025</v>
      </c>
      <c r="D4272" s="317" t="s">
        <v>759</v>
      </c>
      <c r="E4272" s="122" t="s">
        <v>1026</v>
      </c>
      <c r="F4272" s="122" t="s">
        <v>975</v>
      </c>
      <c r="G4272" s="122" t="s">
        <v>785</v>
      </c>
      <c r="H4272" s="122" t="s">
        <v>777</v>
      </c>
      <c r="I4272" s="312">
        <v>2019</v>
      </c>
      <c r="J4272" s="122" t="s">
        <v>712</v>
      </c>
      <c r="K4272" s="283">
        <v>1735</v>
      </c>
      <c r="L4272" s="318">
        <v>-34.313366000000002</v>
      </c>
      <c r="M4272" s="318">
        <v>150.58601400000001</v>
      </c>
      <c r="O4272">
        <f>INDEX('MEC - traffic congestion'!$M$145:$M$249,MATCH($D4272,'MEC - traffic congestion'!$C$145:$C$249,0))</f>
        <v>1</v>
      </c>
      <c r="P4272" t="str">
        <f t="shared" si="194"/>
        <v>2019PUBLIC HOLIDAYS</v>
      </c>
      <c r="Q4272">
        <f t="shared" si="195"/>
        <v>1</v>
      </c>
      <c r="R4272" s="195" t="str">
        <f t="shared" si="196"/>
        <v>2019LIGHT VEHICLES</v>
      </c>
    </row>
    <row r="4273" spans="3:18" x14ac:dyDescent="0.25">
      <c r="C4273" s="294" t="s">
        <v>1025</v>
      </c>
      <c r="D4273" s="317" t="s">
        <v>759</v>
      </c>
      <c r="E4273" s="122" t="s">
        <v>1026</v>
      </c>
      <c r="F4273" s="122" t="s">
        <v>975</v>
      </c>
      <c r="G4273" s="122" t="s">
        <v>786</v>
      </c>
      <c r="H4273" s="122" t="s">
        <v>777</v>
      </c>
      <c r="I4273" s="312">
        <v>2019</v>
      </c>
      <c r="J4273" s="122" t="s">
        <v>712</v>
      </c>
      <c r="K4273" s="283">
        <v>2076</v>
      </c>
      <c r="L4273" s="318">
        <v>-34.313366000000002</v>
      </c>
      <c r="M4273" s="318">
        <v>150.58601400000001</v>
      </c>
      <c r="O4273">
        <f>INDEX('MEC - traffic congestion'!$M$145:$M$249,MATCH($D4273,'MEC - traffic congestion'!$C$145:$C$249,0))</f>
        <v>1</v>
      </c>
      <c r="P4273" t="str">
        <f t="shared" si="194"/>
        <v>2019PUBLIC HOLIDAYS</v>
      </c>
      <c r="Q4273">
        <f t="shared" si="195"/>
        <v>1</v>
      </c>
      <c r="R4273" s="195" t="str">
        <f t="shared" si="196"/>
        <v>2019LIGHT VEHICLES</v>
      </c>
    </row>
    <row r="4274" spans="3:18" x14ac:dyDescent="0.25">
      <c r="C4274" s="294" t="s">
        <v>1025</v>
      </c>
      <c r="D4274" s="317" t="s">
        <v>759</v>
      </c>
      <c r="E4274" s="122" t="s">
        <v>1026</v>
      </c>
      <c r="F4274" s="122" t="s">
        <v>975</v>
      </c>
      <c r="G4274" s="122" t="s">
        <v>785</v>
      </c>
      <c r="H4274" s="122" t="s">
        <v>777</v>
      </c>
      <c r="I4274" s="312">
        <v>2019</v>
      </c>
      <c r="J4274" s="122" t="s">
        <v>713</v>
      </c>
      <c r="K4274" s="283">
        <v>1933</v>
      </c>
      <c r="L4274" s="318">
        <v>-34.313366000000002</v>
      </c>
      <c r="M4274" s="318">
        <v>150.58601400000001</v>
      </c>
      <c r="O4274">
        <f>INDEX('MEC - traffic congestion'!$M$145:$M$249,MATCH($D4274,'MEC - traffic congestion'!$C$145:$C$249,0))</f>
        <v>1</v>
      </c>
      <c r="P4274" t="str">
        <f t="shared" si="194"/>
        <v>2019WEEKENDS</v>
      </c>
      <c r="Q4274">
        <f t="shared" si="195"/>
        <v>1</v>
      </c>
      <c r="R4274" s="195" t="str">
        <f t="shared" si="196"/>
        <v>2019LIGHT VEHICLES</v>
      </c>
    </row>
    <row r="4275" spans="3:18" x14ac:dyDescent="0.25">
      <c r="C4275" s="294" t="s">
        <v>1025</v>
      </c>
      <c r="D4275" s="317" t="s">
        <v>759</v>
      </c>
      <c r="E4275" s="122" t="s">
        <v>1026</v>
      </c>
      <c r="F4275" s="122" t="s">
        <v>975</v>
      </c>
      <c r="G4275" s="122" t="s">
        <v>786</v>
      </c>
      <c r="H4275" s="122" t="s">
        <v>777</v>
      </c>
      <c r="I4275" s="312">
        <v>2019</v>
      </c>
      <c r="J4275" s="122" t="s">
        <v>713</v>
      </c>
      <c r="K4275" s="283">
        <v>1999</v>
      </c>
      <c r="L4275" s="318">
        <v>-34.313366000000002</v>
      </c>
      <c r="M4275" s="318">
        <v>150.58601400000001</v>
      </c>
      <c r="O4275">
        <f>INDEX('MEC - traffic congestion'!$M$145:$M$249,MATCH($D4275,'MEC - traffic congestion'!$C$145:$C$249,0))</f>
        <v>1</v>
      </c>
      <c r="P4275" t="str">
        <f t="shared" si="194"/>
        <v>2019WEEKENDS</v>
      </c>
      <c r="Q4275">
        <f t="shared" si="195"/>
        <v>1</v>
      </c>
      <c r="R4275" s="195" t="str">
        <f t="shared" si="196"/>
        <v>2019LIGHT VEHICLES</v>
      </c>
    </row>
    <row r="4276" spans="3:18" x14ac:dyDescent="0.25">
      <c r="C4276" s="294" t="s">
        <v>1025</v>
      </c>
      <c r="D4276" s="317" t="s">
        <v>759</v>
      </c>
      <c r="E4276" s="122" t="s">
        <v>1026</v>
      </c>
      <c r="F4276" s="122" t="s">
        <v>975</v>
      </c>
      <c r="G4276" s="122" t="s">
        <v>785</v>
      </c>
      <c r="H4276" s="122" t="s">
        <v>777</v>
      </c>
      <c r="I4276" s="312">
        <v>2020</v>
      </c>
      <c r="J4276" s="122" t="s">
        <v>709</v>
      </c>
      <c r="K4276" s="283">
        <v>712</v>
      </c>
      <c r="L4276" s="318">
        <v>-34.313366000000002</v>
      </c>
      <c r="M4276" s="318">
        <v>150.58601400000001</v>
      </c>
      <c r="O4276">
        <f>INDEX('MEC - traffic congestion'!$M$145:$M$249,MATCH($D4276,'MEC - traffic congestion'!$C$145:$C$249,0))</f>
        <v>1</v>
      </c>
      <c r="P4276" t="str">
        <f t="shared" si="194"/>
        <v>2020AM PEAK</v>
      </c>
      <c r="Q4276">
        <f t="shared" si="195"/>
        <v>1</v>
      </c>
      <c r="R4276" s="195" t="str">
        <f t="shared" si="196"/>
        <v>2020LIGHT VEHICLES</v>
      </c>
    </row>
    <row r="4277" spans="3:18" x14ac:dyDescent="0.25">
      <c r="C4277" s="294" t="s">
        <v>1025</v>
      </c>
      <c r="D4277" s="317" t="s">
        <v>759</v>
      </c>
      <c r="E4277" s="122" t="s">
        <v>1026</v>
      </c>
      <c r="F4277" s="122" t="s">
        <v>975</v>
      </c>
      <c r="G4277" s="122" t="s">
        <v>786</v>
      </c>
      <c r="H4277" s="122" t="s">
        <v>777</v>
      </c>
      <c r="I4277" s="312">
        <v>2020</v>
      </c>
      <c r="J4277" s="122" t="s">
        <v>709</v>
      </c>
      <c r="K4277" s="283">
        <v>457</v>
      </c>
      <c r="L4277" s="318">
        <v>-34.313366000000002</v>
      </c>
      <c r="M4277" s="318">
        <v>150.58601400000001</v>
      </c>
      <c r="O4277">
        <f>INDEX('MEC - traffic congestion'!$M$145:$M$249,MATCH($D4277,'MEC - traffic congestion'!$C$145:$C$249,0))</f>
        <v>1</v>
      </c>
      <c r="P4277" t="str">
        <f t="shared" si="194"/>
        <v>2020AM PEAK</v>
      </c>
      <c r="Q4277">
        <f t="shared" si="195"/>
        <v>1</v>
      </c>
      <c r="R4277" s="195" t="str">
        <f t="shared" si="196"/>
        <v>2020LIGHT VEHICLES</v>
      </c>
    </row>
    <row r="4278" spans="3:18" x14ac:dyDescent="0.25">
      <c r="C4278" s="294" t="s">
        <v>1025</v>
      </c>
      <c r="D4278" s="317" t="s">
        <v>759</v>
      </c>
      <c r="E4278" s="122" t="s">
        <v>1026</v>
      </c>
      <c r="F4278" s="122" t="s">
        <v>975</v>
      </c>
      <c r="G4278" s="122" t="s">
        <v>785</v>
      </c>
      <c r="H4278" s="122" t="s">
        <v>777</v>
      </c>
      <c r="I4278" s="312">
        <v>2020</v>
      </c>
      <c r="J4278" s="122" t="s">
        <v>710</v>
      </c>
      <c r="K4278" s="283">
        <v>972</v>
      </c>
      <c r="L4278" s="318">
        <v>-34.313366000000002</v>
      </c>
      <c r="M4278" s="318">
        <v>150.58601400000001</v>
      </c>
      <c r="O4278">
        <f>INDEX('MEC - traffic congestion'!$M$145:$M$249,MATCH($D4278,'MEC - traffic congestion'!$C$145:$C$249,0))</f>
        <v>1</v>
      </c>
      <c r="P4278" t="str">
        <f t="shared" si="194"/>
        <v>2020OFF PEAK</v>
      </c>
      <c r="Q4278">
        <f t="shared" si="195"/>
        <v>1</v>
      </c>
      <c r="R4278" s="195" t="str">
        <f t="shared" si="196"/>
        <v>2020LIGHT VEHICLES</v>
      </c>
    </row>
    <row r="4279" spans="3:18" x14ac:dyDescent="0.25">
      <c r="C4279" s="294" t="s">
        <v>1025</v>
      </c>
      <c r="D4279" s="317" t="s">
        <v>759</v>
      </c>
      <c r="E4279" s="122" t="s">
        <v>1026</v>
      </c>
      <c r="F4279" s="122" t="s">
        <v>975</v>
      </c>
      <c r="G4279" s="122" t="s">
        <v>786</v>
      </c>
      <c r="H4279" s="122" t="s">
        <v>777</v>
      </c>
      <c r="I4279" s="312">
        <v>2020</v>
      </c>
      <c r="J4279" s="122" t="s">
        <v>710</v>
      </c>
      <c r="K4279" s="283">
        <v>1024</v>
      </c>
      <c r="L4279" s="318">
        <v>-34.313366000000002</v>
      </c>
      <c r="M4279" s="318">
        <v>150.58601400000001</v>
      </c>
      <c r="O4279">
        <f>INDEX('MEC - traffic congestion'!$M$145:$M$249,MATCH($D4279,'MEC - traffic congestion'!$C$145:$C$249,0))</f>
        <v>1</v>
      </c>
      <c r="P4279" t="str">
        <f t="shared" si="194"/>
        <v>2020OFF PEAK</v>
      </c>
      <c r="Q4279">
        <f t="shared" si="195"/>
        <v>1</v>
      </c>
      <c r="R4279" s="195" t="str">
        <f t="shared" si="196"/>
        <v>2020LIGHT VEHICLES</v>
      </c>
    </row>
    <row r="4280" spans="3:18" x14ac:dyDescent="0.25">
      <c r="C4280" s="294" t="s">
        <v>1025</v>
      </c>
      <c r="D4280" s="317" t="s">
        <v>759</v>
      </c>
      <c r="E4280" s="122" t="s">
        <v>1026</v>
      </c>
      <c r="F4280" s="122" t="s">
        <v>975</v>
      </c>
      <c r="G4280" s="122" t="s">
        <v>785</v>
      </c>
      <c r="H4280" s="122" t="s">
        <v>777</v>
      </c>
      <c r="I4280" s="312">
        <v>2020</v>
      </c>
      <c r="J4280" s="122" t="s">
        <v>711</v>
      </c>
      <c r="K4280" s="283">
        <v>596</v>
      </c>
      <c r="L4280" s="318">
        <v>-34.313366000000002</v>
      </c>
      <c r="M4280" s="318">
        <v>150.58601400000001</v>
      </c>
      <c r="O4280">
        <f>INDEX('MEC - traffic congestion'!$M$145:$M$249,MATCH($D4280,'MEC - traffic congestion'!$C$145:$C$249,0))</f>
        <v>1</v>
      </c>
      <c r="P4280" t="str">
        <f t="shared" si="194"/>
        <v>2020PM PEAK</v>
      </c>
      <c r="Q4280">
        <f t="shared" si="195"/>
        <v>1</v>
      </c>
      <c r="R4280" s="195" t="str">
        <f t="shared" si="196"/>
        <v>2020LIGHT VEHICLES</v>
      </c>
    </row>
    <row r="4281" spans="3:18" x14ac:dyDescent="0.25">
      <c r="C4281" s="294" t="s">
        <v>1025</v>
      </c>
      <c r="D4281" s="317" t="s">
        <v>759</v>
      </c>
      <c r="E4281" s="122" t="s">
        <v>1026</v>
      </c>
      <c r="F4281" s="122" t="s">
        <v>975</v>
      </c>
      <c r="G4281" s="122" t="s">
        <v>786</v>
      </c>
      <c r="H4281" s="122" t="s">
        <v>777</v>
      </c>
      <c r="I4281" s="312">
        <v>2020</v>
      </c>
      <c r="J4281" s="122" t="s">
        <v>711</v>
      </c>
      <c r="K4281" s="283">
        <v>793</v>
      </c>
      <c r="L4281" s="318">
        <v>-34.313366000000002</v>
      </c>
      <c r="M4281" s="318">
        <v>150.58601400000001</v>
      </c>
      <c r="O4281">
        <f>INDEX('MEC - traffic congestion'!$M$145:$M$249,MATCH($D4281,'MEC - traffic congestion'!$C$145:$C$249,0))</f>
        <v>1</v>
      </c>
      <c r="P4281" t="str">
        <f t="shared" si="194"/>
        <v>2020PM PEAK</v>
      </c>
      <c r="Q4281">
        <f t="shared" si="195"/>
        <v>1</v>
      </c>
      <c r="R4281" s="195" t="str">
        <f t="shared" si="196"/>
        <v>2020LIGHT VEHICLES</v>
      </c>
    </row>
    <row r="4282" spans="3:18" x14ac:dyDescent="0.25">
      <c r="C4282" s="294" t="s">
        <v>1025</v>
      </c>
      <c r="D4282" s="317" t="s">
        <v>759</v>
      </c>
      <c r="E4282" s="122" t="s">
        <v>1026</v>
      </c>
      <c r="F4282" s="122" t="s">
        <v>975</v>
      </c>
      <c r="G4282" s="122" t="s">
        <v>785</v>
      </c>
      <c r="H4282" s="122" t="s">
        <v>777</v>
      </c>
      <c r="I4282" s="312">
        <v>2020</v>
      </c>
      <c r="J4282" s="122" t="s">
        <v>712</v>
      </c>
      <c r="K4282" s="283">
        <v>1240</v>
      </c>
      <c r="L4282" s="318">
        <v>-34.313366000000002</v>
      </c>
      <c r="M4282" s="318">
        <v>150.58601400000001</v>
      </c>
      <c r="O4282">
        <f>INDEX('MEC - traffic congestion'!$M$145:$M$249,MATCH($D4282,'MEC - traffic congestion'!$C$145:$C$249,0))</f>
        <v>1</v>
      </c>
      <c r="P4282" t="str">
        <f t="shared" si="194"/>
        <v>2020PUBLIC HOLIDAYS</v>
      </c>
      <c r="Q4282">
        <f t="shared" si="195"/>
        <v>1</v>
      </c>
      <c r="R4282" s="195" t="str">
        <f t="shared" si="196"/>
        <v>2020LIGHT VEHICLES</v>
      </c>
    </row>
    <row r="4283" spans="3:18" x14ac:dyDescent="0.25">
      <c r="C4283" s="294" t="s">
        <v>1025</v>
      </c>
      <c r="D4283" s="317" t="s">
        <v>759</v>
      </c>
      <c r="E4283" s="122" t="s">
        <v>1026</v>
      </c>
      <c r="F4283" s="122" t="s">
        <v>975</v>
      </c>
      <c r="G4283" s="122" t="s">
        <v>786</v>
      </c>
      <c r="H4283" s="122" t="s">
        <v>777</v>
      </c>
      <c r="I4283" s="312">
        <v>2020</v>
      </c>
      <c r="J4283" s="122" t="s">
        <v>712</v>
      </c>
      <c r="K4283" s="283">
        <v>1529</v>
      </c>
      <c r="L4283" s="318">
        <v>-34.313366000000002</v>
      </c>
      <c r="M4283" s="318">
        <v>150.58601400000001</v>
      </c>
      <c r="O4283">
        <f>INDEX('MEC - traffic congestion'!$M$145:$M$249,MATCH($D4283,'MEC - traffic congestion'!$C$145:$C$249,0))</f>
        <v>1</v>
      </c>
      <c r="P4283" t="str">
        <f t="shared" si="194"/>
        <v>2020PUBLIC HOLIDAYS</v>
      </c>
      <c r="Q4283">
        <f t="shared" si="195"/>
        <v>1</v>
      </c>
      <c r="R4283" s="195" t="str">
        <f t="shared" si="196"/>
        <v>2020LIGHT VEHICLES</v>
      </c>
    </row>
    <row r="4284" spans="3:18" x14ac:dyDescent="0.25">
      <c r="C4284" s="294" t="s">
        <v>1025</v>
      </c>
      <c r="D4284" s="317" t="s">
        <v>759</v>
      </c>
      <c r="E4284" s="122" t="s">
        <v>1026</v>
      </c>
      <c r="F4284" s="122" t="s">
        <v>975</v>
      </c>
      <c r="G4284" s="122" t="s">
        <v>785</v>
      </c>
      <c r="H4284" s="122" t="s">
        <v>777</v>
      </c>
      <c r="I4284" s="312">
        <v>2020</v>
      </c>
      <c r="J4284" s="122" t="s">
        <v>713</v>
      </c>
      <c r="K4284" s="283">
        <v>1815</v>
      </c>
      <c r="L4284" s="318">
        <v>-34.313366000000002</v>
      </c>
      <c r="M4284" s="318">
        <v>150.58601400000001</v>
      </c>
      <c r="O4284">
        <f>INDEX('MEC - traffic congestion'!$M$145:$M$249,MATCH($D4284,'MEC - traffic congestion'!$C$145:$C$249,0))</f>
        <v>1</v>
      </c>
      <c r="P4284" t="str">
        <f t="shared" si="194"/>
        <v>2020WEEKENDS</v>
      </c>
      <c r="Q4284">
        <f t="shared" si="195"/>
        <v>1</v>
      </c>
      <c r="R4284" s="195" t="str">
        <f t="shared" si="196"/>
        <v>2020LIGHT VEHICLES</v>
      </c>
    </row>
    <row r="4285" spans="3:18" x14ac:dyDescent="0.25">
      <c r="C4285" s="294" t="s">
        <v>1025</v>
      </c>
      <c r="D4285" s="317" t="s">
        <v>759</v>
      </c>
      <c r="E4285" s="122" t="s">
        <v>1026</v>
      </c>
      <c r="F4285" s="122" t="s">
        <v>975</v>
      </c>
      <c r="G4285" s="122" t="s">
        <v>786</v>
      </c>
      <c r="H4285" s="122" t="s">
        <v>777</v>
      </c>
      <c r="I4285" s="312">
        <v>2020</v>
      </c>
      <c r="J4285" s="122" t="s">
        <v>713</v>
      </c>
      <c r="K4285" s="283">
        <v>1848</v>
      </c>
      <c r="L4285" s="318">
        <v>-34.313366000000002</v>
      </c>
      <c r="M4285" s="318">
        <v>150.58601400000001</v>
      </c>
      <c r="O4285">
        <f>INDEX('MEC - traffic congestion'!$M$145:$M$249,MATCH($D4285,'MEC - traffic congestion'!$C$145:$C$249,0))</f>
        <v>1</v>
      </c>
      <c r="P4285" t="str">
        <f t="shared" si="194"/>
        <v>2020WEEKENDS</v>
      </c>
      <c r="Q4285">
        <f t="shared" si="195"/>
        <v>1</v>
      </c>
      <c r="R4285" s="195" t="str">
        <f t="shared" si="196"/>
        <v>2020LIGHT VEHICLES</v>
      </c>
    </row>
    <row r="4286" spans="3:18" x14ac:dyDescent="0.25">
      <c r="C4286" s="294" t="s">
        <v>1025</v>
      </c>
      <c r="D4286" s="317" t="s">
        <v>759</v>
      </c>
      <c r="E4286" s="122" t="s">
        <v>1026</v>
      </c>
      <c r="F4286" s="122" t="s">
        <v>975</v>
      </c>
      <c r="G4286" s="122" t="s">
        <v>785</v>
      </c>
      <c r="H4286" s="122" t="s">
        <v>777</v>
      </c>
      <c r="I4286" s="312">
        <v>2021</v>
      </c>
      <c r="J4286" s="122" t="s">
        <v>709</v>
      </c>
      <c r="K4286" s="283">
        <v>666</v>
      </c>
      <c r="L4286" s="318">
        <v>-34.313366000000002</v>
      </c>
      <c r="M4286" s="318">
        <v>150.58601400000001</v>
      </c>
      <c r="O4286">
        <f>INDEX('MEC - traffic congestion'!$M$145:$M$249,MATCH($D4286,'MEC - traffic congestion'!$C$145:$C$249,0))</f>
        <v>1</v>
      </c>
      <c r="P4286" t="str">
        <f t="shared" si="194"/>
        <v>2021AM PEAK</v>
      </c>
      <c r="Q4286">
        <f t="shared" si="195"/>
        <v>1</v>
      </c>
      <c r="R4286" s="195" t="str">
        <f t="shared" si="196"/>
        <v>2021LIGHT VEHICLES</v>
      </c>
    </row>
    <row r="4287" spans="3:18" x14ac:dyDescent="0.25">
      <c r="C4287" s="294" t="s">
        <v>1025</v>
      </c>
      <c r="D4287" s="317" t="s">
        <v>759</v>
      </c>
      <c r="E4287" s="122" t="s">
        <v>1026</v>
      </c>
      <c r="F4287" s="122" t="s">
        <v>975</v>
      </c>
      <c r="G4287" s="122" t="s">
        <v>786</v>
      </c>
      <c r="H4287" s="122" t="s">
        <v>777</v>
      </c>
      <c r="I4287" s="312">
        <v>2021</v>
      </c>
      <c r="J4287" s="122" t="s">
        <v>709</v>
      </c>
      <c r="K4287" s="283">
        <v>389</v>
      </c>
      <c r="L4287" s="318">
        <v>-34.313366000000002</v>
      </c>
      <c r="M4287" s="318">
        <v>150.58601400000001</v>
      </c>
      <c r="O4287">
        <f>INDEX('MEC - traffic congestion'!$M$145:$M$249,MATCH($D4287,'MEC - traffic congestion'!$C$145:$C$249,0))</f>
        <v>1</v>
      </c>
      <c r="P4287" t="str">
        <f t="shared" si="194"/>
        <v>2021AM PEAK</v>
      </c>
      <c r="Q4287">
        <f t="shared" si="195"/>
        <v>1</v>
      </c>
      <c r="R4287" s="195" t="str">
        <f t="shared" si="196"/>
        <v>2021LIGHT VEHICLES</v>
      </c>
    </row>
    <row r="4288" spans="3:18" x14ac:dyDescent="0.25">
      <c r="C4288" s="294" t="s">
        <v>1025</v>
      </c>
      <c r="D4288" s="317" t="s">
        <v>759</v>
      </c>
      <c r="E4288" s="122" t="s">
        <v>1026</v>
      </c>
      <c r="F4288" s="122" t="s">
        <v>975</v>
      </c>
      <c r="G4288" s="122" t="s">
        <v>785</v>
      </c>
      <c r="H4288" s="122" t="s">
        <v>777</v>
      </c>
      <c r="I4288" s="312">
        <v>2021</v>
      </c>
      <c r="J4288" s="122" t="s">
        <v>710</v>
      </c>
      <c r="K4288" s="283">
        <v>872</v>
      </c>
      <c r="L4288" s="318">
        <v>-34.313366000000002</v>
      </c>
      <c r="M4288" s="318">
        <v>150.58601400000001</v>
      </c>
      <c r="O4288">
        <f>INDEX('MEC - traffic congestion'!$M$145:$M$249,MATCH($D4288,'MEC - traffic congestion'!$C$145:$C$249,0))</f>
        <v>1</v>
      </c>
      <c r="P4288" t="str">
        <f t="shared" si="194"/>
        <v>2021OFF PEAK</v>
      </c>
      <c r="Q4288">
        <f t="shared" si="195"/>
        <v>1</v>
      </c>
      <c r="R4288" s="195" t="str">
        <f t="shared" si="196"/>
        <v>2021LIGHT VEHICLES</v>
      </c>
    </row>
    <row r="4289" spans="3:18" x14ac:dyDescent="0.25">
      <c r="C4289" s="294" t="s">
        <v>1025</v>
      </c>
      <c r="D4289" s="317" t="s">
        <v>759</v>
      </c>
      <c r="E4289" s="122" t="s">
        <v>1026</v>
      </c>
      <c r="F4289" s="122" t="s">
        <v>975</v>
      </c>
      <c r="G4289" s="122" t="s">
        <v>786</v>
      </c>
      <c r="H4289" s="122" t="s">
        <v>777</v>
      </c>
      <c r="I4289" s="312">
        <v>2021</v>
      </c>
      <c r="J4289" s="122" t="s">
        <v>710</v>
      </c>
      <c r="K4289" s="283">
        <v>930</v>
      </c>
      <c r="L4289" s="318">
        <v>-34.313366000000002</v>
      </c>
      <c r="M4289" s="318">
        <v>150.58601400000001</v>
      </c>
      <c r="O4289">
        <f>INDEX('MEC - traffic congestion'!$M$145:$M$249,MATCH($D4289,'MEC - traffic congestion'!$C$145:$C$249,0))</f>
        <v>1</v>
      </c>
      <c r="P4289" t="str">
        <f t="shared" si="194"/>
        <v>2021OFF PEAK</v>
      </c>
      <c r="Q4289">
        <f t="shared" si="195"/>
        <v>1</v>
      </c>
      <c r="R4289" s="195" t="str">
        <f t="shared" si="196"/>
        <v>2021LIGHT VEHICLES</v>
      </c>
    </row>
    <row r="4290" spans="3:18" x14ac:dyDescent="0.25">
      <c r="C4290" s="294" t="s">
        <v>1025</v>
      </c>
      <c r="D4290" s="317" t="s">
        <v>759</v>
      </c>
      <c r="E4290" s="122" t="s">
        <v>1026</v>
      </c>
      <c r="F4290" s="122" t="s">
        <v>975</v>
      </c>
      <c r="G4290" s="122" t="s">
        <v>785</v>
      </c>
      <c r="H4290" s="122" t="s">
        <v>777</v>
      </c>
      <c r="I4290" s="312">
        <v>2021</v>
      </c>
      <c r="J4290" s="122" t="s">
        <v>711</v>
      </c>
      <c r="K4290" s="283">
        <v>530</v>
      </c>
      <c r="L4290" s="318">
        <v>-34.313366000000002</v>
      </c>
      <c r="M4290" s="318">
        <v>150.58601400000001</v>
      </c>
      <c r="O4290">
        <f>INDEX('MEC - traffic congestion'!$M$145:$M$249,MATCH($D4290,'MEC - traffic congestion'!$C$145:$C$249,0))</f>
        <v>1</v>
      </c>
      <c r="P4290" t="str">
        <f t="shared" si="194"/>
        <v>2021PM PEAK</v>
      </c>
      <c r="Q4290">
        <f t="shared" si="195"/>
        <v>1</v>
      </c>
      <c r="R4290" s="195" t="str">
        <f t="shared" si="196"/>
        <v>2021LIGHT VEHICLES</v>
      </c>
    </row>
    <row r="4291" spans="3:18" x14ac:dyDescent="0.25">
      <c r="C4291" s="294" t="s">
        <v>1025</v>
      </c>
      <c r="D4291" s="317" t="s">
        <v>759</v>
      </c>
      <c r="E4291" s="122" t="s">
        <v>1026</v>
      </c>
      <c r="F4291" s="122" t="s">
        <v>975</v>
      </c>
      <c r="G4291" s="122" t="s">
        <v>786</v>
      </c>
      <c r="H4291" s="122" t="s">
        <v>777</v>
      </c>
      <c r="I4291" s="312">
        <v>2021</v>
      </c>
      <c r="J4291" s="122" t="s">
        <v>711</v>
      </c>
      <c r="K4291" s="283">
        <v>782</v>
      </c>
      <c r="L4291" s="318">
        <v>-34.313366000000002</v>
      </c>
      <c r="M4291" s="318">
        <v>150.58601400000001</v>
      </c>
      <c r="O4291">
        <f>INDEX('MEC - traffic congestion'!$M$145:$M$249,MATCH($D4291,'MEC - traffic congestion'!$C$145:$C$249,0))</f>
        <v>1</v>
      </c>
      <c r="P4291" t="str">
        <f t="shared" si="194"/>
        <v>2021PM PEAK</v>
      </c>
      <c r="Q4291">
        <f t="shared" si="195"/>
        <v>1</v>
      </c>
      <c r="R4291" s="195" t="str">
        <f t="shared" si="196"/>
        <v>2021LIGHT VEHICLES</v>
      </c>
    </row>
    <row r="4292" spans="3:18" x14ac:dyDescent="0.25">
      <c r="C4292" s="294" t="s">
        <v>1025</v>
      </c>
      <c r="D4292" s="317" t="s">
        <v>759</v>
      </c>
      <c r="E4292" s="122" t="s">
        <v>1026</v>
      </c>
      <c r="F4292" s="122" t="s">
        <v>975</v>
      </c>
      <c r="G4292" s="122" t="s">
        <v>785</v>
      </c>
      <c r="H4292" s="122" t="s">
        <v>777</v>
      </c>
      <c r="I4292" s="312">
        <v>2021</v>
      </c>
      <c r="J4292" s="122" t="s">
        <v>713</v>
      </c>
      <c r="K4292" s="283">
        <v>1470</v>
      </c>
      <c r="L4292" s="318">
        <v>-34.313366000000002</v>
      </c>
      <c r="M4292" s="318">
        <v>150.58601400000001</v>
      </c>
      <c r="O4292">
        <f>INDEX('MEC - traffic congestion'!$M$145:$M$249,MATCH($D4292,'MEC - traffic congestion'!$C$145:$C$249,0))</f>
        <v>1</v>
      </c>
      <c r="P4292" t="str">
        <f t="shared" si="194"/>
        <v>2021WEEKENDS</v>
      </c>
      <c r="Q4292">
        <f t="shared" si="195"/>
        <v>1</v>
      </c>
      <c r="R4292" s="195" t="str">
        <f t="shared" si="196"/>
        <v>2021LIGHT VEHICLES</v>
      </c>
    </row>
    <row r="4293" spans="3:18" x14ac:dyDescent="0.25">
      <c r="C4293" s="294" t="s">
        <v>1025</v>
      </c>
      <c r="D4293" s="317" t="s">
        <v>759</v>
      </c>
      <c r="E4293" s="122" t="s">
        <v>1026</v>
      </c>
      <c r="F4293" s="122" t="s">
        <v>975</v>
      </c>
      <c r="G4293" s="122" t="s">
        <v>786</v>
      </c>
      <c r="H4293" s="122" t="s">
        <v>777</v>
      </c>
      <c r="I4293" s="312">
        <v>2021</v>
      </c>
      <c r="J4293" s="122" t="s">
        <v>713</v>
      </c>
      <c r="K4293" s="283">
        <v>1514</v>
      </c>
      <c r="L4293" s="318">
        <v>-34.313366000000002</v>
      </c>
      <c r="M4293" s="318">
        <v>150.58601400000001</v>
      </c>
      <c r="O4293">
        <f>INDEX('MEC - traffic congestion'!$M$145:$M$249,MATCH($D4293,'MEC - traffic congestion'!$C$145:$C$249,0))</f>
        <v>1</v>
      </c>
      <c r="P4293" t="str">
        <f t="shared" si="194"/>
        <v>2021WEEKENDS</v>
      </c>
      <c r="Q4293">
        <f t="shared" si="195"/>
        <v>1</v>
      </c>
      <c r="R4293" s="195" t="str">
        <f t="shared" si="196"/>
        <v>2021LIGHT VEHICLES</v>
      </c>
    </row>
    <row r="4294" spans="3:18" x14ac:dyDescent="0.25">
      <c r="C4294" s="294" t="s">
        <v>1025</v>
      </c>
      <c r="D4294" s="317" t="s">
        <v>759</v>
      </c>
      <c r="E4294" s="122" t="s">
        <v>1026</v>
      </c>
      <c r="F4294" s="122" t="s">
        <v>975</v>
      </c>
      <c r="G4294" s="122" t="s">
        <v>785</v>
      </c>
      <c r="H4294" s="122" t="s">
        <v>777</v>
      </c>
      <c r="I4294" s="312">
        <v>2022</v>
      </c>
      <c r="J4294" s="122" t="s">
        <v>709</v>
      </c>
      <c r="K4294" s="283">
        <v>707</v>
      </c>
      <c r="L4294" s="318">
        <v>-34.313366000000002</v>
      </c>
      <c r="M4294" s="318">
        <v>150.58601400000001</v>
      </c>
      <c r="O4294">
        <f>INDEX('MEC - traffic congestion'!$M$145:$M$249,MATCH($D4294,'MEC - traffic congestion'!$C$145:$C$249,0))</f>
        <v>1</v>
      </c>
      <c r="P4294" t="str">
        <f t="shared" si="194"/>
        <v>2022AM PEAK</v>
      </c>
      <c r="Q4294">
        <f t="shared" si="195"/>
        <v>1</v>
      </c>
      <c r="R4294" s="195" t="str">
        <f t="shared" si="196"/>
        <v>2022LIGHT VEHICLES</v>
      </c>
    </row>
    <row r="4295" spans="3:18" x14ac:dyDescent="0.25">
      <c r="C4295" s="294" t="s">
        <v>1025</v>
      </c>
      <c r="D4295" s="317" t="s">
        <v>759</v>
      </c>
      <c r="E4295" s="122" t="s">
        <v>1026</v>
      </c>
      <c r="F4295" s="122" t="s">
        <v>975</v>
      </c>
      <c r="G4295" s="122" t="s">
        <v>786</v>
      </c>
      <c r="H4295" s="122" t="s">
        <v>777</v>
      </c>
      <c r="I4295" s="312">
        <v>2022</v>
      </c>
      <c r="J4295" s="122" t="s">
        <v>709</v>
      </c>
      <c r="K4295" s="283">
        <v>430</v>
      </c>
      <c r="L4295" s="318">
        <v>-34.313366000000002</v>
      </c>
      <c r="M4295" s="318">
        <v>150.58601400000001</v>
      </c>
      <c r="O4295">
        <f>INDEX('MEC - traffic congestion'!$M$145:$M$249,MATCH($D4295,'MEC - traffic congestion'!$C$145:$C$249,0))</f>
        <v>1</v>
      </c>
      <c r="P4295" t="str">
        <f t="shared" si="194"/>
        <v>2022AM PEAK</v>
      </c>
      <c r="Q4295">
        <f t="shared" si="195"/>
        <v>1</v>
      </c>
      <c r="R4295" s="195" t="str">
        <f t="shared" si="196"/>
        <v>2022LIGHT VEHICLES</v>
      </c>
    </row>
    <row r="4296" spans="3:18" x14ac:dyDescent="0.25">
      <c r="C4296" s="294" t="s">
        <v>1025</v>
      </c>
      <c r="D4296" s="317" t="s">
        <v>759</v>
      </c>
      <c r="E4296" s="122" t="s">
        <v>1026</v>
      </c>
      <c r="F4296" s="122" t="s">
        <v>975</v>
      </c>
      <c r="G4296" s="122" t="s">
        <v>785</v>
      </c>
      <c r="H4296" s="122" t="s">
        <v>777</v>
      </c>
      <c r="I4296" s="312">
        <v>2022</v>
      </c>
      <c r="J4296" s="122" t="s">
        <v>710</v>
      </c>
      <c r="K4296" s="283">
        <v>942</v>
      </c>
      <c r="L4296" s="318">
        <v>-34.313366000000002</v>
      </c>
      <c r="M4296" s="318">
        <v>150.58601400000001</v>
      </c>
      <c r="O4296">
        <f>INDEX('MEC - traffic congestion'!$M$145:$M$249,MATCH($D4296,'MEC - traffic congestion'!$C$145:$C$249,0))</f>
        <v>1</v>
      </c>
      <c r="P4296" t="str">
        <f t="shared" si="194"/>
        <v>2022OFF PEAK</v>
      </c>
      <c r="Q4296">
        <f t="shared" si="195"/>
        <v>1</v>
      </c>
      <c r="R4296" s="195" t="str">
        <f t="shared" si="196"/>
        <v>2022LIGHT VEHICLES</v>
      </c>
    </row>
    <row r="4297" spans="3:18" x14ac:dyDescent="0.25">
      <c r="C4297" s="294" t="s">
        <v>1025</v>
      </c>
      <c r="D4297" s="317" t="s">
        <v>759</v>
      </c>
      <c r="E4297" s="122" t="s">
        <v>1026</v>
      </c>
      <c r="F4297" s="122" t="s">
        <v>975</v>
      </c>
      <c r="G4297" s="122" t="s">
        <v>786</v>
      </c>
      <c r="H4297" s="122" t="s">
        <v>777</v>
      </c>
      <c r="I4297" s="312">
        <v>2022</v>
      </c>
      <c r="J4297" s="122" t="s">
        <v>710</v>
      </c>
      <c r="K4297" s="283">
        <v>1013</v>
      </c>
      <c r="L4297" s="318">
        <v>-34.313366000000002</v>
      </c>
      <c r="M4297" s="318">
        <v>150.58601400000001</v>
      </c>
      <c r="O4297">
        <f>INDEX('MEC - traffic congestion'!$M$145:$M$249,MATCH($D4297,'MEC - traffic congestion'!$C$145:$C$249,0))</f>
        <v>1</v>
      </c>
      <c r="P4297" t="str">
        <f t="shared" si="194"/>
        <v>2022OFF PEAK</v>
      </c>
      <c r="Q4297">
        <f t="shared" si="195"/>
        <v>1</v>
      </c>
      <c r="R4297" s="195" t="str">
        <f t="shared" si="196"/>
        <v>2022LIGHT VEHICLES</v>
      </c>
    </row>
    <row r="4298" spans="3:18" x14ac:dyDescent="0.25">
      <c r="C4298" s="294" t="s">
        <v>1025</v>
      </c>
      <c r="D4298" s="317" t="s">
        <v>759</v>
      </c>
      <c r="E4298" s="122" t="s">
        <v>1026</v>
      </c>
      <c r="F4298" s="122" t="s">
        <v>975</v>
      </c>
      <c r="G4298" s="122" t="s">
        <v>785</v>
      </c>
      <c r="H4298" s="122" t="s">
        <v>777</v>
      </c>
      <c r="I4298" s="312">
        <v>2022</v>
      </c>
      <c r="J4298" s="122" t="s">
        <v>711</v>
      </c>
      <c r="K4298" s="283">
        <v>592</v>
      </c>
      <c r="L4298" s="318">
        <v>-34.313366000000002</v>
      </c>
      <c r="M4298" s="318">
        <v>150.58601400000001</v>
      </c>
      <c r="O4298">
        <f>INDEX('MEC - traffic congestion'!$M$145:$M$249,MATCH($D4298,'MEC - traffic congestion'!$C$145:$C$249,0))</f>
        <v>1</v>
      </c>
      <c r="P4298" t="str">
        <f t="shared" si="194"/>
        <v>2022PM PEAK</v>
      </c>
      <c r="Q4298">
        <f t="shared" si="195"/>
        <v>1</v>
      </c>
      <c r="R4298" s="195" t="str">
        <f t="shared" si="196"/>
        <v>2022LIGHT VEHICLES</v>
      </c>
    </row>
    <row r="4299" spans="3:18" x14ac:dyDescent="0.25">
      <c r="C4299" s="294" t="s">
        <v>1025</v>
      </c>
      <c r="D4299" s="317" t="s">
        <v>759</v>
      </c>
      <c r="E4299" s="122" t="s">
        <v>1026</v>
      </c>
      <c r="F4299" s="122" t="s">
        <v>975</v>
      </c>
      <c r="G4299" s="122" t="s">
        <v>786</v>
      </c>
      <c r="H4299" s="122" t="s">
        <v>777</v>
      </c>
      <c r="I4299" s="312">
        <v>2022</v>
      </c>
      <c r="J4299" s="122" t="s">
        <v>711</v>
      </c>
      <c r="K4299" s="283">
        <v>883</v>
      </c>
      <c r="L4299" s="318">
        <v>-34.313366000000002</v>
      </c>
      <c r="M4299" s="318">
        <v>150.58601400000001</v>
      </c>
      <c r="O4299">
        <f>INDEX('MEC - traffic congestion'!$M$145:$M$249,MATCH($D4299,'MEC - traffic congestion'!$C$145:$C$249,0))</f>
        <v>1</v>
      </c>
      <c r="P4299" t="str">
        <f t="shared" si="194"/>
        <v>2022PM PEAK</v>
      </c>
      <c r="Q4299">
        <f t="shared" si="195"/>
        <v>1</v>
      </c>
      <c r="R4299" s="195" t="str">
        <f t="shared" si="196"/>
        <v>2022LIGHT VEHICLES</v>
      </c>
    </row>
    <row r="4300" spans="3:18" x14ac:dyDescent="0.25">
      <c r="C4300" s="294" t="s">
        <v>1025</v>
      </c>
      <c r="D4300" s="317" t="s">
        <v>759</v>
      </c>
      <c r="E4300" s="122" t="s">
        <v>1026</v>
      </c>
      <c r="F4300" s="122" t="s">
        <v>975</v>
      </c>
      <c r="G4300" s="122" t="s">
        <v>785</v>
      </c>
      <c r="H4300" s="122" t="s">
        <v>777</v>
      </c>
      <c r="I4300" s="312">
        <v>2022</v>
      </c>
      <c r="J4300" s="122" t="s">
        <v>713</v>
      </c>
      <c r="K4300" s="283">
        <v>1485</v>
      </c>
      <c r="L4300" s="318">
        <v>-34.313366000000002</v>
      </c>
      <c r="M4300" s="318">
        <v>150.58601400000001</v>
      </c>
      <c r="O4300">
        <f>INDEX('MEC - traffic congestion'!$M$145:$M$249,MATCH($D4300,'MEC - traffic congestion'!$C$145:$C$249,0))</f>
        <v>1</v>
      </c>
      <c r="P4300" t="str">
        <f t="shared" si="194"/>
        <v>2022WEEKENDS</v>
      </c>
      <c r="Q4300">
        <f t="shared" si="195"/>
        <v>1</v>
      </c>
      <c r="R4300" s="195" t="str">
        <f t="shared" si="196"/>
        <v>2022LIGHT VEHICLES</v>
      </c>
    </row>
    <row r="4301" spans="3:18" x14ac:dyDescent="0.25">
      <c r="C4301" s="294" t="s">
        <v>1025</v>
      </c>
      <c r="D4301" s="317" t="s">
        <v>759</v>
      </c>
      <c r="E4301" s="122" t="s">
        <v>1026</v>
      </c>
      <c r="F4301" s="122" t="s">
        <v>975</v>
      </c>
      <c r="G4301" s="122" t="s">
        <v>786</v>
      </c>
      <c r="H4301" s="122" t="s">
        <v>777</v>
      </c>
      <c r="I4301" s="312">
        <v>2022</v>
      </c>
      <c r="J4301" s="122" t="s">
        <v>713</v>
      </c>
      <c r="K4301" s="283">
        <v>1536</v>
      </c>
      <c r="L4301" s="318">
        <v>-34.313366000000002</v>
      </c>
      <c r="M4301" s="318">
        <v>150.58601400000001</v>
      </c>
      <c r="O4301">
        <f>INDEX('MEC - traffic congestion'!$M$145:$M$249,MATCH($D4301,'MEC - traffic congestion'!$C$145:$C$249,0))</f>
        <v>1</v>
      </c>
      <c r="P4301" t="str">
        <f t="shared" si="194"/>
        <v>2022WEEKENDS</v>
      </c>
      <c r="Q4301">
        <f t="shared" si="195"/>
        <v>1</v>
      </c>
      <c r="R4301" s="195" t="str">
        <f t="shared" si="196"/>
        <v>2022LIGHT VEHICLES</v>
      </c>
    </row>
    <row r="4302" spans="3:18" x14ac:dyDescent="0.25">
      <c r="C4302" s="294" t="s">
        <v>1025</v>
      </c>
      <c r="D4302" s="317" t="s">
        <v>759</v>
      </c>
      <c r="E4302" s="122" t="s">
        <v>1026</v>
      </c>
      <c r="F4302" s="122" t="s">
        <v>975</v>
      </c>
      <c r="G4302" s="122" t="s">
        <v>785</v>
      </c>
      <c r="H4302" s="122" t="s">
        <v>777</v>
      </c>
      <c r="I4302" s="312">
        <v>2023</v>
      </c>
      <c r="J4302" s="122" t="s">
        <v>709</v>
      </c>
      <c r="K4302" s="283">
        <v>754</v>
      </c>
      <c r="L4302" s="318">
        <v>-34.313366000000002</v>
      </c>
      <c r="M4302" s="318">
        <v>150.58601400000001</v>
      </c>
      <c r="O4302">
        <f>INDEX('MEC - traffic congestion'!$M$145:$M$249,MATCH($D4302,'MEC - traffic congestion'!$C$145:$C$249,0))</f>
        <v>1</v>
      </c>
      <c r="P4302" t="str">
        <f t="shared" si="194"/>
        <v>2023AM PEAK</v>
      </c>
      <c r="Q4302">
        <f t="shared" si="195"/>
        <v>1</v>
      </c>
      <c r="R4302" s="195" t="str">
        <f t="shared" si="196"/>
        <v>2023LIGHT VEHICLES</v>
      </c>
    </row>
    <row r="4303" spans="3:18" x14ac:dyDescent="0.25">
      <c r="C4303" s="294" t="s">
        <v>1025</v>
      </c>
      <c r="D4303" s="317" t="s">
        <v>759</v>
      </c>
      <c r="E4303" s="122" t="s">
        <v>1026</v>
      </c>
      <c r="F4303" s="122" t="s">
        <v>975</v>
      </c>
      <c r="G4303" s="122" t="s">
        <v>786</v>
      </c>
      <c r="H4303" s="122" t="s">
        <v>777</v>
      </c>
      <c r="I4303" s="312">
        <v>2023</v>
      </c>
      <c r="J4303" s="122" t="s">
        <v>709</v>
      </c>
      <c r="K4303" s="283">
        <v>435</v>
      </c>
      <c r="L4303" s="318">
        <v>-34.313366000000002</v>
      </c>
      <c r="M4303" s="318">
        <v>150.58601400000001</v>
      </c>
      <c r="O4303">
        <f>INDEX('MEC - traffic congestion'!$M$145:$M$249,MATCH($D4303,'MEC - traffic congestion'!$C$145:$C$249,0))</f>
        <v>1</v>
      </c>
      <c r="P4303" t="str">
        <f t="shared" si="194"/>
        <v>2023AM PEAK</v>
      </c>
      <c r="Q4303">
        <f t="shared" si="195"/>
        <v>1</v>
      </c>
      <c r="R4303" s="195" t="str">
        <f t="shared" si="196"/>
        <v>2023LIGHT VEHICLES</v>
      </c>
    </row>
    <row r="4304" spans="3:18" x14ac:dyDescent="0.25">
      <c r="C4304" s="294" t="s">
        <v>1025</v>
      </c>
      <c r="D4304" s="317" t="s">
        <v>759</v>
      </c>
      <c r="E4304" s="122" t="s">
        <v>1026</v>
      </c>
      <c r="F4304" s="122" t="s">
        <v>975</v>
      </c>
      <c r="G4304" s="122" t="s">
        <v>785</v>
      </c>
      <c r="H4304" s="122" t="s">
        <v>777</v>
      </c>
      <c r="I4304" s="312">
        <v>2023</v>
      </c>
      <c r="J4304" s="122" t="s">
        <v>710</v>
      </c>
      <c r="K4304" s="283">
        <v>1023</v>
      </c>
      <c r="L4304" s="318">
        <v>-34.313366000000002</v>
      </c>
      <c r="M4304" s="318">
        <v>150.58601400000001</v>
      </c>
      <c r="O4304">
        <f>INDEX('MEC - traffic congestion'!$M$145:$M$249,MATCH($D4304,'MEC - traffic congestion'!$C$145:$C$249,0))</f>
        <v>1</v>
      </c>
      <c r="P4304" t="str">
        <f t="shared" si="194"/>
        <v>2023OFF PEAK</v>
      </c>
      <c r="Q4304">
        <f t="shared" si="195"/>
        <v>1</v>
      </c>
      <c r="R4304" s="195" t="str">
        <f t="shared" si="196"/>
        <v>2023LIGHT VEHICLES</v>
      </c>
    </row>
    <row r="4305" spans="3:18" x14ac:dyDescent="0.25">
      <c r="C4305" s="294" t="s">
        <v>1025</v>
      </c>
      <c r="D4305" s="317" t="s">
        <v>759</v>
      </c>
      <c r="E4305" s="122" t="s">
        <v>1026</v>
      </c>
      <c r="F4305" s="122" t="s">
        <v>975</v>
      </c>
      <c r="G4305" s="122" t="s">
        <v>786</v>
      </c>
      <c r="H4305" s="122" t="s">
        <v>777</v>
      </c>
      <c r="I4305" s="312">
        <v>2023</v>
      </c>
      <c r="J4305" s="122" t="s">
        <v>710</v>
      </c>
      <c r="K4305" s="283">
        <v>1095</v>
      </c>
      <c r="L4305" s="318">
        <v>-34.313366000000002</v>
      </c>
      <c r="M4305" s="318">
        <v>150.58601400000001</v>
      </c>
      <c r="O4305">
        <f>INDEX('MEC - traffic congestion'!$M$145:$M$249,MATCH($D4305,'MEC - traffic congestion'!$C$145:$C$249,0))</f>
        <v>1</v>
      </c>
      <c r="P4305" t="str">
        <f t="shared" si="194"/>
        <v>2023OFF PEAK</v>
      </c>
      <c r="Q4305">
        <f t="shared" si="195"/>
        <v>1</v>
      </c>
      <c r="R4305" s="195" t="str">
        <f t="shared" si="196"/>
        <v>2023LIGHT VEHICLES</v>
      </c>
    </row>
    <row r="4306" spans="3:18" x14ac:dyDescent="0.25">
      <c r="C4306" s="294" t="s">
        <v>1025</v>
      </c>
      <c r="D4306" s="317" t="s">
        <v>759</v>
      </c>
      <c r="E4306" s="122" t="s">
        <v>1026</v>
      </c>
      <c r="F4306" s="122" t="s">
        <v>975</v>
      </c>
      <c r="G4306" s="122" t="s">
        <v>785</v>
      </c>
      <c r="H4306" s="122" t="s">
        <v>777</v>
      </c>
      <c r="I4306" s="312">
        <v>2023</v>
      </c>
      <c r="J4306" s="122" t="s">
        <v>711</v>
      </c>
      <c r="K4306" s="283">
        <v>623</v>
      </c>
      <c r="L4306" s="318">
        <v>-34.313366000000002</v>
      </c>
      <c r="M4306" s="318">
        <v>150.58601400000001</v>
      </c>
      <c r="O4306">
        <f>INDEX('MEC - traffic congestion'!$M$145:$M$249,MATCH($D4306,'MEC - traffic congestion'!$C$145:$C$249,0))</f>
        <v>1</v>
      </c>
      <c r="P4306" t="str">
        <f t="shared" si="194"/>
        <v>2023PM PEAK</v>
      </c>
      <c r="Q4306">
        <f t="shared" si="195"/>
        <v>1</v>
      </c>
      <c r="R4306" s="195" t="str">
        <f t="shared" si="196"/>
        <v>2023LIGHT VEHICLES</v>
      </c>
    </row>
    <row r="4307" spans="3:18" x14ac:dyDescent="0.25">
      <c r="C4307" s="294" t="s">
        <v>1025</v>
      </c>
      <c r="D4307" s="317" t="s">
        <v>759</v>
      </c>
      <c r="E4307" s="122" t="s">
        <v>1026</v>
      </c>
      <c r="F4307" s="122" t="s">
        <v>975</v>
      </c>
      <c r="G4307" s="122" t="s">
        <v>786</v>
      </c>
      <c r="H4307" s="122" t="s">
        <v>777</v>
      </c>
      <c r="I4307" s="312">
        <v>2023</v>
      </c>
      <c r="J4307" s="122" t="s">
        <v>711</v>
      </c>
      <c r="K4307" s="283">
        <v>961</v>
      </c>
      <c r="L4307" s="318">
        <v>-34.313366000000002</v>
      </c>
      <c r="M4307" s="318">
        <v>150.58601400000001</v>
      </c>
      <c r="O4307">
        <f>INDEX('MEC - traffic congestion'!$M$145:$M$249,MATCH($D4307,'MEC - traffic congestion'!$C$145:$C$249,0))</f>
        <v>1</v>
      </c>
      <c r="P4307" t="str">
        <f t="shared" si="194"/>
        <v>2023PM PEAK</v>
      </c>
      <c r="Q4307">
        <f t="shared" si="195"/>
        <v>1</v>
      </c>
      <c r="R4307" s="195" t="str">
        <f t="shared" si="196"/>
        <v>2023LIGHT VEHICLES</v>
      </c>
    </row>
    <row r="4308" spans="3:18" x14ac:dyDescent="0.25">
      <c r="C4308" s="294" t="s">
        <v>1025</v>
      </c>
      <c r="D4308" s="317" t="s">
        <v>759</v>
      </c>
      <c r="E4308" s="122" t="s">
        <v>1026</v>
      </c>
      <c r="F4308" s="122" t="s">
        <v>975</v>
      </c>
      <c r="G4308" s="122" t="s">
        <v>785</v>
      </c>
      <c r="H4308" s="122" t="s">
        <v>777</v>
      </c>
      <c r="I4308" s="312">
        <v>2023</v>
      </c>
      <c r="J4308" s="122" t="s">
        <v>713</v>
      </c>
      <c r="K4308" s="283">
        <v>1407</v>
      </c>
      <c r="L4308" s="318">
        <v>-34.313366000000002</v>
      </c>
      <c r="M4308" s="318">
        <v>150.58601400000001</v>
      </c>
      <c r="O4308">
        <f>INDEX('MEC - traffic congestion'!$M$145:$M$249,MATCH($D4308,'MEC - traffic congestion'!$C$145:$C$249,0))</f>
        <v>1</v>
      </c>
      <c r="P4308" t="str">
        <f t="shared" si="194"/>
        <v>2023WEEKENDS</v>
      </c>
      <c r="Q4308">
        <f t="shared" si="195"/>
        <v>1</v>
      </c>
      <c r="R4308" s="195" t="str">
        <f t="shared" si="196"/>
        <v>2023LIGHT VEHICLES</v>
      </c>
    </row>
    <row r="4309" spans="3:18" x14ac:dyDescent="0.25">
      <c r="C4309" s="294" t="s">
        <v>1025</v>
      </c>
      <c r="D4309" s="317" t="s">
        <v>759</v>
      </c>
      <c r="E4309" s="122" t="s">
        <v>1026</v>
      </c>
      <c r="F4309" s="122" t="s">
        <v>975</v>
      </c>
      <c r="G4309" s="122" t="s">
        <v>786</v>
      </c>
      <c r="H4309" s="122" t="s">
        <v>777</v>
      </c>
      <c r="I4309" s="312">
        <v>2023</v>
      </c>
      <c r="J4309" s="122" t="s">
        <v>713</v>
      </c>
      <c r="K4309" s="283">
        <v>1341</v>
      </c>
      <c r="L4309" s="318">
        <v>-34.313366000000002</v>
      </c>
      <c r="M4309" s="318">
        <v>150.58601400000001</v>
      </c>
      <c r="O4309">
        <f>INDEX('MEC - traffic congestion'!$M$145:$M$249,MATCH($D4309,'MEC - traffic congestion'!$C$145:$C$249,0))</f>
        <v>1</v>
      </c>
      <c r="P4309" t="str">
        <f t="shared" ref="P4309:P4366" si="197">IF($O4309=1,$I4309&amp;$J4309,"")</f>
        <v>2023WEEKENDS</v>
      </c>
      <c r="Q4309">
        <f t="shared" ref="Q4309:Q4366" si="198">IF(AND($M4309&gt;150.246,AND($L4309&gt;-34.397,$L4309&lt;-32.662)),1,0)</f>
        <v>1</v>
      </c>
      <c r="R4309" s="195" t="str">
        <f t="shared" ref="R4309:R4366" si="199">IF($O4309=1,$I4309&amp;$H4309,"")</f>
        <v>2023LIGHT VEHICLES</v>
      </c>
    </row>
    <row r="4310" spans="3:18" x14ac:dyDescent="0.25">
      <c r="C4310" s="294" t="s">
        <v>1025</v>
      </c>
      <c r="D4310" s="317" t="s">
        <v>759</v>
      </c>
      <c r="E4310" s="122" t="s">
        <v>1026</v>
      </c>
      <c r="F4310" s="122" t="s">
        <v>975</v>
      </c>
      <c r="G4310" s="122" t="s">
        <v>785</v>
      </c>
      <c r="H4310" s="122" t="s">
        <v>777</v>
      </c>
      <c r="I4310" s="312">
        <v>2024</v>
      </c>
      <c r="J4310" s="122" t="s">
        <v>709</v>
      </c>
      <c r="K4310" s="283">
        <v>796</v>
      </c>
      <c r="L4310" s="318">
        <v>-34.313366000000002</v>
      </c>
      <c r="M4310" s="318">
        <v>150.58601400000001</v>
      </c>
      <c r="O4310">
        <f>INDEX('MEC - traffic congestion'!$M$145:$M$249,MATCH($D4310,'MEC - traffic congestion'!$C$145:$C$249,0))</f>
        <v>1</v>
      </c>
      <c r="P4310" t="str">
        <f t="shared" si="197"/>
        <v>2024AM PEAK</v>
      </c>
      <c r="Q4310">
        <f t="shared" si="198"/>
        <v>1</v>
      </c>
      <c r="R4310" s="195" t="str">
        <f t="shared" si="199"/>
        <v>2024LIGHT VEHICLES</v>
      </c>
    </row>
    <row r="4311" spans="3:18" x14ac:dyDescent="0.25">
      <c r="C4311" s="294" t="s">
        <v>1025</v>
      </c>
      <c r="D4311" s="317" t="s">
        <v>759</v>
      </c>
      <c r="E4311" s="122" t="s">
        <v>1026</v>
      </c>
      <c r="F4311" s="122" t="s">
        <v>975</v>
      </c>
      <c r="G4311" s="122" t="s">
        <v>786</v>
      </c>
      <c r="H4311" s="122" t="s">
        <v>777</v>
      </c>
      <c r="I4311" s="312">
        <v>2024</v>
      </c>
      <c r="J4311" s="122" t="s">
        <v>709</v>
      </c>
      <c r="K4311" s="283">
        <v>444</v>
      </c>
      <c r="L4311" s="318">
        <v>-34.313366000000002</v>
      </c>
      <c r="M4311" s="318">
        <v>150.58601400000001</v>
      </c>
      <c r="O4311">
        <f>INDEX('MEC - traffic congestion'!$M$145:$M$249,MATCH($D4311,'MEC - traffic congestion'!$C$145:$C$249,0))</f>
        <v>1</v>
      </c>
      <c r="P4311" t="str">
        <f t="shared" si="197"/>
        <v>2024AM PEAK</v>
      </c>
      <c r="Q4311">
        <f t="shared" si="198"/>
        <v>1</v>
      </c>
      <c r="R4311" s="195" t="str">
        <f t="shared" si="199"/>
        <v>2024LIGHT VEHICLES</v>
      </c>
    </row>
    <row r="4312" spans="3:18" x14ac:dyDescent="0.25">
      <c r="C4312" s="294" t="s">
        <v>1025</v>
      </c>
      <c r="D4312" s="317" t="s">
        <v>759</v>
      </c>
      <c r="E4312" s="122" t="s">
        <v>1026</v>
      </c>
      <c r="F4312" s="122" t="s">
        <v>975</v>
      </c>
      <c r="G4312" s="122" t="s">
        <v>785</v>
      </c>
      <c r="H4312" s="122" t="s">
        <v>777</v>
      </c>
      <c r="I4312" s="312">
        <v>2024</v>
      </c>
      <c r="J4312" s="122" t="s">
        <v>710</v>
      </c>
      <c r="K4312" s="283">
        <v>1046</v>
      </c>
      <c r="L4312" s="318">
        <v>-34.313366000000002</v>
      </c>
      <c r="M4312" s="318">
        <v>150.58601400000001</v>
      </c>
      <c r="O4312">
        <f>INDEX('MEC - traffic congestion'!$M$145:$M$249,MATCH($D4312,'MEC - traffic congestion'!$C$145:$C$249,0))</f>
        <v>1</v>
      </c>
      <c r="P4312" t="str">
        <f t="shared" si="197"/>
        <v>2024OFF PEAK</v>
      </c>
      <c r="Q4312">
        <f t="shared" si="198"/>
        <v>1</v>
      </c>
      <c r="R4312" s="195" t="str">
        <f t="shared" si="199"/>
        <v>2024LIGHT VEHICLES</v>
      </c>
    </row>
    <row r="4313" spans="3:18" x14ac:dyDescent="0.25">
      <c r="C4313" s="294" t="s">
        <v>1025</v>
      </c>
      <c r="D4313" s="317" t="s">
        <v>759</v>
      </c>
      <c r="E4313" s="122" t="s">
        <v>1026</v>
      </c>
      <c r="F4313" s="122" t="s">
        <v>975</v>
      </c>
      <c r="G4313" s="122" t="s">
        <v>786</v>
      </c>
      <c r="H4313" s="122" t="s">
        <v>777</v>
      </c>
      <c r="I4313" s="312">
        <v>2024</v>
      </c>
      <c r="J4313" s="122" t="s">
        <v>710</v>
      </c>
      <c r="K4313" s="283">
        <v>1126</v>
      </c>
      <c r="L4313" s="318">
        <v>-34.313366000000002</v>
      </c>
      <c r="M4313" s="318">
        <v>150.58601400000001</v>
      </c>
      <c r="O4313">
        <f>INDEX('MEC - traffic congestion'!$M$145:$M$249,MATCH($D4313,'MEC - traffic congestion'!$C$145:$C$249,0))</f>
        <v>1</v>
      </c>
      <c r="P4313" t="str">
        <f t="shared" si="197"/>
        <v>2024OFF PEAK</v>
      </c>
      <c r="Q4313">
        <f t="shared" si="198"/>
        <v>1</v>
      </c>
      <c r="R4313" s="195" t="str">
        <f t="shared" si="199"/>
        <v>2024LIGHT VEHICLES</v>
      </c>
    </row>
    <row r="4314" spans="3:18" x14ac:dyDescent="0.25">
      <c r="C4314" s="294" t="s">
        <v>1025</v>
      </c>
      <c r="D4314" s="317" t="s">
        <v>759</v>
      </c>
      <c r="E4314" s="122" t="s">
        <v>1026</v>
      </c>
      <c r="F4314" s="122" t="s">
        <v>975</v>
      </c>
      <c r="G4314" s="122" t="s">
        <v>785</v>
      </c>
      <c r="H4314" s="122" t="s">
        <v>777</v>
      </c>
      <c r="I4314" s="312">
        <v>2024</v>
      </c>
      <c r="J4314" s="122" t="s">
        <v>711</v>
      </c>
      <c r="K4314" s="283">
        <v>646</v>
      </c>
      <c r="L4314" s="318">
        <v>-34.313366000000002</v>
      </c>
      <c r="M4314" s="318">
        <v>150.58601400000001</v>
      </c>
      <c r="O4314">
        <f>INDEX('MEC - traffic congestion'!$M$145:$M$249,MATCH($D4314,'MEC - traffic congestion'!$C$145:$C$249,0))</f>
        <v>1</v>
      </c>
      <c r="P4314" t="str">
        <f t="shared" si="197"/>
        <v>2024PM PEAK</v>
      </c>
      <c r="Q4314">
        <f t="shared" si="198"/>
        <v>1</v>
      </c>
      <c r="R4314" s="195" t="str">
        <f t="shared" si="199"/>
        <v>2024LIGHT VEHICLES</v>
      </c>
    </row>
    <row r="4315" spans="3:18" x14ac:dyDescent="0.25">
      <c r="C4315" s="294" t="s">
        <v>1025</v>
      </c>
      <c r="D4315" s="317" t="s">
        <v>759</v>
      </c>
      <c r="E4315" s="122" t="s">
        <v>1026</v>
      </c>
      <c r="F4315" s="122" t="s">
        <v>975</v>
      </c>
      <c r="G4315" s="122" t="s">
        <v>786</v>
      </c>
      <c r="H4315" s="122" t="s">
        <v>777</v>
      </c>
      <c r="I4315" s="312">
        <v>2024</v>
      </c>
      <c r="J4315" s="122" t="s">
        <v>711</v>
      </c>
      <c r="K4315" s="283">
        <v>973</v>
      </c>
      <c r="L4315" s="318">
        <v>-34.313366000000002</v>
      </c>
      <c r="M4315" s="318">
        <v>150.58601400000001</v>
      </c>
      <c r="O4315">
        <f>INDEX('MEC - traffic congestion'!$M$145:$M$249,MATCH($D4315,'MEC - traffic congestion'!$C$145:$C$249,0))</f>
        <v>1</v>
      </c>
      <c r="P4315" t="str">
        <f t="shared" si="197"/>
        <v>2024PM PEAK</v>
      </c>
      <c r="Q4315">
        <f t="shared" si="198"/>
        <v>1</v>
      </c>
      <c r="R4315" s="195" t="str">
        <f t="shared" si="199"/>
        <v>2024LIGHT VEHICLES</v>
      </c>
    </row>
    <row r="4316" spans="3:18" x14ac:dyDescent="0.25">
      <c r="C4316" s="294" t="s">
        <v>1025</v>
      </c>
      <c r="D4316" s="317" t="s">
        <v>759</v>
      </c>
      <c r="E4316" s="122" t="s">
        <v>1026</v>
      </c>
      <c r="F4316" s="122" t="s">
        <v>975</v>
      </c>
      <c r="G4316" s="122" t="s">
        <v>785</v>
      </c>
      <c r="H4316" s="122" t="s">
        <v>777</v>
      </c>
      <c r="I4316" s="312">
        <v>2024</v>
      </c>
      <c r="J4316" s="122" t="s">
        <v>713</v>
      </c>
      <c r="K4316" s="283">
        <v>1610</v>
      </c>
      <c r="L4316" s="318">
        <v>-34.313366000000002</v>
      </c>
      <c r="M4316" s="318">
        <v>150.58601400000001</v>
      </c>
      <c r="O4316">
        <f>INDEX('MEC - traffic congestion'!$M$145:$M$249,MATCH($D4316,'MEC - traffic congestion'!$C$145:$C$249,0))</f>
        <v>1</v>
      </c>
      <c r="P4316" t="str">
        <f t="shared" si="197"/>
        <v>2024WEEKENDS</v>
      </c>
      <c r="Q4316">
        <f t="shared" si="198"/>
        <v>1</v>
      </c>
      <c r="R4316" s="195" t="str">
        <f t="shared" si="199"/>
        <v>2024LIGHT VEHICLES</v>
      </c>
    </row>
    <row r="4317" spans="3:18" x14ac:dyDescent="0.25">
      <c r="C4317" s="294" t="s">
        <v>1025</v>
      </c>
      <c r="D4317" s="317" t="s">
        <v>759</v>
      </c>
      <c r="E4317" s="122" t="s">
        <v>1026</v>
      </c>
      <c r="F4317" s="122" t="s">
        <v>975</v>
      </c>
      <c r="G4317" s="122" t="s">
        <v>786</v>
      </c>
      <c r="H4317" s="122" t="s">
        <v>777</v>
      </c>
      <c r="I4317" s="312">
        <v>2024</v>
      </c>
      <c r="J4317" s="122" t="s">
        <v>713</v>
      </c>
      <c r="K4317" s="283">
        <v>1697</v>
      </c>
      <c r="L4317" s="318">
        <v>-34.313366000000002</v>
      </c>
      <c r="M4317" s="318">
        <v>150.58601400000001</v>
      </c>
      <c r="O4317">
        <f>INDEX('MEC - traffic congestion'!$M$145:$M$249,MATCH($D4317,'MEC - traffic congestion'!$C$145:$C$249,0))</f>
        <v>1</v>
      </c>
      <c r="P4317" t="str">
        <f t="shared" si="197"/>
        <v>2024WEEKENDS</v>
      </c>
      <c r="Q4317">
        <f t="shared" si="198"/>
        <v>1</v>
      </c>
      <c r="R4317" s="195" t="str">
        <f t="shared" si="199"/>
        <v>2024LIGHT VEHICLES</v>
      </c>
    </row>
    <row r="4318" spans="3:18" x14ac:dyDescent="0.25">
      <c r="C4318" s="294" t="s">
        <v>1027</v>
      </c>
      <c r="D4318" s="317" t="s">
        <v>760</v>
      </c>
      <c r="E4318" s="122" t="s">
        <v>1028</v>
      </c>
      <c r="F4318" s="122" t="s">
        <v>975</v>
      </c>
      <c r="G4318" s="122" t="s">
        <v>785</v>
      </c>
      <c r="H4318" s="122" t="s">
        <v>777</v>
      </c>
      <c r="I4318" s="312">
        <v>2018</v>
      </c>
      <c r="J4318" s="122" t="s">
        <v>709</v>
      </c>
      <c r="K4318" s="283">
        <v>929</v>
      </c>
      <c r="L4318" s="318">
        <v>-34.308601000000003</v>
      </c>
      <c r="M4318" s="318">
        <v>150.59953300000001</v>
      </c>
      <c r="O4318">
        <f>INDEX('MEC - traffic congestion'!$M$145:$M$249,MATCH($D4318,'MEC - traffic congestion'!$C$145:$C$249,0))</f>
        <v>1</v>
      </c>
      <c r="P4318" t="str">
        <f t="shared" si="197"/>
        <v>2018AM PEAK</v>
      </c>
      <c r="Q4318">
        <f t="shared" si="198"/>
        <v>1</v>
      </c>
      <c r="R4318" s="195" t="str">
        <f t="shared" si="199"/>
        <v>2018LIGHT VEHICLES</v>
      </c>
    </row>
    <row r="4319" spans="3:18" x14ac:dyDescent="0.25">
      <c r="C4319" s="294" t="s">
        <v>1027</v>
      </c>
      <c r="D4319" s="317" t="s">
        <v>760</v>
      </c>
      <c r="E4319" s="122" t="s">
        <v>1028</v>
      </c>
      <c r="F4319" s="122" t="s">
        <v>975</v>
      </c>
      <c r="G4319" s="122" t="s">
        <v>785</v>
      </c>
      <c r="H4319" s="122" t="s">
        <v>777</v>
      </c>
      <c r="I4319" s="312">
        <v>2018</v>
      </c>
      <c r="J4319" s="122" t="s">
        <v>710</v>
      </c>
      <c r="K4319" s="283">
        <v>994</v>
      </c>
      <c r="L4319" s="318">
        <v>-34.308601000000003</v>
      </c>
      <c r="M4319" s="318">
        <v>150.59953300000001</v>
      </c>
      <c r="O4319">
        <f>INDEX('MEC - traffic congestion'!$M$145:$M$249,MATCH($D4319,'MEC - traffic congestion'!$C$145:$C$249,0))</f>
        <v>1</v>
      </c>
      <c r="P4319" t="str">
        <f t="shared" si="197"/>
        <v>2018OFF PEAK</v>
      </c>
      <c r="Q4319">
        <f t="shared" si="198"/>
        <v>1</v>
      </c>
      <c r="R4319" s="195" t="str">
        <f t="shared" si="199"/>
        <v>2018LIGHT VEHICLES</v>
      </c>
    </row>
    <row r="4320" spans="3:18" x14ac:dyDescent="0.25">
      <c r="C4320" s="294" t="s">
        <v>1027</v>
      </c>
      <c r="D4320" s="317" t="s">
        <v>760</v>
      </c>
      <c r="E4320" s="122" t="s">
        <v>1028</v>
      </c>
      <c r="F4320" s="122" t="s">
        <v>975</v>
      </c>
      <c r="G4320" s="122" t="s">
        <v>785</v>
      </c>
      <c r="H4320" s="122" t="s">
        <v>777</v>
      </c>
      <c r="I4320" s="312">
        <v>2018</v>
      </c>
      <c r="J4320" s="122" t="s">
        <v>711</v>
      </c>
      <c r="K4320" s="283">
        <v>433</v>
      </c>
      <c r="L4320" s="318">
        <v>-34.308601000000003</v>
      </c>
      <c r="M4320" s="318">
        <v>150.59953300000001</v>
      </c>
      <c r="O4320">
        <f>INDEX('MEC - traffic congestion'!$M$145:$M$249,MATCH($D4320,'MEC - traffic congestion'!$C$145:$C$249,0))</f>
        <v>1</v>
      </c>
      <c r="P4320" t="str">
        <f t="shared" si="197"/>
        <v>2018PM PEAK</v>
      </c>
      <c r="Q4320">
        <f t="shared" si="198"/>
        <v>1</v>
      </c>
      <c r="R4320" s="195" t="str">
        <f t="shared" si="199"/>
        <v>2018LIGHT VEHICLES</v>
      </c>
    </row>
    <row r="4321" spans="3:18" x14ac:dyDescent="0.25">
      <c r="C4321" s="294" t="s">
        <v>1027</v>
      </c>
      <c r="D4321" s="317" t="s">
        <v>760</v>
      </c>
      <c r="E4321" s="122" t="s">
        <v>1028</v>
      </c>
      <c r="F4321" s="122" t="s">
        <v>975</v>
      </c>
      <c r="G4321" s="122" t="s">
        <v>785</v>
      </c>
      <c r="H4321" s="122" t="s">
        <v>777</v>
      </c>
      <c r="I4321" s="312">
        <v>2018</v>
      </c>
      <c r="J4321" s="122" t="s">
        <v>712</v>
      </c>
      <c r="K4321" s="283">
        <v>1725</v>
      </c>
      <c r="L4321" s="318">
        <v>-34.308601000000003</v>
      </c>
      <c r="M4321" s="318">
        <v>150.59953300000001</v>
      </c>
      <c r="O4321">
        <f>INDEX('MEC - traffic congestion'!$M$145:$M$249,MATCH($D4321,'MEC - traffic congestion'!$C$145:$C$249,0))</f>
        <v>1</v>
      </c>
      <c r="P4321" t="str">
        <f t="shared" si="197"/>
        <v>2018PUBLIC HOLIDAYS</v>
      </c>
      <c r="Q4321">
        <f t="shared" si="198"/>
        <v>1</v>
      </c>
      <c r="R4321" s="195" t="str">
        <f t="shared" si="199"/>
        <v>2018LIGHT VEHICLES</v>
      </c>
    </row>
    <row r="4322" spans="3:18" x14ac:dyDescent="0.25">
      <c r="C4322" s="294" t="s">
        <v>1027</v>
      </c>
      <c r="D4322" s="317" t="s">
        <v>760</v>
      </c>
      <c r="E4322" s="122" t="s">
        <v>1028</v>
      </c>
      <c r="F4322" s="122" t="s">
        <v>975</v>
      </c>
      <c r="G4322" s="122" t="s">
        <v>785</v>
      </c>
      <c r="H4322" s="122" t="s">
        <v>777</v>
      </c>
      <c r="I4322" s="312">
        <v>2018</v>
      </c>
      <c r="J4322" s="122" t="s">
        <v>713</v>
      </c>
      <c r="K4322" s="283">
        <v>1772</v>
      </c>
      <c r="L4322" s="318">
        <v>-34.308601000000003</v>
      </c>
      <c r="M4322" s="318">
        <v>150.59953300000001</v>
      </c>
      <c r="O4322">
        <f>INDEX('MEC - traffic congestion'!$M$145:$M$249,MATCH($D4322,'MEC - traffic congestion'!$C$145:$C$249,0))</f>
        <v>1</v>
      </c>
      <c r="P4322" t="str">
        <f t="shared" si="197"/>
        <v>2018WEEKENDS</v>
      </c>
      <c r="Q4322">
        <f t="shared" si="198"/>
        <v>1</v>
      </c>
      <c r="R4322" s="195" t="str">
        <f t="shared" si="199"/>
        <v>2018LIGHT VEHICLES</v>
      </c>
    </row>
    <row r="4323" spans="3:18" x14ac:dyDescent="0.25">
      <c r="C4323" s="294" t="s">
        <v>1027</v>
      </c>
      <c r="D4323" s="317" t="s">
        <v>760</v>
      </c>
      <c r="E4323" s="122" t="s">
        <v>1028</v>
      </c>
      <c r="F4323" s="122" t="s">
        <v>975</v>
      </c>
      <c r="G4323" s="122" t="s">
        <v>785</v>
      </c>
      <c r="H4323" s="122" t="s">
        <v>777</v>
      </c>
      <c r="I4323" s="312">
        <v>2019</v>
      </c>
      <c r="J4323" s="122" t="s">
        <v>709</v>
      </c>
      <c r="K4323" s="283">
        <v>874</v>
      </c>
      <c r="L4323" s="318">
        <v>-34.308601000000003</v>
      </c>
      <c r="M4323" s="318">
        <v>150.59953300000001</v>
      </c>
      <c r="O4323">
        <f>INDEX('MEC - traffic congestion'!$M$145:$M$249,MATCH($D4323,'MEC - traffic congestion'!$C$145:$C$249,0))</f>
        <v>1</v>
      </c>
      <c r="P4323" t="str">
        <f t="shared" si="197"/>
        <v>2019AM PEAK</v>
      </c>
      <c r="Q4323">
        <f t="shared" si="198"/>
        <v>1</v>
      </c>
      <c r="R4323" s="195" t="str">
        <f t="shared" si="199"/>
        <v>2019LIGHT VEHICLES</v>
      </c>
    </row>
    <row r="4324" spans="3:18" x14ac:dyDescent="0.25">
      <c r="C4324" s="294" t="s">
        <v>1027</v>
      </c>
      <c r="D4324" s="317" t="s">
        <v>760</v>
      </c>
      <c r="E4324" s="122" t="s">
        <v>1028</v>
      </c>
      <c r="F4324" s="122" t="s">
        <v>975</v>
      </c>
      <c r="G4324" s="122" t="s">
        <v>786</v>
      </c>
      <c r="H4324" s="122" t="s">
        <v>777</v>
      </c>
      <c r="I4324" s="312">
        <v>2019</v>
      </c>
      <c r="J4324" s="122" t="s">
        <v>709</v>
      </c>
      <c r="K4324" s="283">
        <v>312</v>
      </c>
      <c r="L4324" s="318">
        <v>-34.308601000000003</v>
      </c>
      <c r="M4324" s="318">
        <v>150.59953300000001</v>
      </c>
      <c r="O4324">
        <f>INDEX('MEC - traffic congestion'!$M$145:$M$249,MATCH($D4324,'MEC - traffic congestion'!$C$145:$C$249,0))</f>
        <v>1</v>
      </c>
      <c r="P4324" t="str">
        <f t="shared" si="197"/>
        <v>2019AM PEAK</v>
      </c>
      <c r="Q4324">
        <f t="shared" si="198"/>
        <v>1</v>
      </c>
      <c r="R4324" s="195" t="str">
        <f t="shared" si="199"/>
        <v>2019LIGHT VEHICLES</v>
      </c>
    </row>
    <row r="4325" spans="3:18" x14ac:dyDescent="0.25">
      <c r="C4325" s="294" t="s">
        <v>1027</v>
      </c>
      <c r="D4325" s="317" t="s">
        <v>760</v>
      </c>
      <c r="E4325" s="122" t="s">
        <v>1028</v>
      </c>
      <c r="F4325" s="122" t="s">
        <v>975</v>
      </c>
      <c r="G4325" s="122" t="s">
        <v>785</v>
      </c>
      <c r="H4325" s="122" t="s">
        <v>777</v>
      </c>
      <c r="I4325" s="312">
        <v>2019</v>
      </c>
      <c r="J4325" s="122" t="s">
        <v>710</v>
      </c>
      <c r="K4325" s="283">
        <v>961</v>
      </c>
      <c r="L4325" s="318">
        <v>-34.308601000000003</v>
      </c>
      <c r="M4325" s="318">
        <v>150.59953300000001</v>
      </c>
      <c r="O4325">
        <f>INDEX('MEC - traffic congestion'!$M$145:$M$249,MATCH($D4325,'MEC - traffic congestion'!$C$145:$C$249,0))</f>
        <v>1</v>
      </c>
      <c r="P4325" t="str">
        <f t="shared" si="197"/>
        <v>2019OFF PEAK</v>
      </c>
      <c r="Q4325">
        <f t="shared" si="198"/>
        <v>1</v>
      </c>
      <c r="R4325" s="195" t="str">
        <f t="shared" si="199"/>
        <v>2019LIGHT VEHICLES</v>
      </c>
    </row>
    <row r="4326" spans="3:18" x14ac:dyDescent="0.25">
      <c r="C4326" s="294" t="s">
        <v>1027</v>
      </c>
      <c r="D4326" s="317" t="s">
        <v>760</v>
      </c>
      <c r="E4326" s="122" t="s">
        <v>1028</v>
      </c>
      <c r="F4326" s="122" t="s">
        <v>975</v>
      </c>
      <c r="G4326" s="122" t="s">
        <v>786</v>
      </c>
      <c r="H4326" s="122" t="s">
        <v>777</v>
      </c>
      <c r="I4326" s="312">
        <v>2019</v>
      </c>
      <c r="J4326" s="122" t="s">
        <v>710</v>
      </c>
      <c r="K4326" s="283">
        <v>927</v>
      </c>
      <c r="L4326" s="318">
        <v>-34.308601000000003</v>
      </c>
      <c r="M4326" s="318">
        <v>150.59953300000001</v>
      </c>
      <c r="O4326">
        <f>INDEX('MEC - traffic congestion'!$M$145:$M$249,MATCH($D4326,'MEC - traffic congestion'!$C$145:$C$249,0))</f>
        <v>1</v>
      </c>
      <c r="P4326" t="str">
        <f t="shared" si="197"/>
        <v>2019OFF PEAK</v>
      </c>
      <c r="Q4326">
        <f t="shared" si="198"/>
        <v>1</v>
      </c>
      <c r="R4326" s="195" t="str">
        <f t="shared" si="199"/>
        <v>2019LIGHT VEHICLES</v>
      </c>
    </row>
    <row r="4327" spans="3:18" x14ac:dyDescent="0.25">
      <c r="C4327" s="294" t="s">
        <v>1027</v>
      </c>
      <c r="D4327" s="317" t="s">
        <v>760</v>
      </c>
      <c r="E4327" s="122" t="s">
        <v>1028</v>
      </c>
      <c r="F4327" s="122" t="s">
        <v>975</v>
      </c>
      <c r="G4327" s="122" t="s">
        <v>785</v>
      </c>
      <c r="H4327" s="122" t="s">
        <v>777</v>
      </c>
      <c r="I4327" s="312">
        <v>2019</v>
      </c>
      <c r="J4327" s="122" t="s">
        <v>711</v>
      </c>
      <c r="K4327" s="283">
        <v>463</v>
      </c>
      <c r="L4327" s="318">
        <v>-34.308601000000003</v>
      </c>
      <c r="M4327" s="318">
        <v>150.59953300000001</v>
      </c>
      <c r="O4327">
        <f>INDEX('MEC - traffic congestion'!$M$145:$M$249,MATCH($D4327,'MEC - traffic congestion'!$C$145:$C$249,0))</f>
        <v>1</v>
      </c>
      <c r="P4327" t="str">
        <f t="shared" si="197"/>
        <v>2019PM PEAK</v>
      </c>
      <c r="Q4327">
        <f t="shared" si="198"/>
        <v>1</v>
      </c>
      <c r="R4327" s="195" t="str">
        <f t="shared" si="199"/>
        <v>2019LIGHT VEHICLES</v>
      </c>
    </row>
    <row r="4328" spans="3:18" x14ac:dyDescent="0.25">
      <c r="C4328" s="294" t="s">
        <v>1027</v>
      </c>
      <c r="D4328" s="317" t="s">
        <v>760</v>
      </c>
      <c r="E4328" s="122" t="s">
        <v>1028</v>
      </c>
      <c r="F4328" s="122" t="s">
        <v>975</v>
      </c>
      <c r="G4328" s="122" t="s">
        <v>786</v>
      </c>
      <c r="H4328" s="122" t="s">
        <v>777</v>
      </c>
      <c r="I4328" s="312">
        <v>2019</v>
      </c>
      <c r="J4328" s="122" t="s">
        <v>711</v>
      </c>
      <c r="K4328" s="283">
        <v>938</v>
      </c>
      <c r="L4328" s="318">
        <v>-34.308601000000003</v>
      </c>
      <c r="M4328" s="318">
        <v>150.59953300000001</v>
      </c>
      <c r="O4328">
        <f>INDEX('MEC - traffic congestion'!$M$145:$M$249,MATCH($D4328,'MEC - traffic congestion'!$C$145:$C$249,0))</f>
        <v>1</v>
      </c>
      <c r="P4328" t="str">
        <f t="shared" si="197"/>
        <v>2019PM PEAK</v>
      </c>
      <c r="Q4328">
        <f t="shared" si="198"/>
        <v>1</v>
      </c>
      <c r="R4328" s="195" t="str">
        <f t="shared" si="199"/>
        <v>2019LIGHT VEHICLES</v>
      </c>
    </row>
    <row r="4329" spans="3:18" x14ac:dyDescent="0.25">
      <c r="C4329" s="294" t="s">
        <v>1027</v>
      </c>
      <c r="D4329" s="317" t="s">
        <v>760</v>
      </c>
      <c r="E4329" s="122" t="s">
        <v>1028</v>
      </c>
      <c r="F4329" s="122" t="s">
        <v>975</v>
      </c>
      <c r="G4329" s="122" t="s">
        <v>785</v>
      </c>
      <c r="H4329" s="122" t="s">
        <v>777</v>
      </c>
      <c r="I4329" s="312">
        <v>2019</v>
      </c>
      <c r="J4329" s="122" t="s">
        <v>712</v>
      </c>
      <c r="K4329" s="283">
        <v>1836</v>
      </c>
      <c r="L4329" s="318">
        <v>-34.308601000000003</v>
      </c>
      <c r="M4329" s="318">
        <v>150.59953300000001</v>
      </c>
      <c r="O4329">
        <f>INDEX('MEC - traffic congestion'!$M$145:$M$249,MATCH($D4329,'MEC - traffic congestion'!$C$145:$C$249,0))</f>
        <v>1</v>
      </c>
      <c r="P4329" t="str">
        <f t="shared" si="197"/>
        <v>2019PUBLIC HOLIDAYS</v>
      </c>
      <c r="Q4329">
        <f t="shared" si="198"/>
        <v>1</v>
      </c>
      <c r="R4329" s="195" t="str">
        <f t="shared" si="199"/>
        <v>2019LIGHT VEHICLES</v>
      </c>
    </row>
    <row r="4330" spans="3:18" x14ac:dyDescent="0.25">
      <c r="C4330" s="294" t="s">
        <v>1027</v>
      </c>
      <c r="D4330" s="317" t="s">
        <v>760</v>
      </c>
      <c r="E4330" s="122" t="s">
        <v>1028</v>
      </c>
      <c r="F4330" s="122" t="s">
        <v>975</v>
      </c>
      <c r="G4330" s="122" t="s">
        <v>786</v>
      </c>
      <c r="H4330" s="122" t="s">
        <v>777</v>
      </c>
      <c r="I4330" s="312">
        <v>2019</v>
      </c>
      <c r="J4330" s="122" t="s">
        <v>712</v>
      </c>
      <c r="K4330" s="283">
        <v>1497</v>
      </c>
      <c r="L4330" s="318">
        <v>-34.308601000000003</v>
      </c>
      <c r="M4330" s="318">
        <v>150.59953300000001</v>
      </c>
      <c r="O4330">
        <f>INDEX('MEC - traffic congestion'!$M$145:$M$249,MATCH($D4330,'MEC - traffic congestion'!$C$145:$C$249,0))</f>
        <v>1</v>
      </c>
      <c r="P4330" t="str">
        <f t="shared" si="197"/>
        <v>2019PUBLIC HOLIDAYS</v>
      </c>
      <c r="Q4330">
        <f t="shared" si="198"/>
        <v>1</v>
      </c>
      <c r="R4330" s="195" t="str">
        <f t="shared" si="199"/>
        <v>2019LIGHT VEHICLES</v>
      </c>
    </row>
    <row r="4331" spans="3:18" x14ac:dyDescent="0.25">
      <c r="C4331" s="294" t="s">
        <v>1027</v>
      </c>
      <c r="D4331" s="317" t="s">
        <v>760</v>
      </c>
      <c r="E4331" s="122" t="s">
        <v>1028</v>
      </c>
      <c r="F4331" s="122" t="s">
        <v>975</v>
      </c>
      <c r="G4331" s="122" t="s">
        <v>785</v>
      </c>
      <c r="H4331" s="122" t="s">
        <v>777</v>
      </c>
      <c r="I4331" s="312">
        <v>2019</v>
      </c>
      <c r="J4331" s="122" t="s">
        <v>713</v>
      </c>
      <c r="K4331" s="283">
        <v>1784</v>
      </c>
      <c r="L4331" s="318">
        <v>-34.308601000000003</v>
      </c>
      <c r="M4331" s="318">
        <v>150.59953300000001</v>
      </c>
      <c r="O4331">
        <f>INDEX('MEC - traffic congestion'!$M$145:$M$249,MATCH($D4331,'MEC - traffic congestion'!$C$145:$C$249,0))</f>
        <v>1</v>
      </c>
      <c r="P4331" t="str">
        <f t="shared" si="197"/>
        <v>2019WEEKENDS</v>
      </c>
      <c r="Q4331">
        <f t="shared" si="198"/>
        <v>1</v>
      </c>
      <c r="R4331" s="195" t="str">
        <f t="shared" si="199"/>
        <v>2019LIGHT VEHICLES</v>
      </c>
    </row>
    <row r="4332" spans="3:18" x14ac:dyDescent="0.25">
      <c r="C4332" s="294" t="s">
        <v>1027</v>
      </c>
      <c r="D4332" s="317" t="s">
        <v>760</v>
      </c>
      <c r="E4332" s="122" t="s">
        <v>1028</v>
      </c>
      <c r="F4332" s="122" t="s">
        <v>975</v>
      </c>
      <c r="G4332" s="122" t="s">
        <v>786</v>
      </c>
      <c r="H4332" s="122" t="s">
        <v>777</v>
      </c>
      <c r="I4332" s="312">
        <v>2019</v>
      </c>
      <c r="J4332" s="122" t="s">
        <v>713</v>
      </c>
      <c r="K4332" s="283">
        <v>1696</v>
      </c>
      <c r="L4332" s="318">
        <v>-34.308601000000003</v>
      </c>
      <c r="M4332" s="318">
        <v>150.59953300000001</v>
      </c>
      <c r="O4332">
        <f>INDEX('MEC - traffic congestion'!$M$145:$M$249,MATCH($D4332,'MEC - traffic congestion'!$C$145:$C$249,0))</f>
        <v>1</v>
      </c>
      <c r="P4332" t="str">
        <f t="shared" si="197"/>
        <v>2019WEEKENDS</v>
      </c>
      <c r="Q4332">
        <f t="shared" si="198"/>
        <v>1</v>
      </c>
      <c r="R4332" s="195" t="str">
        <f t="shared" si="199"/>
        <v>2019LIGHT VEHICLES</v>
      </c>
    </row>
    <row r="4333" spans="3:18" x14ac:dyDescent="0.25">
      <c r="C4333" s="294" t="s">
        <v>1027</v>
      </c>
      <c r="D4333" s="317" t="s">
        <v>760</v>
      </c>
      <c r="E4333" s="122" t="s">
        <v>1028</v>
      </c>
      <c r="F4333" s="122" t="s">
        <v>975</v>
      </c>
      <c r="G4333" s="122" t="s">
        <v>785</v>
      </c>
      <c r="H4333" s="122" t="s">
        <v>777</v>
      </c>
      <c r="I4333" s="312">
        <v>2020</v>
      </c>
      <c r="J4333" s="122" t="s">
        <v>709</v>
      </c>
      <c r="K4333" s="283">
        <v>833</v>
      </c>
      <c r="L4333" s="318">
        <v>-34.308601000000003</v>
      </c>
      <c r="M4333" s="318">
        <v>150.59953300000001</v>
      </c>
      <c r="O4333">
        <f>INDEX('MEC - traffic congestion'!$M$145:$M$249,MATCH($D4333,'MEC - traffic congestion'!$C$145:$C$249,0))</f>
        <v>1</v>
      </c>
      <c r="P4333" t="str">
        <f t="shared" si="197"/>
        <v>2020AM PEAK</v>
      </c>
      <c r="Q4333">
        <f t="shared" si="198"/>
        <v>1</v>
      </c>
      <c r="R4333" s="195" t="str">
        <f t="shared" si="199"/>
        <v>2020LIGHT VEHICLES</v>
      </c>
    </row>
    <row r="4334" spans="3:18" x14ac:dyDescent="0.25">
      <c r="C4334" s="294" t="s">
        <v>1027</v>
      </c>
      <c r="D4334" s="317" t="s">
        <v>760</v>
      </c>
      <c r="E4334" s="122" t="s">
        <v>1028</v>
      </c>
      <c r="F4334" s="122" t="s">
        <v>975</v>
      </c>
      <c r="G4334" s="122" t="s">
        <v>786</v>
      </c>
      <c r="H4334" s="122" t="s">
        <v>777</v>
      </c>
      <c r="I4334" s="312">
        <v>2020</v>
      </c>
      <c r="J4334" s="122" t="s">
        <v>709</v>
      </c>
      <c r="K4334" s="283">
        <v>326</v>
      </c>
      <c r="L4334" s="318">
        <v>-34.308601000000003</v>
      </c>
      <c r="M4334" s="318">
        <v>150.59953300000001</v>
      </c>
      <c r="O4334">
        <f>INDEX('MEC - traffic congestion'!$M$145:$M$249,MATCH($D4334,'MEC - traffic congestion'!$C$145:$C$249,0))</f>
        <v>1</v>
      </c>
      <c r="P4334" t="str">
        <f t="shared" si="197"/>
        <v>2020AM PEAK</v>
      </c>
      <c r="Q4334">
        <f t="shared" si="198"/>
        <v>1</v>
      </c>
      <c r="R4334" s="195" t="str">
        <f t="shared" si="199"/>
        <v>2020LIGHT VEHICLES</v>
      </c>
    </row>
    <row r="4335" spans="3:18" x14ac:dyDescent="0.25">
      <c r="C4335" s="294" t="s">
        <v>1027</v>
      </c>
      <c r="D4335" s="317" t="s">
        <v>760</v>
      </c>
      <c r="E4335" s="122" t="s">
        <v>1028</v>
      </c>
      <c r="F4335" s="122" t="s">
        <v>975</v>
      </c>
      <c r="G4335" s="122" t="s">
        <v>785</v>
      </c>
      <c r="H4335" s="122" t="s">
        <v>777</v>
      </c>
      <c r="I4335" s="312">
        <v>2020</v>
      </c>
      <c r="J4335" s="122" t="s">
        <v>710</v>
      </c>
      <c r="K4335" s="283">
        <v>944</v>
      </c>
      <c r="L4335" s="318">
        <v>-34.308601000000003</v>
      </c>
      <c r="M4335" s="318">
        <v>150.59953300000001</v>
      </c>
      <c r="O4335">
        <f>INDEX('MEC - traffic congestion'!$M$145:$M$249,MATCH($D4335,'MEC - traffic congestion'!$C$145:$C$249,0))</f>
        <v>1</v>
      </c>
      <c r="P4335" t="str">
        <f t="shared" si="197"/>
        <v>2020OFF PEAK</v>
      </c>
      <c r="Q4335">
        <f t="shared" si="198"/>
        <v>1</v>
      </c>
      <c r="R4335" s="195" t="str">
        <f t="shared" si="199"/>
        <v>2020LIGHT VEHICLES</v>
      </c>
    </row>
    <row r="4336" spans="3:18" x14ac:dyDescent="0.25">
      <c r="C4336" s="294" t="s">
        <v>1027</v>
      </c>
      <c r="D4336" s="317" t="s">
        <v>760</v>
      </c>
      <c r="E4336" s="122" t="s">
        <v>1028</v>
      </c>
      <c r="F4336" s="122" t="s">
        <v>975</v>
      </c>
      <c r="G4336" s="122" t="s">
        <v>786</v>
      </c>
      <c r="H4336" s="122" t="s">
        <v>777</v>
      </c>
      <c r="I4336" s="312">
        <v>2020</v>
      </c>
      <c r="J4336" s="122" t="s">
        <v>710</v>
      </c>
      <c r="K4336" s="283">
        <v>900</v>
      </c>
      <c r="L4336" s="318">
        <v>-34.308601000000003</v>
      </c>
      <c r="M4336" s="318">
        <v>150.59953300000001</v>
      </c>
      <c r="O4336">
        <f>INDEX('MEC - traffic congestion'!$M$145:$M$249,MATCH($D4336,'MEC - traffic congestion'!$C$145:$C$249,0))</f>
        <v>1</v>
      </c>
      <c r="P4336" t="str">
        <f t="shared" si="197"/>
        <v>2020OFF PEAK</v>
      </c>
      <c r="Q4336">
        <f t="shared" si="198"/>
        <v>1</v>
      </c>
      <c r="R4336" s="195" t="str">
        <f t="shared" si="199"/>
        <v>2020LIGHT VEHICLES</v>
      </c>
    </row>
    <row r="4337" spans="3:18" x14ac:dyDescent="0.25">
      <c r="C4337" s="294" t="s">
        <v>1027</v>
      </c>
      <c r="D4337" s="317" t="s">
        <v>760</v>
      </c>
      <c r="E4337" s="122" t="s">
        <v>1028</v>
      </c>
      <c r="F4337" s="122" t="s">
        <v>975</v>
      </c>
      <c r="G4337" s="122" t="s">
        <v>785</v>
      </c>
      <c r="H4337" s="122" t="s">
        <v>777</v>
      </c>
      <c r="I4337" s="312">
        <v>2020</v>
      </c>
      <c r="J4337" s="122" t="s">
        <v>711</v>
      </c>
      <c r="K4337" s="283">
        <v>447</v>
      </c>
      <c r="L4337" s="318">
        <v>-34.308601000000003</v>
      </c>
      <c r="M4337" s="318">
        <v>150.59953300000001</v>
      </c>
      <c r="O4337">
        <f>INDEX('MEC - traffic congestion'!$M$145:$M$249,MATCH($D4337,'MEC - traffic congestion'!$C$145:$C$249,0))</f>
        <v>1</v>
      </c>
      <c r="P4337" t="str">
        <f t="shared" si="197"/>
        <v>2020PM PEAK</v>
      </c>
      <c r="Q4337">
        <f t="shared" si="198"/>
        <v>1</v>
      </c>
      <c r="R4337" s="195" t="str">
        <f t="shared" si="199"/>
        <v>2020LIGHT VEHICLES</v>
      </c>
    </row>
    <row r="4338" spans="3:18" x14ac:dyDescent="0.25">
      <c r="C4338" s="294" t="s">
        <v>1027</v>
      </c>
      <c r="D4338" s="317" t="s">
        <v>760</v>
      </c>
      <c r="E4338" s="122" t="s">
        <v>1028</v>
      </c>
      <c r="F4338" s="122" t="s">
        <v>975</v>
      </c>
      <c r="G4338" s="122" t="s">
        <v>786</v>
      </c>
      <c r="H4338" s="122" t="s">
        <v>777</v>
      </c>
      <c r="I4338" s="312">
        <v>2020</v>
      </c>
      <c r="J4338" s="122" t="s">
        <v>711</v>
      </c>
      <c r="K4338" s="283">
        <v>909</v>
      </c>
      <c r="L4338" s="318">
        <v>-34.308601000000003</v>
      </c>
      <c r="M4338" s="318">
        <v>150.59953300000001</v>
      </c>
      <c r="O4338">
        <f>INDEX('MEC - traffic congestion'!$M$145:$M$249,MATCH($D4338,'MEC - traffic congestion'!$C$145:$C$249,0))</f>
        <v>1</v>
      </c>
      <c r="P4338" t="str">
        <f t="shared" si="197"/>
        <v>2020PM PEAK</v>
      </c>
      <c r="Q4338">
        <f t="shared" si="198"/>
        <v>1</v>
      </c>
      <c r="R4338" s="195" t="str">
        <f t="shared" si="199"/>
        <v>2020LIGHT VEHICLES</v>
      </c>
    </row>
    <row r="4339" spans="3:18" x14ac:dyDescent="0.25">
      <c r="C4339" s="294" t="s">
        <v>1027</v>
      </c>
      <c r="D4339" s="317" t="s">
        <v>760</v>
      </c>
      <c r="E4339" s="122" t="s">
        <v>1028</v>
      </c>
      <c r="F4339" s="122" t="s">
        <v>975</v>
      </c>
      <c r="G4339" s="122" t="s">
        <v>785</v>
      </c>
      <c r="H4339" s="122" t="s">
        <v>777</v>
      </c>
      <c r="I4339" s="312">
        <v>2020</v>
      </c>
      <c r="J4339" s="122" t="s">
        <v>712</v>
      </c>
      <c r="K4339" s="283">
        <v>1288</v>
      </c>
      <c r="L4339" s="318">
        <v>-34.308601000000003</v>
      </c>
      <c r="M4339" s="318">
        <v>150.59953300000001</v>
      </c>
      <c r="O4339">
        <f>INDEX('MEC - traffic congestion'!$M$145:$M$249,MATCH($D4339,'MEC - traffic congestion'!$C$145:$C$249,0))</f>
        <v>1</v>
      </c>
      <c r="P4339" t="str">
        <f t="shared" si="197"/>
        <v>2020PUBLIC HOLIDAYS</v>
      </c>
      <c r="Q4339">
        <f t="shared" si="198"/>
        <v>1</v>
      </c>
      <c r="R4339" s="195" t="str">
        <f t="shared" si="199"/>
        <v>2020LIGHT VEHICLES</v>
      </c>
    </row>
    <row r="4340" spans="3:18" x14ac:dyDescent="0.25">
      <c r="C4340" s="294" t="s">
        <v>1027</v>
      </c>
      <c r="D4340" s="317" t="s">
        <v>760</v>
      </c>
      <c r="E4340" s="122" t="s">
        <v>1028</v>
      </c>
      <c r="F4340" s="122" t="s">
        <v>975</v>
      </c>
      <c r="G4340" s="122" t="s">
        <v>786</v>
      </c>
      <c r="H4340" s="122" t="s">
        <v>777</v>
      </c>
      <c r="I4340" s="312">
        <v>2020</v>
      </c>
      <c r="J4340" s="122" t="s">
        <v>712</v>
      </c>
      <c r="K4340" s="283">
        <v>1146</v>
      </c>
      <c r="L4340" s="318">
        <v>-34.308601000000003</v>
      </c>
      <c r="M4340" s="318">
        <v>150.59953300000001</v>
      </c>
      <c r="O4340">
        <f>INDEX('MEC - traffic congestion'!$M$145:$M$249,MATCH($D4340,'MEC - traffic congestion'!$C$145:$C$249,0))</f>
        <v>1</v>
      </c>
      <c r="P4340" t="str">
        <f t="shared" si="197"/>
        <v>2020PUBLIC HOLIDAYS</v>
      </c>
      <c r="Q4340">
        <f t="shared" si="198"/>
        <v>1</v>
      </c>
      <c r="R4340" s="195" t="str">
        <f t="shared" si="199"/>
        <v>2020LIGHT VEHICLES</v>
      </c>
    </row>
    <row r="4341" spans="3:18" x14ac:dyDescent="0.25">
      <c r="C4341" s="294" t="s">
        <v>1027</v>
      </c>
      <c r="D4341" s="317" t="s">
        <v>760</v>
      </c>
      <c r="E4341" s="122" t="s">
        <v>1028</v>
      </c>
      <c r="F4341" s="122" t="s">
        <v>975</v>
      </c>
      <c r="G4341" s="122" t="s">
        <v>785</v>
      </c>
      <c r="H4341" s="122" t="s">
        <v>777</v>
      </c>
      <c r="I4341" s="312">
        <v>2020</v>
      </c>
      <c r="J4341" s="122" t="s">
        <v>713</v>
      </c>
      <c r="K4341" s="283">
        <v>1637</v>
      </c>
      <c r="L4341" s="318">
        <v>-34.308601000000003</v>
      </c>
      <c r="M4341" s="318">
        <v>150.59953300000001</v>
      </c>
      <c r="O4341">
        <f>INDEX('MEC - traffic congestion'!$M$145:$M$249,MATCH($D4341,'MEC - traffic congestion'!$C$145:$C$249,0))</f>
        <v>1</v>
      </c>
      <c r="P4341" t="str">
        <f t="shared" si="197"/>
        <v>2020WEEKENDS</v>
      </c>
      <c r="Q4341">
        <f t="shared" si="198"/>
        <v>1</v>
      </c>
      <c r="R4341" s="195" t="str">
        <f t="shared" si="199"/>
        <v>2020LIGHT VEHICLES</v>
      </c>
    </row>
    <row r="4342" spans="3:18" x14ac:dyDescent="0.25">
      <c r="C4342" s="294" t="s">
        <v>1027</v>
      </c>
      <c r="D4342" s="317" t="s">
        <v>760</v>
      </c>
      <c r="E4342" s="122" t="s">
        <v>1028</v>
      </c>
      <c r="F4342" s="122" t="s">
        <v>975</v>
      </c>
      <c r="G4342" s="122" t="s">
        <v>786</v>
      </c>
      <c r="H4342" s="122" t="s">
        <v>777</v>
      </c>
      <c r="I4342" s="312">
        <v>2020</v>
      </c>
      <c r="J4342" s="122" t="s">
        <v>713</v>
      </c>
      <c r="K4342" s="283">
        <v>1576</v>
      </c>
      <c r="L4342" s="318">
        <v>-34.308601000000003</v>
      </c>
      <c r="M4342" s="318">
        <v>150.59953300000001</v>
      </c>
      <c r="O4342">
        <f>INDEX('MEC - traffic congestion'!$M$145:$M$249,MATCH($D4342,'MEC - traffic congestion'!$C$145:$C$249,0))</f>
        <v>1</v>
      </c>
      <c r="P4342" t="str">
        <f t="shared" si="197"/>
        <v>2020WEEKENDS</v>
      </c>
      <c r="Q4342">
        <f t="shared" si="198"/>
        <v>1</v>
      </c>
      <c r="R4342" s="195" t="str">
        <f t="shared" si="199"/>
        <v>2020LIGHT VEHICLES</v>
      </c>
    </row>
    <row r="4343" spans="3:18" x14ac:dyDescent="0.25">
      <c r="C4343" s="294" t="s">
        <v>1027</v>
      </c>
      <c r="D4343" s="317" t="s">
        <v>760</v>
      </c>
      <c r="E4343" s="122" t="s">
        <v>1028</v>
      </c>
      <c r="F4343" s="122" t="s">
        <v>975</v>
      </c>
      <c r="G4343" s="122" t="s">
        <v>785</v>
      </c>
      <c r="H4343" s="122" t="s">
        <v>777</v>
      </c>
      <c r="I4343" s="312">
        <v>2021</v>
      </c>
      <c r="J4343" s="122" t="s">
        <v>709</v>
      </c>
      <c r="K4343" s="283">
        <v>845</v>
      </c>
      <c r="L4343" s="318">
        <v>-34.308601000000003</v>
      </c>
      <c r="M4343" s="318">
        <v>150.59953300000001</v>
      </c>
      <c r="O4343">
        <f>INDEX('MEC - traffic congestion'!$M$145:$M$249,MATCH($D4343,'MEC - traffic congestion'!$C$145:$C$249,0))</f>
        <v>1</v>
      </c>
      <c r="P4343" t="str">
        <f t="shared" si="197"/>
        <v>2021AM PEAK</v>
      </c>
      <c r="Q4343">
        <f t="shared" si="198"/>
        <v>1</v>
      </c>
      <c r="R4343" s="195" t="str">
        <f t="shared" si="199"/>
        <v>2021LIGHT VEHICLES</v>
      </c>
    </row>
    <row r="4344" spans="3:18" x14ac:dyDescent="0.25">
      <c r="C4344" s="294" t="s">
        <v>1027</v>
      </c>
      <c r="D4344" s="317" t="s">
        <v>760</v>
      </c>
      <c r="E4344" s="122" t="s">
        <v>1028</v>
      </c>
      <c r="F4344" s="122" t="s">
        <v>975</v>
      </c>
      <c r="G4344" s="122" t="s">
        <v>786</v>
      </c>
      <c r="H4344" s="122" t="s">
        <v>777</v>
      </c>
      <c r="I4344" s="312">
        <v>2021</v>
      </c>
      <c r="J4344" s="122" t="s">
        <v>709</v>
      </c>
      <c r="K4344" s="283">
        <v>341</v>
      </c>
      <c r="L4344" s="318">
        <v>-34.308601000000003</v>
      </c>
      <c r="M4344" s="318">
        <v>150.59953300000001</v>
      </c>
      <c r="O4344">
        <f>INDEX('MEC - traffic congestion'!$M$145:$M$249,MATCH($D4344,'MEC - traffic congestion'!$C$145:$C$249,0))</f>
        <v>1</v>
      </c>
      <c r="P4344" t="str">
        <f t="shared" si="197"/>
        <v>2021AM PEAK</v>
      </c>
      <c r="Q4344">
        <f t="shared" si="198"/>
        <v>1</v>
      </c>
      <c r="R4344" s="195" t="str">
        <f t="shared" si="199"/>
        <v>2021LIGHT VEHICLES</v>
      </c>
    </row>
    <row r="4345" spans="3:18" x14ac:dyDescent="0.25">
      <c r="C4345" s="294" t="s">
        <v>1027</v>
      </c>
      <c r="D4345" s="317" t="s">
        <v>760</v>
      </c>
      <c r="E4345" s="122" t="s">
        <v>1028</v>
      </c>
      <c r="F4345" s="122" t="s">
        <v>975</v>
      </c>
      <c r="G4345" s="122" t="s">
        <v>785</v>
      </c>
      <c r="H4345" s="122" t="s">
        <v>777</v>
      </c>
      <c r="I4345" s="312">
        <v>2021</v>
      </c>
      <c r="J4345" s="122" t="s">
        <v>710</v>
      </c>
      <c r="K4345" s="283">
        <v>918</v>
      </c>
      <c r="L4345" s="318">
        <v>-34.308601000000003</v>
      </c>
      <c r="M4345" s="318">
        <v>150.59953300000001</v>
      </c>
      <c r="O4345">
        <f>INDEX('MEC - traffic congestion'!$M$145:$M$249,MATCH($D4345,'MEC - traffic congestion'!$C$145:$C$249,0))</f>
        <v>1</v>
      </c>
      <c r="P4345" t="str">
        <f t="shared" si="197"/>
        <v>2021OFF PEAK</v>
      </c>
      <c r="Q4345">
        <f t="shared" si="198"/>
        <v>1</v>
      </c>
      <c r="R4345" s="195" t="str">
        <f t="shared" si="199"/>
        <v>2021LIGHT VEHICLES</v>
      </c>
    </row>
    <row r="4346" spans="3:18" x14ac:dyDescent="0.25">
      <c r="C4346" s="294" t="s">
        <v>1027</v>
      </c>
      <c r="D4346" s="317" t="s">
        <v>760</v>
      </c>
      <c r="E4346" s="122" t="s">
        <v>1028</v>
      </c>
      <c r="F4346" s="122" t="s">
        <v>975</v>
      </c>
      <c r="G4346" s="122" t="s">
        <v>786</v>
      </c>
      <c r="H4346" s="122" t="s">
        <v>777</v>
      </c>
      <c r="I4346" s="312">
        <v>2021</v>
      </c>
      <c r="J4346" s="122" t="s">
        <v>710</v>
      </c>
      <c r="K4346" s="283">
        <v>893</v>
      </c>
      <c r="L4346" s="318">
        <v>-34.308601000000003</v>
      </c>
      <c r="M4346" s="318">
        <v>150.59953300000001</v>
      </c>
      <c r="O4346">
        <f>INDEX('MEC - traffic congestion'!$M$145:$M$249,MATCH($D4346,'MEC - traffic congestion'!$C$145:$C$249,0))</f>
        <v>1</v>
      </c>
      <c r="P4346" t="str">
        <f t="shared" si="197"/>
        <v>2021OFF PEAK</v>
      </c>
      <c r="Q4346">
        <f t="shared" si="198"/>
        <v>1</v>
      </c>
      <c r="R4346" s="195" t="str">
        <f t="shared" si="199"/>
        <v>2021LIGHT VEHICLES</v>
      </c>
    </row>
    <row r="4347" spans="3:18" x14ac:dyDescent="0.25">
      <c r="C4347" s="294" t="s">
        <v>1027</v>
      </c>
      <c r="D4347" s="317" t="s">
        <v>760</v>
      </c>
      <c r="E4347" s="122" t="s">
        <v>1028</v>
      </c>
      <c r="F4347" s="122" t="s">
        <v>975</v>
      </c>
      <c r="G4347" s="122" t="s">
        <v>785</v>
      </c>
      <c r="H4347" s="122" t="s">
        <v>777</v>
      </c>
      <c r="I4347" s="312">
        <v>2021</v>
      </c>
      <c r="J4347" s="122" t="s">
        <v>711</v>
      </c>
      <c r="K4347" s="283">
        <v>462</v>
      </c>
      <c r="L4347" s="318">
        <v>-34.308601000000003</v>
      </c>
      <c r="M4347" s="318">
        <v>150.59953300000001</v>
      </c>
      <c r="O4347">
        <f>INDEX('MEC - traffic congestion'!$M$145:$M$249,MATCH($D4347,'MEC - traffic congestion'!$C$145:$C$249,0))</f>
        <v>1</v>
      </c>
      <c r="P4347" t="str">
        <f t="shared" si="197"/>
        <v>2021PM PEAK</v>
      </c>
      <c r="Q4347">
        <f t="shared" si="198"/>
        <v>1</v>
      </c>
      <c r="R4347" s="195" t="str">
        <f t="shared" si="199"/>
        <v>2021LIGHT VEHICLES</v>
      </c>
    </row>
    <row r="4348" spans="3:18" x14ac:dyDescent="0.25">
      <c r="C4348" s="294" t="s">
        <v>1027</v>
      </c>
      <c r="D4348" s="317" t="s">
        <v>760</v>
      </c>
      <c r="E4348" s="122" t="s">
        <v>1028</v>
      </c>
      <c r="F4348" s="122" t="s">
        <v>975</v>
      </c>
      <c r="G4348" s="122" t="s">
        <v>786</v>
      </c>
      <c r="H4348" s="122" t="s">
        <v>777</v>
      </c>
      <c r="I4348" s="312">
        <v>2021</v>
      </c>
      <c r="J4348" s="122" t="s">
        <v>711</v>
      </c>
      <c r="K4348" s="283">
        <v>898</v>
      </c>
      <c r="L4348" s="318">
        <v>-34.308601000000003</v>
      </c>
      <c r="M4348" s="318">
        <v>150.59953300000001</v>
      </c>
      <c r="O4348">
        <f>INDEX('MEC - traffic congestion'!$M$145:$M$249,MATCH($D4348,'MEC - traffic congestion'!$C$145:$C$249,0))</f>
        <v>1</v>
      </c>
      <c r="P4348" t="str">
        <f t="shared" si="197"/>
        <v>2021PM PEAK</v>
      </c>
      <c r="Q4348">
        <f t="shared" si="198"/>
        <v>1</v>
      </c>
      <c r="R4348" s="195" t="str">
        <f t="shared" si="199"/>
        <v>2021LIGHT VEHICLES</v>
      </c>
    </row>
    <row r="4349" spans="3:18" x14ac:dyDescent="0.25">
      <c r="C4349" s="294" t="s">
        <v>1027</v>
      </c>
      <c r="D4349" s="317" t="s">
        <v>760</v>
      </c>
      <c r="E4349" s="122" t="s">
        <v>1028</v>
      </c>
      <c r="F4349" s="122" t="s">
        <v>975</v>
      </c>
      <c r="G4349" s="122" t="s">
        <v>785</v>
      </c>
      <c r="H4349" s="122" t="s">
        <v>777</v>
      </c>
      <c r="I4349" s="312">
        <v>2021</v>
      </c>
      <c r="J4349" s="122" t="s">
        <v>713</v>
      </c>
      <c r="K4349" s="283">
        <v>1504</v>
      </c>
      <c r="L4349" s="318">
        <v>-34.308601000000003</v>
      </c>
      <c r="M4349" s="318">
        <v>150.59953300000001</v>
      </c>
      <c r="O4349">
        <f>INDEX('MEC - traffic congestion'!$M$145:$M$249,MATCH($D4349,'MEC - traffic congestion'!$C$145:$C$249,0))</f>
        <v>1</v>
      </c>
      <c r="P4349" t="str">
        <f t="shared" si="197"/>
        <v>2021WEEKENDS</v>
      </c>
      <c r="Q4349">
        <f t="shared" si="198"/>
        <v>1</v>
      </c>
      <c r="R4349" s="195" t="str">
        <f t="shared" si="199"/>
        <v>2021LIGHT VEHICLES</v>
      </c>
    </row>
    <row r="4350" spans="3:18" x14ac:dyDescent="0.25">
      <c r="C4350" s="294" t="s">
        <v>1027</v>
      </c>
      <c r="D4350" s="317" t="s">
        <v>760</v>
      </c>
      <c r="E4350" s="122" t="s">
        <v>1028</v>
      </c>
      <c r="F4350" s="122" t="s">
        <v>975</v>
      </c>
      <c r="G4350" s="122" t="s">
        <v>786</v>
      </c>
      <c r="H4350" s="122" t="s">
        <v>777</v>
      </c>
      <c r="I4350" s="312">
        <v>2021</v>
      </c>
      <c r="J4350" s="122" t="s">
        <v>713</v>
      </c>
      <c r="K4350" s="283">
        <v>1419</v>
      </c>
      <c r="L4350" s="318">
        <v>-34.308601000000003</v>
      </c>
      <c r="M4350" s="318">
        <v>150.59953300000001</v>
      </c>
      <c r="O4350">
        <f>INDEX('MEC - traffic congestion'!$M$145:$M$249,MATCH($D4350,'MEC - traffic congestion'!$C$145:$C$249,0))</f>
        <v>1</v>
      </c>
      <c r="P4350" t="str">
        <f t="shared" si="197"/>
        <v>2021WEEKENDS</v>
      </c>
      <c r="Q4350">
        <f t="shared" si="198"/>
        <v>1</v>
      </c>
      <c r="R4350" s="195" t="str">
        <f t="shared" si="199"/>
        <v>2021LIGHT VEHICLES</v>
      </c>
    </row>
    <row r="4351" spans="3:18" x14ac:dyDescent="0.25">
      <c r="C4351" s="294" t="s">
        <v>1027</v>
      </c>
      <c r="D4351" s="317" t="s">
        <v>760</v>
      </c>
      <c r="E4351" s="122" t="s">
        <v>1028</v>
      </c>
      <c r="F4351" s="122" t="s">
        <v>975</v>
      </c>
      <c r="G4351" s="122" t="s">
        <v>785</v>
      </c>
      <c r="H4351" s="122" t="s">
        <v>777</v>
      </c>
      <c r="I4351" s="312">
        <v>2022</v>
      </c>
      <c r="J4351" s="122" t="s">
        <v>709</v>
      </c>
      <c r="K4351" s="283">
        <v>852</v>
      </c>
      <c r="L4351" s="318">
        <v>-34.308601000000003</v>
      </c>
      <c r="M4351" s="318">
        <v>150.59953300000001</v>
      </c>
      <c r="O4351">
        <f>INDEX('MEC - traffic congestion'!$M$145:$M$249,MATCH($D4351,'MEC - traffic congestion'!$C$145:$C$249,0))</f>
        <v>1</v>
      </c>
      <c r="P4351" t="str">
        <f t="shared" si="197"/>
        <v>2022AM PEAK</v>
      </c>
      <c r="Q4351">
        <f t="shared" si="198"/>
        <v>1</v>
      </c>
      <c r="R4351" s="195" t="str">
        <f t="shared" si="199"/>
        <v>2022LIGHT VEHICLES</v>
      </c>
    </row>
    <row r="4352" spans="3:18" x14ac:dyDescent="0.25">
      <c r="C4352" s="294" t="s">
        <v>1027</v>
      </c>
      <c r="D4352" s="317" t="s">
        <v>760</v>
      </c>
      <c r="E4352" s="122" t="s">
        <v>1028</v>
      </c>
      <c r="F4352" s="122" t="s">
        <v>975</v>
      </c>
      <c r="G4352" s="122" t="s">
        <v>786</v>
      </c>
      <c r="H4352" s="122" t="s">
        <v>777</v>
      </c>
      <c r="I4352" s="312">
        <v>2022</v>
      </c>
      <c r="J4352" s="122" t="s">
        <v>709</v>
      </c>
      <c r="K4352" s="283">
        <v>361</v>
      </c>
      <c r="L4352" s="318">
        <v>-34.308601000000003</v>
      </c>
      <c r="M4352" s="318">
        <v>150.59953300000001</v>
      </c>
      <c r="O4352">
        <f>INDEX('MEC - traffic congestion'!$M$145:$M$249,MATCH($D4352,'MEC - traffic congestion'!$C$145:$C$249,0))</f>
        <v>1</v>
      </c>
      <c r="P4352" t="str">
        <f t="shared" si="197"/>
        <v>2022AM PEAK</v>
      </c>
      <c r="Q4352">
        <f t="shared" si="198"/>
        <v>1</v>
      </c>
      <c r="R4352" s="195" t="str">
        <f t="shared" si="199"/>
        <v>2022LIGHT VEHICLES</v>
      </c>
    </row>
    <row r="4353" spans="3:18" x14ac:dyDescent="0.25">
      <c r="C4353" s="294" t="s">
        <v>1027</v>
      </c>
      <c r="D4353" s="317" t="s">
        <v>760</v>
      </c>
      <c r="E4353" s="122" t="s">
        <v>1028</v>
      </c>
      <c r="F4353" s="122" t="s">
        <v>975</v>
      </c>
      <c r="G4353" s="122" t="s">
        <v>785</v>
      </c>
      <c r="H4353" s="122" t="s">
        <v>777</v>
      </c>
      <c r="I4353" s="312">
        <v>2022</v>
      </c>
      <c r="J4353" s="122" t="s">
        <v>710</v>
      </c>
      <c r="K4353" s="283">
        <v>995</v>
      </c>
      <c r="L4353" s="318">
        <v>-34.308601000000003</v>
      </c>
      <c r="M4353" s="318">
        <v>150.59953300000001</v>
      </c>
      <c r="O4353">
        <f>INDEX('MEC - traffic congestion'!$M$145:$M$249,MATCH($D4353,'MEC - traffic congestion'!$C$145:$C$249,0))</f>
        <v>1</v>
      </c>
      <c r="P4353" t="str">
        <f t="shared" si="197"/>
        <v>2022OFF PEAK</v>
      </c>
      <c r="Q4353">
        <f t="shared" si="198"/>
        <v>1</v>
      </c>
      <c r="R4353" s="195" t="str">
        <f t="shared" si="199"/>
        <v>2022LIGHT VEHICLES</v>
      </c>
    </row>
    <row r="4354" spans="3:18" x14ac:dyDescent="0.25">
      <c r="C4354" s="294" t="s">
        <v>1027</v>
      </c>
      <c r="D4354" s="317" t="s">
        <v>760</v>
      </c>
      <c r="E4354" s="122" t="s">
        <v>1028</v>
      </c>
      <c r="F4354" s="122" t="s">
        <v>975</v>
      </c>
      <c r="G4354" s="122" t="s">
        <v>786</v>
      </c>
      <c r="H4354" s="122" t="s">
        <v>777</v>
      </c>
      <c r="I4354" s="312">
        <v>2022</v>
      </c>
      <c r="J4354" s="122" t="s">
        <v>710</v>
      </c>
      <c r="K4354" s="283">
        <v>969</v>
      </c>
      <c r="L4354" s="318">
        <v>-34.308601000000003</v>
      </c>
      <c r="M4354" s="318">
        <v>150.59953300000001</v>
      </c>
      <c r="O4354">
        <f>INDEX('MEC - traffic congestion'!$M$145:$M$249,MATCH($D4354,'MEC - traffic congestion'!$C$145:$C$249,0))</f>
        <v>1</v>
      </c>
      <c r="P4354" t="str">
        <f t="shared" si="197"/>
        <v>2022OFF PEAK</v>
      </c>
      <c r="Q4354">
        <f t="shared" si="198"/>
        <v>1</v>
      </c>
      <c r="R4354" s="195" t="str">
        <f t="shared" si="199"/>
        <v>2022LIGHT VEHICLES</v>
      </c>
    </row>
    <row r="4355" spans="3:18" x14ac:dyDescent="0.25">
      <c r="C4355" s="294" t="s">
        <v>1027</v>
      </c>
      <c r="D4355" s="317" t="s">
        <v>760</v>
      </c>
      <c r="E4355" s="122" t="s">
        <v>1028</v>
      </c>
      <c r="F4355" s="122" t="s">
        <v>975</v>
      </c>
      <c r="G4355" s="122" t="s">
        <v>785</v>
      </c>
      <c r="H4355" s="122" t="s">
        <v>777</v>
      </c>
      <c r="I4355" s="312">
        <v>2022</v>
      </c>
      <c r="J4355" s="122" t="s">
        <v>711</v>
      </c>
      <c r="K4355" s="283">
        <v>498</v>
      </c>
      <c r="L4355" s="318">
        <v>-34.308601000000003</v>
      </c>
      <c r="M4355" s="318">
        <v>150.59953300000001</v>
      </c>
      <c r="O4355">
        <f>INDEX('MEC - traffic congestion'!$M$145:$M$249,MATCH($D4355,'MEC - traffic congestion'!$C$145:$C$249,0))</f>
        <v>1</v>
      </c>
      <c r="P4355" t="str">
        <f t="shared" si="197"/>
        <v>2022PM PEAK</v>
      </c>
      <c r="Q4355">
        <f t="shared" si="198"/>
        <v>1</v>
      </c>
      <c r="R4355" s="195" t="str">
        <f t="shared" si="199"/>
        <v>2022LIGHT VEHICLES</v>
      </c>
    </row>
    <row r="4356" spans="3:18" x14ac:dyDescent="0.25">
      <c r="C4356" s="294" t="s">
        <v>1027</v>
      </c>
      <c r="D4356" s="317" t="s">
        <v>760</v>
      </c>
      <c r="E4356" s="122" t="s">
        <v>1028</v>
      </c>
      <c r="F4356" s="122" t="s">
        <v>975</v>
      </c>
      <c r="G4356" s="122" t="s">
        <v>786</v>
      </c>
      <c r="H4356" s="122" t="s">
        <v>777</v>
      </c>
      <c r="I4356" s="312">
        <v>2022</v>
      </c>
      <c r="J4356" s="122" t="s">
        <v>711</v>
      </c>
      <c r="K4356" s="283">
        <v>947</v>
      </c>
      <c r="L4356" s="318">
        <v>-34.308601000000003</v>
      </c>
      <c r="M4356" s="318">
        <v>150.59953300000001</v>
      </c>
      <c r="O4356">
        <f>INDEX('MEC - traffic congestion'!$M$145:$M$249,MATCH($D4356,'MEC - traffic congestion'!$C$145:$C$249,0))</f>
        <v>1</v>
      </c>
      <c r="P4356" t="str">
        <f t="shared" si="197"/>
        <v>2022PM PEAK</v>
      </c>
      <c r="Q4356">
        <f t="shared" si="198"/>
        <v>1</v>
      </c>
      <c r="R4356" s="195" t="str">
        <f t="shared" si="199"/>
        <v>2022LIGHT VEHICLES</v>
      </c>
    </row>
    <row r="4357" spans="3:18" x14ac:dyDescent="0.25">
      <c r="C4357" s="294" t="s">
        <v>1027</v>
      </c>
      <c r="D4357" s="317" t="s">
        <v>760</v>
      </c>
      <c r="E4357" s="122" t="s">
        <v>1028</v>
      </c>
      <c r="F4357" s="122" t="s">
        <v>975</v>
      </c>
      <c r="G4357" s="122" t="s">
        <v>785</v>
      </c>
      <c r="H4357" s="122" t="s">
        <v>777</v>
      </c>
      <c r="I4357" s="312">
        <v>2022</v>
      </c>
      <c r="J4357" s="122" t="s">
        <v>713</v>
      </c>
      <c r="K4357" s="283">
        <v>1812</v>
      </c>
      <c r="L4357" s="318">
        <v>-34.308601000000003</v>
      </c>
      <c r="M4357" s="318">
        <v>150.59953300000001</v>
      </c>
      <c r="O4357">
        <f>INDEX('MEC - traffic congestion'!$M$145:$M$249,MATCH($D4357,'MEC - traffic congestion'!$C$145:$C$249,0))</f>
        <v>1</v>
      </c>
      <c r="P4357" t="str">
        <f t="shared" si="197"/>
        <v>2022WEEKENDS</v>
      </c>
      <c r="Q4357">
        <f t="shared" si="198"/>
        <v>1</v>
      </c>
      <c r="R4357" s="195" t="str">
        <f t="shared" si="199"/>
        <v>2022LIGHT VEHICLES</v>
      </c>
    </row>
    <row r="4358" spans="3:18" x14ac:dyDescent="0.25">
      <c r="C4358" s="294" t="s">
        <v>1027</v>
      </c>
      <c r="D4358" s="317" t="s">
        <v>760</v>
      </c>
      <c r="E4358" s="122" t="s">
        <v>1028</v>
      </c>
      <c r="F4358" s="122" t="s">
        <v>975</v>
      </c>
      <c r="G4358" s="122" t="s">
        <v>786</v>
      </c>
      <c r="H4358" s="122" t="s">
        <v>777</v>
      </c>
      <c r="I4358" s="312">
        <v>2022</v>
      </c>
      <c r="J4358" s="122" t="s">
        <v>713</v>
      </c>
      <c r="K4358" s="283">
        <v>1745</v>
      </c>
      <c r="L4358" s="318">
        <v>-34.308601000000003</v>
      </c>
      <c r="M4358" s="318">
        <v>150.59953300000001</v>
      </c>
      <c r="O4358">
        <f>INDEX('MEC - traffic congestion'!$M$145:$M$249,MATCH($D4358,'MEC - traffic congestion'!$C$145:$C$249,0))</f>
        <v>1</v>
      </c>
      <c r="P4358" t="str">
        <f t="shared" si="197"/>
        <v>2022WEEKENDS</v>
      </c>
      <c r="Q4358">
        <f t="shared" si="198"/>
        <v>1</v>
      </c>
      <c r="R4358" s="195" t="str">
        <f t="shared" si="199"/>
        <v>2022LIGHT VEHICLES</v>
      </c>
    </row>
    <row r="4359" spans="3:18" x14ac:dyDescent="0.25">
      <c r="C4359" s="294" t="s">
        <v>1027</v>
      </c>
      <c r="D4359" s="317" t="s">
        <v>760</v>
      </c>
      <c r="E4359" s="122" t="s">
        <v>1028</v>
      </c>
      <c r="F4359" s="122" t="s">
        <v>975</v>
      </c>
      <c r="G4359" s="122" t="s">
        <v>785</v>
      </c>
      <c r="H4359" s="122" t="s">
        <v>777</v>
      </c>
      <c r="I4359" s="312">
        <v>2023</v>
      </c>
      <c r="J4359" s="122" t="s">
        <v>709</v>
      </c>
      <c r="K4359" s="283">
        <v>939</v>
      </c>
      <c r="L4359" s="318">
        <v>-34.308601000000003</v>
      </c>
      <c r="M4359" s="318">
        <v>150.59953300000001</v>
      </c>
      <c r="O4359">
        <f>INDEX('MEC - traffic congestion'!$M$145:$M$249,MATCH($D4359,'MEC - traffic congestion'!$C$145:$C$249,0))</f>
        <v>1</v>
      </c>
      <c r="P4359" t="str">
        <f t="shared" si="197"/>
        <v>2023AM PEAK</v>
      </c>
      <c r="Q4359">
        <f t="shared" si="198"/>
        <v>1</v>
      </c>
      <c r="R4359" s="195" t="str">
        <f t="shared" si="199"/>
        <v>2023LIGHT VEHICLES</v>
      </c>
    </row>
    <row r="4360" spans="3:18" x14ac:dyDescent="0.25">
      <c r="C4360" s="294" t="s">
        <v>1027</v>
      </c>
      <c r="D4360" s="317" t="s">
        <v>760</v>
      </c>
      <c r="E4360" s="122" t="s">
        <v>1028</v>
      </c>
      <c r="F4360" s="122" t="s">
        <v>975</v>
      </c>
      <c r="G4360" s="122" t="s">
        <v>786</v>
      </c>
      <c r="H4360" s="122" t="s">
        <v>777</v>
      </c>
      <c r="I4360" s="312">
        <v>2023</v>
      </c>
      <c r="J4360" s="122" t="s">
        <v>709</v>
      </c>
      <c r="K4360" s="283">
        <v>403</v>
      </c>
      <c r="L4360" s="318">
        <v>-34.308601000000003</v>
      </c>
      <c r="M4360" s="318">
        <v>150.59953300000001</v>
      </c>
      <c r="O4360">
        <f>INDEX('MEC - traffic congestion'!$M$145:$M$249,MATCH($D4360,'MEC - traffic congestion'!$C$145:$C$249,0))</f>
        <v>1</v>
      </c>
      <c r="P4360" t="str">
        <f t="shared" si="197"/>
        <v>2023AM PEAK</v>
      </c>
      <c r="Q4360">
        <f t="shared" si="198"/>
        <v>1</v>
      </c>
      <c r="R4360" s="195" t="str">
        <f t="shared" si="199"/>
        <v>2023LIGHT VEHICLES</v>
      </c>
    </row>
    <row r="4361" spans="3:18" x14ac:dyDescent="0.25">
      <c r="C4361" s="294" t="s">
        <v>1027</v>
      </c>
      <c r="D4361" s="317" t="s">
        <v>760</v>
      </c>
      <c r="E4361" s="122" t="s">
        <v>1028</v>
      </c>
      <c r="F4361" s="122" t="s">
        <v>975</v>
      </c>
      <c r="G4361" s="122" t="s">
        <v>785</v>
      </c>
      <c r="H4361" s="122" t="s">
        <v>777</v>
      </c>
      <c r="I4361" s="312">
        <v>2023</v>
      </c>
      <c r="J4361" s="122" t="s">
        <v>710</v>
      </c>
      <c r="K4361" s="283">
        <v>1040</v>
      </c>
      <c r="L4361" s="318">
        <v>-34.308601000000003</v>
      </c>
      <c r="M4361" s="318">
        <v>150.59953300000001</v>
      </c>
      <c r="O4361">
        <f>INDEX('MEC - traffic congestion'!$M$145:$M$249,MATCH($D4361,'MEC - traffic congestion'!$C$145:$C$249,0))</f>
        <v>1</v>
      </c>
      <c r="P4361" t="str">
        <f t="shared" si="197"/>
        <v>2023OFF PEAK</v>
      </c>
      <c r="Q4361">
        <f t="shared" si="198"/>
        <v>1</v>
      </c>
      <c r="R4361" s="195" t="str">
        <f t="shared" si="199"/>
        <v>2023LIGHT VEHICLES</v>
      </c>
    </row>
    <row r="4362" spans="3:18" x14ac:dyDescent="0.25">
      <c r="C4362" s="294" t="s">
        <v>1027</v>
      </c>
      <c r="D4362" s="317" t="s">
        <v>760</v>
      </c>
      <c r="E4362" s="122" t="s">
        <v>1028</v>
      </c>
      <c r="F4362" s="122" t="s">
        <v>975</v>
      </c>
      <c r="G4362" s="122" t="s">
        <v>786</v>
      </c>
      <c r="H4362" s="122" t="s">
        <v>777</v>
      </c>
      <c r="I4362" s="312">
        <v>2023</v>
      </c>
      <c r="J4362" s="122" t="s">
        <v>710</v>
      </c>
      <c r="K4362" s="283">
        <v>1000</v>
      </c>
      <c r="L4362" s="318">
        <v>-34.308601000000003</v>
      </c>
      <c r="M4362" s="318">
        <v>150.59953300000001</v>
      </c>
      <c r="O4362">
        <f>INDEX('MEC - traffic congestion'!$M$145:$M$249,MATCH($D4362,'MEC - traffic congestion'!$C$145:$C$249,0))</f>
        <v>1</v>
      </c>
      <c r="P4362" t="str">
        <f t="shared" si="197"/>
        <v>2023OFF PEAK</v>
      </c>
      <c r="Q4362">
        <f t="shared" si="198"/>
        <v>1</v>
      </c>
      <c r="R4362" s="195" t="str">
        <f t="shared" si="199"/>
        <v>2023LIGHT VEHICLES</v>
      </c>
    </row>
    <row r="4363" spans="3:18" x14ac:dyDescent="0.25">
      <c r="C4363" s="294" t="s">
        <v>1027</v>
      </c>
      <c r="D4363" s="317" t="s">
        <v>760</v>
      </c>
      <c r="E4363" s="122" t="s">
        <v>1028</v>
      </c>
      <c r="F4363" s="122" t="s">
        <v>975</v>
      </c>
      <c r="G4363" s="122" t="s">
        <v>785</v>
      </c>
      <c r="H4363" s="122" t="s">
        <v>777</v>
      </c>
      <c r="I4363" s="312">
        <v>2023</v>
      </c>
      <c r="J4363" s="122" t="s">
        <v>711</v>
      </c>
      <c r="K4363" s="283">
        <v>527</v>
      </c>
      <c r="L4363" s="318">
        <v>-34.308601000000003</v>
      </c>
      <c r="M4363" s="318">
        <v>150.59953300000001</v>
      </c>
      <c r="O4363">
        <f>INDEX('MEC - traffic congestion'!$M$145:$M$249,MATCH($D4363,'MEC - traffic congestion'!$C$145:$C$249,0))</f>
        <v>1</v>
      </c>
      <c r="P4363" t="str">
        <f t="shared" si="197"/>
        <v>2023PM PEAK</v>
      </c>
      <c r="Q4363">
        <f t="shared" si="198"/>
        <v>1</v>
      </c>
      <c r="R4363" s="195" t="str">
        <f t="shared" si="199"/>
        <v>2023LIGHT VEHICLES</v>
      </c>
    </row>
    <row r="4364" spans="3:18" x14ac:dyDescent="0.25">
      <c r="C4364" s="294" t="s">
        <v>1027</v>
      </c>
      <c r="D4364" s="317" t="s">
        <v>760</v>
      </c>
      <c r="E4364" s="122" t="s">
        <v>1028</v>
      </c>
      <c r="F4364" s="122" t="s">
        <v>975</v>
      </c>
      <c r="G4364" s="122" t="s">
        <v>786</v>
      </c>
      <c r="H4364" s="122" t="s">
        <v>777</v>
      </c>
      <c r="I4364" s="312">
        <v>2023</v>
      </c>
      <c r="J4364" s="122" t="s">
        <v>711</v>
      </c>
      <c r="K4364" s="283">
        <v>1036</v>
      </c>
      <c r="L4364" s="318">
        <v>-34.308601000000003</v>
      </c>
      <c r="M4364" s="318">
        <v>150.59953300000001</v>
      </c>
      <c r="O4364">
        <f>INDEX('MEC - traffic congestion'!$M$145:$M$249,MATCH($D4364,'MEC - traffic congestion'!$C$145:$C$249,0))</f>
        <v>1</v>
      </c>
      <c r="P4364" t="str">
        <f t="shared" si="197"/>
        <v>2023PM PEAK</v>
      </c>
      <c r="Q4364">
        <f t="shared" si="198"/>
        <v>1</v>
      </c>
      <c r="R4364" s="195" t="str">
        <f t="shared" si="199"/>
        <v>2023LIGHT VEHICLES</v>
      </c>
    </row>
    <row r="4365" spans="3:18" x14ac:dyDescent="0.25">
      <c r="C4365" s="294" t="s">
        <v>1027</v>
      </c>
      <c r="D4365" s="317" t="s">
        <v>760</v>
      </c>
      <c r="E4365" s="122" t="s">
        <v>1028</v>
      </c>
      <c r="F4365" s="122" t="s">
        <v>975</v>
      </c>
      <c r="G4365" s="122" t="s">
        <v>785</v>
      </c>
      <c r="H4365" s="122" t="s">
        <v>777</v>
      </c>
      <c r="I4365" s="312">
        <v>2023</v>
      </c>
      <c r="J4365" s="122" t="s">
        <v>713</v>
      </c>
      <c r="K4365" s="283">
        <v>1838</v>
      </c>
      <c r="L4365" s="318">
        <v>-34.308601000000003</v>
      </c>
      <c r="M4365" s="318">
        <v>150.59953300000001</v>
      </c>
      <c r="O4365">
        <f>INDEX('MEC - traffic congestion'!$M$145:$M$249,MATCH($D4365,'MEC - traffic congestion'!$C$145:$C$249,0))</f>
        <v>1</v>
      </c>
      <c r="P4365" t="str">
        <f t="shared" si="197"/>
        <v>2023WEEKENDS</v>
      </c>
      <c r="Q4365">
        <f t="shared" si="198"/>
        <v>1</v>
      </c>
      <c r="R4365" s="195" t="str">
        <f t="shared" si="199"/>
        <v>2023LIGHT VEHICLES</v>
      </c>
    </row>
    <row r="4366" spans="3:18" x14ac:dyDescent="0.25">
      <c r="C4366" s="313" t="s">
        <v>1027</v>
      </c>
      <c r="D4366" s="319" t="s">
        <v>760</v>
      </c>
      <c r="E4366" s="315" t="s">
        <v>1028</v>
      </c>
      <c r="F4366" s="315" t="s">
        <v>975</v>
      </c>
      <c r="G4366" s="315" t="s">
        <v>786</v>
      </c>
      <c r="H4366" s="315" t="s">
        <v>777</v>
      </c>
      <c r="I4366" s="314">
        <v>2023</v>
      </c>
      <c r="J4366" s="315" t="s">
        <v>713</v>
      </c>
      <c r="K4366" s="320">
        <v>1805</v>
      </c>
      <c r="L4366" s="321">
        <v>-34.308601000000003</v>
      </c>
      <c r="M4366" s="321">
        <v>150.59953300000001</v>
      </c>
      <c r="N4366" s="197"/>
      <c r="O4366" s="197">
        <f>INDEX('MEC - traffic congestion'!$M$145:$M$249,MATCH($D4366,'MEC - traffic congestion'!$C$145:$C$249,0))</f>
        <v>1</v>
      </c>
      <c r="P4366" s="197" t="str">
        <f t="shared" si="197"/>
        <v>2023WEEKENDS</v>
      </c>
      <c r="Q4366" s="197">
        <f t="shared" si="198"/>
        <v>1</v>
      </c>
      <c r="R4366" s="198" t="str">
        <f t="shared" si="199"/>
        <v>2023LIGHT VEHICLES</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ABF61-D567-48F6-9E44-E9C7BD1CBFBF}">
  <sheetPr codeName="Sheet9">
    <pageSetUpPr fitToPage="1"/>
  </sheetPr>
  <dimension ref="A1:AB118"/>
  <sheetViews>
    <sheetView workbookViewId="0"/>
  </sheetViews>
  <sheetFormatPr defaultColWidth="9.09765625" defaultRowHeight="11.5" x14ac:dyDescent="0.25"/>
  <cols>
    <col min="1" max="1" width="4.69921875" customWidth="1"/>
    <col min="2" max="2" width="3.3984375" customWidth="1"/>
    <col min="3" max="3" width="13.8984375" customWidth="1"/>
    <col min="4" max="4" width="16" customWidth="1"/>
    <col min="5" max="5" width="29.59765625" customWidth="1"/>
    <col min="6" max="6" width="16.8984375" customWidth="1"/>
    <col min="7" max="7" width="54" customWidth="1"/>
    <col min="8" max="8" width="14.09765625" customWidth="1"/>
    <col min="9" max="9" width="17" customWidth="1"/>
    <col min="10" max="10" width="27" customWidth="1"/>
    <col min="13" max="13" width="17.09765625" customWidth="1"/>
    <col min="21" max="26" width="10.8984375"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row>
    <row r="2" spans="1:28" ht="15.5" x14ac:dyDescent="0.35">
      <c r="A2" s="1"/>
      <c r="B2" s="4" t="s">
        <v>60</v>
      </c>
      <c r="C2" s="1"/>
      <c r="D2" s="1"/>
      <c r="E2" s="79"/>
      <c r="F2" s="79"/>
      <c r="G2" s="79"/>
      <c r="H2" s="1"/>
      <c r="I2" s="1"/>
      <c r="J2" s="1"/>
      <c r="K2" s="1"/>
      <c r="L2" s="1"/>
      <c r="M2" s="1"/>
      <c r="N2" s="1"/>
      <c r="O2" s="1"/>
      <c r="P2" s="1"/>
      <c r="Q2" s="1"/>
      <c r="R2" s="1"/>
      <c r="S2" s="1"/>
      <c r="T2" s="1"/>
      <c r="U2" s="1"/>
      <c r="V2" s="1"/>
      <c r="W2" s="1"/>
      <c r="X2" s="1"/>
      <c r="Y2" s="1"/>
      <c r="Z2" s="1"/>
    </row>
    <row r="3" spans="1:28" ht="20.25" customHeight="1" x14ac:dyDescent="0.35">
      <c r="A3" s="1"/>
      <c r="B3" s="4" t="s">
        <v>28</v>
      </c>
      <c r="C3" s="1"/>
      <c r="D3" s="1"/>
      <c r="E3" s="79" t="s">
        <v>29</v>
      </c>
      <c r="F3" s="79"/>
      <c r="G3" s="80"/>
      <c r="H3" s="1"/>
      <c r="I3" s="1"/>
      <c r="J3" s="1"/>
      <c r="K3" s="1"/>
      <c r="L3" s="1"/>
      <c r="M3" s="1"/>
      <c r="N3" s="1"/>
      <c r="O3" s="1"/>
      <c r="P3" s="1"/>
      <c r="Q3" s="1"/>
      <c r="R3" s="1"/>
      <c r="S3" s="1"/>
      <c r="T3" s="1"/>
      <c r="U3" s="1"/>
      <c r="V3" s="1"/>
      <c r="W3" s="1"/>
      <c r="X3" s="1"/>
      <c r="Y3" s="1"/>
      <c r="Z3" s="1"/>
    </row>
    <row r="4" spans="1:28" ht="18.75" customHeight="1" x14ac:dyDescent="0.35">
      <c r="A4" s="1"/>
      <c r="B4" s="4" t="s">
        <v>27</v>
      </c>
      <c r="C4" s="1"/>
      <c r="D4" s="1"/>
      <c r="E4" s="79"/>
      <c r="F4" s="79"/>
      <c r="G4" s="80"/>
      <c r="H4" s="1"/>
      <c r="I4" s="1"/>
      <c r="J4" s="1"/>
      <c r="K4" s="1"/>
      <c r="L4" s="1"/>
      <c r="M4" s="1"/>
      <c r="N4" s="1"/>
      <c r="O4" s="1"/>
      <c r="P4" s="1"/>
      <c r="Q4" s="1"/>
      <c r="R4" s="1"/>
      <c r="S4" s="1"/>
      <c r="T4" s="1"/>
      <c r="U4" s="1"/>
      <c r="V4" s="1"/>
      <c r="W4" s="1"/>
      <c r="X4" s="1"/>
      <c r="Y4" s="1"/>
      <c r="Z4" s="1"/>
    </row>
    <row r="5" spans="1:28" ht="15.5" x14ac:dyDescent="0.35">
      <c r="A5" s="1"/>
      <c r="B5" s="4"/>
      <c r="C5" s="1"/>
      <c r="D5" s="1"/>
      <c r="E5" s="79"/>
      <c r="F5" s="79"/>
      <c r="G5" s="80"/>
      <c r="H5" s="3"/>
      <c r="I5" s="3"/>
      <c r="J5" s="1"/>
      <c r="K5" s="1"/>
      <c r="L5" s="1"/>
      <c r="M5" s="1"/>
      <c r="N5" s="1"/>
      <c r="O5" s="1"/>
      <c r="P5" s="1"/>
      <c r="Q5" s="1"/>
      <c r="R5" s="1"/>
      <c r="S5" s="1"/>
      <c r="T5" s="1"/>
      <c r="U5" s="1"/>
      <c r="V5" s="1"/>
      <c r="W5" s="1"/>
      <c r="X5" s="1"/>
      <c r="Y5" s="1"/>
      <c r="Z5" s="1"/>
    </row>
    <row r="6" spans="1:28" ht="18" customHeight="1" x14ac:dyDescent="0.35">
      <c r="A6" s="1"/>
      <c r="B6" s="4"/>
      <c r="C6" s="1"/>
      <c r="D6" s="1"/>
      <c r="E6" s="79"/>
      <c r="F6" s="79"/>
      <c r="G6" s="80"/>
      <c r="H6" s="3"/>
      <c r="I6" s="3"/>
      <c r="J6" s="1"/>
      <c r="K6" s="1"/>
      <c r="L6" s="1"/>
      <c r="M6" s="1"/>
      <c r="N6" s="1"/>
      <c r="O6" s="1"/>
      <c r="P6" s="1"/>
      <c r="Q6" s="1"/>
      <c r="R6" s="1"/>
      <c r="S6" s="1"/>
      <c r="T6" s="1"/>
      <c r="U6" s="1"/>
      <c r="V6" s="1"/>
      <c r="W6" s="1"/>
      <c r="X6" s="1"/>
      <c r="Y6" s="1"/>
      <c r="Z6" s="1"/>
    </row>
    <row r="7" spans="1:28" ht="15.5" x14ac:dyDescent="0.35">
      <c r="A7" s="1"/>
      <c r="B7" s="4"/>
      <c r="C7" s="1"/>
      <c r="D7" s="1"/>
      <c r="E7" s="1"/>
      <c r="F7" s="1"/>
      <c r="G7" s="1"/>
      <c r="H7" s="3"/>
      <c r="I7" s="3"/>
      <c r="J7" s="1"/>
      <c r="K7" s="1"/>
      <c r="L7" s="1"/>
      <c r="M7" s="1"/>
      <c r="N7" s="1"/>
      <c r="O7" s="1"/>
      <c r="P7" s="1"/>
      <c r="Q7" s="1"/>
      <c r="R7" s="1"/>
      <c r="S7" s="1"/>
      <c r="T7" s="1"/>
      <c r="U7" s="1"/>
      <c r="V7" s="1"/>
      <c r="W7" s="1"/>
      <c r="X7" s="1"/>
      <c r="Y7" s="1"/>
      <c r="Z7" s="1"/>
    </row>
    <row r="8" spans="1:28" ht="15.5" x14ac:dyDescent="0.35">
      <c r="A8" s="1"/>
      <c r="B8" s="4" t="s">
        <v>30</v>
      </c>
      <c r="C8" s="1"/>
      <c r="D8" s="1"/>
      <c r="E8" s="79"/>
      <c r="F8" s="79"/>
      <c r="G8" s="79"/>
      <c r="H8" s="1"/>
      <c r="I8" s="3"/>
      <c r="J8" s="1"/>
      <c r="K8" s="1"/>
      <c r="L8" s="1"/>
      <c r="M8" s="1"/>
      <c r="N8" s="1"/>
      <c r="O8" s="1"/>
      <c r="P8" s="1"/>
      <c r="Q8" s="1"/>
      <c r="R8" s="1"/>
      <c r="S8" s="1"/>
      <c r="T8" s="1"/>
      <c r="U8" s="1"/>
      <c r="V8" s="1"/>
      <c r="W8" s="1"/>
      <c r="X8" s="1"/>
      <c r="Y8" s="1"/>
      <c r="Z8" s="1"/>
    </row>
    <row r="9" spans="1:28" ht="31.5" customHeight="1" x14ac:dyDescent="0.35">
      <c r="A9" s="1"/>
      <c r="B9" s="4" t="s">
        <v>61</v>
      </c>
      <c r="C9" s="1"/>
      <c r="D9" s="1"/>
      <c r="E9" s="81"/>
      <c r="F9" s="80"/>
      <c r="G9" s="80"/>
      <c r="H9" s="1"/>
      <c r="I9" s="1"/>
      <c r="J9" s="10"/>
      <c r="K9" s="10"/>
      <c r="L9" s="10"/>
      <c r="M9" s="10"/>
      <c r="N9" s="10"/>
      <c r="O9" s="10"/>
      <c r="P9" s="10"/>
      <c r="Q9" s="10"/>
      <c r="R9" s="10"/>
      <c r="S9" s="10"/>
      <c r="T9" s="10"/>
      <c r="U9" s="10"/>
      <c r="V9" s="10"/>
      <c r="W9" s="10"/>
      <c r="X9" s="10"/>
      <c r="Y9" s="10"/>
      <c r="Z9" s="10"/>
      <c r="AA9" s="11"/>
      <c r="AB9" s="11"/>
    </row>
    <row r="10" spans="1:28" ht="28" customHeight="1" x14ac:dyDescent="0.35">
      <c r="A10" s="1"/>
      <c r="B10" s="4" t="s">
        <v>104</v>
      </c>
      <c r="C10" s="1"/>
      <c r="D10" s="1"/>
      <c r="E10" s="81" t="s">
        <v>105</v>
      </c>
      <c r="G10" s="1"/>
      <c r="H10" s="10"/>
      <c r="I10" s="10"/>
      <c r="J10" s="10"/>
      <c r="K10" s="10"/>
      <c r="L10" s="10"/>
      <c r="M10" s="10"/>
      <c r="N10" s="10"/>
      <c r="O10" s="10"/>
      <c r="P10" s="10"/>
      <c r="Q10" s="10"/>
      <c r="R10" s="10"/>
      <c r="S10" s="10"/>
      <c r="T10" s="10"/>
      <c r="U10" s="10"/>
      <c r="V10" s="10"/>
      <c r="W10" s="10"/>
      <c r="X10" s="10"/>
      <c r="Y10" s="10"/>
      <c r="Z10" s="10"/>
      <c r="AA10" s="11"/>
      <c r="AB10" s="11"/>
    </row>
    <row r="11" spans="1:28" ht="28" customHeight="1" x14ac:dyDescent="0.25">
      <c r="A11" s="1"/>
      <c r="B11" s="82" t="s">
        <v>106</v>
      </c>
      <c r="C11" s="1"/>
      <c r="D11" s="1"/>
      <c r="E11" s="83"/>
      <c r="G11" s="1"/>
      <c r="H11" s="10"/>
      <c r="I11" s="10"/>
      <c r="J11" s="10"/>
      <c r="K11" s="10"/>
      <c r="L11" s="10"/>
      <c r="M11" s="10"/>
      <c r="N11" s="10"/>
      <c r="O11" s="10"/>
      <c r="P11" s="10"/>
      <c r="Q11" s="10"/>
      <c r="R11" s="10"/>
      <c r="S11" s="10"/>
      <c r="T11" s="10"/>
      <c r="U11" s="10"/>
      <c r="V11" s="10"/>
      <c r="W11" s="10"/>
      <c r="X11" s="10"/>
      <c r="Y11" s="10"/>
      <c r="Z11" s="10"/>
      <c r="AA11" s="11"/>
      <c r="AB11" s="11"/>
    </row>
    <row r="12" spans="1:28" ht="18" customHeight="1" x14ac:dyDescent="0.25">
      <c r="A12" s="1"/>
      <c r="B12" s="13"/>
      <c r="C12" s="1"/>
      <c r="D12" s="1"/>
      <c r="E12" s="1"/>
      <c r="F12" s="1"/>
      <c r="G12" s="1"/>
      <c r="H12" s="10"/>
      <c r="I12" s="10"/>
      <c r="J12" s="10"/>
      <c r="K12" s="10"/>
      <c r="L12" s="10"/>
      <c r="M12" s="10"/>
      <c r="N12" s="10"/>
      <c r="O12" s="10"/>
      <c r="P12" s="10"/>
      <c r="Q12" s="10"/>
      <c r="R12" s="10"/>
      <c r="S12" s="10"/>
      <c r="T12" s="10"/>
      <c r="U12" s="10"/>
      <c r="V12" s="10"/>
      <c r="W12" s="10"/>
      <c r="X12" s="10"/>
      <c r="Y12" s="10"/>
      <c r="Z12" s="10"/>
      <c r="AA12" s="11"/>
      <c r="AB12" s="11"/>
    </row>
    <row r="13" spans="1:28" ht="15.5" x14ac:dyDescent="0.35">
      <c r="A13" s="1"/>
      <c r="B13" s="84" t="s">
        <v>73</v>
      </c>
      <c r="C13" s="49"/>
      <c r="D13" s="49"/>
      <c r="E13" s="49"/>
      <c r="F13" s="49"/>
      <c r="G13" s="49"/>
      <c r="H13" s="10"/>
      <c r="I13" s="10"/>
      <c r="J13" s="10"/>
      <c r="K13" s="10"/>
      <c r="L13" s="10"/>
      <c r="M13" s="10"/>
      <c r="N13" s="10"/>
      <c r="O13" s="10"/>
      <c r="P13" s="10"/>
      <c r="Q13" s="10"/>
      <c r="R13" s="10"/>
      <c r="S13" s="10"/>
      <c r="T13" s="10"/>
      <c r="U13" s="10"/>
      <c r="V13" s="10"/>
      <c r="W13" s="10"/>
      <c r="X13" s="10"/>
      <c r="Y13" s="10"/>
      <c r="Z13" s="10"/>
      <c r="AA13" s="11"/>
      <c r="AB13" s="11"/>
    </row>
    <row r="14" spans="1:28" s="86" customFormat="1" ht="12" thickBot="1" x14ac:dyDescent="0.3">
      <c r="A14" s="12"/>
      <c r="B14" s="85" t="s">
        <v>31</v>
      </c>
      <c r="C14" s="1"/>
      <c r="D14" s="1"/>
      <c r="E14" s="1"/>
      <c r="F14" s="1"/>
      <c r="G14" s="1"/>
      <c r="H14" s="10"/>
      <c r="I14" s="10"/>
      <c r="J14" s="10"/>
      <c r="K14" s="10"/>
      <c r="L14" s="12"/>
      <c r="M14" s="10"/>
      <c r="N14" s="10"/>
      <c r="O14" s="10"/>
      <c r="P14" s="10"/>
      <c r="Q14" s="10"/>
      <c r="R14" s="12"/>
      <c r="S14" s="12"/>
      <c r="T14" s="12"/>
      <c r="U14" s="12"/>
      <c r="V14" s="12"/>
      <c r="W14" s="12"/>
      <c r="X14" s="12"/>
      <c r="Y14" s="12"/>
      <c r="Z14" s="12"/>
    </row>
    <row r="15" spans="1:28" x14ac:dyDescent="0.25">
      <c r="A15" s="1"/>
      <c r="B15" s="87" t="s">
        <v>32</v>
      </c>
      <c r="C15" s="88"/>
      <c r="D15" s="88"/>
      <c r="E15" s="88"/>
      <c r="F15" s="88"/>
      <c r="G15" s="88"/>
      <c r="H15" s="10"/>
      <c r="I15" s="10"/>
      <c r="J15" s="10"/>
      <c r="K15" s="10"/>
      <c r="L15" s="10"/>
      <c r="M15" s="10"/>
      <c r="N15" s="10"/>
      <c r="O15" s="10"/>
      <c r="P15" s="10"/>
      <c r="Q15" s="10"/>
      <c r="R15" s="10"/>
      <c r="S15" s="10"/>
      <c r="T15" s="10"/>
      <c r="U15" s="10"/>
      <c r="V15" s="10"/>
      <c r="W15" s="10"/>
      <c r="X15" s="10"/>
      <c r="Y15" s="10"/>
      <c r="Z15" s="10"/>
      <c r="AA15" s="11"/>
      <c r="AB15" s="11"/>
    </row>
    <row r="16" spans="1:28" x14ac:dyDescent="0.25">
      <c r="A16" s="1"/>
      <c r="B16" s="89"/>
      <c r="C16" s="90"/>
      <c r="D16" s="90"/>
      <c r="E16" s="90"/>
      <c r="F16" s="90"/>
      <c r="G16" s="90"/>
      <c r="H16" s="10"/>
      <c r="I16" s="10"/>
      <c r="J16" s="10"/>
      <c r="K16" s="10"/>
      <c r="L16" s="10"/>
      <c r="M16" s="10"/>
      <c r="N16" s="10"/>
      <c r="O16" s="10"/>
      <c r="P16" s="10"/>
      <c r="Q16" s="10"/>
      <c r="R16" s="10"/>
      <c r="S16" s="10"/>
      <c r="T16" s="10"/>
      <c r="U16" s="10"/>
      <c r="V16" s="10"/>
      <c r="W16" s="10"/>
      <c r="X16" s="10"/>
      <c r="Y16" s="10"/>
      <c r="Z16" s="10"/>
      <c r="AA16" s="11"/>
      <c r="AB16" s="11"/>
    </row>
    <row r="17" spans="1:28" x14ac:dyDescent="0.25">
      <c r="A17" s="1"/>
      <c r="B17" s="89"/>
      <c r="C17" s="90"/>
      <c r="D17" s="90"/>
      <c r="E17" s="90"/>
      <c r="F17" s="90"/>
      <c r="G17" s="90"/>
      <c r="H17" s="10"/>
      <c r="I17" s="10"/>
      <c r="J17" s="10"/>
      <c r="K17" s="10"/>
      <c r="L17" s="10"/>
      <c r="M17" s="10"/>
      <c r="N17" s="10"/>
      <c r="O17" s="10"/>
      <c r="P17" s="10"/>
      <c r="Q17" s="10"/>
      <c r="R17" s="10"/>
      <c r="S17" s="10"/>
      <c r="T17" s="10"/>
      <c r="U17" s="10"/>
      <c r="V17" s="10"/>
      <c r="W17" s="10"/>
      <c r="X17" s="10"/>
      <c r="Y17" s="10"/>
      <c r="Z17" s="10"/>
      <c r="AA17" s="11"/>
      <c r="AB17" s="11"/>
    </row>
    <row r="18" spans="1:28" ht="12" thickBot="1" x14ac:dyDescent="0.3">
      <c r="A18" s="1"/>
      <c r="B18" s="91"/>
      <c r="C18" s="91"/>
      <c r="D18" s="91"/>
      <c r="E18" s="91"/>
      <c r="F18" s="91"/>
      <c r="G18" s="91"/>
      <c r="H18" s="10"/>
      <c r="I18" s="10"/>
      <c r="J18" s="10"/>
      <c r="K18" s="10"/>
      <c r="L18" s="10"/>
      <c r="M18" s="10"/>
      <c r="N18" s="10"/>
      <c r="O18" s="10"/>
      <c r="P18" s="10"/>
      <c r="Q18" s="10"/>
      <c r="R18" s="10"/>
      <c r="S18" s="10"/>
      <c r="T18" s="10"/>
      <c r="U18" s="10"/>
      <c r="V18" s="10"/>
      <c r="W18" s="10"/>
      <c r="X18" s="10"/>
      <c r="Y18" s="10"/>
      <c r="Z18" s="10"/>
      <c r="AA18" s="11"/>
      <c r="AB18" s="11"/>
    </row>
    <row r="19" spans="1:28" x14ac:dyDescent="0.25">
      <c r="A19" s="1"/>
      <c r="B19" s="1"/>
      <c r="C19" s="1"/>
      <c r="D19" s="1"/>
      <c r="E19" s="1"/>
      <c r="F19" s="1"/>
      <c r="G19" s="1"/>
      <c r="H19" s="10"/>
      <c r="I19" s="10"/>
      <c r="J19" s="10"/>
      <c r="K19" s="10"/>
      <c r="L19" s="10"/>
      <c r="M19" s="10"/>
      <c r="N19" s="10"/>
      <c r="O19" s="10"/>
      <c r="P19" s="10"/>
      <c r="Q19" s="10"/>
      <c r="R19" s="10"/>
      <c r="S19" s="10"/>
      <c r="T19" s="10"/>
      <c r="U19" s="10"/>
      <c r="V19" s="10"/>
      <c r="W19" s="10"/>
      <c r="X19" s="10"/>
      <c r="Y19" s="10"/>
      <c r="Z19" s="10"/>
      <c r="AA19" s="11"/>
      <c r="AB19" s="11"/>
    </row>
    <row r="20" spans="1:28" x14ac:dyDescent="0.25">
      <c r="A20" s="1"/>
      <c r="B20" s="1"/>
      <c r="C20" s="1"/>
      <c r="D20" s="1"/>
      <c r="E20" s="1"/>
      <c r="F20" s="1"/>
      <c r="G20" s="1"/>
      <c r="H20" s="10"/>
      <c r="I20" s="10"/>
      <c r="J20" s="10"/>
      <c r="K20" s="10"/>
      <c r="L20" s="10"/>
      <c r="M20" s="10"/>
      <c r="N20" s="10"/>
      <c r="O20" s="10"/>
      <c r="P20" s="10"/>
      <c r="Q20" s="10"/>
      <c r="R20" s="10"/>
      <c r="S20" s="10"/>
      <c r="T20" s="10"/>
      <c r="U20" s="10"/>
      <c r="V20" s="10"/>
      <c r="W20" s="10"/>
      <c r="X20" s="10"/>
      <c r="Y20" s="10"/>
      <c r="Z20" s="10"/>
      <c r="AA20" s="11"/>
      <c r="AB20" s="11"/>
    </row>
    <row r="21" spans="1:28" ht="15.5" x14ac:dyDescent="0.35">
      <c r="A21" s="1"/>
      <c r="B21" s="84" t="s">
        <v>83</v>
      </c>
      <c r="C21" s="49"/>
      <c r="D21" s="49"/>
      <c r="E21" s="49"/>
      <c r="F21" s="49"/>
      <c r="G21" s="49"/>
      <c r="H21" s="10"/>
      <c r="I21" s="10"/>
      <c r="J21" s="10"/>
      <c r="K21" s="10"/>
      <c r="L21" s="10"/>
      <c r="M21" s="10"/>
      <c r="N21" s="10"/>
      <c r="O21" s="10"/>
      <c r="P21" s="10"/>
      <c r="Q21" s="10"/>
      <c r="R21" s="10"/>
      <c r="S21" s="10"/>
      <c r="T21" s="10"/>
      <c r="U21" s="10"/>
      <c r="V21" s="10"/>
      <c r="W21" s="10"/>
      <c r="X21" s="10"/>
      <c r="Y21" s="10"/>
      <c r="Z21" s="10"/>
      <c r="AA21" s="11"/>
      <c r="AB21" s="11"/>
    </row>
    <row r="22" spans="1:28" x14ac:dyDescent="0.25">
      <c r="A22" s="1"/>
      <c r="B22" s="85" t="s">
        <v>81</v>
      </c>
      <c r="C22" s="1"/>
      <c r="D22" s="1"/>
      <c r="E22" s="1"/>
      <c r="F22" s="1"/>
      <c r="G22" s="1"/>
      <c r="H22" s="10"/>
      <c r="I22" s="10"/>
      <c r="J22" s="10"/>
      <c r="K22" s="10"/>
      <c r="L22" s="10"/>
      <c r="M22" s="10"/>
      <c r="N22" s="10"/>
      <c r="O22" s="10"/>
      <c r="P22" s="10"/>
      <c r="Q22" s="10"/>
      <c r="R22" s="10"/>
      <c r="S22" s="10"/>
      <c r="T22" s="10"/>
      <c r="U22" s="10"/>
      <c r="V22" s="10"/>
      <c r="W22" s="10"/>
      <c r="X22" s="10"/>
      <c r="Y22" s="10"/>
      <c r="Z22" s="10"/>
      <c r="AA22" s="11"/>
      <c r="AB22" s="11"/>
    </row>
    <row r="23" spans="1:28" x14ac:dyDescent="0.25">
      <c r="A23" s="1"/>
      <c r="B23" s="1"/>
      <c r="C23" s="1"/>
      <c r="D23" s="1"/>
      <c r="E23" s="1"/>
      <c r="F23" s="1"/>
      <c r="G23" s="1"/>
      <c r="H23" s="10"/>
      <c r="I23" s="10"/>
      <c r="J23" s="10"/>
      <c r="K23" s="10"/>
      <c r="L23" s="10"/>
      <c r="M23" s="10"/>
      <c r="N23" s="10"/>
      <c r="O23" s="10"/>
      <c r="P23" s="10"/>
      <c r="Q23" s="10"/>
      <c r="R23" s="10"/>
      <c r="S23" s="10"/>
      <c r="T23" s="10"/>
      <c r="U23" s="10"/>
      <c r="V23" s="10"/>
      <c r="W23" s="10"/>
      <c r="X23" s="10"/>
      <c r="Y23" s="10"/>
      <c r="Z23" s="10"/>
      <c r="AA23" s="11"/>
      <c r="AB23" s="11"/>
    </row>
    <row r="24" spans="1:28" x14ac:dyDescent="0.25">
      <c r="A24" s="1"/>
      <c r="B24" s="13" t="s">
        <v>89</v>
      </c>
      <c r="C24" s="1"/>
      <c r="D24" s="1"/>
      <c r="F24" s="92"/>
      <c r="G24" s="1"/>
      <c r="H24" s="10"/>
      <c r="I24" s="10"/>
      <c r="J24" s="10"/>
      <c r="K24" s="10"/>
      <c r="L24" s="10"/>
      <c r="M24" s="10"/>
      <c r="N24" s="10"/>
      <c r="O24" s="10"/>
      <c r="P24" s="10"/>
      <c r="Q24" s="10"/>
      <c r="R24" s="10"/>
      <c r="S24" s="10"/>
      <c r="T24" s="10"/>
      <c r="U24" s="10"/>
      <c r="V24" s="10"/>
      <c r="W24" s="10"/>
      <c r="X24" s="10"/>
      <c r="Y24" s="10"/>
      <c r="Z24" s="10"/>
      <c r="AA24" s="11"/>
      <c r="AB24" s="11"/>
    </row>
    <row r="25" spans="1:28" x14ac:dyDescent="0.25">
      <c r="A25" s="1"/>
      <c r="B25" s="1"/>
      <c r="C25" s="1"/>
      <c r="D25" s="1"/>
      <c r="E25" s="1"/>
      <c r="F25" s="1"/>
      <c r="G25" s="1"/>
      <c r="H25" s="10"/>
      <c r="I25" s="10"/>
      <c r="J25" s="10"/>
      <c r="K25" s="10"/>
      <c r="L25" s="10"/>
      <c r="M25" s="10"/>
      <c r="N25" s="10"/>
      <c r="O25" s="10"/>
      <c r="P25" s="10"/>
      <c r="Q25" s="10"/>
      <c r="R25" s="10"/>
      <c r="S25" s="10"/>
      <c r="T25" s="10"/>
      <c r="U25" s="10"/>
      <c r="V25" s="10"/>
      <c r="W25" s="10"/>
      <c r="X25" s="10"/>
      <c r="Y25" s="10"/>
      <c r="Z25" s="10"/>
      <c r="AA25" s="11"/>
      <c r="AB25" s="11"/>
    </row>
    <row r="26" spans="1:28" ht="10.5" customHeight="1" x14ac:dyDescent="0.25">
      <c r="A26" s="1"/>
      <c r="B26" s="1"/>
      <c r="C26" s="1"/>
      <c r="D26" s="1"/>
      <c r="E26" s="1"/>
      <c r="F26" s="1"/>
      <c r="G26" s="1"/>
      <c r="H26" s="10"/>
      <c r="I26" s="10"/>
      <c r="J26" s="10"/>
      <c r="K26" s="10"/>
      <c r="L26" s="10"/>
      <c r="M26" s="10"/>
      <c r="N26" s="10"/>
      <c r="O26" s="10"/>
      <c r="P26" s="10"/>
      <c r="Q26" s="10"/>
      <c r="R26" s="10"/>
      <c r="S26" s="10"/>
      <c r="T26" s="10"/>
      <c r="U26" s="10"/>
      <c r="V26" s="10"/>
      <c r="W26" s="10"/>
      <c r="X26" s="10"/>
      <c r="Y26" s="10"/>
      <c r="Z26" s="10"/>
      <c r="AA26" s="11"/>
      <c r="AB26" s="11"/>
    </row>
    <row r="27" spans="1:28" x14ac:dyDescent="0.25">
      <c r="A27" s="1"/>
      <c r="B27" s="1"/>
      <c r="C27" s="1"/>
      <c r="D27" s="1"/>
      <c r="E27" s="1"/>
      <c r="F27" s="1"/>
      <c r="G27" s="1"/>
      <c r="H27" s="10"/>
      <c r="I27" s="10"/>
      <c r="J27" s="10"/>
      <c r="K27" s="10"/>
      <c r="L27" s="10"/>
      <c r="M27" s="10"/>
      <c r="N27" s="10"/>
      <c r="O27" s="10"/>
      <c r="P27" s="10"/>
      <c r="Q27" s="10"/>
      <c r="R27" s="10"/>
      <c r="S27" s="10"/>
      <c r="T27" s="10"/>
      <c r="U27" s="10"/>
      <c r="V27" s="10"/>
      <c r="W27" s="10"/>
      <c r="X27" s="10"/>
      <c r="Y27" s="10"/>
      <c r="Z27" s="10"/>
      <c r="AA27" s="11"/>
      <c r="AB27" s="11"/>
    </row>
    <row r="28" spans="1:28" x14ac:dyDescent="0.25">
      <c r="A28" s="1"/>
      <c r="B28" s="1"/>
      <c r="C28" s="1"/>
      <c r="D28" s="1"/>
      <c r="E28" s="1"/>
      <c r="F28" s="1"/>
      <c r="G28" s="1"/>
      <c r="H28" s="10"/>
      <c r="I28" s="10"/>
      <c r="J28" s="10"/>
      <c r="K28" s="10"/>
      <c r="L28" s="10"/>
      <c r="M28" s="10"/>
      <c r="N28" s="10"/>
      <c r="O28" s="10"/>
      <c r="P28" s="10"/>
      <c r="Q28" s="10"/>
      <c r="R28" s="10"/>
      <c r="S28" s="10"/>
      <c r="T28" s="10"/>
      <c r="U28" s="10"/>
      <c r="V28" s="10"/>
      <c r="W28" s="10"/>
      <c r="X28" s="10"/>
      <c r="Y28" s="10"/>
      <c r="Z28" s="10"/>
      <c r="AA28" s="11"/>
      <c r="AB28" s="11"/>
    </row>
    <row r="29" spans="1:28" x14ac:dyDescent="0.25">
      <c r="A29" s="1"/>
      <c r="B29" s="1"/>
      <c r="C29" s="1"/>
      <c r="D29" s="1"/>
      <c r="E29" s="1"/>
      <c r="F29" s="1"/>
      <c r="G29" s="1"/>
      <c r="H29" s="10"/>
      <c r="I29" s="10"/>
      <c r="J29" s="10"/>
      <c r="K29" s="10"/>
      <c r="L29" s="10"/>
      <c r="M29" s="10"/>
      <c r="N29" s="10"/>
      <c r="O29" s="10"/>
      <c r="P29" s="10"/>
      <c r="Q29" s="10"/>
      <c r="R29" s="10"/>
      <c r="S29" s="10"/>
      <c r="T29" s="10"/>
      <c r="U29" s="10"/>
      <c r="V29" s="10"/>
      <c r="W29" s="10"/>
      <c r="X29" s="10"/>
      <c r="Y29" s="10"/>
      <c r="Z29" s="10"/>
      <c r="AA29" s="11"/>
      <c r="AB29" s="11"/>
    </row>
    <row r="30" spans="1:28" x14ac:dyDescent="0.25">
      <c r="A30" s="1"/>
      <c r="B30" s="1"/>
      <c r="C30" s="1"/>
      <c r="D30" s="1"/>
      <c r="E30" s="1"/>
      <c r="F30" s="1"/>
      <c r="G30" s="1"/>
      <c r="H30" s="10"/>
      <c r="I30" s="10"/>
      <c r="J30" s="10"/>
      <c r="K30" s="10"/>
      <c r="L30" s="10"/>
      <c r="M30" s="10"/>
      <c r="N30" s="10"/>
      <c r="O30" s="10"/>
      <c r="P30" s="10"/>
      <c r="Q30" s="10"/>
      <c r="R30" s="10"/>
      <c r="S30" s="10"/>
      <c r="T30" s="10"/>
      <c r="U30" s="10"/>
      <c r="V30" s="10"/>
      <c r="W30" s="10"/>
      <c r="X30" s="10"/>
      <c r="Y30" s="10"/>
      <c r="Z30" s="10"/>
      <c r="AA30" s="11"/>
      <c r="AB30" s="11"/>
    </row>
    <row r="31" spans="1:28" x14ac:dyDescent="0.25">
      <c r="A31" s="1"/>
      <c r="B31" s="1"/>
      <c r="C31" s="1"/>
      <c r="D31" s="1"/>
      <c r="E31" s="1"/>
      <c r="F31" s="1"/>
      <c r="G31" s="1"/>
      <c r="H31" s="10"/>
      <c r="I31" s="10"/>
      <c r="J31" s="10"/>
      <c r="K31" s="10"/>
      <c r="L31" s="10"/>
      <c r="M31" s="10"/>
      <c r="N31" s="10"/>
      <c r="O31" s="10"/>
      <c r="P31" s="10"/>
      <c r="Q31" s="10"/>
      <c r="R31" s="10"/>
      <c r="S31" s="10"/>
      <c r="T31" s="10"/>
      <c r="U31" s="10"/>
      <c r="V31" s="10"/>
      <c r="W31" s="10"/>
      <c r="X31" s="10"/>
      <c r="Y31" s="10"/>
      <c r="Z31" s="10"/>
      <c r="AA31" s="11"/>
      <c r="AB31" s="11"/>
    </row>
    <row r="32" spans="1:28" x14ac:dyDescent="0.25">
      <c r="A32" s="1"/>
      <c r="B32" s="1"/>
      <c r="C32" s="1"/>
      <c r="D32" s="1"/>
      <c r="E32" s="1"/>
      <c r="F32" s="1"/>
      <c r="G32" s="1"/>
      <c r="H32" s="10"/>
      <c r="I32" s="10"/>
      <c r="J32" s="10"/>
      <c r="K32" s="10"/>
      <c r="L32" s="10"/>
      <c r="M32" s="10"/>
      <c r="N32" s="10"/>
      <c r="O32" s="10"/>
      <c r="P32" s="10"/>
      <c r="Q32" s="10"/>
      <c r="R32" s="10"/>
      <c r="S32" s="10"/>
      <c r="T32" s="10"/>
      <c r="U32" s="10"/>
      <c r="V32" s="10"/>
      <c r="W32" s="10"/>
      <c r="X32" s="10"/>
      <c r="Y32" s="10"/>
      <c r="Z32" s="10"/>
      <c r="AA32" s="11"/>
      <c r="AB32" s="11"/>
    </row>
    <row r="33" spans="1:28" x14ac:dyDescent="0.25">
      <c r="A33" s="1"/>
      <c r="B33" s="1"/>
      <c r="C33" s="1"/>
      <c r="D33" s="1"/>
      <c r="E33" s="79"/>
      <c r="F33" s="79"/>
      <c r="G33" s="79"/>
      <c r="H33" s="10"/>
      <c r="I33" s="10"/>
      <c r="J33" s="10"/>
      <c r="K33" s="10"/>
      <c r="L33" s="10"/>
      <c r="M33" s="10"/>
      <c r="N33" s="10"/>
      <c r="O33" s="10"/>
      <c r="P33" s="10"/>
      <c r="Q33" s="10"/>
      <c r="R33" s="10"/>
      <c r="S33" s="10"/>
      <c r="T33" s="10"/>
      <c r="U33" s="10"/>
      <c r="V33" s="10"/>
      <c r="W33" s="10"/>
      <c r="X33" s="10"/>
      <c r="Y33" s="10"/>
      <c r="Z33" s="10"/>
      <c r="AA33" s="11"/>
      <c r="AB33" s="11"/>
    </row>
    <row r="34" spans="1:28" x14ac:dyDescent="0.25">
      <c r="A34" s="1"/>
      <c r="B34" s="1"/>
      <c r="C34" s="1"/>
      <c r="D34" s="1"/>
      <c r="E34" s="1"/>
      <c r="F34" s="1"/>
      <c r="G34" s="1"/>
      <c r="H34" s="10"/>
      <c r="I34" s="10"/>
      <c r="J34" s="10"/>
      <c r="K34" s="10"/>
      <c r="L34" s="10"/>
      <c r="M34" s="10"/>
      <c r="N34" s="10"/>
      <c r="O34" s="10"/>
      <c r="P34" s="10"/>
      <c r="Q34" s="10"/>
      <c r="R34" s="10"/>
      <c r="S34" s="10"/>
      <c r="T34" s="10"/>
      <c r="U34" s="10"/>
      <c r="V34" s="10"/>
      <c r="W34" s="10"/>
      <c r="X34" s="10"/>
      <c r="Y34" s="10"/>
      <c r="Z34" s="10"/>
      <c r="AA34" s="11"/>
      <c r="AB34" s="11"/>
    </row>
    <row r="35" spans="1:28" x14ac:dyDescent="0.25">
      <c r="A35" s="1"/>
      <c r="B35" s="1"/>
      <c r="C35" s="1"/>
      <c r="D35" s="1"/>
      <c r="E35" s="1"/>
      <c r="F35" s="1"/>
      <c r="G35" s="1"/>
      <c r="H35" s="10"/>
      <c r="I35" s="10"/>
      <c r="J35" s="10"/>
      <c r="K35" s="10"/>
      <c r="L35" s="10"/>
      <c r="M35" s="10"/>
      <c r="N35" s="10"/>
      <c r="O35" s="10"/>
      <c r="P35" s="10"/>
      <c r="Q35" s="10"/>
      <c r="R35" s="10"/>
      <c r="S35" s="10"/>
      <c r="T35" s="10"/>
      <c r="U35" s="10"/>
      <c r="V35" s="10"/>
      <c r="W35" s="10"/>
      <c r="X35" s="10"/>
      <c r="Y35" s="10"/>
      <c r="Z35" s="10"/>
      <c r="AA35" s="11"/>
      <c r="AB35" s="11"/>
    </row>
    <row r="36" spans="1:28" x14ac:dyDescent="0.25">
      <c r="A36" s="1"/>
      <c r="B36" s="13" t="s">
        <v>82</v>
      </c>
      <c r="C36" s="1"/>
      <c r="D36" s="1"/>
      <c r="E36" s="1"/>
      <c r="F36" s="1"/>
      <c r="G36" s="1"/>
      <c r="H36" s="10"/>
      <c r="I36" s="10"/>
      <c r="J36" s="10"/>
      <c r="K36" s="10"/>
      <c r="L36" s="10"/>
      <c r="M36" s="10"/>
      <c r="N36" s="10"/>
      <c r="O36" s="10"/>
      <c r="P36" s="10"/>
      <c r="Q36" s="10"/>
      <c r="R36" s="10"/>
      <c r="S36" s="10"/>
      <c r="T36" s="10"/>
      <c r="U36" s="10"/>
      <c r="V36" s="10"/>
      <c r="W36" s="10"/>
      <c r="X36" s="10"/>
      <c r="Y36" s="10"/>
      <c r="Z36" s="10"/>
      <c r="AA36" s="11"/>
      <c r="AB36" s="11"/>
    </row>
    <row r="37" spans="1:28" ht="5.25" customHeight="1" x14ac:dyDescent="0.25">
      <c r="A37" s="1"/>
      <c r="B37" s="13"/>
      <c r="C37" s="1"/>
      <c r="D37" s="1"/>
      <c r="E37" s="1"/>
      <c r="F37" s="1"/>
      <c r="G37" s="1"/>
      <c r="H37" s="10"/>
      <c r="I37" s="10"/>
      <c r="J37" s="10"/>
      <c r="K37" s="10"/>
      <c r="L37" s="10"/>
      <c r="M37" s="10"/>
      <c r="N37" s="10"/>
      <c r="O37" s="10"/>
      <c r="P37" s="10"/>
      <c r="Q37" s="10"/>
      <c r="R37" s="10"/>
      <c r="S37" s="10"/>
      <c r="T37" s="10"/>
      <c r="U37" s="10"/>
      <c r="V37" s="10"/>
      <c r="W37" s="10"/>
      <c r="X37" s="10"/>
      <c r="Y37" s="10"/>
      <c r="Z37" s="10"/>
      <c r="AA37" s="11"/>
      <c r="AB37" s="11"/>
    </row>
    <row r="38" spans="1:28" x14ac:dyDescent="0.25">
      <c r="A38" s="1"/>
      <c r="B38" s="13"/>
      <c r="C38" s="13" t="s">
        <v>62</v>
      </c>
      <c r="D38" s="13"/>
      <c r="E38" s="92" t="s">
        <v>63</v>
      </c>
      <c r="F38" s="1"/>
      <c r="G38" s="1"/>
      <c r="H38" s="10"/>
      <c r="I38" s="10"/>
      <c r="J38" s="10"/>
      <c r="K38" s="10"/>
      <c r="L38" s="10"/>
      <c r="M38" s="10"/>
      <c r="N38" s="10"/>
      <c r="O38" s="10"/>
      <c r="P38" s="10"/>
      <c r="Q38" s="10"/>
      <c r="R38" s="10"/>
      <c r="S38" s="10"/>
      <c r="T38" s="10"/>
      <c r="U38" s="10"/>
      <c r="V38" s="10"/>
      <c r="W38" s="10"/>
      <c r="X38" s="10"/>
      <c r="Y38" s="10"/>
      <c r="Z38" s="10"/>
      <c r="AA38" s="11"/>
      <c r="AB38" s="11"/>
    </row>
    <row r="39" spans="1:28" x14ac:dyDescent="0.25">
      <c r="A39" s="1"/>
      <c r="B39" s="1"/>
      <c r="C39" s="1"/>
      <c r="D39" s="1"/>
      <c r="E39" s="1"/>
      <c r="F39" s="1"/>
      <c r="G39" s="1"/>
      <c r="H39" s="10"/>
      <c r="I39" s="10"/>
      <c r="J39" s="10"/>
      <c r="K39" s="10"/>
      <c r="L39" s="10"/>
      <c r="M39" s="10"/>
      <c r="N39" s="10"/>
      <c r="O39" s="10"/>
      <c r="P39" s="10"/>
      <c r="Q39" s="10"/>
      <c r="R39" s="10"/>
      <c r="S39" s="10"/>
      <c r="T39" s="10"/>
      <c r="U39" s="10"/>
      <c r="V39" s="10"/>
      <c r="W39" s="10"/>
      <c r="X39" s="10"/>
      <c r="Y39" s="10"/>
      <c r="Z39" s="10"/>
      <c r="AA39" s="11"/>
      <c r="AB39" s="11"/>
    </row>
    <row r="40" spans="1:28" x14ac:dyDescent="0.25">
      <c r="A40" s="1"/>
      <c r="B40" s="1"/>
      <c r="C40" s="1"/>
      <c r="D40" s="1"/>
      <c r="F40" s="1"/>
      <c r="G40" s="1"/>
      <c r="H40" s="10"/>
      <c r="I40" s="10"/>
      <c r="J40" s="10"/>
      <c r="K40" s="10"/>
      <c r="L40" s="10"/>
      <c r="M40" s="10"/>
      <c r="N40" s="10"/>
      <c r="O40" s="10"/>
      <c r="P40" s="10"/>
      <c r="Q40" s="10"/>
      <c r="R40" s="10"/>
      <c r="S40" s="10"/>
      <c r="T40" s="10"/>
      <c r="U40" s="10"/>
      <c r="V40" s="10"/>
      <c r="W40" s="10"/>
      <c r="X40" s="10"/>
      <c r="Y40" s="10"/>
      <c r="Z40" s="10"/>
      <c r="AA40" s="11"/>
      <c r="AB40" s="11"/>
    </row>
    <row r="41" spans="1:28" x14ac:dyDescent="0.25">
      <c r="A41" s="1"/>
      <c r="B41" s="1"/>
      <c r="C41" s="1"/>
      <c r="D41" s="1"/>
      <c r="E41" s="1"/>
      <c r="F41" s="1"/>
      <c r="G41" s="1"/>
      <c r="H41" s="10"/>
      <c r="I41" s="10"/>
      <c r="J41" s="10"/>
      <c r="K41" s="10"/>
      <c r="L41" s="10"/>
      <c r="M41" s="10"/>
      <c r="N41" s="10"/>
      <c r="O41" s="10"/>
      <c r="P41" s="10"/>
      <c r="Q41" s="10"/>
      <c r="R41" s="10"/>
      <c r="S41" s="10"/>
      <c r="T41" s="10"/>
      <c r="U41" s="10"/>
      <c r="V41" s="10"/>
      <c r="W41" s="10"/>
      <c r="X41" s="10"/>
      <c r="Y41" s="10"/>
      <c r="Z41" s="10"/>
      <c r="AA41" s="11"/>
      <c r="AB41" s="11"/>
    </row>
    <row r="42" spans="1:28" x14ac:dyDescent="0.25">
      <c r="A42" s="1"/>
      <c r="B42" s="1"/>
      <c r="C42" s="1"/>
      <c r="D42" s="1"/>
      <c r="E42" s="1"/>
      <c r="F42" s="1"/>
      <c r="G42" s="1"/>
      <c r="H42" s="10"/>
      <c r="I42" s="10"/>
      <c r="J42" s="10"/>
      <c r="K42" s="10"/>
      <c r="L42" s="10"/>
      <c r="M42" s="10"/>
      <c r="N42" s="10"/>
      <c r="O42" s="10"/>
      <c r="P42" s="10"/>
      <c r="Q42" s="10"/>
      <c r="R42" s="10"/>
      <c r="S42" s="10"/>
      <c r="T42" s="10"/>
      <c r="U42" s="10"/>
      <c r="V42" s="10"/>
      <c r="W42" s="10"/>
      <c r="X42" s="10"/>
      <c r="Y42" s="10"/>
      <c r="Z42" s="10"/>
      <c r="AA42" s="11"/>
      <c r="AB42" s="11"/>
    </row>
    <row r="43" spans="1:28" x14ac:dyDescent="0.25">
      <c r="A43" s="1"/>
      <c r="B43" s="1"/>
      <c r="C43" s="1"/>
      <c r="D43" s="1"/>
      <c r="E43" s="1"/>
      <c r="F43" s="1"/>
      <c r="G43" s="1"/>
      <c r="H43" s="10"/>
      <c r="I43" s="10"/>
      <c r="J43" s="10"/>
      <c r="K43" s="10"/>
      <c r="L43" s="10"/>
      <c r="M43" s="10"/>
      <c r="N43" s="10"/>
      <c r="O43" s="10"/>
      <c r="P43" s="10"/>
      <c r="Q43" s="10"/>
      <c r="R43" s="10"/>
      <c r="S43" s="10"/>
      <c r="T43" s="10"/>
      <c r="U43" s="10"/>
      <c r="V43" s="10"/>
      <c r="W43" s="10"/>
      <c r="X43" s="10"/>
      <c r="Y43" s="10"/>
      <c r="Z43" s="10"/>
      <c r="AA43" s="11"/>
      <c r="AB43" s="11"/>
    </row>
    <row r="44" spans="1:28" x14ac:dyDescent="0.25">
      <c r="A44" s="1"/>
      <c r="B44" s="13" t="s">
        <v>107</v>
      </c>
      <c r="C44" s="1"/>
      <c r="D44" s="1"/>
      <c r="E44" s="1"/>
      <c r="F44" s="1"/>
      <c r="G44" s="1"/>
      <c r="H44" s="10"/>
      <c r="I44" s="10"/>
      <c r="J44" s="10"/>
      <c r="K44" s="10"/>
      <c r="L44" s="10"/>
      <c r="M44" s="10"/>
      <c r="N44" s="10"/>
      <c r="O44" s="10"/>
      <c r="P44" s="10"/>
      <c r="Q44" s="10"/>
      <c r="R44" s="10"/>
      <c r="S44" s="10"/>
      <c r="T44" s="10"/>
      <c r="U44" s="10"/>
      <c r="V44" s="10"/>
      <c r="W44" s="10"/>
      <c r="X44" s="10"/>
      <c r="Y44" s="10"/>
      <c r="Z44" s="10"/>
      <c r="AA44" s="11"/>
      <c r="AB44" s="11"/>
    </row>
    <row r="45" spans="1:28" x14ac:dyDescent="0.25">
      <c r="A45" s="1"/>
      <c r="B45" s="13" t="s">
        <v>108</v>
      </c>
      <c r="C45" s="1"/>
      <c r="D45" s="1"/>
      <c r="E45" s="1"/>
      <c r="F45" s="1"/>
      <c r="G45" s="1"/>
      <c r="H45" s="10"/>
      <c r="I45" s="10"/>
      <c r="J45" s="10"/>
      <c r="K45" s="10"/>
      <c r="L45" s="10"/>
      <c r="M45" s="10"/>
      <c r="N45" s="10"/>
      <c r="O45" s="10"/>
      <c r="P45" s="10"/>
      <c r="Q45" s="10"/>
      <c r="R45" s="10"/>
      <c r="S45" s="10"/>
      <c r="T45" s="10"/>
      <c r="U45" s="10"/>
      <c r="V45" s="10"/>
      <c r="W45" s="10"/>
      <c r="X45" s="10"/>
      <c r="Y45" s="10"/>
      <c r="Z45" s="10"/>
      <c r="AA45" s="11"/>
      <c r="AB45" s="11"/>
    </row>
    <row r="46" spans="1:28" x14ac:dyDescent="0.25">
      <c r="A46" s="1"/>
      <c r="B46" s="85" t="s">
        <v>87</v>
      </c>
      <c r="C46" s="65"/>
      <c r="D46" s="65"/>
      <c r="E46" s="65"/>
      <c r="F46" s="65"/>
      <c r="G46" s="65"/>
      <c r="H46" s="65"/>
      <c r="I46" s="10"/>
      <c r="J46" s="10"/>
      <c r="K46" s="10"/>
      <c r="L46" s="1"/>
      <c r="M46" s="10"/>
      <c r="N46" s="10"/>
      <c r="O46" s="10"/>
      <c r="P46" s="10"/>
      <c r="Q46" s="10"/>
      <c r="R46" s="10"/>
      <c r="S46" s="10"/>
      <c r="T46" s="10"/>
      <c r="U46" s="10"/>
      <c r="V46" s="10"/>
      <c r="W46" s="10"/>
      <c r="X46" s="10"/>
      <c r="Y46" s="10"/>
      <c r="Z46" s="10"/>
      <c r="AA46" s="11"/>
      <c r="AB46" s="11"/>
    </row>
    <row r="47" spans="1:28" x14ac:dyDescent="0.25">
      <c r="A47" s="1"/>
      <c r="B47" s="93" t="s">
        <v>86</v>
      </c>
      <c r="C47" s="85" t="s">
        <v>109</v>
      </c>
      <c r="D47" s="85"/>
      <c r="E47" s="85"/>
      <c r="F47" s="85"/>
      <c r="G47" s="85"/>
      <c r="H47" s="65"/>
      <c r="I47" s="10"/>
      <c r="J47" s="10"/>
      <c r="K47" s="10"/>
      <c r="L47" s="1"/>
      <c r="M47" s="10"/>
      <c r="N47" s="10"/>
      <c r="O47" s="10"/>
      <c r="P47" s="10"/>
      <c r="Q47" s="10"/>
      <c r="R47" s="10"/>
      <c r="S47" s="10"/>
      <c r="T47" s="10"/>
      <c r="U47" s="10"/>
      <c r="V47" s="10"/>
      <c r="W47" s="10"/>
      <c r="X47" s="10"/>
      <c r="Y47" s="10"/>
      <c r="Z47" s="10"/>
      <c r="AA47" s="11"/>
      <c r="AB47" s="11"/>
    </row>
    <row r="48" spans="1:28" s="6" customFormat="1" ht="12.65" customHeight="1" x14ac:dyDescent="0.25">
      <c r="A48" s="62"/>
      <c r="B48" s="94" t="s">
        <v>85</v>
      </c>
      <c r="C48" s="678" t="s">
        <v>110</v>
      </c>
      <c r="D48" s="679"/>
      <c r="E48" s="679"/>
      <c r="F48" s="679"/>
      <c r="G48" s="679"/>
      <c r="H48" s="66"/>
      <c r="I48" s="63"/>
      <c r="J48" s="63"/>
      <c r="K48" s="63"/>
      <c r="L48" s="62"/>
      <c r="M48" s="63"/>
      <c r="N48" s="63"/>
      <c r="O48" s="63"/>
      <c r="P48" s="63"/>
      <c r="Q48" s="63"/>
      <c r="R48" s="63"/>
      <c r="S48" s="63"/>
      <c r="T48" s="63"/>
      <c r="U48" s="63"/>
      <c r="V48" s="63"/>
      <c r="W48" s="63"/>
      <c r="X48" s="63"/>
      <c r="Y48" s="63"/>
      <c r="Z48" s="63"/>
      <c r="AA48" s="64"/>
      <c r="AB48" s="64"/>
    </row>
    <row r="49" spans="1:28" x14ac:dyDescent="0.25">
      <c r="A49" s="1"/>
      <c r="B49" s="93" t="s">
        <v>84</v>
      </c>
      <c r="C49" s="678" t="s">
        <v>111</v>
      </c>
      <c r="D49" s="679"/>
      <c r="E49" s="679"/>
      <c r="F49" s="679"/>
      <c r="G49" s="679"/>
      <c r="H49" s="65"/>
      <c r="I49" s="10"/>
      <c r="J49" s="10"/>
      <c r="K49" s="10"/>
      <c r="L49" s="1"/>
      <c r="M49" s="10"/>
      <c r="N49" s="10"/>
      <c r="O49" s="10"/>
      <c r="P49" s="10"/>
      <c r="Q49" s="10"/>
      <c r="R49" s="10"/>
      <c r="S49" s="10"/>
      <c r="T49" s="10"/>
      <c r="U49" s="10"/>
      <c r="V49" s="10"/>
      <c r="W49" s="10"/>
      <c r="X49" s="10"/>
      <c r="Y49" s="10"/>
      <c r="Z49" s="10"/>
      <c r="AA49" s="11"/>
      <c r="AB49" s="11"/>
    </row>
    <row r="50" spans="1:28" ht="12" thickBot="1" x14ac:dyDescent="0.3">
      <c r="A50" s="1"/>
      <c r="B50" s="95" t="s">
        <v>88</v>
      </c>
      <c r="C50" s="65"/>
      <c r="D50" s="65"/>
      <c r="E50" s="65"/>
      <c r="F50" s="65"/>
      <c r="G50" s="65"/>
      <c r="H50" s="65"/>
      <c r="I50" s="10"/>
      <c r="J50" s="10"/>
      <c r="K50" s="10"/>
      <c r="L50" s="1"/>
      <c r="M50" s="10"/>
      <c r="N50" s="10"/>
      <c r="O50" s="10"/>
      <c r="P50" s="10"/>
      <c r="Q50" s="10"/>
      <c r="R50" s="10"/>
      <c r="S50" s="10"/>
      <c r="T50" s="10"/>
      <c r="U50" s="10"/>
      <c r="V50" s="10"/>
      <c r="W50" s="10"/>
      <c r="X50" s="10"/>
      <c r="Y50" s="10"/>
      <c r="Z50" s="10"/>
      <c r="AA50" s="11"/>
      <c r="AB50" s="11"/>
    </row>
    <row r="51" spans="1:28" x14ac:dyDescent="0.25">
      <c r="A51" s="1"/>
      <c r="B51" s="87" t="s">
        <v>32</v>
      </c>
      <c r="C51" s="88"/>
      <c r="D51" s="88"/>
      <c r="E51" s="88"/>
      <c r="F51" s="88"/>
      <c r="G51" s="88"/>
      <c r="H51" s="10"/>
      <c r="I51" s="10"/>
      <c r="J51" s="10"/>
      <c r="K51" s="10"/>
      <c r="L51" s="1"/>
      <c r="M51" s="10"/>
      <c r="N51" s="10"/>
      <c r="O51" s="10"/>
      <c r="P51" s="10"/>
      <c r="Q51" s="10"/>
      <c r="R51" s="10"/>
      <c r="S51" s="10"/>
      <c r="T51" s="10"/>
      <c r="U51" s="10"/>
      <c r="V51" s="10"/>
      <c r="W51" s="10"/>
      <c r="X51" s="10"/>
      <c r="Y51" s="10"/>
      <c r="Z51" s="10"/>
      <c r="AA51" s="11"/>
      <c r="AB51" s="11"/>
    </row>
    <row r="52" spans="1:28" x14ac:dyDescent="0.25">
      <c r="A52" s="1"/>
      <c r="B52" s="90"/>
      <c r="C52" s="90"/>
      <c r="D52" s="90"/>
      <c r="E52" s="90"/>
      <c r="F52" s="90"/>
      <c r="G52" s="90"/>
      <c r="H52" s="10"/>
      <c r="I52" s="10"/>
      <c r="J52" s="10"/>
      <c r="K52" s="10"/>
      <c r="L52" s="1"/>
      <c r="M52" s="10"/>
      <c r="N52" s="10"/>
      <c r="O52" s="10"/>
      <c r="P52" s="10"/>
      <c r="Q52" s="10"/>
      <c r="R52" s="10"/>
      <c r="S52" s="10"/>
      <c r="T52" s="10"/>
      <c r="U52" s="10"/>
      <c r="V52" s="10"/>
      <c r="W52" s="10"/>
      <c r="X52" s="10"/>
      <c r="Y52" s="10"/>
      <c r="Z52" s="10"/>
      <c r="AA52" s="11"/>
      <c r="AB52" s="11"/>
    </row>
    <row r="53" spans="1:28" x14ac:dyDescent="0.25">
      <c r="A53" s="1"/>
      <c r="B53" s="90"/>
      <c r="C53" s="90"/>
      <c r="D53" s="90"/>
      <c r="E53" s="90"/>
      <c r="F53" s="90"/>
      <c r="G53" s="90"/>
      <c r="H53" s="10"/>
      <c r="I53" s="10"/>
      <c r="J53" s="10"/>
      <c r="K53" s="10"/>
      <c r="L53" s="1"/>
      <c r="M53" s="10"/>
      <c r="N53" s="10"/>
      <c r="O53" s="10"/>
      <c r="P53" s="10"/>
      <c r="Q53" s="10"/>
      <c r="R53" s="10"/>
      <c r="S53" s="10"/>
      <c r="T53" s="10"/>
      <c r="U53" s="10"/>
      <c r="V53" s="10"/>
      <c r="W53" s="10"/>
      <c r="X53" s="10"/>
      <c r="Y53" s="10"/>
      <c r="Z53" s="10"/>
      <c r="AA53" s="11"/>
      <c r="AB53" s="11"/>
    </row>
    <row r="54" spans="1:28" x14ac:dyDescent="0.25">
      <c r="A54" s="1"/>
      <c r="B54" s="90"/>
      <c r="C54" s="90"/>
      <c r="D54" s="90"/>
      <c r="E54" s="90"/>
      <c r="F54" s="90"/>
      <c r="G54" s="90"/>
      <c r="H54" s="10"/>
      <c r="I54" s="10"/>
      <c r="J54" s="10"/>
      <c r="K54" s="10"/>
      <c r="L54" s="1"/>
      <c r="M54" s="10"/>
      <c r="N54" s="10"/>
      <c r="O54" s="10"/>
      <c r="P54" s="10"/>
      <c r="Q54" s="10"/>
      <c r="R54" s="10"/>
      <c r="S54" s="10"/>
      <c r="T54" s="10"/>
      <c r="U54" s="10"/>
      <c r="V54" s="10"/>
      <c r="W54" s="10"/>
      <c r="X54" s="10"/>
      <c r="Y54" s="10"/>
      <c r="Z54" s="10"/>
      <c r="AA54" s="11"/>
      <c r="AB54" s="11"/>
    </row>
    <row r="55" spans="1:28" x14ac:dyDescent="0.25">
      <c r="A55" s="1"/>
      <c r="B55" s="90"/>
      <c r="C55" s="90"/>
      <c r="D55" s="90"/>
      <c r="E55" s="90"/>
      <c r="F55" s="90"/>
      <c r="G55" s="90"/>
      <c r="H55" s="10"/>
      <c r="I55" s="10"/>
      <c r="J55" s="10"/>
      <c r="K55" s="10"/>
      <c r="L55" s="1"/>
      <c r="M55" s="10"/>
      <c r="N55" s="10"/>
      <c r="O55" s="10"/>
      <c r="P55" s="10"/>
      <c r="Q55" s="10"/>
      <c r="R55" s="10"/>
      <c r="S55" s="10"/>
      <c r="T55" s="10"/>
      <c r="U55" s="10"/>
      <c r="V55" s="10"/>
      <c r="W55" s="10"/>
      <c r="X55" s="10"/>
      <c r="Y55" s="10"/>
      <c r="Z55" s="10"/>
      <c r="AA55" s="11"/>
      <c r="AB55" s="11"/>
    </row>
    <row r="56" spans="1:28" x14ac:dyDescent="0.25">
      <c r="A56" s="1"/>
      <c r="B56" s="90"/>
      <c r="C56" s="90"/>
      <c r="D56" s="90"/>
      <c r="E56" s="90"/>
      <c r="F56" s="90"/>
      <c r="G56" s="90"/>
      <c r="H56" s="10"/>
      <c r="I56" s="10"/>
      <c r="J56" s="10"/>
      <c r="K56" s="10"/>
      <c r="L56" s="1"/>
      <c r="M56" s="10"/>
      <c r="N56" s="10"/>
      <c r="O56" s="10"/>
      <c r="P56" s="10"/>
      <c r="Q56" s="10"/>
      <c r="R56" s="10"/>
      <c r="S56" s="10"/>
      <c r="T56" s="10"/>
      <c r="U56" s="10"/>
      <c r="V56" s="10"/>
      <c r="W56" s="10"/>
      <c r="X56" s="10"/>
      <c r="Y56" s="10"/>
      <c r="Z56" s="10"/>
      <c r="AA56" s="11"/>
      <c r="AB56" s="11"/>
    </row>
    <row r="57" spans="1:28" ht="12" thickBot="1" x14ac:dyDescent="0.3">
      <c r="A57" s="1"/>
      <c r="B57" s="91"/>
      <c r="C57" s="91"/>
      <c r="D57" s="91"/>
      <c r="E57" s="91"/>
      <c r="F57" s="91"/>
      <c r="G57" s="91"/>
      <c r="H57" s="10"/>
      <c r="I57" s="10"/>
      <c r="J57" s="10"/>
      <c r="K57" s="10"/>
      <c r="L57" s="1"/>
      <c r="M57" s="10"/>
      <c r="N57" s="10"/>
      <c r="O57" s="10"/>
      <c r="P57" s="10"/>
      <c r="Q57" s="10"/>
      <c r="R57" s="10"/>
      <c r="S57" s="10"/>
      <c r="T57" s="10"/>
      <c r="U57" s="10"/>
      <c r="V57" s="10"/>
      <c r="W57" s="10"/>
      <c r="X57" s="10"/>
      <c r="Y57" s="10"/>
      <c r="Z57" s="10"/>
      <c r="AA57" s="11"/>
      <c r="AB57" s="11"/>
    </row>
    <row r="58" spans="1:28" x14ac:dyDescent="0.25">
      <c r="A58" s="1"/>
      <c r="B58" s="1"/>
      <c r="C58" s="1"/>
      <c r="D58" s="1"/>
      <c r="E58" s="1"/>
      <c r="F58" s="1"/>
      <c r="G58" s="1"/>
      <c r="H58" s="10"/>
      <c r="I58" s="10"/>
      <c r="J58" s="10"/>
      <c r="K58" s="10"/>
      <c r="L58" s="13"/>
      <c r="M58" s="10"/>
      <c r="N58" s="10"/>
      <c r="O58" s="10"/>
      <c r="P58" s="10"/>
      <c r="Q58" s="10"/>
      <c r="R58" s="10"/>
      <c r="S58" s="10"/>
      <c r="T58" s="10"/>
      <c r="U58" s="10"/>
      <c r="V58" s="10"/>
      <c r="W58" s="10"/>
      <c r="X58" s="10"/>
      <c r="Y58" s="10"/>
      <c r="Z58" s="10"/>
      <c r="AA58" s="11"/>
      <c r="AB58" s="11"/>
    </row>
    <row r="59" spans="1:28" x14ac:dyDescent="0.25">
      <c r="A59" s="1"/>
      <c r="B59" s="1"/>
      <c r="C59" s="1"/>
      <c r="D59" s="1"/>
      <c r="E59" s="1"/>
      <c r="F59" s="1"/>
      <c r="G59" s="1"/>
      <c r="H59" s="10"/>
      <c r="I59" s="10"/>
      <c r="J59" s="10"/>
      <c r="K59" s="10"/>
      <c r="L59" s="13"/>
      <c r="M59" s="10"/>
      <c r="N59" s="10"/>
      <c r="O59" s="10"/>
      <c r="P59" s="10"/>
      <c r="Q59" s="10"/>
      <c r="R59" s="10"/>
      <c r="S59" s="10"/>
      <c r="T59" s="10"/>
      <c r="U59" s="10"/>
      <c r="V59" s="10"/>
      <c r="W59" s="10"/>
      <c r="X59" s="10"/>
      <c r="Y59" s="10"/>
      <c r="Z59" s="10"/>
      <c r="AA59" s="11"/>
      <c r="AB59" s="11"/>
    </row>
    <row r="60" spans="1:28" ht="15.5" x14ac:dyDescent="0.35">
      <c r="A60" s="1"/>
      <c r="B60" s="84" t="s">
        <v>112</v>
      </c>
      <c r="C60" s="49"/>
      <c r="D60" s="49"/>
      <c r="E60" s="49"/>
      <c r="F60" s="49"/>
      <c r="G60" s="49"/>
      <c r="H60" s="10"/>
      <c r="I60" s="10"/>
      <c r="J60" s="1"/>
      <c r="K60" s="10"/>
      <c r="L60" s="13"/>
      <c r="M60" s="10"/>
      <c r="N60" s="10"/>
      <c r="O60" s="10"/>
      <c r="P60" s="10"/>
      <c r="Q60" s="10"/>
      <c r="R60" s="10"/>
      <c r="S60" s="10"/>
      <c r="T60" s="10"/>
      <c r="U60" s="10"/>
      <c r="V60" s="10"/>
      <c r="W60" s="10"/>
      <c r="X60" s="10"/>
      <c r="Y60" s="10"/>
      <c r="Z60" s="10"/>
      <c r="AA60" s="11"/>
      <c r="AB60" s="11"/>
    </row>
    <row r="61" spans="1:28" s="13" customFormat="1" x14ac:dyDescent="0.25"/>
    <row r="62" spans="1:28" x14ac:dyDescent="0.25">
      <c r="A62" s="1"/>
      <c r="B62" s="13" t="s">
        <v>113</v>
      </c>
      <c r="C62" s="1"/>
      <c r="D62" s="1"/>
      <c r="E62" s="1"/>
      <c r="F62" s="1"/>
      <c r="G62" s="1"/>
      <c r="H62" s="10"/>
      <c r="I62" s="10"/>
      <c r="K62" s="10"/>
      <c r="L62" s="13"/>
      <c r="M62" s="10"/>
      <c r="N62" s="10"/>
      <c r="O62" s="10"/>
      <c r="P62" s="10"/>
      <c r="Q62" s="10"/>
      <c r="R62" s="10"/>
      <c r="S62" s="10"/>
      <c r="T62" s="10"/>
      <c r="U62" s="10"/>
      <c r="V62" s="10"/>
      <c r="W62" s="10"/>
      <c r="X62" s="10"/>
      <c r="Y62" s="10"/>
      <c r="Z62" s="10"/>
      <c r="AA62" s="11"/>
      <c r="AB62" s="11"/>
    </row>
    <row r="63" spans="1:28" x14ac:dyDescent="0.25">
      <c r="A63" s="1"/>
      <c r="B63" s="13"/>
      <c r="C63" s="1"/>
      <c r="D63" s="1"/>
      <c r="E63" s="1"/>
      <c r="F63" s="1"/>
      <c r="G63" s="1"/>
      <c r="H63" s="10"/>
      <c r="I63" s="10"/>
      <c r="J63" s="1" t="s">
        <v>72</v>
      </c>
      <c r="K63" s="10"/>
      <c r="L63" s="13"/>
      <c r="M63" s="10"/>
      <c r="N63" s="10"/>
      <c r="O63" s="10"/>
      <c r="P63" s="10"/>
      <c r="Q63" s="10"/>
      <c r="R63" s="10"/>
      <c r="S63" s="10"/>
      <c r="T63" s="10"/>
      <c r="U63" s="10"/>
      <c r="V63" s="10"/>
      <c r="W63" s="10"/>
      <c r="X63" s="10"/>
      <c r="Y63" s="10"/>
      <c r="Z63" s="10"/>
      <c r="AA63" s="11"/>
      <c r="AB63" s="11"/>
    </row>
    <row r="64" spans="1:28" ht="12" x14ac:dyDescent="0.3">
      <c r="A64" s="1"/>
      <c r="B64" s="1"/>
      <c r="C64" s="96" t="s">
        <v>71</v>
      </c>
      <c r="D64" s="1"/>
      <c r="E64" s="1"/>
      <c r="F64" s="1"/>
      <c r="G64" s="1"/>
      <c r="H64" s="10"/>
      <c r="I64" s="1"/>
      <c r="J64" s="97" t="s">
        <v>68</v>
      </c>
      <c r="K64" s="10"/>
      <c r="L64" s="13"/>
      <c r="M64" s="10"/>
      <c r="N64" s="10"/>
      <c r="O64" s="10"/>
      <c r="P64" s="10"/>
      <c r="Q64" s="10"/>
      <c r="R64" s="10"/>
      <c r="S64" s="10"/>
      <c r="T64" s="10"/>
      <c r="U64" s="10"/>
      <c r="V64" s="10"/>
      <c r="W64" s="10"/>
      <c r="X64" s="10"/>
      <c r="Y64" s="10"/>
      <c r="Z64" s="10"/>
      <c r="AA64" s="11"/>
      <c r="AB64" s="11"/>
    </row>
    <row r="65" spans="1:28" x14ac:dyDescent="0.25">
      <c r="A65" s="1"/>
      <c r="B65" s="1"/>
      <c r="C65" s="1"/>
      <c r="D65" s="1"/>
      <c r="E65" s="1"/>
      <c r="F65" s="1"/>
      <c r="G65" s="1"/>
      <c r="H65" s="10"/>
      <c r="I65" s="1"/>
      <c r="J65" s="98" t="s">
        <v>69</v>
      </c>
      <c r="K65" s="10"/>
      <c r="L65" s="13"/>
      <c r="M65" s="10"/>
      <c r="N65" s="10"/>
      <c r="O65" s="10"/>
      <c r="P65" s="10"/>
      <c r="Q65" s="10"/>
      <c r="R65" s="10"/>
      <c r="S65" s="10"/>
      <c r="T65" s="10"/>
      <c r="U65" s="10"/>
      <c r="V65" s="10"/>
      <c r="W65" s="10"/>
      <c r="X65" s="10"/>
      <c r="Y65" s="10"/>
      <c r="Z65" s="10"/>
      <c r="AA65" s="11"/>
      <c r="AB65" s="11"/>
    </row>
    <row r="66" spans="1:28" x14ac:dyDescent="0.25">
      <c r="A66" s="1"/>
      <c r="B66" s="1"/>
      <c r="C66" s="99" t="s">
        <v>69</v>
      </c>
      <c r="D66" s="1" t="s">
        <v>66</v>
      </c>
      <c r="E66" s="1"/>
      <c r="F66" s="1"/>
      <c r="G66" s="1"/>
      <c r="H66" s="10"/>
      <c r="I66" s="1"/>
      <c r="J66" s="100" t="s">
        <v>70</v>
      </c>
      <c r="K66" s="10"/>
      <c r="L66" s="13"/>
      <c r="M66" s="10"/>
      <c r="N66" s="10"/>
      <c r="O66" s="10"/>
      <c r="P66" s="10"/>
      <c r="Q66" s="10"/>
      <c r="R66" s="10"/>
      <c r="S66" s="10"/>
      <c r="T66" s="10"/>
      <c r="U66" s="10"/>
      <c r="V66" s="10"/>
      <c r="W66" s="10"/>
      <c r="X66" s="10"/>
      <c r="Y66" s="10"/>
      <c r="Z66" s="10"/>
      <c r="AA66" s="11"/>
      <c r="AB66" s="11"/>
    </row>
    <row r="67" spans="1:28" x14ac:dyDescent="0.25">
      <c r="A67" s="1"/>
      <c r="B67" s="1"/>
      <c r="C67" s="99" t="s">
        <v>69</v>
      </c>
      <c r="D67" s="1" t="s">
        <v>171</v>
      </c>
      <c r="E67" s="1"/>
      <c r="F67" s="1"/>
      <c r="G67" s="1"/>
      <c r="H67" s="10"/>
      <c r="I67" s="1"/>
      <c r="J67" s="1"/>
      <c r="K67" s="10"/>
      <c r="L67" s="13"/>
      <c r="M67" s="10"/>
      <c r="N67" s="10"/>
      <c r="O67" s="10"/>
      <c r="P67" s="10"/>
      <c r="Q67" s="10"/>
      <c r="R67" s="10"/>
      <c r="S67" s="10"/>
      <c r="T67" s="10"/>
      <c r="U67" s="10"/>
      <c r="V67" s="10"/>
      <c r="W67" s="10"/>
      <c r="X67" s="10"/>
      <c r="Y67" s="10"/>
      <c r="Z67" s="10"/>
      <c r="AA67" s="11"/>
      <c r="AB67" s="11"/>
    </row>
    <row r="68" spans="1:28" x14ac:dyDescent="0.25">
      <c r="A68" s="1"/>
      <c r="B68" s="1"/>
      <c r="C68" s="1"/>
      <c r="D68" s="1" t="s">
        <v>114</v>
      </c>
      <c r="E68" s="1"/>
      <c r="F68" s="1"/>
      <c r="G68" s="1"/>
      <c r="H68" s="10"/>
      <c r="I68" s="1"/>
      <c r="J68" s="97" t="s">
        <v>115</v>
      </c>
      <c r="K68" s="10"/>
      <c r="L68" s="13"/>
      <c r="M68" s="10"/>
      <c r="N68" s="10"/>
      <c r="O68" s="10"/>
      <c r="P68" s="10"/>
      <c r="Q68" s="10"/>
      <c r="R68" s="10"/>
      <c r="S68" s="10"/>
      <c r="T68" s="10"/>
      <c r="U68" s="10"/>
      <c r="V68" s="10"/>
      <c r="W68" s="10"/>
      <c r="X68" s="10"/>
      <c r="Y68" s="10"/>
      <c r="Z68" s="10"/>
      <c r="AA68" s="11"/>
      <c r="AB68" s="11"/>
    </row>
    <row r="69" spans="1:28" x14ac:dyDescent="0.25">
      <c r="A69" s="1"/>
      <c r="B69" s="1"/>
      <c r="C69" s="1"/>
      <c r="D69" s="1" t="s">
        <v>64</v>
      </c>
      <c r="E69" s="1"/>
      <c r="F69" s="1"/>
      <c r="G69" s="1"/>
      <c r="H69" s="10"/>
      <c r="I69" s="1"/>
      <c r="J69" s="98" t="s">
        <v>116</v>
      </c>
      <c r="K69" s="10"/>
      <c r="L69" s="13"/>
      <c r="M69" s="10"/>
      <c r="N69" s="10"/>
      <c r="O69" s="10"/>
      <c r="P69" s="10"/>
      <c r="Q69" s="10"/>
      <c r="R69" s="10"/>
      <c r="S69" s="10"/>
      <c r="T69" s="10"/>
      <c r="U69" s="10"/>
      <c r="V69" s="10"/>
      <c r="W69" s="10"/>
      <c r="X69" s="10"/>
      <c r="Y69" s="10"/>
      <c r="Z69" s="10"/>
      <c r="AA69" s="11"/>
      <c r="AB69" s="11"/>
    </row>
    <row r="70" spans="1:28" x14ac:dyDescent="0.25">
      <c r="A70" s="1"/>
      <c r="B70" s="1"/>
      <c r="C70" s="1"/>
      <c r="D70" s="1" t="s">
        <v>65</v>
      </c>
      <c r="E70" s="1"/>
      <c r="F70" s="1"/>
      <c r="G70" s="1"/>
      <c r="H70" s="10"/>
      <c r="I70" s="1"/>
      <c r="J70" s="98" t="s">
        <v>117</v>
      </c>
      <c r="K70" s="10"/>
      <c r="L70" s="13"/>
      <c r="M70" s="10"/>
      <c r="N70" s="10"/>
      <c r="O70" s="10"/>
      <c r="P70" s="10"/>
      <c r="Q70" s="10"/>
      <c r="R70" s="10"/>
      <c r="S70" s="10"/>
      <c r="T70" s="10"/>
      <c r="U70" s="10"/>
      <c r="V70" s="10"/>
      <c r="W70" s="10"/>
      <c r="X70" s="10"/>
      <c r="Y70" s="10"/>
      <c r="Z70" s="10"/>
      <c r="AA70" s="11"/>
      <c r="AB70" s="11"/>
    </row>
    <row r="71" spans="1:28" x14ac:dyDescent="0.25">
      <c r="A71" s="1"/>
      <c r="B71" s="1"/>
      <c r="C71" s="99" t="s">
        <v>69</v>
      </c>
      <c r="D71" s="1" t="s">
        <v>67</v>
      </c>
      <c r="E71" s="1"/>
      <c r="F71" s="1"/>
      <c r="G71" s="1"/>
      <c r="H71" s="10"/>
      <c r="I71" s="1"/>
      <c r="J71" s="100" t="s">
        <v>105</v>
      </c>
      <c r="K71" s="10"/>
      <c r="L71" s="13"/>
      <c r="M71" s="10"/>
      <c r="N71" s="10"/>
      <c r="O71" s="10"/>
      <c r="P71" s="10"/>
      <c r="Q71" s="10"/>
      <c r="R71" s="10"/>
      <c r="S71" s="10"/>
      <c r="T71" s="10"/>
      <c r="U71" s="10"/>
      <c r="V71" s="10"/>
      <c r="W71" s="10"/>
      <c r="X71" s="10"/>
      <c r="Y71" s="10"/>
      <c r="Z71" s="10"/>
      <c r="AA71" s="11"/>
      <c r="AB71" s="11"/>
    </row>
    <row r="72" spans="1:28" x14ac:dyDescent="0.25">
      <c r="A72" s="1"/>
      <c r="B72" s="1"/>
      <c r="C72" s="99" t="s">
        <v>69</v>
      </c>
      <c r="D72" s="1" t="s">
        <v>91</v>
      </c>
      <c r="E72" s="1"/>
      <c r="F72" s="1"/>
      <c r="G72" s="1"/>
      <c r="H72" s="10"/>
      <c r="I72" s="1"/>
      <c r="J72" s="1"/>
      <c r="K72" s="10"/>
      <c r="L72" s="13"/>
      <c r="M72" s="10"/>
      <c r="N72" s="10"/>
      <c r="O72" s="10"/>
      <c r="P72" s="10"/>
      <c r="Q72" s="10"/>
      <c r="R72" s="10"/>
      <c r="S72" s="10"/>
      <c r="T72" s="10"/>
      <c r="U72" s="10"/>
      <c r="V72" s="10"/>
      <c r="W72" s="10"/>
      <c r="X72" s="10"/>
      <c r="Y72" s="10"/>
      <c r="Z72" s="10"/>
      <c r="AA72" s="11"/>
      <c r="AB72" s="11"/>
    </row>
    <row r="73" spans="1:28" x14ac:dyDescent="0.25">
      <c r="A73" s="1"/>
      <c r="B73" s="1"/>
      <c r="C73" s="99" t="s">
        <v>69</v>
      </c>
      <c r="D73" s="1" t="s">
        <v>118</v>
      </c>
      <c r="E73" s="1"/>
      <c r="F73" s="1"/>
      <c r="G73" s="1"/>
      <c r="H73" s="10"/>
      <c r="I73" s="1"/>
      <c r="J73" s="1"/>
      <c r="K73" s="10"/>
      <c r="L73" s="13"/>
      <c r="M73" s="10"/>
      <c r="N73" s="10"/>
      <c r="O73" s="10"/>
      <c r="P73" s="10"/>
      <c r="Q73" s="10"/>
      <c r="R73" s="10"/>
      <c r="S73" s="10"/>
      <c r="T73" s="10"/>
      <c r="U73" s="10"/>
      <c r="V73" s="10"/>
      <c r="W73" s="10"/>
      <c r="X73" s="10"/>
      <c r="Y73" s="10"/>
      <c r="Z73" s="10"/>
      <c r="AA73" s="11"/>
      <c r="AB73" s="11"/>
    </row>
    <row r="74" spans="1:28" x14ac:dyDescent="0.25">
      <c r="A74" s="1"/>
      <c r="H74" s="10"/>
      <c r="I74" s="1"/>
      <c r="J74" s="1"/>
      <c r="K74" s="10"/>
      <c r="L74" s="13"/>
      <c r="M74" s="10"/>
      <c r="N74" s="10"/>
      <c r="O74" s="10"/>
      <c r="P74" s="10"/>
      <c r="Q74" s="10"/>
      <c r="R74" s="10"/>
      <c r="S74" s="10"/>
      <c r="T74" s="10"/>
      <c r="U74" s="10"/>
      <c r="V74" s="10"/>
      <c r="W74" s="10"/>
      <c r="X74" s="10"/>
      <c r="Y74" s="10"/>
      <c r="Z74" s="10"/>
      <c r="AA74" s="11"/>
      <c r="AB74" s="11"/>
    </row>
    <row r="75" spans="1:28" x14ac:dyDescent="0.25">
      <c r="A75" s="1"/>
      <c r="B75" s="13"/>
      <c r="D75" s="1"/>
      <c r="E75" s="1"/>
      <c r="F75" s="1"/>
      <c r="G75" s="1"/>
      <c r="H75" s="10"/>
      <c r="I75" s="10"/>
      <c r="J75" s="10"/>
      <c r="K75" s="10"/>
      <c r="L75" s="13"/>
      <c r="M75" s="10"/>
      <c r="N75" s="10"/>
      <c r="O75" s="10"/>
      <c r="P75" s="10"/>
      <c r="Q75" s="10"/>
      <c r="R75" s="10"/>
      <c r="S75" s="10"/>
      <c r="T75" s="10"/>
      <c r="U75" s="10"/>
      <c r="V75" s="10"/>
      <c r="W75" s="10"/>
      <c r="X75" s="10"/>
      <c r="Y75" s="10"/>
      <c r="Z75" s="10"/>
      <c r="AA75" s="11"/>
      <c r="AB75" s="11"/>
    </row>
    <row r="76" spans="1:28" x14ac:dyDescent="0.25">
      <c r="A76" s="1"/>
      <c r="B76" s="13" t="s">
        <v>119</v>
      </c>
      <c r="C76" s="13"/>
      <c r="D76" s="1"/>
      <c r="E76" s="1"/>
      <c r="F76" s="1"/>
      <c r="G76" s="1"/>
      <c r="H76" s="10"/>
      <c r="I76" s="10"/>
      <c r="J76" s="10"/>
      <c r="K76" s="10"/>
      <c r="L76" s="13"/>
      <c r="M76" s="10"/>
      <c r="N76" s="10"/>
      <c r="O76" s="10"/>
      <c r="P76" s="10"/>
      <c r="Q76" s="10"/>
      <c r="R76" s="10"/>
      <c r="S76" s="10"/>
      <c r="T76" s="10"/>
      <c r="U76" s="10"/>
      <c r="V76" s="10"/>
      <c r="W76" s="10"/>
      <c r="X76" s="10"/>
      <c r="Y76" s="10"/>
      <c r="Z76" s="10"/>
      <c r="AA76" s="11"/>
      <c r="AB76" s="11"/>
    </row>
    <row r="77" spans="1:28" x14ac:dyDescent="0.25">
      <c r="A77" s="1"/>
      <c r="C77" s="1"/>
      <c r="D77" s="1"/>
      <c r="E77" s="1"/>
      <c r="F77" s="1"/>
      <c r="G77" s="1"/>
      <c r="H77" s="10"/>
      <c r="I77" s="10"/>
      <c r="J77" s="10"/>
      <c r="K77" s="10"/>
      <c r="L77" s="13"/>
      <c r="M77" s="10"/>
      <c r="N77" s="10"/>
      <c r="O77" s="10"/>
      <c r="P77" s="10"/>
      <c r="Q77" s="10"/>
      <c r="R77" s="10"/>
      <c r="S77" s="10"/>
      <c r="T77" s="10"/>
      <c r="U77" s="10"/>
      <c r="V77" s="10"/>
      <c r="W77" s="10"/>
      <c r="X77" s="10"/>
      <c r="Y77" s="10"/>
      <c r="Z77" s="10"/>
      <c r="AA77" s="11"/>
      <c r="AB77" s="11"/>
    </row>
    <row r="78" spans="1:28" x14ac:dyDescent="0.25">
      <c r="A78" s="1"/>
      <c r="C78" s="99" t="s">
        <v>69</v>
      </c>
      <c r="D78" s="1" t="s">
        <v>120</v>
      </c>
      <c r="F78" s="13"/>
      <c r="G78" s="13"/>
      <c r="H78" s="10"/>
      <c r="I78" s="10"/>
      <c r="J78" s="10"/>
      <c r="K78" s="10"/>
      <c r="L78" s="13"/>
      <c r="M78" s="10"/>
      <c r="N78" s="10"/>
      <c r="O78" s="10"/>
      <c r="P78" s="10"/>
      <c r="Q78" s="10"/>
      <c r="R78" s="10"/>
      <c r="S78" s="10"/>
      <c r="T78" s="10"/>
      <c r="U78" s="10"/>
      <c r="V78" s="10"/>
      <c r="W78" s="10"/>
      <c r="X78" s="10"/>
      <c r="Y78" s="10"/>
      <c r="Z78" s="10"/>
      <c r="AA78" s="11"/>
      <c r="AB78" s="11"/>
    </row>
    <row r="79" spans="1:28" ht="12" x14ac:dyDescent="0.3">
      <c r="A79" s="1"/>
      <c r="B79" s="1"/>
      <c r="C79" s="96"/>
      <c r="D79" s="1"/>
      <c r="E79" s="1"/>
      <c r="F79" s="1"/>
      <c r="G79" s="1"/>
      <c r="H79" s="10"/>
      <c r="I79" s="10"/>
      <c r="J79" s="10"/>
      <c r="K79" s="10"/>
      <c r="L79" s="13"/>
      <c r="M79" s="10"/>
      <c r="N79" s="10"/>
      <c r="O79" s="10"/>
      <c r="P79" s="10"/>
      <c r="Q79" s="10"/>
      <c r="R79" s="10"/>
      <c r="S79" s="10"/>
      <c r="T79" s="10"/>
      <c r="U79" s="10"/>
      <c r="V79" s="10"/>
      <c r="W79" s="10"/>
      <c r="X79" s="10"/>
      <c r="Y79" s="10"/>
      <c r="Z79" s="10"/>
      <c r="AA79" s="11"/>
      <c r="AB79" s="11"/>
    </row>
    <row r="80" spans="1:28" ht="14.15" customHeight="1" x14ac:dyDescent="0.25">
      <c r="A80" s="1"/>
      <c r="B80" s="1"/>
      <c r="C80" s="13" t="s">
        <v>121</v>
      </c>
      <c r="D80" s="13" t="s">
        <v>122</v>
      </c>
      <c r="E80" s="1"/>
      <c r="F80" s="1"/>
      <c r="G80" s="1"/>
      <c r="H80" s="10"/>
      <c r="I80" s="10"/>
      <c r="J80" s="10"/>
      <c r="K80" s="10"/>
      <c r="L80" s="13"/>
      <c r="M80" s="10"/>
      <c r="N80" s="10"/>
      <c r="O80" s="10"/>
      <c r="P80" s="10"/>
      <c r="Q80" s="10"/>
      <c r="R80" s="10"/>
      <c r="S80" s="10"/>
      <c r="T80" s="10"/>
      <c r="U80" s="10"/>
      <c r="V80" s="10"/>
      <c r="W80" s="10"/>
      <c r="X80" s="10"/>
      <c r="Y80" s="10"/>
      <c r="Z80" s="10"/>
      <c r="AA80" s="11"/>
      <c r="AB80" s="11"/>
    </row>
    <row r="81" spans="1:28" x14ac:dyDescent="0.25">
      <c r="A81" s="1"/>
      <c r="B81" s="1"/>
      <c r="C81" s="99" t="s">
        <v>69</v>
      </c>
      <c r="D81" s="99" t="s">
        <v>69</v>
      </c>
      <c r="E81" s="1" t="s">
        <v>123</v>
      </c>
      <c r="F81" s="1"/>
      <c r="G81" s="1"/>
      <c r="H81" s="10"/>
      <c r="I81" s="10"/>
      <c r="J81" s="10"/>
      <c r="K81" s="10"/>
      <c r="L81" s="13"/>
      <c r="M81" s="10"/>
      <c r="N81" s="10"/>
      <c r="O81" s="10"/>
      <c r="P81" s="10"/>
      <c r="Q81" s="10"/>
      <c r="R81" s="10"/>
      <c r="S81" s="10"/>
      <c r="T81" s="10"/>
      <c r="U81" s="10"/>
      <c r="V81" s="10"/>
      <c r="W81" s="10"/>
      <c r="X81" s="10"/>
      <c r="Y81" s="10"/>
      <c r="Z81" s="10"/>
      <c r="AA81" s="11"/>
      <c r="AB81" s="11"/>
    </row>
    <row r="82" spans="1:28" x14ac:dyDescent="0.25">
      <c r="A82" s="1"/>
      <c r="B82" s="1"/>
      <c r="C82" s="99" t="s">
        <v>69</v>
      </c>
      <c r="D82" s="99" t="s">
        <v>69</v>
      </c>
      <c r="E82" s="1" t="s">
        <v>75</v>
      </c>
      <c r="F82" s="1"/>
      <c r="G82" s="1"/>
      <c r="H82" s="10"/>
      <c r="I82" s="10"/>
      <c r="J82" s="10"/>
      <c r="K82" s="10"/>
      <c r="L82" s="13"/>
      <c r="M82" s="10"/>
      <c r="N82" s="10"/>
      <c r="O82" s="10"/>
      <c r="P82" s="10"/>
      <c r="Q82" s="10"/>
      <c r="R82" s="10"/>
      <c r="S82" s="10"/>
      <c r="T82" s="10"/>
      <c r="U82" s="10"/>
      <c r="V82" s="10"/>
      <c r="W82" s="10"/>
      <c r="X82" s="10"/>
      <c r="Y82" s="10"/>
      <c r="Z82" s="10"/>
      <c r="AA82" s="11"/>
      <c r="AB82" s="11"/>
    </row>
    <row r="83" spans="1:28" x14ac:dyDescent="0.25">
      <c r="A83" s="1"/>
      <c r="B83" s="1"/>
      <c r="C83" s="99" t="s">
        <v>69</v>
      </c>
      <c r="D83" s="99" t="s">
        <v>69</v>
      </c>
      <c r="E83" s="1" t="s">
        <v>76</v>
      </c>
      <c r="F83" s="1"/>
      <c r="G83" s="1"/>
      <c r="H83" s="10"/>
      <c r="I83" s="10"/>
      <c r="J83" s="10"/>
      <c r="K83" s="10"/>
      <c r="L83" s="13"/>
      <c r="M83" s="10"/>
      <c r="N83" s="10"/>
      <c r="O83" s="10"/>
      <c r="P83" s="10"/>
      <c r="Q83" s="10"/>
      <c r="R83" s="10"/>
      <c r="S83" s="10"/>
      <c r="T83" s="10"/>
      <c r="U83" s="10"/>
      <c r="V83" s="10"/>
      <c r="W83" s="10"/>
      <c r="X83" s="10"/>
      <c r="Y83" s="10"/>
      <c r="Z83" s="10"/>
      <c r="AA83" s="11"/>
      <c r="AB83" s="11"/>
    </row>
    <row r="84" spans="1:28" x14ac:dyDescent="0.25">
      <c r="A84" s="1"/>
      <c r="B84" s="1"/>
      <c r="C84" s="99" t="s">
        <v>69</v>
      </c>
      <c r="D84" s="99" t="s">
        <v>69</v>
      </c>
      <c r="E84" s="1" t="s">
        <v>77</v>
      </c>
      <c r="F84" s="1"/>
      <c r="G84" s="1"/>
      <c r="H84" s="10"/>
      <c r="I84" s="10"/>
      <c r="J84" s="10"/>
      <c r="K84" s="10"/>
      <c r="L84" s="13"/>
      <c r="M84" s="10"/>
      <c r="N84" s="10"/>
      <c r="O84" s="10"/>
      <c r="P84" s="10"/>
      <c r="Q84" s="10"/>
      <c r="R84" s="10"/>
      <c r="S84" s="10"/>
      <c r="T84" s="10"/>
      <c r="U84" s="10"/>
      <c r="V84" s="10"/>
      <c r="W84" s="10"/>
      <c r="X84" s="10"/>
      <c r="Y84" s="10"/>
      <c r="Z84" s="10"/>
      <c r="AA84" s="11"/>
      <c r="AB84" s="11"/>
    </row>
    <row r="85" spans="1:28" x14ac:dyDescent="0.25">
      <c r="A85" s="1"/>
      <c r="B85" s="1"/>
      <c r="C85" s="99" t="s">
        <v>69</v>
      </c>
      <c r="D85" s="99" t="s">
        <v>69</v>
      </c>
      <c r="E85" s="1" t="s">
        <v>90</v>
      </c>
      <c r="F85" s="1"/>
      <c r="G85" s="1"/>
      <c r="H85" s="10"/>
      <c r="I85" s="10"/>
      <c r="J85" s="10"/>
      <c r="K85" s="10"/>
      <c r="L85" s="13"/>
      <c r="M85" s="10"/>
      <c r="N85" s="10"/>
      <c r="O85" s="10"/>
      <c r="P85" s="10"/>
      <c r="Q85" s="10"/>
      <c r="R85" s="10"/>
      <c r="S85" s="10"/>
      <c r="T85" s="10"/>
      <c r="U85" s="10"/>
      <c r="V85" s="10"/>
      <c r="W85" s="10"/>
      <c r="X85" s="10"/>
      <c r="Y85" s="10"/>
      <c r="Z85" s="10"/>
      <c r="AA85" s="11"/>
      <c r="AB85" s="11"/>
    </row>
    <row r="86" spans="1:28" x14ac:dyDescent="0.25">
      <c r="A86" s="1"/>
      <c r="B86" s="1"/>
      <c r="C86" s="99" t="s">
        <v>69</v>
      </c>
      <c r="D86" s="99" t="s">
        <v>69</v>
      </c>
      <c r="E86" s="1" t="s">
        <v>78</v>
      </c>
      <c r="F86" s="1"/>
      <c r="G86" s="1"/>
      <c r="H86" s="10"/>
      <c r="I86" s="10"/>
      <c r="J86" s="10"/>
      <c r="K86" s="10"/>
      <c r="L86" s="13"/>
      <c r="M86" s="10"/>
      <c r="N86" s="10"/>
      <c r="O86" s="10"/>
      <c r="P86" s="10"/>
      <c r="Q86" s="10"/>
      <c r="R86" s="10"/>
      <c r="S86" s="10"/>
      <c r="T86" s="10"/>
      <c r="U86" s="10"/>
      <c r="V86" s="10"/>
      <c r="W86" s="10"/>
      <c r="X86" s="10"/>
      <c r="Y86" s="10"/>
      <c r="Z86" s="10"/>
      <c r="AA86" s="11"/>
      <c r="AB86" s="11"/>
    </row>
    <row r="87" spans="1:28" x14ac:dyDescent="0.25">
      <c r="A87" s="1"/>
      <c r="B87" s="1"/>
      <c r="C87" s="99" t="s">
        <v>69</v>
      </c>
      <c r="D87" s="99" t="s">
        <v>69</v>
      </c>
      <c r="E87" s="1" t="s">
        <v>79</v>
      </c>
      <c r="F87" s="1"/>
      <c r="G87" s="1"/>
      <c r="H87" s="10"/>
      <c r="I87" s="10"/>
      <c r="J87" s="10"/>
      <c r="K87" s="10"/>
      <c r="L87" s="13"/>
      <c r="M87" s="10"/>
      <c r="N87" s="10"/>
      <c r="O87" s="10"/>
      <c r="P87" s="10"/>
      <c r="Q87" s="10"/>
      <c r="R87" s="10"/>
      <c r="S87" s="10"/>
      <c r="T87" s="10"/>
      <c r="U87" s="10"/>
      <c r="V87" s="10"/>
      <c r="W87" s="10"/>
      <c r="X87" s="10"/>
      <c r="Y87" s="10"/>
      <c r="Z87" s="10"/>
      <c r="AA87" s="11"/>
      <c r="AB87" s="11"/>
    </row>
    <row r="88" spans="1:28" x14ac:dyDescent="0.25">
      <c r="A88" s="1"/>
      <c r="B88" s="1"/>
      <c r="C88" s="99" t="s">
        <v>69</v>
      </c>
      <c r="D88" s="99" t="s">
        <v>69</v>
      </c>
      <c r="E88" s="1" t="s">
        <v>80</v>
      </c>
      <c r="F88" s="1"/>
      <c r="G88" s="1"/>
      <c r="H88" s="10"/>
      <c r="I88" s="10"/>
      <c r="J88" s="10"/>
      <c r="K88" s="10"/>
      <c r="L88" s="13"/>
      <c r="M88" s="10"/>
      <c r="N88" s="10"/>
      <c r="O88" s="10"/>
      <c r="P88" s="10"/>
      <c r="Q88" s="10"/>
      <c r="R88" s="10"/>
      <c r="S88" s="10"/>
      <c r="T88" s="10"/>
      <c r="U88" s="10"/>
      <c r="V88" s="10"/>
      <c r="W88" s="10"/>
      <c r="X88" s="10"/>
      <c r="Y88" s="10"/>
      <c r="Z88" s="10"/>
      <c r="AA88" s="11"/>
      <c r="AB88" s="11"/>
    </row>
    <row r="89" spans="1:28" x14ac:dyDescent="0.25">
      <c r="A89" s="1"/>
      <c r="B89" s="1"/>
      <c r="C89" s="99" t="s">
        <v>69</v>
      </c>
      <c r="D89" s="99" t="s">
        <v>69</v>
      </c>
      <c r="E89" s="1" t="s">
        <v>124</v>
      </c>
      <c r="F89" s="1"/>
      <c r="G89" s="1"/>
      <c r="H89" s="10"/>
      <c r="I89" s="10"/>
      <c r="J89" s="10"/>
      <c r="K89" s="10"/>
      <c r="L89" s="13"/>
      <c r="M89" s="10"/>
      <c r="N89" s="10"/>
      <c r="O89" s="10"/>
      <c r="P89" s="10"/>
      <c r="Q89" s="10"/>
      <c r="R89" s="10"/>
      <c r="S89" s="10"/>
      <c r="T89" s="10"/>
      <c r="U89" s="10"/>
      <c r="V89" s="10"/>
      <c r="W89" s="10"/>
      <c r="X89" s="10"/>
      <c r="Y89" s="10"/>
      <c r="Z89" s="10"/>
      <c r="AA89" s="11"/>
      <c r="AB89" s="11"/>
    </row>
    <row r="90" spans="1:28" x14ac:dyDescent="0.25">
      <c r="A90" s="1"/>
      <c r="B90" s="1"/>
      <c r="C90" s="97" t="s">
        <v>69</v>
      </c>
      <c r="D90" s="97" t="s">
        <v>69</v>
      </c>
      <c r="E90" s="1" t="s">
        <v>125</v>
      </c>
      <c r="H90" s="10"/>
      <c r="I90" s="10"/>
      <c r="J90" s="10"/>
      <c r="K90" s="10"/>
      <c r="L90" s="13"/>
      <c r="M90" s="10"/>
      <c r="N90" s="10"/>
      <c r="O90" s="10"/>
      <c r="P90" s="10"/>
      <c r="Q90" s="10"/>
      <c r="R90" s="10"/>
      <c r="S90" s="10"/>
      <c r="T90" s="10"/>
      <c r="U90" s="10"/>
      <c r="V90" s="10"/>
      <c r="W90" s="10"/>
      <c r="X90" s="10"/>
      <c r="Y90" s="10"/>
      <c r="Z90" s="10"/>
      <c r="AA90" s="11"/>
      <c r="AB90" s="11"/>
    </row>
    <row r="91" spans="1:28" x14ac:dyDescent="0.25">
      <c r="A91" s="1"/>
      <c r="B91" s="1"/>
      <c r="C91" s="101"/>
      <c r="D91" s="101"/>
      <c r="E91" s="1"/>
      <c r="F91" s="1"/>
      <c r="G91" s="1"/>
      <c r="H91" s="10"/>
      <c r="I91" s="10"/>
      <c r="J91" s="10"/>
      <c r="K91" s="10"/>
      <c r="L91" s="13"/>
      <c r="M91" s="10"/>
      <c r="N91" s="10"/>
      <c r="O91" s="10"/>
      <c r="P91" s="10"/>
      <c r="Q91" s="10"/>
      <c r="R91" s="10"/>
      <c r="S91" s="10"/>
      <c r="T91" s="10"/>
      <c r="U91" s="10"/>
      <c r="V91" s="10"/>
      <c r="W91" s="10"/>
      <c r="X91" s="10"/>
      <c r="Y91" s="10"/>
      <c r="Z91" s="10"/>
      <c r="AA91" s="11"/>
      <c r="AB91" s="11"/>
    </row>
    <row r="92" spans="1:28" x14ac:dyDescent="0.25">
      <c r="A92" s="1"/>
      <c r="B92" s="1"/>
      <c r="C92" s="1"/>
      <c r="D92" s="1"/>
      <c r="E92" s="1"/>
      <c r="F92" s="1"/>
      <c r="G92" s="1"/>
      <c r="H92" s="10"/>
      <c r="I92" s="10"/>
      <c r="J92" s="10"/>
      <c r="K92" s="10"/>
      <c r="L92" s="13"/>
      <c r="M92" s="10"/>
      <c r="N92" s="10"/>
      <c r="O92" s="10"/>
      <c r="P92" s="10"/>
      <c r="Q92" s="10"/>
      <c r="R92" s="10"/>
      <c r="S92" s="10"/>
      <c r="T92" s="10"/>
      <c r="U92" s="10"/>
      <c r="V92" s="10"/>
      <c r="W92" s="10"/>
      <c r="X92" s="10"/>
      <c r="Y92" s="10"/>
      <c r="Z92" s="10"/>
      <c r="AA92" s="11"/>
      <c r="AB92" s="11"/>
    </row>
    <row r="93" spans="1:28" x14ac:dyDescent="0.25">
      <c r="A93" s="1"/>
      <c r="B93" s="13"/>
      <c r="C93" s="1"/>
      <c r="D93" s="1"/>
      <c r="E93" s="1"/>
      <c r="F93" s="1"/>
      <c r="G93" s="1"/>
      <c r="H93" s="10"/>
      <c r="I93" s="10"/>
      <c r="J93" s="10"/>
      <c r="K93" s="10"/>
      <c r="L93" s="10"/>
      <c r="M93" s="10"/>
      <c r="N93" s="10"/>
      <c r="O93" s="10"/>
      <c r="P93" s="10"/>
      <c r="Q93" s="10"/>
      <c r="R93" s="10"/>
      <c r="S93" s="10"/>
      <c r="T93" s="10"/>
      <c r="U93" s="10"/>
      <c r="V93" s="10"/>
      <c r="W93" s="10"/>
      <c r="X93" s="10"/>
      <c r="Y93" s="10"/>
      <c r="Z93" s="10"/>
      <c r="AA93" s="11"/>
      <c r="AB93" s="11"/>
    </row>
    <row r="94" spans="1:28" ht="15.5" x14ac:dyDescent="0.35">
      <c r="A94" s="1"/>
      <c r="B94" s="84" t="s">
        <v>126</v>
      </c>
      <c r="C94" s="49"/>
      <c r="D94" s="49"/>
      <c r="E94" s="49"/>
      <c r="F94" s="49"/>
      <c r="G94" s="49"/>
      <c r="H94" s="1"/>
      <c r="I94" s="1"/>
      <c r="J94" s="1"/>
      <c r="K94" s="1"/>
      <c r="L94" s="1"/>
      <c r="M94" s="1"/>
      <c r="N94" s="1"/>
      <c r="O94" s="1"/>
      <c r="P94" s="1"/>
      <c r="Q94" s="1"/>
      <c r="R94" s="1"/>
      <c r="S94" s="1"/>
      <c r="T94" s="1"/>
      <c r="U94" s="1"/>
      <c r="V94" s="1"/>
      <c r="W94" s="1"/>
      <c r="X94" s="1"/>
      <c r="Y94" s="1"/>
      <c r="Z94" s="1"/>
    </row>
    <row r="95" spans="1:28" x14ac:dyDescent="0.25">
      <c r="A95" s="1"/>
      <c r="B95" s="13"/>
      <c r="C95" s="1"/>
      <c r="D95" s="1"/>
      <c r="E95" s="1"/>
      <c r="F95" s="1"/>
      <c r="G95" s="1"/>
      <c r="H95" s="1"/>
      <c r="I95" s="1"/>
      <c r="J95" s="1"/>
      <c r="K95" s="1"/>
      <c r="L95" s="1"/>
      <c r="M95" s="1"/>
      <c r="N95" s="1"/>
      <c r="O95" s="1"/>
      <c r="P95" s="1"/>
      <c r="Q95" s="1"/>
      <c r="R95" s="1"/>
      <c r="S95" s="1"/>
      <c r="T95" s="1"/>
      <c r="U95" s="1"/>
      <c r="V95" s="1"/>
      <c r="W95" s="1"/>
      <c r="X95" s="1"/>
      <c r="Y95" s="1"/>
      <c r="Z95" s="1"/>
    </row>
    <row r="96" spans="1:28" x14ac:dyDescent="0.25">
      <c r="A96" s="1"/>
      <c r="B96" s="1" t="s">
        <v>169</v>
      </c>
      <c r="C96" s="1"/>
      <c r="D96" s="1"/>
      <c r="E96" s="1"/>
      <c r="G96" s="1"/>
      <c r="H96" s="1"/>
      <c r="I96" s="1"/>
      <c r="J96" s="1"/>
      <c r="K96" s="1"/>
      <c r="L96" s="1"/>
      <c r="M96" s="1"/>
      <c r="N96" s="1"/>
      <c r="O96" s="1"/>
      <c r="P96" s="1"/>
      <c r="Q96" s="1"/>
      <c r="R96" s="1"/>
      <c r="S96" s="1"/>
      <c r="T96" s="1"/>
      <c r="U96" s="1"/>
      <c r="V96" s="1"/>
      <c r="W96" s="1"/>
      <c r="X96" s="1"/>
      <c r="Y96" s="1"/>
      <c r="Z96" s="1"/>
    </row>
    <row r="97" spans="1:26" x14ac:dyDescent="0.25">
      <c r="A97" s="1"/>
      <c r="B97" s="1" t="s">
        <v>127</v>
      </c>
      <c r="C97" s="1"/>
      <c r="D97" s="1"/>
      <c r="E97" s="1"/>
      <c r="F97" s="1"/>
      <c r="G97" s="1"/>
      <c r="H97" s="1"/>
      <c r="I97" s="1"/>
      <c r="J97" s="1"/>
      <c r="K97" s="1"/>
      <c r="L97" s="1"/>
      <c r="M97" s="1"/>
      <c r="N97" s="1"/>
      <c r="O97" s="1"/>
      <c r="P97" s="1"/>
      <c r="Q97" s="1"/>
      <c r="R97" s="1"/>
      <c r="S97" s="1"/>
      <c r="T97" s="1"/>
      <c r="U97" s="1"/>
      <c r="V97" s="1"/>
      <c r="W97" s="1"/>
      <c r="X97" s="1"/>
      <c r="Y97" s="1"/>
      <c r="Z97" s="1"/>
    </row>
    <row r="98" spans="1:2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sheetData>
  <mergeCells count="2">
    <mergeCell ref="C48:G48"/>
    <mergeCell ref="C49:G49"/>
  </mergeCells>
  <dataValidations count="3">
    <dataValidation type="list" allowBlank="1" showInputMessage="1" showErrorMessage="1" sqref="E10" xr:uid="{BC0F75AA-B096-41DD-935C-C642041F8BFA}">
      <formula1>$J$68:$J$71</formula1>
    </dataValidation>
    <dataValidation type="list" allowBlank="1" showInputMessage="1" showErrorMessage="1" sqref="E11" xr:uid="{DA99DCFF-403A-4E7E-BF6B-6C35B5788CBA}">
      <formula1>$J$68:$J$70</formula1>
    </dataValidation>
    <dataValidation type="list" allowBlank="1" showInputMessage="1" showErrorMessage="1" sqref="C66:C67 C78 C71:C73 C81:D91" xr:uid="{9F372C84-6BE9-45F9-8DB0-861E221C99D1}">
      <formula1>$J$64:$J$66</formula1>
    </dataValidation>
  </dataValidations>
  <pageMargins left="0.7" right="0.7" top="0.75" bottom="0.75" header="0.3" footer="0.3"/>
  <pageSetup scale="78" fitToHeight="3" orientation="portrait" r:id="rId1"/>
  <rowBreaks count="1" manualBreakCount="1">
    <brk id="77" min="1"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xdr:col>
                    <xdr:colOff>203200</xdr:colOff>
                    <xdr:row>38</xdr:row>
                    <xdr:rowOff>69850</xdr:rowOff>
                  </from>
                  <to>
                    <xdr:col>3</xdr:col>
                    <xdr:colOff>952500</xdr:colOff>
                    <xdr:row>40</xdr:row>
                    <xdr:rowOff>69850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xdr:col>
                    <xdr:colOff>203200</xdr:colOff>
                    <xdr:row>40</xdr:row>
                    <xdr:rowOff>76200</xdr:rowOff>
                  </from>
                  <to>
                    <xdr:col>3</xdr:col>
                    <xdr:colOff>952500</xdr:colOff>
                    <xdr:row>42</xdr:row>
                    <xdr:rowOff>76200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4</xdr:col>
                    <xdr:colOff>1143000</xdr:colOff>
                    <xdr:row>38</xdr:row>
                    <xdr:rowOff>114300</xdr:rowOff>
                  </from>
                  <to>
                    <xdr:col>5</xdr:col>
                    <xdr:colOff>419100</xdr:colOff>
                    <xdr:row>40</xdr:row>
                    <xdr:rowOff>114300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4</xdr:col>
                    <xdr:colOff>1136650</xdr:colOff>
                    <xdr:row>40</xdr:row>
                    <xdr:rowOff>69850</xdr:rowOff>
                  </from>
                  <to>
                    <xdr:col>5</xdr:col>
                    <xdr:colOff>450850</xdr:colOff>
                    <xdr:row>42</xdr:row>
                    <xdr:rowOff>69850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0</xdr:colOff>
                    <xdr:row>24</xdr:row>
                    <xdr:rowOff>0</xdr:rowOff>
                  </from>
                  <to>
                    <xdr:col>4</xdr:col>
                    <xdr:colOff>298450</xdr:colOff>
                    <xdr:row>26</xdr:row>
                    <xdr:rowOff>38100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2</xdr:col>
                    <xdr:colOff>0</xdr:colOff>
                    <xdr:row>28</xdr:row>
                    <xdr:rowOff>0</xdr:rowOff>
                  </from>
                  <to>
                    <xdr:col>4</xdr:col>
                    <xdr:colOff>228600</xdr:colOff>
                    <xdr:row>30</xdr:row>
                    <xdr:rowOff>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2</xdr:col>
                    <xdr:colOff>0</xdr:colOff>
                    <xdr:row>30</xdr:row>
                    <xdr:rowOff>0</xdr:rowOff>
                  </from>
                  <to>
                    <xdr:col>4</xdr:col>
                    <xdr:colOff>228600</xdr:colOff>
                    <xdr:row>32</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2</xdr:col>
                    <xdr:colOff>0</xdr:colOff>
                    <xdr:row>26</xdr:row>
                    <xdr:rowOff>12700</xdr:rowOff>
                  </from>
                  <to>
                    <xdr:col>4</xdr:col>
                    <xdr:colOff>298450</xdr:colOff>
                    <xdr:row>28</xdr:row>
                    <xdr:rowOff>12700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2</xdr:col>
                    <xdr:colOff>0</xdr:colOff>
                    <xdr:row>32</xdr:row>
                    <xdr:rowOff>0</xdr:rowOff>
                  </from>
                  <to>
                    <xdr:col>3</xdr:col>
                    <xdr:colOff>533400</xdr:colOff>
                    <xdr:row>34</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71A2D-5933-4080-9AB7-4F0FE5A8C2F6}">
  <sheetPr codeName="Sheet18">
    <tabColor rgb="FF99CCFF"/>
  </sheetPr>
  <dimension ref="B1:Q1850"/>
  <sheetViews>
    <sheetView showGridLines="0" zoomScaleNormal="100" workbookViewId="0"/>
  </sheetViews>
  <sheetFormatPr defaultRowHeight="11.5" x14ac:dyDescent="0.25"/>
  <cols>
    <col min="1" max="2" width="3.69921875" customWidth="1"/>
    <col min="3" max="17" width="12.69921875" customWidth="1"/>
  </cols>
  <sheetData>
    <row r="1" spans="2:17" x14ac:dyDescent="0.25">
      <c r="C1" s="42" t="str">
        <f>'Fare optimisation'!$C$1</f>
        <v>Fare Optimisation Model for the 2025 Opal Review - Independent Pricing and Regulatory Tribunal of NSW</v>
      </c>
    </row>
    <row r="2" spans="2:17" x14ac:dyDescent="0.25">
      <c r="C2" s="42"/>
    </row>
    <row r="3" spans="2:17" x14ac:dyDescent="0.25">
      <c r="C3" s="42"/>
    </row>
    <row r="4" spans="2:17" ht="23" x14ac:dyDescent="0.5">
      <c r="C4" s="184" t="s">
        <v>1277</v>
      </c>
    </row>
    <row r="7" spans="2:17" x14ac:dyDescent="0.25">
      <c r="C7" s="209" t="s">
        <v>225</v>
      </c>
      <c r="D7" s="209"/>
      <c r="E7" s="209"/>
      <c r="F7" s="209"/>
      <c r="G7" s="209"/>
      <c r="H7" s="234" t="s">
        <v>226</v>
      </c>
    </row>
    <row r="8" spans="2:17" x14ac:dyDescent="0.25">
      <c r="B8" s="186">
        <v>1</v>
      </c>
      <c r="C8" s="533" t="str">
        <f>"Table "&amp;B8&amp;" - Trip data - usage for 2022-23 - all days of the week"</f>
        <v>Table 1 - Trip data - usage for 2022-23 - all days of the week</v>
      </c>
      <c r="D8" s="533"/>
      <c r="E8" s="533"/>
      <c r="F8" s="533"/>
      <c r="G8" s="533"/>
      <c r="H8" s="533">
        <f>ROW(C12)</f>
        <v>12</v>
      </c>
    </row>
    <row r="12" spans="2:17" ht="15.5" x14ac:dyDescent="0.35">
      <c r="C12" s="43" t="str">
        <f>C8</f>
        <v>Table 1 - Trip data - usage for 2022-23 - all days of the week</v>
      </c>
    </row>
    <row r="13" spans="2:17" x14ac:dyDescent="0.25">
      <c r="C13" s="188"/>
      <c r="D13" s="652" t="s">
        <v>1495</v>
      </c>
      <c r="E13" s="189"/>
      <c r="F13" s="189"/>
      <c r="G13" s="189"/>
      <c r="H13" s="189"/>
      <c r="I13" s="189"/>
      <c r="J13" s="189"/>
      <c r="K13" s="189"/>
      <c r="L13" s="650" t="s">
        <v>1496</v>
      </c>
      <c r="M13" s="189"/>
      <c r="N13" s="189"/>
      <c r="O13" s="189"/>
      <c r="P13" s="189"/>
      <c r="Q13" s="190"/>
    </row>
    <row r="14" spans="2:17" x14ac:dyDescent="0.25">
      <c r="C14" s="220" t="s">
        <v>255</v>
      </c>
      <c r="G14" s="194"/>
      <c r="K14" s="42" t="s">
        <v>256</v>
      </c>
      <c r="O14" s="194"/>
      <c r="Q14" s="195"/>
    </row>
    <row r="15" spans="2:17" ht="23" x14ac:dyDescent="0.25">
      <c r="C15" s="191" t="s">
        <v>1273</v>
      </c>
      <c r="D15" s="566" t="s">
        <v>1274</v>
      </c>
      <c r="E15" s="566" t="s">
        <v>654</v>
      </c>
      <c r="F15" s="566" t="s">
        <v>173</v>
      </c>
      <c r="G15" s="203" t="s">
        <v>1152</v>
      </c>
      <c r="H15" s="203" t="s">
        <v>254</v>
      </c>
      <c r="I15" s="203" t="s">
        <v>655</v>
      </c>
      <c r="K15" t="s">
        <v>1273</v>
      </c>
      <c r="L15" s="566" t="s">
        <v>1274</v>
      </c>
      <c r="M15" s="566" t="s">
        <v>654</v>
      </c>
      <c r="N15" s="566" t="s">
        <v>173</v>
      </c>
      <c r="O15" s="203" t="s">
        <v>1152</v>
      </c>
      <c r="P15" s="203" t="s">
        <v>254</v>
      </c>
      <c r="Q15" s="207" t="s">
        <v>655</v>
      </c>
    </row>
    <row r="16" spans="2:17" x14ac:dyDescent="0.25">
      <c r="C16" s="300" t="s">
        <v>1271</v>
      </c>
      <c r="D16" s="283" t="s">
        <v>656</v>
      </c>
      <c r="E16" s="283" t="s">
        <v>247</v>
      </c>
      <c r="F16" s="283" t="s">
        <v>184</v>
      </c>
      <c r="G16" s="283">
        <v>0</v>
      </c>
      <c r="H16" s="283">
        <v>3171279</v>
      </c>
      <c r="I16" s="286">
        <f>(G16+IF('Scenario Analysis'!$N$23=1,0,0.5))*H16</f>
        <v>1585639.5</v>
      </c>
      <c r="K16" s="283" t="s">
        <v>1271</v>
      </c>
      <c r="L16" s="283" t="s">
        <v>657</v>
      </c>
      <c r="M16" s="283" t="s">
        <v>247</v>
      </c>
      <c r="N16" s="283" t="s">
        <v>251</v>
      </c>
      <c r="O16" s="283">
        <v>1</v>
      </c>
      <c r="P16" s="283">
        <v>33590</v>
      </c>
      <c r="Q16" s="287">
        <f>(O16+IF('Scenario Analysis'!$N$23=1,0,0.5))*P16</f>
        <v>50385</v>
      </c>
    </row>
    <row r="17" spans="3:17" x14ac:dyDescent="0.25">
      <c r="C17" s="300" t="s">
        <v>1271</v>
      </c>
      <c r="D17" s="283" t="s">
        <v>656</v>
      </c>
      <c r="E17" s="283" t="s">
        <v>247</v>
      </c>
      <c r="F17" s="283" t="s">
        <v>184</v>
      </c>
      <c r="G17" s="283">
        <v>1</v>
      </c>
      <c r="H17" s="283">
        <v>9323326</v>
      </c>
      <c r="I17" s="286">
        <f>(G17+IF('Scenario Analysis'!$N$23=1,0,0.5))*H17</f>
        <v>13984989</v>
      </c>
      <c r="K17" s="283" t="s">
        <v>1271</v>
      </c>
      <c r="L17" s="283" t="s">
        <v>657</v>
      </c>
      <c r="M17" s="283" t="s">
        <v>247</v>
      </c>
      <c r="N17" s="283" t="s">
        <v>251</v>
      </c>
      <c r="O17" s="283">
        <v>2</v>
      </c>
      <c r="P17" s="283">
        <v>83096</v>
      </c>
      <c r="Q17" s="287">
        <f>(O17+IF('Scenario Analysis'!$N$23=1,0,0.5))*P17</f>
        <v>207740</v>
      </c>
    </row>
    <row r="18" spans="3:17" x14ac:dyDescent="0.25">
      <c r="C18" s="300" t="s">
        <v>1271</v>
      </c>
      <c r="D18" s="283" t="s">
        <v>656</v>
      </c>
      <c r="E18" s="283" t="s">
        <v>247</v>
      </c>
      <c r="F18" s="283" t="s">
        <v>184</v>
      </c>
      <c r="G18" s="283">
        <v>2</v>
      </c>
      <c r="H18" s="283">
        <v>7490452</v>
      </c>
      <c r="I18" s="286">
        <f>(G18+IF('Scenario Analysis'!$N$23=1,0,0.5))*H18</f>
        <v>18726130</v>
      </c>
      <c r="K18" s="283" t="s">
        <v>1271</v>
      </c>
      <c r="L18" s="283" t="s">
        <v>657</v>
      </c>
      <c r="M18" s="283" t="s">
        <v>247</v>
      </c>
      <c r="N18" s="283" t="s">
        <v>251</v>
      </c>
      <c r="O18" s="283">
        <v>3</v>
      </c>
      <c r="P18" s="283">
        <v>335253</v>
      </c>
      <c r="Q18" s="287">
        <f>(O18+IF('Scenario Analysis'!$N$23=1,0,0.5))*P18</f>
        <v>1173385.5</v>
      </c>
    </row>
    <row r="19" spans="3:17" x14ac:dyDescent="0.25">
      <c r="C19" s="300" t="s">
        <v>1271</v>
      </c>
      <c r="D19" s="283" t="s">
        <v>656</v>
      </c>
      <c r="E19" s="283" t="s">
        <v>247</v>
      </c>
      <c r="F19" s="283" t="s">
        <v>184</v>
      </c>
      <c r="G19" s="283">
        <v>3</v>
      </c>
      <c r="H19" s="283">
        <v>5026645</v>
      </c>
      <c r="I19" s="286">
        <f>(G19+IF('Scenario Analysis'!$N$23=1,0,0.5))*H19</f>
        <v>17593257.5</v>
      </c>
      <c r="K19" s="283" t="s">
        <v>1271</v>
      </c>
      <c r="L19" s="283" t="s">
        <v>657</v>
      </c>
      <c r="M19" s="283" t="s">
        <v>247</v>
      </c>
      <c r="N19" s="283" t="s">
        <v>251</v>
      </c>
      <c r="O19" s="283">
        <v>4</v>
      </c>
      <c r="P19" s="283">
        <v>64444</v>
      </c>
      <c r="Q19" s="287">
        <f>(O19+IF('Scenario Analysis'!$N$23=1,0,0.5))*P19</f>
        <v>289998</v>
      </c>
    </row>
    <row r="20" spans="3:17" x14ac:dyDescent="0.25">
      <c r="C20" s="300" t="s">
        <v>1271</v>
      </c>
      <c r="D20" s="283" t="s">
        <v>656</v>
      </c>
      <c r="E20" s="283" t="s">
        <v>247</v>
      </c>
      <c r="F20" s="283" t="s">
        <v>184</v>
      </c>
      <c r="G20" s="283">
        <v>4</v>
      </c>
      <c r="H20" s="283">
        <v>4098893</v>
      </c>
      <c r="I20" s="286">
        <f>(G20+IF('Scenario Analysis'!$N$23=1,0,0.5))*H20</f>
        <v>18445018.5</v>
      </c>
      <c r="K20" s="283" t="s">
        <v>1271</v>
      </c>
      <c r="L20" s="283" t="s">
        <v>657</v>
      </c>
      <c r="M20" s="283" t="s">
        <v>247</v>
      </c>
      <c r="N20" s="283" t="s">
        <v>251</v>
      </c>
      <c r="O20" s="283">
        <v>5</v>
      </c>
      <c r="P20" s="283">
        <v>152834</v>
      </c>
      <c r="Q20" s="287">
        <f>(O20+IF('Scenario Analysis'!$N$23=1,0,0.5))*P20</f>
        <v>840587</v>
      </c>
    </row>
    <row r="21" spans="3:17" x14ac:dyDescent="0.25">
      <c r="C21" s="300" t="s">
        <v>1271</v>
      </c>
      <c r="D21" s="283" t="s">
        <v>656</v>
      </c>
      <c r="E21" s="283" t="s">
        <v>247</v>
      </c>
      <c r="F21" s="283" t="s">
        <v>184</v>
      </c>
      <c r="G21" s="283">
        <v>5</v>
      </c>
      <c r="H21" s="283">
        <v>2913880</v>
      </c>
      <c r="I21" s="286">
        <f>(G21+IF('Scenario Analysis'!$N$23=1,0,0.5))*H21</f>
        <v>16026340</v>
      </c>
      <c r="K21" s="283" t="s">
        <v>1271</v>
      </c>
      <c r="L21" s="283" t="s">
        <v>657</v>
      </c>
      <c r="M21" s="283" t="s">
        <v>247</v>
      </c>
      <c r="N21" s="283" t="s">
        <v>251</v>
      </c>
      <c r="O21" s="283">
        <v>6</v>
      </c>
      <c r="P21" s="283">
        <v>389089</v>
      </c>
      <c r="Q21" s="287">
        <f>(O21+IF('Scenario Analysis'!$N$23=1,0,0.5))*P21</f>
        <v>2529078.5</v>
      </c>
    </row>
    <row r="22" spans="3:17" x14ac:dyDescent="0.25">
      <c r="C22" s="300" t="s">
        <v>1271</v>
      </c>
      <c r="D22" s="283" t="s">
        <v>656</v>
      </c>
      <c r="E22" s="283" t="s">
        <v>247</v>
      </c>
      <c r="F22" s="283" t="s">
        <v>184</v>
      </c>
      <c r="G22" s="283">
        <v>6</v>
      </c>
      <c r="H22" s="283">
        <v>2249152</v>
      </c>
      <c r="I22" s="286">
        <f>(G22+IF('Scenario Analysis'!$N$23=1,0,0.5))*H22</f>
        <v>14619488</v>
      </c>
      <c r="K22" s="283" t="s">
        <v>1271</v>
      </c>
      <c r="L22" s="283" t="s">
        <v>657</v>
      </c>
      <c r="M22" s="283" t="s">
        <v>247</v>
      </c>
      <c r="N22" s="283" t="s">
        <v>251</v>
      </c>
      <c r="O22" s="283">
        <v>7</v>
      </c>
      <c r="P22" s="283">
        <v>197932</v>
      </c>
      <c r="Q22" s="287">
        <f>(O22+IF('Scenario Analysis'!$N$23=1,0,0.5))*P22</f>
        <v>1484490</v>
      </c>
    </row>
    <row r="23" spans="3:17" x14ac:dyDescent="0.25">
      <c r="C23" s="300" t="s">
        <v>1271</v>
      </c>
      <c r="D23" s="283" t="s">
        <v>656</v>
      </c>
      <c r="E23" s="283" t="s">
        <v>247</v>
      </c>
      <c r="F23" s="283" t="s">
        <v>184</v>
      </c>
      <c r="G23" s="283">
        <v>7</v>
      </c>
      <c r="H23" s="283">
        <v>1616901</v>
      </c>
      <c r="I23" s="286">
        <f>(G23+IF('Scenario Analysis'!$N$23=1,0,0.5))*H23</f>
        <v>12126757.5</v>
      </c>
      <c r="K23" s="283" t="s">
        <v>1271</v>
      </c>
      <c r="L23" s="283" t="s">
        <v>657</v>
      </c>
      <c r="M23" s="283" t="s">
        <v>247</v>
      </c>
      <c r="N23" s="283" t="s">
        <v>251</v>
      </c>
      <c r="O23" s="283">
        <v>8</v>
      </c>
      <c r="P23" s="283">
        <v>159082</v>
      </c>
      <c r="Q23" s="287">
        <f>(O23+IF('Scenario Analysis'!$N$23=1,0,0.5))*P23</f>
        <v>1352197</v>
      </c>
    </row>
    <row r="24" spans="3:17" x14ac:dyDescent="0.25">
      <c r="C24" s="300" t="s">
        <v>1271</v>
      </c>
      <c r="D24" s="283" t="s">
        <v>656</v>
      </c>
      <c r="E24" s="283" t="s">
        <v>247</v>
      </c>
      <c r="F24" s="283" t="s">
        <v>184</v>
      </c>
      <c r="G24" s="283">
        <v>8</v>
      </c>
      <c r="H24" s="283">
        <v>1209597</v>
      </c>
      <c r="I24" s="286">
        <f>(G24+IF('Scenario Analysis'!$N$23=1,0,0.5))*H24</f>
        <v>10281574.5</v>
      </c>
      <c r="K24" s="283" t="s">
        <v>1271</v>
      </c>
      <c r="L24" s="283" t="s">
        <v>657</v>
      </c>
      <c r="M24" s="283" t="s">
        <v>247</v>
      </c>
      <c r="N24" s="283" t="s">
        <v>251</v>
      </c>
      <c r="O24" s="283">
        <v>9</v>
      </c>
      <c r="P24" s="283">
        <v>437960</v>
      </c>
      <c r="Q24" s="287">
        <f>(O24+IF('Scenario Analysis'!$N$23=1,0,0.5))*P24</f>
        <v>4160620</v>
      </c>
    </row>
    <row r="25" spans="3:17" x14ac:dyDescent="0.25">
      <c r="C25" s="300" t="s">
        <v>1271</v>
      </c>
      <c r="D25" s="283" t="s">
        <v>656</v>
      </c>
      <c r="E25" s="283" t="s">
        <v>247</v>
      </c>
      <c r="F25" s="283" t="s">
        <v>184</v>
      </c>
      <c r="G25" s="283">
        <v>9</v>
      </c>
      <c r="H25" s="283">
        <v>835417</v>
      </c>
      <c r="I25" s="286">
        <f>(G25+IF('Scenario Analysis'!$N$23=1,0,0.5))*H25</f>
        <v>7936461.5</v>
      </c>
      <c r="K25" s="283" t="s">
        <v>1271</v>
      </c>
      <c r="L25" s="283" t="s">
        <v>657</v>
      </c>
      <c r="M25" s="283" t="s">
        <v>247</v>
      </c>
      <c r="N25" s="283" t="s">
        <v>251</v>
      </c>
      <c r="O25" s="283">
        <v>10</v>
      </c>
      <c r="P25" s="283">
        <v>99672</v>
      </c>
      <c r="Q25" s="287">
        <f>(O25+IF('Scenario Analysis'!$N$23=1,0,0.5))*P25</f>
        <v>1046556</v>
      </c>
    </row>
    <row r="26" spans="3:17" x14ac:dyDescent="0.25">
      <c r="C26" s="300" t="s">
        <v>1271</v>
      </c>
      <c r="D26" s="283" t="s">
        <v>656</v>
      </c>
      <c r="E26" s="283" t="s">
        <v>247</v>
      </c>
      <c r="F26" s="283" t="s">
        <v>184</v>
      </c>
      <c r="G26" s="283">
        <v>10</v>
      </c>
      <c r="H26" s="283">
        <v>723833</v>
      </c>
      <c r="I26" s="286">
        <f>(G26+IF('Scenario Analysis'!$N$23=1,0,0.5))*H26</f>
        <v>7600246.5</v>
      </c>
      <c r="K26" s="283" t="s">
        <v>1271</v>
      </c>
      <c r="L26" s="283" t="s">
        <v>657</v>
      </c>
      <c r="M26" s="283" t="s">
        <v>247</v>
      </c>
      <c r="N26" s="283" t="s">
        <v>251</v>
      </c>
      <c r="O26" s="283">
        <v>11</v>
      </c>
      <c r="P26" s="283">
        <v>73676</v>
      </c>
      <c r="Q26" s="287">
        <f>(O26+IF('Scenario Analysis'!$N$23=1,0,0.5))*P26</f>
        <v>847274</v>
      </c>
    </row>
    <row r="27" spans="3:17" x14ac:dyDescent="0.25">
      <c r="C27" s="300" t="s">
        <v>1271</v>
      </c>
      <c r="D27" s="283" t="s">
        <v>656</v>
      </c>
      <c r="E27" s="283" t="s">
        <v>247</v>
      </c>
      <c r="F27" s="283" t="s">
        <v>184</v>
      </c>
      <c r="G27" s="283">
        <v>11</v>
      </c>
      <c r="H27" s="283">
        <v>537498</v>
      </c>
      <c r="I27" s="286">
        <f>(G27+IF('Scenario Analysis'!$N$23=1,0,0.5))*H27</f>
        <v>6181227</v>
      </c>
      <c r="K27" s="283" t="s">
        <v>1271</v>
      </c>
      <c r="L27" s="283" t="s">
        <v>657</v>
      </c>
      <c r="M27" s="283" t="s">
        <v>247</v>
      </c>
      <c r="N27" s="283" t="s">
        <v>251</v>
      </c>
      <c r="O27" s="283">
        <v>12</v>
      </c>
      <c r="P27" s="283">
        <v>37459</v>
      </c>
      <c r="Q27" s="287">
        <f>(O27+IF('Scenario Analysis'!$N$23=1,0,0.5))*P27</f>
        <v>468237.5</v>
      </c>
    </row>
    <row r="28" spans="3:17" x14ac:dyDescent="0.25">
      <c r="C28" s="300" t="s">
        <v>1271</v>
      </c>
      <c r="D28" s="283" t="s">
        <v>656</v>
      </c>
      <c r="E28" s="283" t="s">
        <v>247</v>
      </c>
      <c r="F28" s="283" t="s">
        <v>184</v>
      </c>
      <c r="G28" s="283">
        <v>12</v>
      </c>
      <c r="H28" s="283">
        <v>534666</v>
      </c>
      <c r="I28" s="286">
        <f>(G28+IF('Scenario Analysis'!$N$23=1,0,0.5))*H28</f>
        <v>6683325</v>
      </c>
      <c r="K28" s="283" t="s">
        <v>1271</v>
      </c>
      <c r="L28" s="283" t="s">
        <v>657</v>
      </c>
      <c r="M28" s="283" t="s">
        <v>247</v>
      </c>
      <c r="N28" s="283" t="s">
        <v>251</v>
      </c>
      <c r="O28" s="283">
        <v>13</v>
      </c>
      <c r="P28" s="283">
        <v>672103</v>
      </c>
      <c r="Q28" s="287">
        <f>(O28+IF('Scenario Analysis'!$N$23=1,0,0.5))*P28</f>
        <v>9073390.5</v>
      </c>
    </row>
    <row r="29" spans="3:17" x14ac:dyDescent="0.25">
      <c r="C29" s="300" t="s">
        <v>1271</v>
      </c>
      <c r="D29" s="283" t="s">
        <v>656</v>
      </c>
      <c r="E29" s="283" t="s">
        <v>247</v>
      </c>
      <c r="F29" s="283" t="s">
        <v>184</v>
      </c>
      <c r="G29" s="283">
        <v>13</v>
      </c>
      <c r="H29" s="283">
        <v>265832</v>
      </c>
      <c r="I29" s="286">
        <f>(G29+IF('Scenario Analysis'!$N$23=1,0,0.5))*H29</f>
        <v>3588732</v>
      </c>
      <c r="K29" s="283" t="s">
        <v>1271</v>
      </c>
      <c r="L29" s="283" t="s">
        <v>657</v>
      </c>
      <c r="M29" s="283" t="s">
        <v>247</v>
      </c>
      <c r="N29" s="283" t="s">
        <v>251</v>
      </c>
      <c r="O29" s="283">
        <v>14</v>
      </c>
      <c r="P29" s="283">
        <v>39111</v>
      </c>
      <c r="Q29" s="287">
        <f>(O29+IF('Scenario Analysis'!$N$23=1,0,0.5))*P29</f>
        <v>567109.5</v>
      </c>
    </row>
    <row r="30" spans="3:17" x14ac:dyDescent="0.25">
      <c r="C30" s="300" t="s">
        <v>1271</v>
      </c>
      <c r="D30" s="283" t="s">
        <v>656</v>
      </c>
      <c r="E30" s="283" t="s">
        <v>247</v>
      </c>
      <c r="F30" s="283" t="s">
        <v>184</v>
      </c>
      <c r="G30" s="283">
        <v>14</v>
      </c>
      <c r="H30" s="283">
        <v>408474</v>
      </c>
      <c r="I30" s="286">
        <f>(G30+IF('Scenario Analysis'!$N$23=1,0,0.5))*H30</f>
        <v>5922873</v>
      </c>
      <c r="K30" s="283" t="s">
        <v>1271</v>
      </c>
      <c r="L30" s="283" t="s">
        <v>657</v>
      </c>
      <c r="M30" s="283" t="s">
        <v>247</v>
      </c>
      <c r="N30" s="283" t="s">
        <v>251</v>
      </c>
      <c r="O30" s="283">
        <v>15</v>
      </c>
      <c r="P30" s="283">
        <v>67427</v>
      </c>
      <c r="Q30" s="287">
        <f>(O30+IF('Scenario Analysis'!$N$23=1,0,0.5))*P30</f>
        <v>1045118.5</v>
      </c>
    </row>
    <row r="31" spans="3:17" x14ac:dyDescent="0.25">
      <c r="C31" s="300" t="s">
        <v>1271</v>
      </c>
      <c r="D31" s="283" t="s">
        <v>656</v>
      </c>
      <c r="E31" s="283" t="s">
        <v>247</v>
      </c>
      <c r="F31" s="283" t="s">
        <v>184</v>
      </c>
      <c r="G31" s="283">
        <v>15</v>
      </c>
      <c r="H31" s="283">
        <v>143266</v>
      </c>
      <c r="I31" s="286">
        <f>(G31+IF('Scenario Analysis'!$N$23=1,0,0.5))*H31</f>
        <v>2220623</v>
      </c>
      <c r="K31" s="283" t="s">
        <v>1271</v>
      </c>
      <c r="L31" s="283" t="s">
        <v>657</v>
      </c>
      <c r="M31" s="283" t="s">
        <v>247</v>
      </c>
      <c r="N31" s="283" t="s">
        <v>251</v>
      </c>
      <c r="O31" s="283">
        <v>16</v>
      </c>
      <c r="P31" s="283">
        <v>10796</v>
      </c>
      <c r="Q31" s="287">
        <f>(O31+IF('Scenario Analysis'!$N$23=1,0,0.5))*P31</f>
        <v>178134</v>
      </c>
    </row>
    <row r="32" spans="3:17" x14ac:dyDescent="0.25">
      <c r="C32" s="300" t="s">
        <v>1271</v>
      </c>
      <c r="D32" s="283" t="s">
        <v>656</v>
      </c>
      <c r="E32" s="283" t="s">
        <v>247</v>
      </c>
      <c r="F32" s="283" t="s">
        <v>184</v>
      </c>
      <c r="G32" s="283">
        <v>16</v>
      </c>
      <c r="H32" s="283">
        <v>137495</v>
      </c>
      <c r="I32" s="286">
        <f>(G32+IF('Scenario Analysis'!$N$23=1,0,0.5))*H32</f>
        <v>2268667.5</v>
      </c>
      <c r="K32" s="283" t="s">
        <v>1271</v>
      </c>
      <c r="L32" s="283" t="s">
        <v>657</v>
      </c>
      <c r="M32" s="283" t="s">
        <v>247</v>
      </c>
      <c r="N32" s="283" t="s">
        <v>251</v>
      </c>
      <c r="O32" s="283">
        <v>17</v>
      </c>
      <c r="P32" s="283">
        <v>98373</v>
      </c>
      <c r="Q32" s="287">
        <f>(O32+IF('Scenario Analysis'!$N$23=1,0,0.5))*P32</f>
        <v>1721527.5</v>
      </c>
    </row>
    <row r="33" spans="3:17" x14ac:dyDescent="0.25">
      <c r="C33" s="300" t="s">
        <v>1271</v>
      </c>
      <c r="D33" s="283" t="s">
        <v>656</v>
      </c>
      <c r="E33" s="283" t="s">
        <v>247</v>
      </c>
      <c r="F33" s="283" t="s">
        <v>184</v>
      </c>
      <c r="G33" s="283">
        <v>17</v>
      </c>
      <c r="H33" s="283">
        <v>180476</v>
      </c>
      <c r="I33" s="286">
        <f>(G33+IF('Scenario Analysis'!$N$23=1,0,0.5))*H33</f>
        <v>3158330</v>
      </c>
      <c r="K33" s="283" t="s">
        <v>1271</v>
      </c>
      <c r="L33" s="283" t="s">
        <v>657</v>
      </c>
      <c r="M33" s="283" t="s">
        <v>247</v>
      </c>
      <c r="N33" s="283" t="s">
        <v>251</v>
      </c>
      <c r="O33" s="283">
        <v>18</v>
      </c>
      <c r="P33" s="283">
        <v>7383</v>
      </c>
      <c r="Q33" s="287">
        <f>(O33+IF('Scenario Analysis'!$N$23=1,0,0.5))*P33</f>
        <v>136585.5</v>
      </c>
    </row>
    <row r="34" spans="3:17" x14ac:dyDescent="0.25">
      <c r="C34" s="300" t="s">
        <v>1271</v>
      </c>
      <c r="D34" s="283" t="s">
        <v>656</v>
      </c>
      <c r="E34" s="283" t="s">
        <v>247</v>
      </c>
      <c r="F34" s="283" t="s">
        <v>184</v>
      </c>
      <c r="G34" s="283">
        <v>18</v>
      </c>
      <c r="H34" s="283">
        <v>103841</v>
      </c>
      <c r="I34" s="286">
        <f>(G34+IF('Scenario Analysis'!$N$23=1,0,0.5))*H34</f>
        <v>1921058.5</v>
      </c>
      <c r="K34" s="283" t="s">
        <v>1271</v>
      </c>
      <c r="L34" s="283" t="s">
        <v>657</v>
      </c>
      <c r="M34" s="283" t="s">
        <v>247</v>
      </c>
      <c r="N34" s="283" t="s">
        <v>251</v>
      </c>
      <c r="O34" s="283">
        <v>19</v>
      </c>
      <c r="P34" s="283">
        <v>235023</v>
      </c>
      <c r="Q34" s="287">
        <f>(O34+IF('Scenario Analysis'!$N$23=1,0,0.5))*P34</f>
        <v>4582948.5</v>
      </c>
    </row>
    <row r="35" spans="3:17" x14ac:dyDescent="0.25">
      <c r="C35" s="300" t="s">
        <v>1271</v>
      </c>
      <c r="D35" s="283" t="s">
        <v>656</v>
      </c>
      <c r="E35" s="283" t="s">
        <v>247</v>
      </c>
      <c r="F35" s="283" t="s">
        <v>184</v>
      </c>
      <c r="G35" s="283">
        <v>19</v>
      </c>
      <c r="H35" s="283">
        <v>253076</v>
      </c>
      <c r="I35" s="286">
        <f>(G35+IF('Scenario Analysis'!$N$23=1,0,0.5))*H35</f>
        <v>4934982</v>
      </c>
      <c r="K35" s="283" t="s">
        <v>1271</v>
      </c>
      <c r="L35" s="283" t="s">
        <v>657</v>
      </c>
      <c r="M35" s="283" t="s">
        <v>247</v>
      </c>
      <c r="N35" s="283" t="s">
        <v>251</v>
      </c>
      <c r="O35" s="283">
        <v>20</v>
      </c>
      <c r="P35" s="283">
        <v>74523</v>
      </c>
      <c r="Q35" s="287">
        <f>(O35+IF('Scenario Analysis'!$N$23=1,0,0.5))*P35</f>
        <v>1527721.5</v>
      </c>
    </row>
    <row r="36" spans="3:17" x14ac:dyDescent="0.25">
      <c r="C36" s="300" t="s">
        <v>1271</v>
      </c>
      <c r="D36" s="283" t="s">
        <v>656</v>
      </c>
      <c r="E36" s="283" t="s">
        <v>247</v>
      </c>
      <c r="F36" s="283" t="s">
        <v>184</v>
      </c>
      <c r="G36" s="283">
        <v>20</v>
      </c>
      <c r="H36" s="283">
        <v>204899</v>
      </c>
      <c r="I36" s="286">
        <f>(G36+IF('Scenario Analysis'!$N$23=1,0,0.5))*H36</f>
        <v>4200429.5</v>
      </c>
      <c r="K36" s="283" t="s">
        <v>1271</v>
      </c>
      <c r="L36" s="283" t="s">
        <v>657</v>
      </c>
      <c r="M36" s="283" t="s">
        <v>247</v>
      </c>
      <c r="N36" s="283" t="s">
        <v>251</v>
      </c>
      <c r="O36" s="283">
        <v>21</v>
      </c>
      <c r="P36" s="283">
        <v>184624</v>
      </c>
      <c r="Q36" s="287">
        <f>(O36+IF('Scenario Analysis'!$N$23=1,0,0.5))*P36</f>
        <v>3969416</v>
      </c>
    </row>
    <row r="37" spans="3:17" x14ac:dyDescent="0.25">
      <c r="C37" s="300" t="s">
        <v>1271</v>
      </c>
      <c r="D37" s="283" t="s">
        <v>656</v>
      </c>
      <c r="E37" s="283" t="s">
        <v>247</v>
      </c>
      <c r="F37" s="283" t="s">
        <v>184</v>
      </c>
      <c r="G37" s="283">
        <v>21</v>
      </c>
      <c r="H37" s="283">
        <v>150603</v>
      </c>
      <c r="I37" s="286">
        <f>(G37+IF('Scenario Analysis'!$N$23=1,0,0.5))*H37</f>
        <v>3237964.5</v>
      </c>
      <c r="K37" s="283" t="s">
        <v>1271</v>
      </c>
      <c r="L37" s="283" t="s">
        <v>657</v>
      </c>
      <c r="M37" s="283" t="s">
        <v>247</v>
      </c>
      <c r="N37" s="283" t="s">
        <v>251</v>
      </c>
      <c r="O37" s="283">
        <v>22</v>
      </c>
      <c r="P37" s="283">
        <v>103565</v>
      </c>
      <c r="Q37" s="287">
        <f>(O37+IF('Scenario Analysis'!$N$23=1,0,0.5))*P37</f>
        <v>2330212.5</v>
      </c>
    </row>
    <row r="38" spans="3:17" x14ac:dyDescent="0.25">
      <c r="C38" s="300" t="s">
        <v>1271</v>
      </c>
      <c r="D38" s="283" t="s">
        <v>656</v>
      </c>
      <c r="E38" s="283" t="s">
        <v>247</v>
      </c>
      <c r="F38" s="283" t="s">
        <v>184</v>
      </c>
      <c r="G38" s="283">
        <v>22</v>
      </c>
      <c r="H38" s="283">
        <v>298358</v>
      </c>
      <c r="I38" s="286">
        <f>(G38+IF('Scenario Analysis'!$N$23=1,0,0.5))*H38</f>
        <v>6713055</v>
      </c>
      <c r="K38" s="283" t="s">
        <v>1271</v>
      </c>
      <c r="L38" s="283" t="s">
        <v>657</v>
      </c>
      <c r="M38" s="283" t="s">
        <v>247</v>
      </c>
      <c r="N38" s="283" t="s">
        <v>251</v>
      </c>
      <c r="O38" s="283">
        <v>24</v>
      </c>
      <c r="P38" s="283">
        <v>206818</v>
      </c>
      <c r="Q38" s="287">
        <f>(O38+IF('Scenario Analysis'!$N$23=1,0,0.5))*P38</f>
        <v>5067041</v>
      </c>
    </row>
    <row r="39" spans="3:17" x14ac:dyDescent="0.25">
      <c r="C39" s="300" t="s">
        <v>1271</v>
      </c>
      <c r="D39" s="283" t="s">
        <v>656</v>
      </c>
      <c r="E39" s="283" t="s">
        <v>247</v>
      </c>
      <c r="F39" s="283" t="s">
        <v>184</v>
      </c>
      <c r="G39" s="283">
        <v>23</v>
      </c>
      <c r="H39" s="283">
        <v>228468</v>
      </c>
      <c r="I39" s="286">
        <f>(G39+IF('Scenario Analysis'!$N$23=1,0,0.5))*H39</f>
        <v>5368998</v>
      </c>
      <c r="K39" s="283" t="s">
        <v>1271</v>
      </c>
      <c r="L39" s="283" t="s">
        <v>657</v>
      </c>
      <c r="M39" s="283" t="s">
        <v>247</v>
      </c>
      <c r="N39" s="283" t="s">
        <v>251</v>
      </c>
      <c r="O39" s="283">
        <v>25</v>
      </c>
      <c r="P39" s="283">
        <v>9695</v>
      </c>
      <c r="Q39" s="287">
        <f>(O39+IF('Scenario Analysis'!$N$23=1,0,0.5))*P39</f>
        <v>247222.5</v>
      </c>
    </row>
    <row r="40" spans="3:17" x14ac:dyDescent="0.25">
      <c r="C40" s="300" t="s">
        <v>1271</v>
      </c>
      <c r="D40" s="283" t="s">
        <v>656</v>
      </c>
      <c r="E40" s="283" t="s">
        <v>247</v>
      </c>
      <c r="F40" s="283" t="s">
        <v>184</v>
      </c>
      <c r="G40" s="283">
        <v>24</v>
      </c>
      <c r="H40" s="283">
        <v>77587</v>
      </c>
      <c r="I40" s="286">
        <f>(G40+IF('Scenario Analysis'!$N$23=1,0,0.5))*H40</f>
        <v>1900881.5</v>
      </c>
      <c r="K40" s="283" t="s">
        <v>1271</v>
      </c>
      <c r="L40" s="283" t="s">
        <v>657</v>
      </c>
      <c r="M40" s="283" t="s">
        <v>247</v>
      </c>
      <c r="N40" s="283" t="s">
        <v>251</v>
      </c>
      <c r="O40" s="283">
        <v>26</v>
      </c>
      <c r="P40" s="283">
        <v>144046</v>
      </c>
      <c r="Q40" s="287">
        <f>(O40+IF('Scenario Analysis'!$N$23=1,0,0.5))*P40</f>
        <v>3817219</v>
      </c>
    </row>
    <row r="41" spans="3:17" x14ac:dyDescent="0.25">
      <c r="C41" s="300" t="s">
        <v>1271</v>
      </c>
      <c r="D41" s="283" t="s">
        <v>656</v>
      </c>
      <c r="E41" s="283" t="s">
        <v>247</v>
      </c>
      <c r="F41" s="283" t="s">
        <v>184</v>
      </c>
      <c r="G41" s="283">
        <v>25</v>
      </c>
      <c r="H41" s="283">
        <v>53224</v>
      </c>
      <c r="I41" s="286">
        <f>(G41+IF('Scenario Analysis'!$N$23=1,0,0.5))*H41</f>
        <v>1357212</v>
      </c>
      <c r="K41" s="283" t="s">
        <v>1271</v>
      </c>
      <c r="L41" s="283" t="s">
        <v>657</v>
      </c>
      <c r="M41" s="283" t="s">
        <v>247</v>
      </c>
      <c r="N41" s="283" t="s">
        <v>251</v>
      </c>
      <c r="O41" s="283">
        <v>27</v>
      </c>
      <c r="P41" s="283">
        <v>45478</v>
      </c>
      <c r="Q41" s="287">
        <f>(O41+IF('Scenario Analysis'!$N$23=1,0,0.5))*P41</f>
        <v>1250645</v>
      </c>
    </row>
    <row r="42" spans="3:17" x14ac:dyDescent="0.25">
      <c r="C42" s="300" t="s">
        <v>1271</v>
      </c>
      <c r="D42" s="283" t="s">
        <v>656</v>
      </c>
      <c r="E42" s="283" t="s">
        <v>247</v>
      </c>
      <c r="F42" s="283" t="s">
        <v>184</v>
      </c>
      <c r="G42" s="283">
        <v>26</v>
      </c>
      <c r="H42" s="283">
        <v>51227</v>
      </c>
      <c r="I42" s="286">
        <f>(G42+IF('Scenario Analysis'!$N$23=1,0,0.5))*H42</f>
        <v>1357515.5</v>
      </c>
      <c r="K42" s="283" t="s">
        <v>1271</v>
      </c>
      <c r="L42" s="283" t="s">
        <v>657</v>
      </c>
      <c r="M42" s="283" t="s">
        <v>247</v>
      </c>
      <c r="N42" s="283" t="s">
        <v>251</v>
      </c>
      <c r="O42" s="283">
        <v>28</v>
      </c>
      <c r="P42" s="283">
        <v>117964</v>
      </c>
      <c r="Q42" s="287">
        <f>(O42+IF('Scenario Analysis'!$N$23=1,0,0.5))*P42</f>
        <v>3361974</v>
      </c>
    </row>
    <row r="43" spans="3:17" x14ac:dyDescent="0.25">
      <c r="C43" s="300" t="s">
        <v>1271</v>
      </c>
      <c r="D43" s="283" t="s">
        <v>656</v>
      </c>
      <c r="E43" s="283" t="s">
        <v>247</v>
      </c>
      <c r="F43" s="283" t="s">
        <v>184</v>
      </c>
      <c r="G43" s="283">
        <v>27</v>
      </c>
      <c r="H43" s="283">
        <v>39343</v>
      </c>
      <c r="I43" s="286">
        <f>(G43+IF('Scenario Analysis'!$N$23=1,0,0.5))*H43</f>
        <v>1081932.5</v>
      </c>
      <c r="K43" s="283" t="s">
        <v>1271</v>
      </c>
      <c r="L43" s="283" t="s">
        <v>657</v>
      </c>
      <c r="M43" s="283" t="s">
        <v>247</v>
      </c>
      <c r="N43" s="283" t="s">
        <v>251</v>
      </c>
      <c r="O43" s="283">
        <v>30</v>
      </c>
      <c r="P43" s="283">
        <v>240656</v>
      </c>
      <c r="Q43" s="287">
        <f>(O43+IF('Scenario Analysis'!$N$23=1,0,0.5))*P43</f>
        <v>7340008</v>
      </c>
    </row>
    <row r="44" spans="3:17" x14ac:dyDescent="0.25">
      <c r="C44" s="300" t="s">
        <v>1271</v>
      </c>
      <c r="D44" s="283" t="s">
        <v>656</v>
      </c>
      <c r="E44" s="283" t="s">
        <v>247</v>
      </c>
      <c r="F44" s="283" t="s">
        <v>184</v>
      </c>
      <c r="G44" s="283">
        <v>28</v>
      </c>
      <c r="H44" s="283">
        <v>133826</v>
      </c>
      <c r="I44" s="286">
        <f>(G44+IF('Scenario Analysis'!$N$23=1,0,0.5))*H44</f>
        <v>3814041</v>
      </c>
      <c r="K44" s="283" t="s">
        <v>1271</v>
      </c>
      <c r="L44" s="283" t="s">
        <v>657</v>
      </c>
      <c r="M44" s="283" t="s">
        <v>247</v>
      </c>
      <c r="N44" s="283" t="s">
        <v>251</v>
      </c>
      <c r="O44" s="283">
        <v>33</v>
      </c>
      <c r="P44" s="283">
        <v>126554</v>
      </c>
      <c r="Q44" s="287">
        <f>(O44+IF('Scenario Analysis'!$N$23=1,0,0.5))*P44</f>
        <v>4239559</v>
      </c>
    </row>
    <row r="45" spans="3:17" x14ac:dyDescent="0.25">
      <c r="C45" s="300" t="s">
        <v>1271</v>
      </c>
      <c r="D45" s="283" t="s">
        <v>656</v>
      </c>
      <c r="E45" s="283" t="s">
        <v>247</v>
      </c>
      <c r="F45" s="283" t="s">
        <v>184</v>
      </c>
      <c r="G45" s="283">
        <v>29</v>
      </c>
      <c r="H45" s="283">
        <v>26887</v>
      </c>
      <c r="I45" s="286">
        <f>(G45+IF('Scenario Analysis'!$N$23=1,0,0.5))*H45</f>
        <v>793166.5</v>
      </c>
      <c r="K45" s="283" t="s">
        <v>1271</v>
      </c>
      <c r="L45" s="283" t="s">
        <v>657</v>
      </c>
      <c r="M45" s="283" t="s">
        <v>247</v>
      </c>
      <c r="N45" s="283" t="s">
        <v>251</v>
      </c>
      <c r="O45" s="283">
        <v>35</v>
      </c>
      <c r="P45" s="283">
        <v>278985</v>
      </c>
      <c r="Q45" s="287">
        <f>(O45+IF('Scenario Analysis'!$N$23=1,0,0.5))*P45</f>
        <v>9903967.5</v>
      </c>
    </row>
    <row r="46" spans="3:17" x14ac:dyDescent="0.25">
      <c r="C46" s="300" t="s">
        <v>1271</v>
      </c>
      <c r="D46" s="283" t="s">
        <v>656</v>
      </c>
      <c r="E46" s="283" t="s">
        <v>247</v>
      </c>
      <c r="F46" s="283" t="s">
        <v>184</v>
      </c>
      <c r="G46" s="283">
        <v>30</v>
      </c>
      <c r="H46" s="283">
        <v>37639</v>
      </c>
      <c r="I46" s="286">
        <f>(G46+IF('Scenario Analysis'!$N$23=1,0,0.5))*H46</f>
        <v>1147989.5</v>
      </c>
      <c r="K46" s="283" t="s">
        <v>1271</v>
      </c>
      <c r="L46" s="283" t="s">
        <v>658</v>
      </c>
      <c r="M46" s="283" t="s">
        <v>247</v>
      </c>
      <c r="N46" s="283" t="s">
        <v>252</v>
      </c>
      <c r="O46" s="283">
        <v>0</v>
      </c>
      <c r="P46" s="283">
        <v>709</v>
      </c>
      <c r="Q46" s="287">
        <f>(O46+IF('Scenario Analysis'!$N$23=1,0,0.5))*P46</f>
        <v>354.5</v>
      </c>
    </row>
    <row r="47" spans="3:17" x14ac:dyDescent="0.25">
      <c r="C47" s="300" t="s">
        <v>1271</v>
      </c>
      <c r="D47" s="283" t="s">
        <v>656</v>
      </c>
      <c r="E47" s="283" t="s">
        <v>247</v>
      </c>
      <c r="F47" s="283" t="s">
        <v>184</v>
      </c>
      <c r="G47" s="283">
        <v>31</v>
      </c>
      <c r="H47" s="283">
        <v>30539</v>
      </c>
      <c r="I47" s="286">
        <f>(G47+IF('Scenario Analysis'!$N$23=1,0,0.5))*H47</f>
        <v>961978.5</v>
      </c>
      <c r="K47" s="283" t="s">
        <v>1271</v>
      </c>
      <c r="L47" s="283" t="s">
        <v>658</v>
      </c>
      <c r="M47" s="283" t="s">
        <v>247</v>
      </c>
      <c r="N47" s="283" t="s">
        <v>252</v>
      </c>
      <c r="O47" s="283">
        <v>1</v>
      </c>
      <c r="P47" s="283">
        <v>46112</v>
      </c>
      <c r="Q47" s="287">
        <f>(O47+IF('Scenario Analysis'!$N$23=1,0,0.5))*P47</f>
        <v>69168</v>
      </c>
    </row>
    <row r="48" spans="3:17" x14ac:dyDescent="0.25">
      <c r="C48" s="300" t="s">
        <v>1271</v>
      </c>
      <c r="D48" s="283" t="s">
        <v>656</v>
      </c>
      <c r="E48" s="283" t="s">
        <v>247</v>
      </c>
      <c r="F48" s="283" t="s">
        <v>184</v>
      </c>
      <c r="G48" s="283">
        <v>32</v>
      </c>
      <c r="H48" s="283">
        <v>10097</v>
      </c>
      <c r="I48" s="286">
        <f>(G48+IF('Scenario Analysis'!$N$23=1,0,0.5))*H48</f>
        <v>328152.5</v>
      </c>
      <c r="K48" s="283" t="s">
        <v>1271</v>
      </c>
      <c r="L48" s="283" t="s">
        <v>658</v>
      </c>
      <c r="M48" s="283" t="s">
        <v>247</v>
      </c>
      <c r="N48" s="283" t="s">
        <v>252</v>
      </c>
      <c r="O48" s="283">
        <v>2</v>
      </c>
      <c r="P48" s="283">
        <v>51095</v>
      </c>
      <c r="Q48" s="287">
        <f>(O48+IF('Scenario Analysis'!$N$23=1,0,0.5))*P48</f>
        <v>127737.5</v>
      </c>
    </row>
    <row r="49" spans="3:17" x14ac:dyDescent="0.25">
      <c r="C49" s="300" t="s">
        <v>1271</v>
      </c>
      <c r="D49" s="283" t="s">
        <v>656</v>
      </c>
      <c r="E49" s="283" t="s">
        <v>247</v>
      </c>
      <c r="F49" s="283" t="s">
        <v>184</v>
      </c>
      <c r="G49" s="283">
        <v>33</v>
      </c>
      <c r="H49" s="283">
        <v>1409</v>
      </c>
      <c r="I49" s="286">
        <f>(G49+IF('Scenario Analysis'!$N$23=1,0,0.5))*H49</f>
        <v>47201.5</v>
      </c>
      <c r="K49" s="283" t="s">
        <v>1271</v>
      </c>
      <c r="L49" s="283" t="s">
        <v>658</v>
      </c>
      <c r="M49" s="283" t="s">
        <v>247</v>
      </c>
      <c r="N49" s="283" t="s">
        <v>252</v>
      </c>
      <c r="O49" s="283">
        <v>3</v>
      </c>
      <c r="P49" s="283">
        <v>267476</v>
      </c>
      <c r="Q49" s="287">
        <f>(O49+IF('Scenario Analysis'!$N$23=1,0,0.5))*P49</f>
        <v>936166</v>
      </c>
    </row>
    <row r="50" spans="3:17" x14ac:dyDescent="0.25">
      <c r="C50" s="300" t="s">
        <v>1271</v>
      </c>
      <c r="D50" s="283" t="s">
        <v>656</v>
      </c>
      <c r="E50" s="283" t="s">
        <v>247</v>
      </c>
      <c r="F50" s="283" t="s">
        <v>184</v>
      </c>
      <c r="G50" s="283">
        <v>34</v>
      </c>
      <c r="H50" s="283">
        <v>3225</v>
      </c>
      <c r="I50" s="286">
        <f>(G50+IF('Scenario Analysis'!$N$23=1,0,0.5))*H50</f>
        <v>111262.5</v>
      </c>
      <c r="K50" s="283" t="s">
        <v>1271</v>
      </c>
      <c r="L50" s="283" t="s">
        <v>658</v>
      </c>
      <c r="M50" s="283" t="s">
        <v>247</v>
      </c>
      <c r="N50" s="283" t="s">
        <v>252</v>
      </c>
      <c r="O50" s="283">
        <v>4</v>
      </c>
      <c r="P50" s="283">
        <v>139729</v>
      </c>
      <c r="Q50" s="287">
        <f>(O50+IF('Scenario Analysis'!$N$23=1,0,0.5))*P50</f>
        <v>628780.5</v>
      </c>
    </row>
    <row r="51" spans="3:17" x14ac:dyDescent="0.25">
      <c r="C51" s="300" t="s">
        <v>1271</v>
      </c>
      <c r="D51" s="283" t="s">
        <v>656</v>
      </c>
      <c r="E51" s="283" t="s">
        <v>247</v>
      </c>
      <c r="F51" s="283" t="s">
        <v>184</v>
      </c>
      <c r="G51" s="283">
        <v>35</v>
      </c>
      <c r="H51" s="283">
        <v>723</v>
      </c>
      <c r="I51" s="286">
        <f>(G51+IF('Scenario Analysis'!$N$23=1,0,0.5))*H51</f>
        <v>25666.5</v>
      </c>
      <c r="K51" s="283" t="s">
        <v>1271</v>
      </c>
      <c r="L51" s="283" t="s">
        <v>658</v>
      </c>
      <c r="M51" s="283" t="s">
        <v>247</v>
      </c>
      <c r="N51" s="283" t="s">
        <v>252</v>
      </c>
      <c r="O51" s="283">
        <v>5</v>
      </c>
      <c r="P51" s="283">
        <v>66583</v>
      </c>
      <c r="Q51" s="287">
        <f>(O51+IF('Scenario Analysis'!$N$23=1,0,0.5))*P51</f>
        <v>366206.5</v>
      </c>
    </row>
    <row r="52" spans="3:17" x14ac:dyDescent="0.25">
      <c r="C52" s="300" t="s">
        <v>1271</v>
      </c>
      <c r="D52" s="283" t="s">
        <v>656</v>
      </c>
      <c r="E52" s="283" t="s">
        <v>247</v>
      </c>
      <c r="F52" s="283" t="s">
        <v>184</v>
      </c>
      <c r="G52" s="283">
        <v>36</v>
      </c>
      <c r="H52" s="283">
        <v>1428</v>
      </c>
      <c r="I52" s="286">
        <f>(G52+IF('Scenario Analysis'!$N$23=1,0,0.5))*H52</f>
        <v>52122</v>
      </c>
      <c r="K52" s="283" t="s">
        <v>1271</v>
      </c>
      <c r="L52" s="283" t="s">
        <v>658</v>
      </c>
      <c r="M52" s="283" t="s">
        <v>247</v>
      </c>
      <c r="N52" s="283" t="s">
        <v>252</v>
      </c>
      <c r="O52" s="283">
        <v>6</v>
      </c>
      <c r="P52" s="283">
        <v>265726</v>
      </c>
      <c r="Q52" s="287">
        <f>(O52+IF('Scenario Analysis'!$N$23=1,0,0.5))*P52</f>
        <v>1727219</v>
      </c>
    </row>
    <row r="53" spans="3:17" x14ac:dyDescent="0.25">
      <c r="C53" s="300" t="s">
        <v>1271</v>
      </c>
      <c r="D53" s="283" t="s">
        <v>656</v>
      </c>
      <c r="E53" s="283" t="s">
        <v>247</v>
      </c>
      <c r="F53" s="283" t="s">
        <v>184</v>
      </c>
      <c r="G53" s="283">
        <v>37</v>
      </c>
      <c r="H53" s="283">
        <v>1604</v>
      </c>
      <c r="I53" s="286">
        <f>(G53+IF('Scenario Analysis'!$N$23=1,0,0.5))*H53</f>
        <v>60150</v>
      </c>
      <c r="K53" s="283" t="s">
        <v>1271</v>
      </c>
      <c r="L53" s="283" t="s">
        <v>658</v>
      </c>
      <c r="M53" s="283" t="s">
        <v>247</v>
      </c>
      <c r="N53" s="283" t="s">
        <v>252</v>
      </c>
      <c r="O53" s="283">
        <v>7</v>
      </c>
      <c r="P53" s="283">
        <v>90889</v>
      </c>
      <c r="Q53" s="287">
        <f>(O53+IF('Scenario Analysis'!$N$23=1,0,0.5))*P53</f>
        <v>681667.5</v>
      </c>
    </row>
    <row r="54" spans="3:17" x14ac:dyDescent="0.25">
      <c r="C54" s="300" t="s">
        <v>1271</v>
      </c>
      <c r="D54" s="283" t="s">
        <v>656</v>
      </c>
      <c r="E54" s="283" t="s">
        <v>247</v>
      </c>
      <c r="F54" s="283" t="s">
        <v>184</v>
      </c>
      <c r="G54" s="283">
        <v>38</v>
      </c>
      <c r="H54" s="283">
        <v>9538</v>
      </c>
      <c r="I54" s="286">
        <f>(G54+IF('Scenario Analysis'!$N$23=1,0,0.5))*H54</f>
        <v>367213</v>
      </c>
      <c r="K54" s="283" t="s">
        <v>1271</v>
      </c>
      <c r="L54" s="283" t="s">
        <v>658</v>
      </c>
      <c r="M54" s="283" t="s">
        <v>247</v>
      </c>
      <c r="N54" s="283" t="s">
        <v>252</v>
      </c>
      <c r="O54" s="283">
        <v>8</v>
      </c>
      <c r="P54" s="283">
        <v>93383</v>
      </c>
      <c r="Q54" s="287">
        <f>(O54+IF('Scenario Analysis'!$N$23=1,0,0.5))*P54</f>
        <v>793755.5</v>
      </c>
    </row>
    <row r="55" spans="3:17" x14ac:dyDescent="0.25">
      <c r="C55" s="300" t="s">
        <v>1271</v>
      </c>
      <c r="D55" s="283" t="s">
        <v>656</v>
      </c>
      <c r="E55" s="283" t="s">
        <v>247</v>
      </c>
      <c r="F55" s="283" t="s">
        <v>184</v>
      </c>
      <c r="G55" s="283">
        <v>39</v>
      </c>
      <c r="H55" s="283">
        <v>2506</v>
      </c>
      <c r="I55" s="286">
        <f>(G55+IF('Scenario Analysis'!$N$23=1,0,0.5))*H55</f>
        <v>98987</v>
      </c>
      <c r="K55" s="283" t="s">
        <v>1271</v>
      </c>
      <c r="L55" s="283" t="s">
        <v>658</v>
      </c>
      <c r="M55" s="283" t="s">
        <v>247</v>
      </c>
      <c r="N55" s="283" t="s">
        <v>252</v>
      </c>
      <c r="O55" s="283">
        <v>9</v>
      </c>
      <c r="P55" s="283">
        <v>153363</v>
      </c>
      <c r="Q55" s="287">
        <f>(O55+IF('Scenario Analysis'!$N$23=1,0,0.5))*P55</f>
        <v>1456948.5</v>
      </c>
    </row>
    <row r="56" spans="3:17" x14ac:dyDescent="0.25">
      <c r="C56" s="300" t="s">
        <v>1271</v>
      </c>
      <c r="D56" s="283" t="s">
        <v>656</v>
      </c>
      <c r="E56" s="283" t="s">
        <v>247</v>
      </c>
      <c r="F56" s="283" t="s">
        <v>184</v>
      </c>
      <c r="G56" s="283">
        <v>40</v>
      </c>
      <c r="H56" s="283">
        <v>4302</v>
      </c>
      <c r="I56" s="286">
        <f>(G56+IF('Scenario Analysis'!$N$23=1,0,0.5))*H56</f>
        <v>174231</v>
      </c>
      <c r="K56" s="283" t="s">
        <v>1271</v>
      </c>
      <c r="L56" s="283" t="s">
        <v>658</v>
      </c>
      <c r="M56" s="283" t="s">
        <v>247</v>
      </c>
      <c r="N56" s="283" t="s">
        <v>252</v>
      </c>
      <c r="O56" s="283">
        <v>10</v>
      </c>
      <c r="P56" s="283">
        <v>173759</v>
      </c>
      <c r="Q56" s="287">
        <f>(O56+IF('Scenario Analysis'!$N$23=1,0,0.5))*P56</f>
        <v>1824469.5</v>
      </c>
    </row>
    <row r="57" spans="3:17" x14ac:dyDescent="0.25">
      <c r="C57" s="300" t="s">
        <v>1271</v>
      </c>
      <c r="D57" s="283" t="s">
        <v>656</v>
      </c>
      <c r="E57" s="283" t="s">
        <v>247</v>
      </c>
      <c r="F57" s="283" t="s">
        <v>184</v>
      </c>
      <c r="G57" s="283">
        <v>41</v>
      </c>
      <c r="H57" s="283">
        <v>422</v>
      </c>
      <c r="I57" s="286">
        <f>(G57+IF('Scenario Analysis'!$N$23=1,0,0.5))*H57</f>
        <v>17513</v>
      </c>
      <c r="K57" s="283" t="s">
        <v>1271</v>
      </c>
      <c r="L57" s="283" t="s">
        <v>658</v>
      </c>
      <c r="M57" s="283" t="s">
        <v>247</v>
      </c>
      <c r="N57" s="283" t="s">
        <v>252</v>
      </c>
      <c r="O57" s="283">
        <v>11</v>
      </c>
      <c r="P57" s="283">
        <v>380258</v>
      </c>
      <c r="Q57" s="287">
        <f>(O57+IF('Scenario Analysis'!$N$23=1,0,0.5))*P57</f>
        <v>4372967</v>
      </c>
    </row>
    <row r="58" spans="3:17" x14ac:dyDescent="0.25">
      <c r="C58" s="300" t="s">
        <v>1271</v>
      </c>
      <c r="D58" s="283" t="s">
        <v>656</v>
      </c>
      <c r="E58" s="283" t="s">
        <v>247</v>
      </c>
      <c r="F58" s="283" t="s">
        <v>184</v>
      </c>
      <c r="G58" s="283">
        <v>42</v>
      </c>
      <c r="H58" s="283">
        <v>1491</v>
      </c>
      <c r="I58" s="286">
        <f>(G58+IF('Scenario Analysis'!$N$23=1,0,0.5))*H58</f>
        <v>63367.5</v>
      </c>
      <c r="K58" s="283" t="s">
        <v>1271</v>
      </c>
      <c r="L58" s="283" t="s">
        <v>658</v>
      </c>
      <c r="M58" s="283" t="s">
        <v>247</v>
      </c>
      <c r="N58" s="283" t="s">
        <v>252</v>
      </c>
      <c r="O58" s="283">
        <v>12</v>
      </c>
      <c r="P58" s="283">
        <v>106467</v>
      </c>
      <c r="Q58" s="287">
        <f>(O58+IF('Scenario Analysis'!$N$23=1,0,0.5))*P58</f>
        <v>1330837.5</v>
      </c>
    </row>
    <row r="59" spans="3:17" x14ac:dyDescent="0.25">
      <c r="C59" s="300" t="s">
        <v>1271</v>
      </c>
      <c r="D59" s="283" t="s">
        <v>656</v>
      </c>
      <c r="E59" s="283" t="s">
        <v>247</v>
      </c>
      <c r="F59" s="283" t="s">
        <v>184</v>
      </c>
      <c r="G59" s="283">
        <v>43</v>
      </c>
      <c r="H59" s="283">
        <v>596</v>
      </c>
      <c r="I59" s="286">
        <f>(G59+IF('Scenario Analysis'!$N$23=1,0,0.5))*H59</f>
        <v>25926</v>
      </c>
      <c r="K59" s="283" t="s">
        <v>1271</v>
      </c>
      <c r="L59" s="283" t="s">
        <v>658</v>
      </c>
      <c r="M59" s="283" t="s">
        <v>247</v>
      </c>
      <c r="N59" s="283" t="s">
        <v>252</v>
      </c>
      <c r="O59" s="283">
        <v>13</v>
      </c>
      <c r="P59" s="283">
        <v>76940</v>
      </c>
      <c r="Q59" s="287">
        <f>(O59+IF('Scenario Analysis'!$N$23=1,0,0.5))*P59</f>
        <v>1038690</v>
      </c>
    </row>
    <row r="60" spans="3:17" x14ac:dyDescent="0.25">
      <c r="C60" s="300" t="s">
        <v>1271</v>
      </c>
      <c r="D60" s="283" t="s">
        <v>656</v>
      </c>
      <c r="E60" s="283" t="s">
        <v>247</v>
      </c>
      <c r="F60" s="283" t="s">
        <v>184</v>
      </c>
      <c r="G60" s="283">
        <v>44</v>
      </c>
      <c r="H60" s="283">
        <v>637</v>
      </c>
      <c r="I60" s="286">
        <f>(G60+IF('Scenario Analysis'!$N$23=1,0,0.5))*H60</f>
        <v>28346.5</v>
      </c>
      <c r="K60" s="283" t="s">
        <v>1271</v>
      </c>
      <c r="L60" s="283" t="s">
        <v>658</v>
      </c>
      <c r="M60" s="283" t="s">
        <v>247</v>
      </c>
      <c r="N60" s="283" t="s">
        <v>252</v>
      </c>
      <c r="O60" s="283">
        <v>14</v>
      </c>
      <c r="P60" s="283">
        <v>96705</v>
      </c>
      <c r="Q60" s="287">
        <f>(O60+IF('Scenario Analysis'!$N$23=1,0,0.5))*P60</f>
        <v>1402222.5</v>
      </c>
    </row>
    <row r="61" spans="3:17" x14ac:dyDescent="0.25">
      <c r="C61" s="300" t="s">
        <v>1271</v>
      </c>
      <c r="D61" s="283" t="s">
        <v>656</v>
      </c>
      <c r="E61" s="283" t="s">
        <v>247</v>
      </c>
      <c r="F61" s="283" t="s">
        <v>184</v>
      </c>
      <c r="G61" s="283">
        <v>45</v>
      </c>
      <c r="H61" s="283">
        <v>340</v>
      </c>
      <c r="I61" s="286">
        <f>(G61+IF('Scenario Analysis'!$N$23=1,0,0.5))*H61</f>
        <v>15470</v>
      </c>
      <c r="K61" s="283" t="s">
        <v>1271</v>
      </c>
      <c r="L61" s="283" t="s">
        <v>658</v>
      </c>
      <c r="M61" s="283" t="s">
        <v>247</v>
      </c>
      <c r="N61" s="283" t="s">
        <v>252</v>
      </c>
      <c r="O61" s="283">
        <v>15</v>
      </c>
      <c r="P61" s="283">
        <v>44270</v>
      </c>
      <c r="Q61" s="287">
        <f>(O61+IF('Scenario Analysis'!$N$23=1,0,0.5))*P61</f>
        <v>686185</v>
      </c>
    </row>
    <row r="62" spans="3:17" x14ac:dyDescent="0.25">
      <c r="C62" s="300" t="s">
        <v>1271</v>
      </c>
      <c r="D62" s="283" t="s">
        <v>656</v>
      </c>
      <c r="E62" s="283" t="s">
        <v>247</v>
      </c>
      <c r="F62" s="283" t="s">
        <v>184</v>
      </c>
      <c r="G62" s="283">
        <v>46</v>
      </c>
      <c r="H62" s="283">
        <v>77</v>
      </c>
      <c r="I62" s="286">
        <f>(G62+IF('Scenario Analysis'!$N$23=1,0,0.5))*H62</f>
        <v>3580.5</v>
      </c>
      <c r="K62" s="283" t="s">
        <v>1271</v>
      </c>
      <c r="L62" s="283" t="s">
        <v>658</v>
      </c>
      <c r="M62" s="283" t="s">
        <v>247</v>
      </c>
      <c r="N62" s="283" t="s">
        <v>252</v>
      </c>
      <c r="O62" s="283">
        <v>16</v>
      </c>
      <c r="P62" s="283">
        <v>49032</v>
      </c>
      <c r="Q62" s="287">
        <f>(O62+IF('Scenario Analysis'!$N$23=1,0,0.5))*P62</f>
        <v>809028</v>
      </c>
    </row>
    <row r="63" spans="3:17" x14ac:dyDescent="0.25">
      <c r="C63" s="300" t="s">
        <v>1271</v>
      </c>
      <c r="D63" s="283" t="s">
        <v>656</v>
      </c>
      <c r="E63" s="283" t="s">
        <v>247</v>
      </c>
      <c r="F63" s="283" t="s">
        <v>184</v>
      </c>
      <c r="G63" s="283">
        <v>47</v>
      </c>
      <c r="H63" s="283">
        <v>4</v>
      </c>
      <c r="I63" s="286">
        <f>(G63+IF('Scenario Analysis'!$N$23=1,0,0.5))*H63</f>
        <v>190</v>
      </c>
      <c r="K63" s="283" t="s">
        <v>1271</v>
      </c>
      <c r="L63" s="283" t="s">
        <v>658</v>
      </c>
      <c r="M63" s="283" t="s">
        <v>247</v>
      </c>
      <c r="N63" s="283" t="s">
        <v>252</v>
      </c>
      <c r="O63" s="283">
        <v>17</v>
      </c>
      <c r="P63" s="283">
        <v>42316</v>
      </c>
      <c r="Q63" s="287">
        <f>(O63+IF('Scenario Analysis'!$N$23=1,0,0.5))*P63</f>
        <v>740530</v>
      </c>
    </row>
    <row r="64" spans="3:17" x14ac:dyDescent="0.25">
      <c r="C64" s="300" t="s">
        <v>1271</v>
      </c>
      <c r="D64" s="283" t="s">
        <v>656</v>
      </c>
      <c r="E64" s="283" t="s">
        <v>247</v>
      </c>
      <c r="F64" s="283" t="s">
        <v>184</v>
      </c>
      <c r="G64" s="283">
        <v>48</v>
      </c>
      <c r="H64" s="283">
        <v>7</v>
      </c>
      <c r="I64" s="286">
        <f>(G64+IF('Scenario Analysis'!$N$23=1,0,0.5))*H64</f>
        <v>339.5</v>
      </c>
      <c r="K64" s="283" t="s">
        <v>1271</v>
      </c>
      <c r="L64" s="283" t="s">
        <v>658</v>
      </c>
      <c r="M64" s="283" t="s">
        <v>247</v>
      </c>
      <c r="N64" s="283" t="s">
        <v>252</v>
      </c>
      <c r="O64" s="283">
        <v>18</v>
      </c>
      <c r="P64" s="283">
        <v>184159</v>
      </c>
      <c r="Q64" s="287">
        <f>(O64+IF('Scenario Analysis'!$N$23=1,0,0.5))*P64</f>
        <v>3406941.5</v>
      </c>
    </row>
    <row r="65" spans="3:17" x14ac:dyDescent="0.25">
      <c r="C65" s="300" t="s">
        <v>1271</v>
      </c>
      <c r="D65" s="283" t="s">
        <v>656</v>
      </c>
      <c r="E65" s="283" t="s">
        <v>247</v>
      </c>
      <c r="F65" s="283" t="s">
        <v>184</v>
      </c>
      <c r="G65" s="283">
        <v>52</v>
      </c>
      <c r="H65" s="283">
        <v>2</v>
      </c>
      <c r="I65" s="286">
        <f>(G65+IF('Scenario Analysis'!$N$23=1,0,0.5))*H65</f>
        <v>105</v>
      </c>
      <c r="K65" s="283" t="s">
        <v>1271</v>
      </c>
      <c r="L65" s="283" t="s">
        <v>658</v>
      </c>
      <c r="M65" s="283" t="s">
        <v>247</v>
      </c>
      <c r="N65" s="283" t="s">
        <v>252</v>
      </c>
      <c r="O65" s="283">
        <v>19</v>
      </c>
      <c r="P65" s="283">
        <v>47787</v>
      </c>
      <c r="Q65" s="287">
        <f>(O65+IF('Scenario Analysis'!$N$23=1,0,0.5))*P65</f>
        <v>931846.5</v>
      </c>
    </row>
    <row r="66" spans="3:17" x14ac:dyDescent="0.25">
      <c r="C66" s="300" t="s">
        <v>1271</v>
      </c>
      <c r="D66" s="283" t="s">
        <v>656</v>
      </c>
      <c r="E66" s="283" t="s">
        <v>247</v>
      </c>
      <c r="F66" s="283" t="s">
        <v>184</v>
      </c>
      <c r="G66" s="283">
        <v>56</v>
      </c>
      <c r="H66" s="283">
        <v>1</v>
      </c>
      <c r="I66" s="286">
        <f>(G66+IF('Scenario Analysis'!$N$23=1,0,0.5))*H66</f>
        <v>56.5</v>
      </c>
      <c r="K66" s="283" t="s">
        <v>1271</v>
      </c>
      <c r="L66" s="283" t="s">
        <v>658</v>
      </c>
      <c r="M66" s="283" t="s">
        <v>247</v>
      </c>
      <c r="N66" s="283" t="s">
        <v>252</v>
      </c>
      <c r="O66" s="283">
        <v>20</v>
      </c>
      <c r="P66" s="283">
        <v>124853</v>
      </c>
      <c r="Q66" s="287">
        <f>(O66+IF('Scenario Analysis'!$N$23=1,0,0.5))*P66</f>
        <v>2559486.5</v>
      </c>
    </row>
    <row r="67" spans="3:17" x14ac:dyDescent="0.25">
      <c r="C67" s="300" t="s">
        <v>1271</v>
      </c>
      <c r="D67" s="283" t="s">
        <v>659</v>
      </c>
      <c r="E67" s="283" t="s">
        <v>247</v>
      </c>
      <c r="F67" s="283" t="s">
        <v>185</v>
      </c>
      <c r="G67" s="283">
        <v>0</v>
      </c>
      <c r="H67" s="283">
        <v>127378</v>
      </c>
      <c r="I67" s="286">
        <f>(G67+IF('Scenario Analysis'!$N$23=1,0,0.5))*H67</f>
        <v>63689</v>
      </c>
      <c r="K67" s="283" t="s">
        <v>1271</v>
      </c>
      <c r="L67" s="283" t="s">
        <v>658</v>
      </c>
      <c r="M67" s="283" t="s">
        <v>247</v>
      </c>
      <c r="N67" s="283" t="s">
        <v>252</v>
      </c>
      <c r="O67" s="283">
        <v>21</v>
      </c>
      <c r="P67" s="283">
        <v>87570</v>
      </c>
      <c r="Q67" s="287">
        <f>(O67+IF('Scenario Analysis'!$N$23=1,0,0.5))*P67</f>
        <v>1882755</v>
      </c>
    </row>
    <row r="68" spans="3:17" x14ac:dyDescent="0.25">
      <c r="C68" s="300" t="s">
        <v>1271</v>
      </c>
      <c r="D68" s="283" t="s">
        <v>659</v>
      </c>
      <c r="E68" s="283" t="s">
        <v>247</v>
      </c>
      <c r="F68" s="283" t="s">
        <v>185</v>
      </c>
      <c r="G68" s="283">
        <v>1</v>
      </c>
      <c r="H68" s="283">
        <v>163335</v>
      </c>
      <c r="I68" s="286">
        <f>(G68+IF('Scenario Analysis'!$N$23=1,0,0.5))*H68</f>
        <v>245002.5</v>
      </c>
      <c r="K68" s="283" t="s">
        <v>1271</v>
      </c>
      <c r="L68" s="283" t="s">
        <v>658</v>
      </c>
      <c r="M68" s="283" t="s">
        <v>247</v>
      </c>
      <c r="N68" s="283" t="s">
        <v>252</v>
      </c>
      <c r="O68" s="283">
        <v>22</v>
      </c>
      <c r="P68" s="283">
        <v>183049</v>
      </c>
      <c r="Q68" s="287">
        <f>(O68+IF('Scenario Analysis'!$N$23=1,0,0.5))*P68</f>
        <v>4118602.5</v>
      </c>
    </row>
    <row r="69" spans="3:17" x14ac:dyDescent="0.25">
      <c r="C69" s="300" t="s">
        <v>1271</v>
      </c>
      <c r="D69" s="283" t="s">
        <v>659</v>
      </c>
      <c r="E69" s="283" t="s">
        <v>247</v>
      </c>
      <c r="F69" s="283" t="s">
        <v>185</v>
      </c>
      <c r="G69" s="283">
        <v>2</v>
      </c>
      <c r="H69" s="283">
        <v>223712</v>
      </c>
      <c r="I69" s="286">
        <f>(G69+IF('Scenario Analysis'!$N$23=1,0,0.5))*H69</f>
        <v>559280</v>
      </c>
      <c r="K69" s="283" t="s">
        <v>1271</v>
      </c>
      <c r="L69" s="283" t="s">
        <v>658</v>
      </c>
      <c r="M69" s="283" t="s">
        <v>247</v>
      </c>
      <c r="N69" s="283" t="s">
        <v>252</v>
      </c>
      <c r="O69" s="283">
        <v>23</v>
      </c>
      <c r="P69" s="283">
        <v>503492</v>
      </c>
      <c r="Q69" s="287">
        <f>(O69+IF('Scenario Analysis'!$N$23=1,0,0.5))*P69</f>
        <v>11832062</v>
      </c>
    </row>
    <row r="70" spans="3:17" x14ac:dyDescent="0.25">
      <c r="C70" s="300" t="s">
        <v>1271</v>
      </c>
      <c r="D70" s="283" t="s">
        <v>659</v>
      </c>
      <c r="E70" s="283" t="s">
        <v>247</v>
      </c>
      <c r="F70" s="283" t="s">
        <v>185</v>
      </c>
      <c r="G70" s="283">
        <v>3</v>
      </c>
      <c r="H70" s="283">
        <v>227038</v>
      </c>
      <c r="I70" s="286">
        <f>(G70+IF('Scenario Analysis'!$N$23=1,0,0.5))*H70</f>
        <v>794633</v>
      </c>
      <c r="K70" s="283" t="s">
        <v>1271</v>
      </c>
      <c r="L70" s="283" t="s">
        <v>658</v>
      </c>
      <c r="M70" s="283" t="s">
        <v>247</v>
      </c>
      <c r="N70" s="283" t="s">
        <v>252</v>
      </c>
      <c r="O70" s="283">
        <v>24</v>
      </c>
      <c r="P70" s="283">
        <v>84836</v>
      </c>
      <c r="Q70" s="287">
        <f>(O70+IF('Scenario Analysis'!$N$23=1,0,0.5))*P70</f>
        <v>2078482</v>
      </c>
    </row>
    <row r="71" spans="3:17" x14ac:dyDescent="0.25">
      <c r="C71" s="300" t="s">
        <v>1271</v>
      </c>
      <c r="D71" s="283" t="s">
        <v>659</v>
      </c>
      <c r="E71" s="283" t="s">
        <v>247</v>
      </c>
      <c r="F71" s="283" t="s">
        <v>185</v>
      </c>
      <c r="G71" s="283">
        <v>4</v>
      </c>
      <c r="H71" s="283">
        <v>213163</v>
      </c>
      <c r="I71" s="286">
        <f>(G71+IF('Scenario Analysis'!$N$23=1,0,0.5))*H71</f>
        <v>959233.5</v>
      </c>
      <c r="K71" s="283" t="s">
        <v>1271</v>
      </c>
      <c r="L71" s="283" t="s">
        <v>658</v>
      </c>
      <c r="M71" s="283" t="s">
        <v>247</v>
      </c>
      <c r="N71" s="283" t="s">
        <v>252</v>
      </c>
      <c r="O71" s="283">
        <v>25</v>
      </c>
      <c r="P71" s="283">
        <v>49736</v>
      </c>
      <c r="Q71" s="287">
        <f>(O71+IF('Scenario Analysis'!$N$23=1,0,0.5))*P71</f>
        <v>1268268</v>
      </c>
    </row>
    <row r="72" spans="3:17" x14ac:dyDescent="0.25">
      <c r="C72" s="300" t="s">
        <v>1271</v>
      </c>
      <c r="D72" s="283" t="s">
        <v>659</v>
      </c>
      <c r="E72" s="283" t="s">
        <v>247</v>
      </c>
      <c r="F72" s="283" t="s">
        <v>185</v>
      </c>
      <c r="G72" s="283">
        <v>5</v>
      </c>
      <c r="H72" s="283">
        <v>61081</v>
      </c>
      <c r="I72" s="286">
        <f>(G72+IF('Scenario Analysis'!$N$23=1,0,0.5))*H72</f>
        <v>335945.5</v>
      </c>
      <c r="K72" s="283" t="s">
        <v>1271</v>
      </c>
      <c r="L72" s="283" t="s">
        <v>658</v>
      </c>
      <c r="M72" s="283" t="s">
        <v>247</v>
      </c>
      <c r="N72" s="283" t="s">
        <v>252</v>
      </c>
      <c r="O72" s="283">
        <v>26</v>
      </c>
      <c r="P72" s="283">
        <v>130326</v>
      </c>
      <c r="Q72" s="287">
        <f>(O72+IF('Scenario Analysis'!$N$23=1,0,0.5))*P72</f>
        <v>3453639</v>
      </c>
    </row>
    <row r="73" spans="3:17" x14ac:dyDescent="0.25">
      <c r="C73" s="300" t="s">
        <v>1271</v>
      </c>
      <c r="D73" s="283" t="s">
        <v>659</v>
      </c>
      <c r="E73" s="283" t="s">
        <v>247</v>
      </c>
      <c r="F73" s="283" t="s">
        <v>185</v>
      </c>
      <c r="G73" s="283">
        <v>6</v>
      </c>
      <c r="H73" s="283">
        <v>26990</v>
      </c>
      <c r="I73" s="286">
        <f>(G73+IF('Scenario Analysis'!$N$23=1,0,0.5))*H73</f>
        <v>175435</v>
      </c>
      <c r="K73" s="283" t="s">
        <v>1271</v>
      </c>
      <c r="L73" s="283" t="s">
        <v>658</v>
      </c>
      <c r="M73" s="283" t="s">
        <v>247</v>
      </c>
      <c r="N73" s="283" t="s">
        <v>252</v>
      </c>
      <c r="O73" s="283">
        <v>27</v>
      </c>
      <c r="P73" s="283">
        <v>118193</v>
      </c>
      <c r="Q73" s="287">
        <f>(O73+IF('Scenario Analysis'!$N$23=1,0,0.5))*P73</f>
        <v>3250307.5</v>
      </c>
    </row>
    <row r="74" spans="3:17" x14ac:dyDescent="0.25">
      <c r="C74" s="300" t="s">
        <v>1271</v>
      </c>
      <c r="D74" s="283" t="s">
        <v>659</v>
      </c>
      <c r="E74" s="283" t="s">
        <v>247</v>
      </c>
      <c r="F74" s="283" t="s">
        <v>185</v>
      </c>
      <c r="G74" s="283">
        <v>7</v>
      </c>
      <c r="H74" s="283">
        <v>46101</v>
      </c>
      <c r="I74" s="286">
        <f>(G74+IF('Scenario Analysis'!$N$23=1,0,0.5))*H74</f>
        <v>345757.5</v>
      </c>
      <c r="K74" s="283" t="s">
        <v>1271</v>
      </c>
      <c r="L74" s="283" t="s">
        <v>658</v>
      </c>
      <c r="M74" s="283" t="s">
        <v>247</v>
      </c>
      <c r="N74" s="283" t="s">
        <v>252</v>
      </c>
      <c r="O74" s="283">
        <v>28</v>
      </c>
      <c r="P74" s="283">
        <v>21655</v>
      </c>
      <c r="Q74" s="287">
        <f>(O74+IF('Scenario Analysis'!$N$23=1,0,0.5))*P74</f>
        <v>617167.5</v>
      </c>
    </row>
    <row r="75" spans="3:17" x14ac:dyDescent="0.25">
      <c r="C75" s="300" t="s">
        <v>1271</v>
      </c>
      <c r="D75" s="283" t="s">
        <v>659</v>
      </c>
      <c r="E75" s="283" t="s">
        <v>247</v>
      </c>
      <c r="F75" s="283" t="s">
        <v>185</v>
      </c>
      <c r="G75" s="283">
        <v>8</v>
      </c>
      <c r="H75" s="283">
        <v>65778</v>
      </c>
      <c r="I75" s="286">
        <f>(G75+IF('Scenario Analysis'!$N$23=1,0,0.5))*H75</f>
        <v>559113</v>
      </c>
      <c r="K75" s="283" t="s">
        <v>1271</v>
      </c>
      <c r="L75" s="283" t="s">
        <v>658</v>
      </c>
      <c r="M75" s="283" t="s">
        <v>247</v>
      </c>
      <c r="N75" s="283" t="s">
        <v>252</v>
      </c>
      <c r="O75" s="283">
        <v>29</v>
      </c>
      <c r="P75" s="283">
        <v>18309</v>
      </c>
      <c r="Q75" s="287">
        <f>(O75+IF('Scenario Analysis'!$N$23=1,0,0.5))*P75</f>
        <v>540115.5</v>
      </c>
    </row>
    <row r="76" spans="3:17" x14ac:dyDescent="0.25">
      <c r="C76" s="300" t="s">
        <v>1271</v>
      </c>
      <c r="D76" s="283" t="s">
        <v>659</v>
      </c>
      <c r="E76" s="283" t="s">
        <v>247</v>
      </c>
      <c r="F76" s="283" t="s">
        <v>185</v>
      </c>
      <c r="G76" s="283">
        <v>9</v>
      </c>
      <c r="H76" s="283">
        <v>456918</v>
      </c>
      <c r="I76" s="286">
        <f>(G76+IF('Scenario Analysis'!$N$23=1,0,0.5))*H76</f>
        <v>4340721</v>
      </c>
      <c r="K76" s="283" t="s">
        <v>1271</v>
      </c>
      <c r="L76" s="283" t="s">
        <v>658</v>
      </c>
      <c r="M76" s="283" t="s">
        <v>247</v>
      </c>
      <c r="N76" s="283" t="s">
        <v>252</v>
      </c>
      <c r="O76" s="283">
        <v>30</v>
      </c>
      <c r="P76" s="283">
        <v>50984</v>
      </c>
      <c r="Q76" s="287">
        <f>(O76+IF('Scenario Analysis'!$N$23=1,0,0.5))*P76</f>
        <v>1555012</v>
      </c>
    </row>
    <row r="77" spans="3:17" x14ac:dyDescent="0.25">
      <c r="C77" s="300" t="s">
        <v>1271</v>
      </c>
      <c r="D77" s="283" t="s">
        <v>659</v>
      </c>
      <c r="E77" s="283" t="s">
        <v>247</v>
      </c>
      <c r="F77" s="283" t="s">
        <v>185</v>
      </c>
      <c r="G77" s="283">
        <v>10</v>
      </c>
      <c r="H77" s="283">
        <v>9188</v>
      </c>
      <c r="I77" s="286">
        <f>(G77+IF('Scenario Analysis'!$N$23=1,0,0.5))*H77</f>
        <v>96474</v>
      </c>
      <c r="K77" s="283" t="s">
        <v>1271</v>
      </c>
      <c r="L77" s="283" t="s">
        <v>658</v>
      </c>
      <c r="M77" s="283" t="s">
        <v>247</v>
      </c>
      <c r="N77" s="283" t="s">
        <v>252</v>
      </c>
      <c r="O77" s="283">
        <v>31</v>
      </c>
      <c r="P77" s="283">
        <v>117544</v>
      </c>
      <c r="Q77" s="287">
        <f>(O77+IF('Scenario Analysis'!$N$23=1,0,0.5))*P77</f>
        <v>3702636</v>
      </c>
    </row>
    <row r="78" spans="3:17" x14ac:dyDescent="0.25">
      <c r="C78" s="300" t="s">
        <v>1271</v>
      </c>
      <c r="D78" s="283" t="s">
        <v>659</v>
      </c>
      <c r="E78" s="283" t="s">
        <v>247</v>
      </c>
      <c r="F78" s="283" t="s">
        <v>185</v>
      </c>
      <c r="G78" s="283">
        <v>11</v>
      </c>
      <c r="H78" s="283">
        <v>25983</v>
      </c>
      <c r="I78" s="286">
        <f>(G78+IF('Scenario Analysis'!$N$23=1,0,0.5))*H78</f>
        <v>298804.5</v>
      </c>
      <c r="K78" s="283" t="s">
        <v>1271</v>
      </c>
      <c r="L78" s="283" t="s">
        <v>658</v>
      </c>
      <c r="M78" s="283" t="s">
        <v>247</v>
      </c>
      <c r="N78" s="283" t="s">
        <v>252</v>
      </c>
      <c r="O78" s="283">
        <v>32</v>
      </c>
      <c r="P78" s="283">
        <v>20345</v>
      </c>
      <c r="Q78" s="287">
        <f>(O78+IF('Scenario Analysis'!$N$23=1,0,0.5))*P78</f>
        <v>661212.5</v>
      </c>
    </row>
    <row r="79" spans="3:17" x14ac:dyDescent="0.25">
      <c r="C79" s="300" t="s">
        <v>1271</v>
      </c>
      <c r="D79" s="283" t="s">
        <v>659</v>
      </c>
      <c r="E79" s="283" t="s">
        <v>247</v>
      </c>
      <c r="F79" s="283" t="s">
        <v>185</v>
      </c>
      <c r="G79" s="283">
        <v>12</v>
      </c>
      <c r="H79" s="283">
        <v>43827</v>
      </c>
      <c r="I79" s="286">
        <f>(G79+IF('Scenario Analysis'!$N$23=1,0,0.5))*H79</f>
        <v>547837.5</v>
      </c>
      <c r="K79" s="283" t="s">
        <v>1271</v>
      </c>
      <c r="L79" s="283" t="s">
        <v>658</v>
      </c>
      <c r="M79" s="283" t="s">
        <v>247</v>
      </c>
      <c r="N79" s="283" t="s">
        <v>252</v>
      </c>
      <c r="O79" s="283">
        <v>33</v>
      </c>
      <c r="P79" s="283">
        <v>39118</v>
      </c>
      <c r="Q79" s="287">
        <f>(O79+IF('Scenario Analysis'!$N$23=1,0,0.5))*P79</f>
        <v>1310453</v>
      </c>
    </row>
    <row r="80" spans="3:17" x14ac:dyDescent="0.25">
      <c r="C80" s="300" t="s">
        <v>1271</v>
      </c>
      <c r="D80" s="283" t="s">
        <v>659</v>
      </c>
      <c r="E80" s="283" t="s">
        <v>247</v>
      </c>
      <c r="F80" s="283" t="s">
        <v>185</v>
      </c>
      <c r="G80" s="283">
        <v>13</v>
      </c>
      <c r="H80" s="283">
        <v>825</v>
      </c>
      <c r="I80" s="286">
        <f>(G80+IF('Scenario Analysis'!$N$23=1,0,0.5))*H80</f>
        <v>11137.5</v>
      </c>
      <c r="K80" s="283" t="s">
        <v>1271</v>
      </c>
      <c r="L80" s="283" t="s">
        <v>658</v>
      </c>
      <c r="M80" s="283" t="s">
        <v>247</v>
      </c>
      <c r="N80" s="283" t="s">
        <v>252</v>
      </c>
      <c r="O80" s="283">
        <v>34</v>
      </c>
      <c r="P80" s="283">
        <v>107042</v>
      </c>
      <c r="Q80" s="287">
        <f>(O80+IF('Scenario Analysis'!$N$23=1,0,0.5))*P80</f>
        <v>3692949</v>
      </c>
    </row>
    <row r="81" spans="3:17" x14ac:dyDescent="0.25">
      <c r="C81" s="300" t="s">
        <v>1271</v>
      </c>
      <c r="D81" s="283" t="s">
        <v>659</v>
      </c>
      <c r="E81" s="283" t="s">
        <v>247</v>
      </c>
      <c r="F81" s="283" t="s">
        <v>185</v>
      </c>
      <c r="G81" s="283">
        <v>14</v>
      </c>
      <c r="H81" s="283">
        <v>128</v>
      </c>
      <c r="I81" s="286">
        <f>(G81+IF('Scenario Analysis'!$N$23=1,0,0.5))*H81</f>
        <v>1856</v>
      </c>
      <c r="K81" s="283" t="s">
        <v>1271</v>
      </c>
      <c r="L81" s="283" t="s">
        <v>658</v>
      </c>
      <c r="M81" s="283" t="s">
        <v>247</v>
      </c>
      <c r="N81" s="283" t="s">
        <v>252</v>
      </c>
      <c r="O81" s="283">
        <v>35</v>
      </c>
      <c r="P81" s="283">
        <v>5320</v>
      </c>
      <c r="Q81" s="287">
        <f>(O81+IF('Scenario Analysis'!$N$23=1,0,0.5))*P81</f>
        <v>188860</v>
      </c>
    </row>
    <row r="82" spans="3:17" x14ac:dyDescent="0.25">
      <c r="C82" s="300" t="s">
        <v>1271</v>
      </c>
      <c r="D82" s="283" t="s">
        <v>659</v>
      </c>
      <c r="E82" s="283" t="s">
        <v>247</v>
      </c>
      <c r="F82" s="283" t="s">
        <v>185</v>
      </c>
      <c r="G82" s="283">
        <v>15</v>
      </c>
      <c r="H82" s="283">
        <v>3261</v>
      </c>
      <c r="I82" s="286">
        <f>(G82+IF('Scenario Analysis'!$N$23=1,0,0.5))*H82</f>
        <v>50545.5</v>
      </c>
      <c r="K82" s="283" t="s">
        <v>1271</v>
      </c>
      <c r="L82" s="283" t="s">
        <v>658</v>
      </c>
      <c r="M82" s="283" t="s">
        <v>247</v>
      </c>
      <c r="N82" s="283" t="s">
        <v>252</v>
      </c>
      <c r="O82" s="283">
        <v>36</v>
      </c>
      <c r="P82" s="283">
        <v>32522</v>
      </c>
      <c r="Q82" s="287">
        <f>(O82+IF('Scenario Analysis'!$N$23=1,0,0.5))*P82</f>
        <v>1187053</v>
      </c>
    </row>
    <row r="83" spans="3:17" x14ac:dyDescent="0.25">
      <c r="C83" s="300" t="s">
        <v>1271</v>
      </c>
      <c r="D83" s="283" t="s">
        <v>659</v>
      </c>
      <c r="E83" s="283" t="s">
        <v>247</v>
      </c>
      <c r="F83" s="283" t="s">
        <v>185</v>
      </c>
      <c r="G83" s="283">
        <v>16</v>
      </c>
      <c r="H83" s="283">
        <v>10588</v>
      </c>
      <c r="I83" s="286">
        <f>(G83+IF('Scenario Analysis'!$N$23=1,0,0.5))*H83</f>
        <v>174702</v>
      </c>
      <c r="K83" s="283" t="s">
        <v>1271</v>
      </c>
      <c r="L83" s="283" t="s">
        <v>658</v>
      </c>
      <c r="M83" s="283" t="s">
        <v>247</v>
      </c>
      <c r="N83" s="283" t="s">
        <v>252</v>
      </c>
      <c r="O83" s="283">
        <v>37</v>
      </c>
      <c r="P83" s="283">
        <v>30437</v>
      </c>
      <c r="Q83" s="287">
        <f>(O83+IF('Scenario Analysis'!$N$23=1,0,0.5))*P83</f>
        <v>1141387.5</v>
      </c>
    </row>
    <row r="84" spans="3:17" x14ac:dyDescent="0.25">
      <c r="C84" s="300" t="s">
        <v>1271</v>
      </c>
      <c r="D84" s="283" t="s">
        <v>659</v>
      </c>
      <c r="E84" s="283" t="s">
        <v>247</v>
      </c>
      <c r="F84" s="283" t="s">
        <v>185</v>
      </c>
      <c r="G84" s="283">
        <v>17</v>
      </c>
      <c r="H84" s="283">
        <v>6</v>
      </c>
      <c r="I84" s="286">
        <f>(G84+IF('Scenario Analysis'!$N$23=1,0,0.5))*H84</f>
        <v>105</v>
      </c>
      <c r="K84" s="283" t="s">
        <v>1271</v>
      </c>
      <c r="L84" s="283" t="s">
        <v>658</v>
      </c>
      <c r="M84" s="283" t="s">
        <v>247</v>
      </c>
      <c r="N84" s="283" t="s">
        <v>252</v>
      </c>
      <c r="O84" s="283">
        <v>38</v>
      </c>
      <c r="P84" s="283">
        <v>67307</v>
      </c>
      <c r="Q84" s="287">
        <f>(O84+IF('Scenario Analysis'!$N$23=1,0,0.5))*P84</f>
        <v>2591319.5</v>
      </c>
    </row>
    <row r="85" spans="3:17" x14ac:dyDescent="0.25">
      <c r="C85" s="300" t="s">
        <v>1271</v>
      </c>
      <c r="D85" s="283" t="s">
        <v>659</v>
      </c>
      <c r="E85" s="283" t="s">
        <v>247</v>
      </c>
      <c r="F85" s="283" t="s">
        <v>185</v>
      </c>
      <c r="G85" s="283">
        <v>18</v>
      </c>
      <c r="H85" s="283">
        <v>1083</v>
      </c>
      <c r="I85" s="286">
        <f>(G85+IF('Scenario Analysis'!$N$23=1,0,0.5))*H85</f>
        <v>20035.5</v>
      </c>
      <c r="K85" s="283" t="s">
        <v>1271</v>
      </c>
      <c r="L85" s="283" t="s">
        <v>658</v>
      </c>
      <c r="M85" s="283" t="s">
        <v>247</v>
      </c>
      <c r="N85" s="283" t="s">
        <v>252</v>
      </c>
      <c r="O85" s="283">
        <v>39</v>
      </c>
      <c r="P85" s="283">
        <v>15074</v>
      </c>
      <c r="Q85" s="287">
        <f>(O85+IF('Scenario Analysis'!$N$23=1,0,0.5))*P85</f>
        <v>595423</v>
      </c>
    </row>
    <row r="86" spans="3:17" x14ac:dyDescent="0.25">
      <c r="C86" s="300" t="s">
        <v>1271</v>
      </c>
      <c r="D86" s="283" t="s">
        <v>659</v>
      </c>
      <c r="E86" s="283" t="s">
        <v>247</v>
      </c>
      <c r="F86" s="283" t="s">
        <v>185</v>
      </c>
      <c r="G86" s="283">
        <v>19</v>
      </c>
      <c r="H86" s="283">
        <v>5175</v>
      </c>
      <c r="I86" s="286">
        <f>(G86+IF('Scenario Analysis'!$N$23=1,0,0.5))*H86</f>
        <v>100912.5</v>
      </c>
      <c r="K86" s="283" t="s">
        <v>1271</v>
      </c>
      <c r="L86" s="283" t="s">
        <v>658</v>
      </c>
      <c r="M86" s="283" t="s">
        <v>247</v>
      </c>
      <c r="N86" s="283" t="s">
        <v>252</v>
      </c>
      <c r="O86" s="283">
        <v>40</v>
      </c>
      <c r="P86" s="283">
        <v>7230</v>
      </c>
      <c r="Q86" s="287">
        <f>(O86+IF('Scenario Analysis'!$N$23=1,0,0.5))*P86</f>
        <v>292815</v>
      </c>
    </row>
    <row r="87" spans="3:17" x14ac:dyDescent="0.25">
      <c r="C87" s="300" t="s">
        <v>1271</v>
      </c>
      <c r="D87" s="283" t="s">
        <v>659</v>
      </c>
      <c r="E87" s="283" t="s">
        <v>247</v>
      </c>
      <c r="F87" s="283" t="s">
        <v>185</v>
      </c>
      <c r="G87" s="283">
        <v>21</v>
      </c>
      <c r="H87" s="283">
        <v>61</v>
      </c>
      <c r="I87" s="286">
        <f>(G87+IF('Scenario Analysis'!$N$23=1,0,0.5))*H87</f>
        <v>1311.5</v>
      </c>
      <c r="K87" s="283" t="s">
        <v>1271</v>
      </c>
      <c r="L87" s="283" t="s">
        <v>658</v>
      </c>
      <c r="M87" s="283" t="s">
        <v>247</v>
      </c>
      <c r="N87" s="283" t="s">
        <v>252</v>
      </c>
      <c r="O87" s="283">
        <v>41</v>
      </c>
      <c r="P87" s="283">
        <v>13612</v>
      </c>
      <c r="Q87" s="287">
        <f>(O87+IF('Scenario Analysis'!$N$23=1,0,0.5))*P87</f>
        <v>564898</v>
      </c>
    </row>
    <row r="88" spans="3:17" x14ac:dyDescent="0.25">
      <c r="C88" s="300" t="s">
        <v>1271</v>
      </c>
      <c r="D88" s="283" t="s">
        <v>659</v>
      </c>
      <c r="E88" s="283" t="s">
        <v>247</v>
      </c>
      <c r="F88" s="283" t="s">
        <v>185</v>
      </c>
      <c r="G88" s="283">
        <v>22</v>
      </c>
      <c r="H88" s="283">
        <v>21</v>
      </c>
      <c r="I88" s="286">
        <f>(G88+IF('Scenario Analysis'!$N$23=1,0,0.5))*H88</f>
        <v>472.5</v>
      </c>
      <c r="K88" s="283" t="s">
        <v>1271</v>
      </c>
      <c r="L88" s="283" t="s">
        <v>658</v>
      </c>
      <c r="M88" s="283" t="s">
        <v>247</v>
      </c>
      <c r="N88" s="283" t="s">
        <v>252</v>
      </c>
      <c r="O88" s="283">
        <v>42</v>
      </c>
      <c r="P88" s="283">
        <v>21510</v>
      </c>
      <c r="Q88" s="287">
        <f>(O88+IF('Scenario Analysis'!$N$23=1,0,0.5))*P88</f>
        <v>914175</v>
      </c>
    </row>
    <row r="89" spans="3:17" x14ac:dyDescent="0.25">
      <c r="C89" s="300" t="s">
        <v>1271</v>
      </c>
      <c r="D89" s="283" t="s">
        <v>660</v>
      </c>
      <c r="E89" s="283" t="s">
        <v>247</v>
      </c>
      <c r="F89" s="283" t="s">
        <v>248</v>
      </c>
      <c r="G89" s="283">
        <v>0</v>
      </c>
      <c r="H89" s="283">
        <v>729592</v>
      </c>
      <c r="I89" s="286">
        <f>(G89+IF('Scenario Analysis'!$N$23=1,0,0.5))*H89</f>
        <v>364796</v>
      </c>
      <c r="K89" s="283" t="s">
        <v>1271</v>
      </c>
      <c r="L89" s="283" t="s">
        <v>658</v>
      </c>
      <c r="M89" s="283" t="s">
        <v>247</v>
      </c>
      <c r="N89" s="283" t="s">
        <v>252</v>
      </c>
      <c r="O89" s="283">
        <v>43</v>
      </c>
      <c r="P89" s="283">
        <v>43538</v>
      </c>
      <c r="Q89" s="287">
        <f>(O89+IF('Scenario Analysis'!$N$23=1,0,0.5))*P89</f>
        <v>1893903</v>
      </c>
    </row>
    <row r="90" spans="3:17" x14ac:dyDescent="0.25">
      <c r="C90" s="300" t="s">
        <v>1271</v>
      </c>
      <c r="D90" s="283" t="s">
        <v>660</v>
      </c>
      <c r="E90" s="283" t="s">
        <v>247</v>
      </c>
      <c r="F90" s="283" t="s">
        <v>248</v>
      </c>
      <c r="G90" s="283">
        <v>1</v>
      </c>
      <c r="H90" s="283">
        <v>1408601</v>
      </c>
      <c r="I90" s="286">
        <f>(G90+IF('Scenario Analysis'!$N$23=1,0,0.5))*H90</f>
        <v>2112901.5</v>
      </c>
      <c r="K90" s="283" t="s">
        <v>1271</v>
      </c>
      <c r="L90" s="283" t="s">
        <v>658</v>
      </c>
      <c r="M90" s="283" t="s">
        <v>247</v>
      </c>
      <c r="N90" s="283" t="s">
        <v>252</v>
      </c>
      <c r="O90" s="283">
        <v>44</v>
      </c>
      <c r="P90" s="283">
        <v>13966</v>
      </c>
      <c r="Q90" s="287">
        <f>(O90+IF('Scenario Analysis'!$N$23=1,0,0.5))*P90</f>
        <v>621487</v>
      </c>
    </row>
    <row r="91" spans="3:17" x14ac:dyDescent="0.25">
      <c r="C91" s="300" t="s">
        <v>1271</v>
      </c>
      <c r="D91" s="283" t="s">
        <v>660</v>
      </c>
      <c r="E91" s="283" t="s">
        <v>247</v>
      </c>
      <c r="F91" s="283" t="s">
        <v>248</v>
      </c>
      <c r="G91" s="283">
        <v>2</v>
      </c>
      <c r="H91" s="283">
        <v>383535</v>
      </c>
      <c r="I91" s="286">
        <f>(G91+IF('Scenario Analysis'!$N$23=1,0,0.5))*H91</f>
        <v>958837.5</v>
      </c>
      <c r="K91" s="283" t="s">
        <v>1271</v>
      </c>
      <c r="L91" s="283" t="s">
        <v>658</v>
      </c>
      <c r="M91" s="283" t="s">
        <v>247</v>
      </c>
      <c r="N91" s="283" t="s">
        <v>252</v>
      </c>
      <c r="O91" s="283">
        <v>45</v>
      </c>
      <c r="P91" s="283">
        <v>29443</v>
      </c>
      <c r="Q91" s="287">
        <f>(O91+IF('Scenario Analysis'!$N$23=1,0,0.5))*P91</f>
        <v>1339656.5</v>
      </c>
    </row>
    <row r="92" spans="3:17" x14ac:dyDescent="0.25">
      <c r="C92" s="300" t="s">
        <v>1271</v>
      </c>
      <c r="D92" s="283" t="s">
        <v>660</v>
      </c>
      <c r="E92" s="283" t="s">
        <v>247</v>
      </c>
      <c r="F92" s="283" t="s">
        <v>248</v>
      </c>
      <c r="G92" s="283">
        <v>3</v>
      </c>
      <c r="H92" s="283">
        <v>435360</v>
      </c>
      <c r="I92" s="286">
        <f>(G92+IF('Scenario Analysis'!$N$23=1,0,0.5))*H92</f>
        <v>1523760</v>
      </c>
      <c r="K92" s="283" t="s">
        <v>1271</v>
      </c>
      <c r="L92" s="283" t="s">
        <v>658</v>
      </c>
      <c r="M92" s="283" t="s">
        <v>247</v>
      </c>
      <c r="N92" s="283" t="s">
        <v>252</v>
      </c>
      <c r="O92" s="283">
        <v>46</v>
      </c>
      <c r="P92" s="283">
        <v>15796</v>
      </c>
      <c r="Q92" s="287">
        <f>(O92+IF('Scenario Analysis'!$N$23=1,0,0.5))*P92</f>
        <v>734514</v>
      </c>
    </row>
    <row r="93" spans="3:17" x14ac:dyDescent="0.25">
      <c r="C93" s="300" t="s">
        <v>1271</v>
      </c>
      <c r="D93" s="283" t="s">
        <v>660</v>
      </c>
      <c r="E93" s="283" t="s">
        <v>247</v>
      </c>
      <c r="F93" s="283" t="s">
        <v>248</v>
      </c>
      <c r="G93" s="283">
        <v>4</v>
      </c>
      <c r="H93" s="283">
        <v>846744</v>
      </c>
      <c r="I93" s="286">
        <f>(G93+IF('Scenario Analysis'!$N$23=1,0,0.5))*H93</f>
        <v>3810348</v>
      </c>
      <c r="K93" s="283" t="s">
        <v>1271</v>
      </c>
      <c r="L93" s="283" t="s">
        <v>658</v>
      </c>
      <c r="M93" s="283" t="s">
        <v>247</v>
      </c>
      <c r="N93" s="283" t="s">
        <v>252</v>
      </c>
      <c r="O93" s="283">
        <v>47</v>
      </c>
      <c r="P93" s="283">
        <v>84781</v>
      </c>
      <c r="Q93" s="287">
        <f>(O93+IF('Scenario Analysis'!$N$23=1,0,0.5))*P93</f>
        <v>4027097.5</v>
      </c>
    </row>
    <row r="94" spans="3:17" x14ac:dyDescent="0.25">
      <c r="C94" s="300" t="s">
        <v>1271</v>
      </c>
      <c r="D94" s="283" t="s">
        <v>660</v>
      </c>
      <c r="E94" s="283" t="s">
        <v>247</v>
      </c>
      <c r="F94" s="283" t="s">
        <v>248</v>
      </c>
      <c r="G94" s="283">
        <v>5</v>
      </c>
      <c r="H94" s="283">
        <v>435955</v>
      </c>
      <c r="I94" s="286">
        <f>(G94+IF('Scenario Analysis'!$N$23=1,0,0.5))*H94</f>
        <v>2397752.5</v>
      </c>
      <c r="K94" s="283" t="s">
        <v>1271</v>
      </c>
      <c r="L94" s="283" t="s">
        <v>658</v>
      </c>
      <c r="M94" s="283" t="s">
        <v>247</v>
      </c>
      <c r="N94" s="283" t="s">
        <v>252</v>
      </c>
      <c r="O94" s="283">
        <v>48</v>
      </c>
      <c r="P94" s="283">
        <v>19420</v>
      </c>
      <c r="Q94" s="287">
        <f>(O94+IF('Scenario Analysis'!$N$23=1,0,0.5))*P94</f>
        <v>941870</v>
      </c>
    </row>
    <row r="95" spans="3:17" x14ac:dyDescent="0.25">
      <c r="C95" s="300" t="s">
        <v>1271</v>
      </c>
      <c r="D95" s="283" t="s">
        <v>660</v>
      </c>
      <c r="E95" s="283" t="s">
        <v>247</v>
      </c>
      <c r="F95" s="283" t="s">
        <v>248</v>
      </c>
      <c r="G95" s="283">
        <v>6</v>
      </c>
      <c r="H95" s="283">
        <v>297974</v>
      </c>
      <c r="I95" s="286">
        <f>(G95+IF('Scenario Analysis'!$N$23=1,0,0.5))*H95</f>
        <v>1936831</v>
      </c>
      <c r="K95" s="283" t="s">
        <v>1271</v>
      </c>
      <c r="L95" s="283" t="s">
        <v>658</v>
      </c>
      <c r="M95" s="283" t="s">
        <v>247</v>
      </c>
      <c r="N95" s="283" t="s">
        <v>252</v>
      </c>
      <c r="O95" s="283">
        <v>49</v>
      </c>
      <c r="P95" s="283">
        <v>59152</v>
      </c>
      <c r="Q95" s="287">
        <f>(O95+IF('Scenario Analysis'!$N$23=1,0,0.5))*P95</f>
        <v>2928024</v>
      </c>
    </row>
    <row r="96" spans="3:17" x14ac:dyDescent="0.25">
      <c r="C96" s="300" t="s">
        <v>1271</v>
      </c>
      <c r="D96" s="283" t="s">
        <v>660</v>
      </c>
      <c r="E96" s="283" t="s">
        <v>247</v>
      </c>
      <c r="F96" s="283" t="s">
        <v>248</v>
      </c>
      <c r="G96" s="283">
        <v>7</v>
      </c>
      <c r="H96" s="283">
        <v>19340</v>
      </c>
      <c r="I96" s="286">
        <f>(G96+IF('Scenario Analysis'!$N$23=1,0,0.5))*H96</f>
        <v>145050</v>
      </c>
      <c r="K96" s="283" t="s">
        <v>1271</v>
      </c>
      <c r="L96" s="283" t="s">
        <v>658</v>
      </c>
      <c r="M96" s="283" t="s">
        <v>247</v>
      </c>
      <c r="N96" s="283" t="s">
        <v>252</v>
      </c>
      <c r="O96" s="283">
        <v>50</v>
      </c>
      <c r="P96" s="283">
        <v>7928</v>
      </c>
      <c r="Q96" s="287">
        <f>(O96+IF('Scenario Analysis'!$N$23=1,0,0.5))*P96</f>
        <v>400364</v>
      </c>
    </row>
    <row r="97" spans="3:17" x14ac:dyDescent="0.25">
      <c r="C97" s="300" t="s">
        <v>1271</v>
      </c>
      <c r="D97" s="283" t="s">
        <v>660</v>
      </c>
      <c r="E97" s="283" t="s">
        <v>247</v>
      </c>
      <c r="F97" s="283" t="s">
        <v>248</v>
      </c>
      <c r="G97" s="283">
        <v>8</v>
      </c>
      <c r="H97" s="283">
        <v>134</v>
      </c>
      <c r="I97" s="286">
        <f>(G97+IF('Scenario Analysis'!$N$23=1,0,0.5))*H97</f>
        <v>1139</v>
      </c>
      <c r="K97" s="283" t="s">
        <v>1271</v>
      </c>
      <c r="L97" s="283" t="s">
        <v>658</v>
      </c>
      <c r="M97" s="283" t="s">
        <v>247</v>
      </c>
      <c r="N97" s="283" t="s">
        <v>252</v>
      </c>
      <c r="O97" s="283">
        <v>51</v>
      </c>
      <c r="P97" s="283">
        <v>5691</v>
      </c>
      <c r="Q97" s="287">
        <f>(O97+IF('Scenario Analysis'!$N$23=1,0,0.5))*P97</f>
        <v>293086.5</v>
      </c>
    </row>
    <row r="98" spans="3:17" x14ac:dyDescent="0.25">
      <c r="C98" s="300" t="s">
        <v>1271</v>
      </c>
      <c r="D98" s="283" t="s">
        <v>660</v>
      </c>
      <c r="E98" s="283" t="s">
        <v>247</v>
      </c>
      <c r="F98" s="283" t="s">
        <v>248</v>
      </c>
      <c r="G98" s="283">
        <v>9</v>
      </c>
      <c r="H98" s="283">
        <v>198</v>
      </c>
      <c r="I98" s="286">
        <f>(G98+IF('Scenario Analysis'!$N$23=1,0,0.5))*H98</f>
        <v>1881</v>
      </c>
      <c r="K98" s="283" t="s">
        <v>1271</v>
      </c>
      <c r="L98" s="283" t="s">
        <v>658</v>
      </c>
      <c r="M98" s="283" t="s">
        <v>247</v>
      </c>
      <c r="N98" s="283" t="s">
        <v>252</v>
      </c>
      <c r="O98" s="283">
        <v>52</v>
      </c>
      <c r="P98" s="283">
        <v>15796</v>
      </c>
      <c r="Q98" s="287">
        <f>(O98+IF('Scenario Analysis'!$N$23=1,0,0.5))*P98</f>
        <v>829290</v>
      </c>
    </row>
    <row r="99" spans="3:17" x14ac:dyDescent="0.25">
      <c r="C99" s="300" t="s">
        <v>1271</v>
      </c>
      <c r="D99" s="283" t="s">
        <v>661</v>
      </c>
      <c r="E99" s="283" t="s">
        <v>249</v>
      </c>
      <c r="F99" s="283" t="s">
        <v>184</v>
      </c>
      <c r="G99" s="283">
        <v>0</v>
      </c>
      <c r="H99" s="283">
        <v>5505403</v>
      </c>
      <c r="I99" s="286">
        <f>(G99+IF('Scenario Analysis'!$N$23=1,0,0.5))*H99</f>
        <v>2752701.5</v>
      </c>
      <c r="K99" s="283" t="s">
        <v>1271</v>
      </c>
      <c r="L99" s="283" t="s">
        <v>658</v>
      </c>
      <c r="M99" s="283" t="s">
        <v>247</v>
      </c>
      <c r="N99" s="283" t="s">
        <v>252</v>
      </c>
      <c r="O99" s="283">
        <v>53</v>
      </c>
      <c r="P99" s="283">
        <v>20302</v>
      </c>
      <c r="Q99" s="287">
        <f>(O99+IF('Scenario Analysis'!$N$23=1,0,0.5))*P99</f>
        <v>1086157</v>
      </c>
    </row>
    <row r="100" spans="3:17" x14ac:dyDescent="0.25">
      <c r="C100" s="300" t="s">
        <v>1271</v>
      </c>
      <c r="D100" s="283" t="s">
        <v>661</v>
      </c>
      <c r="E100" s="283" t="s">
        <v>249</v>
      </c>
      <c r="F100" s="283" t="s">
        <v>184</v>
      </c>
      <c r="G100" s="283">
        <v>1</v>
      </c>
      <c r="H100" s="283">
        <v>14868352</v>
      </c>
      <c r="I100" s="286">
        <f>(G100+IF('Scenario Analysis'!$N$23=1,0,0.5))*H100</f>
        <v>22302528</v>
      </c>
      <c r="K100" s="283" t="s">
        <v>1271</v>
      </c>
      <c r="L100" s="283" t="s">
        <v>658</v>
      </c>
      <c r="M100" s="283" t="s">
        <v>247</v>
      </c>
      <c r="N100" s="283" t="s">
        <v>252</v>
      </c>
      <c r="O100" s="283">
        <v>54</v>
      </c>
      <c r="P100" s="283">
        <v>14925</v>
      </c>
      <c r="Q100" s="287">
        <f>(O100+IF('Scenario Analysis'!$N$23=1,0,0.5))*P100</f>
        <v>813412.5</v>
      </c>
    </row>
    <row r="101" spans="3:17" x14ac:dyDescent="0.25">
      <c r="C101" s="300" t="s">
        <v>1271</v>
      </c>
      <c r="D101" s="283" t="s">
        <v>661</v>
      </c>
      <c r="E101" s="283" t="s">
        <v>249</v>
      </c>
      <c r="F101" s="283" t="s">
        <v>184</v>
      </c>
      <c r="G101" s="283">
        <v>2</v>
      </c>
      <c r="H101" s="283">
        <v>11785589</v>
      </c>
      <c r="I101" s="286">
        <f>(G101+IF('Scenario Analysis'!$N$23=1,0,0.5))*H101</f>
        <v>29463972.5</v>
      </c>
      <c r="K101" s="283" t="s">
        <v>1271</v>
      </c>
      <c r="L101" s="283" t="s">
        <v>658</v>
      </c>
      <c r="M101" s="283" t="s">
        <v>247</v>
      </c>
      <c r="N101" s="283" t="s">
        <v>252</v>
      </c>
      <c r="O101" s="283">
        <v>55</v>
      </c>
      <c r="P101" s="283">
        <v>124709</v>
      </c>
      <c r="Q101" s="287">
        <f>(O101+IF('Scenario Analysis'!$N$23=1,0,0.5))*P101</f>
        <v>6921349.5</v>
      </c>
    </row>
    <row r="102" spans="3:17" x14ac:dyDescent="0.25">
      <c r="C102" s="300" t="s">
        <v>1271</v>
      </c>
      <c r="D102" s="283" t="s">
        <v>661</v>
      </c>
      <c r="E102" s="283" t="s">
        <v>249</v>
      </c>
      <c r="F102" s="283" t="s">
        <v>184</v>
      </c>
      <c r="G102" s="283">
        <v>3</v>
      </c>
      <c r="H102" s="283">
        <v>7788824</v>
      </c>
      <c r="I102" s="286">
        <f>(G102+IF('Scenario Analysis'!$N$23=1,0,0.5))*H102</f>
        <v>27260884</v>
      </c>
      <c r="K102" s="283" t="s">
        <v>1271</v>
      </c>
      <c r="L102" s="283" t="s">
        <v>658</v>
      </c>
      <c r="M102" s="283" t="s">
        <v>247</v>
      </c>
      <c r="N102" s="283" t="s">
        <v>252</v>
      </c>
      <c r="O102" s="283">
        <v>56</v>
      </c>
      <c r="P102" s="283">
        <v>50904</v>
      </c>
      <c r="Q102" s="287">
        <f>(O102+IF('Scenario Analysis'!$N$23=1,0,0.5))*P102</f>
        <v>2876076</v>
      </c>
    </row>
    <row r="103" spans="3:17" x14ac:dyDescent="0.25">
      <c r="C103" s="300" t="s">
        <v>1271</v>
      </c>
      <c r="D103" s="283" t="s">
        <v>661</v>
      </c>
      <c r="E103" s="283" t="s">
        <v>249</v>
      </c>
      <c r="F103" s="283" t="s">
        <v>184</v>
      </c>
      <c r="G103" s="283">
        <v>4</v>
      </c>
      <c r="H103" s="283">
        <v>5990492</v>
      </c>
      <c r="I103" s="286">
        <f>(G103+IF('Scenario Analysis'!$N$23=1,0,0.5))*H103</f>
        <v>26957214</v>
      </c>
      <c r="K103" s="283" t="s">
        <v>1271</v>
      </c>
      <c r="L103" s="283" t="s">
        <v>658</v>
      </c>
      <c r="M103" s="283" t="s">
        <v>247</v>
      </c>
      <c r="N103" s="283" t="s">
        <v>252</v>
      </c>
      <c r="O103" s="283">
        <v>57</v>
      </c>
      <c r="P103" s="283">
        <v>84052</v>
      </c>
      <c r="Q103" s="287">
        <f>(O103+IF('Scenario Analysis'!$N$23=1,0,0.5))*P103</f>
        <v>4832990</v>
      </c>
    </row>
    <row r="104" spans="3:17" x14ac:dyDescent="0.25">
      <c r="C104" s="300" t="s">
        <v>1271</v>
      </c>
      <c r="D104" s="283" t="s">
        <v>661</v>
      </c>
      <c r="E104" s="283" t="s">
        <v>249</v>
      </c>
      <c r="F104" s="283" t="s">
        <v>184</v>
      </c>
      <c r="G104" s="283">
        <v>5</v>
      </c>
      <c r="H104" s="283">
        <v>4075952</v>
      </c>
      <c r="I104" s="286">
        <f>(G104+IF('Scenario Analysis'!$N$23=1,0,0.5))*H104</f>
        <v>22417736</v>
      </c>
      <c r="K104" s="283" t="s">
        <v>1271</v>
      </c>
      <c r="L104" s="283" t="s">
        <v>658</v>
      </c>
      <c r="M104" s="283" t="s">
        <v>247</v>
      </c>
      <c r="N104" s="283" t="s">
        <v>252</v>
      </c>
      <c r="O104" s="283">
        <v>58</v>
      </c>
      <c r="P104" s="283">
        <v>26908</v>
      </c>
      <c r="Q104" s="287">
        <f>(O104+IF('Scenario Analysis'!$N$23=1,0,0.5))*P104</f>
        <v>1574118</v>
      </c>
    </row>
    <row r="105" spans="3:17" x14ac:dyDescent="0.25">
      <c r="C105" s="300" t="s">
        <v>1271</v>
      </c>
      <c r="D105" s="283" t="s">
        <v>661</v>
      </c>
      <c r="E105" s="283" t="s">
        <v>249</v>
      </c>
      <c r="F105" s="283" t="s">
        <v>184</v>
      </c>
      <c r="G105" s="283">
        <v>6</v>
      </c>
      <c r="H105" s="283">
        <v>3115189</v>
      </c>
      <c r="I105" s="286">
        <f>(G105+IF('Scenario Analysis'!$N$23=1,0,0.5))*H105</f>
        <v>20248728.5</v>
      </c>
      <c r="K105" s="283" t="s">
        <v>1271</v>
      </c>
      <c r="L105" s="283" t="s">
        <v>658</v>
      </c>
      <c r="M105" s="283" t="s">
        <v>247</v>
      </c>
      <c r="N105" s="283" t="s">
        <v>252</v>
      </c>
      <c r="O105" s="283">
        <v>59</v>
      </c>
      <c r="P105" s="283">
        <v>11134</v>
      </c>
      <c r="Q105" s="287">
        <f>(O105+IF('Scenario Analysis'!$N$23=1,0,0.5))*P105</f>
        <v>662473</v>
      </c>
    </row>
    <row r="106" spans="3:17" x14ac:dyDescent="0.25">
      <c r="C106" s="300" t="s">
        <v>1271</v>
      </c>
      <c r="D106" s="283" t="s">
        <v>661</v>
      </c>
      <c r="E106" s="283" t="s">
        <v>249</v>
      </c>
      <c r="F106" s="283" t="s">
        <v>184</v>
      </c>
      <c r="G106" s="283">
        <v>7</v>
      </c>
      <c r="H106" s="283">
        <v>1957953</v>
      </c>
      <c r="I106" s="286">
        <f>(G106+IF('Scenario Analysis'!$N$23=1,0,0.5))*H106</f>
        <v>14684647.5</v>
      </c>
      <c r="K106" s="283" t="s">
        <v>1271</v>
      </c>
      <c r="L106" s="283" t="s">
        <v>658</v>
      </c>
      <c r="M106" s="283" t="s">
        <v>247</v>
      </c>
      <c r="N106" s="283" t="s">
        <v>252</v>
      </c>
      <c r="O106" s="283">
        <v>60</v>
      </c>
      <c r="P106" s="283">
        <v>48929</v>
      </c>
      <c r="Q106" s="287">
        <f>(O106+IF('Scenario Analysis'!$N$23=1,0,0.5))*P106</f>
        <v>2960204.5</v>
      </c>
    </row>
    <row r="107" spans="3:17" x14ac:dyDescent="0.25">
      <c r="C107" s="300" t="s">
        <v>1271</v>
      </c>
      <c r="D107" s="283" t="s">
        <v>661</v>
      </c>
      <c r="E107" s="283" t="s">
        <v>249</v>
      </c>
      <c r="F107" s="283" t="s">
        <v>184</v>
      </c>
      <c r="G107" s="283">
        <v>8</v>
      </c>
      <c r="H107" s="283">
        <v>1456475</v>
      </c>
      <c r="I107" s="286">
        <f>(G107+IF('Scenario Analysis'!$N$23=1,0,0.5))*H107</f>
        <v>12380037.5</v>
      </c>
      <c r="K107" s="283" t="s">
        <v>1271</v>
      </c>
      <c r="L107" s="283" t="s">
        <v>658</v>
      </c>
      <c r="M107" s="283" t="s">
        <v>247</v>
      </c>
      <c r="N107" s="283" t="s">
        <v>252</v>
      </c>
      <c r="O107" s="283">
        <v>61</v>
      </c>
      <c r="P107" s="283">
        <v>46719</v>
      </c>
      <c r="Q107" s="287">
        <f>(O107+IF('Scenario Analysis'!$N$23=1,0,0.5))*P107</f>
        <v>2873218.5</v>
      </c>
    </row>
    <row r="108" spans="3:17" x14ac:dyDescent="0.25">
      <c r="C108" s="300" t="s">
        <v>1271</v>
      </c>
      <c r="D108" s="283" t="s">
        <v>661</v>
      </c>
      <c r="E108" s="283" t="s">
        <v>249</v>
      </c>
      <c r="F108" s="283" t="s">
        <v>184</v>
      </c>
      <c r="G108" s="283">
        <v>9</v>
      </c>
      <c r="H108" s="283">
        <v>918358</v>
      </c>
      <c r="I108" s="286">
        <f>(G108+IF('Scenario Analysis'!$N$23=1,0,0.5))*H108</f>
        <v>8724401</v>
      </c>
      <c r="K108" s="283" t="s">
        <v>1271</v>
      </c>
      <c r="L108" s="283" t="s">
        <v>658</v>
      </c>
      <c r="M108" s="283" t="s">
        <v>247</v>
      </c>
      <c r="N108" s="283" t="s">
        <v>252</v>
      </c>
      <c r="O108" s="283">
        <v>62</v>
      </c>
      <c r="P108" s="283">
        <v>14057</v>
      </c>
      <c r="Q108" s="287">
        <f>(O108+IF('Scenario Analysis'!$N$23=1,0,0.5))*P108</f>
        <v>878562.5</v>
      </c>
    </row>
    <row r="109" spans="3:17" x14ac:dyDescent="0.25">
      <c r="C109" s="300" t="s">
        <v>1271</v>
      </c>
      <c r="D109" s="283" t="s">
        <v>661</v>
      </c>
      <c r="E109" s="283" t="s">
        <v>249</v>
      </c>
      <c r="F109" s="283" t="s">
        <v>184</v>
      </c>
      <c r="G109" s="283">
        <v>10</v>
      </c>
      <c r="H109" s="283">
        <v>836167</v>
      </c>
      <c r="I109" s="286">
        <f>(G109+IF('Scenario Analysis'!$N$23=1,0,0.5))*H109</f>
        <v>8779753.5</v>
      </c>
      <c r="K109" s="283" t="s">
        <v>1271</v>
      </c>
      <c r="L109" s="283" t="s">
        <v>658</v>
      </c>
      <c r="M109" s="283" t="s">
        <v>247</v>
      </c>
      <c r="N109" s="283" t="s">
        <v>252</v>
      </c>
      <c r="O109" s="283">
        <v>63</v>
      </c>
      <c r="P109" s="283">
        <v>19952</v>
      </c>
      <c r="Q109" s="287">
        <f>(O109+IF('Scenario Analysis'!$N$23=1,0,0.5))*P109</f>
        <v>1266952</v>
      </c>
    </row>
    <row r="110" spans="3:17" x14ac:dyDescent="0.25">
      <c r="C110" s="300" t="s">
        <v>1271</v>
      </c>
      <c r="D110" s="283" t="s">
        <v>661</v>
      </c>
      <c r="E110" s="283" t="s">
        <v>249</v>
      </c>
      <c r="F110" s="283" t="s">
        <v>184</v>
      </c>
      <c r="G110" s="283">
        <v>11</v>
      </c>
      <c r="H110" s="283">
        <v>523168</v>
      </c>
      <c r="I110" s="286">
        <f>(G110+IF('Scenario Analysis'!$N$23=1,0,0.5))*H110</f>
        <v>6016432</v>
      </c>
      <c r="K110" s="283" t="s">
        <v>1271</v>
      </c>
      <c r="L110" s="283" t="s">
        <v>658</v>
      </c>
      <c r="M110" s="283" t="s">
        <v>247</v>
      </c>
      <c r="N110" s="283" t="s">
        <v>252</v>
      </c>
      <c r="O110" s="283">
        <v>64</v>
      </c>
      <c r="P110" s="283">
        <v>24578</v>
      </c>
      <c r="Q110" s="287">
        <f>(O110+IF('Scenario Analysis'!$N$23=1,0,0.5))*P110</f>
        <v>1585281</v>
      </c>
    </row>
    <row r="111" spans="3:17" x14ac:dyDescent="0.25">
      <c r="C111" s="300" t="s">
        <v>1271</v>
      </c>
      <c r="D111" s="283" t="s">
        <v>661</v>
      </c>
      <c r="E111" s="283" t="s">
        <v>249</v>
      </c>
      <c r="F111" s="283" t="s">
        <v>184</v>
      </c>
      <c r="G111" s="283">
        <v>12</v>
      </c>
      <c r="H111" s="283">
        <v>561946</v>
      </c>
      <c r="I111" s="286">
        <f>(G111+IF('Scenario Analysis'!$N$23=1,0,0.5))*H111</f>
        <v>7024325</v>
      </c>
      <c r="K111" s="283" t="s">
        <v>1271</v>
      </c>
      <c r="L111" s="283" t="s">
        <v>658</v>
      </c>
      <c r="M111" s="283" t="s">
        <v>247</v>
      </c>
      <c r="N111" s="283" t="s">
        <v>252</v>
      </c>
      <c r="O111" s="283">
        <v>65</v>
      </c>
      <c r="P111" s="283">
        <v>120968</v>
      </c>
      <c r="Q111" s="287">
        <f>(O111+IF('Scenario Analysis'!$N$23=1,0,0.5))*P111</f>
        <v>7923404</v>
      </c>
    </row>
    <row r="112" spans="3:17" x14ac:dyDescent="0.25">
      <c r="C112" s="300" t="s">
        <v>1271</v>
      </c>
      <c r="D112" s="283" t="s">
        <v>661</v>
      </c>
      <c r="E112" s="283" t="s">
        <v>249</v>
      </c>
      <c r="F112" s="283" t="s">
        <v>184</v>
      </c>
      <c r="G112" s="283">
        <v>13</v>
      </c>
      <c r="H112" s="283">
        <v>260409</v>
      </c>
      <c r="I112" s="286">
        <f>(G112+IF('Scenario Analysis'!$N$23=1,0,0.5))*H112</f>
        <v>3515521.5</v>
      </c>
      <c r="K112" s="283" t="s">
        <v>1271</v>
      </c>
      <c r="L112" s="283" t="s">
        <v>658</v>
      </c>
      <c r="M112" s="283" t="s">
        <v>247</v>
      </c>
      <c r="N112" s="283" t="s">
        <v>252</v>
      </c>
      <c r="O112" s="283">
        <v>66</v>
      </c>
      <c r="P112" s="283">
        <v>22501</v>
      </c>
      <c r="Q112" s="287">
        <f>(O112+IF('Scenario Analysis'!$N$23=1,0,0.5))*P112</f>
        <v>1496316.5</v>
      </c>
    </row>
    <row r="113" spans="3:17" x14ac:dyDescent="0.25">
      <c r="C113" s="300" t="s">
        <v>1271</v>
      </c>
      <c r="D113" s="283" t="s">
        <v>661</v>
      </c>
      <c r="E113" s="283" t="s">
        <v>249</v>
      </c>
      <c r="F113" s="283" t="s">
        <v>184</v>
      </c>
      <c r="G113" s="283">
        <v>14</v>
      </c>
      <c r="H113" s="283">
        <v>488156</v>
      </c>
      <c r="I113" s="286">
        <f>(G113+IF('Scenario Analysis'!$N$23=1,0,0.5))*H113</f>
        <v>7078262</v>
      </c>
      <c r="K113" s="283" t="s">
        <v>1271</v>
      </c>
      <c r="L113" s="283" t="s">
        <v>658</v>
      </c>
      <c r="M113" s="283" t="s">
        <v>247</v>
      </c>
      <c r="N113" s="283" t="s">
        <v>252</v>
      </c>
      <c r="O113" s="283">
        <v>67</v>
      </c>
      <c r="P113" s="283">
        <v>66306</v>
      </c>
      <c r="Q113" s="287">
        <f>(O113+IF('Scenario Analysis'!$N$23=1,0,0.5))*P113</f>
        <v>4475655</v>
      </c>
    </row>
    <row r="114" spans="3:17" x14ac:dyDescent="0.25">
      <c r="C114" s="300" t="s">
        <v>1271</v>
      </c>
      <c r="D114" s="283" t="s">
        <v>661</v>
      </c>
      <c r="E114" s="283" t="s">
        <v>249</v>
      </c>
      <c r="F114" s="283" t="s">
        <v>184</v>
      </c>
      <c r="G114" s="283">
        <v>15</v>
      </c>
      <c r="H114" s="283">
        <v>153791</v>
      </c>
      <c r="I114" s="286">
        <f>(G114+IF('Scenario Analysis'!$N$23=1,0,0.5))*H114</f>
        <v>2383760.5</v>
      </c>
      <c r="K114" s="283" t="s">
        <v>1271</v>
      </c>
      <c r="L114" s="283" t="s">
        <v>658</v>
      </c>
      <c r="M114" s="283" t="s">
        <v>247</v>
      </c>
      <c r="N114" s="283" t="s">
        <v>252</v>
      </c>
      <c r="O114" s="283">
        <v>68</v>
      </c>
      <c r="P114" s="283">
        <v>26832</v>
      </c>
      <c r="Q114" s="287">
        <f>(O114+IF('Scenario Analysis'!$N$23=1,0,0.5))*P114</f>
        <v>1837992</v>
      </c>
    </row>
    <row r="115" spans="3:17" x14ac:dyDescent="0.25">
      <c r="C115" s="300" t="s">
        <v>1271</v>
      </c>
      <c r="D115" s="283" t="s">
        <v>661</v>
      </c>
      <c r="E115" s="283" t="s">
        <v>249</v>
      </c>
      <c r="F115" s="283" t="s">
        <v>184</v>
      </c>
      <c r="G115" s="283">
        <v>16</v>
      </c>
      <c r="H115" s="283">
        <v>157129</v>
      </c>
      <c r="I115" s="286">
        <f>(G115+IF('Scenario Analysis'!$N$23=1,0,0.5))*H115</f>
        <v>2592628.5</v>
      </c>
      <c r="K115" s="283" t="s">
        <v>1271</v>
      </c>
      <c r="L115" s="283" t="s">
        <v>658</v>
      </c>
      <c r="M115" s="283" t="s">
        <v>247</v>
      </c>
      <c r="N115" s="283" t="s">
        <v>252</v>
      </c>
      <c r="O115" s="283">
        <v>69</v>
      </c>
      <c r="P115" s="283">
        <v>53322</v>
      </c>
      <c r="Q115" s="287">
        <f>(O115+IF('Scenario Analysis'!$N$23=1,0,0.5))*P115</f>
        <v>3705879</v>
      </c>
    </row>
    <row r="116" spans="3:17" x14ac:dyDescent="0.25">
      <c r="C116" s="300" t="s">
        <v>1271</v>
      </c>
      <c r="D116" s="283" t="s">
        <v>661</v>
      </c>
      <c r="E116" s="283" t="s">
        <v>249</v>
      </c>
      <c r="F116" s="283" t="s">
        <v>184</v>
      </c>
      <c r="G116" s="283">
        <v>17</v>
      </c>
      <c r="H116" s="283">
        <v>152621</v>
      </c>
      <c r="I116" s="286">
        <f>(G116+IF('Scenario Analysis'!$N$23=1,0,0.5))*H116</f>
        <v>2670867.5</v>
      </c>
      <c r="K116" s="283" t="s">
        <v>1271</v>
      </c>
      <c r="L116" s="283" t="s">
        <v>658</v>
      </c>
      <c r="M116" s="283" t="s">
        <v>247</v>
      </c>
      <c r="N116" s="283" t="s">
        <v>252</v>
      </c>
      <c r="O116" s="283">
        <v>70</v>
      </c>
      <c r="P116" s="283">
        <v>82278</v>
      </c>
      <c r="Q116" s="287">
        <f>(O116+IF('Scenario Analysis'!$N$23=1,0,0.5))*P116</f>
        <v>5800599</v>
      </c>
    </row>
    <row r="117" spans="3:17" x14ac:dyDescent="0.25">
      <c r="C117" s="300" t="s">
        <v>1271</v>
      </c>
      <c r="D117" s="283" t="s">
        <v>661</v>
      </c>
      <c r="E117" s="283" t="s">
        <v>249</v>
      </c>
      <c r="F117" s="283" t="s">
        <v>184</v>
      </c>
      <c r="G117" s="283">
        <v>18</v>
      </c>
      <c r="H117" s="283">
        <v>110772</v>
      </c>
      <c r="I117" s="286">
        <f>(G117+IF('Scenario Analysis'!$N$23=1,0,0.5))*H117</f>
        <v>2049282</v>
      </c>
      <c r="K117" s="283" t="s">
        <v>1271</v>
      </c>
      <c r="L117" s="283" t="s">
        <v>658</v>
      </c>
      <c r="M117" s="283" t="s">
        <v>247</v>
      </c>
      <c r="N117" s="283" t="s">
        <v>252</v>
      </c>
      <c r="O117" s="283">
        <v>71</v>
      </c>
      <c r="P117" s="283">
        <v>25312</v>
      </c>
      <c r="Q117" s="287">
        <f>(O117+IF('Scenario Analysis'!$N$23=1,0,0.5))*P117</f>
        <v>1809808</v>
      </c>
    </row>
    <row r="118" spans="3:17" x14ac:dyDescent="0.25">
      <c r="C118" s="300" t="s">
        <v>1271</v>
      </c>
      <c r="D118" s="283" t="s">
        <v>661</v>
      </c>
      <c r="E118" s="283" t="s">
        <v>249</v>
      </c>
      <c r="F118" s="283" t="s">
        <v>184</v>
      </c>
      <c r="G118" s="283">
        <v>19</v>
      </c>
      <c r="H118" s="283">
        <v>248732</v>
      </c>
      <c r="I118" s="286">
        <f>(G118+IF('Scenario Analysis'!$N$23=1,0,0.5))*H118</f>
        <v>4850274</v>
      </c>
      <c r="K118" s="283" t="s">
        <v>1271</v>
      </c>
      <c r="L118" s="283" t="s">
        <v>658</v>
      </c>
      <c r="M118" s="283" t="s">
        <v>247</v>
      </c>
      <c r="N118" s="283" t="s">
        <v>252</v>
      </c>
      <c r="O118" s="283">
        <v>72</v>
      </c>
      <c r="P118" s="283">
        <v>13510</v>
      </c>
      <c r="Q118" s="287">
        <f>(O118+IF('Scenario Analysis'!$N$23=1,0,0.5))*P118</f>
        <v>979475</v>
      </c>
    </row>
    <row r="119" spans="3:17" x14ac:dyDescent="0.25">
      <c r="C119" s="300" t="s">
        <v>1271</v>
      </c>
      <c r="D119" s="283" t="s">
        <v>661</v>
      </c>
      <c r="E119" s="283" t="s">
        <v>249</v>
      </c>
      <c r="F119" s="283" t="s">
        <v>184</v>
      </c>
      <c r="G119" s="283">
        <v>20</v>
      </c>
      <c r="H119" s="283">
        <v>150158</v>
      </c>
      <c r="I119" s="286">
        <f>(G119+IF('Scenario Analysis'!$N$23=1,0,0.5))*H119</f>
        <v>3078239</v>
      </c>
      <c r="K119" s="283" t="s">
        <v>1271</v>
      </c>
      <c r="L119" s="283" t="s">
        <v>658</v>
      </c>
      <c r="M119" s="283" t="s">
        <v>247</v>
      </c>
      <c r="N119" s="283" t="s">
        <v>252</v>
      </c>
      <c r="O119" s="283">
        <v>73</v>
      </c>
      <c r="P119" s="283">
        <v>179897</v>
      </c>
      <c r="Q119" s="287">
        <f>(O119+IF('Scenario Analysis'!$N$23=1,0,0.5))*P119</f>
        <v>13222429.5</v>
      </c>
    </row>
    <row r="120" spans="3:17" x14ac:dyDescent="0.25">
      <c r="C120" s="300" t="s">
        <v>1271</v>
      </c>
      <c r="D120" s="283" t="s">
        <v>661</v>
      </c>
      <c r="E120" s="283" t="s">
        <v>249</v>
      </c>
      <c r="F120" s="283" t="s">
        <v>184</v>
      </c>
      <c r="G120" s="283">
        <v>21</v>
      </c>
      <c r="H120" s="283">
        <v>80693</v>
      </c>
      <c r="I120" s="286">
        <f>(G120+IF('Scenario Analysis'!$N$23=1,0,0.5))*H120</f>
        <v>1734899.5</v>
      </c>
      <c r="K120" s="283" t="s">
        <v>1271</v>
      </c>
      <c r="L120" s="283" t="s">
        <v>658</v>
      </c>
      <c r="M120" s="283" t="s">
        <v>247</v>
      </c>
      <c r="N120" s="283" t="s">
        <v>252</v>
      </c>
      <c r="O120" s="283">
        <v>74</v>
      </c>
      <c r="P120" s="283">
        <v>21330</v>
      </c>
      <c r="Q120" s="287">
        <f>(O120+IF('Scenario Analysis'!$N$23=1,0,0.5))*P120</f>
        <v>1589085</v>
      </c>
    </row>
    <row r="121" spans="3:17" x14ac:dyDescent="0.25">
      <c r="C121" s="300" t="s">
        <v>1271</v>
      </c>
      <c r="D121" s="283" t="s">
        <v>661</v>
      </c>
      <c r="E121" s="283" t="s">
        <v>249</v>
      </c>
      <c r="F121" s="283" t="s">
        <v>184</v>
      </c>
      <c r="G121" s="283">
        <v>22</v>
      </c>
      <c r="H121" s="283">
        <v>290616</v>
      </c>
      <c r="I121" s="286">
        <f>(G121+IF('Scenario Analysis'!$N$23=1,0,0.5))*H121</f>
        <v>6538860</v>
      </c>
      <c r="K121" s="283" t="s">
        <v>1271</v>
      </c>
      <c r="L121" s="283" t="s">
        <v>658</v>
      </c>
      <c r="M121" s="283" t="s">
        <v>247</v>
      </c>
      <c r="N121" s="283" t="s">
        <v>252</v>
      </c>
      <c r="O121" s="283">
        <v>75</v>
      </c>
      <c r="P121" s="283">
        <v>31174</v>
      </c>
      <c r="Q121" s="287">
        <f>(O121+IF('Scenario Analysis'!$N$23=1,0,0.5))*P121</f>
        <v>2353637</v>
      </c>
    </row>
    <row r="122" spans="3:17" x14ac:dyDescent="0.25">
      <c r="C122" s="300" t="s">
        <v>1271</v>
      </c>
      <c r="D122" s="283" t="s">
        <v>661</v>
      </c>
      <c r="E122" s="283" t="s">
        <v>249</v>
      </c>
      <c r="F122" s="283" t="s">
        <v>184</v>
      </c>
      <c r="G122" s="283">
        <v>23</v>
      </c>
      <c r="H122" s="283">
        <v>200646</v>
      </c>
      <c r="I122" s="286">
        <f>(G122+IF('Scenario Analysis'!$N$23=1,0,0.5))*H122</f>
        <v>4715181</v>
      </c>
      <c r="K122" s="283" t="s">
        <v>1271</v>
      </c>
      <c r="L122" s="283" t="s">
        <v>658</v>
      </c>
      <c r="M122" s="283" t="s">
        <v>247</v>
      </c>
      <c r="N122" s="283" t="s">
        <v>252</v>
      </c>
      <c r="O122" s="283">
        <v>76</v>
      </c>
      <c r="P122" s="283">
        <v>9757</v>
      </c>
      <c r="Q122" s="287">
        <f>(O122+IF('Scenario Analysis'!$N$23=1,0,0.5))*P122</f>
        <v>746410.5</v>
      </c>
    </row>
    <row r="123" spans="3:17" x14ac:dyDescent="0.25">
      <c r="C123" s="300" t="s">
        <v>1271</v>
      </c>
      <c r="D123" s="283" t="s">
        <v>661</v>
      </c>
      <c r="E123" s="283" t="s">
        <v>249</v>
      </c>
      <c r="F123" s="283" t="s">
        <v>184</v>
      </c>
      <c r="G123" s="283">
        <v>24</v>
      </c>
      <c r="H123" s="283">
        <v>128526</v>
      </c>
      <c r="I123" s="286">
        <f>(G123+IF('Scenario Analysis'!$N$23=1,0,0.5))*H123</f>
        <v>3148887</v>
      </c>
      <c r="K123" s="283" t="s">
        <v>1271</v>
      </c>
      <c r="L123" s="283" t="s">
        <v>658</v>
      </c>
      <c r="M123" s="283" t="s">
        <v>247</v>
      </c>
      <c r="N123" s="283" t="s">
        <v>252</v>
      </c>
      <c r="O123" s="283">
        <v>77</v>
      </c>
      <c r="P123" s="283">
        <v>25580</v>
      </c>
      <c r="Q123" s="287">
        <f>(O123+IF('Scenario Analysis'!$N$23=1,0,0.5))*P123</f>
        <v>1982450</v>
      </c>
    </row>
    <row r="124" spans="3:17" x14ac:dyDescent="0.25">
      <c r="C124" s="300" t="s">
        <v>1271</v>
      </c>
      <c r="D124" s="283" t="s">
        <v>661</v>
      </c>
      <c r="E124" s="283" t="s">
        <v>249</v>
      </c>
      <c r="F124" s="283" t="s">
        <v>184</v>
      </c>
      <c r="G124" s="283">
        <v>25</v>
      </c>
      <c r="H124" s="283">
        <v>28581</v>
      </c>
      <c r="I124" s="286">
        <f>(G124+IF('Scenario Analysis'!$N$23=1,0,0.5))*H124</f>
        <v>728815.5</v>
      </c>
      <c r="K124" s="283" t="s">
        <v>1271</v>
      </c>
      <c r="L124" s="283" t="s">
        <v>658</v>
      </c>
      <c r="M124" s="283" t="s">
        <v>247</v>
      </c>
      <c r="N124" s="283" t="s">
        <v>252</v>
      </c>
      <c r="O124" s="283">
        <v>78</v>
      </c>
      <c r="P124" s="283">
        <v>14756</v>
      </c>
      <c r="Q124" s="287">
        <f>(O124+IF('Scenario Analysis'!$N$23=1,0,0.5))*P124</f>
        <v>1158346</v>
      </c>
    </row>
    <row r="125" spans="3:17" x14ac:dyDescent="0.25">
      <c r="C125" s="300" t="s">
        <v>1271</v>
      </c>
      <c r="D125" s="283" t="s">
        <v>661</v>
      </c>
      <c r="E125" s="283" t="s">
        <v>249</v>
      </c>
      <c r="F125" s="283" t="s">
        <v>184</v>
      </c>
      <c r="G125" s="283">
        <v>26</v>
      </c>
      <c r="H125" s="283">
        <v>33502</v>
      </c>
      <c r="I125" s="286">
        <f>(G125+IF('Scenario Analysis'!$N$23=1,0,0.5))*H125</f>
        <v>887803</v>
      </c>
      <c r="K125" s="283" t="s">
        <v>1271</v>
      </c>
      <c r="L125" s="283" t="s">
        <v>658</v>
      </c>
      <c r="M125" s="283" t="s">
        <v>247</v>
      </c>
      <c r="N125" s="283" t="s">
        <v>252</v>
      </c>
      <c r="O125" s="283">
        <v>79</v>
      </c>
      <c r="P125" s="283">
        <v>51805</v>
      </c>
      <c r="Q125" s="287">
        <f>(O125+IF('Scenario Analysis'!$N$23=1,0,0.5))*P125</f>
        <v>4118497.5</v>
      </c>
    </row>
    <row r="126" spans="3:17" x14ac:dyDescent="0.25">
      <c r="C126" s="300" t="s">
        <v>1271</v>
      </c>
      <c r="D126" s="283" t="s">
        <v>661</v>
      </c>
      <c r="E126" s="283" t="s">
        <v>249</v>
      </c>
      <c r="F126" s="283" t="s">
        <v>184</v>
      </c>
      <c r="G126" s="283">
        <v>27</v>
      </c>
      <c r="H126" s="283">
        <v>31127</v>
      </c>
      <c r="I126" s="286">
        <f>(G126+IF('Scenario Analysis'!$N$23=1,0,0.5))*H126</f>
        <v>855992.5</v>
      </c>
      <c r="K126" s="283" t="s">
        <v>1271</v>
      </c>
      <c r="L126" s="283" t="s">
        <v>658</v>
      </c>
      <c r="M126" s="283" t="s">
        <v>247</v>
      </c>
      <c r="N126" s="283" t="s">
        <v>252</v>
      </c>
      <c r="O126" s="283">
        <v>80</v>
      </c>
      <c r="P126" s="283">
        <v>29782</v>
      </c>
      <c r="Q126" s="287">
        <f>(O126+IF('Scenario Analysis'!$N$23=1,0,0.5))*P126</f>
        <v>2397451</v>
      </c>
    </row>
    <row r="127" spans="3:17" x14ac:dyDescent="0.25">
      <c r="C127" s="300" t="s">
        <v>1271</v>
      </c>
      <c r="D127" s="283" t="s">
        <v>661</v>
      </c>
      <c r="E127" s="283" t="s">
        <v>249</v>
      </c>
      <c r="F127" s="283" t="s">
        <v>184</v>
      </c>
      <c r="G127" s="283">
        <v>28</v>
      </c>
      <c r="H127" s="283">
        <v>149755</v>
      </c>
      <c r="I127" s="286">
        <f>(G127+IF('Scenario Analysis'!$N$23=1,0,0.5))*H127</f>
        <v>4268017.5</v>
      </c>
      <c r="K127" s="283" t="s">
        <v>1271</v>
      </c>
      <c r="L127" s="283" t="s">
        <v>658</v>
      </c>
      <c r="M127" s="283" t="s">
        <v>247</v>
      </c>
      <c r="N127" s="283" t="s">
        <v>252</v>
      </c>
      <c r="O127" s="283">
        <v>81</v>
      </c>
      <c r="P127" s="283">
        <v>60052</v>
      </c>
      <c r="Q127" s="287">
        <f>(O127+IF('Scenario Analysis'!$N$23=1,0,0.5))*P127</f>
        <v>4894238</v>
      </c>
    </row>
    <row r="128" spans="3:17" x14ac:dyDescent="0.25">
      <c r="C128" s="300" t="s">
        <v>1271</v>
      </c>
      <c r="D128" s="283" t="s">
        <v>661</v>
      </c>
      <c r="E128" s="283" t="s">
        <v>249</v>
      </c>
      <c r="F128" s="283" t="s">
        <v>184</v>
      </c>
      <c r="G128" s="283">
        <v>29</v>
      </c>
      <c r="H128" s="283">
        <v>9082</v>
      </c>
      <c r="I128" s="286">
        <f>(G128+IF('Scenario Analysis'!$N$23=1,0,0.5))*H128</f>
        <v>267919</v>
      </c>
      <c r="K128" s="283" t="s">
        <v>1271</v>
      </c>
      <c r="L128" s="283" t="s">
        <v>658</v>
      </c>
      <c r="M128" s="283" t="s">
        <v>247</v>
      </c>
      <c r="N128" s="283" t="s">
        <v>252</v>
      </c>
      <c r="O128" s="283">
        <v>82</v>
      </c>
      <c r="P128" s="283">
        <v>44450</v>
      </c>
      <c r="Q128" s="287">
        <f>(O128+IF('Scenario Analysis'!$N$23=1,0,0.5))*P128</f>
        <v>3667125</v>
      </c>
    </row>
    <row r="129" spans="3:17" x14ac:dyDescent="0.25">
      <c r="C129" s="300" t="s">
        <v>1271</v>
      </c>
      <c r="D129" s="283" t="s">
        <v>661</v>
      </c>
      <c r="E129" s="283" t="s">
        <v>249</v>
      </c>
      <c r="F129" s="283" t="s">
        <v>184</v>
      </c>
      <c r="G129" s="283">
        <v>30</v>
      </c>
      <c r="H129" s="283">
        <v>14653</v>
      </c>
      <c r="I129" s="286">
        <f>(G129+IF('Scenario Analysis'!$N$23=1,0,0.5))*H129</f>
        <v>446916.5</v>
      </c>
      <c r="K129" s="283" t="s">
        <v>1271</v>
      </c>
      <c r="L129" s="283" t="s">
        <v>658</v>
      </c>
      <c r="M129" s="283" t="s">
        <v>247</v>
      </c>
      <c r="N129" s="283" t="s">
        <v>252</v>
      </c>
      <c r="O129" s="283">
        <v>83</v>
      </c>
      <c r="P129" s="283">
        <v>6994</v>
      </c>
      <c r="Q129" s="287">
        <f>(O129+IF('Scenario Analysis'!$N$23=1,0,0.5))*P129</f>
        <v>583999</v>
      </c>
    </row>
    <row r="130" spans="3:17" x14ac:dyDescent="0.25">
      <c r="C130" s="300" t="s">
        <v>1271</v>
      </c>
      <c r="D130" s="283" t="s">
        <v>661</v>
      </c>
      <c r="E130" s="283" t="s">
        <v>249</v>
      </c>
      <c r="F130" s="283" t="s">
        <v>184</v>
      </c>
      <c r="G130" s="283">
        <v>31</v>
      </c>
      <c r="H130" s="283">
        <v>9153</v>
      </c>
      <c r="I130" s="286">
        <f>(G130+IF('Scenario Analysis'!$N$23=1,0,0.5))*H130</f>
        <v>288319.5</v>
      </c>
      <c r="K130" s="283" t="s">
        <v>1271</v>
      </c>
      <c r="L130" s="283" t="s">
        <v>658</v>
      </c>
      <c r="M130" s="283" t="s">
        <v>247</v>
      </c>
      <c r="N130" s="283" t="s">
        <v>252</v>
      </c>
      <c r="O130" s="283">
        <v>84</v>
      </c>
      <c r="P130" s="283">
        <v>46186</v>
      </c>
      <c r="Q130" s="287">
        <f>(O130+IF('Scenario Analysis'!$N$23=1,0,0.5))*P130</f>
        <v>3902717</v>
      </c>
    </row>
    <row r="131" spans="3:17" x14ac:dyDescent="0.25">
      <c r="C131" s="300" t="s">
        <v>1271</v>
      </c>
      <c r="D131" s="283" t="s">
        <v>661</v>
      </c>
      <c r="E131" s="283" t="s">
        <v>249</v>
      </c>
      <c r="F131" s="283" t="s">
        <v>184</v>
      </c>
      <c r="G131" s="283">
        <v>32</v>
      </c>
      <c r="H131" s="283">
        <v>3375</v>
      </c>
      <c r="I131" s="286">
        <f>(G131+IF('Scenario Analysis'!$N$23=1,0,0.5))*H131</f>
        <v>109687.5</v>
      </c>
      <c r="K131" s="283" t="s">
        <v>1271</v>
      </c>
      <c r="L131" s="283" t="s">
        <v>658</v>
      </c>
      <c r="M131" s="283" t="s">
        <v>247</v>
      </c>
      <c r="N131" s="283" t="s">
        <v>252</v>
      </c>
      <c r="O131" s="283">
        <v>85</v>
      </c>
      <c r="P131" s="283">
        <v>3599</v>
      </c>
      <c r="Q131" s="287">
        <f>(O131+IF('Scenario Analysis'!$N$23=1,0,0.5))*P131</f>
        <v>307714.5</v>
      </c>
    </row>
    <row r="132" spans="3:17" x14ac:dyDescent="0.25">
      <c r="C132" s="300" t="s">
        <v>1271</v>
      </c>
      <c r="D132" s="283" t="s">
        <v>661</v>
      </c>
      <c r="E132" s="283" t="s">
        <v>249</v>
      </c>
      <c r="F132" s="283" t="s">
        <v>184</v>
      </c>
      <c r="G132" s="283">
        <v>33</v>
      </c>
      <c r="H132" s="283">
        <v>3022</v>
      </c>
      <c r="I132" s="286">
        <f>(G132+IF('Scenario Analysis'!$N$23=1,0,0.5))*H132</f>
        <v>101237</v>
      </c>
      <c r="K132" s="283" t="s">
        <v>1271</v>
      </c>
      <c r="L132" s="283" t="s">
        <v>658</v>
      </c>
      <c r="M132" s="283" t="s">
        <v>247</v>
      </c>
      <c r="N132" s="283" t="s">
        <v>252</v>
      </c>
      <c r="O132" s="283">
        <v>86</v>
      </c>
      <c r="P132" s="283">
        <v>58036</v>
      </c>
      <c r="Q132" s="287">
        <f>(O132+IF('Scenario Analysis'!$N$23=1,0,0.5))*P132</f>
        <v>5020114</v>
      </c>
    </row>
    <row r="133" spans="3:17" x14ac:dyDescent="0.25">
      <c r="C133" s="300" t="s">
        <v>1271</v>
      </c>
      <c r="D133" s="283" t="s">
        <v>661</v>
      </c>
      <c r="E133" s="283" t="s">
        <v>249</v>
      </c>
      <c r="F133" s="283" t="s">
        <v>184</v>
      </c>
      <c r="G133" s="283">
        <v>34</v>
      </c>
      <c r="H133" s="283">
        <v>4975</v>
      </c>
      <c r="I133" s="286">
        <f>(G133+IF('Scenario Analysis'!$N$23=1,0,0.5))*H133</f>
        <v>171637.5</v>
      </c>
      <c r="K133" s="283" t="s">
        <v>1271</v>
      </c>
      <c r="L133" s="283" t="s">
        <v>658</v>
      </c>
      <c r="M133" s="283" t="s">
        <v>247</v>
      </c>
      <c r="N133" s="283" t="s">
        <v>252</v>
      </c>
      <c r="O133" s="283">
        <v>87</v>
      </c>
      <c r="P133" s="283">
        <v>19824</v>
      </c>
      <c r="Q133" s="287">
        <f>(O133+IF('Scenario Analysis'!$N$23=1,0,0.5))*P133</f>
        <v>1734600</v>
      </c>
    </row>
    <row r="134" spans="3:17" x14ac:dyDescent="0.25">
      <c r="C134" s="300" t="s">
        <v>1271</v>
      </c>
      <c r="D134" s="283" t="s">
        <v>661</v>
      </c>
      <c r="E134" s="283" t="s">
        <v>249</v>
      </c>
      <c r="F134" s="283" t="s">
        <v>184</v>
      </c>
      <c r="G134" s="283">
        <v>35</v>
      </c>
      <c r="H134" s="283">
        <v>934</v>
      </c>
      <c r="I134" s="286">
        <f>(G134+IF('Scenario Analysis'!$N$23=1,0,0.5))*H134</f>
        <v>33157</v>
      </c>
      <c r="K134" s="283" t="s">
        <v>1271</v>
      </c>
      <c r="L134" s="283" t="s">
        <v>658</v>
      </c>
      <c r="M134" s="283" t="s">
        <v>247</v>
      </c>
      <c r="N134" s="283" t="s">
        <v>252</v>
      </c>
      <c r="O134" s="283">
        <v>88</v>
      </c>
      <c r="P134" s="283">
        <v>10117</v>
      </c>
      <c r="Q134" s="287">
        <f>(O134+IF('Scenario Analysis'!$N$23=1,0,0.5))*P134</f>
        <v>895354.5</v>
      </c>
    </row>
    <row r="135" spans="3:17" x14ac:dyDescent="0.25">
      <c r="C135" s="300" t="s">
        <v>1271</v>
      </c>
      <c r="D135" s="283" t="s">
        <v>661</v>
      </c>
      <c r="E135" s="283" t="s">
        <v>249</v>
      </c>
      <c r="F135" s="283" t="s">
        <v>184</v>
      </c>
      <c r="G135" s="283">
        <v>36</v>
      </c>
      <c r="H135" s="283">
        <v>2126</v>
      </c>
      <c r="I135" s="286">
        <f>(G135+IF('Scenario Analysis'!$N$23=1,0,0.5))*H135</f>
        <v>77599</v>
      </c>
      <c r="K135" s="283" t="s">
        <v>1271</v>
      </c>
      <c r="L135" s="283" t="s">
        <v>658</v>
      </c>
      <c r="M135" s="283" t="s">
        <v>247</v>
      </c>
      <c r="N135" s="283" t="s">
        <v>252</v>
      </c>
      <c r="O135" s="283">
        <v>89</v>
      </c>
      <c r="P135" s="283">
        <v>20715</v>
      </c>
      <c r="Q135" s="287">
        <f>(O135+IF('Scenario Analysis'!$N$23=1,0,0.5))*P135</f>
        <v>1853992.5</v>
      </c>
    </row>
    <row r="136" spans="3:17" x14ac:dyDescent="0.25">
      <c r="C136" s="300" t="s">
        <v>1271</v>
      </c>
      <c r="D136" s="283" t="s">
        <v>661</v>
      </c>
      <c r="E136" s="283" t="s">
        <v>249</v>
      </c>
      <c r="F136" s="283" t="s">
        <v>184</v>
      </c>
      <c r="G136" s="283">
        <v>37</v>
      </c>
      <c r="H136" s="283">
        <v>5688</v>
      </c>
      <c r="I136" s="286">
        <f>(G136+IF('Scenario Analysis'!$N$23=1,0,0.5))*H136</f>
        <v>213300</v>
      </c>
      <c r="K136" s="283" t="s">
        <v>1271</v>
      </c>
      <c r="L136" s="283" t="s">
        <v>658</v>
      </c>
      <c r="M136" s="283" t="s">
        <v>247</v>
      </c>
      <c r="N136" s="283" t="s">
        <v>252</v>
      </c>
      <c r="O136" s="283">
        <v>90</v>
      </c>
      <c r="P136" s="283">
        <v>12359</v>
      </c>
      <c r="Q136" s="287">
        <f>(O136+IF('Scenario Analysis'!$N$23=1,0,0.5))*P136</f>
        <v>1118489.5</v>
      </c>
    </row>
    <row r="137" spans="3:17" x14ac:dyDescent="0.25">
      <c r="C137" s="300" t="s">
        <v>1271</v>
      </c>
      <c r="D137" s="283" t="s">
        <v>661</v>
      </c>
      <c r="E137" s="283" t="s">
        <v>249</v>
      </c>
      <c r="F137" s="283" t="s">
        <v>184</v>
      </c>
      <c r="G137" s="283">
        <v>38</v>
      </c>
      <c r="H137" s="283">
        <v>11812</v>
      </c>
      <c r="I137" s="286">
        <f>(G137+IF('Scenario Analysis'!$N$23=1,0,0.5))*H137</f>
        <v>454762</v>
      </c>
      <c r="K137" s="283" t="s">
        <v>1271</v>
      </c>
      <c r="L137" s="283" t="s">
        <v>658</v>
      </c>
      <c r="M137" s="283" t="s">
        <v>247</v>
      </c>
      <c r="N137" s="283" t="s">
        <v>252</v>
      </c>
      <c r="O137" s="283">
        <v>91</v>
      </c>
      <c r="P137" s="283">
        <v>53039</v>
      </c>
      <c r="Q137" s="287">
        <f>(O137+IF('Scenario Analysis'!$N$23=1,0,0.5))*P137</f>
        <v>4853068.5</v>
      </c>
    </row>
    <row r="138" spans="3:17" x14ac:dyDescent="0.25">
      <c r="C138" s="300" t="s">
        <v>1271</v>
      </c>
      <c r="D138" s="283" t="s">
        <v>661</v>
      </c>
      <c r="E138" s="283" t="s">
        <v>249</v>
      </c>
      <c r="F138" s="283" t="s">
        <v>184</v>
      </c>
      <c r="G138" s="283">
        <v>39</v>
      </c>
      <c r="H138" s="283">
        <v>4368</v>
      </c>
      <c r="I138" s="286">
        <f>(G138+IF('Scenario Analysis'!$N$23=1,0,0.5))*H138</f>
        <v>172536</v>
      </c>
      <c r="K138" s="283" t="s">
        <v>1271</v>
      </c>
      <c r="L138" s="283" t="s">
        <v>658</v>
      </c>
      <c r="M138" s="283" t="s">
        <v>247</v>
      </c>
      <c r="N138" s="283" t="s">
        <v>252</v>
      </c>
      <c r="O138" s="283">
        <v>92</v>
      </c>
      <c r="P138" s="283">
        <v>4754</v>
      </c>
      <c r="Q138" s="287">
        <f>(O138+IF('Scenario Analysis'!$N$23=1,0,0.5))*P138</f>
        <v>439745</v>
      </c>
    </row>
    <row r="139" spans="3:17" x14ac:dyDescent="0.25">
      <c r="C139" s="300" t="s">
        <v>1271</v>
      </c>
      <c r="D139" s="283" t="s">
        <v>661</v>
      </c>
      <c r="E139" s="283" t="s">
        <v>249</v>
      </c>
      <c r="F139" s="283" t="s">
        <v>184</v>
      </c>
      <c r="G139" s="283">
        <v>40</v>
      </c>
      <c r="H139" s="283">
        <v>7726</v>
      </c>
      <c r="I139" s="286">
        <f>(G139+IF('Scenario Analysis'!$N$23=1,0,0.5))*H139</f>
        <v>312903</v>
      </c>
      <c r="K139" s="283" t="s">
        <v>1271</v>
      </c>
      <c r="L139" s="283" t="s">
        <v>658</v>
      </c>
      <c r="M139" s="283" t="s">
        <v>247</v>
      </c>
      <c r="N139" s="283" t="s">
        <v>252</v>
      </c>
      <c r="O139" s="283">
        <v>93</v>
      </c>
      <c r="P139" s="283">
        <v>45327</v>
      </c>
      <c r="Q139" s="287">
        <f>(O139+IF('Scenario Analysis'!$N$23=1,0,0.5))*P139</f>
        <v>4238074.5</v>
      </c>
    </row>
    <row r="140" spans="3:17" x14ac:dyDescent="0.25">
      <c r="C140" s="300" t="s">
        <v>1271</v>
      </c>
      <c r="D140" s="283" t="s">
        <v>661</v>
      </c>
      <c r="E140" s="283" t="s">
        <v>249</v>
      </c>
      <c r="F140" s="283" t="s">
        <v>184</v>
      </c>
      <c r="G140" s="283">
        <v>41</v>
      </c>
      <c r="H140" s="283">
        <v>1661</v>
      </c>
      <c r="I140" s="286">
        <f>(G140+IF('Scenario Analysis'!$N$23=1,0,0.5))*H140</f>
        <v>68931.5</v>
      </c>
      <c r="K140" s="283" t="s">
        <v>1271</v>
      </c>
      <c r="L140" s="283" t="s">
        <v>658</v>
      </c>
      <c r="M140" s="283" t="s">
        <v>247</v>
      </c>
      <c r="N140" s="283" t="s">
        <v>252</v>
      </c>
      <c r="O140" s="283">
        <v>94</v>
      </c>
      <c r="P140" s="283">
        <v>7158</v>
      </c>
      <c r="Q140" s="287">
        <f>(O140+IF('Scenario Analysis'!$N$23=1,0,0.5))*P140</f>
        <v>676431</v>
      </c>
    </row>
    <row r="141" spans="3:17" x14ac:dyDescent="0.25">
      <c r="C141" s="300" t="s">
        <v>1271</v>
      </c>
      <c r="D141" s="283" t="s">
        <v>661</v>
      </c>
      <c r="E141" s="283" t="s">
        <v>249</v>
      </c>
      <c r="F141" s="283" t="s">
        <v>184</v>
      </c>
      <c r="G141" s="283">
        <v>42</v>
      </c>
      <c r="H141" s="283">
        <v>2976</v>
      </c>
      <c r="I141" s="286">
        <f>(G141+IF('Scenario Analysis'!$N$23=1,0,0.5))*H141</f>
        <v>126480</v>
      </c>
      <c r="K141" s="283" t="s">
        <v>1271</v>
      </c>
      <c r="L141" s="283" t="s">
        <v>658</v>
      </c>
      <c r="M141" s="283" t="s">
        <v>247</v>
      </c>
      <c r="N141" s="283" t="s">
        <v>252</v>
      </c>
      <c r="O141" s="283">
        <v>95</v>
      </c>
      <c r="P141" s="283">
        <v>13900</v>
      </c>
      <c r="Q141" s="287">
        <f>(O141+IF('Scenario Analysis'!$N$23=1,0,0.5))*P141</f>
        <v>1327450</v>
      </c>
    </row>
    <row r="142" spans="3:17" x14ac:dyDescent="0.25">
      <c r="C142" s="300" t="s">
        <v>1271</v>
      </c>
      <c r="D142" s="283" t="s">
        <v>661</v>
      </c>
      <c r="E142" s="283" t="s">
        <v>249</v>
      </c>
      <c r="F142" s="283" t="s">
        <v>184</v>
      </c>
      <c r="G142" s="283">
        <v>43</v>
      </c>
      <c r="H142" s="283">
        <v>2263</v>
      </c>
      <c r="I142" s="286">
        <f>(G142+IF('Scenario Analysis'!$N$23=1,0,0.5))*H142</f>
        <v>98440.5</v>
      </c>
      <c r="K142" s="283" t="s">
        <v>1271</v>
      </c>
      <c r="L142" s="283" t="s">
        <v>658</v>
      </c>
      <c r="M142" s="283" t="s">
        <v>247</v>
      </c>
      <c r="N142" s="283" t="s">
        <v>252</v>
      </c>
      <c r="O142" s="283">
        <v>96</v>
      </c>
      <c r="P142" s="283">
        <v>3848</v>
      </c>
      <c r="Q142" s="287">
        <f>(O142+IF('Scenario Analysis'!$N$23=1,0,0.5))*P142</f>
        <v>371332</v>
      </c>
    </row>
    <row r="143" spans="3:17" x14ac:dyDescent="0.25">
      <c r="C143" s="300" t="s">
        <v>1271</v>
      </c>
      <c r="D143" s="283" t="s">
        <v>661</v>
      </c>
      <c r="E143" s="283" t="s">
        <v>249</v>
      </c>
      <c r="F143" s="283" t="s">
        <v>184</v>
      </c>
      <c r="G143" s="283">
        <v>44</v>
      </c>
      <c r="H143" s="283">
        <v>1305</v>
      </c>
      <c r="I143" s="286">
        <f>(G143+IF('Scenario Analysis'!$N$23=1,0,0.5))*H143</f>
        <v>58072.5</v>
      </c>
      <c r="K143" s="283" t="s">
        <v>1271</v>
      </c>
      <c r="L143" s="283" t="s">
        <v>658</v>
      </c>
      <c r="M143" s="283" t="s">
        <v>247</v>
      </c>
      <c r="N143" s="283" t="s">
        <v>252</v>
      </c>
      <c r="O143" s="283">
        <v>97</v>
      </c>
      <c r="P143" s="283">
        <v>6525</v>
      </c>
      <c r="Q143" s="287">
        <f>(O143+IF('Scenario Analysis'!$N$23=1,0,0.5))*P143</f>
        <v>636187.5</v>
      </c>
    </row>
    <row r="144" spans="3:17" x14ac:dyDescent="0.25">
      <c r="C144" s="300" t="s">
        <v>1271</v>
      </c>
      <c r="D144" s="283" t="s">
        <v>661</v>
      </c>
      <c r="E144" s="283" t="s">
        <v>249</v>
      </c>
      <c r="F144" s="283" t="s">
        <v>184</v>
      </c>
      <c r="G144" s="283">
        <v>45</v>
      </c>
      <c r="H144" s="283">
        <v>876</v>
      </c>
      <c r="I144" s="286">
        <f>(G144+IF('Scenario Analysis'!$N$23=1,0,0.5))*H144</f>
        <v>39858</v>
      </c>
      <c r="K144" s="283" t="s">
        <v>1271</v>
      </c>
      <c r="L144" s="283" t="s">
        <v>658</v>
      </c>
      <c r="M144" s="283" t="s">
        <v>247</v>
      </c>
      <c r="N144" s="283" t="s">
        <v>252</v>
      </c>
      <c r="O144" s="283">
        <v>98</v>
      </c>
      <c r="P144" s="283">
        <v>19816</v>
      </c>
      <c r="Q144" s="287">
        <f>(O144+IF('Scenario Analysis'!$N$23=1,0,0.5))*P144</f>
        <v>1951876</v>
      </c>
    </row>
    <row r="145" spans="3:17" x14ac:dyDescent="0.25">
      <c r="C145" s="300" t="s">
        <v>1271</v>
      </c>
      <c r="D145" s="283" t="s">
        <v>661</v>
      </c>
      <c r="E145" s="283" t="s">
        <v>249</v>
      </c>
      <c r="F145" s="283" t="s">
        <v>184</v>
      </c>
      <c r="G145" s="283">
        <v>46</v>
      </c>
      <c r="H145" s="283">
        <v>625</v>
      </c>
      <c r="I145" s="286">
        <f>(G145+IF('Scenario Analysis'!$N$23=1,0,0.5))*H145</f>
        <v>29062.5</v>
      </c>
      <c r="K145" s="283" t="s">
        <v>1271</v>
      </c>
      <c r="L145" s="283" t="s">
        <v>658</v>
      </c>
      <c r="M145" s="283" t="s">
        <v>247</v>
      </c>
      <c r="N145" s="283" t="s">
        <v>252</v>
      </c>
      <c r="O145" s="283">
        <v>99</v>
      </c>
      <c r="P145" s="283">
        <v>942</v>
      </c>
      <c r="Q145" s="287">
        <f>(O145+IF('Scenario Analysis'!$N$23=1,0,0.5))*P145</f>
        <v>93729</v>
      </c>
    </row>
    <row r="146" spans="3:17" x14ac:dyDescent="0.25">
      <c r="C146" s="300" t="s">
        <v>1271</v>
      </c>
      <c r="D146" s="283" t="s">
        <v>661</v>
      </c>
      <c r="E146" s="283" t="s">
        <v>249</v>
      </c>
      <c r="F146" s="283" t="s">
        <v>184</v>
      </c>
      <c r="G146" s="283">
        <v>47</v>
      </c>
      <c r="H146" s="283">
        <v>40</v>
      </c>
      <c r="I146" s="286">
        <f>(G146+IF('Scenario Analysis'!$N$23=1,0,0.5))*H146</f>
        <v>1900</v>
      </c>
      <c r="K146" s="283" t="s">
        <v>1271</v>
      </c>
      <c r="L146" s="283" t="s">
        <v>658</v>
      </c>
      <c r="M146" s="283" t="s">
        <v>247</v>
      </c>
      <c r="N146" s="283" t="s">
        <v>252</v>
      </c>
      <c r="O146" s="283">
        <v>100</v>
      </c>
      <c r="P146" s="283">
        <v>5822</v>
      </c>
      <c r="Q146" s="287">
        <f>(O146+IF('Scenario Analysis'!$N$23=1,0,0.5))*P146</f>
        <v>585111</v>
      </c>
    </row>
    <row r="147" spans="3:17" x14ac:dyDescent="0.25">
      <c r="C147" s="300" t="s">
        <v>1271</v>
      </c>
      <c r="D147" s="283" t="s">
        <v>661</v>
      </c>
      <c r="E147" s="283" t="s">
        <v>249</v>
      </c>
      <c r="F147" s="283" t="s">
        <v>184</v>
      </c>
      <c r="G147" s="283">
        <v>48</v>
      </c>
      <c r="H147" s="283">
        <v>14</v>
      </c>
      <c r="I147" s="286">
        <f>(G147+IF('Scenario Analysis'!$N$23=1,0,0.5))*H147</f>
        <v>679</v>
      </c>
      <c r="K147" s="283" t="s">
        <v>1271</v>
      </c>
      <c r="L147" s="283" t="s">
        <v>658</v>
      </c>
      <c r="M147" s="283" t="s">
        <v>247</v>
      </c>
      <c r="N147" s="283" t="s">
        <v>252</v>
      </c>
      <c r="O147" s="283">
        <v>101</v>
      </c>
      <c r="P147" s="283">
        <v>1494</v>
      </c>
      <c r="Q147" s="287">
        <f>(O147+IF('Scenario Analysis'!$N$23=1,0,0.5))*P147</f>
        <v>151641</v>
      </c>
    </row>
    <row r="148" spans="3:17" x14ac:dyDescent="0.25">
      <c r="C148" s="300" t="s">
        <v>1271</v>
      </c>
      <c r="D148" s="283" t="s">
        <v>661</v>
      </c>
      <c r="E148" s="283" t="s">
        <v>249</v>
      </c>
      <c r="F148" s="283" t="s">
        <v>184</v>
      </c>
      <c r="G148" s="283">
        <v>49</v>
      </c>
      <c r="H148" s="283">
        <v>442</v>
      </c>
      <c r="I148" s="286">
        <f>(G148+IF('Scenario Analysis'!$N$23=1,0,0.5))*H148</f>
        <v>21879</v>
      </c>
      <c r="K148" s="283" t="s">
        <v>1271</v>
      </c>
      <c r="L148" s="283" t="s">
        <v>658</v>
      </c>
      <c r="M148" s="283" t="s">
        <v>247</v>
      </c>
      <c r="N148" s="283" t="s">
        <v>252</v>
      </c>
      <c r="O148" s="283">
        <v>102</v>
      </c>
      <c r="P148" s="283">
        <v>11795</v>
      </c>
      <c r="Q148" s="287">
        <f>(O148+IF('Scenario Analysis'!$N$23=1,0,0.5))*P148</f>
        <v>1208987.5</v>
      </c>
    </row>
    <row r="149" spans="3:17" x14ac:dyDescent="0.25">
      <c r="C149" s="300" t="s">
        <v>1271</v>
      </c>
      <c r="D149" s="283" t="s">
        <v>661</v>
      </c>
      <c r="E149" s="283" t="s">
        <v>249</v>
      </c>
      <c r="F149" s="283" t="s">
        <v>184</v>
      </c>
      <c r="G149" s="283">
        <v>50</v>
      </c>
      <c r="H149" s="283">
        <v>18</v>
      </c>
      <c r="I149" s="286">
        <f>(G149+IF('Scenario Analysis'!$N$23=1,0,0.5))*H149</f>
        <v>909</v>
      </c>
      <c r="K149" s="283" t="s">
        <v>1271</v>
      </c>
      <c r="L149" s="283" t="s">
        <v>658</v>
      </c>
      <c r="M149" s="283" t="s">
        <v>247</v>
      </c>
      <c r="N149" s="283" t="s">
        <v>252</v>
      </c>
      <c r="O149" s="283">
        <v>103</v>
      </c>
      <c r="P149" s="283">
        <v>13616</v>
      </c>
      <c r="Q149" s="287">
        <f>(O149+IF('Scenario Analysis'!$N$23=1,0,0.5))*P149</f>
        <v>1409256</v>
      </c>
    </row>
    <row r="150" spans="3:17" x14ac:dyDescent="0.25">
      <c r="C150" s="300" t="s">
        <v>1271</v>
      </c>
      <c r="D150" s="283" t="s">
        <v>661</v>
      </c>
      <c r="E150" s="283" t="s">
        <v>249</v>
      </c>
      <c r="F150" s="283" t="s">
        <v>184</v>
      </c>
      <c r="G150" s="283">
        <v>51</v>
      </c>
      <c r="H150" s="283">
        <v>34</v>
      </c>
      <c r="I150" s="286">
        <f>(G150+IF('Scenario Analysis'!$N$23=1,0,0.5))*H150</f>
        <v>1751</v>
      </c>
      <c r="K150" s="283" t="s">
        <v>1271</v>
      </c>
      <c r="L150" s="283" t="s">
        <v>658</v>
      </c>
      <c r="M150" s="283" t="s">
        <v>247</v>
      </c>
      <c r="N150" s="283" t="s">
        <v>252</v>
      </c>
      <c r="O150" s="283">
        <v>104</v>
      </c>
      <c r="P150" s="283">
        <v>3436</v>
      </c>
      <c r="Q150" s="287">
        <f>(O150+IF('Scenario Analysis'!$N$23=1,0,0.5))*P150</f>
        <v>359062</v>
      </c>
    </row>
    <row r="151" spans="3:17" x14ac:dyDescent="0.25">
      <c r="C151" s="300" t="s">
        <v>1271</v>
      </c>
      <c r="D151" s="283" t="s">
        <v>661</v>
      </c>
      <c r="E151" s="283" t="s">
        <v>249</v>
      </c>
      <c r="F151" s="283" t="s">
        <v>184</v>
      </c>
      <c r="G151" s="283">
        <v>52</v>
      </c>
      <c r="H151" s="283">
        <v>235</v>
      </c>
      <c r="I151" s="286">
        <f>(G151+IF('Scenario Analysis'!$N$23=1,0,0.5))*H151</f>
        <v>12337.5</v>
      </c>
      <c r="K151" s="283" t="s">
        <v>1271</v>
      </c>
      <c r="L151" s="283" t="s">
        <v>658</v>
      </c>
      <c r="M151" s="283" t="s">
        <v>247</v>
      </c>
      <c r="N151" s="283" t="s">
        <v>252</v>
      </c>
      <c r="O151" s="283">
        <v>105</v>
      </c>
      <c r="P151" s="283">
        <v>8586</v>
      </c>
      <c r="Q151" s="287">
        <f>(O151+IF('Scenario Analysis'!$N$23=1,0,0.5))*P151</f>
        <v>905823</v>
      </c>
    </row>
    <row r="152" spans="3:17" x14ac:dyDescent="0.25">
      <c r="C152" s="300" t="s">
        <v>1271</v>
      </c>
      <c r="D152" s="283" t="s">
        <v>662</v>
      </c>
      <c r="E152" s="283" t="s">
        <v>249</v>
      </c>
      <c r="F152" s="283" t="s">
        <v>185</v>
      </c>
      <c r="G152" s="283">
        <v>0</v>
      </c>
      <c r="H152" s="283">
        <v>244138</v>
      </c>
      <c r="I152" s="286">
        <f>(G152+IF('Scenario Analysis'!$N$23=1,0,0.5))*H152</f>
        <v>122069</v>
      </c>
      <c r="K152" s="283" t="s">
        <v>1271</v>
      </c>
      <c r="L152" s="283" t="s">
        <v>658</v>
      </c>
      <c r="M152" s="283" t="s">
        <v>247</v>
      </c>
      <c r="N152" s="283" t="s">
        <v>252</v>
      </c>
      <c r="O152" s="283">
        <v>106</v>
      </c>
      <c r="P152" s="283">
        <v>4461</v>
      </c>
      <c r="Q152" s="287">
        <f>(O152+IF('Scenario Analysis'!$N$23=1,0,0.5))*P152</f>
        <v>475096.5</v>
      </c>
    </row>
    <row r="153" spans="3:17" x14ac:dyDescent="0.25">
      <c r="C153" s="300" t="s">
        <v>1271</v>
      </c>
      <c r="D153" s="283" t="s">
        <v>662</v>
      </c>
      <c r="E153" s="283" t="s">
        <v>249</v>
      </c>
      <c r="F153" s="283" t="s">
        <v>185</v>
      </c>
      <c r="G153" s="283">
        <v>1</v>
      </c>
      <c r="H153" s="283">
        <v>706932</v>
      </c>
      <c r="I153" s="286">
        <f>(G153+IF('Scenario Analysis'!$N$23=1,0,0.5))*H153</f>
        <v>1060398</v>
      </c>
      <c r="K153" s="283" t="s">
        <v>1271</v>
      </c>
      <c r="L153" s="283" t="s">
        <v>658</v>
      </c>
      <c r="M153" s="283" t="s">
        <v>247</v>
      </c>
      <c r="N153" s="283" t="s">
        <v>252</v>
      </c>
      <c r="O153" s="283">
        <v>107</v>
      </c>
      <c r="P153" s="283">
        <v>15482</v>
      </c>
      <c r="Q153" s="287">
        <f>(O153+IF('Scenario Analysis'!$N$23=1,0,0.5))*P153</f>
        <v>1664315</v>
      </c>
    </row>
    <row r="154" spans="3:17" x14ac:dyDescent="0.25">
      <c r="C154" s="300" t="s">
        <v>1271</v>
      </c>
      <c r="D154" s="283" t="s">
        <v>662</v>
      </c>
      <c r="E154" s="283" t="s">
        <v>249</v>
      </c>
      <c r="F154" s="283" t="s">
        <v>185</v>
      </c>
      <c r="G154" s="283">
        <v>2</v>
      </c>
      <c r="H154" s="283">
        <v>276153</v>
      </c>
      <c r="I154" s="286">
        <f>(G154+IF('Scenario Analysis'!$N$23=1,0,0.5))*H154</f>
        <v>690382.5</v>
      </c>
      <c r="K154" s="283" t="s">
        <v>1271</v>
      </c>
      <c r="L154" s="283" t="s">
        <v>658</v>
      </c>
      <c r="M154" s="283" t="s">
        <v>247</v>
      </c>
      <c r="N154" s="283" t="s">
        <v>252</v>
      </c>
      <c r="O154" s="283">
        <v>108</v>
      </c>
      <c r="P154" s="283">
        <v>10008</v>
      </c>
      <c r="Q154" s="287">
        <f>(O154+IF('Scenario Analysis'!$N$23=1,0,0.5))*P154</f>
        <v>1085868</v>
      </c>
    </row>
    <row r="155" spans="3:17" x14ac:dyDescent="0.25">
      <c r="C155" s="300" t="s">
        <v>1271</v>
      </c>
      <c r="D155" s="283" t="s">
        <v>662</v>
      </c>
      <c r="E155" s="283" t="s">
        <v>249</v>
      </c>
      <c r="F155" s="283" t="s">
        <v>185</v>
      </c>
      <c r="G155" s="283">
        <v>3</v>
      </c>
      <c r="H155" s="283">
        <v>539676</v>
      </c>
      <c r="I155" s="286">
        <f>(G155+IF('Scenario Analysis'!$N$23=1,0,0.5))*H155</f>
        <v>1888866</v>
      </c>
      <c r="K155" s="283" t="s">
        <v>1271</v>
      </c>
      <c r="L155" s="283" t="s">
        <v>658</v>
      </c>
      <c r="M155" s="283" t="s">
        <v>247</v>
      </c>
      <c r="N155" s="283" t="s">
        <v>252</v>
      </c>
      <c r="O155" s="283">
        <v>109</v>
      </c>
      <c r="P155" s="283">
        <v>54495</v>
      </c>
      <c r="Q155" s="287">
        <f>(O155+IF('Scenario Analysis'!$N$23=1,0,0.5))*P155</f>
        <v>5967202.5</v>
      </c>
    </row>
    <row r="156" spans="3:17" x14ac:dyDescent="0.25">
      <c r="C156" s="300" t="s">
        <v>1271</v>
      </c>
      <c r="D156" s="283" t="s">
        <v>662</v>
      </c>
      <c r="E156" s="283" t="s">
        <v>249</v>
      </c>
      <c r="F156" s="283" t="s">
        <v>185</v>
      </c>
      <c r="G156" s="283">
        <v>4</v>
      </c>
      <c r="H156" s="283">
        <v>182329</v>
      </c>
      <c r="I156" s="286">
        <f>(G156+IF('Scenario Analysis'!$N$23=1,0,0.5))*H156</f>
        <v>820480.5</v>
      </c>
      <c r="K156" s="283" t="s">
        <v>1271</v>
      </c>
      <c r="L156" s="283" t="s">
        <v>658</v>
      </c>
      <c r="M156" s="283" t="s">
        <v>247</v>
      </c>
      <c r="N156" s="283" t="s">
        <v>252</v>
      </c>
      <c r="O156" s="283">
        <v>110</v>
      </c>
      <c r="P156" s="283">
        <v>4250</v>
      </c>
      <c r="Q156" s="287">
        <f>(O156+IF('Scenario Analysis'!$N$23=1,0,0.5))*P156</f>
        <v>469625</v>
      </c>
    </row>
    <row r="157" spans="3:17" x14ac:dyDescent="0.25">
      <c r="C157" s="300" t="s">
        <v>1271</v>
      </c>
      <c r="D157" s="283" t="s">
        <v>662</v>
      </c>
      <c r="E157" s="283" t="s">
        <v>249</v>
      </c>
      <c r="F157" s="283" t="s">
        <v>185</v>
      </c>
      <c r="G157" s="283">
        <v>5</v>
      </c>
      <c r="H157" s="283">
        <v>38779</v>
      </c>
      <c r="I157" s="286">
        <f>(G157+IF('Scenario Analysis'!$N$23=1,0,0.5))*H157</f>
        <v>213284.5</v>
      </c>
      <c r="K157" s="283" t="s">
        <v>1271</v>
      </c>
      <c r="L157" s="283" t="s">
        <v>658</v>
      </c>
      <c r="M157" s="283" t="s">
        <v>247</v>
      </c>
      <c r="N157" s="283" t="s">
        <v>252</v>
      </c>
      <c r="O157" s="283">
        <v>111</v>
      </c>
      <c r="P157" s="283">
        <v>10922</v>
      </c>
      <c r="Q157" s="287">
        <f>(O157+IF('Scenario Analysis'!$N$23=1,0,0.5))*P157</f>
        <v>1217803</v>
      </c>
    </row>
    <row r="158" spans="3:17" x14ac:dyDescent="0.25">
      <c r="C158" s="300" t="s">
        <v>1271</v>
      </c>
      <c r="D158" s="283" t="s">
        <v>662</v>
      </c>
      <c r="E158" s="283" t="s">
        <v>249</v>
      </c>
      <c r="F158" s="283" t="s">
        <v>185</v>
      </c>
      <c r="G158" s="283">
        <v>6</v>
      </c>
      <c r="H158" s="283">
        <v>249961</v>
      </c>
      <c r="I158" s="286">
        <f>(G158+IF('Scenario Analysis'!$N$23=1,0,0.5))*H158</f>
        <v>1624746.5</v>
      </c>
      <c r="K158" s="283" t="s">
        <v>1271</v>
      </c>
      <c r="L158" s="283" t="s">
        <v>658</v>
      </c>
      <c r="M158" s="283" t="s">
        <v>247</v>
      </c>
      <c r="N158" s="283" t="s">
        <v>252</v>
      </c>
      <c r="O158" s="283">
        <v>112</v>
      </c>
      <c r="P158" s="283">
        <v>1435</v>
      </c>
      <c r="Q158" s="287">
        <f>(O158+IF('Scenario Analysis'!$N$23=1,0,0.5))*P158</f>
        <v>161437.5</v>
      </c>
    </row>
    <row r="159" spans="3:17" x14ac:dyDescent="0.25">
      <c r="C159" s="300" t="s">
        <v>1271</v>
      </c>
      <c r="D159" s="283" t="s">
        <v>662</v>
      </c>
      <c r="E159" s="283" t="s">
        <v>249</v>
      </c>
      <c r="F159" s="283" t="s">
        <v>185</v>
      </c>
      <c r="G159" s="283">
        <v>7</v>
      </c>
      <c r="H159" s="283">
        <v>38252</v>
      </c>
      <c r="I159" s="286">
        <f>(G159+IF('Scenario Analysis'!$N$23=1,0,0.5))*H159</f>
        <v>286890</v>
      </c>
      <c r="K159" s="283" t="s">
        <v>1271</v>
      </c>
      <c r="L159" s="283" t="s">
        <v>658</v>
      </c>
      <c r="M159" s="283" t="s">
        <v>247</v>
      </c>
      <c r="N159" s="283" t="s">
        <v>252</v>
      </c>
      <c r="O159" s="283">
        <v>113</v>
      </c>
      <c r="P159" s="283">
        <v>5666</v>
      </c>
      <c r="Q159" s="287">
        <f>(O159+IF('Scenario Analysis'!$N$23=1,0,0.5))*P159</f>
        <v>643091</v>
      </c>
    </row>
    <row r="160" spans="3:17" x14ac:dyDescent="0.25">
      <c r="C160" s="300" t="s">
        <v>1271</v>
      </c>
      <c r="D160" s="283" t="s">
        <v>662</v>
      </c>
      <c r="E160" s="283" t="s">
        <v>249</v>
      </c>
      <c r="F160" s="283" t="s">
        <v>185</v>
      </c>
      <c r="G160" s="283">
        <v>8</v>
      </c>
      <c r="H160" s="283">
        <v>48557</v>
      </c>
      <c r="I160" s="286">
        <f>(G160+IF('Scenario Analysis'!$N$23=1,0,0.5))*H160</f>
        <v>412734.5</v>
      </c>
      <c r="K160" s="283" t="s">
        <v>1271</v>
      </c>
      <c r="L160" s="283" t="s">
        <v>658</v>
      </c>
      <c r="M160" s="283" t="s">
        <v>247</v>
      </c>
      <c r="N160" s="283" t="s">
        <v>252</v>
      </c>
      <c r="O160" s="283">
        <v>114</v>
      </c>
      <c r="P160" s="283">
        <v>458</v>
      </c>
      <c r="Q160" s="287">
        <f>(O160+IF('Scenario Analysis'!$N$23=1,0,0.5))*P160</f>
        <v>52441</v>
      </c>
    </row>
    <row r="161" spans="3:17" x14ac:dyDescent="0.25">
      <c r="C161" s="300" t="s">
        <v>1271</v>
      </c>
      <c r="D161" s="283" t="s">
        <v>662</v>
      </c>
      <c r="E161" s="283" t="s">
        <v>249</v>
      </c>
      <c r="F161" s="283" t="s">
        <v>185</v>
      </c>
      <c r="G161" s="283">
        <v>9</v>
      </c>
      <c r="H161" s="283">
        <v>1470088</v>
      </c>
      <c r="I161" s="286">
        <f>(G161+IF('Scenario Analysis'!$N$23=1,0,0.5))*H161</f>
        <v>13965836</v>
      </c>
      <c r="K161" s="283" t="s">
        <v>1271</v>
      </c>
      <c r="L161" s="283" t="s">
        <v>658</v>
      </c>
      <c r="M161" s="283" t="s">
        <v>247</v>
      </c>
      <c r="N161" s="283" t="s">
        <v>252</v>
      </c>
      <c r="O161" s="283">
        <v>115</v>
      </c>
      <c r="P161" s="283">
        <v>1865</v>
      </c>
      <c r="Q161" s="287">
        <f>(O161+IF('Scenario Analysis'!$N$23=1,0,0.5))*P161</f>
        <v>215407.5</v>
      </c>
    </row>
    <row r="162" spans="3:17" x14ac:dyDescent="0.25">
      <c r="C162" s="300" t="s">
        <v>1271</v>
      </c>
      <c r="D162" s="283" t="s">
        <v>662</v>
      </c>
      <c r="E162" s="283" t="s">
        <v>249</v>
      </c>
      <c r="F162" s="283" t="s">
        <v>185</v>
      </c>
      <c r="G162" s="283">
        <v>10</v>
      </c>
      <c r="H162" s="283">
        <v>10659</v>
      </c>
      <c r="I162" s="286">
        <f>(G162+IF('Scenario Analysis'!$N$23=1,0,0.5))*H162</f>
        <v>111919.5</v>
      </c>
      <c r="K162" s="283" t="s">
        <v>1271</v>
      </c>
      <c r="L162" s="283" t="s">
        <v>658</v>
      </c>
      <c r="M162" s="283" t="s">
        <v>247</v>
      </c>
      <c r="N162" s="283" t="s">
        <v>252</v>
      </c>
      <c r="O162" s="283">
        <v>116</v>
      </c>
      <c r="P162" s="283">
        <v>24308</v>
      </c>
      <c r="Q162" s="287">
        <f>(O162+IF('Scenario Analysis'!$N$23=1,0,0.5))*P162</f>
        <v>2831882</v>
      </c>
    </row>
    <row r="163" spans="3:17" x14ac:dyDescent="0.25">
      <c r="C163" s="300" t="s">
        <v>1271</v>
      </c>
      <c r="D163" s="283" t="s">
        <v>662</v>
      </c>
      <c r="E163" s="283" t="s">
        <v>249</v>
      </c>
      <c r="F163" s="283" t="s">
        <v>185</v>
      </c>
      <c r="G163" s="283">
        <v>11</v>
      </c>
      <c r="H163" s="283">
        <v>31668</v>
      </c>
      <c r="I163" s="286">
        <f>(G163+IF('Scenario Analysis'!$N$23=1,0,0.5))*H163</f>
        <v>364182</v>
      </c>
      <c r="K163" s="283" t="s">
        <v>1271</v>
      </c>
      <c r="L163" s="283" t="s">
        <v>658</v>
      </c>
      <c r="M163" s="283" t="s">
        <v>247</v>
      </c>
      <c r="N163" s="283" t="s">
        <v>252</v>
      </c>
      <c r="O163" s="283">
        <v>117</v>
      </c>
      <c r="P163" s="283">
        <v>6005</v>
      </c>
      <c r="Q163" s="287">
        <f>(O163+IF('Scenario Analysis'!$N$23=1,0,0.5))*P163</f>
        <v>705587.5</v>
      </c>
    </row>
    <row r="164" spans="3:17" x14ac:dyDescent="0.25">
      <c r="C164" s="300" t="s">
        <v>1271</v>
      </c>
      <c r="D164" s="283" t="s">
        <v>662</v>
      </c>
      <c r="E164" s="283" t="s">
        <v>249</v>
      </c>
      <c r="F164" s="283" t="s">
        <v>185</v>
      </c>
      <c r="G164" s="283">
        <v>12</v>
      </c>
      <c r="H164" s="283">
        <v>69704</v>
      </c>
      <c r="I164" s="286">
        <f>(G164+IF('Scenario Analysis'!$N$23=1,0,0.5))*H164</f>
        <v>871300</v>
      </c>
      <c r="K164" s="283" t="s">
        <v>1271</v>
      </c>
      <c r="L164" s="283" t="s">
        <v>658</v>
      </c>
      <c r="M164" s="283" t="s">
        <v>247</v>
      </c>
      <c r="N164" s="283" t="s">
        <v>252</v>
      </c>
      <c r="O164" s="283">
        <v>118</v>
      </c>
      <c r="P164" s="283">
        <v>340</v>
      </c>
      <c r="Q164" s="287">
        <f>(O164+IF('Scenario Analysis'!$N$23=1,0,0.5))*P164</f>
        <v>40290</v>
      </c>
    </row>
    <row r="165" spans="3:17" x14ac:dyDescent="0.25">
      <c r="C165" s="300" t="s">
        <v>1271</v>
      </c>
      <c r="D165" s="283" t="s">
        <v>662</v>
      </c>
      <c r="E165" s="283" t="s">
        <v>249</v>
      </c>
      <c r="F165" s="283" t="s">
        <v>185</v>
      </c>
      <c r="G165" s="283">
        <v>13</v>
      </c>
      <c r="H165" s="283">
        <v>1607</v>
      </c>
      <c r="I165" s="286">
        <f>(G165+IF('Scenario Analysis'!$N$23=1,0,0.5))*H165</f>
        <v>21694.5</v>
      </c>
      <c r="K165" s="283" t="s">
        <v>1271</v>
      </c>
      <c r="L165" s="283" t="s">
        <v>658</v>
      </c>
      <c r="M165" s="283" t="s">
        <v>247</v>
      </c>
      <c r="N165" s="283" t="s">
        <v>252</v>
      </c>
      <c r="O165" s="283">
        <v>119</v>
      </c>
      <c r="P165" s="283">
        <v>11316</v>
      </c>
      <c r="Q165" s="287">
        <f>(O165+IF('Scenario Analysis'!$N$23=1,0,0.5))*P165</f>
        <v>1352262</v>
      </c>
    </row>
    <row r="166" spans="3:17" x14ac:dyDescent="0.25">
      <c r="C166" s="300" t="s">
        <v>1271</v>
      </c>
      <c r="D166" s="283" t="s">
        <v>662</v>
      </c>
      <c r="E166" s="283" t="s">
        <v>249</v>
      </c>
      <c r="F166" s="283" t="s">
        <v>185</v>
      </c>
      <c r="G166" s="283">
        <v>14</v>
      </c>
      <c r="H166" s="283">
        <v>128</v>
      </c>
      <c r="I166" s="286">
        <f>(G166+IF('Scenario Analysis'!$N$23=1,0,0.5))*H166</f>
        <v>1856</v>
      </c>
      <c r="K166" s="283" t="s">
        <v>1271</v>
      </c>
      <c r="L166" s="283" t="s">
        <v>658</v>
      </c>
      <c r="M166" s="283" t="s">
        <v>247</v>
      </c>
      <c r="N166" s="283" t="s">
        <v>252</v>
      </c>
      <c r="O166" s="283">
        <v>120</v>
      </c>
      <c r="P166" s="283">
        <v>7605</v>
      </c>
      <c r="Q166" s="287">
        <f>(O166+IF('Scenario Analysis'!$N$23=1,0,0.5))*P166</f>
        <v>916402.5</v>
      </c>
    </row>
    <row r="167" spans="3:17" x14ac:dyDescent="0.25">
      <c r="C167" s="300" t="s">
        <v>1271</v>
      </c>
      <c r="D167" s="283" t="s">
        <v>662</v>
      </c>
      <c r="E167" s="283" t="s">
        <v>249</v>
      </c>
      <c r="F167" s="283" t="s">
        <v>185</v>
      </c>
      <c r="G167" s="283">
        <v>15</v>
      </c>
      <c r="H167" s="283">
        <v>6898</v>
      </c>
      <c r="I167" s="286">
        <f>(G167+IF('Scenario Analysis'!$N$23=1,0,0.5))*H167</f>
        <v>106919</v>
      </c>
      <c r="K167" s="283" t="s">
        <v>1271</v>
      </c>
      <c r="L167" s="283" t="s">
        <v>658</v>
      </c>
      <c r="M167" s="283" t="s">
        <v>247</v>
      </c>
      <c r="N167" s="283" t="s">
        <v>252</v>
      </c>
      <c r="O167" s="283">
        <v>121</v>
      </c>
      <c r="P167" s="283">
        <v>5597</v>
      </c>
      <c r="Q167" s="287">
        <f>(O167+IF('Scenario Analysis'!$N$23=1,0,0.5))*P167</f>
        <v>680035.5</v>
      </c>
    </row>
    <row r="168" spans="3:17" x14ac:dyDescent="0.25">
      <c r="C168" s="300" t="s">
        <v>1271</v>
      </c>
      <c r="D168" s="283" t="s">
        <v>662</v>
      </c>
      <c r="E168" s="283" t="s">
        <v>249</v>
      </c>
      <c r="F168" s="283" t="s">
        <v>185</v>
      </c>
      <c r="G168" s="283">
        <v>16</v>
      </c>
      <c r="H168" s="283">
        <v>18437</v>
      </c>
      <c r="I168" s="286">
        <f>(G168+IF('Scenario Analysis'!$N$23=1,0,0.5))*H168</f>
        <v>304210.5</v>
      </c>
      <c r="K168" s="283" t="s">
        <v>1271</v>
      </c>
      <c r="L168" s="283" t="s">
        <v>658</v>
      </c>
      <c r="M168" s="283" t="s">
        <v>247</v>
      </c>
      <c r="N168" s="283" t="s">
        <v>252</v>
      </c>
      <c r="O168" s="283">
        <v>122</v>
      </c>
      <c r="P168" s="283">
        <v>4593</v>
      </c>
      <c r="Q168" s="287">
        <f>(O168+IF('Scenario Analysis'!$N$23=1,0,0.5))*P168</f>
        <v>562642.5</v>
      </c>
    </row>
    <row r="169" spans="3:17" x14ac:dyDescent="0.25">
      <c r="C169" s="300" t="s">
        <v>1271</v>
      </c>
      <c r="D169" s="283" t="s">
        <v>662</v>
      </c>
      <c r="E169" s="283" t="s">
        <v>249</v>
      </c>
      <c r="F169" s="283" t="s">
        <v>185</v>
      </c>
      <c r="G169" s="283">
        <v>17</v>
      </c>
      <c r="H169" s="283">
        <v>51</v>
      </c>
      <c r="I169" s="286">
        <f>(G169+IF('Scenario Analysis'!$N$23=1,0,0.5))*H169</f>
        <v>892.5</v>
      </c>
      <c r="K169" s="283" t="s">
        <v>1271</v>
      </c>
      <c r="L169" s="283" t="s">
        <v>658</v>
      </c>
      <c r="M169" s="283" t="s">
        <v>247</v>
      </c>
      <c r="N169" s="283" t="s">
        <v>252</v>
      </c>
      <c r="O169" s="283">
        <v>123</v>
      </c>
      <c r="P169" s="283">
        <v>2680</v>
      </c>
      <c r="Q169" s="287">
        <f>(O169+IF('Scenario Analysis'!$N$23=1,0,0.5))*P169</f>
        <v>330980</v>
      </c>
    </row>
    <row r="170" spans="3:17" x14ac:dyDescent="0.25">
      <c r="C170" s="300" t="s">
        <v>1271</v>
      </c>
      <c r="D170" s="283" t="s">
        <v>662</v>
      </c>
      <c r="E170" s="283" t="s">
        <v>249</v>
      </c>
      <c r="F170" s="283" t="s">
        <v>185</v>
      </c>
      <c r="G170" s="283">
        <v>18</v>
      </c>
      <c r="H170" s="283">
        <v>6238</v>
      </c>
      <c r="I170" s="286">
        <f>(G170+IF('Scenario Analysis'!$N$23=1,0,0.5))*H170</f>
        <v>115403</v>
      </c>
      <c r="K170" s="283" t="s">
        <v>1271</v>
      </c>
      <c r="L170" s="283" t="s">
        <v>658</v>
      </c>
      <c r="M170" s="283" t="s">
        <v>247</v>
      </c>
      <c r="N170" s="283" t="s">
        <v>252</v>
      </c>
      <c r="O170" s="283">
        <v>124</v>
      </c>
      <c r="P170" s="283">
        <v>346</v>
      </c>
      <c r="Q170" s="287">
        <f>(O170+IF('Scenario Analysis'!$N$23=1,0,0.5))*P170</f>
        <v>43077</v>
      </c>
    </row>
    <row r="171" spans="3:17" x14ac:dyDescent="0.25">
      <c r="C171" s="300" t="s">
        <v>1271</v>
      </c>
      <c r="D171" s="283" t="s">
        <v>662</v>
      </c>
      <c r="E171" s="283" t="s">
        <v>249</v>
      </c>
      <c r="F171" s="283" t="s">
        <v>185</v>
      </c>
      <c r="G171" s="283">
        <v>19</v>
      </c>
      <c r="H171" s="283">
        <v>24378</v>
      </c>
      <c r="I171" s="286">
        <f>(G171+IF('Scenario Analysis'!$N$23=1,0,0.5))*H171</f>
        <v>475371</v>
      </c>
      <c r="K171" s="283" t="s">
        <v>1271</v>
      </c>
      <c r="L171" s="283" t="s">
        <v>658</v>
      </c>
      <c r="M171" s="283" t="s">
        <v>247</v>
      </c>
      <c r="N171" s="283" t="s">
        <v>252</v>
      </c>
      <c r="O171" s="283">
        <v>125</v>
      </c>
      <c r="P171" s="283">
        <v>1118</v>
      </c>
      <c r="Q171" s="287">
        <f>(O171+IF('Scenario Analysis'!$N$23=1,0,0.5))*P171</f>
        <v>140309</v>
      </c>
    </row>
    <row r="172" spans="3:17" x14ac:dyDescent="0.25">
      <c r="C172" s="300" t="s">
        <v>1271</v>
      </c>
      <c r="D172" s="283" t="s">
        <v>662</v>
      </c>
      <c r="E172" s="283" t="s">
        <v>249</v>
      </c>
      <c r="F172" s="283" t="s">
        <v>185</v>
      </c>
      <c r="G172" s="283">
        <v>20</v>
      </c>
      <c r="H172" s="283">
        <v>2</v>
      </c>
      <c r="I172" s="286">
        <f>(G172+IF('Scenario Analysis'!$N$23=1,0,0.5))*H172</f>
        <v>41</v>
      </c>
      <c r="K172" s="283" t="s">
        <v>1271</v>
      </c>
      <c r="L172" s="283" t="s">
        <v>658</v>
      </c>
      <c r="M172" s="283" t="s">
        <v>247</v>
      </c>
      <c r="N172" s="283" t="s">
        <v>252</v>
      </c>
      <c r="O172" s="283">
        <v>126</v>
      </c>
      <c r="P172" s="283">
        <v>4275</v>
      </c>
      <c r="Q172" s="287">
        <f>(O172+IF('Scenario Analysis'!$N$23=1,0,0.5))*P172</f>
        <v>540787.5</v>
      </c>
    </row>
    <row r="173" spans="3:17" x14ac:dyDescent="0.25">
      <c r="C173" s="300" t="s">
        <v>1271</v>
      </c>
      <c r="D173" s="283" t="s">
        <v>662</v>
      </c>
      <c r="E173" s="283" t="s">
        <v>249</v>
      </c>
      <c r="F173" s="283" t="s">
        <v>185</v>
      </c>
      <c r="G173" s="283">
        <v>21</v>
      </c>
      <c r="H173" s="283">
        <v>44</v>
      </c>
      <c r="I173" s="286">
        <f>(G173+IF('Scenario Analysis'!$N$23=1,0,0.5))*H173</f>
        <v>946</v>
      </c>
      <c r="K173" s="283" t="s">
        <v>1271</v>
      </c>
      <c r="L173" s="283" t="s">
        <v>658</v>
      </c>
      <c r="M173" s="283" t="s">
        <v>247</v>
      </c>
      <c r="N173" s="283" t="s">
        <v>252</v>
      </c>
      <c r="O173" s="283">
        <v>127</v>
      </c>
      <c r="P173" s="283">
        <v>4016</v>
      </c>
      <c r="Q173" s="287">
        <f>(O173+IF('Scenario Analysis'!$N$23=1,0,0.5))*P173</f>
        <v>512040</v>
      </c>
    </row>
    <row r="174" spans="3:17" x14ac:dyDescent="0.25">
      <c r="C174" s="300" t="s">
        <v>1271</v>
      </c>
      <c r="D174" s="283" t="s">
        <v>662</v>
      </c>
      <c r="E174" s="283" t="s">
        <v>249</v>
      </c>
      <c r="F174" s="283" t="s">
        <v>185</v>
      </c>
      <c r="G174" s="283">
        <v>22</v>
      </c>
      <c r="H174" s="283">
        <v>5</v>
      </c>
      <c r="I174" s="286">
        <f>(G174+IF('Scenario Analysis'!$N$23=1,0,0.5))*H174</f>
        <v>112.5</v>
      </c>
      <c r="K174" s="283" t="s">
        <v>1271</v>
      </c>
      <c r="L174" s="283" t="s">
        <v>658</v>
      </c>
      <c r="M174" s="283" t="s">
        <v>247</v>
      </c>
      <c r="N174" s="283" t="s">
        <v>252</v>
      </c>
      <c r="O174" s="283">
        <v>128</v>
      </c>
      <c r="P174" s="283">
        <v>1883</v>
      </c>
      <c r="Q174" s="287">
        <f>(O174+IF('Scenario Analysis'!$N$23=1,0,0.5))*P174</f>
        <v>241965.5</v>
      </c>
    </row>
    <row r="175" spans="3:17" x14ac:dyDescent="0.25">
      <c r="C175" s="300" t="s">
        <v>1271</v>
      </c>
      <c r="D175" s="283" t="s">
        <v>662</v>
      </c>
      <c r="E175" s="283" t="s">
        <v>249</v>
      </c>
      <c r="F175" s="283" t="s">
        <v>185</v>
      </c>
      <c r="G175" s="283">
        <v>24</v>
      </c>
      <c r="H175" s="283">
        <v>1</v>
      </c>
      <c r="I175" s="286">
        <f>(G175+IF('Scenario Analysis'!$N$23=1,0,0.5))*H175</f>
        <v>24.5</v>
      </c>
      <c r="K175" s="283" t="s">
        <v>1271</v>
      </c>
      <c r="L175" s="283" t="s">
        <v>658</v>
      </c>
      <c r="M175" s="283" t="s">
        <v>247</v>
      </c>
      <c r="N175" s="283" t="s">
        <v>252</v>
      </c>
      <c r="O175" s="283">
        <v>129</v>
      </c>
      <c r="P175" s="283">
        <v>6230</v>
      </c>
      <c r="Q175" s="287">
        <f>(O175+IF('Scenario Analysis'!$N$23=1,0,0.5))*P175</f>
        <v>806785</v>
      </c>
    </row>
    <row r="176" spans="3:17" x14ac:dyDescent="0.25">
      <c r="C176" s="300" t="s">
        <v>1271</v>
      </c>
      <c r="D176" s="283" t="s">
        <v>662</v>
      </c>
      <c r="E176" s="283" t="s">
        <v>249</v>
      </c>
      <c r="F176" s="283" t="s">
        <v>185</v>
      </c>
      <c r="G176" s="283">
        <v>25</v>
      </c>
      <c r="H176" s="283">
        <v>11</v>
      </c>
      <c r="I176" s="286">
        <f>(G176+IF('Scenario Analysis'!$N$23=1,0,0.5))*H176</f>
        <v>280.5</v>
      </c>
      <c r="K176" s="283" t="s">
        <v>1271</v>
      </c>
      <c r="L176" s="283" t="s">
        <v>658</v>
      </c>
      <c r="M176" s="283" t="s">
        <v>247</v>
      </c>
      <c r="N176" s="283" t="s">
        <v>252</v>
      </c>
      <c r="O176" s="283">
        <v>130</v>
      </c>
      <c r="P176" s="283">
        <v>6259</v>
      </c>
      <c r="Q176" s="287">
        <f>(O176+IF('Scenario Analysis'!$N$23=1,0,0.5))*P176</f>
        <v>816799.5</v>
      </c>
    </row>
    <row r="177" spans="3:17" x14ac:dyDescent="0.25">
      <c r="C177" s="300" t="s">
        <v>1271</v>
      </c>
      <c r="D177" s="283" t="s">
        <v>663</v>
      </c>
      <c r="E177" s="283" t="s">
        <v>249</v>
      </c>
      <c r="F177" s="283" t="s">
        <v>248</v>
      </c>
      <c r="G177" s="283">
        <v>0</v>
      </c>
      <c r="H177" s="283">
        <v>2595997</v>
      </c>
      <c r="I177" s="286">
        <f>(G177+IF('Scenario Analysis'!$N$23=1,0,0.5))*H177</f>
        <v>1297998.5</v>
      </c>
      <c r="K177" s="283" t="s">
        <v>1271</v>
      </c>
      <c r="L177" s="283" t="s">
        <v>658</v>
      </c>
      <c r="M177" s="283" t="s">
        <v>247</v>
      </c>
      <c r="N177" s="283" t="s">
        <v>252</v>
      </c>
      <c r="O177" s="283">
        <v>131</v>
      </c>
      <c r="P177" s="283">
        <v>10688</v>
      </c>
      <c r="Q177" s="287">
        <f>(O177+IF('Scenario Analysis'!$N$23=1,0,0.5))*P177</f>
        <v>1405472</v>
      </c>
    </row>
    <row r="178" spans="3:17" x14ac:dyDescent="0.25">
      <c r="C178" s="300" t="s">
        <v>1271</v>
      </c>
      <c r="D178" s="283" t="s">
        <v>663</v>
      </c>
      <c r="E178" s="283" t="s">
        <v>249</v>
      </c>
      <c r="F178" s="283" t="s">
        <v>248</v>
      </c>
      <c r="G178" s="283">
        <v>1</v>
      </c>
      <c r="H178" s="283">
        <v>3887530</v>
      </c>
      <c r="I178" s="286">
        <f>(G178+IF('Scenario Analysis'!$N$23=1,0,0.5))*H178</f>
        <v>5831295</v>
      </c>
      <c r="K178" s="283" t="s">
        <v>1271</v>
      </c>
      <c r="L178" s="283" t="s">
        <v>658</v>
      </c>
      <c r="M178" s="283" t="s">
        <v>247</v>
      </c>
      <c r="N178" s="283" t="s">
        <v>252</v>
      </c>
      <c r="O178" s="283">
        <v>132</v>
      </c>
      <c r="P178" s="283">
        <v>2459</v>
      </c>
      <c r="Q178" s="287">
        <f>(O178+IF('Scenario Analysis'!$N$23=1,0,0.5))*P178</f>
        <v>325817.5</v>
      </c>
    </row>
    <row r="179" spans="3:17" x14ac:dyDescent="0.25">
      <c r="C179" s="300" t="s">
        <v>1271</v>
      </c>
      <c r="D179" s="283" t="s">
        <v>663</v>
      </c>
      <c r="E179" s="283" t="s">
        <v>249</v>
      </c>
      <c r="F179" s="283" t="s">
        <v>248</v>
      </c>
      <c r="G179" s="283">
        <v>2</v>
      </c>
      <c r="H179" s="283">
        <v>742023</v>
      </c>
      <c r="I179" s="286">
        <f>(G179+IF('Scenario Analysis'!$N$23=1,0,0.5))*H179</f>
        <v>1855057.5</v>
      </c>
      <c r="K179" s="283" t="s">
        <v>1271</v>
      </c>
      <c r="L179" s="283" t="s">
        <v>658</v>
      </c>
      <c r="M179" s="283" t="s">
        <v>247</v>
      </c>
      <c r="N179" s="283" t="s">
        <v>252</v>
      </c>
      <c r="O179" s="283">
        <v>133</v>
      </c>
      <c r="P179" s="283">
        <v>409</v>
      </c>
      <c r="Q179" s="287">
        <f>(O179+IF('Scenario Analysis'!$N$23=1,0,0.5))*P179</f>
        <v>54601.5</v>
      </c>
    </row>
    <row r="180" spans="3:17" x14ac:dyDescent="0.25">
      <c r="C180" s="300" t="s">
        <v>1271</v>
      </c>
      <c r="D180" s="283" t="s">
        <v>663</v>
      </c>
      <c r="E180" s="283" t="s">
        <v>249</v>
      </c>
      <c r="F180" s="283" t="s">
        <v>248</v>
      </c>
      <c r="G180" s="283">
        <v>3</v>
      </c>
      <c r="H180" s="283">
        <v>785217</v>
      </c>
      <c r="I180" s="286">
        <f>(G180+IF('Scenario Analysis'!$N$23=1,0,0.5))*H180</f>
        <v>2748259.5</v>
      </c>
      <c r="K180" s="283" t="s">
        <v>1271</v>
      </c>
      <c r="L180" s="283" t="s">
        <v>658</v>
      </c>
      <c r="M180" s="283" t="s">
        <v>247</v>
      </c>
      <c r="N180" s="283" t="s">
        <v>252</v>
      </c>
      <c r="O180" s="283">
        <v>134</v>
      </c>
      <c r="P180" s="283">
        <v>14040</v>
      </c>
      <c r="Q180" s="287">
        <f>(O180+IF('Scenario Analysis'!$N$23=1,0,0.5))*P180</f>
        <v>1888380</v>
      </c>
    </row>
    <row r="181" spans="3:17" x14ac:dyDescent="0.25">
      <c r="C181" s="300" t="s">
        <v>1271</v>
      </c>
      <c r="D181" s="283" t="s">
        <v>663</v>
      </c>
      <c r="E181" s="283" t="s">
        <v>249</v>
      </c>
      <c r="F181" s="283" t="s">
        <v>248</v>
      </c>
      <c r="G181" s="283">
        <v>4</v>
      </c>
      <c r="H181" s="283">
        <v>1247198</v>
      </c>
      <c r="I181" s="286">
        <f>(G181+IF('Scenario Analysis'!$N$23=1,0,0.5))*H181</f>
        <v>5612391</v>
      </c>
      <c r="K181" s="283" t="s">
        <v>1271</v>
      </c>
      <c r="L181" s="283" t="s">
        <v>658</v>
      </c>
      <c r="M181" s="283" t="s">
        <v>247</v>
      </c>
      <c r="N181" s="283" t="s">
        <v>252</v>
      </c>
      <c r="O181" s="283">
        <v>135</v>
      </c>
      <c r="P181" s="283">
        <v>502</v>
      </c>
      <c r="Q181" s="287">
        <f>(O181+IF('Scenario Analysis'!$N$23=1,0,0.5))*P181</f>
        <v>68021</v>
      </c>
    </row>
    <row r="182" spans="3:17" x14ac:dyDescent="0.25">
      <c r="C182" s="300" t="s">
        <v>1271</v>
      </c>
      <c r="D182" s="283" t="s">
        <v>663</v>
      </c>
      <c r="E182" s="283" t="s">
        <v>249</v>
      </c>
      <c r="F182" s="283" t="s">
        <v>248</v>
      </c>
      <c r="G182" s="283">
        <v>5</v>
      </c>
      <c r="H182" s="283">
        <v>901787</v>
      </c>
      <c r="I182" s="286">
        <f>(G182+IF('Scenario Analysis'!$N$23=1,0,0.5))*H182</f>
        <v>4959828.5</v>
      </c>
      <c r="K182" s="283" t="s">
        <v>1271</v>
      </c>
      <c r="L182" s="283" t="s">
        <v>658</v>
      </c>
      <c r="M182" s="283" t="s">
        <v>247</v>
      </c>
      <c r="N182" s="283" t="s">
        <v>252</v>
      </c>
      <c r="O182" s="283">
        <v>136</v>
      </c>
      <c r="P182" s="283">
        <v>272</v>
      </c>
      <c r="Q182" s="287">
        <f>(O182+IF('Scenario Analysis'!$N$23=1,0,0.5))*P182</f>
        <v>37128</v>
      </c>
    </row>
    <row r="183" spans="3:17" x14ac:dyDescent="0.25">
      <c r="C183" s="300" t="s">
        <v>1271</v>
      </c>
      <c r="D183" s="283" t="s">
        <v>663</v>
      </c>
      <c r="E183" s="283" t="s">
        <v>249</v>
      </c>
      <c r="F183" s="283" t="s">
        <v>248</v>
      </c>
      <c r="G183" s="283">
        <v>6</v>
      </c>
      <c r="H183" s="283">
        <v>477558</v>
      </c>
      <c r="I183" s="286">
        <f>(G183+IF('Scenario Analysis'!$N$23=1,0,0.5))*H183</f>
        <v>3104127</v>
      </c>
      <c r="K183" s="283" t="s">
        <v>1271</v>
      </c>
      <c r="L183" s="283" t="s">
        <v>658</v>
      </c>
      <c r="M183" s="283" t="s">
        <v>247</v>
      </c>
      <c r="N183" s="283" t="s">
        <v>252</v>
      </c>
      <c r="O183" s="283">
        <v>137</v>
      </c>
      <c r="P183" s="283">
        <v>2678</v>
      </c>
      <c r="Q183" s="287">
        <f>(O183+IF('Scenario Analysis'!$N$23=1,0,0.5))*P183</f>
        <v>368225</v>
      </c>
    </row>
    <row r="184" spans="3:17" x14ac:dyDescent="0.25">
      <c r="C184" s="300" t="s">
        <v>1271</v>
      </c>
      <c r="D184" s="283" t="s">
        <v>663</v>
      </c>
      <c r="E184" s="283" t="s">
        <v>249</v>
      </c>
      <c r="F184" s="283" t="s">
        <v>248</v>
      </c>
      <c r="G184" s="283">
        <v>7</v>
      </c>
      <c r="H184" s="283">
        <v>48513</v>
      </c>
      <c r="I184" s="286">
        <f>(G184+IF('Scenario Analysis'!$N$23=1,0,0.5))*H184</f>
        <v>363847.5</v>
      </c>
      <c r="K184" s="283" t="s">
        <v>1271</v>
      </c>
      <c r="L184" s="283" t="s">
        <v>658</v>
      </c>
      <c r="M184" s="283" t="s">
        <v>247</v>
      </c>
      <c r="N184" s="283" t="s">
        <v>252</v>
      </c>
      <c r="O184" s="283">
        <v>138</v>
      </c>
      <c r="P184" s="283">
        <v>2037</v>
      </c>
      <c r="Q184" s="287">
        <f>(O184+IF('Scenario Analysis'!$N$23=1,0,0.5))*P184</f>
        <v>282124.5</v>
      </c>
    </row>
    <row r="185" spans="3:17" x14ac:dyDescent="0.25">
      <c r="C185" s="300" t="s">
        <v>1271</v>
      </c>
      <c r="D185" s="283" t="s">
        <v>663</v>
      </c>
      <c r="E185" s="283" t="s">
        <v>249</v>
      </c>
      <c r="F185" s="283" t="s">
        <v>248</v>
      </c>
      <c r="G185" s="283">
        <v>8</v>
      </c>
      <c r="H185" s="283">
        <v>210</v>
      </c>
      <c r="I185" s="286">
        <f>(G185+IF('Scenario Analysis'!$N$23=1,0,0.5))*H185</f>
        <v>1785</v>
      </c>
      <c r="K185" s="283" t="s">
        <v>1271</v>
      </c>
      <c r="L185" s="283" t="s">
        <v>658</v>
      </c>
      <c r="M185" s="283" t="s">
        <v>247</v>
      </c>
      <c r="N185" s="283" t="s">
        <v>252</v>
      </c>
      <c r="O185" s="283">
        <v>139</v>
      </c>
      <c r="P185" s="283">
        <v>3882</v>
      </c>
      <c r="Q185" s="287">
        <f>(O185+IF('Scenario Analysis'!$N$23=1,0,0.5))*P185</f>
        <v>541539</v>
      </c>
    </row>
    <row r="186" spans="3:17" x14ac:dyDescent="0.25">
      <c r="C186" s="300" t="s">
        <v>1271</v>
      </c>
      <c r="D186" s="283" t="s">
        <v>663</v>
      </c>
      <c r="E186" s="283" t="s">
        <v>249</v>
      </c>
      <c r="F186" s="283" t="s">
        <v>248</v>
      </c>
      <c r="G186" s="283">
        <v>9</v>
      </c>
      <c r="H186" s="283">
        <v>82</v>
      </c>
      <c r="I186" s="286">
        <f>(G186+IF('Scenario Analysis'!$N$23=1,0,0.5))*H186</f>
        <v>779</v>
      </c>
      <c r="K186" s="283" t="s">
        <v>1271</v>
      </c>
      <c r="L186" s="283" t="s">
        <v>658</v>
      </c>
      <c r="M186" s="283" t="s">
        <v>247</v>
      </c>
      <c r="N186" s="283" t="s">
        <v>252</v>
      </c>
      <c r="O186" s="283">
        <v>140</v>
      </c>
      <c r="P186" s="283">
        <v>1385</v>
      </c>
      <c r="Q186" s="287">
        <f>(O186+IF('Scenario Analysis'!$N$23=1,0,0.5))*P186</f>
        <v>194592.5</v>
      </c>
    </row>
    <row r="187" spans="3:17" x14ac:dyDescent="0.25">
      <c r="C187" s="300" t="s">
        <v>1271</v>
      </c>
      <c r="D187" s="283" t="s">
        <v>664</v>
      </c>
      <c r="E187" s="283" t="s">
        <v>250</v>
      </c>
      <c r="F187" s="283" t="s">
        <v>184</v>
      </c>
      <c r="G187" s="283">
        <v>0</v>
      </c>
      <c r="H187" s="283">
        <v>4226738</v>
      </c>
      <c r="I187" s="286">
        <f>(G187+IF('Scenario Analysis'!$N$23=1,0,0.5))*H187</f>
        <v>2113369</v>
      </c>
      <c r="K187" s="283" t="s">
        <v>1271</v>
      </c>
      <c r="L187" s="283" t="s">
        <v>658</v>
      </c>
      <c r="M187" s="283" t="s">
        <v>247</v>
      </c>
      <c r="N187" s="283" t="s">
        <v>252</v>
      </c>
      <c r="O187" s="283">
        <v>141</v>
      </c>
      <c r="P187" s="283">
        <v>1590</v>
      </c>
      <c r="Q187" s="287">
        <f>(O187+IF('Scenario Analysis'!$N$23=1,0,0.5))*P187</f>
        <v>224985</v>
      </c>
    </row>
    <row r="188" spans="3:17" x14ac:dyDescent="0.25">
      <c r="C188" s="300" t="s">
        <v>1271</v>
      </c>
      <c r="D188" s="283" t="s">
        <v>664</v>
      </c>
      <c r="E188" s="283" t="s">
        <v>250</v>
      </c>
      <c r="F188" s="283" t="s">
        <v>184</v>
      </c>
      <c r="G188" s="283">
        <v>1</v>
      </c>
      <c r="H188" s="283">
        <v>11822470</v>
      </c>
      <c r="I188" s="286">
        <f>(G188+IF('Scenario Analysis'!$N$23=1,0,0.5))*H188</f>
        <v>17733705</v>
      </c>
      <c r="K188" s="283" t="s">
        <v>1271</v>
      </c>
      <c r="L188" s="283" t="s">
        <v>658</v>
      </c>
      <c r="M188" s="283" t="s">
        <v>247</v>
      </c>
      <c r="N188" s="283" t="s">
        <v>252</v>
      </c>
      <c r="O188" s="283">
        <v>142</v>
      </c>
      <c r="P188" s="283">
        <v>4386</v>
      </c>
      <c r="Q188" s="287">
        <f>(O188+IF('Scenario Analysis'!$N$23=1,0,0.5))*P188</f>
        <v>625005</v>
      </c>
    </row>
    <row r="189" spans="3:17" x14ac:dyDescent="0.25">
      <c r="C189" s="300" t="s">
        <v>1271</v>
      </c>
      <c r="D189" s="283" t="s">
        <v>664</v>
      </c>
      <c r="E189" s="283" t="s">
        <v>250</v>
      </c>
      <c r="F189" s="283" t="s">
        <v>184</v>
      </c>
      <c r="G189" s="283">
        <v>2</v>
      </c>
      <c r="H189" s="283">
        <v>9325138</v>
      </c>
      <c r="I189" s="286">
        <f>(G189+IF('Scenario Analysis'!$N$23=1,0,0.5))*H189</f>
        <v>23312845</v>
      </c>
      <c r="K189" s="283" t="s">
        <v>1271</v>
      </c>
      <c r="L189" s="283" t="s">
        <v>658</v>
      </c>
      <c r="M189" s="283" t="s">
        <v>247</v>
      </c>
      <c r="N189" s="283" t="s">
        <v>252</v>
      </c>
      <c r="O189" s="283">
        <v>143</v>
      </c>
      <c r="P189" s="283">
        <v>9892</v>
      </c>
      <c r="Q189" s="287">
        <f>(O189+IF('Scenario Analysis'!$N$23=1,0,0.5))*P189</f>
        <v>1419502</v>
      </c>
    </row>
    <row r="190" spans="3:17" x14ac:dyDescent="0.25">
      <c r="C190" s="300" t="s">
        <v>1271</v>
      </c>
      <c r="D190" s="283" t="s">
        <v>664</v>
      </c>
      <c r="E190" s="283" t="s">
        <v>250</v>
      </c>
      <c r="F190" s="283" t="s">
        <v>184</v>
      </c>
      <c r="G190" s="283">
        <v>3</v>
      </c>
      <c r="H190" s="283">
        <v>6091188</v>
      </c>
      <c r="I190" s="286">
        <f>(G190+IF('Scenario Analysis'!$N$23=1,0,0.5))*H190</f>
        <v>21319158</v>
      </c>
      <c r="K190" s="283" t="s">
        <v>1271</v>
      </c>
      <c r="L190" s="283" t="s">
        <v>658</v>
      </c>
      <c r="M190" s="283" t="s">
        <v>247</v>
      </c>
      <c r="N190" s="283" t="s">
        <v>252</v>
      </c>
      <c r="O190" s="283">
        <v>144</v>
      </c>
      <c r="P190" s="283">
        <v>1366</v>
      </c>
      <c r="Q190" s="287">
        <f>(O190+IF('Scenario Analysis'!$N$23=1,0,0.5))*P190</f>
        <v>197387</v>
      </c>
    </row>
    <row r="191" spans="3:17" x14ac:dyDescent="0.25">
      <c r="C191" s="300" t="s">
        <v>1271</v>
      </c>
      <c r="D191" s="283" t="s">
        <v>664</v>
      </c>
      <c r="E191" s="283" t="s">
        <v>250</v>
      </c>
      <c r="F191" s="283" t="s">
        <v>184</v>
      </c>
      <c r="G191" s="283">
        <v>4</v>
      </c>
      <c r="H191" s="283">
        <v>4868250</v>
      </c>
      <c r="I191" s="286">
        <f>(G191+IF('Scenario Analysis'!$N$23=1,0,0.5))*H191</f>
        <v>21907125</v>
      </c>
      <c r="K191" s="283" t="s">
        <v>1271</v>
      </c>
      <c r="L191" s="283" t="s">
        <v>658</v>
      </c>
      <c r="M191" s="283" t="s">
        <v>247</v>
      </c>
      <c r="N191" s="283" t="s">
        <v>252</v>
      </c>
      <c r="O191" s="283">
        <v>145</v>
      </c>
      <c r="P191" s="283">
        <v>1653</v>
      </c>
      <c r="Q191" s="287">
        <f>(O191+IF('Scenario Analysis'!$N$23=1,0,0.5))*P191</f>
        <v>240511.5</v>
      </c>
    </row>
    <row r="192" spans="3:17" x14ac:dyDescent="0.25">
      <c r="C192" s="300" t="s">
        <v>1271</v>
      </c>
      <c r="D192" s="283" t="s">
        <v>664</v>
      </c>
      <c r="E192" s="283" t="s">
        <v>250</v>
      </c>
      <c r="F192" s="283" t="s">
        <v>184</v>
      </c>
      <c r="G192" s="283">
        <v>5</v>
      </c>
      <c r="H192" s="283">
        <v>3343334</v>
      </c>
      <c r="I192" s="286">
        <f>(G192+IF('Scenario Analysis'!$N$23=1,0,0.5))*H192</f>
        <v>18388337</v>
      </c>
      <c r="K192" s="283" t="s">
        <v>1271</v>
      </c>
      <c r="L192" s="283" t="s">
        <v>658</v>
      </c>
      <c r="M192" s="283" t="s">
        <v>247</v>
      </c>
      <c r="N192" s="283" t="s">
        <v>252</v>
      </c>
      <c r="O192" s="283">
        <v>146</v>
      </c>
      <c r="P192" s="283">
        <v>162</v>
      </c>
      <c r="Q192" s="287">
        <f>(O192+IF('Scenario Analysis'!$N$23=1,0,0.5))*P192</f>
        <v>23733</v>
      </c>
    </row>
    <row r="193" spans="3:17" x14ac:dyDescent="0.25">
      <c r="C193" s="300" t="s">
        <v>1271</v>
      </c>
      <c r="D193" s="283" t="s">
        <v>664</v>
      </c>
      <c r="E193" s="283" t="s">
        <v>250</v>
      </c>
      <c r="F193" s="283" t="s">
        <v>184</v>
      </c>
      <c r="G193" s="283">
        <v>6</v>
      </c>
      <c r="H193" s="283">
        <v>2535517</v>
      </c>
      <c r="I193" s="286">
        <f>(G193+IF('Scenario Analysis'!$N$23=1,0,0.5))*H193</f>
        <v>16480860.5</v>
      </c>
      <c r="K193" s="283" t="s">
        <v>1271</v>
      </c>
      <c r="L193" s="283" t="s">
        <v>658</v>
      </c>
      <c r="M193" s="283" t="s">
        <v>247</v>
      </c>
      <c r="N193" s="283" t="s">
        <v>252</v>
      </c>
      <c r="O193" s="283">
        <v>147</v>
      </c>
      <c r="P193" s="283">
        <v>31148</v>
      </c>
      <c r="Q193" s="287">
        <f>(O193+IF('Scenario Analysis'!$N$23=1,0,0.5))*P193</f>
        <v>4594330</v>
      </c>
    </row>
    <row r="194" spans="3:17" x14ac:dyDescent="0.25">
      <c r="C194" s="300" t="s">
        <v>1271</v>
      </c>
      <c r="D194" s="283" t="s">
        <v>664</v>
      </c>
      <c r="E194" s="283" t="s">
        <v>250</v>
      </c>
      <c r="F194" s="283" t="s">
        <v>184</v>
      </c>
      <c r="G194" s="283">
        <v>7</v>
      </c>
      <c r="H194" s="283">
        <v>1653386</v>
      </c>
      <c r="I194" s="286">
        <f>(G194+IF('Scenario Analysis'!$N$23=1,0,0.5))*H194</f>
        <v>12400395</v>
      </c>
      <c r="K194" s="283" t="s">
        <v>1271</v>
      </c>
      <c r="L194" s="283" t="s">
        <v>658</v>
      </c>
      <c r="M194" s="283" t="s">
        <v>247</v>
      </c>
      <c r="N194" s="283" t="s">
        <v>252</v>
      </c>
      <c r="O194" s="283">
        <v>148</v>
      </c>
      <c r="P194" s="283">
        <v>411</v>
      </c>
      <c r="Q194" s="287">
        <f>(O194+IF('Scenario Analysis'!$N$23=1,0,0.5))*P194</f>
        <v>61033.5</v>
      </c>
    </row>
    <row r="195" spans="3:17" x14ac:dyDescent="0.25">
      <c r="C195" s="300" t="s">
        <v>1271</v>
      </c>
      <c r="D195" s="283" t="s">
        <v>664</v>
      </c>
      <c r="E195" s="283" t="s">
        <v>250</v>
      </c>
      <c r="F195" s="283" t="s">
        <v>184</v>
      </c>
      <c r="G195" s="283">
        <v>8</v>
      </c>
      <c r="H195" s="283">
        <v>1316141</v>
      </c>
      <c r="I195" s="286">
        <f>(G195+IF('Scenario Analysis'!$N$23=1,0,0.5))*H195</f>
        <v>11187198.5</v>
      </c>
      <c r="K195" s="283" t="s">
        <v>1271</v>
      </c>
      <c r="L195" s="283" t="s">
        <v>658</v>
      </c>
      <c r="M195" s="283" t="s">
        <v>247</v>
      </c>
      <c r="N195" s="283" t="s">
        <v>252</v>
      </c>
      <c r="O195" s="283">
        <v>149</v>
      </c>
      <c r="P195" s="283">
        <v>549</v>
      </c>
      <c r="Q195" s="287">
        <f>(O195+IF('Scenario Analysis'!$N$23=1,0,0.5))*P195</f>
        <v>82075.5</v>
      </c>
    </row>
    <row r="196" spans="3:17" x14ac:dyDescent="0.25">
      <c r="C196" s="300" t="s">
        <v>1271</v>
      </c>
      <c r="D196" s="283" t="s">
        <v>664</v>
      </c>
      <c r="E196" s="283" t="s">
        <v>250</v>
      </c>
      <c r="F196" s="283" t="s">
        <v>184</v>
      </c>
      <c r="G196" s="283">
        <v>9</v>
      </c>
      <c r="H196" s="283">
        <v>843621</v>
      </c>
      <c r="I196" s="286">
        <f>(G196+IF('Scenario Analysis'!$N$23=1,0,0.5))*H196</f>
        <v>8014399.5</v>
      </c>
      <c r="K196" s="283" t="s">
        <v>1271</v>
      </c>
      <c r="L196" s="283" t="s">
        <v>658</v>
      </c>
      <c r="M196" s="283" t="s">
        <v>247</v>
      </c>
      <c r="N196" s="283" t="s">
        <v>252</v>
      </c>
      <c r="O196" s="283">
        <v>150</v>
      </c>
      <c r="P196" s="283">
        <v>127839</v>
      </c>
      <c r="Q196" s="287">
        <f>(O196+IF('Scenario Analysis'!$N$23=1,0,0.5))*P196</f>
        <v>19239769.5</v>
      </c>
    </row>
    <row r="197" spans="3:17" x14ac:dyDescent="0.25">
      <c r="C197" s="300" t="s">
        <v>1271</v>
      </c>
      <c r="D197" s="283" t="s">
        <v>664</v>
      </c>
      <c r="E197" s="283" t="s">
        <v>250</v>
      </c>
      <c r="F197" s="283" t="s">
        <v>184</v>
      </c>
      <c r="G197" s="283">
        <v>10</v>
      </c>
      <c r="H197" s="283">
        <v>767671</v>
      </c>
      <c r="I197" s="286">
        <f>(G197+IF('Scenario Analysis'!$N$23=1,0,0.5))*H197</f>
        <v>8060545.5</v>
      </c>
      <c r="K197" s="283" t="s">
        <v>1271</v>
      </c>
      <c r="L197" s="283" t="s">
        <v>665</v>
      </c>
      <c r="M197" s="283" t="s">
        <v>247</v>
      </c>
      <c r="N197" s="283" t="s">
        <v>253</v>
      </c>
      <c r="O197" s="283">
        <v>0</v>
      </c>
      <c r="P197" s="283">
        <v>56379</v>
      </c>
      <c r="Q197" s="287">
        <f>(O197+IF('Scenario Analysis'!$N$23=1,0,0.5))*P197</f>
        <v>28189.5</v>
      </c>
    </row>
    <row r="198" spans="3:17" x14ac:dyDescent="0.25">
      <c r="C198" s="300" t="s">
        <v>1271</v>
      </c>
      <c r="D198" s="283" t="s">
        <v>664</v>
      </c>
      <c r="E198" s="283" t="s">
        <v>250</v>
      </c>
      <c r="F198" s="283" t="s">
        <v>184</v>
      </c>
      <c r="G198" s="283">
        <v>11</v>
      </c>
      <c r="H198" s="283">
        <v>528571</v>
      </c>
      <c r="I198" s="286">
        <f>(G198+IF('Scenario Analysis'!$N$23=1,0,0.5))*H198</f>
        <v>6078566.5</v>
      </c>
      <c r="K198" s="283" t="s">
        <v>1271</v>
      </c>
      <c r="L198" s="283" t="s">
        <v>665</v>
      </c>
      <c r="M198" s="283" t="s">
        <v>247</v>
      </c>
      <c r="N198" s="283" t="s">
        <v>253</v>
      </c>
      <c r="O198" s="283">
        <v>1</v>
      </c>
      <c r="P198" s="283">
        <v>1161687</v>
      </c>
      <c r="Q198" s="287">
        <f>(O198+IF('Scenario Analysis'!$N$23=1,0,0.5))*P198</f>
        <v>1742530.5</v>
      </c>
    </row>
    <row r="199" spans="3:17" x14ac:dyDescent="0.25">
      <c r="C199" s="300" t="s">
        <v>1271</v>
      </c>
      <c r="D199" s="283" t="s">
        <v>664</v>
      </c>
      <c r="E199" s="283" t="s">
        <v>250</v>
      </c>
      <c r="F199" s="283" t="s">
        <v>184</v>
      </c>
      <c r="G199" s="283">
        <v>12</v>
      </c>
      <c r="H199" s="283">
        <v>563827</v>
      </c>
      <c r="I199" s="286">
        <f>(G199+IF('Scenario Analysis'!$N$23=1,0,0.5))*H199</f>
        <v>7047837.5</v>
      </c>
      <c r="K199" s="283" t="s">
        <v>1271</v>
      </c>
      <c r="L199" s="283" t="s">
        <v>665</v>
      </c>
      <c r="M199" s="283" t="s">
        <v>247</v>
      </c>
      <c r="N199" s="283" t="s">
        <v>253</v>
      </c>
      <c r="O199" s="283">
        <v>2</v>
      </c>
      <c r="P199" s="283">
        <v>1209391</v>
      </c>
      <c r="Q199" s="287">
        <f>(O199+IF('Scenario Analysis'!$N$23=1,0,0.5))*P199</f>
        <v>3023477.5</v>
      </c>
    </row>
    <row r="200" spans="3:17" x14ac:dyDescent="0.25">
      <c r="C200" s="300" t="s">
        <v>1271</v>
      </c>
      <c r="D200" s="283" t="s">
        <v>664</v>
      </c>
      <c r="E200" s="283" t="s">
        <v>250</v>
      </c>
      <c r="F200" s="283" t="s">
        <v>184</v>
      </c>
      <c r="G200" s="283">
        <v>13</v>
      </c>
      <c r="H200" s="283">
        <v>262785</v>
      </c>
      <c r="I200" s="286">
        <f>(G200+IF('Scenario Analysis'!$N$23=1,0,0.5))*H200</f>
        <v>3547597.5</v>
      </c>
      <c r="K200" s="283" t="s">
        <v>1271</v>
      </c>
      <c r="L200" s="283" t="s">
        <v>665</v>
      </c>
      <c r="M200" s="283" t="s">
        <v>247</v>
      </c>
      <c r="N200" s="283" t="s">
        <v>253</v>
      </c>
      <c r="O200" s="283">
        <v>3</v>
      </c>
      <c r="P200" s="283">
        <v>3241774</v>
      </c>
      <c r="Q200" s="287">
        <f>(O200+IF('Scenario Analysis'!$N$23=1,0,0.5))*P200</f>
        <v>11346209</v>
      </c>
    </row>
    <row r="201" spans="3:17" x14ac:dyDescent="0.25">
      <c r="C201" s="300" t="s">
        <v>1271</v>
      </c>
      <c r="D201" s="283" t="s">
        <v>664</v>
      </c>
      <c r="E201" s="283" t="s">
        <v>250</v>
      </c>
      <c r="F201" s="283" t="s">
        <v>184</v>
      </c>
      <c r="G201" s="283">
        <v>14</v>
      </c>
      <c r="H201" s="283">
        <v>437169</v>
      </c>
      <c r="I201" s="286">
        <f>(G201+IF('Scenario Analysis'!$N$23=1,0,0.5))*H201</f>
        <v>6338950.5</v>
      </c>
      <c r="K201" s="283" t="s">
        <v>1271</v>
      </c>
      <c r="L201" s="283" t="s">
        <v>665</v>
      </c>
      <c r="M201" s="283" t="s">
        <v>247</v>
      </c>
      <c r="N201" s="283" t="s">
        <v>253</v>
      </c>
      <c r="O201" s="283">
        <v>4</v>
      </c>
      <c r="P201" s="283">
        <v>2060736</v>
      </c>
      <c r="Q201" s="287">
        <f>(O201+IF('Scenario Analysis'!$N$23=1,0,0.5))*P201</f>
        <v>9273312</v>
      </c>
    </row>
    <row r="202" spans="3:17" x14ac:dyDescent="0.25">
      <c r="C202" s="300" t="s">
        <v>1271</v>
      </c>
      <c r="D202" s="283" t="s">
        <v>664</v>
      </c>
      <c r="E202" s="283" t="s">
        <v>250</v>
      </c>
      <c r="F202" s="283" t="s">
        <v>184</v>
      </c>
      <c r="G202" s="283">
        <v>15</v>
      </c>
      <c r="H202" s="283">
        <v>153241</v>
      </c>
      <c r="I202" s="286">
        <f>(G202+IF('Scenario Analysis'!$N$23=1,0,0.5))*H202</f>
        <v>2375235.5</v>
      </c>
      <c r="K202" s="283" t="s">
        <v>1271</v>
      </c>
      <c r="L202" s="283" t="s">
        <v>665</v>
      </c>
      <c r="M202" s="283" t="s">
        <v>247</v>
      </c>
      <c r="N202" s="283" t="s">
        <v>253</v>
      </c>
      <c r="O202" s="283">
        <v>5</v>
      </c>
      <c r="P202" s="283">
        <v>1844201</v>
      </c>
      <c r="Q202" s="287">
        <f>(O202+IF('Scenario Analysis'!$N$23=1,0,0.5))*P202</f>
        <v>10143105.5</v>
      </c>
    </row>
    <row r="203" spans="3:17" x14ac:dyDescent="0.25">
      <c r="C203" s="300" t="s">
        <v>1271</v>
      </c>
      <c r="D203" s="283" t="s">
        <v>664</v>
      </c>
      <c r="E203" s="283" t="s">
        <v>250</v>
      </c>
      <c r="F203" s="283" t="s">
        <v>184</v>
      </c>
      <c r="G203" s="283">
        <v>16</v>
      </c>
      <c r="H203" s="283">
        <v>139023</v>
      </c>
      <c r="I203" s="286">
        <f>(G203+IF('Scenario Analysis'!$N$23=1,0,0.5))*H203</f>
        <v>2293879.5</v>
      </c>
      <c r="K203" s="283" t="s">
        <v>1271</v>
      </c>
      <c r="L203" s="283" t="s">
        <v>665</v>
      </c>
      <c r="M203" s="283" t="s">
        <v>247</v>
      </c>
      <c r="N203" s="283" t="s">
        <v>253</v>
      </c>
      <c r="O203" s="283">
        <v>6</v>
      </c>
      <c r="P203" s="283">
        <v>3739385</v>
      </c>
      <c r="Q203" s="287">
        <f>(O203+IF('Scenario Analysis'!$N$23=1,0,0.5))*P203</f>
        <v>24306002.5</v>
      </c>
    </row>
    <row r="204" spans="3:17" x14ac:dyDescent="0.25">
      <c r="C204" s="300" t="s">
        <v>1271</v>
      </c>
      <c r="D204" s="283" t="s">
        <v>664</v>
      </c>
      <c r="E204" s="283" t="s">
        <v>250</v>
      </c>
      <c r="F204" s="283" t="s">
        <v>184</v>
      </c>
      <c r="G204" s="283">
        <v>17</v>
      </c>
      <c r="H204" s="283">
        <v>186352</v>
      </c>
      <c r="I204" s="286">
        <f>(G204+IF('Scenario Analysis'!$N$23=1,0,0.5))*H204</f>
        <v>3261160</v>
      </c>
      <c r="K204" s="283" t="s">
        <v>1271</v>
      </c>
      <c r="L204" s="283" t="s">
        <v>665</v>
      </c>
      <c r="M204" s="283" t="s">
        <v>247</v>
      </c>
      <c r="N204" s="283" t="s">
        <v>253</v>
      </c>
      <c r="O204" s="283">
        <v>7</v>
      </c>
      <c r="P204" s="283">
        <v>1262735</v>
      </c>
      <c r="Q204" s="287">
        <f>(O204+IF('Scenario Analysis'!$N$23=1,0,0.5))*P204</f>
        <v>9470512.5</v>
      </c>
    </row>
    <row r="205" spans="3:17" x14ac:dyDescent="0.25">
      <c r="C205" s="300" t="s">
        <v>1271</v>
      </c>
      <c r="D205" s="283" t="s">
        <v>664</v>
      </c>
      <c r="E205" s="283" t="s">
        <v>250</v>
      </c>
      <c r="F205" s="283" t="s">
        <v>184</v>
      </c>
      <c r="G205" s="283">
        <v>18</v>
      </c>
      <c r="H205" s="283">
        <v>95507</v>
      </c>
      <c r="I205" s="286">
        <f>(G205+IF('Scenario Analysis'!$N$23=1,0,0.5))*H205</f>
        <v>1766879.5</v>
      </c>
      <c r="K205" s="283" t="s">
        <v>1271</v>
      </c>
      <c r="L205" s="283" t="s">
        <v>665</v>
      </c>
      <c r="M205" s="283" t="s">
        <v>247</v>
      </c>
      <c r="N205" s="283" t="s">
        <v>253</v>
      </c>
      <c r="O205" s="283">
        <v>8</v>
      </c>
      <c r="P205" s="283">
        <v>2050523</v>
      </c>
      <c r="Q205" s="287">
        <f>(O205+IF('Scenario Analysis'!$N$23=1,0,0.5))*P205</f>
        <v>17429445.5</v>
      </c>
    </row>
    <row r="206" spans="3:17" x14ac:dyDescent="0.25">
      <c r="C206" s="300" t="s">
        <v>1271</v>
      </c>
      <c r="D206" s="283" t="s">
        <v>664</v>
      </c>
      <c r="E206" s="283" t="s">
        <v>250</v>
      </c>
      <c r="F206" s="283" t="s">
        <v>184</v>
      </c>
      <c r="G206" s="283">
        <v>19</v>
      </c>
      <c r="H206" s="283">
        <v>283713</v>
      </c>
      <c r="I206" s="286">
        <f>(G206+IF('Scenario Analysis'!$N$23=1,0,0.5))*H206</f>
        <v>5532403.5</v>
      </c>
      <c r="K206" s="283" t="s">
        <v>1271</v>
      </c>
      <c r="L206" s="283" t="s">
        <v>665</v>
      </c>
      <c r="M206" s="283" t="s">
        <v>247</v>
      </c>
      <c r="N206" s="283" t="s">
        <v>253</v>
      </c>
      <c r="O206" s="283">
        <v>9</v>
      </c>
      <c r="P206" s="283">
        <v>2405151</v>
      </c>
      <c r="Q206" s="287">
        <f>(O206+IF('Scenario Analysis'!$N$23=1,0,0.5))*P206</f>
        <v>22848934.5</v>
      </c>
    </row>
    <row r="207" spans="3:17" x14ac:dyDescent="0.25">
      <c r="C207" s="300" t="s">
        <v>1271</v>
      </c>
      <c r="D207" s="283" t="s">
        <v>664</v>
      </c>
      <c r="E207" s="283" t="s">
        <v>250</v>
      </c>
      <c r="F207" s="283" t="s">
        <v>184</v>
      </c>
      <c r="G207" s="283">
        <v>20</v>
      </c>
      <c r="H207" s="283">
        <v>184447</v>
      </c>
      <c r="I207" s="286">
        <f>(G207+IF('Scenario Analysis'!$N$23=1,0,0.5))*H207</f>
        <v>3781163.5</v>
      </c>
      <c r="K207" s="283" t="s">
        <v>1271</v>
      </c>
      <c r="L207" s="283" t="s">
        <v>665</v>
      </c>
      <c r="M207" s="283" t="s">
        <v>247</v>
      </c>
      <c r="N207" s="283" t="s">
        <v>253</v>
      </c>
      <c r="O207" s="283">
        <v>10</v>
      </c>
      <c r="P207" s="283">
        <v>1469173</v>
      </c>
      <c r="Q207" s="287">
        <f>(O207+IF('Scenario Analysis'!$N$23=1,0,0.5))*P207</f>
        <v>15426316.5</v>
      </c>
    </row>
    <row r="208" spans="3:17" x14ac:dyDescent="0.25">
      <c r="C208" s="300" t="s">
        <v>1271</v>
      </c>
      <c r="D208" s="283" t="s">
        <v>664</v>
      </c>
      <c r="E208" s="283" t="s">
        <v>250</v>
      </c>
      <c r="F208" s="283" t="s">
        <v>184</v>
      </c>
      <c r="G208" s="283">
        <v>21</v>
      </c>
      <c r="H208" s="283">
        <v>165531</v>
      </c>
      <c r="I208" s="286">
        <f>(G208+IF('Scenario Analysis'!$N$23=1,0,0.5))*H208</f>
        <v>3558916.5</v>
      </c>
      <c r="K208" s="283" t="s">
        <v>1271</v>
      </c>
      <c r="L208" s="283" t="s">
        <v>665</v>
      </c>
      <c r="M208" s="283" t="s">
        <v>247</v>
      </c>
      <c r="N208" s="283" t="s">
        <v>253</v>
      </c>
      <c r="O208" s="283">
        <v>11</v>
      </c>
      <c r="P208" s="283">
        <v>2118498</v>
      </c>
      <c r="Q208" s="287">
        <f>(O208+IF('Scenario Analysis'!$N$23=1,0,0.5))*P208</f>
        <v>24362727</v>
      </c>
    </row>
    <row r="209" spans="3:17" x14ac:dyDescent="0.25">
      <c r="C209" s="300" t="s">
        <v>1271</v>
      </c>
      <c r="D209" s="283" t="s">
        <v>664</v>
      </c>
      <c r="E209" s="283" t="s">
        <v>250</v>
      </c>
      <c r="F209" s="283" t="s">
        <v>184</v>
      </c>
      <c r="G209" s="283">
        <v>22</v>
      </c>
      <c r="H209" s="283">
        <v>300210</v>
      </c>
      <c r="I209" s="286">
        <f>(G209+IF('Scenario Analysis'!$N$23=1,0,0.5))*H209</f>
        <v>6754725</v>
      </c>
      <c r="K209" s="283" t="s">
        <v>1271</v>
      </c>
      <c r="L209" s="283" t="s">
        <v>665</v>
      </c>
      <c r="M209" s="283" t="s">
        <v>247</v>
      </c>
      <c r="N209" s="283" t="s">
        <v>253</v>
      </c>
      <c r="O209" s="283">
        <v>12</v>
      </c>
      <c r="P209" s="283">
        <v>1837389</v>
      </c>
      <c r="Q209" s="287">
        <f>(O209+IF('Scenario Analysis'!$N$23=1,0,0.5))*P209</f>
        <v>22967362.5</v>
      </c>
    </row>
    <row r="210" spans="3:17" x14ac:dyDescent="0.25">
      <c r="C210" s="300" t="s">
        <v>1271</v>
      </c>
      <c r="D210" s="283" t="s">
        <v>664</v>
      </c>
      <c r="E210" s="283" t="s">
        <v>250</v>
      </c>
      <c r="F210" s="283" t="s">
        <v>184</v>
      </c>
      <c r="G210" s="283">
        <v>23</v>
      </c>
      <c r="H210" s="283">
        <v>213125</v>
      </c>
      <c r="I210" s="286">
        <f>(G210+IF('Scenario Analysis'!$N$23=1,0,0.5))*H210</f>
        <v>5008437.5</v>
      </c>
      <c r="K210" s="283" t="s">
        <v>1271</v>
      </c>
      <c r="L210" s="283" t="s">
        <v>665</v>
      </c>
      <c r="M210" s="283" t="s">
        <v>247</v>
      </c>
      <c r="N210" s="283" t="s">
        <v>253</v>
      </c>
      <c r="O210" s="283">
        <v>13</v>
      </c>
      <c r="P210" s="283">
        <v>1447149</v>
      </c>
      <c r="Q210" s="287">
        <f>(O210+IF('Scenario Analysis'!$N$23=1,0,0.5))*P210</f>
        <v>19536511.5</v>
      </c>
    </row>
    <row r="211" spans="3:17" x14ac:dyDescent="0.25">
      <c r="C211" s="300" t="s">
        <v>1271</v>
      </c>
      <c r="D211" s="283" t="s">
        <v>664</v>
      </c>
      <c r="E211" s="283" t="s">
        <v>250</v>
      </c>
      <c r="F211" s="283" t="s">
        <v>184</v>
      </c>
      <c r="G211" s="283">
        <v>24</v>
      </c>
      <c r="H211" s="283">
        <v>134069</v>
      </c>
      <c r="I211" s="286">
        <f>(G211+IF('Scenario Analysis'!$N$23=1,0,0.5))*H211</f>
        <v>3284690.5</v>
      </c>
      <c r="K211" s="283" t="s">
        <v>1271</v>
      </c>
      <c r="L211" s="283" t="s">
        <v>665</v>
      </c>
      <c r="M211" s="283" t="s">
        <v>247</v>
      </c>
      <c r="N211" s="283" t="s">
        <v>253</v>
      </c>
      <c r="O211" s="283">
        <v>14</v>
      </c>
      <c r="P211" s="283">
        <v>2098013</v>
      </c>
      <c r="Q211" s="287">
        <f>(O211+IF('Scenario Analysis'!$N$23=1,0,0.5))*P211</f>
        <v>30421188.5</v>
      </c>
    </row>
    <row r="212" spans="3:17" x14ac:dyDescent="0.25">
      <c r="C212" s="300" t="s">
        <v>1271</v>
      </c>
      <c r="D212" s="283" t="s">
        <v>664</v>
      </c>
      <c r="E212" s="283" t="s">
        <v>250</v>
      </c>
      <c r="F212" s="283" t="s">
        <v>184</v>
      </c>
      <c r="G212" s="283">
        <v>25</v>
      </c>
      <c r="H212" s="283">
        <v>51910</v>
      </c>
      <c r="I212" s="286">
        <f>(G212+IF('Scenario Analysis'!$N$23=1,0,0.5))*H212</f>
        <v>1323705</v>
      </c>
      <c r="K212" s="283" t="s">
        <v>1271</v>
      </c>
      <c r="L212" s="283" t="s">
        <v>665</v>
      </c>
      <c r="M212" s="283" t="s">
        <v>247</v>
      </c>
      <c r="N212" s="283" t="s">
        <v>253</v>
      </c>
      <c r="O212" s="283">
        <v>15</v>
      </c>
      <c r="P212" s="283">
        <v>1157430</v>
      </c>
      <c r="Q212" s="287">
        <f>(O212+IF('Scenario Analysis'!$N$23=1,0,0.5))*P212</f>
        <v>17940165</v>
      </c>
    </row>
    <row r="213" spans="3:17" x14ac:dyDescent="0.25">
      <c r="C213" s="300" t="s">
        <v>1271</v>
      </c>
      <c r="D213" s="283" t="s">
        <v>664</v>
      </c>
      <c r="E213" s="283" t="s">
        <v>250</v>
      </c>
      <c r="F213" s="283" t="s">
        <v>184</v>
      </c>
      <c r="G213" s="283">
        <v>26</v>
      </c>
      <c r="H213" s="283">
        <v>48627</v>
      </c>
      <c r="I213" s="286">
        <f>(G213+IF('Scenario Analysis'!$N$23=1,0,0.5))*H213</f>
        <v>1288615.5</v>
      </c>
      <c r="K213" s="283" t="s">
        <v>1271</v>
      </c>
      <c r="L213" s="283" t="s">
        <v>665</v>
      </c>
      <c r="M213" s="283" t="s">
        <v>247</v>
      </c>
      <c r="N213" s="283" t="s">
        <v>253</v>
      </c>
      <c r="O213" s="283">
        <v>16</v>
      </c>
      <c r="P213" s="283">
        <v>1362225</v>
      </c>
      <c r="Q213" s="287">
        <f>(O213+IF('Scenario Analysis'!$N$23=1,0,0.5))*P213</f>
        <v>22476712.5</v>
      </c>
    </row>
    <row r="214" spans="3:17" x14ac:dyDescent="0.25">
      <c r="C214" s="300" t="s">
        <v>1271</v>
      </c>
      <c r="D214" s="283" t="s">
        <v>664</v>
      </c>
      <c r="E214" s="283" t="s">
        <v>250</v>
      </c>
      <c r="F214" s="283" t="s">
        <v>184</v>
      </c>
      <c r="G214" s="283">
        <v>27</v>
      </c>
      <c r="H214" s="283">
        <v>54899</v>
      </c>
      <c r="I214" s="286">
        <f>(G214+IF('Scenario Analysis'!$N$23=1,0,0.5))*H214</f>
        <v>1509722.5</v>
      </c>
      <c r="K214" s="283" t="s">
        <v>1271</v>
      </c>
      <c r="L214" s="283" t="s">
        <v>665</v>
      </c>
      <c r="M214" s="283" t="s">
        <v>247</v>
      </c>
      <c r="N214" s="283" t="s">
        <v>253</v>
      </c>
      <c r="O214" s="283">
        <v>17</v>
      </c>
      <c r="P214" s="283">
        <v>1052725</v>
      </c>
      <c r="Q214" s="287">
        <f>(O214+IF('Scenario Analysis'!$N$23=1,0,0.5))*P214</f>
        <v>18422687.5</v>
      </c>
    </row>
    <row r="215" spans="3:17" x14ac:dyDescent="0.25">
      <c r="C215" s="300" t="s">
        <v>1271</v>
      </c>
      <c r="D215" s="283" t="s">
        <v>664</v>
      </c>
      <c r="E215" s="283" t="s">
        <v>250</v>
      </c>
      <c r="F215" s="283" t="s">
        <v>184</v>
      </c>
      <c r="G215" s="283">
        <v>28</v>
      </c>
      <c r="H215" s="283">
        <v>147569</v>
      </c>
      <c r="I215" s="286">
        <f>(G215+IF('Scenario Analysis'!$N$23=1,0,0.5))*H215</f>
        <v>4205716.5</v>
      </c>
      <c r="K215" s="283" t="s">
        <v>1271</v>
      </c>
      <c r="L215" s="283" t="s">
        <v>665</v>
      </c>
      <c r="M215" s="283" t="s">
        <v>247</v>
      </c>
      <c r="N215" s="283" t="s">
        <v>253</v>
      </c>
      <c r="O215" s="283">
        <v>18</v>
      </c>
      <c r="P215" s="283">
        <v>1434123</v>
      </c>
      <c r="Q215" s="287">
        <f>(O215+IF('Scenario Analysis'!$N$23=1,0,0.5))*P215</f>
        <v>26531275.5</v>
      </c>
    </row>
    <row r="216" spans="3:17" x14ac:dyDescent="0.25">
      <c r="C216" s="300" t="s">
        <v>1271</v>
      </c>
      <c r="D216" s="283" t="s">
        <v>664</v>
      </c>
      <c r="E216" s="283" t="s">
        <v>250</v>
      </c>
      <c r="F216" s="283" t="s">
        <v>184</v>
      </c>
      <c r="G216" s="283">
        <v>29</v>
      </c>
      <c r="H216" s="283">
        <v>26753</v>
      </c>
      <c r="I216" s="286">
        <f>(G216+IF('Scenario Analysis'!$N$23=1,0,0.5))*H216</f>
        <v>789213.5</v>
      </c>
      <c r="K216" s="283" t="s">
        <v>1271</v>
      </c>
      <c r="L216" s="283" t="s">
        <v>665</v>
      </c>
      <c r="M216" s="283" t="s">
        <v>247</v>
      </c>
      <c r="N216" s="283" t="s">
        <v>253</v>
      </c>
      <c r="O216" s="283">
        <v>19</v>
      </c>
      <c r="P216" s="283">
        <v>1416240</v>
      </c>
      <c r="Q216" s="287">
        <f>(O216+IF('Scenario Analysis'!$N$23=1,0,0.5))*P216</f>
        <v>27616680</v>
      </c>
    </row>
    <row r="217" spans="3:17" x14ac:dyDescent="0.25">
      <c r="C217" s="300" t="s">
        <v>1271</v>
      </c>
      <c r="D217" s="283" t="s">
        <v>664</v>
      </c>
      <c r="E217" s="283" t="s">
        <v>250</v>
      </c>
      <c r="F217" s="283" t="s">
        <v>184</v>
      </c>
      <c r="G217" s="283">
        <v>30</v>
      </c>
      <c r="H217" s="283">
        <v>28278</v>
      </c>
      <c r="I217" s="286">
        <f>(G217+IF('Scenario Analysis'!$N$23=1,0,0.5))*H217</f>
        <v>862479</v>
      </c>
      <c r="K217" s="283" t="s">
        <v>1271</v>
      </c>
      <c r="L217" s="283" t="s">
        <v>665</v>
      </c>
      <c r="M217" s="283" t="s">
        <v>247</v>
      </c>
      <c r="N217" s="283" t="s">
        <v>253</v>
      </c>
      <c r="O217" s="283">
        <v>20</v>
      </c>
      <c r="P217" s="283">
        <v>1089996</v>
      </c>
      <c r="Q217" s="287">
        <f>(O217+IF('Scenario Analysis'!$N$23=1,0,0.5))*P217</f>
        <v>22344918</v>
      </c>
    </row>
    <row r="218" spans="3:17" x14ac:dyDescent="0.25">
      <c r="C218" s="300" t="s">
        <v>1271</v>
      </c>
      <c r="D218" s="283" t="s">
        <v>664</v>
      </c>
      <c r="E218" s="283" t="s">
        <v>250</v>
      </c>
      <c r="F218" s="283" t="s">
        <v>184</v>
      </c>
      <c r="G218" s="283">
        <v>31</v>
      </c>
      <c r="H218" s="283">
        <v>27892</v>
      </c>
      <c r="I218" s="286">
        <f>(G218+IF('Scenario Analysis'!$N$23=1,0,0.5))*H218</f>
        <v>878598</v>
      </c>
      <c r="K218" s="283" t="s">
        <v>1271</v>
      </c>
      <c r="L218" s="283" t="s">
        <v>665</v>
      </c>
      <c r="M218" s="283" t="s">
        <v>247</v>
      </c>
      <c r="N218" s="283" t="s">
        <v>253</v>
      </c>
      <c r="O218" s="283">
        <v>21</v>
      </c>
      <c r="P218" s="283">
        <v>1391832</v>
      </c>
      <c r="Q218" s="287">
        <f>(O218+IF('Scenario Analysis'!$N$23=1,0,0.5))*P218</f>
        <v>29924388</v>
      </c>
    </row>
    <row r="219" spans="3:17" x14ac:dyDescent="0.25">
      <c r="C219" s="300" t="s">
        <v>1271</v>
      </c>
      <c r="D219" s="283" t="s">
        <v>664</v>
      </c>
      <c r="E219" s="283" t="s">
        <v>250</v>
      </c>
      <c r="F219" s="283" t="s">
        <v>184</v>
      </c>
      <c r="G219" s="283">
        <v>32</v>
      </c>
      <c r="H219" s="283">
        <v>8717</v>
      </c>
      <c r="I219" s="286">
        <f>(G219+IF('Scenario Analysis'!$N$23=1,0,0.5))*H219</f>
        <v>283302.5</v>
      </c>
      <c r="K219" s="283" t="s">
        <v>1271</v>
      </c>
      <c r="L219" s="283" t="s">
        <v>665</v>
      </c>
      <c r="M219" s="283" t="s">
        <v>247</v>
      </c>
      <c r="N219" s="283" t="s">
        <v>253</v>
      </c>
      <c r="O219" s="283">
        <v>22</v>
      </c>
      <c r="P219" s="283">
        <v>906897</v>
      </c>
      <c r="Q219" s="287">
        <f>(O219+IF('Scenario Analysis'!$N$23=1,0,0.5))*P219</f>
        <v>20405182.5</v>
      </c>
    </row>
    <row r="220" spans="3:17" x14ac:dyDescent="0.25">
      <c r="C220" s="300" t="s">
        <v>1271</v>
      </c>
      <c r="D220" s="283" t="s">
        <v>664</v>
      </c>
      <c r="E220" s="283" t="s">
        <v>250</v>
      </c>
      <c r="F220" s="283" t="s">
        <v>184</v>
      </c>
      <c r="G220" s="283">
        <v>33</v>
      </c>
      <c r="H220" s="283">
        <v>1566</v>
      </c>
      <c r="I220" s="286">
        <f>(G220+IF('Scenario Analysis'!$N$23=1,0,0.5))*H220</f>
        <v>52461</v>
      </c>
      <c r="K220" s="283" t="s">
        <v>1271</v>
      </c>
      <c r="L220" s="283" t="s">
        <v>665</v>
      </c>
      <c r="M220" s="283" t="s">
        <v>247</v>
      </c>
      <c r="N220" s="283" t="s">
        <v>253</v>
      </c>
      <c r="O220" s="283">
        <v>23</v>
      </c>
      <c r="P220" s="283">
        <v>1088739</v>
      </c>
      <c r="Q220" s="287">
        <f>(O220+IF('Scenario Analysis'!$N$23=1,0,0.5))*P220</f>
        <v>25585366.5</v>
      </c>
    </row>
    <row r="221" spans="3:17" x14ac:dyDescent="0.25">
      <c r="C221" s="300" t="s">
        <v>1271</v>
      </c>
      <c r="D221" s="283" t="s">
        <v>664</v>
      </c>
      <c r="E221" s="283" t="s">
        <v>250</v>
      </c>
      <c r="F221" s="283" t="s">
        <v>184</v>
      </c>
      <c r="G221" s="283">
        <v>34</v>
      </c>
      <c r="H221" s="283">
        <v>2458</v>
      </c>
      <c r="I221" s="286">
        <f>(G221+IF('Scenario Analysis'!$N$23=1,0,0.5))*H221</f>
        <v>84801</v>
      </c>
      <c r="K221" s="283" t="s">
        <v>1271</v>
      </c>
      <c r="L221" s="283" t="s">
        <v>665</v>
      </c>
      <c r="M221" s="283" t="s">
        <v>247</v>
      </c>
      <c r="N221" s="283" t="s">
        <v>253</v>
      </c>
      <c r="O221" s="283">
        <v>24</v>
      </c>
      <c r="P221" s="283">
        <v>987924</v>
      </c>
      <c r="Q221" s="287">
        <f>(O221+IF('Scenario Analysis'!$N$23=1,0,0.5))*P221</f>
        <v>24204138</v>
      </c>
    </row>
    <row r="222" spans="3:17" x14ac:dyDescent="0.25">
      <c r="C222" s="300" t="s">
        <v>1271</v>
      </c>
      <c r="D222" s="283" t="s">
        <v>664</v>
      </c>
      <c r="E222" s="283" t="s">
        <v>250</v>
      </c>
      <c r="F222" s="283" t="s">
        <v>184</v>
      </c>
      <c r="G222" s="283">
        <v>35</v>
      </c>
      <c r="H222" s="283">
        <v>578</v>
      </c>
      <c r="I222" s="286">
        <f>(G222+IF('Scenario Analysis'!$N$23=1,0,0.5))*H222</f>
        <v>20519</v>
      </c>
      <c r="K222" s="283" t="s">
        <v>1271</v>
      </c>
      <c r="L222" s="283" t="s">
        <v>665</v>
      </c>
      <c r="M222" s="283" t="s">
        <v>247</v>
      </c>
      <c r="N222" s="283" t="s">
        <v>253</v>
      </c>
      <c r="O222" s="283">
        <v>25</v>
      </c>
      <c r="P222" s="283">
        <v>778404</v>
      </c>
      <c r="Q222" s="287">
        <f>(O222+IF('Scenario Analysis'!$N$23=1,0,0.5))*P222</f>
        <v>19849302</v>
      </c>
    </row>
    <row r="223" spans="3:17" x14ac:dyDescent="0.25">
      <c r="C223" s="300" t="s">
        <v>1271</v>
      </c>
      <c r="D223" s="283" t="s">
        <v>664</v>
      </c>
      <c r="E223" s="283" t="s">
        <v>250</v>
      </c>
      <c r="F223" s="283" t="s">
        <v>184</v>
      </c>
      <c r="G223" s="283">
        <v>36</v>
      </c>
      <c r="H223" s="283">
        <v>1156</v>
      </c>
      <c r="I223" s="286">
        <f>(G223+IF('Scenario Analysis'!$N$23=1,0,0.5))*H223</f>
        <v>42194</v>
      </c>
      <c r="K223" s="283" t="s">
        <v>1271</v>
      </c>
      <c r="L223" s="283" t="s">
        <v>665</v>
      </c>
      <c r="M223" s="283" t="s">
        <v>247</v>
      </c>
      <c r="N223" s="283" t="s">
        <v>253</v>
      </c>
      <c r="O223" s="283">
        <v>26</v>
      </c>
      <c r="P223" s="283">
        <v>1214320</v>
      </c>
      <c r="Q223" s="287">
        <f>(O223+IF('Scenario Analysis'!$N$23=1,0,0.5))*P223</f>
        <v>32179480</v>
      </c>
    </row>
    <row r="224" spans="3:17" x14ac:dyDescent="0.25">
      <c r="C224" s="300" t="s">
        <v>1271</v>
      </c>
      <c r="D224" s="283" t="s">
        <v>664</v>
      </c>
      <c r="E224" s="283" t="s">
        <v>250</v>
      </c>
      <c r="F224" s="283" t="s">
        <v>184</v>
      </c>
      <c r="G224" s="283">
        <v>37</v>
      </c>
      <c r="H224" s="283">
        <v>3174</v>
      </c>
      <c r="I224" s="286">
        <f>(G224+IF('Scenario Analysis'!$N$23=1,0,0.5))*H224</f>
        <v>119025</v>
      </c>
      <c r="K224" s="283" t="s">
        <v>1271</v>
      </c>
      <c r="L224" s="283" t="s">
        <v>665</v>
      </c>
      <c r="M224" s="283" t="s">
        <v>247</v>
      </c>
      <c r="N224" s="283" t="s">
        <v>253</v>
      </c>
      <c r="O224" s="283">
        <v>27</v>
      </c>
      <c r="P224" s="283">
        <v>571479</v>
      </c>
      <c r="Q224" s="287">
        <f>(O224+IF('Scenario Analysis'!$N$23=1,0,0.5))*P224</f>
        <v>15715672.5</v>
      </c>
    </row>
    <row r="225" spans="3:17" x14ac:dyDescent="0.25">
      <c r="C225" s="300" t="s">
        <v>1271</v>
      </c>
      <c r="D225" s="283" t="s">
        <v>664</v>
      </c>
      <c r="E225" s="283" t="s">
        <v>250</v>
      </c>
      <c r="F225" s="283" t="s">
        <v>184</v>
      </c>
      <c r="G225" s="283">
        <v>38</v>
      </c>
      <c r="H225" s="283">
        <v>8161</v>
      </c>
      <c r="I225" s="286">
        <f>(G225+IF('Scenario Analysis'!$N$23=1,0,0.5))*H225</f>
        <v>314198.5</v>
      </c>
      <c r="K225" s="283" t="s">
        <v>1271</v>
      </c>
      <c r="L225" s="283" t="s">
        <v>665</v>
      </c>
      <c r="M225" s="283" t="s">
        <v>247</v>
      </c>
      <c r="N225" s="283" t="s">
        <v>253</v>
      </c>
      <c r="O225" s="283">
        <v>28</v>
      </c>
      <c r="P225" s="283">
        <v>639063</v>
      </c>
      <c r="Q225" s="287">
        <f>(O225+IF('Scenario Analysis'!$N$23=1,0,0.5))*P225</f>
        <v>18213295.5</v>
      </c>
    </row>
    <row r="226" spans="3:17" x14ac:dyDescent="0.25">
      <c r="C226" s="300" t="s">
        <v>1271</v>
      </c>
      <c r="D226" s="283" t="s">
        <v>664</v>
      </c>
      <c r="E226" s="283" t="s">
        <v>250</v>
      </c>
      <c r="F226" s="283" t="s">
        <v>184</v>
      </c>
      <c r="G226" s="283">
        <v>39</v>
      </c>
      <c r="H226" s="283">
        <v>3031</v>
      </c>
      <c r="I226" s="286">
        <f>(G226+IF('Scenario Analysis'!$N$23=1,0,0.5))*H226</f>
        <v>119724.5</v>
      </c>
      <c r="K226" s="283" t="s">
        <v>1271</v>
      </c>
      <c r="L226" s="283" t="s">
        <v>665</v>
      </c>
      <c r="M226" s="283" t="s">
        <v>247</v>
      </c>
      <c r="N226" s="283" t="s">
        <v>253</v>
      </c>
      <c r="O226" s="283">
        <v>29</v>
      </c>
      <c r="P226" s="283">
        <v>679988</v>
      </c>
      <c r="Q226" s="287">
        <f>(O226+IF('Scenario Analysis'!$N$23=1,0,0.5))*P226</f>
        <v>20059646</v>
      </c>
    </row>
    <row r="227" spans="3:17" x14ac:dyDescent="0.25">
      <c r="C227" s="300" t="s">
        <v>1271</v>
      </c>
      <c r="D227" s="283" t="s">
        <v>664</v>
      </c>
      <c r="E227" s="283" t="s">
        <v>250</v>
      </c>
      <c r="F227" s="283" t="s">
        <v>184</v>
      </c>
      <c r="G227" s="283">
        <v>40</v>
      </c>
      <c r="H227" s="283">
        <v>4697</v>
      </c>
      <c r="I227" s="286">
        <f>(G227+IF('Scenario Analysis'!$N$23=1,0,0.5))*H227</f>
        <v>190228.5</v>
      </c>
      <c r="K227" s="283" t="s">
        <v>1271</v>
      </c>
      <c r="L227" s="283" t="s">
        <v>665</v>
      </c>
      <c r="M227" s="283" t="s">
        <v>247</v>
      </c>
      <c r="N227" s="283" t="s">
        <v>253</v>
      </c>
      <c r="O227" s="283">
        <v>30</v>
      </c>
      <c r="P227" s="283">
        <v>499784</v>
      </c>
      <c r="Q227" s="287">
        <f>(O227+IF('Scenario Analysis'!$N$23=1,0,0.5))*P227</f>
        <v>15243412</v>
      </c>
    </row>
    <row r="228" spans="3:17" x14ac:dyDescent="0.25">
      <c r="C228" s="300" t="s">
        <v>1271</v>
      </c>
      <c r="D228" s="283" t="s">
        <v>664</v>
      </c>
      <c r="E228" s="283" t="s">
        <v>250</v>
      </c>
      <c r="F228" s="283" t="s">
        <v>184</v>
      </c>
      <c r="G228" s="283">
        <v>41</v>
      </c>
      <c r="H228" s="283">
        <v>328</v>
      </c>
      <c r="I228" s="286">
        <f>(G228+IF('Scenario Analysis'!$N$23=1,0,0.5))*H228</f>
        <v>13612</v>
      </c>
      <c r="K228" s="283" t="s">
        <v>1271</v>
      </c>
      <c r="L228" s="283" t="s">
        <v>665</v>
      </c>
      <c r="M228" s="283" t="s">
        <v>247</v>
      </c>
      <c r="N228" s="283" t="s">
        <v>253</v>
      </c>
      <c r="O228" s="283">
        <v>31</v>
      </c>
      <c r="P228" s="283">
        <v>689650</v>
      </c>
      <c r="Q228" s="287">
        <f>(O228+IF('Scenario Analysis'!$N$23=1,0,0.5))*P228</f>
        <v>21723975</v>
      </c>
    </row>
    <row r="229" spans="3:17" x14ac:dyDescent="0.25">
      <c r="C229" s="300" t="s">
        <v>1271</v>
      </c>
      <c r="D229" s="283" t="s">
        <v>664</v>
      </c>
      <c r="E229" s="283" t="s">
        <v>250</v>
      </c>
      <c r="F229" s="283" t="s">
        <v>184</v>
      </c>
      <c r="G229" s="283">
        <v>42</v>
      </c>
      <c r="H229" s="283">
        <v>1468</v>
      </c>
      <c r="I229" s="286">
        <f>(G229+IF('Scenario Analysis'!$N$23=1,0,0.5))*H229</f>
        <v>62390</v>
      </c>
      <c r="K229" s="283" t="s">
        <v>1271</v>
      </c>
      <c r="L229" s="283" t="s">
        <v>665</v>
      </c>
      <c r="M229" s="283" t="s">
        <v>247</v>
      </c>
      <c r="N229" s="283" t="s">
        <v>253</v>
      </c>
      <c r="O229" s="283">
        <v>32</v>
      </c>
      <c r="P229" s="283">
        <v>545602</v>
      </c>
      <c r="Q229" s="287">
        <f>(O229+IF('Scenario Analysis'!$N$23=1,0,0.5))*P229</f>
        <v>17732065</v>
      </c>
    </row>
    <row r="230" spans="3:17" x14ac:dyDescent="0.25">
      <c r="C230" s="300" t="s">
        <v>1271</v>
      </c>
      <c r="D230" s="283" t="s">
        <v>664</v>
      </c>
      <c r="E230" s="283" t="s">
        <v>250</v>
      </c>
      <c r="F230" s="283" t="s">
        <v>184</v>
      </c>
      <c r="G230" s="283">
        <v>43</v>
      </c>
      <c r="H230" s="283">
        <v>730</v>
      </c>
      <c r="I230" s="286">
        <f>(G230+IF('Scenario Analysis'!$N$23=1,0,0.5))*H230</f>
        <v>31755</v>
      </c>
      <c r="K230" s="283" t="s">
        <v>1271</v>
      </c>
      <c r="L230" s="283" t="s">
        <v>665</v>
      </c>
      <c r="M230" s="283" t="s">
        <v>247</v>
      </c>
      <c r="N230" s="283" t="s">
        <v>253</v>
      </c>
      <c r="O230" s="283">
        <v>33</v>
      </c>
      <c r="P230" s="283">
        <v>509841</v>
      </c>
      <c r="Q230" s="287">
        <f>(O230+IF('Scenario Analysis'!$N$23=1,0,0.5))*P230</f>
        <v>17079673.5</v>
      </c>
    </row>
    <row r="231" spans="3:17" x14ac:dyDescent="0.25">
      <c r="C231" s="300" t="s">
        <v>1271</v>
      </c>
      <c r="D231" s="283" t="s">
        <v>664</v>
      </c>
      <c r="E231" s="283" t="s">
        <v>250</v>
      </c>
      <c r="F231" s="283" t="s">
        <v>184</v>
      </c>
      <c r="G231" s="283">
        <v>44</v>
      </c>
      <c r="H231" s="283">
        <v>649</v>
      </c>
      <c r="I231" s="286">
        <f>(G231+IF('Scenario Analysis'!$N$23=1,0,0.5))*H231</f>
        <v>28880.5</v>
      </c>
      <c r="K231" s="283" t="s">
        <v>1271</v>
      </c>
      <c r="L231" s="283" t="s">
        <v>665</v>
      </c>
      <c r="M231" s="283" t="s">
        <v>247</v>
      </c>
      <c r="N231" s="283" t="s">
        <v>253</v>
      </c>
      <c r="O231" s="283">
        <v>34</v>
      </c>
      <c r="P231" s="283">
        <v>379976</v>
      </c>
      <c r="Q231" s="287">
        <f>(O231+IF('Scenario Analysis'!$N$23=1,0,0.5))*P231</f>
        <v>13109172</v>
      </c>
    </row>
    <row r="232" spans="3:17" x14ac:dyDescent="0.25">
      <c r="C232" s="300" t="s">
        <v>1271</v>
      </c>
      <c r="D232" s="283" t="s">
        <v>664</v>
      </c>
      <c r="E232" s="283" t="s">
        <v>250</v>
      </c>
      <c r="F232" s="283" t="s">
        <v>184</v>
      </c>
      <c r="G232" s="283">
        <v>45</v>
      </c>
      <c r="H232" s="283">
        <v>219</v>
      </c>
      <c r="I232" s="286">
        <f>(G232+IF('Scenario Analysis'!$N$23=1,0,0.5))*H232</f>
        <v>9964.5</v>
      </c>
      <c r="K232" s="283" t="s">
        <v>1271</v>
      </c>
      <c r="L232" s="283" t="s">
        <v>665</v>
      </c>
      <c r="M232" s="283" t="s">
        <v>247</v>
      </c>
      <c r="N232" s="283" t="s">
        <v>253</v>
      </c>
      <c r="O232" s="283">
        <v>35</v>
      </c>
      <c r="P232" s="283">
        <v>393672</v>
      </c>
      <c r="Q232" s="287">
        <f>(O232+IF('Scenario Analysis'!$N$23=1,0,0.5))*P232</f>
        <v>13975356</v>
      </c>
    </row>
    <row r="233" spans="3:17" x14ac:dyDescent="0.25">
      <c r="C233" s="300" t="s">
        <v>1271</v>
      </c>
      <c r="D233" s="283" t="s">
        <v>664</v>
      </c>
      <c r="E233" s="283" t="s">
        <v>250</v>
      </c>
      <c r="F233" s="283" t="s">
        <v>184</v>
      </c>
      <c r="G233" s="283">
        <v>46</v>
      </c>
      <c r="H233" s="283">
        <v>172</v>
      </c>
      <c r="I233" s="286">
        <f>(G233+IF('Scenario Analysis'!$N$23=1,0,0.5))*H233</f>
        <v>7998</v>
      </c>
      <c r="K233" s="283" t="s">
        <v>1271</v>
      </c>
      <c r="L233" s="283" t="s">
        <v>665</v>
      </c>
      <c r="M233" s="283" t="s">
        <v>247</v>
      </c>
      <c r="N233" s="283" t="s">
        <v>253</v>
      </c>
      <c r="O233" s="283">
        <v>36</v>
      </c>
      <c r="P233" s="283">
        <v>470826</v>
      </c>
      <c r="Q233" s="287">
        <f>(O233+IF('Scenario Analysis'!$N$23=1,0,0.5))*P233</f>
        <v>17185149</v>
      </c>
    </row>
    <row r="234" spans="3:17" x14ac:dyDescent="0.25">
      <c r="C234" s="300" t="s">
        <v>1271</v>
      </c>
      <c r="D234" s="283" t="s">
        <v>664</v>
      </c>
      <c r="E234" s="283" t="s">
        <v>250</v>
      </c>
      <c r="F234" s="283" t="s">
        <v>184</v>
      </c>
      <c r="G234" s="283">
        <v>47</v>
      </c>
      <c r="H234" s="283">
        <v>1</v>
      </c>
      <c r="I234" s="286">
        <f>(G234+IF('Scenario Analysis'!$N$23=1,0,0.5))*H234</f>
        <v>47.5</v>
      </c>
      <c r="K234" s="283" t="s">
        <v>1271</v>
      </c>
      <c r="L234" s="283" t="s">
        <v>665</v>
      </c>
      <c r="M234" s="283" t="s">
        <v>247</v>
      </c>
      <c r="N234" s="283" t="s">
        <v>253</v>
      </c>
      <c r="O234" s="283">
        <v>37</v>
      </c>
      <c r="P234" s="283">
        <v>179354</v>
      </c>
      <c r="Q234" s="287">
        <f>(O234+IF('Scenario Analysis'!$N$23=1,0,0.5))*P234</f>
        <v>6725775</v>
      </c>
    </row>
    <row r="235" spans="3:17" x14ac:dyDescent="0.25">
      <c r="C235" s="300" t="s">
        <v>1271</v>
      </c>
      <c r="D235" s="283" t="s">
        <v>664</v>
      </c>
      <c r="E235" s="283" t="s">
        <v>250</v>
      </c>
      <c r="F235" s="283" t="s">
        <v>184</v>
      </c>
      <c r="G235" s="283">
        <v>48</v>
      </c>
      <c r="H235" s="283">
        <v>1</v>
      </c>
      <c r="I235" s="286">
        <f>(G235+IF('Scenario Analysis'!$N$23=1,0,0.5))*H235</f>
        <v>48.5</v>
      </c>
      <c r="K235" s="283" t="s">
        <v>1271</v>
      </c>
      <c r="L235" s="283" t="s">
        <v>665</v>
      </c>
      <c r="M235" s="283" t="s">
        <v>247</v>
      </c>
      <c r="N235" s="283" t="s">
        <v>253</v>
      </c>
      <c r="O235" s="283">
        <v>38</v>
      </c>
      <c r="P235" s="283">
        <v>432941</v>
      </c>
      <c r="Q235" s="287">
        <f>(O235+IF('Scenario Analysis'!$N$23=1,0,0.5))*P235</f>
        <v>16668228.5</v>
      </c>
    </row>
    <row r="236" spans="3:17" x14ac:dyDescent="0.25">
      <c r="C236" s="300" t="s">
        <v>1271</v>
      </c>
      <c r="D236" s="283" t="s">
        <v>664</v>
      </c>
      <c r="E236" s="283" t="s">
        <v>250</v>
      </c>
      <c r="F236" s="283" t="s">
        <v>184</v>
      </c>
      <c r="G236" s="283">
        <v>55</v>
      </c>
      <c r="H236" s="283">
        <v>1</v>
      </c>
      <c r="I236" s="286">
        <f>(G236+IF('Scenario Analysis'!$N$23=1,0,0.5))*H236</f>
        <v>55.5</v>
      </c>
      <c r="K236" s="283" t="s">
        <v>1271</v>
      </c>
      <c r="L236" s="283" t="s">
        <v>665</v>
      </c>
      <c r="M236" s="283" t="s">
        <v>247</v>
      </c>
      <c r="N236" s="283" t="s">
        <v>253</v>
      </c>
      <c r="O236" s="283">
        <v>39</v>
      </c>
      <c r="P236" s="283">
        <v>248245</v>
      </c>
      <c r="Q236" s="287">
        <f>(O236+IF('Scenario Analysis'!$N$23=1,0,0.5))*P236</f>
        <v>9805677.5</v>
      </c>
    </row>
    <row r="237" spans="3:17" x14ac:dyDescent="0.25">
      <c r="C237" s="300" t="s">
        <v>1271</v>
      </c>
      <c r="D237" s="283" t="s">
        <v>666</v>
      </c>
      <c r="E237" s="283" t="s">
        <v>250</v>
      </c>
      <c r="F237" s="283" t="s">
        <v>185</v>
      </c>
      <c r="G237" s="283">
        <v>0</v>
      </c>
      <c r="H237" s="283">
        <v>178850</v>
      </c>
      <c r="I237" s="286">
        <f>(G237+IF('Scenario Analysis'!$N$23=1,0,0.5))*H237</f>
        <v>89425</v>
      </c>
      <c r="K237" s="283" t="s">
        <v>1271</v>
      </c>
      <c r="L237" s="283" t="s">
        <v>665</v>
      </c>
      <c r="M237" s="283" t="s">
        <v>247</v>
      </c>
      <c r="N237" s="283" t="s">
        <v>253</v>
      </c>
      <c r="O237" s="283">
        <v>40</v>
      </c>
      <c r="P237" s="283">
        <v>288155</v>
      </c>
      <c r="Q237" s="287">
        <f>(O237+IF('Scenario Analysis'!$N$23=1,0,0.5))*P237</f>
        <v>11670277.5</v>
      </c>
    </row>
    <row r="238" spans="3:17" x14ac:dyDescent="0.25">
      <c r="C238" s="300" t="s">
        <v>1271</v>
      </c>
      <c r="D238" s="283" t="s">
        <v>666</v>
      </c>
      <c r="E238" s="283" t="s">
        <v>250</v>
      </c>
      <c r="F238" s="283" t="s">
        <v>185</v>
      </c>
      <c r="G238" s="283">
        <v>1</v>
      </c>
      <c r="H238" s="283">
        <v>463665</v>
      </c>
      <c r="I238" s="286">
        <f>(G238+IF('Scenario Analysis'!$N$23=1,0,0.5))*H238</f>
        <v>695497.5</v>
      </c>
      <c r="K238" s="283" t="s">
        <v>1271</v>
      </c>
      <c r="L238" s="283" t="s">
        <v>665</v>
      </c>
      <c r="M238" s="283" t="s">
        <v>247</v>
      </c>
      <c r="N238" s="283" t="s">
        <v>253</v>
      </c>
      <c r="O238" s="283">
        <v>41</v>
      </c>
      <c r="P238" s="283">
        <v>218734</v>
      </c>
      <c r="Q238" s="287">
        <f>(O238+IF('Scenario Analysis'!$N$23=1,0,0.5))*P238</f>
        <v>9077461</v>
      </c>
    </row>
    <row r="239" spans="3:17" x14ac:dyDescent="0.25">
      <c r="C239" s="300" t="s">
        <v>1271</v>
      </c>
      <c r="D239" s="283" t="s">
        <v>666</v>
      </c>
      <c r="E239" s="283" t="s">
        <v>250</v>
      </c>
      <c r="F239" s="283" t="s">
        <v>185</v>
      </c>
      <c r="G239" s="283">
        <v>2</v>
      </c>
      <c r="H239" s="283">
        <v>264979</v>
      </c>
      <c r="I239" s="286">
        <f>(G239+IF('Scenario Analysis'!$N$23=1,0,0.5))*H239</f>
        <v>662447.5</v>
      </c>
      <c r="K239" s="283" t="s">
        <v>1271</v>
      </c>
      <c r="L239" s="283" t="s">
        <v>665</v>
      </c>
      <c r="M239" s="283" t="s">
        <v>247</v>
      </c>
      <c r="N239" s="283" t="s">
        <v>253</v>
      </c>
      <c r="O239" s="283">
        <v>42</v>
      </c>
      <c r="P239" s="283">
        <v>164725</v>
      </c>
      <c r="Q239" s="287">
        <f>(O239+IF('Scenario Analysis'!$N$23=1,0,0.5))*P239</f>
        <v>7000812.5</v>
      </c>
    </row>
    <row r="240" spans="3:17" x14ac:dyDescent="0.25">
      <c r="C240" s="300" t="s">
        <v>1271</v>
      </c>
      <c r="D240" s="283" t="s">
        <v>666</v>
      </c>
      <c r="E240" s="283" t="s">
        <v>250</v>
      </c>
      <c r="F240" s="283" t="s">
        <v>185</v>
      </c>
      <c r="G240" s="283">
        <v>3</v>
      </c>
      <c r="H240" s="283">
        <v>368525</v>
      </c>
      <c r="I240" s="286">
        <f>(G240+IF('Scenario Analysis'!$N$23=1,0,0.5))*H240</f>
        <v>1289837.5</v>
      </c>
      <c r="K240" s="283" t="s">
        <v>1271</v>
      </c>
      <c r="L240" s="283" t="s">
        <v>665</v>
      </c>
      <c r="M240" s="283" t="s">
        <v>247</v>
      </c>
      <c r="N240" s="283" t="s">
        <v>253</v>
      </c>
      <c r="O240" s="283">
        <v>43</v>
      </c>
      <c r="P240" s="283">
        <v>270820</v>
      </c>
      <c r="Q240" s="287">
        <f>(O240+IF('Scenario Analysis'!$N$23=1,0,0.5))*P240</f>
        <v>11780670</v>
      </c>
    </row>
    <row r="241" spans="3:17" x14ac:dyDescent="0.25">
      <c r="C241" s="300" t="s">
        <v>1271</v>
      </c>
      <c r="D241" s="283" t="s">
        <v>666</v>
      </c>
      <c r="E241" s="283" t="s">
        <v>250</v>
      </c>
      <c r="F241" s="283" t="s">
        <v>185</v>
      </c>
      <c r="G241" s="283">
        <v>4</v>
      </c>
      <c r="H241" s="283">
        <v>236523</v>
      </c>
      <c r="I241" s="286">
        <f>(G241+IF('Scenario Analysis'!$N$23=1,0,0.5))*H241</f>
        <v>1064353.5</v>
      </c>
      <c r="K241" s="283" t="s">
        <v>1271</v>
      </c>
      <c r="L241" s="283" t="s">
        <v>665</v>
      </c>
      <c r="M241" s="283" t="s">
        <v>247</v>
      </c>
      <c r="N241" s="283" t="s">
        <v>253</v>
      </c>
      <c r="O241" s="283">
        <v>44</v>
      </c>
      <c r="P241" s="283">
        <v>236791</v>
      </c>
      <c r="Q241" s="287">
        <f>(O241+IF('Scenario Analysis'!$N$23=1,0,0.5))*P241</f>
        <v>10537199.5</v>
      </c>
    </row>
    <row r="242" spans="3:17" x14ac:dyDescent="0.25">
      <c r="C242" s="300" t="s">
        <v>1271</v>
      </c>
      <c r="D242" s="283" t="s">
        <v>666</v>
      </c>
      <c r="E242" s="283" t="s">
        <v>250</v>
      </c>
      <c r="F242" s="283" t="s">
        <v>185</v>
      </c>
      <c r="G242" s="283">
        <v>5</v>
      </c>
      <c r="H242" s="283">
        <v>60155</v>
      </c>
      <c r="I242" s="286">
        <f>(G242+IF('Scenario Analysis'!$N$23=1,0,0.5))*H242</f>
        <v>330852.5</v>
      </c>
      <c r="K242" s="283" t="s">
        <v>1271</v>
      </c>
      <c r="L242" s="283" t="s">
        <v>665</v>
      </c>
      <c r="M242" s="283" t="s">
        <v>247</v>
      </c>
      <c r="N242" s="283" t="s">
        <v>253</v>
      </c>
      <c r="O242" s="283">
        <v>45</v>
      </c>
      <c r="P242" s="283">
        <v>275174</v>
      </c>
      <c r="Q242" s="287">
        <f>(O242+IF('Scenario Analysis'!$N$23=1,0,0.5))*P242</f>
        <v>12520417</v>
      </c>
    </row>
    <row r="243" spans="3:17" x14ac:dyDescent="0.25">
      <c r="C243" s="300" t="s">
        <v>1271</v>
      </c>
      <c r="D243" s="283" t="s">
        <v>666</v>
      </c>
      <c r="E243" s="283" t="s">
        <v>250</v>
      </c>
      <c r="F243" s="283" t="s">
        <v>185</v>
      </c>
      <c r="G243" s="283">
        <v>6</v>
      </c>
      <c r="H243" s="283">
        <v>90011</v>
      </c>
      <c r="I243" s="286">
        <f>(G243+IF('Scenario Analysis'!$N$23=1,0,0.5))*H243</f>
        <v>585071.5</v>
      </c>
      <c r="K243" s="283" t="s">
        <v>1271</v>
      </c>
      <c r="L243" s="283" t="s">
        <v>665</v>
      </c>
      <c r="M243" s="283" t="s">
        <v>247</v>
      </c>
      <c r="N243" s="283" t="s">
        <v>253</v>
      </c>
      <c r="O243" s="283">
        <v>46</v>
      </c>
      <c r="P243" s="283">
        <v>200242</v>
      </c>
      <c r="Q243" s="287">
        <f>(O243+IF('Scenario Analysis'!$N$23=1,0,0.5))*P243</f>
        <v>9311253</v>
      </c>
    </row>
    <row r="244" spans="3:17" x14ac:dyDescent="0.25">
      <c r="C244" s="300" t="s">
        <v>1271</v>
      </c>
      <c r="D244" s="283" t="s">
        <v>666</v>
      </c>
      <c r="E244" s="283" t="s">
        <v>250</v>
      </c>
      <c r="F244" s="283" t="s">
        <v>185</v>
      </c>
      <c r="G244" s="283">
        <v>7</v>
      </c>
      <c r="H244" s="283">
        <v>52230</v>
      </c>
      <c r="I244" s="286">
        <f>(G244+IF('Scenario Analysis'!$N$23=1,0,0.5))*H244</f>
        <v>391725</v>
      </c>
      <c r="K244" s="283" t="s">
        <v>1271</v>
      </c>
      <c r="L244" s="283" t="s">
        <v>665</v>
      </c>
      <c r="M244" s="283" t="s">
        <v>247</v>
      </c>
      <c r="N244" s="283" t="s">
        <v>253</v>
      </c>
      <c r="O244" s="283">
        <v>47</v>
      </c>
      <c r="P244" s="283">
        <v>264070</v>
      </c>
      <c r="Q244" s="287">
        <f>(O244+IF('Scenario Analysis'!$N$23=1,0,0.5))*P244</f>
        <v>12543325</v>
      </c>
    </row>
    <row r="245" spans="3:17" x14ac:dyDescent="0.25">
      <c r="C245" s="300" t="s">
        <v>1271</v>
      </c>
      <c r="D245" s="283" t="s">
        <v>666</v>
      </c>
      <c r="E245" s="283" t="s">
        <v>250</v>
      </c>
      <c r="F245" s="283" t="s">
        <v>185</v>
      </c>
      <c r="G245" s="283">
        <v>8</v>
      </c>
      <c r="H245" s="283">
        <v>66740</v>
      </c>
      <c r="I245" s="286">
        <f>(G245+IF('Scenario Analysis'!$N$23=1,0,0.5))*H245</f>
        <v>567290</v>
      </c>
      <c r="K245" s="283" t="s">
        <v>1271</v>
      </c>
      <c r="L245" s="283" t="s">
        <v>665</v>
      </c>
      <c r="M245" s="283" t="s">
        <v>247</v>
      </c>
      <c r="N245" s="283" t="s">
        <v>253</v>
      </c>
      <c r="O245" s="283">
        <v>48</v>
      </c>
      <c r="P245" s="283">
        <v>41219</v>
      </c>
      <c r="Q245" s="287">
        <f>(O245+IF('Scenario Analysis'!$N$23=1,0,0.5))*P245</f>
        <v>1999121.5</v>
      </c>
    </row>
    <row r="246" spans="3:17" x14ac:dyDescent="0.25">
      <c r="C246" s="300" t="s">
        <v>1271</v>
      </c>
      <c r="D246" s="283" t="s">
        <v>666</v>
      </c>
      <c r="E246" s="283" t="s">
        <v>250</v>
      </c>
      <c r="F246" s="283" t="s">
        <v>185</v>
      </c>
      <c r="G246" s="283">
        <v>9</v>
      </c>
      <c r="H246" s="283">
        <v>961803</v>
      </c>
      <c r="I246" s="286">
        <f>(G246+IF('Scenario Analysis'!$N$23=1,0,0.5))*H246</f>
        <v>9137128.5</v>
      </c>
      <c r="K246" s="283" t="s">
        <v>1271</v>
      </c>
      <c r="L246" s="283" t="s">
        <v>665</v>
      </c>
      <c r="M246" s="283" t="s">
        <v>247</v>
      </c>
      <c r="N246" s="283" t="s">
        <v>253</v>
      </c>
      <c r="O246" s="283">
        <v>49</v>
      </c>
      <c r="P246" s="283">
        <v>303771</v>
      </c>
      <c r="Q246" s="287">
        <f>(O246+IF('Scenario Analysis'!$N$23=1,0,0.5))*P246</f>
        <v>15036664.5</v>
      </c>
    </row>
    <row r="247" spans="3:17" x14ac:dyDescent="0.25">
      <c r="C247" s="300" t="s">
        <v>1271</v>
      </c>
      <c r="D247" s="283" t="s">
        <v>666</v>
      </c>
      <c r="E247" s="283" t="s">
        <v>250</v>
      </c>
      <c r="F247" s="283" t="s">
        <v>185</v>
      </c>
      <c r="G247" s="283">
        <v>10</v>
      </c>
      <c r="H247" s="283">
        <v>11090</v>
      </c>
      <c r="I247" s="286">
        <f>(G247+IF('Scenario Analysis'!$N$23=1,0,0.5))*H247</f>
        <v>116445</v>
      </c>
      <c r="K247" s="283" t="s">
        <v>1271</v>
      </c>
      <c r="L247" s="283" t="s">
        <v>665</v>
      </c>
      <c r="M247" s="283" t="s">
        <v>247</v>
      </c>
      <c r="N247" s="283" t="s">
        <v>253</v>
      </c>
      <c r="O247" s="283">
        <v>50</v>
      </c>
      <c r="P247" s="283">
        <v>137211</v>
      </c>
      <c r="Q247" s="287">
        <f>(O247+IF('Scenario Analysis'!$N$23=1,0,0.5))*P247</f>
        <v>6929155.5</v>
      </c>
    </row>
    <row r="248" spans="3:17" x14ac:dyDescent="0.25">
      <c r="C248" s="300" t="s">
        <v>1271</v>
      </c>
      <c r="D248" s="283" t="s">
        <v>666</v>
      </c>
      <c r="E248" s="283" t="s">
        <v>250</v>
      </c>
      <c r="F248" s="283" t="s">
        <v>185</v>
      </c>
      <c r="G248" s="283">
        <v>11</v>
      </c>
      <c r="H248" s="283">
        <v>42532</v>
      </c>
      <c r="I248" s="286">
        <f>(G248+IF('Scenario Analysis'!$N$23=1,0,0.5))*H248</f>
        <v>489118</v>
      </c>
      <c r="K248" s="283" t="s">
        <v>1271</v>
      </c>
      <c r="L248" s="283" t="s">
        <v>665</v>
      </c>
      <c r="M248" s="283" t="s">
        <v>247</v>
      </c>
      <c r="N248" s="283" t="s">
        <v>253</v>
      </c>
      <c r="O248" s="283">
        <v>51</v>
      </c>
      <c r="P248" s="283">
        <v>29974</v>
      </c>
      <c r="Q248" s="287">
        <f>(O248+IF('Scenario Analysis'!$N$23=1,0,0.5))*P248</f>
        <v>1543661</v>
      </c>
    </row>
    <row r="249" spans="3:17" x14ac:dyDescent="0.25">
      <c r="C249" s="300" t="s">
        <v>1271</v>
      </c>
      <c r="D249" s="283" t="s">
        <v>666</v>
      </c>
      <c r="E249" s="283" t="s">
        <v>250</v>
      </c>
      <c r="F249" s="283" t="s">
        <v>185</v>
      </c>
      <c r="G249" s="283">
        <v>12</v>
      </c>
      <c r="H249" s="283">
        <v>92829</v>
      </c>
      <c r="I249" s="286">
        <f>(G249+IF('Scenario Analysis'!$N$23=1,0,0.5))*H249</f>
        <v>1160362.5</v>
      </c>
      <c r="K249" s="283" t="s">
        <v>1271</v>
      </c>
      <c r="L249" s="283" t="s">
        <v>665</v>
      </c>
      <c r="M249" s="283" t="s">
        <v>247</v>
      </c>
      <c r="N249" s="283" t="s">
        <v>253</v>
      </c>
      <c r="O249" s="283">
        <v>52</v>
      </c>
      <c r="P249" s="283">
        <v>81653</v>
      </c>
      <c r="Q249" s="287">
        <f>(O249+IF('Scenario Analysis'!$N$23=1,0,0.5))*P249</f>
        <v>4286782.5</v>
      </c>
    </row>
    <row r="250" spans="3:17" x14ac:dyDescent="0.25">
      <c r="C250" s="300" t="s">
        <v>1271</v>
      </c>
      <c r="D250" s="283" t="s">
        <v>666</v>
      </c>
      <c r="E250" s="283" t="s">
        <v>250</v>
      </c>
      <c r="F250" s="283" t="s">
        <v>185</v>
      </c>
      <c r="G250" s="283">
        <v>13</v>
      </c>
      <c r="H250" s="283">
        <v>549</v>
      </c>
      <c r="I250" s="286">
        <f>(G250+IF('Scenario Analysis'!$N$23=1,0,0.5))*H250</f>
        <v>7411.5</v>
      </c>
      <c r="K250" s="283" t="s">
        <v>1271</v>
      </c>
      <c r="L250" s="283" t="s">
        <v>665</v>
      </c>
      <c r="M250" s="283" t="s">
        <v>247</v>
      </c>
      <c r="N250" s="283" t="s">
        <v>253</v>
      </c>
      <c r="O250" s="283">
        <v>53</v>
      </c>
      <c r="P250" s="283">
        <v>51715</v>
      </c>
      <c r="Q250" s="287">
        <f>(O250+IF('Scenario Analysis'!$N$23=1,0,0.5))*P250</f>
        <v>2766752.5</v>
      </c>
    </row>
    <row r="251" spans="3:17" x14ac:dyDescent="0.25">
      <c r="C251" s="300" t="s">
        <v>1271</v>
      </c>
      <c r="D251" s="283" t="s">
        <v>666</v>
      </c>
      <c r="E251" s="283" t="s">
        <v>250</v>
      </c>
      <c r="F251" s="283" t="s">
        <v>185</v>
      </c>
      <c r="G251" s="283">
        <v>14</v>
      </c>
      <c r="H251" s="283">
        <v>110</v>
      </c>
      <c r="I251" s="286">
        <f>(G251+IF('Scenario Analysis'!$N$23=1,0,0.5))*H251</f>
        <v>1595</v>
      </c>
      <c r="K251" s="283" t="s">
        <v>1271</v>
      </c>
      <c r="L251" s="283" t="s">
        <v>665</v>
      </c>
      <c r="M251" s="283" t="s">
        <v>247</v>
      </c>
      <c r="N251" s="283" t="s">
        <v>253</v>
      </c>
      <c r="O251" s="283">
        <v>54</v>
      </c>
      <c r="P251" s="283">
        <v>19320</v>
      </c>
      <c r="Q251" s="287">
        <f>(O251+IF('Scenario Analysis'!$N$23=1,0,0.5))*P251</f>
        <v>1052940</v>
      </c>
    </row>
    <row r="252" spans="3:17" x14ac:dyDescent="0.25">
      <c r="C252" s="300" t="s">
        <v>1271</v>
      </c>
      <c r="D252" s="283" t="s">
        <v>666</v>
      </c>
      <c r="E252" s="283" t="s">
        <v>250</v>
      </c>
      <c r="F252" s="283" t="s">
        <v>185</v>
      </c>
      <c r="G252" s="283">
        <v>15</v>
      </c>
      <c r="H252" s="283">
        <v>3300</v>
      </c>
      <c r="I252" s="286">
        <f>(G252+IF('Scenario Analysis'!$N$23=1,0,0.5))*H252</f>
        <v>51150</v>
      </c>
      <c r="K252" s="283" t="s">
        <v>1271</v>
      </c>
      <c r="L252" s="283" t="s">
        <v>665</v>
      </c>
      <c r="M252" s="283" t="s">
        <v>247</v>
      </c>
      <c r="N252" s="283" t="s">
        <v>253</v>
      </c>
      <c r="O252" s="283">
        <v>55</v>
      </c>
      <c r="P252" s="283">
        <v>89310</v>
      </c>
      <c r="Q252" s="287">
        <f>(O252+IF('Scenario Analysis'!$N$23=1,0,0.5))*P252</f>
        <v>4956705</v>
      </c>
    </row>
    <row r="253" spans="3:17" x14ac:dyDescent="0.25">
      <c r="C253" s="300" t="s">
        <v>1271</v>
      </c>
      <c r="D253" s="283" t="s">
        <v>666</v>
      </c>
      <c r="E253" s="283" t="s">
        <v>250</v>
      </c>
      <c r="F253" s="283" t="s">
        <v>185</v>
      </c>
      <c r="G253" s="283">
        <v>16</v>
      </c>
      <c r="H253" s="283">
        <v>15042</v>
      </c>
      <c r="I253" s="286">
        <f>(G253+IF('Scenario Analysis'!$N$23=1,0,0.5))*H253</f>
        <v>248193</v>
      </c>
      <c r="K253" s="283" t="s">
        <v>1271</v>
      </c>
      <c r="L253" s="283" t="s">
        <v>665</v>
      </c>
      <c r="M253" s="283" t="s">
        <v>247</v>
      </c>
      <c r="N253" s="283" t="s">
        <v>253</v>
      </c>
      <c r="O253" s="283">
        <v>56</v>
      </c>
      <c r="P253" s="283">
        <v>15275</v>
      </c>
      <c r="Q253" s="287">
        <f>(O253+IF('Scenario Analysis'!$N$23=1,0,0.5))*P253</f>
        <v>863037.5</v>
      </c>
    </row>
    <row r="254" spans="3:17" x14ac:dyDescent="0.25">
      <c r="C254" s="300" t="s">
        <v>1271</v>
      </c>
      <c r="D254" s="283" t="s">
        <v>666</v>
      </c>
      <c r="E254" s="283" t="s">
        <v>250</v>
      </c>
      <c r="F254" s="283" t="s">
        <v>185</v>
      </c>
      <c r="G254" s="283">
        <v>17</v>
      </c>
      <c r="H254" s="283">
        <v>28</v>
      </c>
      <c r="I254" s="286">
        <f>(G254+IF('Scenario Analysis'!$N$23=1,0,0.5))*H254</f>
        <v>490</v>
      </c>
      <c r="K254" s="283" t="s">
        <v>1271</v>
      </c>
      <c r="L254" s="283" t="s">
        <v>665</v>
      </c>
      <c r="M254" s="283" t="s">
        <v>247</v>
      </c>
      <c r="N254" s="283" t="s">
        <v>253</v>
      </c>
      <c r="O254" s="283">
        <v>57</v>
      </c>
      <c r="P254" s="283">
        <v>14800</v>
      </c>
      <c r="Q254" s="287">
        <f>(O254+IF('Scenario Analysis'!$N$23=1,0,0.5))*P254</f>
        <v>851000</v>
      </c>
    </row>
    <row r="255" spans="3:17" x14ac:dyDescent="0.25">
      <c r="C255" s="300" t="s">
        <v>1271</v>
      </c>
      <c r="D255" s="283" t="s">
        <v>666</v>
      </c>
      <c r="E255" s="283" t="s">
        <v>250</v>
      </c>
      <c r="F255" s="283" t="s">
        <v>185</v>
      </c>
      <c r="G255" s="283">
        <v>18</v>
      </c>
      <c r="H255" s="283">
        <v>1385</v>
      </c>
      <c r="I255" s="286">
        <f>(G255+IF('Scenario Analysis'!$N$23=1,0,0.5))*H255</f>
        <v>25622.5</v>
      </c>
      <c r="K255" s="283" t="s">
        <v>1271</v>
      </c>
      <c r="L255" s="283" t="s">
        <v>665</v>
      </c>
      <c r="M255" s="283" t="s">
        <v>247</v>
      </c>
      <c r="N255" s="283" t="s">
        <v>253</v>
      </c>
      <c r="O255" s="283">
        <v>58</v>
      </c>
      <c r="P255" s="283">
        <v>110036</v>
      </c>
      <c r="Q255" s="287">
        <f>(O255+IF('Scenario Analysis'!$N$23=1,0,0.5))*P255</f>
        <v>6437106</v>
      </c>
    </row>
    <row r="256" spans="3:17" x14ac:dyDescent="0.25">
      <c r="C256" s="300" t="s">
        <v>1271</v>
      </c>
      <c r="D256" s="283" t="s">
        <v>666</v>
      </c>
      <c r="E256" s="283" t="s">
        <v>250</v>
      </c>
      <c r="F256" s="283" t="s">
        <v>185</v>
      </c>
      <c r="G256" s="283">
        <v>19</v>
      </c>
      <c r="H256" s="283">
        <v>8490</v>
      </c>
      <c r="I256" s="286">
        <f>(G256+IF('Scenario Analysis'!$N$23=1,0,0.5))*H256</f>
        <v>165555</v>
      </c>
      <c r="K256" s="283" t="s">
        <v>1271</v>
      </c>
      <c r="L256" s="283" t="s">
        <v>665</v>
      </c>
      <c r="M256" s="283" t="s">
        <v>247</v>
      </c>
      <c r="N256" s="283" t="s">
        <v>253</v>
      </c>
      <c r="O256" s="283">
        <v>59</v>
      </c>
      <c r="P256" s="283">
        <v>12640</v>
      </c>
      <c r="Q256" s="287">
        <f>(O256+IF('Scenario Analysis'!$N$23=1,0,0.5))*P256</f>
        <v>752080</v>
      </c>
    </row>
    <row r="257" spans="3:17" x14ac:dyDescent="0.25">
      <c r="C257" s="300" t="s">
        <v>1271</v>
      </c>
      <c r="D257" s="283" t="s">
        <v>666</v>
      </c>
      <c r="E257" s="283" t="s">
        <v>250</v>
      </c>
      <c r="F257" s="283" t="s">
        <v>185</v>
      </c>
      <c r="G257" s="283">
        <v>21</v>
      </c>
      <c r="H257" s="283">
        <v>23</v>
      </c>
      <c r="I257" s="286">
        <f>(G257+IF('Scenario Analysis'!$N$23=1,0,0.5))*H257</f>
        <v>494.5</v>
      </c>
      <c r="K257" s="283" t="s">
        <v>1271</v>
      </c>
      <c r="L257" s="283" t="s">
        <v>665</v>
      </c>
      <c r="M257" s="283" t="s">
        <v>247</v>
      </c>
      <c r="N257" s="283" t="s">
        <v>253</v>
      </c>
      <c r="O257" s="283">
        <v>60</v>
      </c>
      <c r="P257" s="283">
        <v>22032</v>
      </c>
      <c r="Q257" s="287">
        <f>(O257+IF('Scenario Analysis'!$N$23=1,0,0.5))*P257</f>
        <v>1332936</v>
      </c>
    </row>
    <row r="258" spans="3:17" x14ac:dyDescent="0.25">
      <c r="C258" s="300" t="s">
        <v>1271</v>
      </c>
      <c r="D258" s="283" t="s">
        <v>666</v>
      </c>
      <c r="E258" s="283" t="s">
        <v>250</v>
      </c>
      <c r="F258" s="283" t="s">
        <v>185</v>
      </c>
      <c r="G258" s="283">
        <v>22</v>
      </c>
      <c r="H258" s="283">
        <v>11</v>
      </c>
      <c r="I258" s="286">
        <f>(G258+IF('Scenario Analysis'!$N$23=1,0,0.5))*H258</f>
        <v>247.5</v>
      </c>
      <c r="K258" s="283" t="s">
        <v>1271</v>
      </c>
      <c r="L258" s="283" t="s">
        <v>665</v>
      </c>
      <c r="M258" s="283" t="s">
        <v>247</v>
      </c>
      <c r="N258" s="283" t="s">
        <v>253</v>
      </c>
      <c r="O258" s="283">
        <v>61</v>
      </c>
      <c r="P258" s="283">
        <v>27501</v>
      </c>
      <c r="Q258" s="287">
        <f>(O258+IF('Scenario Analysis'!$N$23=1,0,0.5))*P258</f>
        <v>1691311.5</v>
      </c>
    </row>
    <row r="259" spans="3:17" x14ac:dyDescent="0.25">
      <c r="C259" s="300" t="s">
        <v>1271</v>
      </c>
      <c r="D259" s="283" t="s">
        <v>667</v>
      </c>
      <c r="E259" s="283" t="s">
        <v>250</v>
      </c>
      <c r="F259" s="283" t="s">
        <v>248</v>
      </c>
      <c r="G259" s="283">
        <v>0</v>
      </c>
      <c r="H259" s="283">
        <v>1706736</v>
      </c>
      <c r="I259" s="286">
        <f>(G259+IF('Scenario Analysis'!$N$23=1,0,0.5))*H259</f>
        <v>853368</v>
      </c>
      <c r="K259" s="283" t="s">
        <v>1271</v>
      </c>
      <c r="L259" s="283" t="s">
        <v>665</v>
      </c>
      <c r="M259" s="283" t="s">
        <v>247</v>
      </c>
      <c r="N259" s="283" t="s">
        <v>253</v>
      </c>
      <c r="O259" s="283">
        <v>62</v>
      </c>
      <c r="P259" s="283">
        <v>7219</v>
      </c>
      <c r="Q259" s="287">
        <f>(O259+IF('Scenario Analysis'!$N$23=1,0,0.5))*P259</f>
        <v>451187.5</v>
      </c>
    </row>
    <row r="260" spans="3:17" x14ac:dyDescent="0.25">
      <c r="C260" s="300" t="s">
        <v>1271</v>
      </c>
      <c r="D260" s="283" t="s">
        <v>667</v>
      </c>
      <c r="E260" s="283" t="s">
        <v>250</v>
      </c>
      <c r="F260" s="283" t="s">
        <v>248</v>
      </c>
      <c r="G260" s="283">
        <v>1</v>
      </c>
      <c r="H260" s="283">
        <v>2764341</v>
      </c>
      <c r="I260" s="286">
        <f>(G260+IF('Scenario Analysis'!$N$23=1,0,0.5))*H260</f>
        <v>4146511.5</v>
      </c>
      <c r="K260" s="283" t="s">
        <v>1271</v>
      </c>
      <c r="L260" s="283" t="s">
        <v>665</v>
      </c>
      <c r="M260" s="283" t="s">
        <v>247</v>
      </c>
      <c r="N260" s="283" t="s">
        <v>253</v>
      </c>
      <c r="O260" s="283">
        <v>63</v>
      </c>
      <c r="P260" s="283">
        <v>20425</v>
      </c>
      <c r="Q260" s="287">
        <f>(O260+IF('Scenario Analysis'!$N$23=1,0,0.5))*P260</f>
        <v>1296987.5</v>
      </c>
    </row>
    <row r="261" spans="3:17" x14ac:dyDescent="0.25">
      <c r="C261" s="300" t="s">
        <v>1271</v>
      </c>
      <c r="D261" s="283" t="s">
        <v>667</v>
      </c>
      <c r="E261" s="283" t="s">
        <v>250</v>
      </c>
      <c r="F261" s="283" t="s">
        <v>248</v>
      </c>
      <c r="G261" s="283">
        <v>2</v>
      </c>
      <c r="H261" s="283">
        <v>605028</v>
      </c>
      <c r="I261" s="286">
        <f>(G261+IF('Scenario Analysis'!$N$23=1,0,0.5))*H261</f>
        <v>1512570</v>
      </c>
      <c r="K261" s="283" t="s">
        <v>1271</v>
      </c>
      <c r="L261" s="283" t="s">
        <v>665</v>
      </c>
      <c r="M261" s="283" t="s">
        <v>247</v>
      </c>
      <c r="N261" s="283" t="s">
        <v>253</v>
      </c>
      <c r="O261" s="283">
        <v>64</v>
      </c>
      <c r="P261" s="283">
        <v>9251</v>
      </c>
      <c r="Q261" s="287">
        <f>(O261+IF('Scenario Analysis'!$N$23=1,0,0.5))*P261</f>
        <v>596689.5</v>
      </c>
    </row>
    <row r="262" spans="3:17" x14ac:dyDescent="0.25">
      <c r="C262" s="300" t="s">
        <v>1271</v>
      </c>
      <c r="D262" s="283" t="s">
        <v>667</v>
      </c>
      <c r="E262" s="283" t="s">
        <v>250</v>
      </c>
      <c r="F262" s="283" t="s">
        <v>248</v>
      </c>
      <c r="G262" s="283">
        <v>3</v>
      </c>
      <c r="H262" s="283">
        <v>661665</v>
      </c>
      <c r="I262" s="286">
        <f>(G262+IF('Scenario Analysis'!$N$23=1,0,0.5))*H262</f>
        <v>2315827.5</v>
      </c>
      <c r="K262" s="283" t="s">
        <v>1271</v>
      </c>
      <c r="L262" s="283" t="s">
        <v>665</v>
      </c>
      <c r="M262" s="283" t="s">
        <v>247</v>
      </c>
      <c r="N262" s="283" t="s">
        <v>253</v>
      </c>
      <c r="O262" s="283">
        <v>65</v>
      </c>
      <c r="P262" s="283">
        <v>4662</v>
      </c>
      <c r="Q262" s="287">
        <f>(O262+IF('Scenario Analysis'!$N$23=1,0,0.5))*P262</f>
        <v>305361</v>
      </c>
    </row>
    <row r="263" spans="3:17" x14ac:dyDescent="0.25">
      <c r="C263" s="300" t="s">
        <v>1271</v>
      </c>
      <c r="D263" s="283" t="s">
        <v>667</v>
      </c>
      <c r="E263" s="283" t="s">
        <v>250</v>
      </c>
      <c r="F263" s="283" t="s">
        <v>248</v>
      </c>
      <c r="G263" s="283">
        <v>4</v>
      </c>
      <c r="H263" s="283">
        <v>1027061</v>
      </c>
      <c r="I263" s="286">
        <f>(G263+IF('Scenario Analysis'!$N$23=1,0,0.5))*H263</f>
        <v>4621774.5</v>
      </c>
      <c r="K263" s="283" t="s">
        <v>1271</v>
      </c>
      <c r="L263" s="283" t="s">
        <v>665</v>
      </c>
      <c r="M263" s="283" t="s">
        <v>247</v>
      </c>
      <c r="N263" s="283" t="s">
        <v>253</v>
      </c>
      <c r="O263" s="283">
        <v>66</v>
      </c>
      <c r="P263" s="283">
        <v>3926</v>
      </c>
      <c r="Q263" s="287">
        <f>(O263+IF('Scenario Analysis'!$N$23=1,0,0.5))*P263</f>
        <v>261079</v>
      </c>
    </row>
    <row r="264" spans="3:17" x14ac:dyDescent="0.25">
      <c r="C264" s="300" t="s">
        <v>1271</v>
      </c>
      <c r="D264" s="283" t="s">
        <v>667</v>
      </c>
      <c r="E264" s="283" t="s">
        <v>250</v>
      </c>
      <c r="F264" s="283" t="s">
        <v>248</v>
      </c>
      <c r="G264" s="283">
        <v>5</v>
      </c>
      <c r="H264" s="283">
        <v>737299</v>
      </c>
      <c r="I264" s="286">
        <f>(G264+IF('Scenario Analysis'!$N$23=1,0,0.5))*H264</f>
        <v>4055144.5</v>
      </c>
      <c r="K264" s="283" t="s">
        <v>1271</v>
      </c>
      <c r="L264" s="283" t="s">
        <v>665</v>
      </c>
      <c r="M264" s="283" t="s">
        <v>247</v>
      </c>
      <c r="N264" s="283" t="s">
        <v>253</v>
      </c>
      <c r="O264" s="283">
        <v>67</v>
      </c>
      <c r="P264" s="283">
        <v>7654</v>
      </c>
      <c r="Q264" s="287">
        <f>(O264+IF('Scenario Analysis'!$N$23=1,0,0.5))*P264</f>
        <v>516645</v>
      </c>
    </row>
    <row r="265" spans="3:17" x14ac:dyDescent="0.25">
      <c r="C265" s="300" t="s">
        <v>1271</v>
      </c>
      <c r="D265" s="283" t="s">
        <v>667</v>
      </c>
      <c r="E265" s="283" t="s">
        <v>250</v>
      </c>
      <c r="F265" s="283" t="s">
        <v>248</v>
      </c>
      <c r="G265" s="283">
        <v>6</v>
      </c>
      <c r="H265" s="283">
        <v>416296</v>
      </c>
      <c r="I265" s="286">
        <f>(G265+IF('Scenario Analysis'!$N$23=1,0,0.5))*H265</f>
        <v>2705924</v>
      </c>
      <c r="K265" s="283" t="s">
        <v>1271</v>
      </c>
      <c r="L265" s="283" t="s">
        <v>665</v>
      </c>
      <c r="M265" s="283" t="s">
        <v>247</v>
      </c>
      <c r="N265" s="283" t="s">
        <v>253</v>
      </c>
      <c r="O265" s="283">
        <v>68</v>
      </c>
      <c r="P265" s="283">
        <v>2115</v>
      </c>
      <c r="Q265" s="287">
        <f>(O265+IF('Scenario Analysis'!$N$23=1,0,0.5))*P265</f>
        <v>144877.5</v>
      </c>
    </row>
    <row r="266" spans="3:17" x14ac:dyDescent="0.25">
      <c r="C266" s="300" t="s">
        <v>1271</v>
      </c>
      <c r="D266" s="283" t="s">
        <v>667</v>
      </c>
      <c r="E266" s="283" t="s">
        <v>250</v>
      </c>
      <c r="F266" s="283" t="s">
        <v>248</v>
      </c>
      <c r="G266" s="283">
        <v>7</v>
      </c>
      <c r="H266" s="283">
        <v>42701</v>
      </c>
      <c r="I266" s="286">
        <f>(G266+IF('Scenario Analysis'!$N$23=1,0,0.5))*H266</f>
        <v>320257.5</v>
      </c>
      <c r="K266" s="283" t="s">
        <v>1271</v>
      </c>
      <c r="L266" s="283" t="s">
        <v>665</v>
      </c>
      <c r="M266" s="283" t="s">
        <v>247</v>
      </c>
      <c r="N266" s="283" t="s">
        <v>253</v>
      </c>
      <c r="O266" s="283">
        <v>69</v>
      </c>
      <c r="P266" s="283">
        <v>2653</v>
      </c>
      <c r="Q266" s="287">
        <f>(O266+IF('Scenario Analysis'!$N$23=1,0,0.5))*P266</f>
        <v>184383.5</v>
      </c>
    </row>
    <row r="267" spans="3:17" x14ac:dyDescent="0.25">
      <c r="C267" s="300" t="s">
        <v>1271</v>
      </c>
      <c r="D267" s="283" t="s">
        <v>667</v>
      </c>
      <c r="E267" s="283" t="s">
        <v>250</v>
      </c>
      <c r="F267" s="283" t="s">
        <v>248</v>
      </c>
      <c r="G267" s="283">
        <v>8</v>
      </c>
      <c r="H267" s="283">
        <v>194</v>
      </c>
      <c r="I267" s="286">
        <f>(G267+IF('Scenario Analysis'!$N$23=1,0,0.5))*H267</f>
        <v>1649</v>
      </c>
      <c r="K267" s="283" t="s">
        <v>1271</v>
      </c>
      <c r="L267" s="283" t="s">
        <v>665</v>
      </c>
      <c r="M267" s="283" t="s">
        <v>247</v>
      </c>
      <c r="N267" s="283" t="s">
        <v>253</v>
      </c>
      <c r="O267" s="283">
        <v>70</v>
      </c>
      <c r="P267" s="283">
        <v>2251</v>
      </c>
      <c r="Q267" s="287">
        <f>(O267+IF('Scenario Analysis'!$N$23=1,0,0.5))*P267</f>
        <v>158695.5</v>
      </c>
    </row>
    <row r="268" spans="3:17" x14ac:dyDescent="0.25">
      <c r="C268" s="300" t="s">
        <v>1271</v>
      </c>
      <c r="D268" s="283" t="s">
        <v>667</v>
      </c>
      <c r="E268" s="283" t="s">
        <v>250</v>
      </c>
      <c r="F268" s="283" t="s">
        <v>248</v>
      </c>
      <c r="G268" s="283">
        <v>9</v>
      </c>
      <c r="H268" s="283">
        <v>181</v>
      </c>
      <c r="I268" s="286">
        <f>(G268+IF('Scenario Analysis'!$N$23=1,0,0.5))*H268</f>
        <v>1719.5</v>
      </c>
      <c r="K268" s="283" t="s">
        <v>1271</v>
      </c>
      <c r="L268" s="283" t="s">
        <v>665</v>
      </c>
      <c r="M268" s="283" t="s">
        <v>247</v>
      </c>
      <c r="N268" s="283" t="s">
        <v>253</v>
      </c>
      <c r="O268" s="283">
        <v>71</v>
      </c>
      <c r="P268" s="283">
        <v>1162</v>
      </c>
      <c r="Q268" s="287">
        <f>(O268+IF('Scenario Analysis'!$N$23=1,0,0.5))*P268</f>
        <v>83083</v>
      </c>
    </row>
    <row r="269" spans="3:17" x14ac:dyDescent="0.25">
      <c r="C269" s="300" t="s">
        <v>1272</v>
      </c>
      <c r="D269" s="283" t="s">
        <v>656</v>
      </c>
      <c r="E269" s="283" t="s">
        <v>247</v>
      </c>
      <c r="F269" s="283" t="s">
        <v>184</v>
      </c>
      <c r="G269" s="283">
        <v>0</v>
      </c>
      <c r="H269" s="283">
        <v>381008</v>
      </c>
      <c r="I269" s="286">
        <f>(G269+IF('Scenario Analysis'!$N$23=1,0,0.5))*H269</f>
        <v>190504</v>
      </c>
      <c r="K269" s="283" t="s">
        <v>1271</v>
      </c>
      <c r="L269" s="283" t="s">
        <v>665</v>
      </c>
      <c r="M269" s="283" t="s">
        <v>247</v>
      </c>
      <c r="N269" s="283" t="s">
        <v>253</v>
      </c>
      <c r="O269" s="283">
        <v>72</v>
      </c>
      <c r="P269" s="283">
        <v>1371</v>
      </c>
      <c r="Q269" s="287">
        <f>(O269+IF('Scenario Analysis'!$N$23=1,0,0.5))*P269</f>
        <v>99397.5</v>
      </c>
    </row>
    <row r="270" spans="3:17" x14ac:dyDescent="0.25">
      <c r="C270" s="300" t="s">
        <v>1272</v>
      </c>
      <c r="D270" s="283" t="s">
        <v>656</v>
      </c>
      <c r="E270" s="283" t="s">
        <v>247</v>
      </c>
      <c r="F270" s="283" t="s">
        <v>184</v>
      </c>
      <c r="G270" s="283">
        <v>1</v>
      </c>
      <c r="H270" s="283">
        <v>1116767</v>
      </c>
      <c r="I270" s="286">
        <f>(G270+IF('Scenario Analysis'!$N$23=1,0,0.5))*H270</f>
        <v>1675150.5</v>
      </c>
      <c r="K270" s="283" t="s">
        <v>1271</v>
      </c>
      <c r="L270" s="283" t="s">
        <v>665</v>
      </c>
      <c r="M270" s="283" t="s">
        <v>247</v>
      </c>
      <c r="N270" s="283" t="s">
        <v>253</v>
      </c>
      <c r="O270" s="283">
        <v>73</v>
      </c>
      <c r="P270" s="283">
        <v>1355</v>
      </c>
      <c r="Q270" s="287">
        <f>(O270+IF('Scenario Analysis'!$N$23=1,0,0.5))*P270</f>
        <v>99592.5</v>
      </c>
    </row>
    <row r="271" spans="3:17" x14ac:dyDescent="0.25">
      <c r="C271" s="300" t="s">
        <v>1272</v>
      </c>
      <c r="D271" s="283" t="s">
        <v>656</v>
      </c>
      <c r="E271" s="283" t="s">
        <v>247</v>
      </c>
      <c r="F271" s="283" t="s">
        <v>184</v>
      </c>
      <c r="G271" s="283">
        <v>2</v>
      </c>
      <c r="H271" s="283">
        <v>954314</v>
      </c>
      <c r="I271" s="286">
        <f>(G271+IF('Scenario Analysis'!$N$23=1,0,0.5))*H271</f>
        <v>2385785</v>
      </c>
      <c r="K271" s="283" t="s">
        <v>1271</v>
      </c>
      <c r="L271" s="283" t="s">
        <v>665</v>
      </c>
      <c r="M271" s="283" t="s">
        <v>247</v>
      </c>
      <c r="N271" s="283" t="s">
        <v>253</v>
      </c>
      <c r="O271" s="283">
        <v>74</v>
      </c>
      <c r="P271" s="283">
        <v>670</v>
      </c>
      <c r="Q271" s="287">
        <f>(O271+IF('Scenario Analysis'!$N$23=1,0,0.5))*P271</f>
        <v>49915</v>
      </c>
    </row>
    <row r="272" spans="3:17" x14ac:dyDescent="0.25">
      <c r="C272" s="300" t="s">
        <v>1272</v>
      </c>
      <c r="D272" s="283" t="s">
        <v>656</v>
      </c>
      <c r="E272" s="283" t="s">
        <v>247</v>
      </c>
      <c r="F272" s="283" t="s">
        <v>184</v>
      </c>
      <c r="G272" s="283">
        <v>3</v>
      </c>
      <c r="H272" s="283">
        <v>649736</v>
      </c>
      <c r="I272" s="286">
        <f>(G272+IF('Scenario Analysis'!$N$23=1,0,0.5))*H272</f>
        <v>2274076</v>
      </c>
      <c r="K272" s="283" t="s">
        <v>1271</v>
      </c>
      <c r="L272" s="283" t="s">
        <v>665</v>
      </c>
      <c r="M272" s="283" t="s">
        <v>247</v>
      </c>
      <c r="N272" s="283" t="s">
        <v>253</v>
      </c>
      <c r="O272" s="283">
        <v>75</v>
      </c>
      <c r="P272" s="283">
        <v>869</v>
      </c>
      <c r="Q272" s="287">
        <f>(O272+IF('Scenario Analysis'!$N$23=1,0,0.5))*P272</f>
        <v>65609.5</v>
      </c>
    </row>
    <row r="273" spans="3:17" x14ac:dyDescent="0.25">
      <c r="C273" s="300" t="s">
        <v>1272</v>
      </c>
      <c r="D273" s="283" t="s">
        <v>656</v>
      </c>
      <c r="E273" s="283" t="s">
        <v>247</v>
      </c>
      <c r="F273" s="283" t="s">
        <v>184</v>
      </c>
      <c r="G273" s="283">
        <v>4</v>
      </c>
      <c r="H273" s="283">
        <v>522716</v>
      </c>
      <c r="I273" s="286">
        <f>(G273+IF('Scenario Analysis'!$N$23=1,0,0.5))*H273</f>
        <v>2352222</v>
      </c>
      <c r="K273" s="283" t="s">
        <v>1271</v>
      </c>
      <c r="L273" s="283" t="s">
        <v>665</v>
      </c>
      <c r="M273" s="283" t="s">
        <v>247</v>
      </c>
      <c r="N273" s="283" t="s">
        <v>253</v>
      </c>
      <c r="O273" s="283">
        <v>76</v>
      </c>
      <c r="P273" s="283">
        <v>773</v>
      </c>
      <c r="Q273" s="287">
        <f>(O273+IF('Scenario Analysis'!$N$23=1,0,0.5))*P273</f>
        <v>59134.5</v>
      </c>
    </row>
    <row r="274" spans="3:17" x14ac:dyDescent="0.25">
      <c r="C274" s="300" t="s">
        <v>1272</v>
      </c>
      <c r="D274" s="283" t="s">
        <v>656</v>
      </c>
      <c r="E274" s="283" t="s">
        <v>247</v>
      </c>
      <c r="F274" s="283" t="s">
        <v>184</v>
      </c>
      <c r="G274" s="283">
        <v>5</v>
      </c>
      <c r="H274" s="283">
        <v>369878</v>
      </c>
      <c r="I274" s="286">
        <f>(G274+IF('Scenario Analysis'!$N$23=1,0,0.5))*H274</f>
        <v>2034329</v>
      </c>
      <c r="K274" s="283" t="s">
        <v>1271</v>
      </c>
      <c r="L274" s="283" t="s">
        <v>665</v>
      </c>
      <c r="M274" s="283" t="s">
        <v>247</v>
      </c>
      <c r="N274" s="283" t="s">
        <v>253</v>
      </c>
      <c r="O274" s="283">
        <v>77</v>
      </c>
      <c r="P274" s="283">
        <v>495</v>
      </c>
      <c r="Q274" s="287">
        <f>(O274+IF('Scenario Analysis'!$N$23=1,0,0.5))*P274</f>
        <v>38362.5</v>
      </c>
    </row>
    <row r="275" spans="3:17" x14ac:dyDescent="0.25">
      <c r="C275" s="300" t="s">
        <v>1272</v>
      </c>
      <c r="D275" s="283" t="s">
        <v>656</v>
      </c>
      <c r="E275" s="283" t="s">
        <v>247</v>
      </c>
      <c r="F275" s="283" t="s">
        <v>184</v>
      </c>
      <c r="G275" s="283">
        <v>6</v>
      </c>
      <c r="H275" s="283">
        <v>290270</v>
      </c>
      <c r="I275" s="286">
        <f>(G275+IF('Scenario Analysis'!$N$23=1,0,0.5))*H275</f>
        <v>1886755</v>
      </c>
      <c r="K275" s="283" t="s">
        <v>1271</v>
      </c>
      <c r="L275" s="283" t="s">
        <v>665</v>
      </c>
      <c r="M275" s="283" t="s">
        <v>247</v>
      </c>
      <c r="N275" s="283" t="s">
        <v>253</v>
      </c>
      <c r="O275" s="283">
        <v>78</v>
      </c>
      <c r="P275" s="283">
        <v>476</v>
      </c>
      <c r="Q275" s="287">
        <f>(O275+IF('Scenario Analysis'!$N$23=1,0,0.5))*P275</f>
        <v>37366</v>
      </c>
    </row>
    <row r="276" spans="3:17" x14ac:dyDescent="0.25">
      <c r="C276" s="300" t="s">
        <v>1272</v>
      </c>
      <c r="D276" s="283" t="s">
        <v>656</v>
      </c>
      <c r="E276" s="283" t="s">
        <v>247</v>
      </c>
      <c r="F276" s="283" t="s">
        <v>184</v>
      </c>
      <c r="G276" s="283">
        <v>7</v>
      </c>
      <c r="H276" s="283">
        <v>176139</v>
      </c>
      <c r="I276" s="286">
        <f>(G276+IF('Scenario Analysis'!$N$23=1,0,0.5))*H276</f>
        <v>1321042.5</v>
      </c>
      <c r="K276" s="283" t="s">
        <v>1271</v>
      </c>
      <c r="L276" s="283" t="s">
        <v>665</v>
      </c>
      <c r="M276" s="283" t="s">
        <v>247</v>
      </c>
      <c r="N276" s="283" t="s">
        <v>253</v>
      </c>
      <c r="O276" s="283">
        <v>79</v>
      </c>
      <c r="P276" s="283">
        <v>497</v>
      </c>
      <c r="Q276" s="287">
        <f>(O276+IF('Scenario Analysis'!$N$23=1,0,0.5))*P276</f>
        <v>39511.5</v>
      </c>
    </row>
    <row r="277" spans="3:17" x14ac:dyDescent="0.25">
      <c r="C277" s="300" t="s">
        <v>1272</v>
      </c>
      <c r="D277" s="283" t="s">
        <v>656</v>
      </c>
      <c r="E277" s="283" t="s">
        <v>247</v>
      </c>
      <c r="F277" s="283" t="s">
        <v>184</v>
      </c>
      <c r="G277" s="283">
        <v>8</v>
      </c>
      <c r="H277" s="283">
        <v>144472</v>
      </c>
      <c r="I277" s="286">
        <f>(G277+IF('Scenario Analysis'!$N$23=1,0,0.5))*H277</f>
        <v>1228012</v>
      </c>
      <c r="K277" s="283" t="s">
        <v>1271</v>
      </c>
      <c r="L277" s="283" t="s">
        <v>665</v>
      </c>
      <c r="M277" s="283" t="s">
        <v>247</v>
      </c>
      <c r="N277" s="283" t="s">
        <v>253</v>
      </c>
      <c r="O277" s="283">
        <v>80</v>
      </c>
      <c r="P277" s="283">
        <v>349</v>
      </c>
      <c r="Q277" s="287">
        <f>(O277+IF('Scenario Analysis'!$N$23=1,0,0.5))*P277</f>
        <v>28094.5</v>
      </c>
    </row>
    <row r="278" spans="3:17" x14ac:dyDescent="0.25">
      <c r="C278" s="300" t="s">
        <v>1272</v>
      </c>
      <c r="D278" s="283" t="s">
        <v>656</v>
      </c>
      <c r="E278" s="283" t="s">
        <v>247</v>
      </c>
      <c r="F278" s="283" t="s">
        <v>184</v>
      </c>
      <c r="G278" s="283">
        <v>9</v>
      </c>
      <c r="H278" s="283">
        <v>90478</v>
      </c>
      <c r="I278" s="286">
        <f>(G278+IF('Scenario Analysis'!$N$23=1,0,0.5))*H278</f>
        <v>859541</v>
      </c>
      <c r="K278" s="283" t="s">
        <v>1271</v>
      </c>
      <c r="L278" s="283" t="s">
        <v>665</v>
      </c>
      <c r="M278" s="283" t="s">
        <v>247</v>
      </c>
      <c r="N278" s="283" t="s">
        <v>253</v>
      </c>
      <c r="O278" s="283">
        <v>81</v>
      </c>
      <c r="P278" s="283">
        <v>495</v>
      </c>
      <c r="Q278" s="287">
        <f>(O278+IF('Scenario Analysis'!$N$23=1,0,0.5))*P278</f>
        <v>40342.5</v>
      </c>
    </row>
    <row r="279" spans="3:17" x14ac:dyDescent="0.25">
      <c r="C279" s="300" t="s">
        <v>1272</v>
      </c>
      <c r="D279" s="283" t="s">
        <v>656</v>
      </c>
      <c r="E279" s="283" t="s">
        <v>247</v>
      </c>
      <c r="F279" s="283" t="s">
        <v>184</v>
      </c>
      <c r="G279" s="283">
        <v>10</v>
      </c>
      <c r="H279" s="283">
        <v>70001</v>
      </c>
      <c r="I279" s="286">
        <f>(G279+IF('Scenario Analysis'!$N$23=1,0,0.5))*H279</f>
        <v>735010.5</v>
      </c>
      <c r="K279" s="283" t="s">
        <v>1271</v>
      </c>
      <c r="L279" s="283" t="s">
        <v>665</v>
      </c>
      <c r="M279" s="283" t="s">
        <v>247</v>
      </c>
      <c r="N279" s="283" t="s">
        <v>253</v>
      </c>
      <c r="O279" s="283">
        <v>82</v>
      </c>
      <c r="P279" s="283">
        <v>229</v>
      </c>
      <c r="Q279" s="287">
        <f>(O279+IF('Scenario Analysis'!$N$23=1,0,0.5))*P279</f>
        <v>18892.5</v>
      </c>
    </row>
    <row r="280" spans="3:17" x14ac:dyDescent="0.25">
      <c r="C280" s="300" t="s">
        <v>1272</v>
      </c>
      <c r="D280" s="283" t="s">
        <v>656</v>
      </c>
      <c r="E280" s="283" t="s">
        <v>247</v>
      </c>
      <c r="F280" s="283" t="s">
        <v>184</v>
      </c>
      <c r="G280" s="283">
        <v>11</v>
      </c>
      <c r="H280" s="283">
        <v>50967</v>
      </c>
      <c r="I280" s="286">
        <f>(G280+IF('Scenario Analysis'!$N$23=1,0,0.5))*H280</f>
        <v>586120.5</v>
      </c>
      <c r="K280" s="283" t="s">
        <v>1271</v>
      </c>
      <c r="L280" s="283" t="s">
        <v>665</v>
      </c>
      <c r="M280" s="283" t="s">
        <v>247</v>
      </c>
      <c r="N280" s="283" t="s">
        <v>253</v>
      </c>
      <c r="O280" s="283">
        <v>83</v>
      </c>
      <c r="P280" s="283">
        <v>220</v>
      </c>
      <c r="Q280" s="287">
        <f>(O280+IF('Scenario Analysis'!$N$23=1,0,0.5))*P280</f>
        <v>18370</v>
      </c>
    </row>
    <row r="281" spans="3:17" x14ac:dyDescent="0.25">
      <c r="C281" s="300" t="s">
        <v>1272</v>
      </c>
      <c r="D281" s="283" t="s">
        <v>656</v>
      </c>
      <c r="E281" s="283" t="s">
        <v>247</v>
      </c>
      <c r="F281" s="283" t="s">
        <v>184</v>
      </c>
      <c r="G281" s="283">
        <v>12</v>
      </c>
      <c r="H281" s="283">
        <v>54940</v>
      </c>
      <c r="I281" s="286">
        <f>(G281+IF('Scenario Analysis'!$N$23=1,0,0.5))*H281</f>
        <v>686750</v>
      </c>
      <c r="K281" s="283" t="s">
        <v>1271</v>
      </c>
      <c r="L281" s="283" t="s">
        <v>665</v>
      </c>
      <c r="M281" s="283" t="s">
        <v>247</v>
      </c>
      <c r="N281" s="283" t="s">
        <v>253</v>
      </c>
      <c r="O281" s="283">
        <v>84</v>
      </c>
      <c r="P281" s="283">
        <v>418</v>
      </c>
      <c r="Q281" s="287">
        <f>(O281+IF('Scenario Analysis'!$N$23=1,0,0.5))*P281</f>
        <v>35321</v>
      </c>
    </row>
    <row r="282" spans="3:17" x14ac:dyDescent="0.25">
      <c r="C282" s="300" t="s">
        <v>1272</v>
      </c>
      <c r="D282" s="283" t="s">
        <v>656</v>
      </c>
      <c r="E282" s="283" t="s">
        <v>247</v>
      </c>
      <c r="F282" s="283" t="s">
        <v>184</v>
      </c>
      <c r="G282" s="283">
        <v>13</v>
      </c>
      <c r="H282" s="283">
        <v>22345</v>
      </c>
      <c r="I282" s="286">
        <f>(G282+IF('Scenario Analysis'!$N$23=1,0,0.5))*H282</f>
        <v>301657.5</v>
      </c>
      <c r="K282" s="283" t="s">
        <v>1271</v>
      </c>
      <c r="L282" s="283" t="s">
        <v>665</v>
      </c>
      <c r="M282" s="283" t="s">
        <v>247</v>
      </c>
      <c r="N282" s="283" t="s">
        <v>253</v>
      </c>
      <c r="O282" s="283">
        <v>85</v>
      </c>
      <c r="P282" s="283">
        <v>257</v>
      </c>
      <c r="Q282" s="287">
        <f>(O282+IF('Scenario Analysis'!$N$23=1,0,0.5))*P282</f>
        <v>21973.5</v>
      </c>
    </row>
    <row r="283" spans="3:17" x14ac:dyDescent="0.25">
      <c r="C283" s="300" t="s">
        <v>1272</v>
      </c>
      <c r="D283" s="283" t="s">
        <v>656</v>
      </c>
      <c r="E283" s="283" t="s">
        <v>247</v>
      </c>
      <c r="F283" s="283" t="s">
        <v>184</v>
      </c>
      <c r="G283" s="283">
        <v>14</v>
      </c>
      <c r="H283" s="283">
        <v>40565</v>
      </c>
      <c r="I283" s="286">
        <f>(G283+IF('Scenario Analysis'!$N$23=1,0,0.5))*H283</f>
        <v>588192.5</v>
      </c>
      <c r="K283" s="283" t="s">
        <v>1271</v>
      </c>
      <c r="L283" s="283" t="s">
        <v>665</v>
      </c>
      <c r="M283" s="283" t="s">
        <v>247</v>
      </c>
      <c r="N283" s="283" t="s">
        <v>253</v>
      </c>
      <c r="O283" s="283">
        <v>86</v>
      </c>
      <c r="P283" s="283">
        <v>175</v>
      </c>
      <c r="Q283" s="287">
        <f>(O283+IF('Scenario Analysis'!$N$23=1,0,0.5))*P283</f>
        <v>15137.5</v>
      </c>
    </row>
    <row r="284" spans="3:17" x14ac:dyDescent="0.25">
      <c r="C284" s="300" t="s">
        <v>1272</v>
      </c>
      <c r="D284" s="283" t="s">
        <v>656</v>
      </c>
      <c r="E284" s="283" t="s">
        <v>247</v>
      </c>
      <c r="F284" s="283" t="s">
        <v>184</v>
      </c>
      <c r="G284" s="283">
        <v>15</v>
      </c>
      <c r="H284" s="283">
        <v>14734</v>
      </c>
      <c r="I284" s="286">
        <f>(G284+IF('Scenario Analysis'!$N$23=1,0,0.5))*H284</f>
        <v>228377</v>
      </c>
      <c r="K284" s="283" t="s">
        <v>1271</v>
      </c>
      <c r="L284" s="283" t="s">
        <v>665</v>
      </c>
      <c r="M284" s="283" t="s">
        <v>247</v>
      </c>
      <c r="N284" s="283" t="s">
        <v>253</v>
      </c>
      <c r="O284" s="283">
        <v>87</v>
      </c>
      <c r="P284" s="283">
        <v>307</v>
      </c>
      <c r="Q284" s="287">
        <f>(O284+IF('Scenario Analysis'!$N$23=1,0,0.5))*P284</f>
        <v>26862.5</v>
      </c>
    </row>
    <row r="285" spans="3:17" x14ac:dyDescent="0.25">
      <c r="C285" s="300" t="s">
        <v>1272</v>
      </c>
      <c r="D285" s="283" t="s">
        <v>656</v>
      </c>
      <c r="E285" s="283" t="s">
        <v>247</v>
      </c>
      <c r="F285" s="283" t="s">
        <v>184</v>
      </c>
      <c r="G285" s="283">
        <v>16</v>
      </c>
      <c r="H285" s="283">
        <v>12822</v>
      </c>
      <c r="I285" s="286">
        <f>(G285+IF('Scenario Analysis'!$N$23=1,0,0.5))*H285</f>
        <v>211563</v>
      </c>
      <c r="K285" s="283" t="s">
        <v>1271</v>
      </c>
      <c r="L285" s="283" t="s">
        <v>665</v>
      </c>
      <c r="M285" s="283" t="s">
        <v>247</v>
      </c>
      <c r="N285" s="283" t="s">
        <v>253</v>
      </c>
      <c r="O285" s="283">
        <v>88</v>
      </c>
      <c r="P285" s="283">
        <v>181</v>
      </c>
      <c r="Q285" s="287">
        <f>(O285+IF('Scenario Analysis'!$N$23=1,0,0.5))*P285</f>
        <v>16018.5</v>
      </c>
    </row>
    <row r="286" spans="3:17" x14ac:dyDescent="0.25">
      <c r="C286" s="300" t="s">
        <v>1272</v>
      </c>
      <c r="D286" s="283" t="s">
        <v>656</v>
      </c>
      <c r="E286" s="283" t="s">
        <v>247</v>
      </c>
      <c r="F286" s="283" t="s">
        <v>184</v>
      </c>
      <c r="G286" s="283">
        <v>17</v>
      </c>
      <c r="H286" s="283">
        <v>12255</v>
      </c>
      <c r="I286" s="286">
        <f>(G286+IF('Scenario Analysis'!$N$23=1,0,0.5))*H286</f>
        <v>214462.5</v>
      </c>
      <c r="K286" s="283" t="s">
        <v>1271</v>
      </c>
      <c r="L286" s="283" t="s">
        <v>665</v>
      </c>
      <c r="M286" s="283" t="s">
        <v>247</v>
      </c>
      <c r="N286" s="283" t="s">
        <v>253</v>
      </c>
      <c r="O286" s="283">
        <v>89</v>
      </c>
      <c r="P286" s="283">
        <v>375</v>
      </c>
      <c r="Q286" s="287">
        <f>(O286+IF('Scenario Analysis'!$N$23=1,0,0.5))*P286</f>
        <v>33562.5</v>
      </c>
    </row>
    <row r="287" spans="3:17" x14ac:dyDescent="0.25">
      <c r="C287" s="300" t="s">
        <v>1272</v>
      </c>
      <c r="D287" s="283" t="s">
        <v>656</v>
      </c>
      <c r="E287" s="283" t="s">
        <v>247</v>
      </c>
      <c r="F287" s="283" t="s">
        <v>184</v>
      </c>
      <c r="G287" s="283">
        <v>18</v>
      </c>
      <c r="H287" s="283">
        <v>11072</v>
      </c>
      <c r="I287" s="286">
        <f>(G287+IF('Scenario Analysis'!$N$23=1,0,0.5))*H287</f>
        <v>204832</v>
      </c>
      <c r="K287" s="283" t="s">
        <v>1271</v>
      </c>
      <c r="L287" s="283" t="s">
        <v>665</v>
      </c>
      <c r="M287" s="283" t="s">
        <v>247</v>
      </c>
      <c r="N287" s="283" t="s">
        <v>253</v>
      </c>
      <c r="O287" s="283">
        <v>90</v>
      </c>
      <c r="P287" s="283">
        <v>90</v>
      </c>
      <c r="Q287" s="287">
        <f>(O287+IF('Scenario Analysis'!$N$23=1,0,0.5))*P287</f>
        <v>8145</v>
      </c>
    </row>
    <row r="288" spans="3:17" x14ac:dyDescent="0.25">
      <c r="C288" s="300" t="s">
        <v>1272</v>
      </c>
      <c r="D288" s="283" t="s">
        <v>656</v>
      </c>
      <c r="E288" s="283" t="s">
        <v>247</v>
      </c>
      <c r="F288" s="283" t="s">
        <v>184</v>
      </c>
      <c r="G288" s="283">
        <v>19</v>
      </c>
      <c r="H288" s="283">
        <v>15884</v>
      </c>
      <c r="I288" s="286">
        <f>(G288+IF('Scenario Analysis'!$N$23=1,0,0.5))*H288</f>
        <v>309738</v>
      </c>
      <c r="K288" s="283" t="s">
        <v>1271</v>
      </c>
      <c r="L288" s="283" t="s">
        <v>665</v>
      </c>
      <c r="M288" s="283" t="s">
        <v>247</v>
      </c>
      <c r="N288" s="283" t="s">
        <v>253</v>
      </c>
      <c r="O288" s="283">
        <v>91</v>
      </c>
      <c r="P288" s="283">
        <v>120</v>
      </c>
      <c r="Q288" s="287">
        <f>(O288+IF('Scenario Analysis'!$N$23=1,0,0.5))*P288</f>
        <v>10980</v>
      </c>
    </row>
    <row r="289" spans="3:17" x14ac:dyDescent="0.25">
      <c r="C289" s="300" t="s">
        <v>1272</v>
      </c>
      <c r="D289" s="283" t="s">
        <v>656</v>
      </c>
      <c r="E289" s="283" t="s">
        <v>247</v>
      </c>
      <c r="F289" s="283" t="s">
        <v>184</v>
      </c>
      <c r="G289" s="283">
        <v>20</v>
      </c>
      <c r="H289" s="283">
        <v>11075</v>
      </c>
      <c r="I289" s="286">
        <f>(G289+IF('Scenario Analysis'!$N$23=1,0,0.5))*H289</f>
        <v>227037.5</v>
      </c>
      <c r="K289" s="283" t="s">
        <v>1271</v>
      </c>
      <c r="L289" s="283" t="s">
        <v>665</v>
      </c>
      <c r="M289" s="283" t="s">
        <v>247</v>
      </c>
      <c r="N289" s="283" t="s">
        <v>253</v>
      </c>
      <c r="O289" s="283">
        <v>92</v>
      </c>
      <c r="P289" s="283">
        <v>68</v>
      </c>
      <c r="Q289" s="287">
        <f>(O289+IF('Scenario Analysis'!$N$23=1,0,0.5))*P289</f>
        <v>6290</v>
      </c>
    </row>
    <row r="290" spans="3:17" x14ac:dyDescent="0.25">
      <c r="C290" s="300" t="s">
        <v>1272</v>
      </c>
      <c r="D290" s="283" t="s">
        <v>656</v>
      </c>
      <c r="E290" s="283" t="s">
        <v>247</v>
      </c>
      <c r="F290" s="283" t="s">
        <v>184</v>
      </c>
      <c r="G290" s="283">
        <v>21</v>
      </c>
      <c r="H290" s="283">
        <v>3678</v>
      </c>
      <c r="I290" s="286">
        <f>(G290+IF('Scenario Analysis'!$N$23=1,0,0.5))*H290</f>
        <v>79077</v>
      </c>
      <c r="K290" s="283" t="s">
        <v>1271</v>
      </c>
      <c r="L290" s="283" t="s">
        <v>665</v>
      </c>
      <c r="M290" s="283" t="s">
        <v>247</v>
      </c>
      <c r="N290" s="283" t="s">
        <v>253</v>
      </c>
      <c r="O290" s="283">
        <v>93</v>
      </c>
      <c r="P290" s="283">
        <v>202</v>
      </c>
      <c r="Q290" s="287">
        <f>(O290+IF('Scenario Analysis'!$N$23=1,0,0.5))*P290</f>
        <v>18887</v>
      </c>
    </row>
    <row r="291" spans="3:17" x14ac:dyDescent="0.25">
      <c r="C291" s="300" t="s">
        <v>1272</v>
      </c>
      <c r="D291" s="283" t="s">
        <v>656</v>
      </c>
      <c r="E291" s="283" t="s">
        <v>247</v>
      </c>
      <c r="F291" s="283" t="s">
        <v>184</v>
      </c>
      <c r="G291" s="283">
        <v>22</v>
      </c>
      <c r="H291" s="283">
        <v>23288</v>
      </c>
      <c r="I291" s="286">
        <f>(G291+IF('Scenario Analysis'!$N$23=1,0,0.5))*H291</f>
        <v>523980</v>
      </c>
      <c r="K291" s="283" t="s">
        <v>1271</v>
      </c>
      <c r="L291" s="283" t="s">
        <v>665</v>
      </c>
      <c r="M291" s="283" t="s">
        <v>247</v>
      </c>
      <c r="N291" s="283" t="s">
        <v>253</v>
      </c>
      <c r="O291" s="283">
        <v>94</v>
      </c>
      <c r="P291" s="283">
        <v>26</v>
      </c>
      <c r="Q291" s="287">
        <f>(O291+IF('Scenario Analysis'!$N$23=1,0,0.5))*P291</f>
        <v>2457</v>
      </c>
    </row>
    <row r="292" spans="3:17" x14ac:dyDescent="0.25">
      <c r="C292" s="300" t="s">
        <v>1272</v>
      </c>
      <c r="D292" s="283" t="s">
        <v>656</v>
      </c>
      <c r="E292" s="283" t="s">
        <v>247</v>
      </c>
      <c r="F292" s="283" t="s">
        <v>184</v>
      </c>
      <c r="G292" s="283">
        <v>23</v>
      </c>
      <c r="H292" s="283">
        <v>15845</v>
      </c>
      <c r="I292" s="286">
        <f>(G292+IF('Scenario Analysis'!$N$23=1,0,0.5))*H292</f>
        <v>372357.5</v>
      </c>
      <c r="K292" s="283" t="s">
        <v>1271</v>
      </c>
      <c r="L292" s="283" t="s">
        <v>665</v>
      </c>
      <c r="M292" s="283" t="s">
        <v>247</v>
      </c>
      <c r="N292" s="283" t="s">
        <v>253</v>
      </c>
      <c r="O292" s="283">
        <v>95</v>
      </c>
      <c r="P292" s="283">
        <v>63</v>
      </c>
      <c r="Q292" s="287">
        <f>(O292+IF('Scenario Analysis'!$N$23=1,0,0.5))*P292</f>
        <v>6016.5</v>
      </c>
    </row>
    <row r="293" spans="3:17" x14ac:dyDescent="0.25">
      <c r="C293" s="300" t="s">
        <v>1272</v>
      </c>
      <c r="D293" s="283" t="s">
        <v>656</v>
      </c>
      <c r="E293" s="283" t="s">
        <v>247</v>
      </c>
      <c r="F293" s="283" t="s">
        <v>184</v>
      </c>
      <c r="G293" s="283">
        <v>24</v>
      </c>
      <c r="H293" s="283">
        <v>9643</v>
      </c>
      <c r="I293" s="286">
        <f>(G293+IF('Scenario Analysis'!$N$23=1,0,0.5))*H293</f>
        <v>236253.5</v>
      </c>
      <c r="K293" s="283" t="s">
        <v>1271</v>
      </c>
      <c r="L293" s="283" t="s">
        <v>665</v>
      </c>
      <c r="M293" s="283" t="s">
        <v>247</v>
      </c>
      <c r="N293" s="283" t="s">
        <v>253</v>
      </c>
      <c r="O293" s="283">
        <v>96</v>
      </c>
      <c r="P293" s="283">
        <v>141</v>
      </c>
      <c r="Q293" s="287">
        <f>(O293+IF('Scenario Analysis'!$N$23=1,0,0.5))*P293</f>
        <v>13606.5</v>
      </c>
    </row>
    <row r="294" spans="3:17" x14ac:dyDescent="0.25">
      <c r="C294" s="300" t="s">
        <v>1272</v>
      </c>
      <c r="D294" s="283" t="s">
        <v>656</v>
      </c>
      <c r="E294" s="283" t="s">
        <v>247</v>
      </c>
      <c r="F294" s="283" t="s">
        <v>184</v>
      </c>
      <c r="G294" s="283">
        <v>25</v>
      </c>
      <c r="H294" s="283">
        <v>1916</v>
      </c>
      <c r="I294" s="286">
        <f>(G294+IF('Scenario Analysis'!$N$23=1,0,0.5))*H294</f>
        <v>48858</v>
      </c>
      <c r="K294" s="283" t="s">
        <v>1271</v>
      </c>
      <c r="L294" s="283" t="s">
        <v>665</v>
      </c>
      <c r="M294" s="283" t="s">
        <v>247</v>
      </c>
      <c r="N294" s="283" t="s">
        <v>253</v>
      </c>
      <c r="O294" s="283">
        <v>97</v>
      </c>
      <c r="P294" s="283">
        <v>23</v>
      </c>
      <c r="Q294" s="287">
        <f>(O294+IF('Scenario Analysis'!$N$23=1,0,0.5))*P294</f>
        <v>2242.5</v>
      </c>
    </row>
    <row r="295" spans="3:17" x14ac:dyDescent="0.25">
      <c r="C295" s="300" t="s">
        <v>1272</v>
      </c>
      <c r="D295" s="283" t="s">
        <v>656</v>
      </c>
      <c r="E295" s="283" t="s">
        <v>247</v>
      </c>
      <c r="F295" s="283" t="s">
        <v>184</v>
      </c>
      <c r="G295" s="283">
        <v>26</v>
      </c>
      <c r="H295" s="283">
        <v>2186</v>
      </c>
      <c r="I295" s="286">
        <f>(G295+IF('Scenario Analysis'!$N$23=1,0,0.5))*H295</f>
        <v>57929</v>
      </c>
      <c r="K295" s="283" t="s">
        <v>1271</v>
      </c>
      <c r="L295" s="283" t="s">
        <v>665</v>
      </c>
      <c r="M295" s="283" t="s">
        <v>247</v>
      </c>
      <c r="N295" s="283" t="s">
        <v>253</v>
      </c>
      <c r="O295" s="283">
        <v>98</v>
      </c>
      <c r="P295" s="283">
        <v>129</v>
      </c>
      <c r="Q295" s="287">
        <f>(O295+IF('Scenario Analysis'!$N$23=1,0,0.5))*P295</f>
        <v>12706.5</v>
      </c>
    </row>
    <row r="296" spans="3:17" x14ac:dyDescent="0.25">
      <c r="C296" s="300" t="s">
        <v>1272</v>
      </c>
      <c r="D296" s="283" t="s">
        <v>656</v>
      </c>
      <c r="E296" s="283" t="s">
        <v>247</v>
      </c>
      <c r="F296" s="283" t="s">
        <v>184</v>
      </c>
      <c r="G296" s="283">
        <v>27</v>
      </c>
      <c r="H296" s="283">
        <v>2150</v>
      </c>
      <c r="I296" s="286">
        <f>(G296+IF('Scenario Analysis'!$N$23=1,0,0.5))*H296</f>
        <v>59125</v>
      </c>
      <c r="K296" s="283" t="s">
        <v>1271</v>
      </c>
      <c r="L296" s="283" t="s">
        <v>665</v>
      </c>
      <c r="M296" s="283" t="s">
        <v>247</v>
      </c>
      <c r="N296" s="283" t="s">
        <v>253</v>
      </c>
      <c r="O296" s="283">
        <v>99</v>
      </c>
      <c r="P296" s="283">
        <v>20</v>
      </c>
      <c r="Q296" s="287">
        <f>(O296+IF('Scenario Analysis'!$N$23=1,0,0.5))*P296</f>
        <v>1990</v>
      </c>
    </row>
    <row r="297" spans="3:17" x14ac:dyDescent="0.25">
      <c r="C297" s="300" t="s">
        <v>1272</v>
      </c>
      <c r="D297" s="283" t="s">
        <v>656</v>
      </c>
      <c r="E297" s="283" t="s">
        <v>247</v>
      </c>
      <c r="F297" s="283" t="s">
        <v>184</v>
      </c>
      <c r="G297" s="283">
        <v>28</v>
      </c>
      <c r="H297" s="283">
        <v>15543</v>
      </c>
      <c r="I297" s="286">
        <f>(G297+IF('Scenario Analysis'!$N$23=1,0,0.5))*H297</f>
        <v>442975.5</v>
      </c>
      <c r="K297" s="283" t="s">
        <v>1271</v>
      </c>
      <c r="L297" s="283" t="s">
        <v>665</v>
      </c>
      <c r="M297" s="283" t="s">
        <v>247</v>
      </c>
      <c r="N297" s="283" t="s">
        <v>253</v>
      </c>
      <c r="O297" s="283">
        <v>100</v>
      </c>
      <c r="P297" s="283">
        <v>24</v>
      </c>
      <c r="Q297" s="287">
        <f>(O297+IF('Scenario Analysis'!$N$23=1,0,0.5))*P297</f>
        <v>2412</v>
      </c>
    </row>
    <row r="298" spans="3:17" x14ac:dyDescent="0.25">
      <c r="C298" s="300" t="s">
        <v>1272</v>
      </c>
      <c r="D298" s="283" t="s">
        <v>656</v>
      </c>
      <c r="E298" s="283" t="s">
        <v>247</v>
      </c>
      <c r="F298" s="283" t="s">
        <v>184</v>
      </c>
      <c r="G298" s="283">
        <v>29</v>
      </c>
      <c r="H298" s="283">
        <v>68</v>
      </c>
      <c r="I298" s="286">
        <f>(G298+IF('Scenario Analysis'!$N$23=1,0,0.5))*H298</f>
        <v>2006</v>
      </c>
      <c r="K298" s="283" t="s">
        <v>1271</v>
      </c>
      <c r="L298" s="283" t="s">
        <v>665</v>
      </c>
      <c r="M298" s="283" t="s">
        <v>247</v>
      </c>
      <c r="N298" s="283" t="s">
        <v>253</v>
      </c>
      <c r="O298" s="283">
        <v>101</v>
      </c>
      <c r="P298" s="283">
        <v>83</v>
      </c>
      <c r="Q298" s="287">
        <f>(O298+IF('Scenario Analysis'!$N$23=1,0,0.5))*P298</f>
        <v>8424.5</v>
      </c>
    </row>
    <row r="299" spans="3:17" x14ac:dyDescent="0.25">
      <c r="C299" s="300" t="s">
        <v>1272</v>
      </c>
      <c r="D299" s="283" t="s">
        <v>656</v>
      </c>
      <c r="E299" s="283" t="s">
        <v>247</v>
      </c>
      <c r="F299" s="283" t="s">
        <v>184</v>
      </c>
      <c r="G299" s="283">
        <v>30</v>
      </c>
      <c r="H299" s="283">
        <v>93</v>
      </c>
      <c r="I299" s="286">
        <f>(G299+IF('Scenario Analysis'!$N$23=1,0,0.5))*H299</f>
        <v>2836.5</v>
      </c>
      <c r="K299" s="283" t="s">
        <v>1271</v>
      </c>
      <c r="L299" s="283" t="s">
        <v>665</v>
      </c>
      <c r="M299" s="283" t="s">
        <v>247</v>
      </c>
      <c r="N299" s="283" t="s">
        <v>253</v>
      </c>
      <c r="O299" s="283">
        <v>102</v>
      </c>
      <c r="P299" s="283">
        <v>5</v>
      </c>
      <c r="Q299" s="287">
        <f>(O299+IF('Scenario Analysis'!$N$23=1,0,0.5))*P299</f>
        <v>512.5</v>
      </c>
    </row>
    <row r="300" spans="3:17" x14ac:dyDescent="0.25">
      <c r="C300" s="300" t="s">
        <v>1272</v>
      </c>
      <c r="D300" s="283" t="s">
        <v>656</v>
      </c>
      <c r="E300" s="283" t="s">
        <v>247</v>
      </c>
      <c r="F300" s="283" t="s">
        <v>184</v>
      </c>
      <c r="G300" s="283">
        <v>31</v>
      </c>
      <c r="H300" s="283">
        <v>58</v>
      </c>
      <c r="I300" s="286">
        <f>(G300+IF('Scenario Analysis'!$N$23=1,0,0.5))*H300</f>
        <v>1827</v>
      </c>
      <c r="K300" s="283" t="s">
        <v>1271</v>
      </c>
      <c r="L300" s="283" t="s">
        <v>665</v>
      </c>
      <c r="M300" s="283" t="s">
        <v>247</v>
      </c>
      <c r="N300" s="283" t="s">
        <v>253</v>
      </c>
      <c r="O300" s="283">
        <v>103</v>
      </c>
      <c r="P300" s="283">
        <v>8</v>
      </c>
      <c r="Q300" s="287">
        <f>(O300+IF('Scenario Analysis'!$N$23=1,0,0.5))*P300</f>
        <v>828</v>
      </c>
    </row>
    <row r="301" spans="3:17" x14ac:dyDescent="0.25">
      <c r="C301" s="300" t="s">
        <v>1272</v>
      </c>
      <c r="D301" s="283" t="s">
        <v>656</v>
      </c>
      <c r="E301" s="283" t="s">
        <v>247</v>
      </c>
      <c r="F301" s="283" t="s">
        <v>184</v>
      </c>
      <c r="G301" s="283">
        <v>32</v>
      </c>
      <c r="H301" s="283">
        <v>619</v>
      </c>
      <c r="I301" s="286">
        <f>(G301+IF('Scenario Analysis'!$N$23=1,0,0.5))*H301</f>
        <v>20117.5</v>
      </c>
      <c r="K301" s="283" t="s">
        <v>1271</v>
      </c>
      <c r="L301" s="283" t="s">
        <v>665</v>
      </c>
      <c r="M301" s="283" t="s">
        <v>247</v>
      </c>
      <c r="N301" s="283" t="s">
        <v>253</v>
      </c>
      <c r="O301" s="283">
        <v>104</v>
      </c>
      <c r="P301" s="283">
        <v>10</v>
      </c>
      <c r="Q301" s="287">
        <f>(O301+IF('Scenario Analysis'!$N$23=1,0,0.5))*P301</f>
        <v>1045</v>
      </c>
    </row>
    <row r="302" spans="3:17" x14ac:dyDescent="0.25">
      <c r="C302" s="300" t="s">
        <v>1272</v>
      </c>
      <c r="D302" s="283" t="s">
        <v>656</v>
      </c>
      <c r="E302" s="283" t="s">
        <v>247</v>
      </c>
      <c r="F302" s="283" t="s">
        <v>184</v>
      </c>
      <c r="G302" s="283">
        <v>33</v>
      </c>
      <c r="H302" s="283">
        <v>247</v>
      </c>
      <c r="I302" s="286">
        <f>(G302+IF('Scenario Analysis'!$N$23=1,0,0.5))*H302</f>
        <v>8274.5</v>
      </c>
      <c r="K302" s="283" t="s">
        <v>1271</v>
      </c>
      <c r="L302" s="283" t="s">
        <v>665</v>
      </c>
      <c r="M302" s="283" t="s">
        <v>247</v>
      </c>
      <c r="N302" s="283" t="s">
        <v>253</v>
      </c>
      <c r="O302" s="283">
        <v>105</v>
      </c>
      <c r="P302" s="283">
        <v>3</v>
      </c>
      <c r="Q302" s="287">
        <f>(O302+IF('Scenario Analysis'!$N$23=1,0,0.5))*P302</f>
        <v>316.5</v>
      </c>
    </row>
    <row r="303" spans="3:17" x14ac:dyDescent="0.25">
      <c r="C303" s="300" t="s">
        <v>1272</v>
      </c>
      <c r="D303" s="283" t="s">
        <v>656</v>
      </c>
      <c r="E303" s="283" t="s">
        <v>247</v>
      </c>
      <c r="F303" s="283" t="s">
        <v>184</v>
      </c>
      <c r="G303" s="283">
        <v>34</v>
      </c>
      <c r="H303" s="283">
        <v>488</v>
      </c>
      <c r="I303" s="286">
        <f>(G303+IF('Scenario Analysis'!$N$23=1,0,0.5))*H303</f>
        <v>16836</v>
      </c>
      <c r="K303" s="283" t="s">
        <v>1271</v>
      </c>
      <c r="L303" s="283" t="s">
        <v>665</v>
      </c>
      <c r="M303" s="283" t="s">
        <v>247</v>
      </c>
      <c r="N303" s="283" t="s">
        <v>253</v>
      </c>
      <c r="O303" s="283">
        <v>106</v>
      </c>
      <c r="P303" s="283">
        <v>18</v>
      </c>
      <c r="Q303" s="287">
        <f>(O303+IF('Scenario Analysis'!$N$23=1,0,0.5))*P303</f>
        <v>1917</v>
      </c>
    </row>
    <row r="304" spans="3:17" x14ac:dyDescent="0.25">
      <c r="C304" s="300" t="s">
        <v>1272</v>
      </c>
      <c r="D304" s="283" t="s">
        <v>656</v>
      </c>
      <c r="E304" s="283" t="s">
        <v>247</v>
      </c>
      <c r="F304" s="283" t="s">
        <v>184</v>
      </c>
      <c r="G304" s="283">
        <v>35</v>
      </c>
      <c r="H304" s="283">
        <v>88</v>
      </c>
      <c r="I304" s="286">
        <f>(G304+IF('Scenario Analysis'!$N$23=1,0,0.5))*H304</f>
        <v>3124</v>
      </c>
      <c r="K304" s="283" t="s">
        <v>1271</v>
      </c>
      <c r="L304" s="283" t="s">
        <v>665</v>
      </c>
      <c r="M304" s="283" t="s">
        <v>247</v>
      </c>
      <c r="N304" s="283" t="s">
        <v>253</v>
      </c>
      <c r="O304" s="283">
        <v>107</v>
      </c>
      <c r="P304" s="283">
        <v>7</v>
      </c>
      <c r="Q304" s="287">
        <f>(O304+IF('Scenario Analysis'!$N$23=1,0,0.5))*P304</f>
        <v>752.5</v>
      </c>
    </row>
    <row r="305" spans="3:17" x14ac:dyDescent="0.25">
      <c r="C305" s="300" t="s">
        <v>1272</v>
      </c>
      <c r="D305" s="283" t="s">
        <v>656</v>
      </c>
      <c r="E305" s="283" t="s">
        <v>247</v>
      </c>
      <c r="F305" s="283" t="s">
        <v>184</v>
      </c>
      <c r="G305" s="283">
        <v>36</v>
      </c>
      <c r="H305" s="283">
        <v>165</v>
      </c>
      <c r="I305" s="286">
        <f>(G305+IF('Scenario Analysis'!$N$23=1,0,0.5))*H305</f>
        <v>6022.5</v>
      </c>
      <c r="K305" s="283" t="s">
        <v>1271</v>
      </c>
      <c r="L305" s="283" t="s">
        <v>665</v>
      </c>
      <c r="M305" s="283" t="s">
        <v>247</v>
      </c>
      <c r="N305" s="283" t="s">
        <v>253</v>
      </c>
      <c r="O305" s="283">
        <v>108</v>
      </c>
      <c r="P305" s="283">
        <v>1</v>
      </c>
      <c r="Q305" s="287">
        <f>(O305+IF('Scenario Analysis'!$N$23=1,0,0.5))*P305</f>
        <v>108.5</v>
      </c>
    </row>
    <row r="306" spans="3:17" x14ac:dyDescent="0.25">
      <c r="C306" s="300" t="s">
        <v>1272</v>
      </c>
      <c r="D306" s="283" t="s">
        <v>656</v>
      </c>
      <c r="E306" s="283" t="s">
        <v>247</v>
      </c>
      <c r="F306" s="283" t="s">
        <v>184</v>
      </c>
      <c r="G306" s="283">
        <v>37</v>
      </c>
      <c r="H306" s="283">
        <v>134</v>
      </c>
      <c r="I306" s="286">
        <f>(G306+IF('Scenario Analysis'!$N$23=1,0,0.5))*H306</f>
        <v>5025</v>
      </c>
      <c r="K306" s="283" t="s">
        <v>1271</v>
      </c>
      <c r="L306" s="283" t="s">
        <v>665</v>
      </c>
      <c r="M306" s="283" t="s">
        <v>247</v>
      </c>
      <c r="N306" s="283" t="s">
        <v>253</v>
      </c>
      <c r="O306" s="283">
        <v>110</v>
      </c>
      <c r="P306" s="283">
        <v>6</v>
      </c>
      <c r="Q306" s="287">
        <f>(O306+IF('Scenario Analysis'!$N$23=1,0,0.5))*P306</f>
        <v>663</v>
      </c>
    </row>
    <row r="307" spans="3:17" x14ac:dyDescent="0.25">
      <c r="C307" s="300" t="s">
        <v>1272</v>
      </c>
      <c r="D307" s="283" t="s">
        <v>656</v>
      </c>
      <c r="E307" s="283" t="s">
        <v>247</v>
      </c>
      <c r="F307" s="283" t="s">
        <v>184</v>
      </c>
      <c r="G307" s="283">
        <v>38</v>
      </c>
      <c r="H307" s="283">
        <v>281</v>
      </c>
      <c r="I307" s="286">
        <f>(G307+IF('Scenario Analysis'!$N$23=1,0,0.5))*H307</f>
        <v>10818.5</v>
      </c>
      <c r="K307" s="283" t="s">
        <v>1271</v>
      </c>
      <c r="L307" s="283" t="s">
        <v>665</v>
      </c>
      <c r="M307" s="283" t="s">
        <v>247</v>
      </c>
      <c r="N307" s="283" t="s">
        <v>253</v>
      </c>
      <c r="O307" s="283">
        <v>112</v>
      </c>
      <c r="P307" s="283">
        <v>2</v>
      </c>
      <c r="Q307" s="287">
        <f>(O307+IF('Scenario Analysis'!$N$23=1,0,0.5))*P307</f>
        <v>225</v>
      </c>
    </row>
    <row r="308" spans="3:17" x14ac:dyDescent="0.25">
      <c r="C308" s="300" t="s">
        <v>1272</v>
      </c>
      <c r="D308" s="283" t="s">
        <v>656</v>
      </c>
      <c r="E308" s="283" t="s">
        <v>247</v>
      </c>
      <c r="F308" s="283" t="s">
        <v>184</v>
      </c>
      <c r="G308" s="283">
        <v>39</v>
      </c>
      <c r="H308" s="283">
        <v>481</v>
      </c>
      <c r="I308" s="286">
        <f>(G308+IF('Scenario Analysis'!$N$23=1,0,0.5))*H308</f>
        <v>18999.5</v>
      </c>
      <c r="K308" s="283" t="s">
        <v>1271</v>
      </c>
      <c r="L308" s="283" t="s">
        <v>665</v>
      </c>
      <c r="M308" s="283" t="s">
        <v>247</v>
      </c>
      <c r="N308" s="283" t="s">
        <v>253</v>
      </c>
      <c r="O308" s="283">
        <v>114</v>
      </c>
      <c r="P308" s="283">
        <v>5</v>
      </c>
      <c r="Q308" s="287">
        <f>(O308+IF('Scenario Analysis'!$N$23=1,0,0.5))*P308</f>
        <v>572.5</v>
      </c>
    </row>
    <row r="309" spans="3:17" x14ac:dyDescent="0.25">
      <c r="C309" s="300" t="s">
        <v>1272</v>
      </c>
      <c r="D309" s="283" t="s">
        <v>656</v>
      </c>
      <c r="E309" s="283" t="s">
        <v>247</v>
      </c>
      <c r="F309" s="283" t="s">
        <v>184</v>
      </c>
      <c r="G309" s="283">
        <v>40</v>
      </c>
      <c r="H309" s="283">
        <v>616</v>
      </c>
      <c r="I309" s="286">
        <f>(G309+IF('Scenario Analysis'!$N$23=1,0,0.5))*H309</f>
        <v>24948</v>
      </c>
      <c r="K309" s="283" t="s">
        <v>1271</v>
      </c>
      <c r="L309" s="283" t="s">
        <v>665</v>
      </c>
      <c r="M309" s="283" t="s">
        <v>247</v>
      </c>
      <c r="N309" s="283" t="s">
        <v>253</v>
      </c>
      <c r="O309" s="283">
        <v>115</v>
      </c>
      <c r="P309" s="283">
        <v>1</v>
      </c>
      <c r="Q309" s="287">
        <f>(O309+IF('Scenario Analysis'!$N$23=1,0,0.5))*P309</f>
        <v>115.5</v>
      </c>
    </row>
    <row r="310" spans="3:17" x14ac:dyDescent="0.25">
      <c r="C310" s="300" t="s">
        <v>1272</v>
      </c>
      <c r="D310" s="283" t="s">
        <v>656</v>
      </c>
      <c r="E310" s="283" t="s">
        <v>247</v>
      </c>
      <c r="F310" s="283" t="s">
        <v>184</v>
      </c>
      <c r="G310" s="283">
        <v>41</v>
      </c>
      <c r="H310" s="283">
        <v>99</v>
      </c>
      <c r="I310" s="286">
        <f>(G310+IF('Scenario Analysis'!$N$23=1,0,0.5))*H310</f>
        <v>4108.5</v>
      </c>
      <c r="K310" s="283" t="s">
        <v>1271</v>
      </c>
      <c r="L310" s="283" t="s">
        <v>665</v>
      </c>
      <c r="M310" s="283" t="s">
        <v>247</v>
      </c>
      <c r="N310" s="283" t="s">
        <v>253</v>
      </c>
      <c r="O310" s="283">
        <v>119</v>
      </c>
      <c r="P310" s="283">
        <v>2</v>
      </c>
      <c r="Q310" s="287">
        <f>(O310+IF('Scenario Analysis'!$N$23=1,0,0.5))*P310</f>
        <v>239</v>
      </c>
    </row>
    <row r="311" spans="3:17" x14ac:dyDescent="0.25">
      <c r="C311" s="300" t="s">
        <v>1272</v>
      </c>
      <c r="D311" s="283" t="s">
        <v>656</v>
      </c>
      <c r="E311" s="283" t="s">
        <v>247</v>
      </c>
      <c r="F311" s="283" t="s">
        <v>184</v>
      </c>
      <c r="G311" s="283">
        <v>42</v>
      </c>
      <c r="H311" s="283">
        <v>395</v>
      </c>
      <c r="I311" s="286">
        <f>(G311+IF('Scenario Analysis'!$N$23=1,0,0.5))*H311</f>
        <v>16787.5</v>
      </c>
      <c r="K311" s="283" t="s">
        <v>1271</v>
      </c>
      <c r="L311" s="283" t="s">
        <v>665</v>
      </c>
      <c r="M311" s="283" t="s">
        <v>247</v>
      </c>
      <c r="N311" s="283" t="s">
        <v>253</v>
      </c>
      <c r="O311" s="283">
        <v>122</v>
      </c>
      <c r="P311" s="283">
        <v>1</v>
      </c>
      <c r="Q311" s="287">
        <f>(O311+IF('Scenario Analysis'!$N$23=1,0,0.5))*P311</f>
        <v>122.5</v>
      </c>
    </row>
    <row r="312" spans="3:17" x14ac:dyDescent="0.25">
      <c r="C312" s="300" t="s">
        <v>1272</v>
      </c>
      <c r="D312" s="283" t="s">
        <v>656</v>
      </c>
      <c r="E312" s="283" t="s">
        <v>247</v>
      </c>
      <c r="F312" s="283" t="s">
        <v>184</v>
      </c>
      <c r="G312" s="283">
        <v>43</v>
      </c>
      <c r="H312" s="283">
        <v>220</v>
      </c>
      <c r="I312" s="286">
        <f>(G312+IF('Scenario Analysis'!$N$23=1,0,0.5))*H312</f>
        <v>9570</v>
      </c>
      <c r="K312" s="283" t="s">
        <v>1271</v>
      </c>
      <c r="L312" s="283" t="s">
        <v>665</v>
      </c>
      <c r="M312" s="283" t="s">
        <v>247</v>
      </c>
      <c r="N312" s="283" t="s">
        <v>253</v>
      </c>
      <c r="O312" s="283">
        <v>123</v>
      </c>
      <c r="P312" s="283">
        <v>1</v>
      </c>
      <c r="Q312" s="287">
        <f>(O312+IF('Scenario Analysis'!$N$23=1,0,0.5))*P312</f>
        <v>123.5</v>
      </c>
    </row>
    <row r="313" spans="3:17" x14ac:dyDescent="0.25">
      <c r="C313" s="300" t="s">
        <v>1272</v>
      </c>
      <c r="D313" s="283" t="s">
        <v>656</v>
      </c>
      <c r="E313" s="283" t="s">
        <v>247</v>
      </c>
      <c r="F313" s="283" t="s">
        <v>184</v>
      </c>
      <c r="G313" s="283">
        <v>44</v>
      </c>
      <c r="H313" s="283">
        <v>177</v>
      </c>
      <c r="I313" s="286">
        <f>(G313+IF('Scenario Analysis'!$N$23=1,0,0.5))*H313</f>
        <v>7876.5</v>
      </c>
      <c r="K313" s="283" t="s">
        <v>1271</v>
      </c>
      <c r="L313" s="283" t="s">
        <v>665</v>
      </c>
      <c r="M313" s="283" t="s">
        <v>247</v>
      </c>
      <c r="N313" s="283" t="s">
        <v>253</v>
      </c>
      <c r="O313" s="283">
        <v>127</v>
      </c>
      <c r="P313" s="283">
        <v>1</v>
      </c>
      <c r="Q313" s="287">
        <f>(O313+IF('Scenario Analysis'!$N$23=1,0,0.5))*P313</f>
        <v>127.5</v>
      </c>
    </row>
    <row r="314" spans="3:17" x14ac:dyDescent="0.25">
      <c r="C314" s="300" t="s">
        <v>1272</v>
      </c>
      <c r="D314" s="283" t="s">
        <v>656</v>
      </c>
      <c r="E314" s="283" t="s">
        <v>247</v>
      </c>
      <c r="F314" s="283" t="s">
        <v>184</v>
      </c>
      <c r="G314" s="283">
        <v>45</v>
      </c>
      <c r="H314" s="283">
        <v>119</v>
      </c>
      <c r="I314" s="286">
        <f>(G314+IF('Scenario Analysis'!$N$23=1,0,0.5))*H314</f>
        <v>5414.5</v>
      </c>
      <c r="K314" s="283" t="s">
        <v>1271</v>
      </c>
      <c r="L314" s="283" t="s">
        <v>665</v>
      </c>
      <c r="M314" s="283" t="s">
        <v>247</v>
      </c>
      <c r="N314" s="283" t="s">
        <v>253</v>
      </c>
      <c r="O314" s="283">
        <v>130</v>
      </c>
      <c r="P314" s="283">
        <v>1</v>
      </c>
      <c r="Q314" s="287">
        <f>(O314+IF('Scenario Analysis'!$N$23=1,0,0.5))*P314</f>
        <v>130.5</v>
      </c>
    </row>
    <row r="315" spans="3:17" x14ac:dyDescent="0.25">
      <c r="C315" s="300" t="s">
        <v>1272</v>
      </c>
      <c r="D315" s="283" t="s">
        <v>656</v>
      </c>
      <c r="E315" s="283" t="s">
        <v>247</v>
      </c>
      <c r="F315" s="283" t="s">
        <v>184</v>
      </c>
      <c r="G315" s="283">
        <v>46</v>
      </c>
      <c r="H315" s="283">
        <v>13</v>
      </c>
      <c r="I315" s="286">
        <f>(G315+IF('Scenario Analysis'!$N$23=1,0,0.5))*H315</f>
        <v>604.5</v>
      </c>
      <c r="K315" s="283" t="s">
        <v>1271</v>
      </c>
      <c r="L315" s="283" t="s">
        <v>668</v>
      </c>
      <c r="M315" s="283" t="s">
        <v>249</v>
      </c>
      <c r="N315" s="283" t="s">
        <v>251</v>
      </c>
      <c r="O315" s="283">
        <v>1</v>
      </c>
      <c r="P315" s="283">
        <v>66602</v>
      </c>
      <c r="Q315" s="287">
        <f>(O315+IF('Scenario Analysis'!$N$23=1,0,0.5))*P315</f>
        <v>99903</v>
      </c>
    </row>
    <row r="316" spans="3:17" x14ac:dyDescent="0.25">
      <c r="C316" s="300" t="s">
        <v>1272</v>
      </c>
      <c r="D316" s="283" t="s">
        <v>659</v>
      </c>
      <c r="E316" s="283" t="s">
        <v>247</v>
      </c>
      <c r="F316" s="283" t="s">
        <v>185</v>
      </c>
      <c r="G316" s="283">
        <v>0</v>
      </c>
      <c r="H316" s="283">
        <v>19779</v>
      </c>
      <c r="I316" s="286">
        <f>(G316+IF('Scenario Analysis'!$N$23=1,0,0.5))*H316</f>
        <v>9889.5</v>
      </c>
      <c r="K316" s="283" t="s">
        <v>1271</v>
      </c>
      <c r="L316" s="283" t="s">
        <v>668</v>
      </c>
      <c r="M316" s="283" t="s">
        <v>249</v>
      </c>
      <c r="N316" s="283" t="s">
        <v>251</v>
      </c>
      <c r="O316" s="283">
        <v>2</v>
      </c>
      <c r="P316" s="283">
        <v>151097</v>
      </c>
      <c r="Q316" s="287">
        <f>(O316+IF('Scenario Analysis'!$N$23=1,0,0.5))*P316</f>
        <v>377742.5</v>
      </c>
    </row>
    <row r="317" spans="3:17" x14ac:dyDescent="0.25">
      <c r="C317" s="300" t="s">
        <v>1272</v>
      </c>
      <c r="D317" s="283" t="s">
        <v>659</v>
      </c>
      <c r="E317" s="283" t="s">
        <v>247</v>
      </c>
      <c r="F317" s="283" t="s">
        <v>185</v>
      </c>
      <c r="G317" s="283">
        <v>1</v>
      </c>
      <c r="H317" s="283">
        <v>36660</v>
      </c>
      <c r="I317" s="286">
        <f>(G317+IF('Scenario Analysis'!$N$23=1,0,0.5))*H317</f>
        <v>54990</v>
      </c>
      <c r="K317" s="283" t="s">
        <v>1271</v>
      </c>
      <c r="L317" s="283" t="s">
        <v>668</v>
      </c>
      <c r="M317" s="283" t="s">
        <v>249</v>
      </c>
      <c r="N317" s="283" t="s">
        <v>251</v>
      </c>
      <c r="O317" s="283">
        <v>3</v>
      </c>
      <c r="P317" s="283">
        <v>550585</v>
      </c>
      <c r="Q317" s="287">
        <f>(O317+IF('Scenario Analysis'!$N$23=1,0,0.5))*P317</f>
        <v>1927047.5</v>
      </c>
    </row>
    <row r="318" spans="3:17" x14ac:dyDescent="0.25">
      <c r="C318" s="300" t="s">
        <v>1272</v>
      </c>
      <c r="D318" s="283" t="s">
        <v>659</v>
      </c>
      <c r="E318" s="283" t="s">
        <v>247</v>
      </c>
      <c r="F318" s="283" t="s">
        <v>185</v>
      </c>
      <c r="G318" s="283">
        <v>2</v>
      </c>
      <c r="H318" s="283">
        <v>16727</v>
      </c>
      <c r="I318" s="286">
        <f>(G318+IF('Scenario Analysis'!$N$23=1,0,0.5))*H318</f>
        <v>41817.5</v>
      </c>
      <c r="K318" s="283" t="s">
        <v>1271</v>
      </c>
      <c r="L318" s="283" t="s">
        <v>668</v>
      </c>
      <c r="M318" s="283" t="s">
        <v>249</v>
      </c>
      <c r="N318" s="283" t="s">
        <v>251</v>
      </c>
      <c r="O318" s="283">
        <v>4</v>
      </c>
      <c r="P318" s="283">
        <v>95543</v>
      </c>
      <c r="Q318" s="287">
        <f>(O318+IF('Scenario Analysis'!$N$23=1,0,0.5))*P318</f>
        <v>429943.5</v>
      </c>
    </row>
    <row r="319" spans="3:17" x14ac:dyDescent="0.25">
      <c r="C319" s="300" t="s">
        <v>1272</v>
      </c>
      <c r="D319" s="283" t="s">
        <v>659</v>
      </c>
      <c r="E319" s="283" t="s">
        <v>247</v>
      </c>
      <c r="F319" s="283" t="s">
        <v>185</v>
      </c>
      <c r="G319" s="283">
        <v>3</v>
      </c>
      <c r="H319" s="283">
        <v>49264</v>
      </c>
      <c r="I319" s="286">
        <f>(G319+IF('Scenario Analysis'!$N$23=1,0,0.5))*H319</f>
        <v>172424</v>
      </c>
      <c r="K319" s="283" t="s">
        <v>1271</v>
      </c>
      <c r="L319" s="283" t="s">
        <v>668</v>
      </c>
      <c r="M319" s="283" t="s">
        <v>249</v>
      </c>
      <c r="N319" s="283" t="s">
        <v>251</v>
      </c>
      <c r="O319" s="283">
        <v>5</v>
      </c>
      <c r="P319" s="283">
        <v>107993</v>
      </c>
      <c r="Q319" s="287">
        <f>(O319+IF('Scenario Analysis'!$N$23=1,0,0.5))*P319</f>
        <v>593961.5</v>
      </c>
    </row>
    <row r="320" spans="3:17" x14ac:dyDescent="0.25">
      <c r="C320" s="300" t="s">
        <v>1272</v>
      </c>
      <c r="D320" s="283" t="s">
        <v>659</v>
      </c>
      <c r="E320" s="283" t="s">
        <v>247</v>
      </c>
      <c r="F320" s="283" t="s">
        <v>185</v>
      </c>
      <c r="G320" s="283">
        <v>4</v>
      </c>
      <c r="H320" s="283">
        <v>13944</v>
      </c>
      <c r="I320" s="286">
        <f>(G320+IF('Scenario Analysis'!$N$23=1,0,0.5))*H320</f>
        <v>62748</v>
      </c>
      <c r="K320" s="283" t="s">
        <v>1271</v>
      </c>
      <c r="L320" s="283" t="s">
        <v>668</v>
      </c>
      <c r="M320" s="283" t="s">
        <v>249</v>
      </c>
      <c r="N320" s="283" t="s">
        <v>251</v>
      </c>
      <c r="O320" s="283">
        <v>6</v>
      </c>
      <c r="P320" s="283">
        <v>403395</v>
      </c>
      <c r="Q320" s="287">
        <f>(O320+IF('Scenario Analysis'!$N$23=1,0,0.5))*P320</f>
        <v>2622067.5</v>
      </c>
    </row>
    <row r="321" spans="3:17" x14ac:dyDescent="0.25">
      <c r="C321" s="300" t="s">
        <v>1272</v>
      </c>
      <c r="D321" s="283" t="s">
        <v>659</v>
      </c>
      <c r="E321" s="283" t="s">
        <v>247</v>
      </c>
      <c r="F321" s="283" t="s">
        <v>185</v>
      </c>
      <c r="G321" s="283">
        <v>5</v>
      </c>
      <c r="H321" s="283">
        <v>2696</v>
      </c>
      <c r="I321" s="286">
        <f>(G321+IF('Scenario Analysis'!$N$23=1,0,0.5))*H321</f>
        <v>14828</v>
      </c>
      <c r="K321" s="283" t="s">
        <v>1271</v>
      </c>
      <c r="L321" s="283" t="s">
        <v>668</v>
      </c>
      <c r="M321" s="283" t="s">
        <v>249</v>
      </c>
      <c r="N321" s="283" t="s">
        <v>251</v>
      </c>
      <c r="O321" s="283">
        <v>7</v>
      </c>
      <c r="P321" s="283">
        <v>150352</v>
      </c>
      <c r="Q321" s="287">
        <f>(O321+IF('Scenario Analysis'!$N$23=1,0,0.5))*P321</f>
        <v>1127640</v>
      </c>
    </row>
    <row r="322" spans="3:17" x14ac:dyDescent="0.25">
      <c r="C322" s="300" t="s">
        <v>1272</v>
      </c>
      <c r="D322" s="283" t="s">
        <v>659</v>
      </c>
      <c r="E322" s="283" t="s">
        <v>247</v>
      </c>
      <c r="F322" s="283" t="s">
        <v>185</v>
      </c>
      <c r="G322" s="283">
        <v>6</v>
      </c>
      <c r="H322" s="283">
        <v>12752</v>
      </c>
      <c r="I322" s="286">
        <f>(G322+IF('Scenario Analysis'!$N$23=1,0,0.5))*H322</f>
        <v>82888</v>
      </c>
      <c r="K322" s="283" t="s">
        <v>1271</v>
      </c>
      <c r="L322" s="283" t="s">
        <v>668</v>
      </c>
      <c r="M322" s="283" t="s">
        <v>249</v>
      </c>
      <c r="N322" s="283" t="s">
        <v>251</v>
      </c>
      <c r="O322" s="283">
        <v>8</v>
      </c>
      <c r="P322" s="283">
        <v>206219</v>
      </c>
      <c r="Q322" s="287">
        <f>(O322+IF('Scenario Analysis'!$N$23=1,0,0.5))*P322</f>
        <v>1752861.5</v>
      </c>
    </row>
    <row r="323" spans="3:17" x14ac:dyDescent="0.25">
      <c r="C323" s="300" t="s">
        <v>1272</v>
      </c>
      <c r="D323" s="283" t="s">
        <v>659</v>
      </c>
      <c r="E323" s="283" t="s">
        <v>247</v>
      </c>
      <c r="F323" s="283" t="s">
        <v>185</v>
      </c>
      <c r="G323" s="283">
        <v>7</v>
      </c>
      <c r="H323" s="283">
        <v>2518</v>
      </c>
      <c r="I323" s="286">
        <f>(G323+IF('Scenario Analysis'!$N$23=1,0,0.5))*H323</f>
        <v>18885</v>
      </c>
      <c r="K323" s="283" t="s">
        <v>1271</v>
      </c>
      <c r="L323" s="283" t="s">
        <v>668</v>
      </c>
      <c r="M323" s="283" t="s">
        <v>249</v>
      </c>
      <c r="N323" s="283" t="s">
        <v>251</v>
      </c>
      <c r="O323" s="283">
        <v>9</v>
      </c>
      <c r="P323" s="283">
        <v>724507</v>
      </c>
      <c r="Q323" s="287">
        <f>(O323+IF('Scenario Analysis'!$N$23=1,0,0.5))*P323</f>
        <v>6882816.5</v>
      </c>
    </row>
    <row r="324" spans="3:17" x14ac:dyDescent="0.25">
      <c r="C324" s="300" t="s">
        <v>1272</v>
      </c>
      <c r="D324" s="283" t="s">
        <v>659</v>
      </c>
      <c r="E324" s="283" t="s">
        <v>247</v>
      </c>
      <c r="F324" s="283" t="s">
        <v>185</v>
      </c>
      <c r="G324" s="283">
        <v>8</v>
      </c>
      <c r="H324" s="283">
        <v>4194</v>
      </c>
      <c r="I324" s="286">
        <f>(G324+IF('Scenario Analysis'!$N$23=1,0,0.5))*H324</f>
        <v>35649</v>
      </c>
      <c r="K324" s="283" t="s">
        <v>1271</v>
      </c>
      <c r="L324" s="283" t="s">
        <v>668</v>
      </c>
      <c r="M324" s="283" t="s">
        <v>249</v>
      </c>
      <c r="N324" s="283" t="s">
        <v>251</v>
      </c>
      <c r="O324" s="283">
        <v>10</v>
      </c>
      <c r="P324" s="283">
        <v>123853</v>
      </c>
      <c r="Q324" s="287">
        <f>(O324+IF('Scenario Analysis'!$N$23=1,0,0.5))*P324</f>
        <v>1300456.5</v>
      </c>
    </row>
    <row r="325" spans="3:17" x14ac:dyDescent="0.25">
      <c r="C325" s="300" t="s">
        <v>1272</v>
      </c>
      <c r="D325" s="283" t="s">
        <v>659</v>
      </c>
      <c r="E325" s="283" t="s">
        <v>247</v>
      </c>
      <c r="F325" s="283" t="s">
        <v>185</v>
      </c>
      <c r="G325" s="283">
        <v>9</v>
      </c>
      <c r="H325" s="283">
        <v>107270</v>
      </c>
      <c r="I325" s="286">
        <f>(G325+IF('Scenario Analysis'!$N$23=1,0,0.5))*H325</f>
        <v>1019065</v>
      </c>
      <c r="K325" s="283" t="s">
        <v>1271</v>
      </c>
      <c r="L325" s="283" t="s">
        <v>668</v>
      </c>
      <c r="M325" s="283" t="s">
        <v>249</v>
      </c>
      <c r="N325" s="283" t="s">
        <v>251</v>
      </c>
      <c r="O325" s="283">
        <v>11</v>
      </c>
      <c r="P325" s="283">
        <v>92171</v>
      </c>
      <c r="Q325" s="287">
        <f>(O325+IF('Scenario Analysis'!$N$23=1,0,0.5))*P325</f>
        <v>1059966.5</v>
      </c>
    </row>
    <row r="326" spans="3:17" x14ac:dyDescent="0.25">
      <c r="C326" s="300" t="s">
        <v>1272</v>
      </c>
      <c r="D326" s="283" t="s">
        <v>659</v>
      </c>
      <c r="E326" s="283" t="s">
        <v>247</v>
      </c>
      <c r="F326" s="283" t="s">
        <v>185</v>
      </c>
      <c r="G326" s="283">
        <v>10</v>
      </c>
      <c r="H326" s="283">
        <v>1031</v>
      </c>
      <c r="I326" s="286">
        <f>(G326+IF('Scenario Analysis'!$N$23=1,0,0.5))*H326</f>
        <v>10825.5</v>
      </c>
      <c r="K326" s="283" t="s">
        <v>1271</v>
      </c>
      <c r="L326" s="283" t="s">
        <v>668</v>
      </c>
      <c r="M326" s="283" t="s">
        <v>249</v>
      </c>
      <c r="N326" s="283" t="s">
        <v>251</v>
      </c>
      <c r="O326" s="283">
        <v>12</v>
      </c>
      <c r="P326" s="283">
        <v>92320</v>
      </c>
      <c r="Q326" s="287">
        <f>(O326+IF('Scenario Analysis'!$N$23=1,0,0.5))*P326</f>
        <v>1154000</v>
      </c>
    </row>
    <row r="327" spans="3:17" x14ac:dyDescent="0.25">
      <c r="C327" s="300" t="s">
        <v>1272</v>
      </c>
      <c r="D327" s="283" t="s">
        <v>659</v>
      </c>
      <c r="E327" s="283" t="s">
        <v>247</v>
      </c>
      <c r="F327" s="283" t="s">
        <v>185</v>
      </c>
      <c r="G327" s="283">
        <v>11</v>
      </c>
      <c r="H327" s="283">
        <v>4509</v>
      </c>
      <c r="I327" s="286">
        <f>(G327+IF('Scenario Analysis'!$N$23=1,0,0.5))*H327</f>
        <v>51853.5</v>
      </c>
      <c r="K327" s="283" t="s">
        <v>1271</v>
      </c>
      <c r="L327" s="283" t="s">
        <v>668</v>
      </c>
      <c r="M327" s="283" t="s">
        <v>249</v>
      </c>
      <c r="N327" s="283" t="s">
        <v>251</v>
      </c>
      <c r="O327" s="283">
        <v>13</v>
      </c>
      <c r="P327" s="283">
        <v>590571</v>
      </c>
      <c r="Q327" s="287">
        <f>(O327+IF('Scenario Analysis'!$N$23=1,0,0.5))*P327</f>
        <v>7972708.5</v>
      </c>
    </row>
    <row r="328" spans="3:17" x14ac:dyDescent="0.25">
      <c r="C328" s="300" t="s">
        <v>1272</v>
      </c>
      <c r="D328" s="283" t="s">
        <v>659</v>
      </c>
      <c r="E328" s="283" t="s">
        <v>247</v>
      </c>
      <c r="F328" s="283" t="s">
        <v>185</v>
      </c>
      <c r="G328" s="283">
        <v>12</v>
      </c>
      <c r="H328" s="283">
        <v>6606</v>
      </c>
      <c r="I328" s="286">
        <f>(G328+IF('Scenario Analysis'!$N$23=1,0,0.5))*H328</f>
        <v>82575</v>
      </c>
      <c r="K328" s="283" t="s">
        <v>1271</v>
      </c>
      <c r="L328" s="283" t="s">
        <v>668</v>
      </c>
      <c r="M328" s="283" t="s">
        <v>249</v>
      </c>
      <c r="N328" s="283" t="s">
        <v>251</v>
      </c>
      <c r="O328" s="283">
        <v>14</v>
      </c>
      <c r="P328" s="283">
        <v>51526</v>
      </c>
      <c r="Q328" s="287">
        <f>(O328+IF('Scenario Analysis'!$N$23=1,0,0.5))*P328</f>
        <v>747127</v>
      </c>
    </row>
    <row r="329" spans="3:17" x14ac:dyDescent="0.25">
      <c r="C329" s="300" t="s">
        <v>1272</v>
      </c>
      <c r="D329" s="283" t="s">
        <v>659</v>
      </c>
      <c r="E329" s="283" t="s">
        <v>247</v>
      </c>
      <c r="F329" s="283" t="s">
        <v>185</v>
      </c>
      <c r="G329" s="283">
        <v>13</v>
      </c>
      <c r="H329" s="283">
        <v>157</v>
      </c>
      <c r="I329" s="286">
        <f>(G329+IF('Scenario Analysis'!$N$23=1,0,0.5))*H329</f>
        <v>2119.5</v>
      </c>
      <c r="K329" s="283" t="s">
        <v>1271</v>
      </c>
      <c r="L329" s="283" t="s">
        <v>668</v>
      </c>
      <c r="M329" s="283" t="s">
        <v>249</v>
      </c>
      <c r="N329" s="283" t="s">
        <v>251</v>
      </c>
      <c r="O329" s="283">
        <v>15</v>
      </c>
      <c r="P329" s="283">
        <v>49799</v>
      </c>
      <c r="Q329" s="287">
        <f>(O329+IF('Scenario Analysis'!$N$23=1,0,0.5))*P329</f>
        <v>771884.5</v>
      </c>
    </row>
    <row r="330" spans="3:17" x14ac:dyDescent="0.25">
      <c r="C330" s="300" t="s">
        <v>1272</v>
      </c>
      <c r="D330" s="283" t="s">
        <v>659</v>
      </c>
      <c r="E330" s="283" t="s">
        <v>247</v>
      </c>
      <c r="F330" s="283" t="s">
        <v>185</v>
      </c>
      <c r="G330" s="283">
        <v>14</v>
      </c>
      <c r="H330" s="283">
        <v>52</v>
      </c>
      <c r="I330" s="286">
        <f>(G330+IF('Scenario Analysis'!$N$23=1,0,0.5))*H330</f>
        <v>754</v>
      </c>
      <c r="K330" s="283" t="s">
        <v>1271</v>
      </c>
      <c r="L330" s="283" t="s">
        <v>668</v>
      </c>
      <c r="M330" s="283" t="s">
        <v>249</v>
      </c>
      <c r="N330" s="283" t="s">
        <v>251</v>
      </c>
      <c r="O330" s="283">
        <v>16</v>
      </c>
      <c r="P330" s="283">
        <v>5229</v>
      </c>
      <c r="Q330" s="287">
        <f>(O330+IF('Scenario Analysis'!$N$23=1,0,0.5))*P330</f>
        <v>86278.5</v>
      </c>
    </row>
    <row r="331" spans="3:17" x14ac:dyDescent="0.25">
      <c r="C331" s="300" t="s">
        <v>1272</v>
      </c>
      <c r="D331" s="283" t="s">
        <v>659</v>
      </c>
      <c r="E331" s="283" t="s">
        <v>247</v>
      </c>
      <c r="F331" s="283" t="s">
        <v>185</v>
      </c>
      <c r="G331" s="283">
        <v>15</v>
      </c>
      <c r="H331" s="283">
        <v>1483</v>
      </c>
      <c r="I331" s="286">
        <f>(G331+IF('Scenario Analysis'!$N$23=1,0,0.5))*H331</f>
        <v>22986.5</v>
      </c>
      <c r="K331" s="283" t="s">
        <v>1271</v>
      </c>
      <c r="L331" s="283" t="s">
        <v>668</v>
      </c>
      <c r="M331" s="283" t="s">
        <v>249</v>
      </c>
      <c r="N331" s="283" t="s">
        <v>251</v>
      </c>
      <c r="O331" s="283">
        <v>17</v>
      </c>
      <c r="P331" s="283">
        <v>85642</v>
      </c>
      <c r="Q331" s="287">
        <f>(O331+IF('Scenario Analysis'!$N$23=1,0,0.5))*P331</f>
        <v>1498735</v>
      </c>
    </row>
    <row r="332" spans="3:17" x14ac:dyDescent="0.25">
      <c r="C332" s="300" t="s">
        <v>1272</v>
      </c>
      <c r="D332" s="283" t="s">
        <v>659</v>
      </c>
      <c r="E332" s="283" t="s">
        <v>247</v>
      </c>
      <c r="F332" s="283" t="s">
        <v>185</v>
      </c>
      <c r="G332" s="283">
        <v>16</v>
      </c>
      <c r="H332" s="283">
        <v>3695</v>
      </c>
      <c r="I332" s="286">
        <f>(G332+IF('Scenario Analysis'!$N$23=1,0,0.5))*H332</f>
        <v>60967.5</v>
      </c>
      <c r="K332" s="283" t="s">
        <v>1271</v>
      </c>
      <c r="L332" s="283" t="s">
        <v>668</v>
      </c>
      <c r="M332" s="283" t="s">
        <v>249</v>
      </c>
      <c r="N332" s="283" t="s">
        <v>251</v>
      </c>
      <c r="O332" s="283">
        <v>18</v>
      </c>
      <c r="P332" s="283">
        <v>4833</v>
      </c>
      <c r="Q332" s="287">
        <f>(O332+IF('Scenario Analysis'!$N$23=1,0,0.5))*P332</f>
        <v>89410.5</v>
      </c>
    </row>
    <row r="333" spans="3:17" x14ac:dyDescent="0.25">
      <c r="C333" s="300" t="s">
        <v>1272</v>
      </c>
      <c r="D333" s="283" t="s">
        <v>659</v>
      </c>
      <c r="E333" s="283" t="s">
        <v>247</v>
      </c>
      <c r="F333" s="283" t="s">
        <v>185</v>
      </c>
      <c r="G333" s="283">
        <v>18</v>
      </c>
      <c r="H333" s="283">
        <v>761</v>
      </c>
      <c r="I333" s="286">
        <f>(G333+IF('Scenario Analysis'!$N$23=1,0,0.5))*H333</f>
        <v>14078.5</v>
      </c>
      <c r="K333" s="283" t="s">
        <v>1271</v>
      </c>
      <c r="L333" s="283" t="s">
        <v>668</v>
      </c>
      <c r="M333" s="283" t="s">
        <v>249</v>
      </c>
      <c r="N333" s="283" t="s">
        <v>251</v>
      </c>
      <c r="O333" s="283">
        <v>19</v>
      </c>
      <c r="P333" s="283">
        <v>248517</v>
      </c>
      <c r="Q333" s="287">
        <f>(O333+IF('Scenario Analysis'!$N$23=1,0,0.5))*P333</f>
        <v>4846081.5</v>
      </c>
    </row>
    <row r="334" spans="3:17" x14ac:dyDescent="0.25">
      <c r="C334" s="300" t="s">
        <v>1272</v>
      </c>
      <c r="D334" s="283" t="s">
        <v>659</v>
      </c>
      <c r="E334" s="283" t="s">
        <v>247</v>
      </c>
      <c r="F334" s="283" t="s">
        <v>185</v>
      </c>
      <c r="G334" s="283">
        <v>19</v>
      </c>
      <c r="H334" s="283">
        <v>3505</v>
      </c>
      <c r="I334" s="286">
        <f>(G334+IF('Scenario Analysis'!$N$23=1,0,0.5))*H334</f>
        <v>68347.5</v>
      </c>
      <c r="K334" s="283" t="s">
        <v>1271</v>
      </c>
      <c r="L334" s="283" t="s">
        <v>668</v>
      </c>
      <c r="M334" s="283" t="s">
        <v>249</v>
      </c>
      <c r="N334" s="283" t="s">
        <v>251</v>
      </c>
      <c r="O334" s="283">
        <v>20</v>
      </c>
      <c r="P334" s="283">
        <v>76223</v>
      </c>
      <c r="Q334" s="287">
        <f>(O334+IF('Scenario Analysis'!$N$23=1,0,0.5))*P334</f>
        <v>1562571.5</v>
      </c>
    </row>
    <row r="335" spans="3:17" x14ac:dyDescent="0.25">
      <c r="C335" s="300" t="s">
        <v>1272</v>
      </c>
      <c r="D335" s="283" t="s">
        <v>659</v>
      </c>
      <c r="E335" s="283" t="s">
        <v>247</v>
      </c>
      <c r="F335" s="283" t="s">
        <v>185</v>
      </c>
      <c r="G335" s="283">
        <v>21</v>
      </c>
      <c r="H335" s="283">
        <v>17</v>
      </c>
      <c r="I335" s="286">
        <f>(G335+IF('Scenario Analysis'!$N$23=1,0,0.5))*H335</f>
        <v>365.5</v>
      </c>
      <c r="K335" s="283" t="s">
        <v>1271</v>
      </c>
      <c r="L335" s="283" t="s">
        <v>668</v>
      </c>
      <c r="M335" s="283" t="s">
        <v>249</v>
      </c>
      <c r="N335" s="283" t="s">
        <v>251</v>
      </c>
      <c r="O335" s="283">
        <v>21</v>
      </c>
      <c r="P335" s="283">
        <v>236652</v>
      </c>
      <c r="Q335" s="287">
        <f>(O335+IF('Scenario Analysis'!$N$23=1,0,0.5))*P335</f>
        <v>5088018</v>
      </c>
    </row>
    <row r="336" spans="3:17" x14ac:dyDescent="0.25">
      <c r="C336" s="300" t="s">
        <v>1272</v>
      </c>
      <c r="D336" s="283" t="s">
        <v>659</v>
      </c>
      <c r="E336" s="283" t="s">
        <v>247</v>
      </c>
      <c r="F336" s="283" t="s">
        <v>185</v>
      </c>
      <c r="G336" s="283">
        <v>22</v>
      </c>
      <c r="H336" s="283">
        <v>5</v>
      </c>
      <c r="I336" s="286">
        <f>(G336+IF('Scenario Analysis'!$N$23=1,0,0.5))*H336</f>
        <v>112.5</v>
      </c>
      <c r="K336" s="283" t="s">
        <v>1271</v>
      </c>
      <c r="L336" s="283" t="s">
        <v>668</v>
      </c>
      <c r="M336" s="283" t="s">
        <v>249</v>
      </c>
      <c r="N336" s="283" t="s">
        <v>251</v>
      </c>
      <c r="O336" s="283">
        <v>22</v>
      </c>
      <c r="P336" s="283">
        <v>75960</v>
      </c>
      <c r="Q336" s="287">
        <f>(O336+IF('Scenario Analysis'!$N$23=1,0,0.5))*P336</f>
        <v>1709100</v>
      </c>
    </row>
    <row r="337" spans="3:17" x14ac:dyDescent="0.25">
      <c r="C337" s="300" t="s">
        <v>1272</v>
      </c>
      <c r="D337" s="283" t="s">
        <v>660</v>
      </c>
      <c r="E337" s="283" t="s">
        <v>247</v>
      </c>
      <c r="F337" s="283" t="s">
        <v>248</v>
      </c>
      <c r="G337" s="283">
        <v>0</v>
      </c>
      <c r="H337" s="283">
        <v>134522</v>
      </c>
      <c r="I337" s="286">
        <f>(G337+IF('Scenario Analysis'!$N$23=1,0,0.5))*H337</f>
        <v>67261</v>
      </c>
      <c r="K337" s="283" t="s">
        <v>1271</v>
      </c>
      <c r="L337" s="283" t="s">
        <v>668</v>
      </c>
      <c r="M337" s="283" t="s">
        <v>249</v>
      </c>
      <c r="N337" s="283" t="s">
        <v>251</v>
      </c>
      <c r="O337" s="283">
        <v>24</v>
      </c>
      <c r="P337" s="283">
        <v>190108</v>
      </c>
      <c r="Q337" s="287">
        <f>(O337+IF('Scenario Analysis'!$N$23=1,0,0.5))*P337</f>
        <v>4657646</v>
      </c>
    </row>
    <row r="338" spans="3:17" x14ac:dyDescent="0.25">
      <c r="C338" s="300" t="s">
        <v>1272</v>
      </c>
      <c r="D338" s="283" t="s">
        <v>660</v>
      </c>
      <c r="E338" s="283" t="s">
        <v>247</v>
      </c>
      <c r="F338" s="283" t="s">
        <v>248</v>
      </c>
      <c r="G338" s="283">
        <v>1</v>
      </c>
      <c r="H338" s="283">
        <v>241256</v>
      </c>
      <c r="I338" s="286">
        <f>(G338+IF('Scenario Analysis'!$N$23=1,0,0.5))*H338</f>
        <v>361884</v>
      </c>
      <c r="K338" s="283" t="s">
        <v>1271</v>
      </c>
      <c r="L338" s="283" t="s">
        <v>668</v>
      </c>
      <c r="M338" s="283" t="s">
        <v>249</v>
      </c>
      <c r="N338" s="283" t="s">
        <v>251</v>
      </c>
      <c r="O338" s="283">
        <v>25</v>
      </c>
      <c r="P338" s="283">
        <v>7248</v>
      </c>
      <c r="Q338" s="287">
        <f>(O338+IF('Scenario Analysis'!$N$23=1,0,0.5))*P338</f>
        <v>184824</v>
      </c>
    </row>
    <row r="339" spans="3:17" x14ac:dyDescent="0.25">
      <c r="C339" s="300" t="s">
        <v>1272</v>
      </c>
      <c r="D339" s="283" t="s">
        <v>660</v>
      </c>
      <c r="E339" s="283" t="s">
        <v>247</v>
      </c>
      <c r="F339" s="283" t="s">
        <v>248</v>
      </c>
      <c r="G339" s="283">
        <v>2</v>
      </c>
      <c r="H339" s="283">
        <v>63268</v>
      </c>
      <c r="I339" s="286">
        <f>(G339+IF('Scenario Analysis'!$N$23=1,0,0.5))*H339</f>
        <v>158170</v>
      </c>
      <c r="K339" s="283" t="s">
        <v>1271</v>
      </c>
      <c r="L339" s="283" t="s">
        <v>668</v>
      </c>
      <c r="M339" s="283" t="s">
        <v>249</v>
      </c>
      <c r="N339" s="283" t="s">
        <v>251</v>
      </c>
      <c r="O339" s="283">
        <v>26</v>
      </c>
      <c r="P339" s="283">
        <v>157420</v>
      </c>
      <c r="Q339" s="287">
        <f>(O339+IF('Scenario Analysis'!$N$23=1,0,0.5))*P339</f>
        <v>4171630</v>
      </c>
    </row>
    <row r="340" spans="3:17" x14ac:dyDescent="0.25">
      <c r="C340" s="300" t="s">
        <v>1272</v>
      </c>
      <c r="D340" s="283" t="s">
        <v>660</v>
      </c>
      <c r="E340" s="283" t="s">
        <v>247</v>
      </c>
      <c r="F340" s="283" t="s">
        <v>248</v>
      </c>
      <c r="G340" s="283">
        <v>3</v>
      </c>
      <c r="H340" s="283">
        <v>45345</v>
      </c>
      <c r="I340" s="286">
        <f>(G340+IF('Scenario Analysis'!$N$23=1,0,0.5))*H340</f>
        <v>158707.5</v>
      </c>
      <c r="K340" s="283" t="s">
        <v>1271</v>
      </c>
      <c r="L340" s="283" t="s">
        <v>668</v>
      </c>
      <c r="M340" s="283" t="s">
        <v>249</v>
      </c>
      <c r="N340" s="283" t="s">
        <v>251</v>
      </c>
      <c r="O340" s="283">
        <v>27</v>
      </c>
      <c r="P340" s="283">
        <v>20304</v>
      </c>
      <c r="Q340" s="287">
        <f>(O340+IF('Scenario Analysis'!$N$23=1,0,0.5))*P340</f>
        <v>558360</v>
      </c>
    </row>
    <row r="341" spans="3:17" x14ac:dyDescent="0.25">
      <c r="C341" s="300" t="s">
        <v>1272</v>
      </c>
      <c r="D341" s="283" t="s">
        <v>660</v>
      </c>
      <c r="E341" s="283" t="s">
        <v>247</v>
      </c>
      <c r="F341" s="283" t="s">
        <v>248</v>
      </c>
      <c r="G341" s="283">
        <v>4</v>
      </c>
      <c r="H341" s="283">
        <v>82414</v>
      </c>
      <c r="I341" s="286">
        <f>(G341+IF('Scenario Analysis'!$N$23=1,0,0.5))*H341</f>
        <v>370863</v>
      </c>
      <c r="K341" s="283" t="s">
        <v>1271</v>
      </c>
      <c r="L341" s="283" t="s">
        <v>668</v>
      </c>
      <c r="M341" s="283" t="s">
        <v>249</v>
      </c>
      <c r="N341" s="283" t="s">
        <v>251</v>
      </c>
      <c r="O341" s="283">
        <v>28</v>
      </c>
      <c r="P341" s="283">
        <v>88909</v>
      </c>
      <c r="Q341" s="287">
        <f>(O341+IF('Scenario Analysis'!$N$23=1,0,0.5))*P341</f>
        <v>2533906.5</v>
      </c>
    </row>
    <row r="342" spans="3:17" x14ac:dyDescent="0.25">
      <c r="C342" s="300" t="s">
        <v>1272</v>
      </c>
      <c r="D342" s="283" t="s">
        <v>660</v>
      </c>
      <c r="E342" s="283" t="s">
        <v>247</v>
      </c>
      <c r="F342" s="283" t="s">
        <v>248</v>
      </c>
      <c r="G342" s="283">
        <v>5</v>
      </c>
      <c r="H342" s="283">
        <v>51829</v>
      </c>
      <c r="I342" s="286">
        <f>(G342+IF('Scenario Analysis'!$N$23=1,0,0.5))*H342</f>
        <v>285059.5</v>
      </c>
      <c r="K342" s="283" t="s">
        <v>1271</v>
      </c>
      <c r="L342" s="283" t="s">
        <v>668</v>
      </c>
      <c r="M342" s="283" t="s">
        <v>249</v>
      </c>
      <c r="N342" s="283" t="s">
        <v>251</v>
      </c>
      <c r="O342" s="283">
        <v>30</v>
      </c>
      <c r="P342" s="283">
        <v>177848</v>
      </c>
      <c r="Q342" s="287">
        <f>(O342+IF('Scenario Analysis'!$N$23=1,0,0.5))*P342</f>
        <v>5424364</v>
      </c>
    </row>
    <row r="343" spans="3:17" x14ac:dyDescent="0.25">
      <c r="C343" s="300" t="s">
        <v>1272</v>
      </c>
      <c r="D343" s="283" t="s">
        <v>660</v>
      </c>
      <c r="E343" s="283" t="s">
        <v>247</v>
      </c>
      <c r="F343" s="283" t="s">
        <v>248</v>
      </c>
      <c r="G343" s="283">
        <v>6</v>
      </c>
      <c r="H343" s="283">
        <v>33855</v>
      </c>
      <c r="I343" s="286">
        <f>(G343+IF('Scenario Analysis'!$N$23=1,0,0.5))*H343</f>
        <v>220057.5</v>
      </c>
      <c r="K343" s="283" t="s">
        <v>1271</v>
      </c>
      <c r="L343" s="283" t="s">
        <v>668</v>
      </c>
      <c r="M343" s="283" t="s">
        <v>249</v>
      </c>
      <c r="N343" s="283" t="s">
        <v>251</v>
      </c>
      <c r="O343" s="283">
        <v>33</v>
      </c>
      <c r="P343" s="283">
        <v>123568</v>
      </c>
      <c r="Q343" s="287">
        <f>(O343+IF('Scenario Analysis'!$N$23=1,0,0.5))*P343</f>
        <v>4139528</v>
      </c>
    </row>
    <row r="344" spans="3:17" x14ac:dyDescent="0.25">
      <c r="C344" s="300" t="s">
        <v>1272</v>
      </c>
      <c r="D344" s="283" t="s">
        <v>660</v>
      </c>
      <c r="E344" s="283" t="s">
        <v>247</v>
      </c>
      <c r="F344" s="283" t="s">
        <v>248</v>
      </c>
      <c r="G344" s="283">
        <v>7</v>
      </c>
      <c r="H344" s="283">
        <v>3679</v>
      </c>
      <c r="I344" s="286">
        <f>(G344+IF('Scenario Analysis'!$N$23=1,0,0.5))*H344</f>
        <v>27592.5</v>
      </c>
      <c r="K344" s="283" t="s">
        <v>1271</v>
      </c>
      <c r="L344" s="283" t="s">
        <v>668</v>
      </c>
      <c r="M344" s="283" t="s">
        <v>249</v>
      </c>
      <c r="N344" s="283" t="s">
        <v>251</v>
      </c>
      <c r="O344" s="283">
        <v>35</v>
      </c>
      <c r="P344" s="283">
        <v>190953</v>
      </c>
      <c r="Q344" s="287">
        <f>(O344+IF('Scenario Analysis'!$N$23=1,0,0.5))*P344</f>
        <v>6778831.5</v>
      </c>
    </row>
    <row r="345" spans="3:17" x14ac:dyDescent="0.25">
      <c r="C345" s="300" t="s">
        <v>1272</v>
      </c>
      <c r="D345" s="283" t="s">
        <v>660</v>
      </c>
      <c r="E345" s="283" t="s">
        <v>247</v>
      </c>
      <c r="F345" s="283" t="s">
        <v>248</v>
      </c>
      <c r="G345" s="283">
        <v>8</v>
      </c>
      <c r="H345" s="283">
        <v>43</v>
      </c>
      <c r="I345" s="286">
        <f>(G345+IF('Scenario Analysis'!$N$23=1,0,0.5))*H345</f>
        <v>365.5</v>
      </c>
      <c r="K345" s="283" t="s">
        <v>1271</v>
      </c>
      <c r="L345" s="283" t="s">
        <v>669</v>
      </c>
      <c r="M345" s="283" t="s">
        <v>249</v>
      </c>
      <c r="N345" s="283" t="s">
        <v>252</v>
      </c>
      <c r="O345" s="283">
        <v>0</v>
      </c>
      <c r="P345" s="283">
        <v>78</v>
      </c>
      <c r="Q345" s="287">
        <f>(O345+IF('Scenario Analysis'!$N$23=1,0,0.5))*P345</f>
        <v>39</v>
      </c>
    </row>
    <row r="346" spans="3:17" x14ac:dyDescent="0.25">
      <c r="C346" s="300" t="s">
        <v>1272</v>
      </c>
      <c r="D346" s="283" t="s">
        <v>660</v>
      </c>
      <c r="E346" s="283" t="s">
        <v>247</v>
      </c>
      <c r="F346" s="283" t="s">
        <v>248</v>
      </c>
      <c r="G346" s="283">
        <v>9</v>
      </c>
      <c r="H346" s="283">
        <v>6</v>
      </c>
      <c r="I346" s="286">
        <f>(G346+IF('Scenario Analysis'!$N$23=1,0,0.5))*H346</f>
        <v>57</v>
      </c>
      <c r="K346" s="283" t="s">
        <v>1271</v>
      </c>
      <c r="L346" s="283" t="s">
        <v>669</v>
      </c>
      <c r="M346" s="283" t="s">
        <v>249</v>
      </c>
      <c r="N346" s="283" t="s">
        <v>252</v>
      </c>
      <c r="O346" s="283">
        <v>1</v>
      </c>
      <c r="P346" s="283">
        <v>34657</v>
      </c>
      <c r="Q346" s="287">
        <f>(O346+IF('Scenario Analysis'!$N$23=1,0,0.5))*P346</f>
        <v>51985.5</v>
      </c>
    </row>
    <row r="347" spans="3:17" x14ac:dyDescent="0.25">
      <c r="C347" s="300" t="s">
        <v>1272</v>
      </c>
      <c r="D347" s="283" t="s">
        <v>661</v>
      </c>
      <c r="E347" s="283" t="s">
        <v>249</v>
      </c>
      <c r="F347" s="283" t="s">
        <v>184</v>
      </c>
      <c r="G347" s="283">
        <v>0</v>
      </c>
      <c r="H347" s="283">
        <v>1697307</v>
      </c>
      <c r="I347" s="286">
        <f>(G347+IF('Scenario Analysis'!$N$23=1,0,0.5))*H347</f>
        <v>848653.5</v>
      </c>
      <c r="K347" s="283" t="s">
        <v>1271</v>
      </c>
      <c r="L347" s="283" t="s">
        <v>669</v>
      </c>
      <c r="M347" s="283" t="s">
        <v>249</v>
      </c>
      <c r="N347" s="283" t="s">
        <v>252</v>
      </c>
      <c r="O347" s="283">
        <v>2</v>
      </c>
      <c r="P347" s="283">
        <v>27119</v>
      </c>
      <c r="Q347" s="287">
        <f>(O347+IF('Scenario Analysis'!$N$23=1,0,0.5))*P347</f>
        <v>67797.5</v>
      </c>
    </row>
    <row r="348" spans="3:17" x14ac:dyDescent="0.25">
      <c r="C348" s="300" t="s">
        <v>1272</v>
      </c>
      <c r="D348" s="283" t="s">
        <v>661</v>
      </c>
      <c r="E348" s="283" t="s">
        <v>249</v>
      </c>
      <c r="F348" s="283" t="s">
        <v>184</v>
      </c>
      <c r="G348" s="283">
        <v>1</v>
      </c>
      <c r="H348" s="283">
        <v>4628821</v>
      </c>
      <c r="I348" s="286">
        <f>(G348+IF('Scenario Analysis'!$N$23=1,0,0.5))*H348</f>
        <v>6943231.5</v>
      </c>
      <c r="K348" s="283" t="s">
        <v>1271</v>
      </c>
      <c r="L348" s="283" t="s">
        <v>669</v>
      </c>
      <c r="M348" s="283" t="s">
        <v>249</v>
      </c>
      <c r="N348" s="283" t="s">
        <v>252</v>
      </c>
      <c r="O348" s="283">
        <v>3</v>
      </c>
      <c r="P348" s="283">
        <v>34778</v>
      </c>
      <c r="Q348" s="287">
        <f>(O348+IF('Scenario Analysis'!$N$23=1,0,0.5))*P348</f>
        <v>121723</v>
      </c>
    </row>
    <row r="349" spans="3:17" x14ac:dyDescent="0.25">
      <c r="C349" s="300" t="s">
        <v>1272</v>
      </c>
      <c r="D349" s="283" t="s">
        <v>661</v>
      </c>
      <c r="E349" s="283" t="s">
        <v>249</v>
      </c>
      <c r="F349" s="283" t="s">
        <v>184</v>
      </c>
      <c r="G349" s="283">
        <v>2</v>
      </c>
      <c r="H349" s="283">
        <v>3842216</v>
      </c>
      <c r="I349" s="286">
        <f>(G349+IF('Scenario Analysis'!$N$23=1,0,0.5))*H349</f>
        <v>9605540</v>
      </c>
      <c r="K349" s="283" t="s">
        <v>1271</v>
      </c>
      <c r="L349" s="283" t="s">
        <v>669</v>
      </c>
      <c r="M349" s="283" t="s">
        <v>249</v>
      </c>
      <c r="N349" s="283" t="s">
        <v>252</v>
      </c>
      <c r="O349" s="283">
        <v>4</v>
      </c>
      <c r="P349" s="283">
        <v>26789</v>
      </c>
      <c r="Q349" s="287">
        <f>(O349+IF('Scenario Analysis'!$N$23=1,0,0.5))*P349</f>
        <v>120550.5</v>
      </c>
    </row>
    <row r="350" spans="3:17" x14ac:dyDescent="0.25">
      <c r="C350" s="300" t="s">
        <v>1272</v>
      </c>
      <c r="D350" s="283" t="s">
        <v>661</v>
      </c>
      <c r="E350" s="283" t="s">
        <v>249</v>
      </c>
      <c r="F350" s="283" t="s">
        <v>184</v>
      </c>
      <c r="G350" s="283">
        <v>3</v>
      </c>
      <c r="H350" s="283">
        <v>2490321</v>
      </c>
      <c r="I350" s="286">
        <f>(G350+IF('Scenario Analysis'!$N$23=1,0,0.5))*H350</f>
        <v>8716123.5</v>
      </c>
      <c r="K350" s="283" t="s">
        <v>1271</v>
      </c>
      <c r="L350" s="283" t="s">
        <v>669</v>
      </c>
      <c r="M350" s="283" t="s">
        <v>249</v>
      </c>
      <c r="N350" s="283" t="s">
        <v>252</v>
      </c>
      <c r="O350" s="283">
        <v>5</v>
      </c>
      <c r="P350" s="283">
        <v>25491</v>
      </c>
      <c r="Q350" s="287">
        <f>(O350+IF('Scenario Analysis'!$N$23=1,0,0.5))*P350</f>
        <v>140200.5</v>
      </c>
    </row>
    <row r="351" spans="3:17" x14ac:dyDescent="0.25">
      <c r="C351" s="300" t="s">
        <v>1272</v>
      </c>
      <c r="D351" s="283" t="s">
        <v>661</v>
      </c>
      <c r="E351" s="283" t="s">
        <v>249</v>
      </c>
      <c r="F351" s="283" t="s">
        <v>184</v>
      </c>
      <c r="G351" s="283">
        <v>4</v>
      </c>
      <c r="H351" s="283">
        <v>1948953</v>
      </c>
      <c r="I351" s="286">
        <f>(G351+IF('Scenario Analysis'!$N$23=1,0,0.5))*H351</f>
        <v>8770288.5</v>
      </c>
      <c r="K351" s="283" t="s">
        <v>1271</v>
      </c>
      <c r="L351" s="283" t="s">
        <v>669</v>
      </c>
      <c r="M351" s="283" t="s">
        <v>249</v>
      </c>
      <c r="N351" s="283" t="s">
        <v>252</v>
      </c>
      <c r="O351" s="283">
        <v>6</v>
      </c>
      <c r="P351" s="283">
        <v>42485</v>
      </c>
      <c r="Q351" s="287">
        <f>(O351+IF('Scenario Analysis'!$N$23=1,0,0.5))*P351</f>
        <v>276152.5</v>
      </c>
    </row>
    <row r="352" spans="3:17" x14ac:dyDescent="0.25">
      <c r="C352" s="300" t="s">
        <v>1272</v>
      </c>
      <c r="D352" s="283" t="s">
        <v>661</v>
      </c>
      <c r="E352" s="283" t="s">
        <v>249</v>
      </c>
      <c r="F352" s="283" t="s">
        <v>184</v>
      </c>
      <c r="G352" s="283">
        <v>5</v>
      </c>
      <c r="H352" s="283">
        <v>1348216</v>
      </c>
      <c r="I352" s="286">
        <f>(G352+IF('Scenario Analysis'!$N$23=1,0,0.5))*H352</f>
        <v>7415188</v>
      </c>
      <c r="K352" s="283" t="s">
        <v>1271</v>
      </c>
      <c r="L352" s="283" t="s">
        <v>669</v>
      </c>
      <c r="M352" s="283" t="s">
        <v>249</v>
      </c>
      <c r="N352" s="283" t="s">
        <v>252</v>
      </c>
      <c r="O352" s="283">
        <v>7</v>
      </c>
      <c r="P352" s="283">
        <v>69632</v>
      </c>
      <c r="Q352" s="287">
        <f>(O352+IF('Scenario Analysis'!$N$23=1,0,0.5))*P352</f>
        <v>522240</v>
      </c>
    </row>
    <row r="353" spans="3:17" x14ac:dyDescent="0.25">
      <c r="C353" s="300" t="s">
        <v>1272</v>
      </c>
      <c r="D353" s="283" t="s">
        <v>661</v>
      </c>
      <c r="E353" s="283" t="s">
        <v>249</v>
      </c>
      <c r="F353" s="283" t="s">
        <v>184</v>
      </c>
      <c r="G353" s="283">
        <v>6</v>
      </c>
      <c r="H353" s="283">
        <v>1085785</v>
      </c>
      <c r="I353" s="286">
        <f>(G353+IF('Scenario Analysis'!$N$23=1,0,0.5))*H353</f>
        <v>7057602.5</v>
      </c>
      <c r="K353" s="283" t="s">
        <v>1271</v>
      </c>
      <c r="L353" s="283" t="s">
        <v>669</v>
      </c>
      <c r="M353" s="283" t="s">
        <v>249</v>
      </c>
      <c r="N353" s="283" t="s">
        <v>252</v>
      </c>
      <c r="O353" s="283">
        <v>8</v>
      </c>
      <c r="P353" s="283">
        <v>65587</v>
      </c>
      <c r="Q353" s="287">
        <f>(O353+IF('Scenario Analysis'!$N$23=1,0,0.5))*P353</f>
        <v>557489.5</v>
      </c>
    </row>
    <row r="354" spans="3:17" x14ac:dyDescent="0.25">
      <c r="C354" s="300" t="s">
        <v>1272</v>
      </c>
      <c r="D354" s="283" t="s">
        <v>661</v>
      </c>
      <c r="E354" s="283" t="s">
        <v>249</v>
      </c>
      <c r="F354" s="283" t="s">
        <v>184</v>
      </c>
      <c r="G354" s="283">
        <v>7</v>
      </c>
      <c r="H354" s="283">
        <v>583631</v>
      </c>
      <c r="I354" s="286">
        <f>(G354+IF('Scenario Analysis'!$N$23=1,0,0.5))*H354</f>
        <v>4377232.5</v>
      </c>
      <c r="K354" s="283" t="s">
        <v>1271</v>
      </c>
      <c r="L354" s="283" t="s">
        <v>669</v>
      </c>
      <c r="M354" s="283" t="s">
        <v>249</v>
      </c>
      <c r="N354" s="283" t="s">
        <v>252</v>
      </c>
      <c r="O354" s="283">
        <v>9</v>
      </c>
      <c r="P354" s="283">
        <v>23813</v>
      </c>
      <c r="Q354" s="287">
        <f>(O354+IF('Scenario Analysis'!$N$23=1,0,0.5))*P354</f>
        <v>226223.5</v>
      </c>
    </row>
    <row r="355" spans="3:17" x14ac:dyDescent="0.25">
      <c r="C355" s="300" t="s">
        <v>1272</v>
      </c>
      <c r="D355" s="283" t="s">
        <v>661</v>
      </c>
      <c r="E355" s="283" t="s">
        <v>249</v>
      </c>
      <c r="F355" s="283" t="s">
        <v>184</v>
      </c>
      <c r="G355" s="283">
        <v>8</v>
      </c>
      <c r="H355" s="283">
        <v>481147</v>
      </c>
      <c r="I355" s="286">
        <f>(G355+IF('Scenario Analysis'!$N$23=1,0,0.5))*H355</f>
        <v>4089749.5</v>
      </c>
      <c r="K355" s="283" t="s">
        <v>1271</v>
      </c>
      <c r="L355" s="283" t="s">
        <v>669</v>
      </c>
      <c r="M355" s="283" t="s">
        <v>249</v>
      </c>
      <c r="N355" s="283" t="s">
        <v>252</v>
      </c>
      <c r="O355" s="283">
        <v>10</v>
      </c>
      <c r="P355" s="283">
        <v>92706</v>
      </c>
      <c r="Q355" s="287">
        <f>(O355+IF('Scenario Analysis'!$N$23=1,0,0.5))*P355</f>
        <v>973413</v>
      </c>
    </row>
    <row r="356" spans="3:17" x14ac:dyDescent="0.25">
      <c r="C356" s="300" t="s">
        <v>1272</v>
      </c>
      <c r="D356" s="283" t="s">
        <v>661</v>
      </c>
      <c r="E356" s="283" t="s">
        <v>249</v>
      </c>
      <c r="F356" s="283" t="s">
        <v>184</v>
      </c>
      <c r="G356" s="283">
        <v>9</v>
      </c>
      <c r="H356" s="283">
        <v>293957</v>
      </c>
      <c r="I356" s="286">
        <f>(G356+IF('Scenario Analysis'!$N$23=1,0,0.5))*H356</f>
        <v>2792591.5</v>
      </c>
      <c r="K356" s="283" t="s">
        <v>1271</v>
      </c>
      <c r="L356" s="283" t="s">
        <v>669</v>
      </c>
      <c r="M356" s="283" t="s">
        <v>249</v>
      </c>
      <c r="N356" s="283" t="s">
        <v>252</v>
      </c>
      <c r="O356" s="283">
        <v>11</v>
      </c>
      <c r="P356" s="283">
        <v>394315</v>
      </c>
      <c r="Q356" s="287">
        <f>(O356+IF('Scenario Analysis'!$N$23=1,0,0.5))*P356</f>
        <v>4534622.5</v>
      </c>
    </row>
    <row r="357" spans="3:17" x14ac:dyDescent="0.25">
      <c r="C357" s="300" t="s">
        <v>1272</v>
      </c>
      <c r="D357" s="283" t="s">
        <v>661</v>
      </c>
      <c r="E357" s="283" t="s">
        <v>249</v>
      </c>
      <c r="F357" s="283" t="s">
        <v>184</v>
      </c>
      <c r="G357" s="283">
        <v>10</v>
      </c>
      <c r="H357" s="283">
        <v>270974</v>
      </c>
      <c r="I357" s="286">
        <f>(G357+IF('Scenario Analysis'!$N$23=1,0,0.5))*H357</f>
        <v>2845227</v>
      </c>
      <c r="K357" s="283" t="s">
        <v>1271</v>
      </c>
      <c r="L357" s="283" t="s">
        <v>669</v>
      </c>
      <c r="M357" s="283" t="s">
        <v>249</v>
      </c>
      <c r="N357" s="283" t="s">
        <v>252</v>
      </c>
      <c r="O357" s="283">
        <v>12</v>
      </c>
      <c r="P357" s="283">
        <v>34045</v>
      </c>
      <c r="Q357" s="287">
        <f>(O357+IF('Scenario Analysis'!$N$23=1,0,0.5))*P357</f>
        <v>425562.5</v>
      </c>
    </row>
    <row r="358" spans="3:17" x14ac:dyDescent="0.25">
      <c r="C358" s="300" t="s">
        <v>1272</v>
      </c>
      <c r="D358" s="283" t="s">
        <v>661</v>
      </c>
      <c r="E358" s="283" t="s">
        <v>249</v>
      </c>
      <c r="F358" s="283" t="s">
        <v>184</v>
      </c>
      <c r="G358" s="283">
        <v>11</v>
      </c>
      <c r="H358" s="283">
        <v>172573</v>
      </c>
      <c r="I358" s="286">
        <f>(G358+IF('Scenario Analysis'!$N$23=1,0,0.5))*H358</f>
        <v>1984589.5</v>
      </c>
      <c r="K358" s="283" t="s">
        <v>1271</v>
      </c>
      <c r="L358" s="283" t="s">
        <v>669</v>
      </c>
      <c r="M358" s="283" t="s">
        <v>249</v>
      </c>
      <c r="N358" s="283" t="s">
        <v>252</v>
      </c>
      <c r="O358" s="283">
        <v>13</v>
      </c>
      <c r="P358" s="283">
        <v>92496</v>
      </c>
      <c r="Q358" s="287">
        <f>(O358+IF('Scenario Analysis'!$N$23=1,0,0.5))*P358</f>
        <v>1248696</v>
      </c>
    </row>
    <row r="359" spans="3:17" x14ac:dyDescent="0.25">
      <c r="C359" s="300" t="s">
        <v>1272</v>
      </c>
      <c r="D359" s="283" t="s">
        <v>661</v>
      </c>
      <c r="E359" s="283" t="s">
        <v>249</v>
      </c>
      <c r="F359" s="283" t="s">
        <v>184</v>
      </c>
      <c r="G359" s="283">
        <v>12</v>
      </c>
      <c r="H359" s="283">
        <v>202146</v>
      </c>
      <c r="I359" s="286">
        <f>(G359+IF('Scenario Analysis'!$N$23=1,0,0.5))*H359</f>
        <v>2526825</v>
      </c>
      <c r="K359" s="283" t="s">
        <v>1271</v>
      </c>
      <c r="L359" s="283" t="s">
        <v>669</v>
      </c>
      <c r="M359" s="283" t="s">
        <v>249</v>
      </c>
      <c r="N359" s="283" t="s">
        <v>252</v>
      </c>
      <c r="O359" s="283">
        <v>14</v>
      </c>
      <c r="P359" s="283">
        <v>69893</v>
      </c>
      <c r="Q359" s="287">
        <f>(O359+IF('Scenario Analysis'!$N$23=1,0,0.5))*P359</f>
        <v>1013448.5</v>
      </c>
    </row>
    <row r="360" spans="3:17" x14ac:dyDescent="0.25">
      <c r="C360" s="300" t="s">
        <v>1272</v>
      </c>
      <c r="D360" s="283" t="s">
        <v>661</v>
      </c>
      <c r="E360" s="283" t="s">
        <v>249</v>
      </c>
      <c r="F360" s="283" t="s">
        <v>184</v>
      </c>
      <c r="G360" s="283">
        <v>13</v>
      </c>
      <c r="H360" s="283">
        <v>86108</v>
      </c>
      <c r="I360" s="286">
        <f>(G360+IF('Scenario Analysis'!$N$23=1,0,0.5))*H360</f>
        <v>1162458</v>
      </c>
      <c r="K360" s="283" t="s">
        <v>1271</v>
      </c>
      <c r="L360" s="283" t="s">
        <v>669</v>
      </c>
      <c r="M360" s="283" t="s">
        <v>249</v>
      </c>
      <c r="N360" s="283" t="s">
        <v>252</v>
      </c>
      <c r="O360" s="283">
        <v>15</v>
      </c>
      <c r="P360" s="283">
        <v>13370</v>
      </c>
      <c r="Q360" s="287">
        <f>(O360+IF('Scenario Analysis'!$N$23=1,0,0.5))*P360</f>
        <v>207235</v>
      </c>
    </row>
    <row r="361" spans="3:17" x14ac:dyDescent="0.25">
      <c r="C361" s="300" t="s">
        <v>1272</v>
      </c>
      <c r="D361" s="283" t="s">
        <v>661</v>
      </c>
      <c r="E361" s="283" t="s">
        <v>249</v>
      </c>
      <c r="F361" s="283" t="s">
        <v>184</v>
      </c>
      <c r="G361" s="283">
        <v>14</v>
      </c>
      <c r="H361" s="283">
        <v>176237</v>
      </c>
      <c r="I361" s="286">
        <f>(G361+IF('Scenario Analysis'!$N$23=1,0,0.5))*H361</f>
        <v>2555436.5</v>
      </c>
      <c r="K361" s="283" t="s">
        <v>1271</v>
      </c>
      <c r="L361" s="283" t="s">
        <v>669</v>
      </c>
      <c r="M361" s="283" t="s">
        <v>249</v>
      </c>
      <c r="N361" s="283" t="s">
        <v>252</v>
      </c>
      <c r="O361" s="283">
        <v>16</v>
      </c>
      <c r="P361" s="283">
        <v>26706</v>
      </c>
      <c r="Q361" s="287">
        <f>(O361+IF('Scenario Analysis'!$N$23=1,0,0.5))*P361</f>
        <v>440649</v>
      </c>
    </row>
    <row r="362" spans="3:17" x14ac:dyDescent="0.25">
      <c r="C362" s="300" t="s">
        <v>1272</v>
      </c>
      <c r="D362" s="283" t="s">
        <v>661</v>
      </c>
      <c r="E362" s="283" t="s">
        <v>249</v>
      </c>
      <c r="F362" s="283" t="s">
        <v>184</v>
      </c>
      <c r="G362" s="283">
        <v>15</v>
      </c>
      <c r="H362" s="283">
        <v>51933</v>
      </c>
      <c r="I362" s="286">
        <f>(G362+IF('Scenario Analysis'!$N$23=1,0,0.5))*H362</f>
        <v>804961.5</v>
      </c>
      <c r="K362" s="283" t="s">
        <v>1271</v>
      </c>
      <c r="L362" s="283" t="s">
        <v>669</v>
      </c>
      <c r="M362" s="283" t="s">
        <v>249</v>
      </c>
      <c r="N362" s="283" t="s">
        <v>252</v>
      </c>
      <c r="O362" s="283">
        <v>17</v>
      </c>
      <c r="P362" s="283">
        <v>33768</v>
      </c>
      <c r="Q362" s="287">
        <f>(O362+IF('Scenario Analysis'!$N$23=1,0,0.5))*P362</f>
        <v>590940</v>
      </c>
    </row>
    <row r="363" spans="3:17" x14ac:dyDescent="0.25">
      <c r="C363" s="300" t="s">
        <v>1272</v>
      </c>
      <c r="D363" s="283" t="s">
        <v>661</v>
      </c>
      <c r="E363" s="283" t="s">
        <v>249</v>
      </c>
      <c r="F363" s="283" t="s">
        <v>184</v>
      </c>
      <c r="G363" s="283">
        <v>16</v>
      </c>
      <c r="H363" s="283">
        <v>42771</v>
      </c>
      <c r="I363" s="286">
        <f>(G363+IF('Scenario Analysis'!$N$23=1,0,0.5))*H363</f>
        <v>705721.5</v>
      </c>
      <c r="K363" s="283" t="s">
        <v>1271</v>
      </c>
      <c r="L363" s="283" t="s">
        <v>669</v>
      </c>
      <c r="M363" s="283" t="s">
        <v>249</v>
      </c>
      <c r="N363" s="283" t="s">
        <v>252</v>
      </c>
      <c r="O363" s="283">
        <v>18</v>
      </c>
      <c r="P363" s="283">
        <v>27624</v>
      </c>
      <c r="Q363" s="287">
        <f>(O363+IF('Scenario Analysis'!$N$23=1,0,0.5))*P363</f>
        <v>511044</v>
      </c>
    </row>
    <row r="364" spans="3:17" x14ac:dyDescent="0.25">
      <c r="C364" s="300" t="s">
        <v>1272</v>
      </c>
      <c r="D364" s="283" t="s">
        <v>661</v>
      </c>
      <c r="E364" s="283" t="s">
        <v>249</v>
      </c>
      <c r="F364" s="283" t="s">
        <v>184</v>
      </c>
      <c r="G364" s="283">
        <v>17</v>
      </c>
      <c r="H364" s="283">
        <v>47893</v>
      </c>
      <c r="I364" s="286">
        <f>(G364+IF('Scenario Analysis'!$N$23=1,0,0.5))*H364</f>
        <v>838127.5</v>
      </c>
      <c r="K364" s="283" t="s">
        <v>1271</v>
      </c>
      <c r="L364" s="283" t="s">
        <v>669</v>
      </c>
      <c r="M364" s="283" t="s">
        <v>249</v>
      </c>
      <c r="N364" s="283" t="s">
        <v>252</v>
      </c>
      <c r="O364" s="283">
        <v>19</v>
      </c>
      <c r="P364" s="283">
        <v>16868</v>
      </c>
      <c r="Q364" s="287">
        <f>(O364+IF('Scenario Analysis'!$N$23=1,0,0.5))*P364</f>
        <v>328926</v>
      </c>
    </row>
    <row r="365" spans="3:17" x14ac:dyDescent="0.25">
      <c r="C365" s="300" t="s">
        <v>1272</v>
      </c>
      <c r="D365" s="283" t="s">
        <v>661</v>
      </c>
      <c r="E365" s="283" t="s">
        <v>249</v>
      </c>
      <c r="F365" s="283" t="s">
        <v>184</v>
      </c>
      <c r="G365" s="283">
        <v>18</v>
      </c>
      <c r="H365" s="283">
        <v>44015</v>
      </c>
      <c r="I365" s="286">
        <f>(G365+IF('Scenario Analysis'!$N$23=1,0,0.5))*H365</f>
        <v>814277.5</v>
      </c>
      <c r="K365" s="283" t="s">
        <v>1271</v>
      </c>
      <c r="L365" s="283" t="s">
        <v>669</v>
      </c>
      <c r="M365" s="283" t="s">
        <v>249</v>
      </c>
      <c r="N365" s="283" t="s">
        <v>252</v>
      </c>
      <c r="O365" s="283">
        <v>20</v>
      </c>
      <c r="P365" s="283">
        <v>68987</v>
      </c>
      <c r="Q365" s="287">
        <f>(O365+IF('Scenario Analysis'!$N$23=1,0,0.5))*P365</f>
        <v>1414233.5</v>
      </c>
    </row>
    <row r="366" spans="3:17" x14ac:dyDescent="0.25">
      <c r="C366" s="300" t="s">
        <v>1272</v>
      </c>
      <c r="D366" s="283" t="s">
        <v>661</v>
      </c>
      <c r="E366" s="283" t="s">
        <v>249</v>
      </c>
      <c r="F366" s="283" t="s">
        <v>184</v>
      </c>
      <c r="G366" s="283">
        <v>19</v>
      </c>
      <c r="H366" s="283">
        <v>99557</v>
      </c>
      <c r="I366" s="286">
        <f>(G366+IF('Scenario Analysis'!$N$23=1,0,0.5))*H366</f>
        <v>1941361.5</v>
      </c>
      <c r="K366" s="283" t="s">
        <v>1271</v>
      </c>
      <c r="L366" s="283" t="s">
        <v>669</v>
      </c>
      <c r="M366" s="283" t="s">
        <v>249</v>
      </c>
      <c r="N366" s="283" t="s">
        <v>252</v>
      </c>
      <c r="O366" s="283">
        <v>21</v>
      </c>
      <c r="P366" s="283">
        <v>16229</v>
      </c>
      <c r="Q366" s="287">
        <f>(O366+IF('Scenario Analysis'!$N$23=1,0,0.5))*P366</f>
        <v>348923.5</v>
      </c>
    </row>
    <row r="367" spans="3:17" x14ac:dyDescent="0.25">
      <c r="C367" s="300" t="s">
        <v>1272</v>
      </c>
      <c r="D367" s="283" t="s">
        <v>661</v>
      </c>
      <c r="E367" s="283" t="s">
        <v>249</v>
      </c>
      <c r="F367" s="283" t="s">
        <v>184</v>
      </c>
      <c r="G367" s="283">
        <v>20</v>
      </c>
      <c r="H367" s="283">
        <v>43960</v>
      </c>
      <c r="I367" s="286">
        <f>(G367+IF('Scenario Analysis'!$N$23=1,0,0.5))*H367</f>
        <v>901180</v>
      </c>
      <c r="K367" s="283" t="s">
        <v>1271</v>
      </c>
      <c r="L367" s="283" t="s">
        <v>669</v>
      </c>
      <c r="M367" s="283" t="s">
        <v>249</v>
      </c>
      <c r="N367" s="283" t="s">
        <v>252</v>
      </c>
      <c r="O367" s="283">
        <v>22</v>
      </c>
      <c r="P367" s="283">
        <v>120838</v>
      </c>
      <c r="Q367" s="287">
        <f>(O367+IF('Scenario Analysis'!$N$23=1,0,0.5))*P367</f>
        <v>2718855</v>
      </c>
    </row>
    <row r="368" spans="3:17" x14ac:dyDescent="0.25">
      <c r="C368" s="300" t="s">
        <v>1272</v>
      </c>
      <c r="D368" s="283" t="s">
        <v>661</v>
      </c>
      <c r="E368" s="283" t="s">
        <v>249</v>
      </c>
      <c r="F368" s="283" t="s">
        <v>184</v>
      </c>
      <c r="G368" s="283">
        <v>21</v>
      </c>
      <c r="H368" s="283">
        <v>22809</v>
      </c>
      <c r="I368" s="286">
        <f>(G368+IF('Scenario Analysis'!$N$23=1,0,0.5))*H368</f>
        <v>490393.5</v>
      </c>
      <c r="K368" s="283" t="s">
        <v>1271</v>
      </c>
      <c r="L368" s="283" t="s">
        <v>669</v>
      </c>
      <c r="M368" s="283" t="s">
        <v>249</v>
      </c>
      <c r="N368" s="283" t="s">
        <v>252</v>
      </c>
      <c r="O368" s="283">
        <v>23</v>
      </c>
      <c r="P368" s="283">
        <v>382030</v>
      </c>
      <c r="Q368" s="287">
        <f>(O368+IF('Scenario Analysis'!$N$23=1,0,0.5))*P368</f>
        <v>8977705</v>
      </c>
    </row>
    <row r="369" spans="3:17" x14ac:dyDescent="0.25">
      <c r="C369" s="300" t="s">
        <v>1272</v>
      </c>
      <c r="D369" s="283" t="s">
        <v>661</v>
      </c>
      <c r="E369" s="283" t="s">
        <v>249</v>
      </c>
      <c r="F369" s="283" t="s">
        <v>184</v>
      </c>
      <c r="G369" s="283">
        <v>22</v>
      </c>
      <c r="H369" s="283">
        <v>102514</v>
      </c>
      <c r="I369" s="286">
        <f>(G369+IF('Scenario Analysis'!$N$23=1,0,0.5))*H369</f>
        <v>2306565</v>
      </c>
      <c r="K369" s="283" t="s">
        <v>1271</v>
      </c>
      <c r="L369" s="283" t="s">
        <v>669</v>
      </c>
      <c r="M369" s="283" t="s">
        <v>249</v>
      </c>
      <c r="N369" s="283" t="s">
        <v>252</v>
      </c>
      <c r="O369" s="283">
        <v>24</v>
      </c>
      <c r="P369" s="283">
        <v>57136</v>
      </c>
      <c r="Q369" s="287">
        <f>(O369+IF('Scenario Analysis'!$N$23=1,0,0.5))*P369</f>
        <v>1399832</v>
      </c>
    </row>
    <row r="370" spans="3:17" x14ac:dyDescent="0.25">
      <c r="C370" s="300" t="s">
        <v>1272</v>
      </c>
      <c r="D370" s="283" t="s">
        <v>661</v>
      </c>
      <c r="E370" s="283" t="s">
        <v>249</v>
      </c>
      <c r="F370" s="283" t="s">
        <v>184</v>
      </c>
      <c r="G370" s="283">
        <v>23</v>
      </c>
      <c r="H370" s="283">
        <v>82353</v>
      </c>
      <c r="I370" s="286">
        <f>(G370+IF('Scenario Analysis'!$N$23=1,0,0.5))*H370</f>
        <v>1935295.5</v>
      </c>
      <c r="K370" s="283" t="s">
        <v>1271</v>
      </c>
      <c r="L370" s="283" t="s">
        <v>669</v>
      </c>
      <c r="M370" s="283" t="s">
        <v>249</v>
      </c>
      <c r="N370" s="283" t="s">
        <v>252</v>
      </c>
      <c r="O370" s="283">
        <v>25</v>
      </c>
      <c r="P370" s="283">
        <v>18430</v>
      </c>
      <c r="Q370" s="287">
        <f>(O370+IF('Scenario Analysis'!$N$23=1,0,0.5))*P370</f>
        <v>469965</v>
      </c>
    </row>
    <row r="371" spans="3:17" x14ac:dyDescent="0.25">
      <c r="C371" s="300" t="s">
        <v>1272</v>
      </c>
      <c r="D371" s="283" t="s">
        <v>661</v>
      </c>
      <c r="E371" s="283" t="s">
        <v>249</v>
      </c>
      <c r="F371" s="283" t="s">
        <v>184</v>
      </c>
      <c r="G371" s="283">
        <v>24</v>
      </c>
      <c r="H371" s="283">
        <v>57582</v>
      </c>
      <c r="I371" s="286">
        <f>(G371+IF('Scenario Analysis'!$N$23=1,0,0.5))*H371</f>
        <v>1410759</v>
      </c>
      <c r="K371" s="283" t="s">
        <v>1271</v>
      </c>
      <c r="L371" s="283" t="s">
        <v>669</v>
      </c>
      <c r="M371" s="283" t="s">
        <v>249</v>
      </c>
      <c r="N371" s="283" t="s">
        <v>252</v>
      </c>
      <c r="O371" s="283">
        <v>26</v>
      </c>
      <c r="P371" s="283">
        <v>87634</v>
      </c>
      <c r="Q371" s="287">
        <f>(O371+IF('Scenario Analysis'!$N$23=1,0,0.5))*P371</f>
        <v>2322301</v>
      </c>
    </row>
    <row r="372" spans="3:17" x14ac:dyDescent="0.25">
      <c r="C372" s="300" t="s">
        <v>1272</v>
      </c>
      <c r="D372" s="283" t="s">
        <v>661</v>
      </c>
      <c r="E372" s="283" t="s">
        <v>249</v>
      </c>
      <c r="F372" s="283" t="s">
        <v>184</v>
      </c>
      <c r="G372" s="283">
        <v>25</v>
      </c>
      <c r="H372" s="283">
        <v>8968</v>
      </c>
      <c r="I372" s="286">
        <f>(G372+IF('Scenario Analysis'!$N$23=1,0,0.5))*H372</f>
        <v>228684</v>
      </c>
      <c r="K372" s="283" t="s">
        <v>1271</v>
      </c>
      <c r="L372" s="283" t="s">
        <v>669</v>
      </c>
      <c r="M372" s="283" t="s">
        <v>249</v>
      </c>
      <c r="N372" s="283" t="s">
        <v>252</v>
      </c>
      <c r="O372" s="283">
        <v>27</v>
      </c>
      <c r="P372" s="283">
        <v>29701</v>
      </c>
      <c r="Q372" s="287">
        <f>(O372+IF('Scenario Analysis'!$N$23=1,0,0.5))*P372</f>
        <v>816777.5</v>
      </c>
    </row>
    <row r="373" spans="3:17" x14ac:dyDescent="0.25">
      <c r="C373" s="300" t="s">
        <v>1272</v>
      </c>
      <c r="D373" s="283" t="s">
        <v>661</v>
      </c>
      <c r="E373" s="283" t="s">
        <v>249</v>
      </c>
      <c r="F373" s="283" t="s">
        <v>184</v>
      </c>
      <c r="G373" s="283">
        <v>26</v>
      </c>
      <c r="H373" s="283">
        <v>12600</v>
      </c>
      <c r="I373" s="286">
        <f>(G373+IF('Scenario Analysis'!$N$23=1,0,0.5))*H373</f>
        <v>333900</v>
      </c>
      <c r="K373" s="283" t="s">
        <v>1271</v>
      </c>
      <c r="L373" s="283" t="s">
        <v>669</v>
      </c>
      <c r="M373" s="283" t="s">
        <v>249</v>
      </c>
      <c r="N373" s="283" t="s">
        <v>252</v>
      </c>
      <c r="O373" s="283">
        <v>28</v>
      </c>
      <c r="P373" s="283">
        <v>17255</v>
      </c>
      <c r="Q373" s="287">
        <f>(O373+IF('Scenario Analysis'!$N$23=1,0,0.5))*P373</f>
        <v>491767.5</v>
      </c>
    </row>
    <row r="374" spans="3:17" x14ac:dyDescent="0.25">
      <c r="C374" s="300" t="s">
        <v>1272</v>
      </c>
      <c r="D374" s="283" t="s">
        <v>661</v>
      </c>
      <c r="E374" s="283" t="s">
        <v>249</v>
      </c>
      <c r="F374" s="283" t="s">
        <v>184</v>
      </c>
      <c r="G374" s="283">
        <v>27</v>
      </c>
      <c r="H374" s="283">
        <v>12065</v>
      </c>
      <c r="I374" s="286">
        <f>(G374+IF('Scenario Analysis'!$N$23=1,0,0.5))*H374</f>
        <v>331787.5</v>
      </c>
      <c r="K374" s="283" t="s">
        <v>1271</v>
      </c>
      <c r="L374" s="283" t="s">
        <v>669</v>
      </c>
      <c r="M374" s="283" t="s">
        <v>249</v>
      </c>
      <c r="N374" s="283" t="s">
        <v>252</v>
      </c>
      <c r="O374" s="283">
        <v>29</v>
      </c>
      <c r="P374" s="283">
        <v>5648</v>
      </c>
      <c r="Q374" s="287">
        <f>(O374+IF('Scenario Analysis'!$N$23=1,0,0.5))*P374</f>
        <v>166616</v>
      </c>
    </row>
    <row r="375" spans="3:17" x14ac:dyDescent="0.25">
      <c r="C375" s="300" t="s">
        <v>1272</v>
      </c>
      <c r="D375" s="283" t="s">
        <v>661</v>
      </c>
      <c r="E375" s="283" t="s">
        <v>249</v>
      </c>
      <c r="F375" s="283" t="s">
        <v>184</v>
      </c>
      <c r="G375" s="283">
        <v>28</v>
      </c>
      <c r="H375" s="283">
        <v>79709</v>
      </c>
      <c r="I375" s="286">
        <f>(G375+IF('Scenario Analysis'!$N$23=1,0,0.5))*H375</f>
        <v>2271706.5</v>
      </c>
      <c r="K375" s="283" t="s">
        <v>1271</v>
      </c>
      <c r="L375" s="283" t="s">
        <v>669</v>
      </c>
      <c r="M375" s="283" t="s">
        <v>249</v>
      </c>
      <c r="N375" s="283" t="s">
        <v>252</v>
      </c>
      <c r="O375" s="283">
        <v>30</v>
      </c>
      <c r="P375" s="283">
        <v>32860</v>
      </c>
      <c r="Q375" s="287">
        <f>(O375+IF('Scenario Analysis'!$N$23=1,0,0.5))*P375</f>
        <v>1002230</v>
      </c>
    </row>
    <row r="376" spans="3:17" x14ac:dyDescent="0.25">
      <c r="C376" s="300" t="s">
        <v>1272</v>
      </c>
      <c r="D376" s="283" t="s">
        <v>661</v>
      </c>
      <c r="E376" s="283" t="s">
        <v>249</v>
      </c>
      <c r="F376" s="283" t="s">
        <v>184</v>
      </c>
      <c r="G376" s="283">
        <v>29</v>
      </c>
      <c r="H376" s="283">
        <v>650</v>
      </c>
      <c r="I376" s="286">
        <f>(G376+IF('Scenario Analysis'!$N$23=1,0,0.5))*H376</f>
        <v>19175</v>
      </c>
      <c r="K376" s="283" t="s">
        <v>1271</v>
      </c>
      <c r="L376" s="283" t="s">
        <v>669</v>
      </c>
      <c r="M376" s="283" t="s">
        <v>249</v>
      </c>
      <c r="N376" s="283" t="s">
        <v>252</v>
      </c>
      <c r="O376" s="283">
        <v>31</v>
      </c>
      <c r="P376" s="283">
        <v>65435</v>
      </c>
      <c r="Q376" s="287">
        <f>(O376+IF('Scenario Analysis'!$N$23=1,0,0.5))*P376</f>
        <v>2061202.5</v>
      </c>
    </row>
    <row r="377" spans="3:17" x14ac:dyDescent="0.25">
      <c r="C377" s="300" t="s">
        <v>1272</v>
      </c>
      <c r="D377" s="283" t="s">
        <v>661</v>
      </c>
      <c r="E377" s="283" t="s">
        <v>249</v>
      </c>
      <c r="F377" s="283" t="s">
        <v>184</v>
      </c>
      <c r="G377" s="283">
        <v>30</v>
      </c>
      <c r="H377" s="283">
        <v>3064</v>
      </c>
      <c r="I377" s="286">
        <f>(G377+IF('Scenario Analysis'!$N$23=1,0,0.5))*H377</f>
        <v>93452</v>
      </c>
      <c r="K377" s="283" t="s">
        <v>1271</v>
      </c>
      <c r="L377" s="283" t="s">
        <v>669</v>
      </c>
      <c r="M377" s="283" t="s">
        <v>249</v>
      </c>
      <c r="N377" s="283" t="s">
        <v>252</v>
      </c>
      <c r="O377" s="283">
        <v>32</v>
      </c>
      <c r="P377" s="283">
        <v>13885</v>
      </c>
      <c r="Q377" s="287">
        <f>(O377+IF('Scenario Analysis'!$N$23=1,0,0.5))*P377</f>
        <v>451262.5</v>
      </c>
    </row>
    <row r="378" spans="3:17" x14ac:dyDescent="0.25">
      <c r="C378" s="300" t="s">
        <v>1272</v>
      </c>
      <c r="D378" s="283" t="s">
        <v>661</v>
      </c>
      <c r="E378" s="283" t="s">
        <v>249</v>
      </c>
      <c r="F378" s="283" t="s">
        <v>184</v>
      </c>
      <c r="G378" s="283">
        <v>31</v>
      </c>
      <c r="H378" s="283">
        <v>1242</v>
      </c>
      <c r="I378" s="286">
        <f>(G378+IF('Scenario Analysis'!$N$23=1,0,0.5))*H378</f>
        <v>39123</v>
      </c>
      <c r="K378" s="283" t="s">
        <v>1271</v>
      </c>
      <c r="L378" s="283" t="s">
        <v>669</v>
      </c>
      <c r="M378" s="283" t="s">
        <v>249</v>
      </c>
      <c r="N378" s="283" t="s">
        <v>252</v>
      </c>
      <c r="O378" s="283">
        <v>33</v>
      </c>
      <c r="P378" s="283">
        <v>10179</v>
      </c>
      <c r="Q378" s="287">
        <f>(O378+IF('Scenario Analysis'!$N$23=1,0,0.5))*P378</f>
        <v>340996.5</v>
      </c>
    </row>
    <row r="379" spans="3:17" x14ac:dyDescent="0.25">
      <c r="C379" s="300" t="s">
        <v>1272</v>
      </c>
      <c r="D379" s="283" t="s">
        <v>661</v>
      </c>
      <c r="E379" s="283" t="s">
        <v>249</v>
      </c>
      <c r="F379" s="283" t="s">
        <v>184</v>
      </c>
      <c r="G379" s="283">
        <v>32</v>
      </c>
      <c r="H379" s="283">
        <v>408</v>
      </c>
      <c r="I379" s="286">
        <f>(G379+IF('Scenario Analysis'!$N$23=1,0,0.5))*H379</f>
        <v>13260</v>
      </c>
      <c r="K379" s="283" t="s">
        <v>1271</v>
      </c>
      <c r="L379" s="283" t="s">
        <v>669</v>
      </c>
      <c r="M379" s="283" t="s">
        <v>249</v>
      </c>
      <c r="N379" s="283" t="s">
        <v>252</v>
      </c>
      <c r="O379" s="283">
        <v>34</v>
      </c>
      <c r="P379" s="283">
        <v>80297</v>
      </c>
      <c r="Q379" s="287">
        <f>(O379+IF('Scenario Analysis'!$N$23=1,0,0.5))*P379</f>
        <v>2770246.5</v>
      </c>
    </row>
    <row r="380" spans="3:17" x14ac:dyDescent="0.25">
      <c r="C380" s="300" t="s">
        <v>1272</v>
      </c>
      <c r="D380" s="283" t="s">
        <v>661</v>
      </c>
      <c r="E380" s="283" t="s">
        <v>249</v>
      </c>
      <c r="F380" s="283" t="s">
        <v>184</v>
      </c>
      <c r="G380" s="283">
        <v>33</v>
      </c>
      <c r="H380" s="283">
        <v>1174</v>
      </c>
      <c r="I380" s="286">
        <f>(G380+IF('Scenario Analysis'!$N$23=1,0,0.5))*H380</f>
        <v>39329</v>
      </c>
      <c r="K380" s="283" t="s">
        <v>1271</v>
      </c>
      <c r="L380" s="283" t="s">
        <v>669</v>
      </c>
      <c r="M380" s="283" t="s">
        <v>249</v>
      </c>
      <c r="N380" s="283" t="s">
        <v>252</v>
      </c>
      <c r="O380" s="283">
        <v>35</v>
      </c>
      <c r="P380" s="283">
        <v>6168</v>
      </c>
      <c r="Q380" s="287">
        <f>(O380+IF('Scenario Analysis'!$N$23=1,0,0.5))*P380</f>
        <v>218964</v>
      </c>
    </row>
    <row r="381" spans="3:17" x14ac:dyDescent="0.25">
      <c r="C381" s="300" t="s">
        <v>1272</v>
      </c>
      <c r="D381" s="283" t="s">
        <v>661</v>
      </c>
      <c r="E381" s="283" t="s">
        <v>249</v>
      </c>
      <c r="F381" s="283" t="s">
        <v>184</v>
      </c>
      <c r="G381" s="283">
        <v>34</v>
      </c>
      <c r="H381" s="283">
        <v>1498</v>
      </c>
      <c r="I381" s="286">
        <f>(G381+IF('Scenario Analysis'!$N$23=1,0,0.5))*H381</f>
        <v>51681</v>
      </c>
      <c r="K381" s="283" t="s">
        <v>1271</v>
      </c>
      <c r="L381" s="283" t="s">
        <v>669</v>
      </c>
      <c r="M381" s="283" t="s">
        <v>249</v>
      </c>
      <c r="N381" s="283" t="s">
        <v>252</v>
      </c>
      <c r="O381" s="283">
        <v>36</v>
      </c>
      <c r="P381" s="283">
        <v>25716</v>
      </c>
      <c r="Q381" s="287">
        <f>(O381+IF('Scenario Analysis'!$N$23=1,0,0.5))*P381</f>
        <v>938634</v>
      </c>
    </row>
    <row r="382" spans="3:17" x14ac:dyDescent="0.25">
      <c r="C382" s="300" t="s">
        <v>1272</v>
      </c>
      <c r="D382" s="283" t="s">
        <v>661</v>
      </c>
      <c r="E382" s="283" t="s">
        <v>249</v>
      </c>
      <c r="F382" s="283" t="s">
        <v>184</v>
      </c>
      <c r="G382" s="283">
        <v>35</v>
      </c>
      <c r="H382" s="283">
        <v>177</v>
      </c>
      <c r="I382" s="286">
        <f>(G382+IF('Scenario Analysis'!$N$23=1,0,0.5))*H382</f>
        <v>6283.5</v>
      </c>
      <c r="K382" s="283" t="s">
        <v>1271</v>
      </c>
      <c r="L382" s="283" t="s">
        <v>669</v>
      </c>
      <c r="M382" s="283" t="s">
        <v>249</v>
      </c>
      <c r="N382" s="283" t="s">
        <v>252</v>
      </c>
      <c r="O382" s="283">
        <v>37</v>
      </c>
      <c r="P382" s="283">
        <v>16734</v>
      </c>
      <c r="Q382" s="287">
        <f>(O382+IF('Scenario Analysis'!$N$23=1,0,0.5))*P382</f>
        <v>627525</v>
      </c>
    </row>
    <row r="383" spans="3:17" x14ac:dyDescent="0.25">
      <c r="C383" s="300" t="s">
        <v>1272</v>
      </c>
      <c r="D383" s="283" t="s">
        <v>661</v>
      </c>
      <c r="E383" s="283" t="s">
        <v>249</v>
      </c>
      <c r="F383" s="283" t="s">
        <v>184</v>
      </c>
      <c r="G383" s="283">
        <v>36</v>
      </c>
      <c r="H383" s="283">
        <v>1094</v>
      </c>
      <c r="I383" s="286">
        <f>(G383+IF('Scenario Analysis'!$N$23=1,0,0.5))*H383</f>
        <v>39931</v>
      </c>
      <c r="K383" s="283" t="s">
        <v>1271</v>
      </c>
      <c r="L383" s="283" t="s">
        <v>669</v>
      </c>
      <c r="M383" s="283" t="s">
        <v>249</v>
      </c>
      <c r="N383" s="283" t="s">
        <v>252</v>
      </c>
      <c r="O383" s="283">
        <v>38</v>
      </c>
      <c r="P383" s="283">
        <v>85634</v>
      </c>
      <c r="Q383" s="287">
        <f>(O383+IF('Scenario Analysis'!$N$23=1,0,0.5))*P383</f>
        <v>3296909</v>
      </c>
    </row>
    <row r="384" spans="3:17" x14ac:dyDescent="0.25">
      <c r="C384" s="300" t="s">
        <v>1272</v>
      </c>
      <c r="D384" s="283" t="s">
        <v>661</v>
      </c>
      <c r="E384" s="283" t="s">
        <v>249</v>
      </c>
      <c r="F384" s="283" t="s">
        <v>184</v>
      </c>
      <c r="G384" s="283">
        <v>37</v>
      </c>
      <c r="H384" s="283">
        <v>1119</v>
      </c>
      <c r="I384" s="286">
        <f>(G384+IF('Scenario Analysis'!$N$23=1,0,0.5))*H384</f>
        <v>41962.5</v>
      </c>
      <c r="K384" s="283" t="s">
        <v>1271</v>
      </c>
      <c r="L384" s="283" t="s">
        <v>669</v>
      </c>
      <c r="M384" s="283" t="s">
        <v>249</v>
      </c>
      <c r="N384" s="283" t="s">
        <v>252</v>
      </c>
      <c r="O384" s="283">
        <v>39</v>
      </c>
      <c r="P384" s="283">
        <v>21165</v>
      </c>
      <c r="Q384" s="287">
        <f>(O384+IF('Scenario Analysis'!$N$23=1,0,0.5))*P384</f>
        <v>836017.5</v>
      </c>
    </row>
    <row r="385" spans="3:17" x14ac:dyDescent="0.25">
      <c r="C385" s="300" t="s">
        <v>1272</v>
      </c>
      <c r="D385" s="283" t="s">
        <v>661</v>
      </c>
      <c r="E385" s="283" t="s">
        <v>249</v>
      </c>
      <c r="F385" s="283" t="s">
        <v>184</v>
      </c>
      <c r="G385" s="283">
        <v>38</v>
      </c>
      <c r="H385" s="283">
        <v>861</v>
      </c>
      <c r="I385" s="286">
        <f>(G385+IF('Scenario Analysis'!$N$23=1,0,0.5))*H385</f>
        <v>33148.5</v>
      </c>
      <c r="K385" s="283" t="s">
        <v>1271</v>
      </c>
      <c r="L385" s="283" t="s">
        <v>669</v>
      </c>
      <c r="M385" s="283" t="s">
        <v>249</v>
      </c>
      <c r="N385" s="283" t="s">
        <v>252</v>
      </c>
      <c r="O385" s="283">
        <v>40</v>
      </c>
      <c r="P385" s="283">
        <v>8451</v>
      </c>
      <c r="Q385" s="287">
        <f>(O385+IF('Scenario Analysis'!$N$23=1,0,0.5))*P385</f>
        <v>342265.5</v>
      </c>
    </row>
    <row r="386" spans="3:17" x14ac:dyDescent="0.25">
      <c r="C386" s="300" t="s">
        <v>1272</v>
      </c>
      <c r="D386" s="283" t="s">
        <v>661</v>
      </c>
      <c r="E386" s="283" t="s">
        <v>249</v>
      </c>
      <c r="F386" s="283" t="s">
        <v>184</v>
      </c>
      <c r="G386" s="283">
        <v>39</v>
      </c>
      <c r="H386" s="283">
        <v>1044</v>
      </c>
      <c r="I386" s="286">
        <f>(G386+IF('Scenario Analysis'!$N$23=1,0,0.5))*H386</f>
        <v>41238</v>
      </c>
      <c r="K386" s="283" t="s">
        <v>1271</v>
      </c>
      <c r="L386" s="283" t="s">
        <v>669</v>
      </c>
      <c r="M386" s="283" t="s">
        <v>249</v>
      </c>
      <c r="N386" s="283" t="s">
        <v>252</v>
      </c>
      <c r="O386" s="283">
        <v>41</v>
      </c>
      <c r="P386" s="283">
        <v>6867</v>
      </c>
      <c r="Q386" s="287">
        <f>(O386+IF('Scenario Analysis'!$N$23=1,0,0.5))*P386</f>
        <v>284980.5</v>
      </c>
    </row>
    <row r="387" spans="3:17" x14ac:dyDescent="0.25">
      <c r="C387" s="300" t="s">
        <v>1272</v>
      </c>
      <c r="D387" s="283" t="s">
        <v>661</v>
      </c>
      <c r="E387" s="283" t="s">
        <v>249</v>
      </c>
      <c r="F387" s="283" t="s">
        <v>184</v>
      </c>
      <c r="G387" s="283">
        <v>40</v>
      </c>
      <c r="H387" s="283">
        <v>2500</v>
      </c>
      <c r="I387" s="286">
        <f>(G387+IF('Scenario Analysis'!$N$23=1,0,0.5))*H387</f>
        <v>101250</v>
      </c>
      <c r="K387" s="283" t="s">
        <v>1271</v>
      </c>
      <c r="L387" s="283" t="s">
        <v>669</v>
      </c>
      <c r="M387" s="283" t="s">
        <v>249</v>
      </c>
      <c r="N387" s="283" t="s">
        <v>252</v>
      </c>
      <c r="O387" s="283">
        <v>42</v>
      </c>
      <c r="P387" s="283">
        <v>20323</v>
      </c>
      <c r="Q387" s="287">
        <f>(O387+IF('Scenario Analysis'!$N$23=1,0,0.5))*P387</f>
        <v>863727.5</v>
      </c>
    </row>
    <row r="388" spans="3:17" x14ac:dyDescent="0.25">
      <c r="C388" s="300" t="s">
        <v>1272</v>
      </c>
      <c r="D388" s="283" t="s">
        <v>661</v>
      </c>
      <c r="E388" s="283" t="s">
        <v>249</v>
      </c>
      <c r="F388" s="283" t="s">
        <v>184</v>
      </c>
      <c r="G388" s="283">
        <v>41</v>
      </c>
      <c r="H388" s="283">
        <v>1150</v>
      </c>
      <c r="I388" s="286">
        <f>(G388+IF('Scenario Analysis'!$N$23=1,0,0.5))*H388</f>
        <v>47725</v>
      </c>
      <c r="K388" s="283" t="s">
        <v>1271</v>
      </c>
      <c r="L388" s="283" t="s">
        <v>669</v>
      </c>
      <c r="M388" s="283" t="s">
        <v>249</v>
      </c>
      <c r="N388" s="283" t="s">
        <v>252</v>
      </c>
      <c r="O388" s="283">
        <v>43</v>
      </c>
      <c r="P388" s="283">
        <v>36198</v>
      </c>
      <c r="Q388" s="287">
        <f>(O388+IF('Scenario Analysis'!$N$23=1,0,0.5))*P388</f>
        <v>1574613</v>
      </c>
    </row>
    <row r="389" spans="3:17" x14ac:dyDescent="0.25">
      <c r="C389" s="300" t="s">
        <v>1272</v>
      </c>
      <c r="D389" s="283" t="s">
        <v>661</v>
      </c>
      <c r="E389" s="283" t="s">
        <v>249</v>
      </c>
      <c r="F389" s="283" t="s">
        <v>184</v>
      </c>
      <c r="G389" s="283">
        <v>42</v>
      </c>
      <c r="H389" s="283">
        <v>957</v>
      </c>
      <c r="I389" s="286">
        <f>(G389+IF('Scenario Analysis'!$N$23=1,0,0.5))*H389</f>
        <v>40672.5</v>
      </c>
      <c r="K389" s="283" t="s">
        <v>1271</v>
      </c>
      <c r="L389" s="283" t="s">
        <v>669</v>
      </c>
      <c r="M389" s="283" t="s">
        <v>249</v>
      </c>
      <c r="N389" s="283" t="s">
        <v>252</v>
      </c>
      <c r="O389" s="283">
        <v>44</v>
      </c>
      <c r="P389" s="283">
        <v>17079</v>
      </c>
      <c r="Q389" s="287">
        <f>(O389+IF('Scenario Analysis'!$N$23=1,0,0.5))*P389</f>
        <v>760015.5</v>
      </c>
    </row>
    <row r="390" spans="3:17" x14ac:dyDescent="0.25">
      <c r="C390" s="300" t="s">
        <v>1272</v>
      </c>
      <c r="D390" s="283" t="s">
        <v>661</v>
      </c>
      <c r="E390" s="283" t="s">
        <v>249</v>
      </c>
      <c r="F390" s="283" t="s">
        <v>184</v>
      </c>
      <c r="G390" s="283">
        <v>43</v>
      </c>
      <c r="H390" s="283">
        <v>804</v>
      </c>
      <c r="I390" s="286">
        <f>(G390+IF('Scenario Analysis'!$N$23=1,0,0.5))*H390</f>
        <v>34974</v>
      </c>
      <c r="K390" s="283" t="s">
        <v>1271</v>
      </c>
      <c r="L390" s="283" t="s">
        <v>669</v>
      </c>
      <c r="M390" s="283" t="s">
        <v>249</v>
      </c>
      <c r="N390" s="283" t="s">
        <v>252</v>
      </c>
      <c r="O390" s="283">
        <v>45</v>
      </c>
      <c r="P390" s="283">
        <v>29800</v>
      </c>
      <c r="Q390" s="287">
        <f>(O390+IF('Scenario Analysis'!$N$23=1,0,0.5))*P390</f>
        <v>1355900</v>
      </c>
    </row>
    <row r="391" spans="3:17" x14ac:dyDescent="0.25">
      <c r="C391" s="300" t="s">
        <v>1272</v>
      </c>
      <c r="D391" s="283" t="s">
        <v>661</v>
      </c>
      <c r="E391" s="283" t="s">
        <v>249</v>
      </c>
      <c r="F391" s="283" t="s">
        <v>184</v>
      </c>
      <c r="G391" s="283">
        <v>44</v>
      </c>
      <c r="H391" s="283">
        <v>464</v>
      </c>
      <c r="I391" s="286">
        <f>(G391+IF('Scenario Analysis'!$N$23=1,0,0.5))*H391</f>
        <v>20648</v>
      </c>
      <c r="K391" s="283" t="s">
        <v>1271</v>
      </c>
      <c r="L391" s="283" t="s">
        <v>669</v>
      </c>
      <c r="M391" s="283" t="s">
        <v>249</v>
      </c>
      <c r="N391" s="283" t="s">
        <v>252</v>
      </c>
      <c r="O391" s="283">
        <v>46</v>
      </c>
      <c r="P391" s="283">
        <v>10121</v>
      </c>
      <c r="Q391" s="287">
        <f>(O391+IF('Scenario Analysis'!$N$23=1,0,0.5))*P391</f>
        <v>470626.5</v>
      </c>
    </row>
    <row r="392" spans="3:17" x14ac:dyDescent="0.25">
      <c r="C392" s="300" t="s">
        <v>1272</v>
      </c>
      <c r="D392" s="283" t="s">
        <v>661</v>
      </c>
      <c r="E392" s="283" t="s">
        <v>249</v>
      </c>
      <c r="F392" s="283" t="s">
        <v>184</v>
      </c>
      <c r="G392" s="283">
        <v>45</v>
      </c>
      <c r="H392" s="283">
        <v>251</v>
      </c>
      <c r="I392" s="286">
        <f>(G392+IF('Scenario Analysis'!$N$23=1,0,0.5))*H392</f>
        <v>11420.5</v>
      </c>
      <c r="K392" s="283" t="s">
        <v>1271</v>
      </c>
      <c r="L392" s="283" t="s">
        <v>669</v>
      </c>
      <c r="M392" s="283" t="s">
        <v>249</v>
      </c>
      <c r="N392" s="283" t="s">
        <v>252</v>
      </c>
      <c r="O392" s="283">
        <v>47</v>
      </c>
      <c r="P392" s="283">
        <v>80741</v>
      </c>
      <c r="Q392" s="287">
        <f>(O392+IF('Scenario Analysis'!$N$23=1,0,0.5))*P392</f>
        <v>3835197.5</v>
      </c>
    </row>
    <row r="393" spans="3:17" x14ac:dyDescent="0.25">
      <c r="C393" s="300" t="s">
        <v>1272</v>
      </c>
      <c r="D393" s="283" t="s">
        <v>661</v>
      </c>
      <c r="E393" s="283" t="s">
        <v>249</v>
      </c>
      <c r="F393" s="283" t="s">
        <v>184</v>
      </c>
      <c r="G393" s="283">
        <v>46</v>
      </c>
      <c r="H393" s="283">
        <v>314</v>
      </c>
      <c r="I393" s="286">
        <f>(G393+IF('Scenario Analysis'!$N$23=1,0,0.5))*H393</f>
        <v>14601</v>
      </c>
      <c r="K393" s="283" t="s">
        <v>1271</v>
      </c>
      <c r="L393" s="283" t="s">
        <v>669</v>
      </c>
      <c r="M393" s="283" t="s">
        <v>249</v>
      </c>
      <c r="N393" s="283" t="s">
        <v>252</v>
      </c>
      <c r="O393" s="283">
        <v>48</v>
      </c>
      <c r="P393" s="283">
        <v>15465</v>
      </c>
      <c r="Q393" s="287">
        <f>(O393+IF('Scenario Analysis'!$N$23=1,0,0.5))*P393</f>
        <v>750052.5</v>
      </c>
    </row>
    <row r="394" spans="3:17" x14ac:dyDescent="0.25">
      <c r="C394" s="300" t="s">
        <v>1272</v>
      </c>
      <c r="D394" s="283" t="s">
        <v>661</v>
      </c>
      <c r="E394" s="283" t="s">
        <v>249</v>
      </c>
      <c r="F394" s="283" t="s">
        <v>184</v>
      </c>
      <c r="G394" s="283">
        <v>47</v>
      </c>
      <c r="H394" s="283">
        <v>60</v>
      </c>
      <c r="I394" s="286">
        <f>(G394+IF('Scenario Analysis'!$N$23=1,0,0.5))*H394</f>
        <v>2850</v>
      </c>
      <c r="K394" s="283" t="s">
        <v>1271</v>
      </c>
      <c r="L394" s="283" t="s">
        <v>669</v>
      </c>
      <c r="M394" s="283" t="s">
        <v>249</v>
      </c>
      <c r="N394" s="283" t="s">
        <v>252</v>
      </c>
      <c r="O394" s="283">
        <v>49</v>
      </c>
      <c r="P394" s="283">
        <v>48067</v>
      </c>
      <c r="Q394" s="287">
        <f>(O394+IF('Scenario Analysis'!$N$23=1,0,0.5))*P394</f>
        <v>2379316.5</v>
      </c>
    </row>
    <row r="395" spans="3:17" x14ac:dyDescent="0.25">
      <c r="C395" s="300" t="s">
        <v>1272</v>
      </c>
      <c r="D395" s="283" t="s">
        <v>661</v>
      </c>
      <c r="E395" s="283" t="s">
        <v>249</v>
      </c>
      <c r="F395" s="283" t="s">
        <v>184</v>
      </c>
      <c r="G395" s="283">
        <v>48</v>
      </c>
      <c r="H395" s="283">
        <v>15</v>
      </c>
      <c r="I395" s="286">
        <f>(G395+IF('Scenario Analysis'!$N$23=1,0,0.5))*H395</f>
        <v>727.5</v>
      </c>
      <c r="K395" s="283" t="s">
        <v>1271</v>
      </c>
      <c r="L395" s="283" t="s">
        <v>669</v>
      </c>
      <c r="M395" s="283" t="s">
        <v>249</v>
      </c>
      <c r="N395" s="283" t="s">
        <v>252</v>
      </c>
      <c r="O395" s="283">
        <v>50</v>
      </c>
      <c r="P395" s="283">
        <v>7006</v>
      </c>
      <c r="Q395" s="287">
        <f>(O395+IF('Scenario Analysis'!$N$23=1,0,0.5))*P395</f>
        <v>353803</v>
      </c>
    </row>
    <row r="396" spans="3:17" x14ac:dyDescent="0.25">
      <c r="C396" s="300" t="s">
        <v>1272</v>
      </c>
      <c r="D396" s="283" t="s">
        <v>661</v>
      </c>
      <c r="E396" s="283" t="s">
        <v>249</v>
      </c>
      <c r="F396" s="283" t="s">
        <v>184</v>
      </c>
      <c r="G396" s="283">
        <v>49</v>
      </c>
      <c r="H396" s="283">
        <v>383</v>
      </c>
      <c r="I396" s="286">
        <f>(G396+IF('Scenario Analysis'!$N$23=1,0,0.5))*H396</f>
        <v>18958.5</v>
      </c>
      <c r="K396" s="283" t="s">
        <v>1271</v>
      </c>
      <c r="L396" s="283" t="s">
        <v>669</v>
      </c>
      <c r="M396" s="283" t="s">
        <v>249</v>
      </c>
      <c r="N396" s="283" t="s">
        <v>252</v>
      </c>
      <c r="O396" s="283">
        <v>51</v>
      </c>
      <c r="P396" s="283">
        <v>3895</v>
      </c>
      <c r="Q396" s="287">
        <f>(O396+IF('Scenario Analysis'!$N$23=1,0,0.5))*P396</f>
        <v>200592.5</v>
      </c>
    </row>
    <row r="397" spans="3:17" x14ac:dyDescent="0.25">
      <c r="C397" s="300" t="s">
        <v>1272</v>
      </c>
      <c r="D397" s="283" t="s">
        <v>661</v>
      </c>
      <c r="E397" s="283" t="s">
        <v>249</v>
      </c>
      <c r="F397" s="283" t="s">
        <v>184</v>
      </c>
      <c r="G397" s="283">
        <v>50</v>
      </c>
      <c r="H397" s="283">
        <v>11</v>
      </c>
      <c r="I397" s="286">
        <f>(G397+IF('Scenario Analysis'!$N$23=1,0,0.5))*H397</f>
        <v>555.5</v>
      </c>
      <c r="K397" s="283" t="s">
        <v>1271</v>
      </c>
      <c r="L397" s="283" t="s">
        <v>669</v>
      </c>
      <c r="M397" s="283" t="s">
        <v>249</v>
      </c>
      <c r="N397" s="283" t="s">
        <v>252</v>
      </c>
      <c r="O397" s="283">
        <v>52</v>
      </c>
      <c r="P397" s="283">
        <v>8665</v>
      </c>
      <c r="Q397" s="287">
        <f>(O397+IF('Scenario Analysis'!$N$23=1,0,0.5))*P397</f>
        <v>454912.5</v>
      </c>
    </row>
    <row r="398" spans="3:17" x14ac:dyDescent="0.25">
      <c r="C398" s="300" t="s">
        <v>1272</v>
      </c>
      <c r="D398" s="283" t="s">
        <v>661</v>
      </c>
      <c r="E398" s="283" t="s">
        <v>249</v>
      </c>
      <c r="F398" s="283" t="s">
        <v>184</v>
      </c>
      <c r="G398" s="283">
        <v>51</v>
      </c>
      <c r="H398" s="283">
        <v>21</v>
      </c>
      <c r="I398" s="286">
        <f>(G398+IF('Scenario Analysis'!$N$23=1,0,0.5))*H398</f>
        <v>1081.5</v>
      </c>
      <c r="K398" s="283" t="s">
        <v>1271</v>
      </c>
      <c r="L398" s="283" t="s">
        <v>669</v>
      </c>
      <c r="M398" s="283" t="s">
        <v>249</v>
      </c>
      <c r="N398" s="283" t="s">
        <v>252</v>
      </c>
      <c r="O398" s="283">
        <v>53</v>
      </c>
      <c r="P398" s="283">
        <v>3885</v>
      </c>
      <c r="Q398" s="287">
        <f>(O398+IF('Scenario Analysis'!$N$23=1,0,0.5))*P398</f>
        <v>207847.5</v>
      </c>
    </row>
    <row r="399" spans="3:17" x14ac:dyDescent="0.25">
      <c r="C399" s="300" t="s">
        <v>1272</v>
      </c>
      <c r="D399" s="283" t="s">
        <v>661</v>
      </c>
      <c r="E399" s="283" t="s">
        <v>249</v>
      </c>
      <c r="F399" s="283" t="s">
        <v>184</v>
      </c>
      <c r="G399" s="283">
        <v>52</v>
      </c>
      <c r="H399" s="283">
        <v>177</v>
      </c>
      <c r="I399" s="286">
        <f>(G399+IF('Scenario Analysis'!$N$23=1,0,0.5))*H399</f>
        <v>9292.5</v>
      </c>
      <c r="K399" s="283" t="s">
        <v>1271</v>
      </c>
      <c r="L399" s="283" t="s">
        <v>669</v>
      </c>
      <c r="M399" s="283" t="s">
        <v>249</v>
      </c>
      <c r="N399" s="283" t="s">
        <v>252</v>
      </c>
      <c r="O399" s="283">
        <v>54</v>
      </c>
      <c r="P399" s="283">
        <v>17608</v>
      </c>
      <c r="Q399" s="287">
        <f>(O399+IF('Scenario Analysis'!$N$23=1,0,0.5))*P399</f>
        <v>959636</v>
      </c>
    </row>
    <row r="400" spans="3:17" x14ac:dyDescent="0.25">
      <c r="C400" s="300" t="s">
        <v>1272</v>
      </c>
      <c r="D400" s="283" t="s">
        <v>661</v>
      </c>
      <c r="E400" s="283" t="s">
        <v>249</v>
      </c>
      <c r="F400" s="283" t="s">
        <v>184</v>
      </c>
      <c r="G400" s="283">
        <v>55</v>
      </c>
      <c r="H400" s="283">
        <v>1</v>
      </c>
      <c r="I400" s="286">
        <f>(G400+IF('Scenario Analysis'!$N$23=1,0,0.5))*H400</f>
        <v>55.5</v>
      </c>
      <c r="K400" s="283" t="s">
        <v>1271</v>
      </c>
      <c r="L400" s="283" t="s">
        <v>669</v>
      </c>
      <c r="M400" s="283" t="s">
        <v>249</v>
      </c>
      <c r="N400" s="283" t="s">
        <v>252</v>
      </c>
      <c r="O400" s="283">
        <v>55</v>
      </c>
      <c r="P400" s="283">
        <v>108568</v>
      </c>
      <c r="Q400" s="287">
        <f>(O400+IF('Scenario Analysis'!$N$23=1,0,0.5))*P400</f>
        <v>6025524</v>
      </c>
    </row>
    <row r="401" spans="3:17" x14ac:dyDescent="0.25">
      <c r="C401" s="300" t="s">
        <v>1272</v>
      </c>
      <c r="D401" s="283" t="s">
        <v>661</v>
      </c>
      <c r="E401" s="283" t="s">
        <v>249</v>
      </c>
      <c r="F401" s="283" t="s">
        <v>184</v>
      </c>
      <c r="G401" s="283">
        <v>62</v>
      </c>
      <c r="H401" s="283">
        <v>1</v>
      </c>
      <c r="I401" s="286">
        <f>(G401+IF('Scenario Analysis'!$N$23=1,0,0.5))*H401</f>
        <v>62.5</v>
      </c>
      <c r="K401" s="283" t="s">
        <v>1271</v>
      </c>
      <c r="L401" s="283" t="s">
        <v>669</v>
      </c>
      <c r="M401" s="283" t="s">
        <v>249</v>
      </c>
      <c r="N401" s="283" t="s">
        <v>252</v>
      </c>
      <c r="O401" s="283">
        <v>56</v>
      </c>
      <c r="P401" s="283">
        <v>39607</v>
      </c>
      <c r="Q401" s="287">
        <f>(O401+IF('Scenario Analysis'!$N$23=1,0,0.5))*P401</f>
        <v>2237795.5</v>
      </c>
    </row>
    <row r="402" spans="3:17" x14ac:dyDescent="0.25">
      <c r="C402" s="300" t="s">
        <v>1272</v>
      </c>
      <c r="D402" s="283" t="s">
        <v>662</v>
      </c>
      <c r="E402" s="283" t="s">
        <v>249</v>
      </c>
      <c r="F402" s="283" t="s">
        <v>185</v>
      </c>
      <c r="G402" s="283">
        <v>0</v>
      </c>
      <c r="H402" s="283">
        <v>137417</v>
      </c>
      <c r="I402" s="286">
        <f>(G402+IF('Scenario Analysis'!$N$23=1,0,0.5))*H402</f>
        <v>68708.5</v>
      </c>
      <c r="K402" s="283" t="s">
        <v>1271</v>
      </c>
      <c r="L402" s="283" t="s">
        <v>669</v>
      </c>
      <c r="M402" s="283" t="s">
        <v>249</v>
      </c>
      <c r="N402" s="283" t="s">
        <v>252</v>
      </c>
      <c r="O402" s="283">
        <v>57</v>
      </c>
      <c r="P402" s="283">
        <v>63544</v>
      </c>
      <c r="Q402" s="287">
        <f>(O402+IF('Scenario Analysis'!$N$23=1,0,0.5))*P402</f>
        <v>3653780</v>
      </c>
    </row>
    <row r="403" spans="3:17" x14ac:dyDescent="0.25">
      <c r="C403" s="300" t="s">
        <v>1272</v>
      </c>
      <c r="D403" s="283" t="s">
        <v>662</v>
      </c>
      <c r="E403" s="283" t="s">
        <v>249</v>
      </c>
      <c r="F403" s="283" t="s">
        <v>185</v>
      </c>
      <c r="G403" s="283">
        <v>1</v>
      </c>
      <c r="H403" s="283">
        <v>521271</v>
      </c>
      <c r="I403" s="286">
        <f>(G403+IF('Scenario Analysis'!$N$23=1,0,0.5))*H403</f>
        <v>781906.5</v>
      </c>
      <c r="K403" s="283" t="s">
        <v>1271</v>
      </c>
      <c r="L403" s="283" t="s">
        <v>669</v>
      </c>
      <c r="M403" s="283" t="s">
        <v>249</v>
      </c>
      <c r="N403" s="283" t="s">
        <v>252</v>
      </c>
      <c r="O403" s="283">
        <v>58</v>
      </c>
      <c r="P403" s="283">
        <v>17181</v>
      </c>
      <c r="Q403" s="287">
        <f>(O403+IF('Scenario Analysis'!$N$23=1,0,0.5))*P403</f>
        <v>1005088.5</v>
      </c>
    </row>
    <row r="404" spans="3:17" x14ac:dyDescent="0.25">
      <c r="C404" s="300" t="s">
        <v>1272</v>
      </c>
      <c r="D404" s="283" t="s">
        <v>662</v>
      </c>
      <c r="E404" s="283" t="s">
        <v>249</v>
      </c>
      <c r="F404" s="283" t="s">
        <v>185</v>
      </c>
      <c r="G404" s="283">
        <v>2</v>
      </c>
      <c r="H404" s="283">
        <v>116429</v>
      </c>
      <c r="I404" s="286">
        <f>(G404+IF('Scenario Analysis'!$N$23=1,0,0.5))*H404</f>
        <v>291072.5</v>
      </c>
      <c r="K404" s="283" t="s">
        <v>1271</v>
      </c>
      <c r="L404" s="283" t="s">
        <v>669</v>
      </c>
      <c r="M404" s="283" t="s">
        <v>249</v>
      </c>
      <c r="N404" s="283" t="s">
        <v>252</v>
      </c>
      <c r="O404" s="283">
        <v>59</v>
      </c>
      <c r="P404" s="283">
        <v>8328</v>
      </c>
      <c r="Q404" s="287">
        <f>(O404+IF('Scenario Analysis'!$N$23=1,0,0.5))*P404</f>
        <v>495516</v>
      </c>
    </row>
    <row r="405" spans="3:17" x14ac:dyDescent="0.25">
      <c r="C405" s="300" t="s">
        <v>1272</v>
      </c>
      <c r="D405" s="283" t="s">
        <v>662</v>
      </c>
      <c r="E405" s="283" t="s">
        <v>249</v>
      </c>
      <c r="F405" s="283" t="s">
        <v>185</v>
      </c>
      <c r="G405" s="283">
        <v>3</v>
      </c>
      <c r="H405" s="283">
        <v>319362</v>
      </c>
      <c r="I405" s="286">
        <f>(G405+IF('Scenario Analysis'!$N$23=1,0,0.5))*H405</f>
        <v>1117767</v>
      </c>
      <c r="K405" s="283" t="s">
        <v>1271</v>
      </c>
      <c r="L405" s="283" t="s">
        <v>669</v>
      </c>
      <c r="M405" s="283" t="s">
        <v>249</v>
      </c>
      <c r="N405" s="283" t="s">
        <v>252</v>
      </c>
      <c r="O405" s="283">
        <v>60</v>
      </c>
      <c r="P405" s="283">
        <v>65310</v>
      </c>
      <c r="Q405" s="287">
        <f>(O405+IF('Scenario Analysis'!$N$23=1,0,0.5))*P405</f>
        <v>3951255</v>
      </c>
    </row>
    <row r="406" spans="3:17" x14ac:dyDescent="0.25">
      <c r="C406" s="300" t="s">
        <v>1272</v>
      </c>
      <c r="D406" s="283" t="s">
        <v>662</v>
      </c>
      <c r="E406" s="283" t="s">
        <v>249</v>
      </c>
      <c r="F406" s="283" t="s">
        <v>185</v>
      </c>
      <c r="G406" s="283">
        <v>4</v>
      </c>
      <c r="H406" s="283">
        <v>95148</v>
      </c>
      <c r="I406" s="286">
        <f>(G406+IF('Scenario Analysis'!$N$23=1,0,0.5))*H406</f>
        <v>428166</v>
      </c>
      <c r="K406" s="283" t="s">
        <v>1271</v>
      </c>
      <c r="L406" s="283" t="s">
        <v>669</v>
      </c>
      <c r="M406" s="283" t="s">
        <v>249</v>
      </c>
      <c r="N406" s="283" t="s">
        <v>252</v>
      </c>
      <c r="O406" s="283">
        <v>61</v>
      </c>
      <c r="P406" s="283">
        <v>8211</v>
      </c>
      <c r="Q406" s="287">
        <f>(O406+IF('Scenario Analysis'!$N$23=1,0,0.5))*P406</f>
        <v>504976.5</v>
      </c>
    </row>
    <row r="407" spans="3:17" x14ac:dyDescent="0.25">
      <c r="C407" s="300" t="s">
        <v>1272</v>
      </c>
      <c r="D407" s="283" t="s">
        <v>662</v>
      </c>
      <c r="E407" s="283" t="s">
        <v>249</v>
      </c>
      <c r="F407" s="283" t="s">
        <v>185</v>
      </c>
      <c r="G407" s="283">
        <v>5</v>
      </c>
      <c r="H407" s="283">
        <v>21163</v>
      </c>
      <c r="I407" s="286">
        <f>(G407+IF('Scenario Analysis'!$N$23=1,0,0.5))*H407</f>
        <v>116396.5</v>
      </c>
      <c r="K407" s="283" t="s">
        <v>1271</v>
      </c>
      <c r="L407" s="283" t="s">
        <v>669</v>
      </c>
      <c r="M407" s="283" t="s">
        <v>249</v>
      </c>
      <c r="N407" s="283" t="s">
        <v>252</v>
      </c>
      <c r="O407" s="283">
        <v>62</v>
      </c>
      <c r="P407" s="283">
        <v>15810</v>
      </c>
      <c r="Q407" s="287">
        <f>(O407+IF('Scenario Analysis'!$N$23=1,0,0.5))*P407</f>
        <v>988125</v>
      </c>
    </row>
    <row r="408" spans="3:17" x14ac:dyDescent="0.25">
      <c r="C408" s="300" t="s">
        <v>1272</v>
      </c>
      <c r="D408" s="283" t="s">
        <v>662</v>
      </c>
      <c r="E408" s="283" t="s">
        <v>249</v>
      </c>
      <c r="F408" s="283" t="s">
        <v>185</v>
      </c>
      <c r="G408" s="283">
        <v>6</v>
      </c>
      <c r="H408" s="283">
        <v>171857</v>
      </c>
      <c r="I408" s="286">
        <f>(G408+IF('Scenario Analysis'!$N$23=1,0,0.5))*H408</f>
        <v>1117070.5</v>
      </c>
      <c r="K408" s="283" t="s">
        <v>1271</v>
      </c>
      <c r="L408" s="283" t="s">
        <v>669</v>
      </c>
      <c r="M408" s="283" t="s">
        <v>249</v>
      </c>
      <c r="N408" s="283" t="s">
        <v>252</v>
      </c>
      <c r="O408" s="283">
        <v>63</v>
      </c>
      <c r="P408" s="283">
        <v>8435</v>
      </c>
      <c r="Q408" s="287">
        <f>(O408+IF('Scenario Analysis'!$N$23=1,0,0.5))*P408</f>
        <v>535622.5</v>
      </c>
    </row>
    <row r="409" spans="3:17" x14ac:dyDescent="0.25">
      <c r="C409" s="300" t="s">
        <v>1272</v>
      </c>
      <c r="D409" s="283" t="s">
        <v>662</v>
      </c>
      <c r="E409" s="283" t="s">
        <v>249</v>
      </c>
      <c r="F409" s="283" t="s">
        <v>185</v>
      </c>
      <c r="G409" s="283">
        <v>7</v>
      </c>
      <c r="H409" s="283">
        <v>19506</v>
      </c>
      <c r="I409" s="286">
        <f>(G409+IF('Scenario Analysis'!$N$23=1,0,0.5))*H409</f>
        <v>146295</v>
      </c>
      <c r="K409" s="283" t="s">
        <v>1271</v>
      </c>
      <c r="L409" s="283" t="s">
        <v>669</v>
      </c>
      <c r="M409" s="283" t="s">
        <v>249</v>
      </c>
      <c r="N409" s="283" t="s">
        <v>252</v>
      </c>
      <c r="O409" s="283">
        <v>64</v>
      </c>
      <c r="P409" s="283">
        <v>27503</v>
      </c>
      <c r="Q409" s="287">
        <f>(O409+IF('Scenario Analysis'!$N$23=1,0,0.5))*P409</f>
        <v>1773943.5</v>
      </c>
    </row>
    <row r="410" spans="3:17" x14ac:dyDescent="0.25">
      <c r="C410" s="300" t="s">
        <v>1272</v>
      </c>
      <c r="D410" s="283" t="s">
        <v>662</v>
      </c>
      <c r="E410" s="283" t="s">
        <v>249</v>
      </c>
      <c r="F410" s="283" t="s">
        <v>185</v>
      </c>
      <c r="G410" s="283">
        <v>8</v>
      </c>
      <c r="H410" s="283">
        <v>25341</v>
      </c>
      <c r="I410" s="286">
        <f>(G410+IF('Scenario Analysis'!$N$23=1,0,0.5))*H410</f>
        <v>215398.5</v>
      </c>
      <c r="K410" s="283" t="s">
        <v>1271</v>
      </c>
      <c r="L410" s="283" t="s">
        <v>669</v>
      </c>
      <c r="M410" s="283" t="s">
        <v>249</v>
      </c>
      <c r="N410" s="283" t="s">
        <v>252</v>
      </c>
      <c r="O410" s="283">
        <v>65</v>
      </c>
      <c r="P410" s="283">
        <v>138246</v>
      </c>
      <c r="Q410" s="287">
        <f>(O410+IF('Scenario Analysis'!$N$23=1,0,0.5))*P410</f>
        <v>9055113</v>
      </c>
    </row>
    <row r="411" spans="3:17" x14ac:dyDescent="0.25">
      <c r="C411" s="300" t="s">
        <v>1272</v>
      </c>
      <c r="D411" s="283" t="s">
        <v>662</v>
      </c>
      <c r="E411" s="283" t="s">
        <v>249</v>
      </c>
      <c r="F411" s="283" t="s">
        <v>185</v>
      </c>
      <c r="G411" s="283">
        <v>9</v>
      </c>
      <c r="H411" s="283">
        <v>863798</v>
      </c>
      <c r="I411" s="286">
        <f>(G411+IF('Scenario Analysis'!$N$23=1,0,0.5))*H411</f>
        <v>8206081</v>
      </c>
      <c r="K411" s="283" t="s">
        <v>1271</v>
      </c>
      <c r="L411" s="283" t="s">
        <v>669</v>
      </c>
      <c r="M411" s="283" t="s">
        <v>249</v>
      </c>
      <c r="N411" s="283" t="s">
        <v>252</v>
      </c>
      <c r="O411" s="283">
        <v>66</v>
      </c>
      <c r="P411" s="283">
        <v>17823</v>
      </c>
      <c r="Q411" s="287">
        <f>(O411+IF('Scenario Analysis'!$N$23=1,0,0.5))*P411</f>
        <v>1185229.5</v>
      </c>
    </row>
    <row r="412" spans="3:17" x14ac:dyDescent="0.25">
      <c r="C412" s="300" t="s">
        <v>1272</v>
      </c>
      <c r="D412" s="283" t="s">
        <v>662</v>
      </c>
      <c r="E412" s="283" t="s">
        <v>249</v>
      </c>
      <c r="F412" s="283" t="s">
        <v>185</v>
      </c>
      <c r="G412" s="283">
        <v>10</v>
      </c>
      <c r="H412" s="283">
        <v>6202</v>
      </c>
      <c r="I412" s="286">
        <f>(G412+IF('Scenario Analysis'!$N$23=1,0,0.5))*H412</f>
        <v>65121</v>
      </c>
      <c r="K412" s="283" t="s">
        <v>1271</v>
      </c>
      <c r="L412" s="283" t="s">
        <v>669</v>
      </c>
      <c r="M412" s="283" t="s">
        <v>249</v>
      </c>
      <c r="N412" s="283" t="s">
        <v>252</v>
      </c>
      <c r="O412" s="283">
        <v>67</v>
      </c>
      <c r="P412" s="283">
        <v>51505</v>
      </c>
      <c r="Q412" s="287">
        <f>(O412+IF('Scenario Analysis'!$N$23=1,0,0.5))*P412</f>
        <v>3476587.5</v>
      </c>
    </row>
    <row r="413" spans="3:17" x14ac:dyDescent="0.25">
      <c r="C413" s="300" t="s">
        <v>1272</v>
      </c>
      <c r="D413" s="283" t="s">
        <v>662</v>
      </c>
      <c r="E413" s="283" t="s">
        <v>249</v>
      </c>
      <c r="F413" s="283" t="s">
        <v>185</v>
      </c>
      <c r="G413" s="283">
        <v>11</v>
      </c>
      <c r="H413" s="283">
        <v>25588</v>
      </c>
      <c r="I413" s="286">
        <f>(G413+IF('Scenario Analysis'!$N$23=1,0,0.5))*H413</f>
        <v>294262</v>
      </c>
      <c r="K413" s="283" t="s">
        <v>1271</v>
      </c>
      <c r="L413" s="283" t="s">
        <v>669</v>
      </c>
      <c r="M413" s="283" t="s">
        <v>249</v>
      </c>
      <c r="N413" s="283" t="s">
        <v>252</v>
      </c>
      <c r="O413" s="283">
        <v>68</v>
      </c>
      <c r="P413" s="283">
        <v>30508</v>
      </c>
      <c r="Q413" s="287">
        <f>(O413+IF('Scenario Analysis'!$N$23=1,0,0.5))*P413</f>
        <v>2089798</v>
      </c>
    </row>
    <row r="414" spans="3:17" x14ac:dyDescent="0.25">
      <c r="C414" s="300" t="s">
        <v>1272</v>
      </c>
      <c r="D414" s="283" t="s">
        <v>662</v>
      </c>
      <c r="E414" s="283" t="s">
        <v>249</v>
      </c>
      <c r="F414" s="283" t="s">
        <v>185</v>
      </c>
      <c r="G414" s="283">
        <v>12</v>
      </c>
      <c r="H414" s="283">
        <v>50700</v>
      </c>
      <c r="I414" s="286">
        <f>(G414+IF('Scenario Analysis'!$N$23=1,0,0.5))*H414</f>
        <v>633750</v>
      </c>
      <c r="K414" s="283" t="s">
        <v>1271</v>
      </c>
      <c r="L414" s="283" t="s">
        <v>669</v>
      </c>
      <c r="M414" s="283" t="s">
        <v>249</v>
      </c>
      <c r="N414" s="283" t="s">
        <v>252</v>
      </c>
      <c r="O414" s="283">
        <v>69</v>
      </c>
      <c r="P414" s="283">
        <v>75543</v>
      </c>
      <c r="Q414" s="287">
        <f>(O414+IF('Scenario Analysis'!$N$23=1,0,0.5))*P414</f>
        <v>5250238.5</v>
      </c>
    </row>
    <row r="415" spans="3:17" x14ac:dyDescent="0.25">
      <c r="C415" s="300" t="s">
        <v>1272</v>
      </c>
      <c r="D415" s="283" t="s">
        <v>662</v>
      </c>
      <c r="E415" s="283" t="s">
        <v>249</v>
      </c>
      <c r="F415" s="283" t="s">
        <v>185</v>
      </c>
      <c r="G415" s="283">
        <v>13</v>
      </c>
      <c r="H415" s="283">
        <v>1460</v>
      </c>
      <c r="I415" s="286">
        <f>(G415+IF('Scenario Analysis'!$N$23=1,0,0.5))*H415</f>
        <v>19710</v>
      </c>
      <c r="K415" s="283" t="s">
        <v>1271</v>
      </c>
      <c r="L415" s="283" t="s">
        <v>669</v>
      </c>
      <c r="M415" s="283" t="s">
        <v>249</v>
      </c>
      <c r="N415" s="283" t="s">
        <v>252</v>
      </c>
      <c r="O415" s="283">
        <v>70</v>
      </c>
      <c r="P415" s="283">
        <v>38398</v>
      </c>
      <c r="Q415" s="287">
        <f>(O415+IF('Scenario Analysis'!$N$23=1,0,0.5))*P415</f>
        <v>2707059</v>
      </c>
    </row>
    <row r="416" spans="3:17" x14ac:dyDescent="0.25">
      <c r="C416" s="300" t="s">
        <v>1272</v>
      </c>
      <c r="D416" s="283" t="s">
        <v>662</v>
      </c>
      <c r="E416" s="283" t="s">
        <v>249</v>
      </c>
      <c r="F416" s="283" t="s">
        <v>185</v>
      </c>
      <c r="G416" s="283">
        <v>14</v>
      </c>
      <c r="H416" s="283">
        <v>81</v>
      </c>
      <c r="I416" s="286">
        <f>(G416+IF('Scenario Analysis'!$N$23=1,0,0.5))*H416</f>
        <v>1174.5</v>
      </c>
      <c r="K416" s="283" t="s">
        <v>1271</v>
      </c>
      <c r="L416" s="283" t="s">
        <v>669</v>
      </c>
      <c r="M416" s="283" t="s">
        <v>249</v>
      </c>
      <c r="N416" s="283" t="s">
        <v>252</v>
      </c>
      <c r="O416" s="283">
        <v>71</v>
      </c>
      <c r="P416" s="283">
        <v>16131</v>
      </c>
      <c r="Q416" s="287">
        <f>(O416+IF('Scenario Analysis'!$N$23=1,0,0.5))*P416</f>
        <v>1153366.5</v>
      </c>
    </row>
    <row r="417" spans="3:17" x14ac:dyDescent="0.25">
      <c r="C417" s="300" t="s">
        <v>1272</v>
      </c>
      <c r="D417" s="283" t="s">
        <v>662</v>
      </c>
      <c r="E417" s="283" t="s">
        <v>249</v>
      </c>
      <c r="F417" s="283" t="s">
        <v>185</v>
      </c>
      <c r="G417" s="283">
        <v>15</v>
      </c>
      <c r="H417" s="283">
        <v>5345</v>
      </c>
      <c r="I417" s="286">
        <f>(G417+IF('Scenario Analysis'!$N$23=1,0,0.5))*H417</f>
        <v>82847.5</v>
      </c>
      <c r="K417" s="283" t="s">
        <v>1271</v>
      </c>
      <c r="L417" s="283" t="s">
        <v>669</v>
      </c>
      <c r="M417" s="283" t="s">
        <v>249</v>
      </c>
      <c r="N417" s="283" t="s">
        <v>252</v>
      </c>
      <c r="O417" s="283">
        <v>72</v>
      </c>
      <c r="P417" s="283">
        <v>11645</v>
      </c>
      <c r="Q417" s="287">
        <f>(O417+IF('Scenario Analysis'!$N$23=1,0,0.5))*P417</f>
        <v>844262.5</v>
      </c>
    </row>
    <row r="418" spans="3:17" x14ac:dyDescent="0.25">
      <c r="C418" s="300" t="s">
        <v>1272</v>
      </c>
      <c r="D418" s="283" t="s">
        <v>662</v>
      </c>
      <c r="E418" s="283" t="s">
        <v>249</v>
      </c>
      <c r="F418" s="283" t="s">
        <v>185</v>
      </c>
      <c r="G418" s="283">
        <v>16</v>
      </c>
      <c r="H418" s="283">
        <v>13755</v>
      </c>
      <c r="I418" s="286">
        <f>(G418+IF('Scenario Analysis'!$N$23=1,0,0.5))*H418</f>
        <v>226957.5</v>
      </c>
      <c r="K418" s="283" t="s">
        <v>1271</v>
      </c>
      <c r="L418" s="283" t="s">
        <v>669</v>
      </c>
      <c r="M418" s="283" t="s">
        <v>249</v>
      </c>
      <c r="N418" s="283" t="s">
        <v>252</v>
      </c>
      <c r="O418" s="283">
        <v>73</v>
      </c>
      <c r="P418" s="283">
        <v>165364</v>
      </c>
      <c r="Q418" s="287">
        <f>(O418+IF('Scenario Analysis'!$N$23=1,0,0.5))*P418</f>
        <v>12154254</v>
      </c>
    </row>
    <row r="419" spans="3:17" x14ac:dyDescent="0.25">
      <c r="C419" s="300" t="s">
        <v>1272</v>
      </c>
      <c r="D419" s="283" t="s">
        <v>662</v>
      </c>
      <c r="E419" s="283" t="s">
        <v>249</v>
      </c>
      <c r="F419" s="283" t="s">
        <v>185</v>
      </c>
      <c r="G419" s="283">
        <v>17</v>
      </c>
      <c r="H419" s="283">
        <v>7</v>
      </c>
      <c r="I419" s="286">
        <f>(G419+IF('Scenario Analysis'!$N$23=1,0,0.5))*H419</f>
        <v>122.5</v>
      </c>
      <c r="K419" s="283" t="s">
        <v>1271</v>
      </c>
      <c r="L419" s="283" t="s">
        <v>669</v>
      </c>
      <c r="M419" s="283" t="s">
        <v>249</v>
      </c>
      <c r="N419" s="283" t="s">
        <v>252</v>
      </c>
      <c r="O419" s="283">
        <v>74</v>
      </c>
      <c r="P419" s="283">
        <v>10753</v>
      </c>
      <c r="Q419" s="287">
        <f>(O419+IF('Scenario Analysis'!$N$23=1,0,0.5))*P419</f>
        <v>801098.5</v>
      </c>
    </row>
    <row r="420" spans="3:17" x14ac:dyDescent="0.25">
      <c r="C420" s="300" t="s">
        <v>1272</v>
      </c>
      <c r="D420" s="283" t="s">
        <v>662</v>
      </c>
      <c r="E420" s="283" t="s">
        <v>249</v>
      </c>
      <c r="F420" s="283" t="s">
        <v>185</v>
      </c>
      <c r="G420" s="283">
        <v>18</v>
      </c>
      <c r="H420" s="283">
        <v>4910</v>
      </c>
      <c r="I420" s="286">
        <f>(G420+IF('Scenario Analysis'!$N$23=1,0,0.5))*H420</f>
        <v>90835</v>
      </c>
      <c r="K420" s="283" t="s">
        <v>1271</v>
      </c>
      <c r="L420" s="283" t="s">
        <v>669</v>
      </c>
      <c r="M420" s="283" t="s">
        <v>249</v>
      </c>
      <c r="N420" s="283" t="s">
        <v>252</v>
      </c>
      <c r="O420" s="283">
        <v>75</v>
      </c>
      <c r="P420" s="283">
        <v>42888</v>
      </c>
      <c r="Q420" s="287">
        <f>(O420+IF('Scenario Analysis'!$N$23=1,0,0.5))*P420</f>
        <v>3238044</v>
      </c>
    </row>
    <row r="421" spans="3:17" x14ac:dyDescent="0.25">
      <c r="C421" s="300" t="s">
        <v>1272</v>
      </c>
      <c r="D421" s="283" t="s">
        <v>662</v>
      </c>
      <c r="E421" s="283" t="s">
        <v>249</v>
      </c>
      <c r="F421" s="283" t="s">
        <v>185</v>
      </c>
      <c r="G421" s="283">
        <v>19</v>
      </c>
      <c r="H421" s="283">
        <v>22148</v>
      </c>
      <c r="I421" s="286">
        <f>(G421+IF('Scenario Analysis'!$N$23=1,0,0.5))*H421</f>
        <v>431886</v>
      </c>
      <c r="K421" s="283" t="s">
        <v>1271</v>
      </c>
      <c r="L421" s="283" t="s">
        <v>669</v>
      </c>
      <c r="M421" s="283" t="s">
        <v>249</v>
      </c>
      <c r="N421" s="283" t="s">
        <v>252</v>
      </c>
      <c r="O421" s="283">
        <v>76</v>
      </c>
      <c r="P421" s="283">
        <v>7642</v>
      </c>
      <c r="Q421" s="287">
        <f>(O421+IF('Scenario Analysis'!$N$23=1,0,0.5))*P421</f>
        <v>584613</v>
      </c>
    </row>
    <row r="422" spans="3:17" x14ac:dyDescent="0.25">
      <c r="C422" s="300" t="s">
        <v>1272</v>
      </c>
      <c r="D422" s="283" t="s">
        <v>662</v>
      </c>
      <c r="E422" s="283" t="s">
        <v>249</v>
      </c>
      <c r="F422" s="283" t="s">
        <v>185</v>
      </c>
      <c r="G422" s="283">
        <v>21</v>
      </c>
      <c r="H422" s="283">
        <v>50</v>
      </c>
      <c r="I422" s="286">
        <f>(G422+IF('Scenario Analysis'!$N$23=1,0,0.5))*H422</f>
        <v>1075</v>
      </c>
      <c r="K422" s="283" t="s">
        <v>1271</v>
      </c>
      <c r="L422" s="283" t="s">
        <v>669</v>
      </c>
      <c r="M422" s="283" t="s">
        <v>249</v>
      </c>
      <c r="N422" s="283" t="s">
        <v>252</v>
      </c>
      <c r="O422" s="283">
        <v>77</v>
      </c>
      <c r="P422" s="283">
        <v>30016</v>
      </c>
      <c r="Q422" s="287">
        <f>(O422+IF('Scenario Analysis'!$N$23=1,0,0.5))*P422</f>
        <v>2326240</v>
      </c>
    </row>
    <row r="423" spans="3:17" x14ac:dyDescent="0.25">
      <c r="C423" s="300" t="s">
        <v>1272</v>
      </c>
      <c r="D423" s="283" t="s">
        <v>662</v>
      </c>
      <c r="E423" s="283" t="s">
        <v>249</v>
      </c>
      <c r="F423" s="283" t="s">
        <v>185</v>
      </c>
      <c r="G423" s="283">
        <v>22</v>
      </c>
      <c r="H423" s="283">
        <v>16</v>
      </c>
      <c r="I423" s="286">
        <f>(G423+IF('Scenario Analysis'!$N$23=1,0,0.5))*H423</f>
        <v>360</v>
      </c>
      <c r="K423" s="283" t="s">
        <v>1271</v>
      </c>
      <c r="L423" s="283" t="s">
        <v>669</v>
      </c>
      <c r="M423" s="283" t="s">
        <v>249</v>
      </c>
      <c r="N423" s="283" t="s">
        <v>252</v>
      </c>
      <c r="O423" s="283">
        <v>78</v>
      </c>
      <c r="P423" s="283">
        <v>9053</v>
      </c>
      <c r="Q423" s="287">
        <f>(O423+IF('Scenario Analysis'!$N$23=1,0,0.5))*P423</f>
        <v>710660.5</v>
      </c>
    </row>
    <row r="424" spans="3:17" x14ac:dyDescent="0.25">
      <c r="C424" s="300" t="s">
        <v>1272</v>
      </c>
      <c r="D424" s="283" t="s">
        <v>662</v>
      </c>
      <c r="E424" s="283" t="s">
        <v>249</v>
      </c>
      <c r="F424" s="283" t="s">
        <v>185</v>
      </c>
      <c r="G424" s="283">
        <v>24</v>
      </c>
      <c r="H424" s="283">
        <v>2</v>
      </c>
      <c r="I424" s="286">
        <f>(G424+IF('Scenario Analysis'!$N$23=1,0,0.5))*H424</f>
        <v>49</v>
      </c>
      <c r="K424" s="283" t="s">
        <v>1271</v>
      </c>
      <c r="L424" s="283" t="s">
        <v>669</v>
      </c>
      <c r="M424" s="283" t="s">
        <v>249</v>
      </c>
      <c r="N424" s="283" t="s">
        <v>252</v>
      </c>
      <c r="O424" s="283">
        <v>79</v>
      </c>
      <c r="P424" s="283">
        <v>43407</v>
      </c>
      <c r="Q424" s="287">
        <f>(O424+IF('Scenario Analysis'!$N$23=1,0,0.5))*P424</f>
        <v>3450856.5</v>
      </c>
    </row>
    <row r="425" spans="3:17" x14ac:dyDescent="0.25">
      <c r="C425" s="300" t="s">
        <v>1272</v>
      </c>
      <c r="D425" s="283" t="s">
        <v>662</v>
      </c>
      <c r="E425" s="283" t="s">
        <v>249</v>
      </c>
      <c r="F425" s="283" t="s">
        <v>185</v>
      </c>
      <c r="G425" s="283">
        <v>25</v>
      </c>
      <c r="H425" s="283">
        <v>10</v>
      </c>
      <c r="I425" s="286">
        <f>(G425+IF('Scenario Analysis'!$N$23=1,0,0.5))*H425</f>
        <v>255</v>
      </c>
      <c r="K425" s="283" t="s">
        <v>1271</v>
      </c>
      <c r="L425" s="283" t="s">
        <v>669</v>
      </c>
      <c r="M425" s="283" t="s">
        <v>249</v>
      </c>
      <c r="N425" s="283" t="s">
        <v>252</v>
      </c>
      <c r="O425" s="283">
        <v>80</v>
      </c>
      <c r="P425" s="283">
        <v>39816</v>
      </c>
      <c r="Q425" s="287">
        <f>(O425+IF('Scenario Analysis'!$N$23=1,0,0.5))*P425</f>
        <v>3205188</v>
      </c>
    </row>
    <row r="426" spans="3:17" x14ac:dyDescent="0.25">
      <c r="C426" s="300" t="s">
        <v>1272</v>
      </c>
      <c r="D426" s="283" t="s">
        <v>663</v>
      </c>
      <c r="E426" s="283" t="s">
        <v>249</v>
      </c>
      <c r="F426" s="283" t="s">
        <v>248</v>
      </c>
      <c r="G426" s="283">
        <v>0</v>
      </c>
      <c r="H426" s="283">
        <v>1124820</v>
      </c>
      <c r="I426" s="286">
        <f>(G426+IF('Scenario Analysis'!$N$23=1,0,0.5))*H426</f>
        <v>562410</v>
      </c>
      <c r="K426" s="283" t="s">
        <v>1271</v>
      </c>
      <c r="L426" s="283" t="s">
        <v>669</v>
      </c>
      <c r="M426" s="283" t="s">
        <v>249</v>
      </c>
      <c r="N426" s="283" t="s">
        <v>252</v>
      </c>
      <c r="O426" s="283">
        <v>81</v>
      </c>
      <c r="P426" s="283">
        <v>76681</v>
      </c>
      <c r="Q426" s="287">
        <f>(O426+IF('Scenario Analysis'!$N$23=1,0,0.5))*P426</f>
        <v>6249501.5</v>
      </c>
    </row>
    <row r="427" spans="3:17" x14ac:dyDescent="0.25">
      <c r="C427" s="300" t="s">
        <v>1272</v>
      </c>
      <c r="D427" s="283" t="s">
        <v>663</v>
      </c>
      <c r="E427" s="283" t="s">
        <v>249</v>
      </c>
      <c r="F427" s="283" t="s">
        <v>248</v>
      </c>
      <c r="G427" s="283">
        <v>1</v>
      </c>
      <c r="H427" s="283">
        <v>1860152</v>
      </c>
      <c r="I427" s="286">
        <f>(G427+IF('Scenario Analysis'!$N$23=1,0,0.5))*H427</f>
        <v>2790228</v>
      </c>
      <c r="K427" s="283" t="s">
        <v>1271</v>
      </c>
      <c r="L427" s="283" t="s">
        <v>669</v>
      </c>
      <c r="M427" s="283" t="s">
        <v>249</v>
      </c>
      <c r="N427" s="283" t="s">
        <v>252</v>
      </c>
      <c r="O427" s="283">
        <v>82</v>
      </c>
      <c r="P427" s="283">
        <v>52650</v>
      </c>
      <c r="Q427" s="287">
        <f>(O427+IF('Scenario Analysis'!$N$23=1,0,0.5))*P427</f>
        <v>4343625</v>
      </c>
    </row>
    <row r="428" spans="3:17" x14ac:dyDescent="0.25">
      <c r="C428" s="300" t="s">
        <v>1272</v>
      </c>
      <c r="D428" s="283" t="s">
        <v>663</v>
      </c>
      <c r="E428" s="283" t="s">
        <v>249</v>
      </c>
      <c r="F428" s="283" t="s">
        <v>248</v>
      </c>
      <c r="G428" s="283">
        <v>2</v>
      </c>
      <c r="H428" s="283">
        <v>404445</v>
      </c>
      <c r="I428" s="286">
        <f>(G428+IF('Scenario Analysis'!$N$23=1,0,0.5))*H428</f>
        <v>1011112.5</v>
      </c>
      <c r="K428" s="283" t="s">
        <v>1271</v>
      </c>
      <c r="L428" s="283" t="s">
        <v>669</v>
      </c>
      <c r="M428" s="283" t="s">
        <v>249</v>
      </c>
      <c r="N428" s="283" t="s">
        <v>252</v>
      </c>
      <c r="O428" s="283">
        <v>83</v>
      </c>
      <c r="P428" s="283">
        <v>6964</v>
      </c>
      <c r="Q428" s="287">
        <f>(O428+IF('Scenario Analysis'!$N$23=1,0,0.5))*P428</f>
        <v>581494</v>
      </c>
    </row>
    <row r="429" spans="3:17" x14ac:dyDescent="0.25">
      <c r="C429" s="300" t="s">
        <v>1272</v>
      </c>
      <c r="D429" s="283" t="s">
        <v>663</v>
      </c>
      <c r="E429" s="283" t="s">
        <v>249</v>
      </c>
      <c r="F429" s="283" t="s">
        <v>248</v>
      </c>
      <c r="G429" s="283">
        <v>3</v>
      </c>
      <c r="H429" s="283">
        <v>249065</v>
      </c>
      <c r="I429" s="286">
        <f>(G429+IF('Scenario Analysis'!$N$23=1,0,0.5))*H429</f>
        <v>871727.5</v>
      </c>
      <c r="K429" s="283" t="s">
        <v>1271</v>
      </c>
      <c r="L429" s="283" t="s">
        <v>669</v>
      </c>
      <c r="M429" s="283" t="s">
        <v>249</v>
      </c>
      <c r="N429" s="283" t="s">
        <v>252</v>
      </c>
      <c r="O429" s="283">
        <v>84</v>
      </c>
      <c r="P429" s="283">
        <v>26754</v>
      </c>
      <c r="Q429" s="287">
        <f>(O429+IF('Scenario Analysis'!$N$23=1,0,0.5))*P429</f>
        <v>2260713</v>
      </c>
    </row>
    <row r="430" spans="3:17" x14ac:dyDescent="0.25">
      <c r="C430" s="300" t="s">
        <v>1272</v>
      </c>
      <c r="D430" s="283" t="s">
        <v>663</v>
      </c>
      <c r="E430" s="283" t="s">
        <v>249</v>
      </c>
      <c r="F430" s="283" t="s">
        <v>248</v>
      </c>
      <c r="G430" s="283">
        <v>4</v>
      </c>
      <c r="H430" s="283">
        <v>364005</v>
      </c>
      <c r="I430" s="286">
        <f>(G430+IF('Scenario Analysis'!$N$23=1,0,0.5))*H430</f>
        <v>1638022.5</v>
      </c>
      <c r="K430" s="283" t="s">
        <v>1271</v>
      </c>
      <c r="L430" s="283" t="s">
        <v>669</v>
      </c>
      <c r="M430" s="283" t="s">
        <v>249</v>
      </c>
      <c r="N430" s="283" t="s">
        <v>252</v>
      </c>
      <c r="O430" s="283">
        <v>85</v>
      </c>
      <c r="P430" s="283">
        <v>2722</v>
      </c>
      <c r="Q430" s="287">
        <f>(O430+IF('Scenario Analysis'!$N$23=1,0,0.5))*P430</f>
        <v>232731</v>
      </c>
    </row>
    <row r="431" spans="3:17" x14ac:dyDescent="0.25">
      <c r="C431" s="300" t="s">
        <v>1272</v>
      </c>
      <c r="D431" s="283" t="s">
        <v>663</v>
      </c>
      <c r="E431" s="283" t="s">
        <v>249</v>
      </c>
      <c r="F431" s="283" t="s">
        <v>248</v>
      </c>
      <c r="G431" s="283">
        <v>5</v>
      </c>
      <c r="H431" s="283">
        <v>334600</v>
      </c>
      <c r="I431" s="286">
        <f>(G431+IF('Scenario Analysis'!$N$23=1,0,0.5))*H431</f>
        <v>1840300</v>
      </c>
      <c r="K431" s="283" t="s">
        <v>1271</v>
      </c>
      <c r="L431" s="283" t="s">
        <v>669</v>
      </c>
      <c r="M431" s="283" t="s">
        <v>249</v>
      </c>
      <c r="N431" s="283" t="s">
        <v>252</v>
      </c>
      <c r="O431" s="283">
        <v>86</v>
      </c>
      <c r="P431" s="283">
        <v>48558</v>
      </c>
      <c r="Q431" s="287">
        <f>(O431+IF('Scenario Analysis'!$N$23=1,0,0.5))*P431</f>
        <v>4200267</v>
      </c>
    </row>
    <row r="432" spans="3:17" x14ac:dyDescent="0.25">
      <c r="C432" s="300" t="s">
        <v>1272</v>
      </c>
      <c r="D432" s="283" t="s">
        <v>663</v>
      </c>
      <c r="E432" s="283" t="s">
        <v>249</v>
      </c>
      <c r="F432" s="283" t="s">
        <v>248</v>
      </c>
      <c r="G432" s="283">
        <v>6</v>
      </c>
      <c r="H432" s="283">
        <v>191362</v>
      </c>
      <c r="I432" s="286">
        <f>(G432+IF('Scenario Analysis'!$N$23=1,0,0.5))*H432</f>
        <v>1243853</v>
      </c>
      <c r="K432" s="283" t="s">
        <v>1271</v>
      </c>
      <c r="L432" s="283" t="s">
        <v>669</v>
      </c>
      <c r="M432" s="283" t="s">
        <v>249</v>
      </c>
      <c r="N432" s="283" t="s">
        <v>252</v>
      </c>
      <c r="O432" s="283">
        <v>87</v>
      </c>
      <c r="P432" s="283">
        <v>13405</v>
      </c>
      <c r="Q432" s="287">
        <f>(O432+IF('Scenario Analysis'!$N$23=1,0,0.5))*P432</f>
        <v>1172937.5</v>
      </c>
    </row>
    <row r="433" spans="3:17" x14ac:dyDescent="0.25">
      <c r="C433" s="300" t="s">
        <v>1272</v>
      </c>
      <c r="D433" s="283" t="s">
        <v>663</v>
      </c>
      <c r="E433" s="283" t="s">
        <v>249</v>
      </c>
      <c r="F433" s="283" t="s">
        <v>248</v>
      </c>
      <c r="G433" s="283">
        <v>7</v>
      </c>
      <c r="H433" s="283">
        <v>23922</v>
      </c>
      <c r="I433" s="286">
        <f>(G433+IF('Scenario Analysis'!$N$23=1,0,0.5))*H433</f>
        <v>179415</v>
      </c>
      <c r="K433" s="283" t="s">
        <v>1271</v>
      </c>
      <c r="L433" s="283" t="s">
        <v>669</v>
      </c>
      <c r="M433" s="283" t="s">
        <v>249</v>
      </c>
      <c r="N433" s="283" t="s">
        <v>252</v>
      </c>
      <c r="O433" s="283">
        <v>88</v>
      </c>
      <c r="P433" s="283">
        <v>10536</v>
      </c>
      <c r="Q433" s="287">
        <f>(O433+IF('Scenario Analysis'!$N$23=1,0,0.5))*P433</f>
        <v>932436</v>
      </c>
    </row>
    <row r="434" spans="3:17" x14ac:dyDescent="0.25">
      <c r="C434" s="300" t="s">
        <v>1272</v>
      </c>
      <c r="D434" s="283" t="s">
        <v>663</v>
      </c>
      <c r="E434" s="283" t="s">
        <v>249</v>
      </c>
      <c r="F434" s="283" t="s">
        <v>248</v>
      </c>
      <c r="G434" s="283">
        <v>8</v>
      </c>
      <c r="H434" s="283">
        <v>151</v>
      </c>
      <c r="I434" s="286">
        <f>(G434+IF('Scenario Analysis'!$N$23=1,0,0.5))*H434</f>
        <v>1283.5</v>
      </c>
      <c r="K434" s="283" t="s">
        <v>1271</v>
      </c>
      <c r="L434" s="283" t="s">
        <v>669</v>
      </c>
      <c r="M434" s="283" t="s">
        <v>249</v>
      </c>
      <c r="N434" s="283" t="s">
        <v>252</v>
      </c>
      <c r="O434" s="283">
        <v>89</v>
      </c>
      <c r="P434" s="283">
        <v>31814</v>
      </c>
      <c r="Q434" s="287">
        <f>(O434+IF('Scenario Analysis'!$N$23=1,0,0.5))*P434</f>
        <v>2847353</v>
      </c>
    </row>
    <row r="435" spans="3:17" x14ac:dyDescent="0.25">
      <c r="C435" s="300" t="s">
        <v>1272</v>
      </c>
      <c r="D435" s="283" t="s">
        <v>663</v>
      </c>
      <c r="E435" s="283" t="s">
        <v>249</v>
      </c>
      <c r="F435" s="283" t="s">
        <v>248</v>
      </c>
      <c r="G435" s="283">
        <v>9</v>
      </c>
      <c r="H435" s="283">
        <v>20</v>
      </c>
      <c r="I435" s="286">
        <f>(G435+IF('Scenario Analysis'!$N$23=1,0,0.5))*H435</f>
        <v>190</v>
      </c>
      <c r="K435" s="283" t="s">
        <v>1271</v>
      </c>
      <c r="L435" s="283" t="s">
        <v>669</v>
      </c>
      <c r="M435" s="283" t="s">
        <v>249</v>
      </c>
      <c r="N435" s="283" t="s">
        <v>252</v>
      </c>
      <c r="O435" s="283">
        <v>90</v>
      </c>
      <c r="P435" s="283">
        <v>11085</v>
      </c>
      <c r="Q435" s="287">
        <f>(O435+IF('Scenario Analysis'!$N$23=1,0,0.5))*P435</f>
        <v>1003192.5</v>
      </c>
    </row>
    <row r="436" spans="3:17" x14ac:dyDescent="0.25">
      <c r="C436" s="300" t="s">
        <v>1272</v>
      </c>
      <c r="D436" s="283" t="s">
        <v>664</v>
      </c>
      <c r="E436" s="283" t="s">
        <v>250</v>
      </c>
      <c r="F436" s="283" t="s">
        <v>184</v>
      </c>
      <c r="G436" s="283">
        <v>0</v>
      </c>
      <c r="H436" s="283">
        <v>907574</v>
      </c>
      <c r="I436" s="286">
        <f>(G436+IF('Scenario Analysis'!$N$23=1,0,0.5))*H436</f>
        <v>453787</v>
      </c>
      <c r="K436" s="283" t="s">
        <v>1271</v>
      </c>
      <c r="L436" s="283" t="s">
        <v>669</v>
      </c>
      <c r="M436" s="283" t="s">
        <v>249</v>
      </c>
      <c r="N436" s="283" t="s">
        <v>252</v>
      </c>
      <c r="O436" s="283">
        <v>91</v>
      </c>
      <c r="P436" s="283">
        <v>64041</v>
      </c>
      <c r="Q436" s="287">
        <f>(O436+IF('Scenario Analysis'!$N$23=1,0,0.5))*P436</f>
        <v>5859751.5</v>
      </c>
    </row>
    <row r="437" spans="3:17" x14ac:dyDescent="0.25">
      <c r="C437" s="300" t="s">
        <v>1272</v>
      </c>
      <c r="D437" s="283" t="s">
        <v>664</v>
      </c>
      <c r="E437" s="283" t="s">
        <v>250</v>
      </c>
      <c r="F437" s="283" t="s">
        <v>184</v>
      </c>
      <c r="G437" s="283">
        <v>1</v>
      </c>
      <c r="H437" s="283">
        <v>2493234</v>
      </c>
      <c r="I437" s="286">
        <f>(G437+IF('Scenario Analysis'!$N$23=1,0,0.5))*H437</f>
        <v>3739851</v>
      </c>
      <c r="K437" s="283" t="s">
        <v>1271</v>
      </c>
      <c r="L437" s="283" t="s">
        <v>669</v>
      </c>
      <c r="M437" s="283" t="s">
        <v>249</v>
      </c>
      <c r="N437" s="283" t="s">
        <v>252</v>
      </c>
      <c r="O437" s="283">
        <v>92</v>
      </c>
      <c r="P437" s="283">
        <v>2472</v>
      </c>
      <c r="Q437" s="287">
        <f>(O437+IF('Scenario Analysis'!$N$23=1,0,0.5))*P437</f>
        <v>228660</v>
      </c>
    </row>
    <row r="438" spans="3:17" x14ac:dyDescent="0.25">
      <c r="C438" s="300" t="s">
        <v>1272</v>
      </c>
      <c r="D438" s="283" t="s">
        <v>664</v>
      </c>
      <c r="E438" s="283" t="s">
        <v>250</v>
      </c>
      <c r="F438" s="283" t="s">
        <v>184</v>
      </c>
      <c r="G438" s="283">
        <v>2</v>
      </c>
      <c r="H438" s="283">
        <v>2121410</v>
      </c>
      <c r="I438" s="286">
        <f>(G438+IF('Scenario Analysis'!$N$23=1,0,0.5))*H438</f>
        <v>5303525</v>
      </c>
      <c r="K438" s="283" t="s">
        <v>1271</v>
      </c>
      <c r="L438" s="283" t="s">
        <v>669</v>
      </c>
      <c r="M438" s="283" t="s">
        <v>249</v>
      </c>
      <c r="N438" s="283" t="s">
        <v>252</v>
      </c>
      <c r="O438" s="283">
        <v>93</v>
      </c>
      <c r="P438" s="283">
        <v>62535</v>
      </c>
      <c r="Q438" s="287">
        <f>(O438+IF('Scenario Analysis'!$N$23=1,0,0.5))*P438</f>
        <v>5847022.5</v>
      </c>
    </row>
    <row r="439" spans="3:17" x14ac:dyDescent="0.25">
      <c r="C439" s="300" t="s">
        <v>1272</v>
      </c>
      <c r="D439" s="283" t="s">
        <v>664</v>
      </c>
      <c r="E439" s="283" t="s">
        <v>250</v>
      </c>
      <c r="F439" s="283" t="s">
        <v>184</v>
      </c>
      <c r="G439" s="283">
        <v>3</v>
      </c>
      <c r="H439" s="283">
        <v>1349543</v>
      </c>
      <c r="I439" s="286">
        <f>(G439+IF('Scenario Analysis'!$N$23=1,0,0.5))*H439</f>
        <v>4723400.5</v>
      </c>
      <c r="K439" s="283" t="s">
        <v>1271</v>
      </c>
      <c r="L439" s="283" t="s">
        <v>669</v>
      </c>
      <c r="M439" s="283" t="s">
        <v>249</v>
      </c>
      <c r="N439" s="283" t="s">
        <v>252</v>
      </c>
      <c r="O439" s="283">
        <v>94</v>
      </c>
      <c r="P439" s="283">
        <v>6640</v>
      </c>
      <c r="Q439" s="287">
        <f>(O439+IF('Scenario Analysis'!$N$23=1,0,0.5))*P439</f>
        <v>627480</v>
      </c>
    </row>
    <row r="440" spans="3:17" x14ac:dyDescent="0.25">
      <c r="C440" s="300" t="s">
        <v>1272</v>
      </c>
      <c r="D440" s="283" t="s">
        <v>664</v>
      </c>
      <c r="E440" s="283" t="s">
        <v>250</v>
      </c>
      <c r="F440" s="283" t="s">
        <v>184</v>
      </c>
      <c r="G440" s="283">
        <v>4</v>
      </c>
      <c r="H440" s="283">
        <v>1061003</v>
      </c>
      <c r="I440" s="286">
        <f>(G440+IF('Scenario Analysis'!$N$23=1,0,0.5))*H440</f>
        <v>4774513.5</v>
      </c>
      <c r="K440" s="283" t="s">
        <v>1271</v>
      </c>
      <c r="L440" s="283" t="s">
        <v>669</v>
      </c>
      <c r="M440" s="283" t="s">
        <v>249</v>
      </c>
      <c r="N440" s="283" t="s">
        <v>252</v>
      </c>
      <c r="O440" s="283">
        <v>95</v>
      </c>
      <c r="P440" s="283">
        <v>17470</v>
      </c>
      <c r="Q440" s="287">
        <f>(O440+IF('Scenario Analysis'!$N$23=1,0,0.5))*P440</f>
        <v>1668385</v>
      </c>
    </row>
    <row r="441" spans="3:17" x14ac:dyDescent="0.25">
      <c r="C441" s="300" t="s">
        <v>1272</v>
      </c>
      <c r="D441" s="283" t="s">
        <v>664</v>
      </c>
      <c r="E441" s="283" t="s">
        <v>250</v>
      </c>
      <c r="F441" s="283" t="s">
        <v>184</v>
      </c>
      <c r="G441" s="283">
        <v>5</v>
      </c>
      <c r="H441" s="283">
        <v>722156</v>
      </c>
      <c r="I441" s="286">
        <f>(G441+IF('Scenario Analysis'!$N$23=1,0,0.5))*H441</f>
        <v>3971858</v>
      </c>
      <c r="K441" s="283" t="s">
        <v>1271</v>
      </c>
      <c r="L441" s="283" t="s">
        <v>669</v>
      </c>
      <c r="M441" s="283" t="s">
        <v>249</v>
      </c>
      <c r="N441" s="283" t="s">
        <v>252</v>
      </c>
      <c r="O441" s="283">
        <v>96</v>
      </c>
      <c r="P441" s="283">
        <v>3529</v>
      </c>
      <c r="Q441" s="287">
        <f>(O441+IF('Scenario Analysis'!$N$23=1,0,0.5))*P441</f>
        <v>340548.5</v>
      </c>
    </row>
    <row r="442" spans="3:17" x14ac:dyDescent="0.25">
      <c r="C442" s="300" t="s">
        <v>1272</v>
      </c>
      <c r="D442" s="283" t="s">
        <v>664</v>
      </c>
      <c r="E442" s="283" t="s">
        <v>250</v>
      </c>
      <c r="F442" s="283" t="s">
        <v>184</v>
      </c>
      <c r="G442" s="283">
        <v>6</v>
      </c>
      <c r="H442" s="283">
        <v>592637</v>
      </c>
      <c r="I442" s="286">
        <f>(G442+IF('Scenario Analysis'!$N$23=1,0,0.5))*H442</f>
        <v>3852140.5</v>
      </c>
      <c r="K442" s="283" t="s">
        <v>1271</v>
      </c>
      <c r="L442" s="283" t="s">
        <v>669</v>
      </c>
      <c r="M442" s="283" t="s">
        <v>249</v>
      </c>
      <c r="N442" s="283" t="s">
        <v>252</v>
      </c>
      <c r="O442" s="283">
        <v>97</v>
      </c>
      <c r="P442" s="283">
        <v>9100</v>
      </c>
      <c r="Q442" s="287">
        <f>(O442+IF('Scenario Analysis'!$N$23=1,0,0.5))*P442</f>
        <v>887250</v>
      </c>
    </row>
    <row r="443" spans="3:17" x14ac:dyDescent="0.25">
      <c r="C443" s="300" t="s">
        <v>1272</v>
      </c>
      <c r="D443" s="283" t="s">
        <v>664</v>
      </c>
      <c r="E443" s="283" t="s">
        <v>250</v>
      </c>
      <c r="F443" s="283" t="s">
        <v>184</v>
      </c>
      <c r="G443" s="283">
        <v>7</v>
      </c>
      <c r="H443" s="283">
        <v>316296</v>
      </c>
      <c r="I443" s="286">
        <f>(G443+IF('Scenario Analysis'!$N$23=1,0,0.5))*H443</f>
        <v>2372220</v>
      </c>
      <c r="K443" s="283" t="s">
        <v>1271</v>
      </c>
      <c r="L443" s="283" t="s">
        <v>669</v>
      </c>
      <c r="M443" s="283" t="s">
        <v>249</v>
      </c>
      <c r="N443" s="283" t="s">
        <v>252</v>
      </c>
      <c r="O443" s="283">
        <v>98</v>
      </c>
      <c r="P443" s="283">
        <v>20489</v>
      </c>
      <c r="Q443" s="287">
        <f>(O443+IF('Scenario Analysis'!$N$23=1,0,0.5))*P443</f>
        <v>2018166.5</v>
      </c>
    </row>
    <row r="444" spans="3:17" x14ac:dyDescent="0.25">
      <c r="C444" s="300" t="s">
        <v>1272</v>
      </c>
      <c r="D444" s="283" t="s">
        <v>664</v>
      </c>
      <c r="E444" s="283" t="s">
        <v>250</v>
      </c>
      <c r="F444" s="283" t="s">
        <v>184</v>
      </c>
      <c r="G444" s="283">
        <v>8</v>
      </c>
      <c r="H444" s="283">
        <v>259657</v>
      </c>
      <c r="I444" s="286">
        <f>(G444+IF('Scenario Analysis'!$N$23=1,0,0.5))*H444</f>
        <v>2207084.5</v>
      </c>
      <c r="K444" s="283" t="s">
        <v>1271</v>
      </c>
      <c r="L444" s="283" t="s">
        <v>669</v>
      </c>
      <c r="M444" s="283" t="s">
        <v>249</v>
      </c>
      <c r="N444" s="283" t="s">
        <v>252</v>
      </c>
      <c r="O444" s="283">
        <v>99</v>
      </c>
      <c r="P444" s="283">
        <v>329</v>
      </c>
      <c r="Q444" s="287">
        <f>(O444+IF('Scenario Analysis'!$N$23=1,0,0.5))*P444</f>
        <v>32735.5</v>
      </c>
    </row>
    <row r="445" spans="3:17" x14ac:dyDescent="0.25">
      <c r="C445" s="300" t="s">
        <v>1272</v>
      </c>
      <c r="D445" s="283" t="s">
        <v>664</v>
      </c>
      <c r="E445" s="283" t="s">
        <v>250</v>
      </c>
      <c r="F445" s="283" t="s">
        <v>184</v>
      </c>
      <c r="G445" s="283">
        <v>9</v>
      </c>
      <c r="H445" s="283">
        <v>162156</v>
      </c>
      <c r="I445" s="286">
        <f>(G445+IF('Scenario Analysis'!$N$23=1,0,0.5))*H445</f>
        <v>1540482</v>
      </c>
      <c r="K445" s="283" t="s">
        <v>1271</v>
      </c>
      <c r="L445" s="283" t="s">
        <v>669</v>
      </c>
      <c r="M445" s="283" t="s">
        <v>249</v>
      </c>
      <c r="N445" s="283" t="s">
        <v>252</v>
      </c>
      <c r="O445" s="283">
        <v>100</v>
      </c>
      <c r="P445" s="283">
        <v>6567</v>
      </c>
      <c r="Q445" s="287">
        <f>(O445+IF('Scenario Analysis'!$N$23=1,0,0.5))*P445</f>
        <v>659983.5</v>
      </c>
    </row>
    <row r="446" spans="3:17" x14ac:dyDescent="0.25">
      <c r="C446" s="300" t="s">
        <v>1272</v>
      </c>
      <c r="D446" s="283" t="s">
        <v>664</v>
      </c>
      <c r="E446" s="283" t="s">
        <v>250</v>
      </c>
      <c r="F446" s="283" t="s">
        <v>184</v>
      </c>
      <c r="G446" s="283">
        <v>10</v>
      </c>
      <c r="H446" s="283">
        <v>134195</v>
      </c>
      <c r="I446" s="286">
        <f>(G446+IF('Scenario Analysis'!$N$23=1,0,0.5))*H446</f>
        <v>1409047.5</v>
      </c>
      <c r="K446" s="283" t="s">
        <v>1271</v>
      </c>
      <c r="L446" s="283" t="s">
        <v>669</v>
      </c>
      <c r="M446" s="283" t="s">
        <v>249</v>
      </c>
      <c r="N446" s="283" t="s">
        <v>252</v>
      </c>
      <c r="O446" s="283">
        <v>101</v>
      </c>
      <c r="P446" s="283">
        <v>386</v>
      </c>
      <c r="Q446" s="287">
        <f>(O446+IF('Scenario Analysis'!$N$23=1,0,0.5))*P446</f>
        <v>39179</v>
      </c>
    </row>
    <row r="447" spans="3:17" x14ac:dyDescent="0.25">
      <c r="C447" s="300" t="s">
        <v>1272</v>
      </c>
      <c r="D447" s="283" t="s">
        <v>664</v>
      </c>
      <c r="E447" s="283" t="s">
        <v>250</v>
      </c>
      <c r="F447" s="283" t="s">
        <v>184</v>
      </c>
      <c r="G447" s="283">
        <v>11</v>
      </c>
      <c r="H447" s="283">
        <v>89267</v>
      </c>
      <c r="I447" s="286">
        <f>(G447+IF('Scenario Analysis'!$N$23=1,0,0.5))*H447</f>
        <v>1026570.5</v>
      </c>
      <c r="K447" s="283" t="s">
        <v>1271</v>
      </c>
      <c r="L447" s="283" t="s">
        <v>669</v>
      </c>
      <c r="M447" s="283" t="s">
        <v>249</v>
      </c>
      <c r="N447" s="283" t="s">
        <v>252</v>
      </c>
      <c r="O447" s="283">
        <v>102</v>
      </c>
      <c r="P447" s="283">
        <v>12949</v>
      </c>
      <c r="Q447" s="287">
        <f>(O447+IF('Scenario Analysis'!$N$23=1,0,0.5))*P447</f>
        <v>1327272.5</v>
      </c>
    </row>
    <row r="448" spans="3:17" x14ac:dyDescent="0.25">
      <c r="C448" s="300" t="s">
        <v>1272</v>
      </c>
      <c r="D448" s="283" t="s">
        <v>664</v>
      </c>
      <c r="E448" s="283" t="s">
        <v>250</v>
      </c>
      <c r="F448" s="283" t="s">
        <v>184</v>
      </c>
      <c r="G448" s="283">
        <v>12</v>
      </c>
      <c r="H448" s="283">
        <v>104693</v>
      </c>
      <c r="I448" s="286">
        <f>(G448+IF('Scenario Analysis'!$N$23=1,0,0.5))*H448</f>
        <v>1308662.5</v>
      </c>
      <c r="K448" s="283" t="s">
        <v>1271</v>
      </c>
      <c r="L448" s="283" t="s">
        <v>669</v>
      </c>
      <c r="M448" s="283" t="s">
        <v>249</v>
      </c>
      <c r="N448" s="283" t="s">
        <v>252</v>
      </c>
      <c r="O448" s="283">
        <v>103</v>
      </c>
      <c r="P448" s="283">
        <v>16522</v>
      </c>
      <c r="Q448" s="287">
        <f>(O448+IF('Scenario Analysis'!$N$23=1,0,0.5))*P448</f>
        <v>1710027</v>
      </c>
    </row>
    <row r="449" spans="3:17" x14ac:dyDescent="0.25">
      <c r="C449" s="300" t="s">
        <v>1272</v>
      </c>
      <c r="D449" s="283" t="s">
        <v>664</v>
      </c>
      <c r="E449" s="283" t="s">
        <v>250</v>
      </c>
      <c r="F449" s="283" t="s">
        <v>184</v>
      </c>
      <c r="G449" s="283">
        <v>13</v>
      </c>
      <c r="H449" s="283">
        <v>40076</v>
      </c>
      <c r="I449" s="286">
        <f>(G449+IF('Scenario Analysis'!$N$23=1,0,0.5))*H449</f>
        <v>541026</v>
      </c>
      <c r="K449" s="283" t="s">
        <v>1271</v>
      </c>
      <c r="L449" s="283" t="s">
        <v>669</v>
      </c>
      <c r="M449" s="283" t="s">
        <v>249</v>
      </c>
      <c r="N449" s="283" t="s">
        <v>252</v>
      </c>
      <c r="O449" s="283">
        <v>104</v>
      </c>
      <c r="P449" s="283">
        <v>5197</v>
      </c>
      <c r="Q449" s="287">
        <f>(O449+IF('Scenario Analysis'!$N$23=1,0,0.5))*P449</f>
        <v>543086.5</v>
      </c>
    </row>
    <row r="450" spans="3:17" x14ac:dyDescent="0.25">
      <c r="C450" s="300" t="s">
        <v>1272</v>
      </c>
      <c r="D450" s="283" t="s">
        <v>664</v>
      </c>
      <c r="E450" s="283" t="s">
        <v>250</v>
      </c>
      <c r="F450" s="283" t="s">
        <v>184</v>
      </c>
      <c r="G450" s="283">
        <v>14</v>
      </c>
      <c r="H450" s="283">
        <v>83161</v>
      </c>
      <c r="I450" s="286">
        <f>(G450+IF('Scenario Analysis'!$N$23=1,0,0.5))*H450</f>
        <v>1205834.5</v>
      </c>
      <c r="K450" s="283" t="s">
        <v>1271</v>
      </c>
      <c r="L450" s="283" t="s">
        <v>669</v>
      </c>
      <c r="M450" s="283" t="s">
        <v>249</v>
      </c>
      <c r="N450" s="283" t="s">
        <v>252</v>
      </c>
      <c r="O450" s="283">
        <v>105</v>
      </c>
      <c r="P450" s="283">
        <v>9061</v>
      </c>
      <c r="Q450" s="287">
        <f>(O450+IF('Scenario Analysis'!$N$23=1,0,0.5))*P450</f>
        <v>955935.5</v>
      </c>
    </row>
    <row r="451" spans="3:17" x14ac:dyDescent="0.25">
      <c r="C451" s="300" t="s">
        <v>1272</v>
      </c>
      <c r="D451" s="283" t="s">
        <v>664</v>
      </c>
      <c r="E451" s="283" t="s">
        <v>250</v>
      </c>
      <c r="F451" s="283" t="s">
        <v>184</v>
      </c>
      <c r="G451" s="283">
        <v>15</v>
      </c>
      <c r="H451" s="283">
        <v>25046</v>
      </c>
      <c r="I451" s="286">
        <f>(G451+IF('Scenario Analysis'!$N$23=1,0,0.5))*H451</f>
        <v>388213</v>
      </c>
      <c r="K451" s="283" t="s">
        <v>1271</v>
      </c>
      <c r="L451" s="283" t="s">
        <v>669</v>
      </c>
      <c r="M451" s="283" t="s">
        <v>249</v>
      </c>
      <c r="N451" s="283" t="s">
        <v>252</v>
      </c>
      <c r="O451" s="283">
        <v>106</v>
      </c>
      <c r="P451" s="283">
        <v>2958</v>
      </c>
      <c r="Q451" s="287">
        <f>(O451+IF('Scenario Analysis'!$N$23=1,0,0.5))*P451</f>
        <v>315027</v>
      </c>
    </row>
    <row r="452" spans="3:17" x14ac:dyDescent="0.25">
      <c r="C452" s="300" t="s">
        <v>1272</v>
      </c>
      <c r="D452" s="283" t="s">
        <v>664</v>
      </c>
      <c r="E452" s="283" t="s">
        <v>250</v>
      </c>
      <c r="F452" s="283" t="s">
        <v>184</v>
      </c>
      <c r="G452" s="283">
        <v>16</v>
      </c>
      <c r="H452" s="283">
        <v>19034</v>
      </c>
      <c r="I452" s="286">
        <f>(G452+IF('Scenario Analysis'!$N$23=1,0,0.5))*H452</f>
        <v>314061</v>
      </c>
      <c r="K452" s="283" t="s">
        <v>1271</v>
      </c>
      <c r="L452" s="283" t="s">
        <v>669</v>
      </c>
      <c r="M452" s="283" t="s">
        <v>249</v>
      </c>
      <c r="N452" s="283" t="s">
        <v>252</v>
      </c>
      <c r="O452" s="283">
        <v>107</v>
      </c>
      <c r="P452" s="283">
        <v>18538</v>
      </c>
      <c r="Q452" s="287">
        <f>(O452+IF('Scenario Analysis'!$N$23=1,0,0.5))*P452</f>
        <v>1992835</v>
      </c>
    </row>
    <row r="453" spans="3:17" x14ac:dyDescent="0.25">
      <c r="C453" s="300" t="s">
        <v>1272</v>
      </c>
      <c r="D453" s="283" t="s">
        <v>664</v>
      </c>
      <c r="E453" s="283" t="s">
        <v>250</v>
      </c>
      <c r="F453" s="283" t="s">
        <v>184</v>
      </c>
      <c r="G453" s="283">
        <v>17</v>
      </c>
      <c r="H453" s="283">
        <v>23586</v>
      </c>
      <c r="I453" s="286">
        <f>(G453+IF('Scenario Analysis'!$N$23=1,0,0.5))*H453</f>
        <v>412755</v>
      </c>
      <c r="K453" s="283" t="s">
        <v>1271</v>
      </c>
      <c r="L453" s="283" t="s">
        <v>669</v>
      </c>
      <c r="M453" s="283" t="s">
        <v>249</v>
      </c>
      <c r="N453" s="283" t="s">
        <v>252</v>
      </c>
      <c r="O453" s="283">
        <v>108</v>
      </c>
      <c r="P453" s="283">
        <v>8399</v>
      </c>
      <c r="Q453" s="287">
        <f>(O453+IF('Scenario Analysis'!$N$23=1,0,0.5))*P453</f>
        <v>911291.5</v>
      </c>
    </row>
    <row r="454" spans="3:17" x14ac:dyDescent="0.25">
      <c r="C454" s="300" t="s">
        <v>1272</v>
      </c>
      <c r="D454" s="283" t="s">
        <v>664</v>
      </c>
      <c r="E454" s="283" t="s">
        <v>250</v>
      </c>
      <c r="F454" s="283" t="s">
        <v>184</v>
      </c>
      <c r="G454" s="283">
        <v>18</v>
      </c>
      <c r="H454" s="283">
        <v>19967</v>
      </c>
      <c r="I454" s="286">
        <f>(G454+IF('Scenario Analysis'!$N$23=1,0,0.5))*H454</f>
        <v>369389.5</v>
      </c>
      <c r="K454" s="283" t="s">
        <v>1271</v>
      </c>
      <c r="L454" s="283" t="s">
        <v>669</v>
      </c>
      <c r="M454" s="283" t="s">
        <v>249</v>
      </c>
      <c r="N454" s="283" t="s">
        <v>252</v>
      </c>
      <c r="O454" s="283">
        <v>109</v>
      </c>
      <c r="P454" s="283">
        <v>47929</v>
      </c>
      <c r="Q454" s="287">
        <f>(O454+IF('Scenario Analysis'!$N$23=1,0,0.5))*P454</f>
        <v>5248225.5</v>
      </c>
    </row>
    <row r="455" spans="3:17" x14ac:dyDescent="0.25">
      <c r="C455" s="300" t="s">
        <v>1272</v>
      </c>
      <c r="D455" s="283" t="s">
        <v>664</v>
      </c>
      <c r="E455" s="283" t="s">
        <v>250</v>
      </c>
      <c r="F455" s="283" t="s">
        <v>184</v>
      </c>
      <c r="G455" s="283">
        <v>19</v>
      </c>
      <c r="H455" s="283">
        <v>43736</v>
      </c>
      <c r="I455" s="286">
        <f>(G455+IF('Scenario Analysis'!$N$23=1,0,0.5))*H455</f>
        <v>852852</v>
      </c>
      <c r="K455" s="283" t="s">
        <v>1271</v>
      </c>
      <c r="L455" s="283" t="s">
        <v>669</v>
      </c>
      <c r="M455" s="283" t="s">
        <v>249</v>
      </c>
      <c r="N455" s="283" t="s">
        <v>252</v>
      </c>
      <c r="O455" s="283">
        <v>110</v>
      </c>
      <c r="P455" s="283">
        <v>4417</v>
      </c>
      <c r="Q455" s="287">
        <f>(O455+IF('Scenario Analysis'!$N$23=1,0,0.5))*P455</f>
        <v>488078.5</v>
      </c>
    </row>
    <row r="456" spans="3:17" x14ac:dyDescent="0.25">
      <c r="C456" s="300" t="s">
        <v>1272</v>
      </c>
      <c r="D456" s="283" t="s">
        <v>664</v>
      </c>
      <c r="E456" s="283" t="s">
        <v>250</v>
      </c>
      <c r="F456" s="283" t="s">
        <v>184</v>
      </c>
      <c r="G456" s="283">
        <v>20</v>
      </c>
      <c r="H456" s="283">
        <v>21346</v>
      </c>
      <c r="I456" s="286">
        <f>(G456+IF('Scenario Analysis'!$N$23=1,0,0.5))*H456</f>
        <v>437593</v>
      </c>
      <c r="K456" s="283" t="s">
        <v>1271</v>
      </c>
      <c r="L456" s="283" t="s">
        <v>669</v>
      </c>
      <c r="M456" s="283" t="s">
        <v>249</v>
      </c>
      <c r="N456" s="283" t="s">
        <v>252</v>
      </c>
      <c r="O456" s="283">
        <v>111</v>
      </c>
      <c r="P456" s="283">
        <v>17339</v>
      </c>
      <c r="Q456" s="287">
        <f>(O456+IF('Scenario Analysis'!$N$23=1,0,0.5))*P456</f>
        <v>1933298.5</v>
      </c>
    </row>
    <row r="457" spans="3:17" x14ac:dyDescent="0.25">
      <c r="C457" s="300" t="s">
        <v>1272</v>
      </c>
      <c r="D457" s="283" t="s">
        <v>664</v>
      </c>
      <c r="E457" s="283" t="s">
        <v>250</v>
      </c>
      <c r="F457" s="283" t="s">
        <v>184</v>
      </c>
      <c r="G457" s="283">
        <v>21</v>
      </c>
      <c r="H457" s="283">
        <v>9967</v>
      </c>
      <c r="I457" s="286">
        <f>(G457+IF('Scenario Analysis'!$N$23=1,0,0.5))*H457</f>
        <v>214290.5</v>
      </c>
      <c r="K457" s="283" t="s">
        <v>1271</v>
      </c>
      <c r="L457" s="283" t="s">
        <v>669</v>
      </c>
      <c r="M457" s="283" t="s">
        <v>249</v>
      </c>
      <c r="N457" s="283" t="s">
        <v>252</v>
      </c>
      <c r="O457" s="283">
        <v>112</v>
      </c>
      <c r="P457" s="283">
        <v>1453</v>
      </c>
      <c r="Q457" s="287">
        <f>(O457+IF('Scenario Analysis'!$N$23=1,0,0.5))*P457</f>
        <v>163462.5</v>
      </c>
    </row>
    <row r="458" spans="3:17" x14ac:dyDescent="0.25">
      <c r="C458" s="300" t="s">
        <v>1272</v>
      </c>
      <c r="D458" s="283" t="s">
        <v>664</v>
      </c>
      <c r="E458" s="283" t="s">
        <v>250</v>
      </c>
      <c r="F458" s="283" t="s">
        <v>184</v>
      </c>
      <c r="G458" s="283">
        <v>22</v>
      </c>
      <c r="H458" s="283">
        <v>52051</v>
      </c>
      <c r="I458" s="286">
        <f>(G458+IF('Scenario Analysis'!$N$23=1,0,0.5))*H458</f>
        <v>1171147.5</v>
      </c>
      <c r="K458" s="283" t="s">
        <v>1271</v>
      </c>
      <c r="L458" s="283" t="s">
        <v>669</v>
      </c>
      <c r="M458" s="283" t="s">
        <v>249</v>
      </c>
      <c r="N458" s="283" t="s">
        <v>252</v>
      </c>
      <c r="O458" s="283">
        <v>113</v>
      </c>
      <c r="P458" s="283">
        <v>3524</v>
      </c>
      <c r="Q458" s="287">
        <f>(O458+IF('Scenario Analysis'!$N$23=1,0,0.5))*P458</f>
        <v>399974</v>
      </c>
    </row>
    <row r="459" spans="3:17" x14ac:dyDescent="0.25">
      <c r="C459" s="300" t="s">
        <v>1272</v>
      </c>
      <c r="D459" s="283" t="s">
        <v>664</v>
      </c>
      <c r="E459" s="283" t="s">
        <v>250</v>
      </c>
      <c r="F459" s="283" t="s">
        <v>184</v>
      </c>
      <c r="G459" s="283">
        <v>23</v>
      </c>
      <c r="H459" s="283">
        <v>38486</v>
      </c>
      <c r="I459" s="286">
        <f>(G459+IF('Scenario Analysis'!$N$23=1,0,0.5))*H459</f>
        <v>904421</v>
      </c>
      <c r="K459" s="283" t="s">
        <v>1271</v>
      </c>
      <c r="L459" s="283" t="s">
        <v>669</v>
      </c>
      <c r="M459" s="283" t="s">
        <v>249</v>
      </c>
      <c r="N459" s="283" t="s">
        <v>252</v>
      </c>
      <c r="O459" s="283">
        <v>114</v>
      </c>
      <c r="P459" s="283">
        <v>469</v>
      </c>
      <c r="Q459" s="287">
        <f>(O459+IF('Scenario Analysis'!$N$23=1,0,0.5))*P459</f>
        <v>53700.5</v>
      </c>
    </row>
    <row r="460" spans="3:17" x14ac:dyDescent="0.25">
      <c r="C460" s="300" t="s">
        <v>1272</v>
      </c>
      <c r="D460" s="283" t="s">
        <v>664</v>
      </c>
      <c r="E460" s="283" t="s">
        <v>250</v>
      </c>
      <c r="F460" s="283" t="s">
        <v>184</v>
      </c>
      <c r="G460" s="283">
        <v>24</v>
      </c>
      <c r="H460" s="283">
        <v>28773</v>
      </c>
      <c r="I460" s="286">
        <f>(G460+IF('Scenario Analysis'!$N$23=1,0,0.5))*H460</f>
        <v>704938.5</v>
      </c>
      <c r="K460" s="283" t="s">
        <v>1271</v>
      </c>
      <c r="L460" s="283" t="s">
        <v>669</v>
      </c>
      <c r="M460" s="283" t="s">
        <v>249</v>
      </c>
      <c r="N460" s="283" t="s">
        <v>252</v>
      </c>
      <c r="O460" s="283">
        <v>115</v>
      </c>
      <c r="P460" s="283">
        <v>2365</v>
      </c>
      <c r="Q460" s="287">
        <f>(O460+IF('Scenario Analysis'!$N$23=1,0,0.5))*P460</f>
        <v>273157.5</v>
      </c>
    </row>
    <row r="461" spans="3:17" x14ac:dyDescent="0.25">
      <c r="C461" s="300" t="s">
        <v>1272</v>
      </c>
      <c r="D461" s="283" t="s">
        <v>664</v>
      </c>
      <c r="E461" s="283" t="s">
        <v>250</v>
      </c>
      <c r="F461" s="283" t="s">
        <v>184</v>
      </c>
      <c r="G461" s="283">
        <v>25</v>
      </c>
      <c r="H461" s="283">
        <v>3780</v>
      </c>
      <c r="I461" s="286">
        <f>(G461+IF('Scenario Analysis'!$N$23=1,0,0.5))*H461</f>
        <v>96390</v>
      </c>
      <c r="K461" s="283" t="s">
        <v>1271</v>
      </c>
      <c r="L461" s="283" t="s">
        <v>669</v>
      </c>
      <c r="M461" s="283" t="s">
        <v>249</v>
      </c>
      <c r="N461" s="283" t="s">
        <v>252</v>
      </c>
      <c r="O461" s="283">
        <v>116</v>
      </c>
      <c r="P461" s="283">
        <v>26119</v>
      </c>
      <c r="Q461" s="287">
        <f>(O461+IF('Scenario Analysis'!$N$23=1,0,0.5))*P461</f>
        <v>3042863.5</v>
      </c>
    </row>
    <row r="462" spans="3:17" x14ac:dyDescent="0.25">
      <c r="C462" s="300" t="s">
        <v>1272</v>
      </c>
      <c r="D462" s="283" t="s">
        <v>664</v>
      </c>
      <c r="E462" s="283" t="s">
        <v>250</v>
      </c>
      <c r="F462" s="283" t="s">
        <v>184</v>
      </c>
      <c r="G462" s="283">
        <v>26</v>
      </c>
      <c r="H462" s="283">
        <v>4870</v>
      </c>
      <c r="I462" s="286">
        <f>(G462+IF('Scenario Analysis'!$N$23=1,0,0.5))*H462</f>
        <v>129055</v>
      </c>
      <c r="K462" s="283" t="s">
        <v>1271</v>
      </c>
      <c r="L462" s="283" t="s">
        <v>669</v>
      </c>
      <c r="M462" s="283" t="s">
        <v>249</v>
      </c>
      <c r="N462" s="283" t="s">
        <v>252</v>
      </c>
      <c r="O462" s="283">
        <v>117</v>
      </c>
      <c r="P462" s="283">
        <v>7756</v>
      </c>
      <c r="Q462" s="287">
        <f>(O462+IF('Scenario Analysis'!$N$23=1,0,0.5))*P462</f>
        <v>911330</v>
      </c>
    </row>
    <row r="463" spans="3:17" x14ac:dyDescent="0.25">
      <c r="C463" s="300" t="s">
        <v>1272</v>
      </c>
      <c r="D463" s="283" t="s">
        <v>664</v>
      </c>
      <c r="E463" s="283" t="s">
        <v>250</v>
      </c>
      <c r="F463" s="283" t="s">
        <v>184</v>
      </c>
      <c r="G463" s="283">
        <v>27</v>
      </c>
      <c r="H463" s="283">
        <v>5307</v>
      </c>
      <c r="I463" s="286">
        <f>(G463+IF('Scenario Analysis'!$N$23=1,0,0.5))*H463</f>
        <v>145942.5</v>
      </c>
      <c r="K463" s="283" t="s">
        <v>1271</v>
      </c>
      <c r="L463" s="283" t="s">
        <v>669</v>
      </c>
      <c r="M463" s="283" t="s">
        <v>249</v>
      </c>
      <c r="N463" s="283" t="s">
        <v>252</v>
      </c>
      <c r="O463" s="283">
        <v>118</v>
      </c>
      <c r="P463" s="283">
        <v>409</v>
      </c>
      <c r="Q463" s="287">
        <f>(O463+IF('Scenario Analysis'!$N$23=1,0,0.5))*P463</f>
        <v>48466.5</v>
      </c>
    </row>
    <row r="464" spans="3:17" x14ac:dyDescent="0.25">
      <c r="C464" s="300" t="s">
        <v>1272</v>
      </c>
      <c r="D464" s="283" t="s">
        <v>664</v>
      </c>
      <c r="E464" s="283" t="s">
        <v>250</v>
      </c>
      <c r="F464" s="283" t="s">
        <v>184</v>
      </c>
      <c r="G464" s="283">
        <v>28</v>
      </c>
      <c r="H464" s="283">
        <v>40665</v>
      </c>
      <c r="I464" s="286">
        <f>(G464+IF('Scenario Analysis'!$N$23=1,0,0.5))*H464</f>
        <v>1158952.5</v>
      </c>
      <c r="K464" s="283" t="s">
        <v>1271</v>
      </c>
      <c r="L464" s="283" t="s">
        <v>669</v>
      </c>
      <c r="M464" s="283" t="s">
        <v>249</v>
      </c>
      <c r="N464" s="283" t="s">
        <v>252</v>
      </c>
      <c r="O464" s="283">
        <v>119</v>
      </c>
      <c r="P464" s="283">
        <v>14808</v>
      </c>
      <c r="Q464" s="287">
        <f>(O464+IF('Scenario Analysis'!$N$23=1,0,0.5))*P464</f>
        <v>1769556</v>
      </c>
    </row>
    <row r="465" spans="3:17" x14ac:dyDescent="0.25">
      <c r="C465" s="300" t="s">
        <v>1272</v>
      </c>
      <c r="D465" s="283" t="s">
        <v>664</v>
      </c>
      <c r="E465" s="283" t="s">
        <v>250</v>
      </c>
      <c r="F465" s="283" t="s">
        <v>184</v>
      </c>
      <c r="G465" s="283">
        <v>29</v>
      </c>
      <c r="H465" s="283">
        <v>86</v>
      </c>
      <c r="I465" s="286">
        <f>(G465+IF('Scenario Analysis'!$N$23=1,0,0.5))*H465</f>
        <v>2537</v>
      </c>
      <c r="K465" s="283" t="s">
        <v>1271</v>
      </c>
      <c r="L465" s="283" t="s">
        <v>669</v>
      </c>
      <c r="M465" s="283" t="s">
        <v>249</v>
      </c>
      <c r="N465" s="283" t="s">
        <v>252</v>
      </c>
      <c r="O465" s="283">
        <v>120</v>
      </c>
      <c r="P465" s="283">
        <v>7820</v>
      </c>
      <c r="Q465" s="287">
        <f>(O465+IF('Scenario Analysis'!$N$23=1,0,0.5))*P465</f>
        <v>942310</v>
      </c>
    </row>
    <row r="466" spans="3:17" x14ac:dyDescent="0.25">
      <c r="C466" s="300" t="s">
        <v>1272</v>
      </c>
      <c r="D466" s="283" t="s">
        <v>664</v>
      </c>
      <c r="E466" s="283" t="s">
        <v>250</v>
      </c>
      <c r="F466" s="283" t="s">
        <v>184</v>
      </c>
      <c r="G466" s="283">
        <v>30</v>
      </c>
      <c r="H466" s="283">
        <v>40</v>
      </c>
      <c r="I466" s="286">
        <f>(G466+IF('Scenario Analysis'!$N$23=1,0,0.5))*H466</f>
        <v>1220</v>
      </c>
      <c r="K466" s="283" t="s">
        <v>1271</v>
      </c>
      <c r="L466" s="283" t="s">
        <v>669</v>
      </c>
      <c r="M466" s="283" t="s">
        <v>249</v>
      </c>
      <c r="N466" s="283" t="s">
        <v>252</v>
      </c>
      <c r="O466" s="283">
        <v>121</v>
      </c>
      <c r="P466" s="283">
        <v>9081</v>
      </c>
      <c r="Q466" s="287">
        <f>(O466+IF('Scenario Analysis'!$N$23=1,0,0.5))*P466</f>
        <v>1103341.5</v>
      </c>
    </row>
    <row r="467" spans="3:17" x14ac:dyDescent="0.25">
      <c r="C467" s="300" t="s">
        <v>1272</v>
      </c>
      <c r="D467" s="283" t="s">
        <v>664</v>
      </c>
      <c r="E467" s="283" t="s">
        <v>250</v>
      </c>
      <c r="F467" s="283" t="s">
        <v>184</v>
      </c>
      <c r="G467" s="283">
        <v>31</v>
      </c>
      <c r="H467" s="283">
        <v>60</v>
      </c>
      <c r="I467" s="286">
        <f>(G467+IF('Scenario Analysis'!$N$23=1,0,0.5))*H467</f>
        <v>1890</v>
      </c>
      <c r="K467" s="283" t="s">
        <v>1271</v>
      </c>
      <c r="L467" s="283" t="s">
        <v>669</v>
      </c>
      <c r="M467" s="283" t="s">
        <v>249</v>
      </c>
      <c r="N467" s="283" t="s">
        <v>252</v>
      </c>
      <c r="O467" s="283">
        <v>122</v>
      </c>
      <c r="P467" s="283">
        <v>3014</v>
      </c>
      <c r="Q467" s="287">
        <f>(O467+IF('Scenario Analysis'!$N$23=1,0,0.5))*P467</f>
        <v>369215</v>
      </c>
    </row>
    <row r="468" spans="3:17" x14ac:dyDescent="0.25">
      <c r="C468" s="300" t="s">
        <v>1272</v>
      </c>
      <c r="D468" s="283" t="s">
        <v>664</v>
      </c>
      <c r="E468" s="283" t="s">
        <v>250</v>
      </c>
      <c r="F468" s="283" t="s">
        <v>184</v>
      </c>
      <c r="G468" s="283">
        <v>32</v>
      </c>
      <c r="H468" s="283">
        <v>679</v>
      </c>
      <c r="I468" s="286">
        <f>(G468+IF('Scenario Analysis'!$N$23=1,0,0.5))*H468</f>
        <v>22067.5</v>
      </c>
      <c r="K468" s="283" t="s">
        <v>1271</v>
      </c>
      <c r="L468" s="283" t="s">
        <v>669</v>
      </c>
      <c r="M468" s="283" t="s">
        <v>249</v>
      </c>
      <c r="N468" s="283" t="s">
        <v>252</v>
      </c>
      <c r="O468" s="283">
        <v>123</v>
      </c>
      <c r="P468" s="283">
        <v>403</v>
      </c>
      <c r="Q468" s="287">
        <f>(O468+IF('Scenario Analysis'!$N$23=1,0,0.5))*P468</f>
        <v>49770.5</v>
      </c>
    </row>
    <row r="469" spans="3:17" x14ac:dyDescent="0.25">
      <c r="C469" s="300" t="s">
        <v>1272</v>
      </c>
      <c r="D469" s="283" t="s">
        <v>664</v>
      </c>
      <c r="E469" s="283" t="s">
        <v>250</v>
      </c>
      <c r="F469" s="283" t="s">
        <v>184</v>
      </c>
      <c r="G469" s="283">
        <v>33</v>
      </c>
      <c r="H469" s="283">
        <v>300</v>
      </c>
      <c r="I469" s="286">
        <f>(G469+IF('Scenario Analysis'!$N$23=1,0,0.5))*H469</f>
        <v>10050</v>
      </c>
      <c r="K469" s="283" t="s">
        <v>1271</v>
      </c>
      <c r="L469" s="283" t="s">
        <v>669</v>
      </c>
      <c r="M469" s="283" t="s">
        <v>249</v>
      </c>
      <c r="N469" s="283" t="s">
        <v>252</v>
      </c>
      <c r="O469" s="283">
        <v>124</v>
      </c>
      <c r="P469" s="283">
        <v>416</v>
      </c>
      <c r="Q469" s="287">
        <f>(O469+IF('Scenario Analysis'!$N$23=1,0,0.5))*P469</f>
        <v>51792</v>
      </c>
    </row>
    <row r="470" spans="3:17" x14ac:dyDescent="0.25">
      <c r="C470" s="300" t="s">
        <v>1272</v>
      </c>
      <c r="D470" s="283" t="s">
        <v>664</v>
      </c>
      <c r="E470" s="283" t="s">
        <v>250</v>
      </c>
      <c r="F470" s="283" t="s">
        <v>184</v>
      </c>
      <c r="G470" s="283">
        <v>34</v>
      </c>
      <c r="H470" s="283">
        <v>872</v>
      </c>
      <c r="I470" s="286">
        <f>(G470+IF('Scenario Analysis'!$N$23=1,0,0.5))*H470</f>
        <v>30084</v>
      </c>
      <c r="K470" s="283" t="s">
        <v>1271</v>
      </c>
      <c r="L470" s="283" t="s">
        <v>669</v>
      </c>
      <c r="M470" s="283" t="s">
        <v>249</v>
      </c>
      <c r="N470" s="283" t="s">
        <v>252</v>
      </c>
      <c r="O470" s="283">
        <v>125</v>
      </c>
      <c r="P470" s="283">
        <v>840</v>
      </c>
      <c r="Q470" s="287">
        <f>(O470+IF('Scenario Analysis'!$N$23=1,0,0.5))*P470</f>
        <v>105420</v>
      </c>
    </row>
    <row r="471" spans="3:17" x14ac:dyDescent="0.25">
      <c r="C471" s="300" t="s">
        <v>1272</v>
      </c>
      <c r="D471" s="283" t="s">
        <v>664</v>
      </c>
      <c r="E471" s="283" t="s">
        <v>250</v>
      </c>
      <c r="F471" s="283" t="s">
        <v>184</v>
      </c>
      <c r="G471" s="283">
        <v>35</v>
      </c>
      <c r="H471" s="283">
        <v>78</v>
      </c>
      <c r="I471" s="286">
        <f>(G471+IF('Scenario Analysis'!$N$23=1,0,0.5))*H471</f>
        <v>2769</v>
      </c>
      <c r="K471" s="283" t="s">
        <v>1271</v>
      </c>
      <c r="L471" s="283" t="s">
        <v>669</v>
      </c>
      <c r="M471" s="283" t="s">
        <v>249</v>
      </c>
      <c r="N471" s="283" t="s">
        <v>252</v>
      </c>
      <c r="O471" s="283">
        <v>126</v>
      </c>
      <c r="P471" s="283">
        <v>4214</v>
      </c>
      <c r="Q471" s="287">
        <f>(O471+IF('Scenario Analysis'!$N$23=1,0,0.5))*P471</f>
        <v>533071</v>
      </c>
    </row>
    <row r="472" spans="3:17" x14ac:dyDescent="0.25">
      <c r="C472" s="300" t="s">
        <v>1272</v>
      </c>
      <c r="D472" s="283" t="s">
        <v>664</v>
      </c>
      <c r="E472" s="283" t="s">
        <v>250</v>
      </c>
      <c r="F472" s="283" t="s">
        <v>184</v>
      </c>
      <c r="G472" s="283">
        <v>36</v>
      </c>
      <c r="H472" s="283">
        <v>180</v>
      </c>
      <c r="I472" s="286">
        <f>(G472+IF('Scenario Analysis'!$N$23=1,0,0.5))*H472</f>
        <v>6570</v>
      </c>
      <c r="K472" s="283" t="s">
        <v>1271</v>
      </c>
      <c r="L472" s="283" t="s">
        <v>669</v>
      </c>
      <c r="M472" s="283" t="s">
        <v>249</v>
      </c>
      <c r="N472" s="283" t="s">
        <v>252</v>
      </c>
      <c r="O472" s="283">
        <v>127</v>
      </c>
      <c r="P472" s="283">
        <v>960</v>
      </c>
      <c r="Q472" s="287">
        <f>(O472+IF('Scenario Analysis'!$N$23=1,0,0.5))*P472</f>
        <v>122400</v>
      </c>
    </row>
    <row r="473" spans="3:17" x14ac:dyDescent="0.25">
      <c r="C473" s="300" t="s">
        <v>1272</v>
      </c>
      <c r="D473" s="283" t="s">
        <v>664</v>
      </c>
      <c r="E473" s="283" t="s">
        <v>250</v>
      </c>
      <c r="F473" s="283" t="s">
        <v>184</v>
      </c>
      <c r="G473" s="283">
        <v>37</v>
      </c>
      <c r="H473" s="283">
        <v>161</v>
      </c>
      <c r="I473" s="286">
        <f>(G473+IF('Scenario Analysis'!$N$23=1,0,0.5))*H473</f>
        <v>6037.5</v>
      </c>
      <c r="K473" s="283" t="s">
        <v>1271</v>
      </c>
      <c r="L473" s="283" t="s">
        <v>669</v>
      </c>
      <c r="M473" s="283" t="s">
        <v>249</v>
      </c>
      <c r="N473" s="283" t="s">
        <v>252</v>
      </c>
      <c r="O473" s="283">
        <v>128</v>
      </c>
      <c r="P473" s="283">
        <v>1735</v>
      </c>
      <c r="Q473" s="287">
        <f>(O473+IF('Scenario Analysis'!$N$23=1,0,0.5))*P473</f>
        <v>222947.5</v>
      </c>
    </row>
    <row r="474" spans="3:17" x14ac:dyDescent="0.25">
      <c r="C474" s="300" t="s">
        <v>1272</v>
      </c>
      <c r="D474" s="283" t="s">
        <v>664</v>
      </c>
      <c r="E474" s="283" t="s">
        <v>250</v>
      </c>
      <c r="F474" s="283" t="s">
        <v>184</v>
      </c>
      <c r="G474" s="283">
        <v>38</v>
      </c>
      <c r="H474" s="283">
        <v>465</v>
      </c>
      <c r="I474" s="286">
        <f>(G474+IF('Scenario Analysis'!$N$23=1,0,0.5))*H474</f>
        <v>17902.5</v>
      </c>
      <c r="K474" s="283" t="s">
        <v>1271</v>
      </c>
      <c r="L474" s="283" t="s">
        <v>669</v>
      </c>
      <c r="M474" s="283" t="s">
        <v>249</v>
      </c>
      <c r="N474" s="283" t="s">
        <v>252</v>
      </c>
      <c r="O474" s="283">
        <v>129</v>
      </c>
      <c r="P474" s="283">
        <v>10341</v>
      </c>
      <c r="Q474" s="287">
        <f>(O474+IF('Scenario Analysis'!$N$23=1,0,0.5))*P474</f>
        <v>1339159.5</v>
      </c>
    </row>
    <row r="475" spans="3:17" x14ac:dyDescent="0.25">
      <c r="C475" s="300" t="s">
        <v>1272</v>
      </c>
      <c r="D475" s="283" t="s">
        <v>664</v>
      </c>
      <c r="E475" s="283" t="s">
        <v>250</v>
      </c>
      <c r="F475" s="283" t="s">
        <v>184</v>
      </c>
      <c r="G475" s="283">
        <v>39</v>
      </c>
      <c r="H475" s="283">
        <v>635</v>
      </c>
      <c r="I475" s="286">
        <f>(G475+IF('Scenario Analysis'!$N$23=1,0,0.5))*H475</f>
        <v>25082.5</v>
      </c>
      <c r="K475" s="283" t="s">
        <v>1271</v>
      </c>
      <c r="L475" s="283" t="s">
        <v>669</v>
      </c>
      <c r="M475" s="283" t="s">
        <v>249</v>
      </c>
      <c r="N475" s="283" t="s">
        <v>252</v>
      </c>
      <c r="O475" s="283">
        <v>130</v>
      </c>
      <c r="P475" s="283">
        <v>9409</v>
      </c>
      <c r="Q475" s="287">
        <f>(O475+IF('Scenario Analysis'!$N$23=1,0,0.5))*P475</f>
        <v>1227874.5</v>
      </c>
    </row>
    <row r="476" spans="3:17" x14ac:dyDescent="0.25">
      <c r="C476" s="300" t="s">
        <v>1272</v>
      </c>
      <c r="D476" s="283" t="s">
        <v>664</v>
      </c>
      <c r="E476" s="283" t="s">
        <v>250</v>
      </c>
      <c r="F476" s="283" t="s">
        <v>184</v>
      </c>
      <c r="G476" s="283">
        <v>40</v>
      </c>
      <c r="H476" s="283">
        <v>1090</v>
      </c>
      <c r="I476" s="286">
        <f>(G476+IF('Scenario Analysis'!$N$23=1,0,0.5))*H476</f>
        <v>44145</v>
      </c>
      <c r="K476" s="283" t="s">
        <v>1271</v>
      </c>
      <c r="L476" s="283" t="s">
        <v>669</v>
      </c>
      <c r="M476" s="283" t="s">
        <v>249</v>
      </c>
      <c r="N476" s="283" t="s">
        <v>252</v>
      </c>
      <c r="O476" s="283">
        <v>131</v>
      </c>
      <c r="P476" s="283">
        <v>15229</v>
      </c>
      <c r="Q476" s="287">
        <f>(O476+IF('Scenario Analysis'!$N$23=1,0,0.5))*P476</f>
        <v>2002613.5</v>
      </c>
    </row>
    <row r="477" spans="3:17" x14ac:dyDescent="0.25">
      <c r="C477" s="300" t="s">
        <v>1272</v>
      </c>
      <c r="D477" s="283" t="s">
        <v>664</v>
      </c>
      <c r="E477" s="283" t="s">
        <v>250</v>
      </c>
      <c r="F477" s="283" t="s">
        <v>184</v>
      </c>
      <c r="G477" s="283">
        <v>41</v>
      </c>
      <c r="H477" s="283">
        <v>111</v>
      </c>
      <c r="I477" s="286">
        <f>(G477+IF('Scenario Analysis'!$N$23=1,0,0.5))*H477</f>
        <v>4606.5</v>
      </c>
      <c r="K477" s="283" t="s">
        <v>1271</v>
      </c>
      <c r="L477" s="283" t="s">
        <v>669</v>
      </c>
      <c r="M477" s="283" t="s">
        <v>249</v>
      </c>
      <c r="N477" s="283" t="s">
        <v>252</v>
      </c>
      <c r="O477" s="283">
        <v>132</v>
      </c>
      <c r="P477" s="283">
        <v>2751</v>
      </c>
      <c r="Q477" s="287">
        <f>(O477+IF('Scenario Analysis'!$N$23=1,0,0.5))*P477</f>
        <v>364507.5</v>
      </c>
    </row>
    <row r="478" spans="3:17" x14ac:dyDescent="0.25">
      <c r="C478" s="300" t="s">
        <v>1272</v>
      </c>
      <c r="D478" s="283" t="s">
        <v>664</v>
      </c>
      <c r="E478" s="283" t="s">
        <v>250</v>
      </c>
      <c r="F478" s="283" t="s">
        <v>184</v>
      </c>
      <c r="G478" s="283">
        <v>42</v>
      </c>
      <c r="H478" s="283">
        <v>417</v>
      </c>
      <c r="I478" s="286">
        <f>(G478+IF('Scenario Analysis'!$N$23=1,0,0.5))*H478</f>
        <v>17722.5</v>
      </c>
      <c r="K478" s="283" t="s">
        <v>1271</v>
      </c>
      <c r="L478" s="283" t="s">
        <v>669</v>
      </c>
      <c r="M478" s="283" t="s">
        <v>249</v>
      </c>
      <c r="N478" s="283" t="s">
        <v>252</v>
      </c>
      <c r="O478" s="283">
        <v>133</v>
      </c>
      <c r="P478" s="283">
        <v>474</v>
      </c>
      <c r="Q478" s="287">
        <f>(O478+IF('Scenario Analysis'!$N$23=1,0,0.5))*P478</f>
        <v>63279</v>
      </c>
    </row>
    <row r="479" spans="3:17" x14ac:dyDescent="0.25">
      <c r="C479" s="300" t="s">
        <v>1272</v>
      </c>
      <c r="D479" s="283" t="s">
        <v>664</v>
      </c>
      <c r="E479" s="283" t="s">
        <v>250</v>
      </c>
      <c r="F479" s="283" t="s">
        <v>184</v>
      </c>
      <c r="G479" s="283">
        <v>43</v>
      </c>
      <c r="H479" s="283">
        <v>257</v>
      </c>
      <c r="I479" s="286">
        <f>(G479+IF('Scenario Analysis'!$N$23=1,0,0.5))*H479</f>
        <v>11179.5</v>
      </c>
      <c r="K479" s="283" t="s">
        <v>1271</v>
      </c>
      <c r="L479" s="283" t="s">
        <v>669</v>
      </c>
      <c r="M479" s="283" t="s">
        <v>249</v>
      </c>
      <c r="N479" s="283" t="s">
        <v>252</v>
      </c>
      <c r="O479" s="283">
        <v>134</v>
      </c>
      <c r="P479" s="283">
        <v>14161</v>
      </c>
      <c r="Q479" s="287">
        <f>(O479+IF('Scenario Analysis'!$N$23=1,0,0.5))*P479</f>
        <v>1904654.5</v>
      </c>
    </row>
    <row r="480" spans="3:17" x14ac:dyDescent="0.25">
      <c r="C480" s="300" t="s">
        <v>1272</v>
      </c>
      <c r="D480" s="283" t="s">
        <v>664</v>
      </c>
      <c r="E480" s="283" t="s">
        <v>250</v>
      </c>
      <c r="F480" s="283" t="s">
        <v>184</v>
      </c>
      <c r="G480" s="283">
        <v>44</v>
      </c>
      <c r="H480" s="283">
        <v>170</v>
      </c>
      <c r="I480" s="286">
        <f>(G480+IF('Scenario Analysis'!$N$23=1,0,0.5))*H480</f>
        <v>7565</v>
      </c>
      <c r="K480" s="283" t="s">
        <v>1271</v>
      </c>
      <c r="L480" s="283" t="s">
        <v>669</v>
      </c>
      <c r="M480" s="283" t="s">
        <v>249</v>
      </c>
      <c r="N480" s="283" t="s">
        <v>252</v>
      </c>
      <c r="O480" s="283">
        <v>135</v>
      </c>
      <c r="P480" s="283">
        <v>605</v>
      </c>
      <c r="Q480" s="287">
        <f>(O480+IF('Scenario Analysis'!$N$23=1,0,0.5))*P480</f>
        <v>81977.5</v>
      </c>
    </row>
    <row r="481" spans="3:17" x14ac:dyDescent="0.25">
      <c r="C481" s="300" t="s">
        <v>1272</v>
      </c>
      <c r="D481" s="283" t="s">
        <v>664</v>
      </c>
      <c r="E481" s="283" t="s">
        <v>250</v>
      </c>
      <c r="F481" s="283" t="s">
        <v>184</v>
      </c>
      <c r="G481" s="283">
        <v>45</v>
      </c>
      <c r="H481" s="283">
        <v>110</v>
      </c>
      <c r="I481" s="286">
        <f>(G481+IF('Scenario Analysis'!$N$23=1,0,0.5))*H481</f>
        <v>5005</v>
      </c>
      <c r="K481" s="283" t="s">
        <v>1271</v>
      </c>
      <c r="L481" s="283" t="s">
        <v>669</v>
      </c>
      <c r="M481" s="283" t="s">
        <v>249</v>
      </c>
      <c r="N481" s="283" t="s">
        <v>252</v>
      </c>
      <c r="O481" s="283">
        <v>136</v>
      </c>
      <c r="P481" s="283">
        <v>238</v>
      </c>
      <c r="Q481" s="287">
        <f>(O481+IF('Scenario Analysis'!$N$23=1,0,0.5))*P481</f>
        <v>32487</v>
      </c>
    </row>
    <row r="482" spans="3:17" x14ac:dyDescent="0.25">
      <c r="C482" s="300" t="s">
        <v>1272</v>
      </c>
      <c r="D482" s="283" t="s">
        <v>664</v>
      </c>
      <c r="E482" s="283" t="s">
        <v>250</v>
      </c>
      <c r="F482" s="283" t="s">
        <v>184</v>
      </c>
      <c r="G482" s="283">
        <v>46</v>
      </c>
      <c r="H482" s="283">
        <v>1</v>
      </c>
      <c r="I482" s="286">
        <f>(G482+IF('Scenario Analysis'!$N$23=1,0,0.5))*H482</f>
        <v>46.5</v>
      </c>
      <c r="K482" s="283" t="s">
        <v>1271</v>
      </c>
      <c r="L482" s="283" t="s">
        <v>669</v>
      </c>
      <c r="M482" s="283" t="s">
        <v>249</v>
      </c>
      <c r="N482" s="283" t="s">
        <v>252</v>
      </c>
      <c r="O482" s="283">
        <v>137</v>
      </c>
      <c r="P482" s="283">
        <v>611</v>
      </c>
      <c r="Q482" s="287">
        <f>(O482+IF('Scenario Analysis'!$N$23=1,0,0.5))*P482</f>
        <v>84012.5</v>
      </c>
    </row>
    <row r="483" spans="3:17" x14ac:dyDescent="0.25">
      <c r="C483" s="300" t="s">
        <v>1272</v>
      </c>
      <c r="D483" s="283" t="s">
        <v>666</v>
      </c>
      <c r="E483" s="283" t="s">
        <v>250</v>
      </c>
      <c r="F483" s="283" t="s">
        <v>185</v>
      </c>
      <c r="G483" s="283">
        <v>0</v>
      </c>
      <c r="H483" s="283">
        <v>71099</v>
      </c>
      <c r="I483" s="286">
        <f>(G483+IF('Scenario Analysis'!$N$23=1,0,0.5))*H483</f>
        <v>35549.5</v>
      </c>
      <c r="K483" s="283" t="s">
        <v>1271</v>
      </c>
      <c r="L483" s="283" t="s">
        <v>669</v>
      </c>
      <c r="M483" s="283" t="s">
        <v>249</v>
      </c>
      <c r="N483" s="283" t="s">
        <v>252</v>
      </c>
      <c r="O483" s="283">
        <v>138</v>
      </c>
      <c r="P483" s="283">
        <v>2046</v>
      </c>
      <c r="Q483" s="287">
        <f>(O483+IF('Scenario Analysis'!$N$23=1,0,0.5))*P483</f>
        <v>283371</v>
      </c>
    </row>
    <row r="484" spans="3:17" x14ac:dyDescent="0.25">
      <c r="C484" s="300" t="s">
        <v>1272</v>
      </c>
      <c r="D484" s="283" t="s">
        <v>666</v>
      </c>
      <c r="E484" s="283" t="s">
        <v>250</v>
      </c>
      <c r="F484" s="283" t="s">
        <v>185</v>
      </c>
      <c r="G484" s="283">
        <v>1</v>
      </c>
      <c r="H484" s="283">
        <v>327941</v>
      </c>
      <c r="I484" s="286">
        <f>(G484+IF('Scenario Analysis'!$N$23=1,0,0.5))*H484</f>
        <v>491911.5</v>
      </c>
      <c r="K484" s="283" t="s">
        <v>1271</v>
      </c>
      <c r="L484" s="283" t="s">
        <v>669</v>
      </c>
      <c r="M484" s="283" t="s">
        <v>249</v>
      </c>
      <c r="N484" s="283" t="s">
        <v>252</v>
      </c>
      <c r="O484" s="283">
        <v>139</v>
      </c>
      <c r="P484" s="283">
        <v>5499</v>
      </c>
      <c r="Q484" s="287">
        <f>(O484+IF('Scenario Analysis'!$N$23=1,0,0.5))*P484</f>
        <v>767110.5</v>
      </c>
    </row>
    <row r="485" spans="3:17" x14ac:dyDescent="0.25">
      <c r="C485" s="300" t="s">
        <v>1272</v>
      </c>
      <c r="D485" s="283" t="s">
        <v>666</v>
      </c>
      <c r="E485" s="283" t="s">
        <v>250</v>
      </c>
      <c r="F485" s="283" t="s">
        <v>185</v>
      </c>
      <c r="G485" s="283">
        <v>2</v>
      </c>
      <c r="H485" s="283">
        <v>74400</v>
      </c>
      <c r="I485" s="286">
        <f>(G485+IF('Scenario Analysis'!$N$23=1,0,0.5))*H485</f>
        <v>186000</v>
      </c>
      <c r="K485" s="283" t="s">
        <v>1271</v>
      </c>
      <c r="L485" s="283" t="s">
        <v>669</v>
      </c>
      <c r="M485" s="283" t="s">
        <v>249</v>
      </c>
      <c r="N485" s="283" t="s">
        <v>252</v>
      </c>
      <c r="O485" s="283">
        <v>140</v>
      </c>
      <c r="P485" s="283">
        <v>1883</v>
      </c>
      <c r="Q485" s="287">
        <f>(O485+IF('Scenario Analysis'!$N$23=1,0,0.5))*P485</f>
        <v>264561.5</v>
      </c>
    </row>
    <row r="486" spans="3:17" x14ac:dyDescent="0.25">
      <c r="C486" s="300" t="s">
        <v>1272</v>
      </c>
      <c r="D486" s="283" t="s">
        <v>666</v>
      </c>
      <c r="E486" s="283" t="s">
        <v>250</v>
      </c>
      <c r="F486" s="283" t="s">
        <v>185</v>
      </c>
      <c r="G486" s="283">
        <v>3</v>
      </c>
      <c r="H486" s="283">
        <v>175751</v>
      </c>
      <c r="I486" s="286">
        <f>(G486+IF('Scenario Analysis'!$N$23=1,0,0.5))*H486</f>
        <v>615128.5</v>
      </c>
      <c r="K486" s="283" t="s">
        <v>1271</v>
      </c>
      <c r="L486" s="283" t="s">
        <v>669</v>
      </c>
      <c r="M486" s="283" t="s">
        <v>249</v>
      </c>
      <c r="N486" s="283" t="s">
        <v>252</v>
      </c>
      <c r="O486" s="283">
        <v>141</v>
      </c>
      <c r="P486" s="283">
        <v>2207</v>
      </c>
      <c r="Q486" s="287">
        <f>(O486+IF('Scenario Analysis'!$N$23=1,0,0.5))*P486</f>
        <v>312290.5</v>
      </c>
    </row>
    <row r="487" spans="3:17" x14ac:dyDescent="0.25">
      <c r="C487" s="300" t="s">
        <v>1272</v>
      </c>
      <c r="D487" s="283" t="s">
        <v>666</v>
      </c>
      <c r="E487" s="283" t="s">
        <v>250</v>
      </c>
      <c r="F487" s="283" t="s">
        <v>185</v>
      </c>
      <c r="G487" s="283">
        <v>4</v>
      </c>
      <c r="H487" s="283">
        <v>60777</v>
      </c>
      <c r="I487" s="286">
        <f>(G487+IF('Scenario Analysis'!$N$23=1,0,0.5))*H487</f>
        <v>273496.5</v>
      </c>
      <c r="K487" s="283" t="s">
        <v>1271</v>
      </c>
      <c r="L487" s="283" t="s">
        <v>669</v>
      </c>
      <c r="M487" s="283" t="s">
        <v>249</v>
      </c>
      <c r="N487" s="283" t="s">
        <v>252</v>
      </c>
      <c r="O487" s="283">
        <v>142</v>
      </c>
      <c r="P487" s="283">
        <v>6457</v>
      </c>
      <c r="Q487" s="287">
        <f>(O487+IF('Scenario Analysis'!$N$23=1,0,0.5))*P487</f>
        <v>920122.5</v>
      </c>
    </row>
    <row r="488" spans="3:17" x14ac:dyDescent="0.25">
      <c r="C488" s="300" t="s">
        <v>1272</v>
      </c>
      <c r="D488" s="283" t="s">
        <v>666</v>
      </c>
      <c r="E488" s="283" t="s">
        <v>250</v>
      </c>
      <c r="F488" s="283" t="s">
        <v>185</v>
      </c>
      <c r="G488" s="283">
        <v>5</v>
      </c>
      <c r="H488" s="283">
        <v>12339</v>
      </c>
      <c r="I488" s="286">
        <f>(G488+IF('Scenario Analysis'!$N$23=1,0,0.5))*H488</f>
        <v>67864.5</v>
      </c>
      <c r="K488" s="283" t="s">
        <v>1271</v>
      </c>
      <c r="L488" s="283" t="s">
        <v>669</v>
      </c>
      <c r="M488" s="283" t="s">
        <v>249</v>
      </c>
      <c r="N488" s="283" t="s">
        <v>252</v>
      </c>
      <c r="O488" s="283">
        <v>143</v>
      </c>
      <c r="P488" s="283">
        <v>17051</v>
      </c>
      <c r="Q488" s="287">
        <f>(O488+IF('Scenario Analysis'!$N$23=1,0,0.5))*P488</f>
        <v>2446818.5</v>
      </c>
    </row>
    <row r="489" spans="3:17" x14ac:dyDescent="0.25">
      <c r="C489" s="300" t="s">
        <v>1272</v>
      </c>
      <c r="D489" s="283" t="s">
        <v>666</v>
      </c>
      <c r="E489" s="283" t="s">
        <v>250</v>
      </c>
      <c r="F489" s="283" t="s">
        <v>185</v>
      </c>
      <c r="G489" s="283">
        <v>6</v>
      </c>
      <c r="H489" s="283">
        <v>103606</v>
      </c>
      <c r="I489" s="286">
        <f>(G489+IF('Scenario Analysis'!$N$23=1,0,0.5))*H489</f>
        <v>673439</v>
      </c>
      <c r="K489" s="283" t="s">
        <v>1271</v>
      </c>
      <c r="L489" s="283" t="s">
        <v>669</v>
      </c>
      <c r="M489" s="283" t="s">
        <v>249</v>
      </c>
      <c r="N489" s="283" t="s">
        <v>252</v>
      </c>
      <c r="O489" s="283">
        <v>144</v>
      </c>
      <c r="P489" s="283">
        <v>2125</v>
      </c>
      <c r="Q489" s="287">
        <f>(O489+IF('Scenario Analysis'!$N$23=1,0,0.5))*P489</f>
        <v>307062.5</v>
      </c>
    </row>
    <row r="490" spans="3:17" x14ac:dyDescent="0.25">
      <c r="C490" s="300" t="s">
        <v>1272</v>
      </c>
      <c r="D490" s="283" t="s">
        <v>666</v>
      </c>
      <c r="E490" s="283" t="s">
        <v>250</v>
      </c>
      <c r="F490" s="283" t="s">
        <v>185</v>
      </c>
      <c r="G490" s="283">
        <v>7</v>
      </c>
      <c r="H490" s="283">
        <v>12589</v>
      </c>
      <c r="I490" s="286">
        <f>(G490+IF('Scenario Analysis'!$N$23=1,0,0.5))*H490</f>
        <v>94417.5</v>
      </c>
      <c r="K490" s="283" t="s">
        <v>1271</v>
      </c>
      <c r="L490" s="283" t="s">
        <v>669</v>
      </c>
      <c r="M490" s="283" t="s">
        <v>249</v>
      </c>
      <c r="N490" s="283" t="s">
        <v>252</v>
      </c>
      <c r="O490" s="283">
        <v>145</v>
      </c>
      <c r="P490" s="283">
        <v>2198</v>
      </c>
      <c r="Q490" s="287">
        <f>(O490+IF('Scenario Analysis'!$N$23=1,0,0.5))*P490</f>
        <v>319809</v>
      </c>
    </row>
    <row r="491" spans="3:17" x14ac:dyDescent="0.25">
      <c r="C491" s="300" t="s">
        <v>1272</v>
      </c>
      <c r="D491" s="283" t="s">
        <v>666</v>
      </c>
      <c r="E491" s="283" t="s">
        <v>250</v>
      </c>
      <c r="F491" s="283" t="s">
        <v>185</v>
      </c>
      <c r="G491" s="283">
        <v>8</v>
      </c>
      <c r="H491" s="283">
        <v>15569</v>
      </c>
      <c r="I491" s="286">
        <f>(G491+IF('Scenario Analysis'!$N$23=1,0,0.5))*H491</f>
        <v>132336.5</v>
      </c>
      <c r="K491" s="283" t="s">
        <v>1271</v>
      </c>
      <c r="L491" s="283" t="s">
        <v>669</v>
      </c>
      <c r="M491" s="283" t="s">
        <v>249</v>
      </c>
      <c r="N491" s="283" t="s">
        <v>252</v>
      </c>
      <c r="O491" s="283">
        <v>146</v>
      </c>
      <c r="P491" s="283">
        <v>220</v>
      </c>
      <c r="Q491" s="287">
        <f>(O491+IF('Scenario Analysis'!$N$23=1,0,0.5))*P491</f>
        <v>32230</v>
      </c>
    </row>
    <row r="492" spans="3:17" x14ac:dyDescent="0.25">
      <c r="C492" s="300" t="s">
        <v>1272</v>
      </c>
      <c r="D492" s="283" t="s">
        <v>666</v>
      </c>
      <c r="E492" s="283" t="s">
        <v>250</v>
      </c>
      <c r="F492" s="283" t="s">
        <v>185</v>
      </c>
      <c r="G492" s="283">
        <v>9</v>
      </c>
      <c r="H492" s="283">
        <v>520496</v>
      </c>
      <c r="I492" s="286">
        <f>(G492+IF('Scenario Analysis'!$N$23=1,0,0.5))*H492</f>
        <v>4944712</v>
      </c>
      <c r="K492" s="283" t="s">
        <v>1271</v>
      </c>
      <c r="L492" s="283" t="s">
        <v>669</v>
      </c>
      <c r="M492" s="283" t="s">
        <v>249</v>
      </c>
      <c r="N492" s="283" t="s">
        <v>252</v>
      </c>
      <c r="O492" s="283">
        <v>147</v>
      </c>
      <c r="P492" s="283">
        <v>42857</v>
      </c>
      <c r="Q492" s="287">
        <f>(O492+IF('Scenario Analysis'!$N$23=1,0,0.5))*P492</f>
        <v>6321407.5</v>
      </c>
    </row>
    <row r="493" spans="3:17" x14ac:dyDescent="0.25">
      <c r="C493" s="300" t="s">
        <v>1272</v>
      </c>
      <c r="D493" s="283" t="s">
        <v>666</v>
      </c>
      <c r="E493" s="283" t="s">
        <v>250</v>
      </c>
      <c r="F493" s="283" t="s">
        <v>185</v>
      </c>
      <c r="G493" s="283">
        <v>10</v>
      </c>
      <c r="H493" s="283">
        <v>3851</v>
      </c>
      <c r="I493" s="286">
        <f>(G493+IF('Scenario Analysis'!$N$23=1,0,0.5))*H493</f>
        <v>40435.5</v>
      </c>
      <c r="K493" s="283" t="s">
        <v>1271</v>
      </c>
      <c r="L493" s="283" t="s">
        <v>669</v>
      </c>
      <c r="M493" s="283" t="s">
        <v>249</v>
      </c>
      <c r="N493" s="283" t="s">
        <v>252</v>
      </c>
      <c r="O493" s="283">
        <v>148</v>
      </c>
      <c r="P493" s="283">
        <v>456</v>
      </c>
      <c r="Q493" s="287">
        <f>(O493+IF('Scenario Analysis'!$N$23=1,0,0.5))*P493</f>
        <v>67716</v>
      </c>
    </row>
    <row r="494" spans="3:17" x14ac:dyDescent="0.25">
      <c r="C494" s="300" t="s">
        <v>1272</v>
      </c>
      <c r="D494" s="283" t="s">
        <v>666</v>
      </c>
      <c r="E494" s="283" t="s">
        <v>250</v>
      </c>
      <c r="F494" s="283" t="s">
        <v>185</v>
      </c>
      <c r="G494" s="283">
        <v>11</v>
      </c>
      <c r="H494" s="283">
        <v>20002</v>
      </c>
      <c r="I494" s="286">
        <f>(G494+IF('Scenario Analysis'!$N$23=1,0,0.5))*H494</f>
        <v>230023</v>
      </c>
      <c r="K494" s="283" t="s">
        <v>1271</v>
      </c>
      <c r="L494" s="283" t="s">
        <v>669</v>
      </c>
      <c r="M494" s="283" t="s">
        <v>249</v>
      </c>
      <c r="N494" s="283" t="s">
        <v>252</v>
      </c>
      <c r="O494" s="283">
        <v>149</v>
      </c>
      <c r="P494" s="283">
        <v>1077</v>
      </c>
      <c r="Q494" s="287">
        <f>(O494+IF('Scenario Analysis'!$N$23=1,0,0.5))*P494</f>
        <v>161011.5</v>
      </c>
    </row>
    <row r="495" spans="3:17" x14ac:dyDescent="0.25">
      <c r="C495" s="300" t="s">
        <v>1272</v>
      </c>
      <c r="D495" s="283" t="s">
        <v>666</v>
      </c>
      <c r="E495" s="283" t="s">
        <v>250</v>
      </c>
      <c r="F495" s="283" t="s">
        <v>185</v>
      </c>
      <c r="G495" s="283">
        <v>12</v>
      </c>
      <c r="H495" s="283">
        <v>39749</v>
      </c>
      <c r="I495" s="286">
        <f>(G495+IF('Scenario Analysis'!$N$23=1,0,0.5))*H495</f>
        <v>496862.5</v>
      </c>
      <c r="K495" s="283" t="s">
        <v>1271</v>
      </c>
      <c r="L495" s="283" t="s">
        <v>669</v>
      </c>
      <c r="M495" s="283" t="s">
        <v>249</v>
      </c>
      <c r="N495" s="283" t="s">
        <v>252</v>
      </c>
      <c r="O495" s="283">
        <v>150</v>
      </c>
      <c r="P495" s="283">
        <v>181674</v>
      </c>
      <c r="Q495" s="287">
        <f>(O495+IF('Scenario Analysis'!$N$23=1,0,0.5))*P495</f>
        <v>27341937</v>
      </c>
    </row>
    <row r="496" spans="3:17" x14ac:dyDescent="0.25">
      <c r="C496" s="300" t="s">
        <v>1272</v>
      </c>
      <c r="D496" s="283" t="s">
        <v>666</v>
      </c>
      <c r="E496" s="283" t="s">
        <v>250</v>
      </c>
      <c r="F496" s="283" t="s">
        <v>185</v>
      </c>
      <c r="G496" s="283">
        <v>13</v>
      </c>
      <c r="H496" s="283">
        <v>1668</v>
      </c>
      <c r="I496" s="286">
        <f>(G496+IF('Scenario Analysis'!$N$23=1,0,0.5))*H496</f>
        <v>22518</v>
      </c>
      <c r="K496" s="283" t="s">
        <v>1271</v>
      </c>
      <c r="L496" s="283" t="s">
        <v>670</v>
      </c>
      <c r="M496" s="283" t="s">
        <v>249</v>
      </c>
      <c r="N496" s="283" t="s">
        <v>253</v>
      </c>
      <c r="O496" s="283">
        <v>0</v>
      </c>
      <c r="P496" s="283">
        <v>147447</v>
      </c>
      <c r="Q496" s="287">
        <f>(O496+IF('Scenario Analysis'!$N$23=1,0,0.5))*P496</f>
        <v>73723.5</v>
      </c>
    </row>
    <row r="497" spans="3:17" x14ac:dyDescent="0.25">
      <c r="C497" s="300" t="s">
        <v>1272</v>
      </c>
      <c r="D497" s="283" t="s">
        <v>666</v>
      </c>
      <c r="E497" s="283" t="s">
        <v>250</v>
      </c>
      <c r="F497" s="283" t="s">
        <v>185</v>
      </c>
      <c r="G497" s="283">
        <v>14</v>
      </c>
      <c r="H497" s="283">
        <v>40</v>
      </c>
      <c r="I497" s="286">
        <f>(G497+IF('Scenario Analysis'!$N$23=1,0,0.5))*H497</f>
        <v>580</v>
      </c>
      <c r="K497" s="283" t="s">
        <v>1271</v>
      </c>
      <c r="L497" s="283" t="s">
        <v>670</v>
      </c>
      <c r="M497" s="283" t="s">
        <v>249</v>
      </c>
      <c r="N497" s="283" t="s">
        <v>253</v>
      </c>
      <c r="O497" s="283">
        <v>1</v>
      </c>
      <c r="P497" s="283">
        <v>2660798</v>
      </c>
      <c r="Q497" s="287">
        <f>(O497+IF('Scenario Analysis'!$N$23=1,0,0.5))*P497</f>
        <v>3991197</v>
      </c>
    </row>
    <row r="498" spans="3:17" x14ac:dyDescent="0.25">
      <c r="C498" s="300" t="s">
        <v>1272</v>
      </c>
      <c r="D498" s="283" t="s">
        <v>666</v>
      </c>
      <c r="E498" s="283" t="s">
        <v>250</v>
      </c>
      <c r="F498" s="283" t="s">
        <v>185</v>
      </c>
      <c r="G498" s="283">
        <v>15</v>
      </c>
      <c r="H498" s="283">
        <v>3838</v>
      </c>
      <c r="I498" s="286">
        <f>(G498+IF('Scenario Analysis'!$N$23=1,0,0.5))*H498</f>
        <v>59489</v>
      </c>
      <c r="K498" s="283" t="s">
        <v>1271</v>
      </c>
      <c r="L498" s="283" t="s">
        <v>670</v>
      </c>
      <c r="M498" s="283" t="s">
        <v>249</v>
      </c>
      <c r="N498" s="283" t="s">
        <v>253</v>
      </c>
      <c r="O498" s="283">
        <v>2</v>
      </c>
      <c r="P498" s="283">
        <v>2450958</v>
      </c>
      <c r="Q498" s="287">
        <f>(O498+IF('Scenario Analysis'!$N$23=1,0,0.5))*P498</f>
        <v>6127395</v>
      </c>
    </row>
    <row r="499" spans="3:17" x14ac:dyDescent="0.25">
      <c r="C499" s="300" t="s">
        <v>1272</v>
      </c>
      <c r="D499" s="283" t="s">
        <v>666</v>
      </c>
      <c r="E499" s="283" t="s">
        <v>250</v>
      </c>
      <c r="F499" s="283" t="s">
        <v>185</v>
      </c>
      <c r="G499" s="283">
        <v>16</v>
      </c>
      <c r="H499" s="283">
        <v>8877</v>
      </c>
      <c r="I499" s="286">
        <f>(G499+IF('Scenario Analysis'!$N$23=1,0,0.5))*H499</f>
        <v>146470.5</v>
      </c>
      <c r="K499" s="283" t="s">
        <v>1271</v>
      </c>
      <c r="L499" s="283" t="s">
        <v>670</v>
      </c>
      <c r="M499" s="283" t="s">
        <v>249</v>
      </c>
      <c r="N499" s="283" t="s">
        <v>253</v>
      </c>
      <c r="O499" s="283">
        <v>3</v>
      </c>
      <c r="P499" s="283">
        <v>6038078</v>
      </c>
      <c r="Q499" s="287">
        <f>(O499+IF('Scenario Analysis'!$N$23=1,0,0.5))*P499</f>
        <v>21133273</v>
      </c>
    </row>
    <row r="500" spans="3:17" x14ac:dyDescent="0.25">
      <c r="C500" s="300" t="s">
        <v>1272</v>
      </c>
      <c r="D500" s="283" t="s">
        <v>666</v>
      </c>
      <c r="E500" s="283" t="s">
        <v>250</v>
      </c>
      <c r="F500" s="283" t="s">
        <v>185</v>
      </c>
      <c r="G500" s="283">
        <v>17</v>
      </c>
      <c r="H500" s="283">
        <v>12</v>
      </c>
      <c r="I500" s="286">
        <f>(G500+IF('Scenario Analysis'!$N$23=1,0,0.5))*H500</f>
        <v>210</v>
      </c>
      <c r="K500" s="283" t="s">
        <v>1271</v>
      </c>
      <c r="L500" s="283" t="s">
        <v>670</v>
      </c>
      <c r="M500" s="283" t="s">
        <v>249</v>
      </c>
      <c r="N500" s="283" t="s">
        <v>253</v>
      </c>
      <c r="O500" s="283">
        <v>4</v>
      </c>
      <c r="P500" s="283">
        <v>3341749</v>
      </c>
      <c r="Q500" s="287">
        <f>(O500+IF('Scenario Analysis'!$N$23=1,0,0.5))*P500</f>
        <v>15037870.5</v>
      </c>
    </row>
    <row r="501" spans="3:17" x14ac:dyDescent="0.25">
      <c r="C501" s="300" t="s">
        <v>1272</v>
      </c>
      <c r="D501" s="283" t="s">
        <v>666</v>
      </c>
      <c r="E501" s="283" t="s">
        <v>250</v>
      </c>
      <c r="F501" s="283" t="s">
        <v>185</v>
      </c>
      <c r="G501" s="283">
        <v>18</v>
      </c>
      <c r="H501" s="283">
        <v>4067</v>
      </c>
      <c r="I501" s="286">
        <f>(G501+IF('Scenario Analysis'!$N$23=1,0,0.5))*H501</f>
        <v>75239.5</v>
      </c>
      <c r="K501" s="283" t="s">
        <v>1271</v>
      </c>
      <c r="L501" s="283" t="s">
        <v>670</v>
      </c>
      <c r="M501" s="283" t="s">
        <v>249</v>
      </c>
      <c r="N501" s="283" t="s">
        <v>253</v>
      </c>
      <c r="O501" s="283">
        <v>5</v>
      </c>
      <c r="P501" s="283">
        <v>3010567</v>
      </c>
      <c r="Q501" s="287">
        <f>(O501+IF('Scenario Analysis'!$N$23=1,0,0.5))*P501</f>
        <v>16558118.5</v>
      </c>
    </row>
    <row r="502" spans="3:17" x14ac:dyDescent="0.25">
      <c r="C502" s="300" t="s">
        <v>1272</v>
      </c>
      <c r="D502" s="283" t="s">
        <v>666</v>
      </c>
      <c r="E502" s="283" t="s">
        <v>250</v>
      </c>
      <c r="F502" s="283" t="s">
        <v>185</v>
      </c>
      <c r="G502" s="283">
        <v>19</v>
      </c>
      <c r="H502" s="283">
        <v>13541</v>
      </c>
      <c r="I502" s="286">
        <f>(G502+IF('Scenario Analysis'!$N$23=1,0,0.5))*H502</f>
        <v>264049.5</v>
      </c>
      <c r="K502" s="283" t="s">
        <v>1271</v>
      </c>
      <c r="L502" s="283" t="s">
        <v>670</v>
      </c>
      <c r="M502" s="283" t="s">
        <v>249</v>
      </c>
      <c r="N502" s="283" t="s">
        <v>253</v>
      </c>
      <c r="O502" s="283">
        <v>6</v>
      </c>
      <c r="P502" s="283">
        <v>4884994</v>
      </c>
      <c r="Q502" s="287">
        <f>(O502+IF('Scenario Analysis'!$N$23=1,0,0.5))*P502</f>
        <v>31752461</v>
      </c>
    </row>
    <row r="503" spans="3:17" x14ac:dyDescent="0.25">
      <c r="C503" s="300" t="s">
        <v>1272</v>
      </c>
      <c r="D503" s="283" t="s">
        <v>666</v>
      </c>
      <c r="E503" s="283" t="s">
        <v>250</v>
      </c>
      <c r="F503" s="283" t="s">
        <v>185</v>
      </c>
      <c r="G503" s="283">
        <v>20</v>
      </c>
      <c r="H503" s="283">
        <v>4</v>
      </c>
      <c r="I503" s="286">
        <f>(G503+IF('Scenario Analysis'!$N$23=1,0,0.5))*H503</f>
        <v>82</v>
      </c>
      <c r="K503" s="283" t="s">
        <v>1271</v>
      </c>
      <c r="L503" s="283" t="s">
        <v>670</v>
      </c>
      <c r="M503" s="283" t="s">
        <v>249</v>
      </c>
      <c r="N503" s="283" t="s">
        <v>253</v>
      </c>
      <c r="O503" s="283">
        <v>7</v>
      </c>
      <c r="P503" s="283">
        <v>1764787</v>
      </c>
      <c r="Q503" s="287">
        <f>(O503+IF('Scenario Analysis'!$N$23=1,0,0.5))*P503</f>
        <v>13235902.5</v>
      </c>
    </row>
    <row r="504" spans="3:17" x14ac:dyDescent="0.25">
      <c r="C504" s="300" t="s">
        <v>1272</v>
      </c>
      <c r="D504" s="283" t="s">
        <v>666</v>
      </c>
      <c r="E504" s="283" t="s">
        <v>250</v>
      </c>
      <c r="F504" s="283" t="s">
        <v>185</v>
      </c>
      <c r="G504" s="283">
        <v>21</v>
      </c>
      <c r="H504" s="283">
        <v>9</v>
      </c>
      <c r="I504" s="286">
        <f>(G504+IF('Scenario Analysis'!$N$23=1,0,0.5))*H504</f>
        <v>193.5</v>
      </c>
      <c r="K504" s="283" t="s">
        <v>1271</v>
      </c>
      <c r="L504" s="283" t="s">
        <v>670</v>
      </c>
      <c r="M504" s="283" t="s">
        <v>249</v>
      </c>
      <c r="N504" s="283" t="s">
        <v>253</v>
      </c>
      <c r="O504" s="283">
        <v>8</v>
      </c>
      <c r="P504" s="283">
        <v>3045711</v>
      </c>
      <c r="Q504" s="287">
        <f>(O504+IF('Scenario Analysis'!$N$23=1,0,0.5))*P504</f>
        <v>25888543.5</v>
      </c>
    </row>
    <row r="505" spans="3:17" x14ac:dyDescent="0.25">
      <c r="C505" s="300" t="s">
        <v>1272</v>
      </c>
      <c r="D505" s="283" t="s">
        <v>666</v>
      </c>
      <c r="E505" s="283" t="s">
        <v>250</v>
      </c>
      <c r="F505" s="283" t="s">
        <v>185</v>
      </c>
      <c r="G505" s="283">
        <v>22</v>
      </c>
      <c r="H505" s="283">
        <v>1</v>
      </c>
      <c r="I505" s="286">
        <f>(G505+IF('Scenario Analysis'!$N$23=1,0,0.5))*H505</f>
        <v>22.5</v>
      </c>
      <c r="K505" s="283" t="s">
        <v>1271</v>
      </c>
      <c r="L505" s="283" t="s">
        <v>670</v>
      </c>
      <c r="M505" s="283" t="s">
        <v>249</v>
      </c>
      <c r="N505" s="283" t="s">
        <v>253</v>
      </c>
      <c r="O505" s="283">
        <v>9</v>
      </c>
      <c r="P505" s="283">
        <v>3182007</v>
      </c>
      <c r="Q505" s="287">
        <f>(O505+IF('Scenario Analysis'!$N$23=1,0,0.5))*P505</f>
        <v>30229066.5</v>
      </c>
    </row>
    <row r="506" spans="3:17" x14ac:dyDescent="0.25">
      <c r="C506" s="300" t="s">
        <v>1272</v>
      </c>
      <c r="D506" s="283" t="s">
        <v>667</v>
      </c>
      <c r="E506" s="283" t="s">
        <v>250</v>
      </c>
      <c r="F506" s="283" t="s">
        <v>248</v>
      </c>
      <c r="G506" s="283">
        <v>0</v>
      </c>
      <c r="H506" s="283">
        <v>653837</v>
      </c>
      <c r="I506" s="286">
        <f>(G506+IF('Scenario Analysis'!$N$23=1,0,0.5))*H506</f>
        <v>326918.5</v>
      </c>
      <c r="K506" s="283" t="s">
        <v>1271</v>
      </c>
      <c r="L506" s="283" t="s">
        <v>670</v>
      </c>
      <c r="M506" s="283" t="s">
        <v>249</v>
      </c>
      <c r="N506" s="283" t="s">
        <v>253</v>
      </c>
      <c r="O506" s="283">
        <v>10</v>
      </c>
      <c r="P506" s="283">
        <v>2366063</v>
      </c>
      <c r="Q506" s="287">
        <f>(O506+IF('Scenario Analysis'!$N$23=1,0,0.5))*P506</f>
        <v>24843661.5</v>
      </c>
    </row>
    <row r="507" spans="3:17" x14ac:dyDescent="0.25">
      <c r="C507" s="300" t="s">
        <v>1272</v>
      </c>
      <c r="D507" s="283" t="s">
        <v>667</v>
      </c>
      <c r="E507" s="283" t="s">
        <v>250</v>
      </c>
      <c r="F507" s="283" t="s">
        <v>248</v>
      </c>
      <c r="G507" s="283">
        <v>1</v>
      </c>
      <c r="H507" s="283">
        <v>1046564</v>
      </c>
      <c r="I507" s="286">
        <f>(G507+IF('Scenario Analysis'!$N$23=1,0,0.5))*H507</f>
        <v>1569846</v>
      </c>
      <c r="K507" s="283" t="s">
        <v>1271</v>
      </c>
      <c r="L507" s="283" t="s">
        <v>670</v>
      </c>
      <c r="M507" s="283" t="s">
        <v>249</v>
      </c>
      <c r="N507" s="283" t="s">
        <v>253</v>
      </c>
      <c r="O507" s="283">
        <v>11</v>
      </c>
      <c r="P507" s="283">
        <v>3127337</v>
      </c>
      <c r="Q507" s="287">
        <f>(O507+IF('Scenario Analysis'!$N$23=1,0,0.5))*P507</f>
        <v>35964375.5</v>
      </c>
    </row>
    <row r="508" spans="3:17" x14ac:dyDescent="0.25">
      <c r="C508" s="300" t="s">
        <v>1272</v>
      </c>
      <c r="D508" s="283" t="s">
        <v>667</v>
      </c>
      <c r="E508" s="283" t="s">
        <v>250</v>
      </c>
      <c r="F508" s="283" t="s">
        <v>248</v>
      </c>
      <c r="G508" s="283">
        <v>2</v>
      </c>
      <c r="H508" s="283">
        <v>226174</v>
      </c>
      <c r="I508" s="286">
        <f>(G508+IF('Scenario Analysis'!$N$23=1,0,0.5))*H508</f>
        <v>565435</v>
      </c>
      <c r="K508" s="283" t="s">
        <v>1271</v>
      </c>
      <c r="L508" s="283" t="s">
        <v>670</v>
      </c>
      <c r="M508" s="283" t="s">
        <v>249</v>
      </c>
      <c r="N508" s="283" t="s">
        <v>253</v>
      </c>
      <c r="O508" s="283">
        <v>12</v>
      </c>
      <c r="P508" s="283">
        <v>2634899</v>
      </c>
      <c r="Q508" s="287">
        <f>(O508+IF('Scenario Analysis'!$N$23=1,0,0.5))*P508</f>
        <v>32936237.5</v>
      </c>
    </row>
    <row r="509" spans="3:17" x14ac:dyDescent="0.25">
      <c r="C509" s="300" t="s">
        <v>1272</v>
      </c>
      <c r="D509" s="283" t="s">
        <v>667</v>
      </c>
      <c r="E509" s="283" t="s">
        <v>250</v>
      </c>
      <c r="F509" s="283" t="s">
        <v>248</v>
      </c>
      <c r="G509" s="283">
        <v>3</v>
      </c>
      <c r="H509" s="283">
        <v>138893</v>
      </c>
      <c r="I509" s="286">
        <f>(G509+IF('Scenario Analysis'!$N$23=1,0,0.5))*H509</f>
        <v>486125.5</v>
      </c>
      <c r="K509" s="283" t="s">
        <v>1271</v>
      </c>
      <c r="L509" s="283" t="s">
        <v>670</v>
      </c>
      <c r="M509" s="283" t="s">
        <v>249</v>
      </c>
      <c r="N509" s="283" t="s">
        <v>253</v>
      </c>
      <c r="O509" s="283">
        <v>13</v>
      </c>
      <c r="P509" s="283">
        <v>2319919</v>
      </c>
      <c r="Q509" s="287">
        <f>(O509+IF('Scenario Analysis'!$N$23=1,0,0.5))*P509</f>
        <v>31318906.5</v>
      </c>
    </row>
    <row r="510" spans="3:17" x14ac:dyDescent="0.25">
      <c r="C510" s="300" t="s">
        <v>1272</v>
      </c>
      <c r="D510" s="283" t="s">
        <v>667</v>
      </c>
      <c r="E510" s="283" t="s">
        <v>250</v>
      </c>
      <c r="F510" s="283" t="s">
        <v>248</v>
      </c>
      <c r="G510" s="283">
        <v>4</v>
      </c>
      <c r="H510" s="283">
        <v>188879</v>
      </c>
      <c r="I510" s="286">
        <f>(G510+IF('Scenario Analysis'!$N$23=1,0,0.5))*H510</f>
        <v>849955.5</v>
      </c>
      <c r="K510" s="283" t="s">
        <v>1271</v>
      </c>
      <c r="L510" s="283" t="s">
        <v>670</v>
      </c>
      <c r="M510" s="283" t="s">
        <v>249</v>
      </c>
      <c r="N510" s="283" t="s">
        <v>253</v>
      </c>
      <c r="O510" s="283">
        <v>14</v>
      </c>
      <c r="P510" s="283">
        <v>3239936</v>
      </c>
      <c r="Q510" s="287">
        <f>(O510+IF('Scenario Analysis'!$N$23=1,0,0.5))*P510</f>
        <v>46979072</v>
      </c>
    </row>
    <row r="511" spans="3:17" x14ac:dyDescent="0.25">
      <c r="C511" s="300" t="s">
        <v>1272</v>
      </c>
      <c r="D511" s="283" t="s">
        <v>667</v>
      </c>
      <c r="E511" s="283" t="s">
        <v>250</v>
      </c>
      <c r="F511" s="283" t="s">
        <v>248</v>
      </c>
      <c r="G511" s="283">
        <v>5</v>
      </c>
      <c r="H511" s="283">
        <v>190408</v>
      </c>
      <c r="I511" s="286">
        <f>(G511+IF('Scenario Analysis'!$N$23=1,0,0.5))*H511</f>
        <v>1047244</v>
      </c>
      <c r="K511" s="283" t="s">
        <v>1271</v>
      </c>
      <c r="L511" s="283" t="s">
        <v>670</v>
      </c>
      <c r="M511" s="283" t="s">
        <v>249</v>
      </c>
      <c r="N511" s="283" t="s">
        <v>253</v>
      </c>
      <c r="O511" s="283">
        <v>15</v>
      </c>
      <c r="P511" s="283">
        <v>1405519</v>
      </c>
      <c r="Q511" s="287">
        <f>(O511+IF('Scenario Analysis'!$N$23=1,0,0.5))*P511</f>
        <v>21785544.5</v>
      </c>
    </row>
    <row r="512" spans="3:17" x14ac:dyDescent="0.25">
      <c r="C512" s="300" t="s">
        <v>1272</v>
      </c>
      <c r="D512" s="283" t="s">
        <v>667</v>
      </c>
      <c r="E512" s="283" t="s">
        <v>250</v>
      </c>
      <c r="F512" s="283" t="s">
        <v>248</v>
      </c>
      <c r="G512" s="283">
        <v>6</v>
      </c>
      <c r="H512" s="283">
        <v>108243</v>
      </c>
      <c r="I512" s="286">
        <f>(G512+IF('Scenario Analysis'!$N$23=1,0,0.5))*H512</f>
        <v>703579.5</v>
      </c>
      <c r="K512" s="283" t="s">
        <v>1271</v>
      </c>
      <c r="L512" s="283" t="s">
        <v>670</v>
      </c>
      <c r="M512" s="283" t="s">
        <v>249</v>
      </c>
      <c r="N512" s="283" t="s">
        <v>253</v>
      </c>
      <c r="O512" s="283">
        <v>16</v>
      </c>
      <c r="P512" s="283">
        <v>1770992</v>
      </c>
      <c r="Q512" s="287">
        <f>(O512+IF('Scenario Analysis'!$N$23=1,0,0.5))*P512</f>
        <v>29221368</v>
      </c>
    </row>
    <row r="513" spans="3:17" x14ac:dyDescent="0.25">
      <c r="C513" s="300" t="s">
        <v>1272</v>
      </c>
      <c r="D513" s="283" t="s">
        <v>667</v>
      </c>
      <c r="E513" s="283" t="s">
        <v>250</v>
      </c>
      <c r="F513" s="283" t="s">
        <v>248</v>
      </c>
      <c r="G513" s="283">
        <v>7</v>
      </c>
      <c r="H513" s="283">
        <v>13144</v>
      </c>
      <c r="I513" s="286">
        <f>(G513+IF('Scenario Analysis'!$N$23=1,0,0.5))*H513</f>
        <v>98580</v>
      </c>
      <c r="K513" s="283" t="s">
        <v>1271</v>
      </c>
      <c r="L513" s="283" t="s">
        <v>670</v>
      </c>
      <c r="M513" s="283" t="s">
        <v>249</v>
      </c>
      <c r="N513" s="283" t="s">
        <v>253</v>
      </c>
      <c r="O513" s="283">
        <v>17</v>
      </c>
      <c r="P513" s="283">
        <v>1481623</v>
      </c>
      <c r="Q513" s="287">
        <f>(O513+IF('Scenario Analysis'!$N$23=1,0,0.5))*P513</f>
        <v>25928402.5</v>
      </c>
    </row>
    <row r="514" spans="3:17" x14ac:dyDescent="0.25">
      <c r="C514" s="300" t="s">
        <v>1272</v>
      </c>
      <c r="D514" s="283" t="s">
        <v>667</v>
      </c>
      <c r="E514" s="283" t="s">
        <v>250</v>
      </c>
      <c r="F514" s="283" t="s">
        <v>248</v>
      </c>
      <c r="G514" s="283">
        <v>8</v>
      </c>
      <c r="H514" s="283">
        <v>89</v>
      </c>
      <c r="I514" s="286">
        <f>(G514+IF('Scenario Analysis'!$N$23=1,0,0.5))*H514</f>
        <v>756.5</v>
      </c>
      <c r="K514" s="283" t="s">
        <v>1271</v>
      </c>
      <c r="L514" s="283" t="s">
        <v>670</v>
      </c>
      <c r="M514" s="283" t="s">
        <v>249</v>
      </c>
      <c r="N514" s="283" t="s">
        <v>253</v>
      </c>
      <c r="O514" s="283">
        <v>18</v>
      </c>
      <c r="P514" s="283">
        <v>2143696</v>
      </c>
      <c r="Q514" s="287">
        <f>(O514+IF('Scenario Analysis'!$N$23=1,0,0.5))*P514</f>
        <v>39658376</v>
      </c>
    </row>
    <row r="515" spans="3:17" x14ac:dyDescent="0.25">
      <c r="C515" s="300" t="s">
        <v>1272</v>
      </c>
      <c r="D515" s="283" t="s">
        <v>667</v>
      </c>
      <c r="E515" s="283" t="s">
        <v>250</v>
      </c>
      <c r="F515" s="283" t="s">
        <v>248</v>
      </c>
      <c r="G515" s="283">
        <v>9</v>
      </c>
      <c r="H515" s="283">
        <v>11</v>
      </c>
      <c r="I515" s="286">
        <f>(G515+IF('Scenario Analysis'!$N$23=1,0,0.5))*H515</f>
        <v>104.5</v>
      </c>
      <c r="K515" s="283" t="s">
        <v>1271</v>
      </c>
      <c r="L515" s="283" t="s">
        <v>670</v>
      </c>
      <c r="M515" s="283" t="s">
        <v>249</v>
      </c>
      <c r="N515" s="283" t="s">
        <v>253</v>
      </c>
      <c r="O515" s="283">
        <v>19</v>
      </c>
      <c r="P515" s="283">
        <v>1816724</v>
      </c>
      <c r="Q515" s="287">
        <f>(O515+IF('Scenario Analysis'!$N$23=1,0,0.5))*P515</f>
        <v>35426118</v>
      </c>
    </row>
    <row r="516" spans="3:17" x14ac:dyDescent="0.25">
      <c r="C516" s="191"/>
      <c r="K516" s="283" t="s">
        <v>1271</v>
      </c>
      <c r="L516" s="283" t="s">
        <v>670</v>
      </c>
      <c r="M516" s="283" t="s">
        <v>249</v>
      </c>
      <c r="N516" s="283" t="s">
        <v>253</v>
      </c>
      <c r="O516" s="283">
        <v>20</v>
      </c>
      <c r="P516" s="283">
        <v>1350831</v>
      </c>
      <c r="Q516" s="235">
        <f>(O516+IF('Scenario Analysis'!$N$23=1,0,0.5))*P516</f>
        <v>27692035.5</v>
      </c>
    </row>
    <row r="517" spans="3:17" x14ac:dyDescent="0.25">
      <c r="C517" s="191"/>
      <c r="K517" s="283" t="s">
        <v>1271</v>
      </c>
      <c r="L517" s="283" t="s">
        <v>670</v>
      </c>
      <c r="M517" s="283" t="s">
        <v>249</v>
      </c>
      <c r="N517" s="283" t="s">
        <v>253</v>
      </c>
      <c r="O517" s="283">
        <v>21</v>
      </c>
      <c r="P517" s="283">
        <v>1963302</v>
      </c>
      <c r="Q517" s="235">
        <f>(O517+IF('Scenario Analysis'!$N$23=1,0,0.5))*P517</f>
        <v>42210993</v>
      </c>
    </row>
    <row r="518" spans="3:17" x14ac:dyDescent="0.25">
      <c r="C518" s="191"/>
      <c r="K518" s="283" t="s">
        <v>1271</v>
      </c>
      <c r="L518" s="283" t="s">
        <v>670</v>
      </c>
      <c r="M518" s="283" t="s">
        <v>249</v>
      </c>
      <c r="N518" s="283" t="s">
        <v>253</v>
      </c>
      <c r="O518" s="283">
        <v>22</v>
      </c>
      <c r="P518" s="283">
        <v>995153</v>
      </c>
      <c r="Q518" s="235">
        <f>(O518+IF('Scenario Analysis'!$N$23=1,0,0.5))*P518</f>
        <v>22390942.5</v>
      </c>
    </row>
    <row r="519" spans="3:17" x14ac:dyDescent="0.25">
      <c r="C519" s="191"/>
      <c r="K519" s="283" t="s">
        <v>1271</v>
      </c>
      <c r="L519" s="283" t="s">
        <v>670</v>
      </c>
      <c r="M519" s="283" t="s">
        <v>249</v>
      </c>
      <c r="N519" s="283" t="s">
        <v>253</v>
      </c>
      <c r="O519" s="283">
        <v>23</v>
      </c>
      <c r="P519" s="283">
        <v>1406236</v>
      </c>
      <c r="Q519" s="235">
        <f>(O519+IF('Scenario Analysis'!$N$23=1,0,0.5))*P519</f>
        <v>33046546</v>
      </c>
    </row>
    <row r="520" spans="3:17" x14ac:dyDescent="0.25">
      <c r="C520" s="191"/>
      <c r="K520" s="283" t="s">
        <v>1271</v>
      </c>
      <c r="L520" s="283" t="s">
        <v>670</v>
      </c>
      <c r="M520" s="283" t="s">
        <v>249</v>
      </c>
      <c r="N520" s="283" t="s">
        <v>253</v>
      </c>
      <c r="O520" s="283">
        <v>24</v>
      </c>
      <c r="P520" s="283">
        <v>1275632</v>
      </c>
      <c r="Q520" s="235">
        <f>(O520+IF('Scenario Analysis'!$N$23=1,0,0.5))*P520</f>
        <v>31252984</v>
      </c>
    </row>
    <row r="521" spans="3:17" x14ac:dyDescent="0.25">
      <c r="C521" s="191"/>
      <c r="K521" s="283" t="s">
        <v>1271</v>
      </c>
      <c r="L521" s="283" t="s">
        <v>670</v>
      </c>
      <c r="M521" s="283" t="s">
        <v>249</v>
      </c>
      <c r="N521" s="283" t="s">
        <v>253</v>
      </c>
      <c r="O521" s="283">
        <v>25</v>
      </c>
      <c r="P521" s="283">
        <v>898229</v>
      </c>
      <c r="Q521" s="235">
        <f>(O521+IF('Scenario Analysis'!$N$23=1,0,0.5))*P521</f>
        <v>22904839.5</v>
      </c>
    </row>
    <row r="522" spans="3:17" x14ac:dyDescent="0.25">
      <c r="C522" s="191"/>
      <c r="K522" s="283" t="s">
        <v>1271</v>
      </c>
      <c r="L522" s="283" t="s">
        <v>670</v>
      </c>
      <c r="M522" s="283" t="s">
        <v>249</v>
      </c>
      <c r="N522" s="283" t="s">
        <v>253</v>
      </c>
      <c r="O522" s="283">
        <v>26</v>
      </c>
      <c r="P522" s="283">
        <v>1501909</v>
      </c>
      <c r="Q522" s="235">
        <f>(O522+IF('Scenario Analysis'!$N$23=1,0,0.5))*P522</f>
        <v>39800588.5</v>
      </c>
    </row>
    <row r="523" spans="3:17" x14ac:dyDescent="0.25">
      <c r="C523" s="191"/>
      <c r="K523" s="283" t="s">
        <v>1271</v>
      </c>
      <c r="L523" s="283" t="s">
        <v>670</v>
      </c>
      <c r="M523" s="283" t="s">
        <v>249</v>
      </c>
      <c r="N523" s="283" t="s">
        <v>253</v>
      </c>
      <c r="O523" s="283">
        <v>27</v>
      </c>
      <c r="P523" s="283">
        <v>754644</v>
      </c>
      <c r="Q523" s="235">
        <f>(O523+IF('Scenario Analysis'!$N$23=1,0,0.5))*P523</f>
        <v>20752710</v>
      </c>
    </row>
    <row r="524" spans="3:17" x14ac:dyDescent="0.25">
      <c r="C524" s="191"/>
      <c r="K524" s="283" t="s">
        <v>1271</v>
      </c>
      <c r="L524" s="283" t="s">
        <v>670</v>
      </c>
      <c r="M524" s="283" t="s">
        <v>249</v>
      </c>
      <c r="N524" s="283" t="s">
        <v>253</v>
      </c>
      <c r="O524" s="283">
        <v>28</v>
      </c>
      <c r="P524" s="283">
        <v>820588</v>
      </c>
      <c r="Q524" s="235">
        <f>(O524+IF('Scenario Analysis'!$N$23=1,0,0.5))*P524</f>
        <v>23386758</v>
      </c>
    </row>
    <row r="525" spans="3:17" x14ac:dyDescent="0.25">
      <c r="C525" s="191"/>
      <c r="K525" s="283" t="s">
        <v>1271</v>
      </c>
      <c r="L525" s="283" t="s">
        <v>670</v>
      </c>
      <c r="M525" s="283" t="s">
        <v>249</v>
      </c>
      <c r="N525" s="283" t="s">
        <v>253</v>
      </c>
      <c r="O525" s="283">
        <v>29</v>
      </c>
      <c r="P525" s="283">
        <v>741022</v>
      </c>
      <c r="Q525" s="235">
        <f>(O525+IF('Scenario Analysis'!$N$23=1,0,0.5))*P525</f>
        <v>21860149</v>
      </c>
    </row>
    <row r="526" spans="3:17" x14ac:dyDescent="0.25">
      <c r="C526" s="191"/>
      <c r="K526" s="283" t="s">
        <v>1271</v>
      </c>
      <c r="L526" s="283" t="s">
        <v>670</v>
      </c>
      <c r="M526" s="283" t="s">
        <v>249</v>
      </c>
      <c r="N526" s="283" t="s">
        <v>253</v>
      </c>
      <c r="O526" s="283">
        <v>30</v>
      </c>
      <c r="P526" s="283">
        <v>568204</v>
      </c>
      <c r="Q526" s="235">
        <f>(O526+IF('Scenario Analysis'!$N$23=1,0,0.5))*P526</f>
        <v>17330222</v>
      </c>
    </row>
    <row r="527" spans="3:17" x14ac:dyDescent="0.25">
      <c r="C527" s="191"/>
      <c r="K527" s="283" t="s">
        <v>1271</v>
      </c>
      <c r="L527" s="283" t="s">
        <v>670</v>
      </c>
      <c r="M527" s="283" t="s">
        <v>249</v>
      </c>
      <c r="N527" s="283" t="s">
        <v>253</v>
      </c>
      <c r="O527" s="283">
        <v>31</v>
      </c>
      <c r="P527" s="283">
        <v>791341</v>
      </c>
      <c r="Q527" s="235">
        <f>(O527+IF('Scenario Analysis'!$N$23=1,0,0.5))*P527</f>
        <v>24927241.5</v>
      </c>
    </row>
    <row r="528" spans="3:17" x14ac:dyDescent="0.25">
      <c r="C528" s="191"/>
      <c r="K528" s="283" t="s">
        <v>1271</v>
      </c>
      <c r="L528" s="283" t="s">
        <v>670</v>
      </c>
      <c r="M528" s="283" t="s">
        <v>249</v>
      </c>
      <c r="N528" s="283" t="s">
        <v>253</v>
      </c>
      <c r="O528" s="283">
        <v>32</v>
      </c>
      <c r="P528" s="283">
        <v>707079</v>
      </c>
      <c r="Q528" s="235">
        <f>(O528+IF('Scenario Analysis'!$N$23=1,0,0.5))*P528</f>
        <v>22980067.5</v>
      </c>
    </row>
    <row r="529" spans="3:17" x14ac:dyDescent="0.25">
      <c r="C529" s="191"/>
      <c r="K529" s="283" t="s">
        <v>1271</v>
      </c>
      <c r="L529" s="283" t="s">
        <v>670</v>
      </c>
      <c r="M529" s="283" t="s">
        <v>249</v>
      </c>
      <c r="N529" s="283" t="s">
        <v>253</v>
      </c>
      <c r="O529" s="283">
        <v>33</v>
      </c>
      <c r="P529" s="283">
        <v>595130</v>
      </c>
      <c r="Q529" s="235">
        <f>(O529+IF('Scenario Analysis'!$N$23=1,0,0.5))*P529</f>
        <v>19936855</v>
      </c>
    </row>
    <row r="530" spans="3:17" x14ac:dyDescent="0.25">
      <c r="C530" s="191"/>
      <c r="K530" s="283" t="s">
        <v>1271</v>
      </c>
      <c r="L530" s="283" t="s">
        <v>670</v>
      </c>
      <c r="M530" s="283" t="s">
        <v>249</v>
      </c>
      <c r="N530" s="283" t="s">
        <v>253</v>
      </c>
      <c r="O530" s="283">
        <v>34</v>
      </c>
      <c r="P530" s="283">
        <v>464408</v>
      </c>
      <c r="Q530" s="235">
        <f>(O530+IF('Scenario Analysis'!$N$23=1,0,0.5))*P530</f>
        <v>16022076</v>
      </c>
    </row>
    <row r="531" spans="3:17" x14ac:dyDescent="0.25">
      <c r="C531" s="191"/>
      <c r="K531" s="283" t="s">
        <v>1271</v>
      </c>
      <c r="L531" s="283" t="s">
        <v>670</v>
      </c>
      <c r="M531" s="283" t="s">
        <v>249</v>
      </c>
      <c r="N531" s="283" t="s">
        <v>253</v>
      </c>
      <c r="O531" s="283">
        <v>35</v>
      </c>
      <c r="P531" s="283">
        <v>466842</v>
      </c>
      <c r="Q531" s="235">
        <f>(O531+IF('Scenario Analysis'!$N$23=1,0,0.5))*P531</f>
        <v>16572891</v>
      </c>
    </row>
    <row r="532" spans="3:17" x14ac:dyDescent="0.25">
      <c r="C532" s="191"/>
      <c r="K532" s="283" t="s">
        <v>1271</v>
      </c>
      <c r="L532" s="283" t="s">
        <v>670</v>
      </c>
      <c r="M532" s="283" t="s">
        <v>249</v>
      </c>
      <c r="N532" s="283" t="s">
        <v>253</v>
      </c>
      <c r="O532" s="283">
        <v>36</v>
      </c>
      <c r="P532" s="283">
        <v>555557</v>
      </c>
      <c r="Q532" s="235">
        <f>(O532+IF('Scenario Analysis'!$N$23=1,0,0.5))*P532</f>
        <v>20277830.5</v>
      </c>
    </row>
    <row r="533" spans="3:17" x14ac:dyDescent="0.25">
      <c r="C533" s="191"/>
      <c r="K533" s="283" t="s">
        <v>1271</v>
      </c>
      <c r="L533" s="283" t="s">
        <v>670</v>
      </c>
      <c r="M533" s="283" t="s">
        <v>249</v>
      </c>
      <c r="N533" s="283" t="s">
        <v>253</v>
      </c>
      <c r="O533" s="283">
        <v>37</v>
      </c>
      <c r="P533" s="283">
        <v>220621</v>
      </c>
      <c r="Q533" s="235">
        <f>(O533+IF('Scenario Analysis'!$N$23=1,0,0.5))*P533</f>
        <v>8273287.5</v>
      </c>
    </row>
    <row r="534" spans="3:17" x14ac:dyDescent="0.25">
      <c r="C534" s="191"/>
      <c r="K534" s="283" t="s">
        <v>1271</v>
      </c>
      <c r="L534" s="283" t="s">
        <v>670</v>
      </c>
      <c r="M534" s="283" t="s">
        <v>249</v>
      </c>
      <c r="N534" s="283" t="s">
        <v>253</v>
      </c>
      <c r="O534" s="283">
        <v>38</v>
      </c>
      <c r="P534" s="283">
        <v>556677</v>
      </c>
      <c r="Q534" s="235">
        <f>(O534+IF('Scenario Analysis'!$N$23=1,0,0.5))*P534</f>
        <v>21432064.5</v>
      </c>
    </row>
    <row r="535" spans="3:17" x14ac:dyDescent="0.25">
      <c r="C535" s="191"/>
      <c r="K535" s="283" t="s">
        <v>1271</v>
      </c>
      <c r="L535" s="283" t="s">
        <v>670</v>
      </c>
      <c r="M535" s="283" t="s">
        <v>249</v>
      </c>
      <c r="N535" s="283" t="s">
        <v>253</v>
      </c>
      <c r="O535" s="283">
        <v>39</v>
      </c>
      <c r="P535" s="283">
        <v>286991</v>
      </c>
      <c r="Q535" s="235">
        <f>(O535+IF('Scenario Analysis'!$N$23=1,0,0.5))*P535</f>
        <v>11336144.5</v>
      </c>
    </row>
    <row r="536" spans="3:17" x14ac:dyDescent="0.25">
      <c r="C536" s="191"/>
      <c r="K536" s="283" t="s">
        <v>1271</v>
      </c>
      <c r="L536" s="283" t="s">
        <v>670</v>
      </c>
      <c r="M536" s="283" t="s">
        <v>249</v>
      </c>
      <c r="N536" s="283" t="s">
        <v>253</v>
      </c>
      <c r="O536" s="283">
        <v>40</v>
      </c>
      <c r="P536" s="283">
        <v>331571</v>
      </c>
      <c r="Q536" s="235">
        <f>(O536+IF('Scenario Analysis'!$N$23=1,0,0.5))*P536</f>
        <v>13428625.5</v>
      </c>
    </row>
    <row r="537" spans="3:17" x14ac:dyDescent="0.25">
      <c r="C537" s="191"/>
      <c r="K537" s="283" t="s">
        <v>1271</v>
      </c>
      <c r="L537" s="283" t="s">
        <v>670</v>
      </c>
      <c r="M537" s="283" t="s">
        <v>249</v>
      </c>
      <c r="N537" s="283" t="s">
        <v>253</v>
      </c>
      <c r="O537" s="283">
        <v>41</v>
      </c>
      <c r="P537" s="283">
        <v>284446</v>
      </c>
      <c r="Q537" s="235">
        <f>(O537+IF('Scenario Analysis'!$N$23=1,0,0.5))*P537</f>
        <v>11804509</v>
      </c>
    </row>
    <row r="538" spans="3:17" x14ac:dyDescent="0.25">
      <c r="C538" s="191"/>
      <c r="K538" s="283" t="s">
        <v>1271</v>
      </c>
      <c r="L538" s="283" t="s">
        <v>670</v>
      </c>
      <c r="M538" s="283" t="s">
        <v>249</v>
      </c>
      <c r="N538" s="283" t="s">
        <v>253</v>
      </c>
      <c r="O538" s="283">
        <v>42</v>
      </c>
      <c r="P538" s="283">
        <v>190261</v>
      </c>
      <c r="Q538" s="235">
        <f>(O538+IF('Scenario Analysis'!$N$23=1,0,0.5))*P538</f>
        <v>8086092.5</v>
      </c>
    </row>
    <row r="539" spans="3:17" x14ac:dyDescent="0.25">
      <c r="C539" s="191"/>
      <c r="K539" s="283" t="s">
        <v>1271</v>
      </c>
      <c r="L539" s="283" t="s">
        <v>670</v>
      </c>
      <c r="M539" s="283" t="s">
        <v>249</v>
      </c>
      <c r="N539" s="283" t="s">
        <v>253</v>
      </c>
      <c r="O539" s="283">
        <v>43</v>
      </c>
      <c r="P539" s="283">
        <v>288443</v>
      </c>
      <c r="Q539" s="235">
        <f>(O539+IF('Scenario Analysis'!$N$23=1,0,0.5))*P539</f>
        <v>12547270.5</v>
      </c>
    </row>
    <row r="540" spans="3:17" x14ac:dyDescent="0.25">
      <c r="C540" s="191"/>
      <c r="K540" s="283" t="s">
        <v>1271</v>
      </c>
      <c r="L540" s="283" t="s">
        <v>670</v>
      </c>
      <c r="M540" s="283" t="s">
        <v>249</v>
      </c>
      <c r="N540" s="283" t="s">
        <v>253</v>
      </c>
      <c r="O540" s="283">
        <v>44</v>
      </c>
      <c r="P540" s="283">
        <v>272488</v>
      </c>
      <c r="Q540" s="235">
        <f>(O540+IF('Scenario Analysis'!$N$23=1,0,0.5))*P540</f>
        <v>12125716</v>
      </c>
    </row>
    <row r="541" spans="3:17" x14ac:dyDescent="0.25">
      <c r="C541" s="191"/>
      <c r="K541" s="283" t="s">
        <v>1271</v>
      </c>
      <c r="L541" s="283" t="s">
        <v>670</v>
      </c>
      <c r="M541" s="283" t="s">
        <v>249</v>
      </c>
      <c r="N541" s="283" t="s">
        <v>253</v>
      </c>
      <c r="O541" s="283">
        <v>45</v>
      </c>
      <c r="P541" s="283">
        <v>316556</v>
      </c>
      <c r="Q541" s="235">
        <f>(O541+IF('Scenario Analysis'!$N$23=1,0,0.5))*P541</f>
        <v>14403298</v>
      </c>
    </row>
    <row r="542" spans="3:17" x14ac:dyDescent="0.25">
      <c r="C542" s="191"/>
      <c r="K542" s="283" t="s">
        <v>1271</v>
      </c>
      <c r="L542" s="283" t="s">
        <v>670</v>
      </c>
      <c r="M542" s="283" t="s">
        <v>249</v>
      </c>
      <c r="N542" s="283" t="s">
        <v>253</v>
      </c>
      <c r="O542" s="283">
        <v>46</v>
      </c>
      <c r="P542" s="283">
        <v>164805</v>
      </c>
      <c r="Q542" s="235">
        <f>(O542+IF('Scenario Analysis'!$N$23=1,0,0.5))*P542</f>
        <v>7663432.5</v>
      </c>
    </row>
    <row r="543" spans="3:17" x14ac:dyDescent="0.25">
      <c r="C543" s="191"/>
      <c r="K543" s="283" t="s">
        <v>1271</v>
      </c>
      <c r="L543" s="283" t="s">
        <v>670</v>
      </c>
      <c r="M543" s="283" t="s">
        <v>249</v>
      </c>
      <c r="N543" s="283" t="s">
        <v>253</v>
      </c>
      <c r="O543" s="283">
        <v>47</v>
      </c>
      <c r="P543" s="283">
        <v>297381</v>
      </c>
      <c r="Q543" s="235">
        <f>(O543+IF('Scenario Analysis'!$N$23=1,0,0.5))*P543</f>
        <v>14125597.5</v>
      </c>
    </row>
    <row r="544" spans="3:17" x14ac:dyDescent="0.25">
      <c r="C544" s="191"/>
      <c r="K544" s="283" t="s">
        <v>1271</v>
      </c>
      <c r="L544" s="283" t="s">
        <v>670</v>
      </c>
      <c r="M544" s="283" t="s">
        <v>249</v>
      </c>
      <c r="N544" s="283" t="s">
        <v>253</v>
      </c>
      <c r="O544" s="283">
        <v>48</v>
      </c>
      <c r="P544" s="283">
        <v>51310</v>
      </c>
      <c r="Q544" s="235">
        <f>(O544+IF('Scenario Analysis'!$N$23=1,0,0.5))*P544</f>
        <v>2488535</v>
      </c>
    </row>
    <row r="545" spans="3:17" x14ac:dyDescent="0.25">
      <c r="C545" s="191"/>
      <c r="K545" s="283" t="s">
        <v>1271</v>
      </c>
      <c r="L545" s="283" t="s">
        <v>670</v>
      </c>
      <c r="M545" s="283" t="s">
        <v>249</v>
      </c>
      <c r="N545" s="283" t="s">
        <v>253</v>
      </c>
      <c r="O545" s="283">
        <v>49</v>
      </c>
      <c r="P545" s="283">
        <v>366696</v>
      </c>
      <c r="Q545" s="235">
        <f>(O545+IF('Scenario Analysis'!$N$23=1,0,0.5))*P545</f>
        <v>18151452</v>
      </c>
    </row>
    <row r="546" spans="3:17" x14ac:dyDescent="0.25">
      <c r="C546" s="191"/>
      <c r="K546" s="283" t="s">
        <v>1271</v>
      </c>
      <c r="L546" s="283" t="s">
        <v>670</v>
      </c>
      <c r="M546" s="283" t="s">
        <v>249</v>
      </c>
      <c r="N546" s="283" t="s">
        <v>253</v>
      </c>
      <c r="O546" s="283">
        <v>50</v>
      </c>
      <c r="P546" s="283">
        <v>161141</v>
      </c>
      <c r="Q546" s="235">
        <f>(O546+IF('Scenario Analysis'!$N$23=1,0,0.5))*P546</f>
        <v>8137620.5</v>
      </c>
    </row>
    <row r="547" spans="3:17" x14ac:dyDescent="0.25">
      <c r="C547" s="191"/>
      <c r="K547" s="283" t="s">
        <v>1271</v>
      </c>
      <c r="L547" s="283" t="s">
        <v>670</v>
      </c>
      <c r="M547" s="283" t="s">
        <v>249</v>
      </c>
      <c r="N547" s="283" t="s">
        <v>253</v>
      </c>
      <c r="O547" s="283">
        <v>51</v>
      </c>
      <c r="P547" s="283">
        <v>42568</v>
      </c>
      <c r="Q547" s="235">
        <f>(O547+IF('Scenario Analysis'!$N$23=1,0,0.5))*P547</f>
        <v>2192252</v>
      </c>
    </row>
    <row r="548" spans="3:17" x14ac:dyDescent="0.25">
      <c r="C548" s="191"/>
      <c r="K548" s="283" t="s">
        <v>1271</v>
      </c>
      <c r="L548" s="283" t="s">
        <v>670</v>
      </c>
      <c r="M548" s="283" t="s">
        <v>249</v>
      </c>
      <c r="N548" s="283" t="s">
        <v>253</v>
      </c>
      <c r="O548" s="283">
        <v>52</v>
      </c>
      <c r="P548" s="283">
        <v>100869</v>
      </c>
      <c r="Q548" s="235">
        <f>(O548+IF('Scenario Analysis'!$N$23=1,0,0.5))*P548</f>
        <v>5295622.5</v>
      </c>
    </row>
    <row r="549" spans="3:17" x14ac:dyDescent="0.25">
      <c r="C549" s="191"/>
      <c r="K549" s="283" t="s">
        <v>1271</v>
      </c>
      <c r="L549" s="283" t="s">
        <v>670</v>
      </c>
      <c r="M549" s="283" t="s">
        <v>249</v>
      </c>
      <c r="N549" s="283" t="s">
        <v>253</v>
      </c>
      <c r="O549" s="283">
        <v>53</v>
      </c>
      <c r="P549" s="283">
        <v>66936</v>
      </c>
      <c r="Q549" s="235">
        <f>(O549+IF('Scenario Analysis'!$N$23=1,0,0.5))*P549</f>
        <v>3581076</v>
      </c>
    </row>
    <row r="550" spans="3:17" x14ac:dyDescent="0.25">
      <c r="C550" s="191"/>
      <c r="K550" s="283" t="s">
        <v>1271</v>
      </c>
      <c r="L550" s="283" t="s">
        <v>670</v>
      </c>
      <c r="M550" s="283" t="s">
        <v>249</v>
      </c>
      <c r="N550" s="283" t="s">
        <v>253</v>
      </c>
      <c r="O550" s="283">
        <v>54</v>
      </c>
      <c r="P550" s="283">
        <v>31895</v>
      </c>
      <c r="Q550" s="235">
        <f>(O550+IF('Scenario Analysis'!$N$23=1,0,0.5))*P550</f>
        <v>1738277.5</v>
      </c>
    </row>
    <row r="551" spans="3:17" x14ac:dyDescent="0.25">
      <c r="C551" s="191"/>
      <c r="K551" s="283" t="s">
        <v>1271</v>
      </c>
      <c r="L551" s="283" t="s">
        <v>670</v>
      </c>
      <c r="M551" s="283" t="s">
        <v>249</v>
      </c>
      <c r="N551" s="283" t="s">
        <v>253</v>
      </c>
      <c r="O551" s="283">
        <v>55</v>
      </c>
      <c r="P551" s="283">
        <v>121519</v>
      </c>
      <c r="Q551" s="235">
        <f>(O551+IF('Scenario Analysis'!$N$23=1,0,0.5))*P551</f>
        <v>6744304.5</v>
      </c>
    </row>
    <row r="552" spans="3:17" x14ac:dyDescent="0.25">
      <c r="C552" s="191"/>
      <c r="K552" s="283" t="s">
        <v>1271</v>
      </c>
      <c r="L552" s="283" t="s">
        <v>670</v>
      </c>
      <c r="M552" s="283" t="s">
        <v>249</v>
      </c>
      <c r="N552" s="283" t="s">
        <v>253</v>
      </c>
      <c r="O552" s="283">
        <v>56</v>
      </c>
      <c r="P552" s="283">
        <v>25436</v>
      </c>
      <c r="Q552" s="235">
        <f>(O552+IF('Scenario Analysis'!$N$23=1,0,0.5))*P552</f>
        <v>1437134</v>
      </c>
    </row>
    <row r="553" spans="3:17" x14ac:dyDescent="0.25">
      <c r="C553" s="191"/>
      <c r="K553" s="283" t="s">
        <v>1271</v>
      </c>
      <c r="L553" s="283" t="s">
        <v>670</v>
      </c>
      <c r="M553" s="283" t="s">
        <v>249</v>
      </c>
      <c r="N553" s="283" t="s">
        <v>253</v>
      </c>
      <c r="O553" s="283">
        <v>57</v>
      </c>
      <c r="P553" s="283">
        <v>30025</v>
      </c>
      <c r="Q553" s="235">
        <f>(O553+IF('Scenario Analysis'!$N$23=1,0,0.5))*P553</f>
        <v>1726437.5</v>
      </c>
    </row>
    <row r="554" spans="3:17" x14ac:dyDescent="0.25">
      <c r="C554" s="191"/>
      <c r="K554" s="283" t="s">
        <v>1271</v>
      </c>
      <c r="L554" s="283" t="s">
        <v>670</v>
      </c>
      <c r="M554" s="283" t="s">
        <v>249</v>
      </c>
      <c r="N554" s="283" t="s">
        <v>253</v>
      </c>
      <c r="O554" s="283">
        <v>58</v>
      </c>
      <c r="P554" s="283">
        <v>133412</v>
      </c>
      <c r="Q554" s="235">
        <f>(O554+IF('Scenario Analysis'!$N$23=1,0,0.5))*P554</f>
        <v>7804602</v>
      </c>
    </row>
    <row r="555" spans="3:17" x14ac:dyDescent="0.25">
      <c r="C555" s="191"/>
      <c r="K555" s="283" t="s">
        <v>1271</v>
      </c>
      <c r="L555" s="283" t="s">
        <v>670</v>
      </c>
      <c r="M555" s="283" t="s">
        <v>249</v>
      </c>
      <c r="N555" s="283" t="s">
        <v>253</v>
      </c>
      <c r="O555" s="283">
        <v>59</v>
      </c>
      <c r="P555" s="283">
        <v>20587</v>
      </c>
      <c r="Q555" s="235">
        <f>(O555+IF('Scenario Analysis'!$N$23=1,0,0.5))*P555</f>
        <v>1224926.5</v>
      </c>
    </row>
    <row r="556" spans="3:17" x14ac:dyDescent="0.25">
      <c r="C556" s="191"/>
      <c r="K556" s="283" t="s">
        <v>1271</v>
      </c>
      <c r="L556" s="283" t="s">
        <v>670</v>
      </c>
      <c r="M556" s="283" t="s">
        <v>249</v>
      </c>
      <c r="N556" s="283" t="s">
        <v>253</v>
      </c>
      <c r="O556" s="283">
        <v>60</v>
      </c>
      <c r="P556" s="283">
        <v>40767</v>
      </c>
      <c r="Q556" s="235">
        <f>(O556+IF('Scenario Analysis'!$N$23=1,0,0.5))*P556</f>
        <v>2466403.5</v>
      </c>
    </row>
    <row r="557" spans="3:17" x14ac:dyDescent="0.25">
      <c r="C557" s="191"/>
      <c r="K557" s="283" t="s">
        <v>1271</v>
      </c>
      <c r="L557" s="283" t="s">
        <v>670</v>
      </c>
      <c r="M557" s="283" t="s">
        <v>249</v>
      </c>
      <c r="N557" s="283" t="s">
        <v>253</v>
      </c>
      <c r="O557" s="283">
        <v>61</v>
      </c>
      <c r="P557" s="283">
        <v>40787</v>
      </c>
      <c r="Q557" s="235">
        <f>(O557+IF('Scenario Analysis'!$N$23=1,0,0.5))*P557</f>
        <v>2508400.5</v>
      </c>
    </row>
    <row r="558" spans="3:17" x14ac:dyDescent="0.25">
      <c r="C558" s="191"/>
      <c r="K558" s="283" t="s">
        <v>1271</v>
      </c>
      <c r="L558" s="283" t="s">
        <v>670</v>
      </c>
      <c r="M558" s="283" t="s">
        <v>249</v>
      </c>
      <c r="N558" s="283" t="s">
        <v>253</v>
      </c>
      <c r="O558" s="283">
        <v>62</v>
      </c>
      <c r="P558" s="283">
        <v>14672</v>
      </c>
      <c r="Q558" s="235">
        <f>(O558+IF('Scenario Analysis'!$N$23=1,0,0.5))*P558</f>
        <v>917000</v>
      </c>
    </row>
    <row r="559" spans="3:17" x14ac:dyDescent="0.25">
      <c r="C559" s="191"/>
      <c r="K559" s="283" t="s">
        <v>1271</v>
      </c>
      <c r="L559" s="283" t="s">
        <v>670</v>
      </c>
      <c r="M559" s="283" t="s">
        <v>249</v>
      </c>
      <c r="N559" s="283" t="s">
        <v>253</v>
      </c>
      <c r="O559" s="283">
        <v>63</v>
      </c>
      <c r="P559" s="283">
        <v>28759</v>
      </c>
      <c r="Q559" s="235">
        <f>(O559+IF('Scenario Analysis'!$N$23=1,0,0.5))*P559</f>
        <v>1826196.5</v>
      </c>
    </row>
    <row r="560" spans="3:17" x14ac:dyDescent="0.25">
      <c r="C560" s="191"/>
      <c r="K560" s="283" t="s">
        <v>1271</v>
      </c>
      <c r="L560" s="283" t="s">
        <v>670</v>
      </c>
      <c r="M560" s="283" t="s">
        <v>249</v>
      </c>
      <c r="N560" s="283" t="s">
        <v>253</v>
      </c>
      <c r="O560" s="283">
        <v>64</v>
      </c>
      <c r="P560" s="283">
        <v>16065</v>
      </c>
      <c r="Q560" s="235">
        <f>(O560+IF('Scenario Analysis'!$N$23=1,0,0.5))*P560</f>
        <v>1036192.5</v>
      </c>
    </row>
    <row r="561" spans="3:17" x14ac:dyDescent="0.25">
      <c r="C561" s="191"/>
      <c r="K561" s="283" t="s">
        <v>1271</v>
      </c>
      <c r="L561" s="283" t="s">
        <v>670</v>
      </c>
      <c r="M561" s="283" t="s">
        <v>249</v>
      </c>
      <c r="N561" s="283" t="s">
        <v>253</v>
      </c>
      <c r="O561" s="283">
        <v>65</v>
      </c>
      <c r="P561" s="283">
        <v>7862</v>
      </c>
      <c r="Q561" s="235">
        <f>(O561+IF('Scenario Analysis'!$N$23=1,0,0.5))*P561</f>
        <v>514961</v>
      </c>
    </row>
    <row r="562" spans="3:17" x14ac:dyDescent="0.25">
      <c r="C562" s="191"/>
      <c r="K562" s="283" t="s">
        <v>1271</v>
      </c>
      <c r="L562" s="283" t="s">
        <v>670</v>
      </c>
      <c r="M562" s="283" t="s">
        <v>249</v>
      </c>
      <c r="N562" s="283" t="s">
        <v>253</v>
      </c>
      <c r="O562" s="283">
        <v>66</v>
      </c>
      <c r="P562" s="283">
        <v>6538</v>
      </c>
      <c r="Q562" s="235">
        <f>(O562+IF('Scenario Analysis'!$N$23=1,0,0.5))*P562</f>
        <v>434777</v>
      </c>
    </row>
    <row r="563" spans="3:17" x14ac:dyDescent="0.25">
      <c r="C563" s="191"/>
      <c r="K563" s="283" t="s">
        <v>1271</v>
      </c>
      <c r="L563" s="283" t="s">
        <v>670</v>
      </c>
      <c r="M563" s="283" t="s">
        <v>249</v>
      </c>
      <c r="N563" s="283" t="s">
        <v>253</v>
      </c>
      <c r="O563" s="283">
        <v>67</v>
      </c>
      <c r="P563" s="283">
        <v>14574</v>
      </c>
      <c r="Q563" s="235">
        <f>(O563+IF('Scenario Analysis'!$N$23=1,0,0.5))*P563</f>
        <v>983745</v>
      </c>
    </row>
    <row r="564" spans="3:17" x14ac:dyDescent="0.25">
      <c r="C564" s="191"/>
      <c r="K564" s="283" t="s">
        <v>1271</v>
      </c>
      <c r="L564" s="283" t="s">
        <v>670</v>
      </c>
      <c r="M564" s="283" t="s">
        <v>249</v>
      </c>
      <c r="N564" s="283" t="s">
        <v>253</v>
      </c>
      <c r="O564" s="283">
        <v>68</v>
      </c>
      <c r="P564" s="283">
        <v>4202</v>
      </c>
      <c r="Q564" s="235">
        <f>(O564+IF('Scenario Analysis'!$N$23=1,0,0.5))*P564</f>
        <v>287837</v>
      </c>
    </row>
    <row r="565" spans="3:17" x14ac:dyDescent="0.25">
      <c r="C565" s="191"/>
      <c r="K565" s="283" t="s">
        <v>1271</v>
      </c>
      <c r="L565" s="283" t="s">
        <v>670</v>
      </c>
      <c r="M565" s="283" t="s">
        <v>249</v>
      </c>
      <c r="N565" s="283" t="s">
        <v>253</v>
      </c>
      <c r="O565" s="283">
        <v>69</v>
      </c>
      <c r="P565" s="283">
        <v>4854</v>
      </c>
      <c r="Q565" s="235">
        <f>(O565+IF('Scenario Analysis'!$N$23=1,0,0.5))*P565</f>
        <v>337353</v>
      </c>
    </row>
    <row r="566" spans="3:17" x14ac:dyDescent="0.25">
      <c r="C566" s="191"/>
      <c r="K566" s="283" t="s">
        <v>1271</v>
      </c>
      <c r="L566" s="283" t="s">
        <v>670</v>
      </c>
      <c r="M566" s="283" t="s">
        <v>249</v>
      </c>
      <c r="N566" s="283" t="s">
        <v>253</v>
      </c>
      <c r="O566" s="283">
        <v>70</v>
      </c>
      <c r="P566" s="283">
        <v>4470</v>
      </c>
      <c r="Q566" s="235">
        <f>(O566+IF('Scenario Analysis'!$N$23=1,0,0.5))*P566</f>
        <v>315135</v>
      </c>
    </row>
    <row r="567" spans="3:17" x14ac:dyDescent="0.25">
      <c r="C567" s="191"/>
      <c r="K567" s="283" t="s">
        <v>1271</v>
      </c>
      <c r="L567" s="283" t="s">
        <v>670</v>
      </c>
      <c r="M567" s="283" t="s">
        <v>249</v>
      </c>
      <c r="N567" s="283" t="s">
        <v>253</v>
      </c>
      <c r="O567" s="283">
        <v>71</v>
      </c>
      <c r="P567" s="283">
        <v>2312</v>
      </c>
      <c r="Q567" s="235">
        <f>(O567+IF('Scenario Analysis'!$N$23=1,0,0.5))*P567</f>
        <v>165308</v>
      </c>
    </row>
    <row r="568" spans="3:17" x14ac:dyDescent="0.25">
      <c r="C568" s="191"/>
      <c r="K568" s="283" t="s">
        <v>1271</v>
      </c>
      <c r="L568" s="283" t="s">
        <v>670</v>
      </c>
      <c r="M568" s="283" t="s">
        <v>249</v>
      </c>
      <c r="N568" s="283" t="s">
        <v>253</v>
      </c>
      <c r="O568" s="283">
        <v>72</v>
      </c>
      <c r="P568" s="283">
        <v>2974</v>
      </c>
      <c r="Q568" s="235">
        <f>(O568+IF('Scenario Analysis'!$N$23=1,0,0.5))*P568</f>
        <v>215615</v>
      </c>
    </row>
    <row r="569" spans="3:17" x14ac:dyDescent="0.25">
      <c r="C569" s="191"/>
      <c r="K569" s="283" t="s">
        <v>1271</v>
      </c>
      <c r="L569" s="283" t="s">
        <v>670</v>
      </c>
      <c r="M569" s="283" t="s">
        <v>249</v>
      </c>
      <c r="N569" s="283" t="s">
        <v>253</v>
      </c>
      <c r="O569" s="283">
        <v>73</v>
      </c>
      <c r="P569" s="283">
        <v>3291</v>
      </c>
      <c r="Q569" s="235">
        <f>(O569+IF('Scenario Analysis'!$N$23=1,0,0.5))*P569</f>
        <v>241888.5</v>
      </c>
    </row>
    <row r="570" spans="3:17" x14ac:dyDescent="0.25">
      <c r="C570" s="191"/>
      <c r="K570" s="283" t="s">
        <v>1271</v>
      </c>
      <c r="L570" s="283" t="s">
        <v>670</v>
      </c>
      <c r="M570" s="283" t="s">
        <v>249</v>
      </c>
      <c r="N570" s="283" t="s">
        <v>253</v>
      </c>
      <c r="O570" s="283">
        <v>74</v>
      </c>
      <c r="P570" s="283">
        <v>1578</v>
      </c>
      <c r="Q570" s="235">
        <f>(O570+IF('Scenario Analysis'!$N$23=1,0,0.5))*P570</f>
        <v>117561</v>
      </c>
    </row>
    <row r="571" spans="3:17" x14ac:dyDescent="0.25">
      <c r="C571" s="191"/>
      <c r="K571" s="283" t="s">
        <v>1271</v>
      </c>
      <c r="L571" s="283" t="s">
        <v>670</v>
      </c>
      <c r="M571" s="283" t="s">
        <v>249</v>
      </c>
      <c r="N571" s="283" t="s">
        <v>253</v>
      </c>
      <c r="O571" s="283">
        <v>75</v>
      </c>
      <c r="P571" s="283">
        <v>1538</v>
      </c>
      <c r="Q571" s="235">
        <f>(O571+IF('Scenario Analysis'!$N$23=1,0,0.5))*P571</f>
        <v>116119</v>
      </c>
    </row>
    <row r="572" spans="3:17" x14ac:dyDescent="0.25">
      <c r="C572" s="191"/>
      <c r="K572" s="283" t="s">
        <v>1271</v>
      </c>
      <c r="L572" s="283" t="s">
        <v>670</v>
      </c>
      <c r="M572" s="283" t="s">
        <v>249</v>
      </c>
      <c r="N572" s="283" t="s">
        <v>253</v>
      </c>
      <c r="O572" s="283">
        <v>76</v>
      </c>
      <c r="P572" s="283">
        <v>1738</v>
      </c>
      <c r="Q572" s="235">
        <f>(O572+IF('Scenario Analysis'!$N$23=1,0,0.5))*P572</f>
        <v>132957</v>
      </c>
    </row>
    <row r="573" spans="3:17" x14ac:dyDescent="0.25">
      <c r="C573" s="191"/>
      <c r="K573" s="283" t="s">
        <v>1271</v>
      </c>
      <c r="L573" s="283" t="s">
        <v>670</v>
      </c>
      <c r="M573" s="283" t="s">
        <v>249</v>
      </c>
      <c r="N573" s="283" t="s">
        <v>253</v>
      </c>
      <c r="O573" s="283">
        <v>77</v>
      </c>
      <c r="P573" s="283">
        <v>945</v>
      </c>
      <c r="Q573" s="235">
        <f>(O573+IF('Scenario Analysis'!$N$23=1,0,0.5))*P573</f>
        <v>73237.5</v>
      </c>
    </row>
    <row r="574" spans="3:17" x14ac:dyDescent="0.25">
      <c r="C574" s="191"/>
      <c r="K574" s="283" t="s">
        <v>1271</v>
      </c>
      <c r="L574" s="283" t="s">
        <v>670</v>
      </c>
      <c r="M574" s="283" t="s">
        <v>249</v>
      </c>
      <c r="N574" s="283" t="s">
        <v>253</v>
      </c>
      <c r="O574" s="283">
        <v>78</v>
      </c>
      <c r="P574" s="283">
        <v>969</v>
      </c>
      <c r="Q574" s="235">
        <f>(O574+IF('Scenario Analysis'!$N$23=1,0,0.5))*P574</f>
        <v>76066.5</v>
      </c>
    </row>
    <row r="575" spans="3:17" x14ac:dyDescent="0.25">
      <c r="C575" s="191"/>
      <c r="K575" s="283" t="s">
        <v>1271</v>
      </c>
      <c r="L575" s="283" t="s">
        <v>670</v>
      </c>
      <c r="M575" s="283" t="s">
        <v>249</v>
      </c>
      <c r="N575" s="283" t="s">
        <v>253</v>
      </c>
      <c r="O575" s="283">
        <v>79</v>
      </c>
      <c r="P575" s="283">
        <v>799</v>
      </c>
      <c r="Q575" s="235">
        <f>(O575+IF('Scenario Analysis'!$N$23=1,0,0.5))*P575</f>
        <v>63520.5</v>
      </c>
    </row>
    <row r="576" spans="3:17" x14ac:dyDescent="0.25">
      <c r="C576" s="191"/>
      <c r="K576" s="283" t="s">
        <v>1271</v>
      </c>
      <c r="L576" s="283" t="s">
        <v>670</v>
      </c>
      <c r="M576" s="283" t="s">
        <v>249</v>
      </c>
      <c r="N576" s="283" t="s">
        <v>253</v>
      </c>
      <c r="O576" s="283">
        <v>80</v>
      </c>
      <c r="P576" s="283">
        <v>763</v>
      </c>
      <c r="Q576" s="235">
        <f>(O576+IF('Scenario Analysis'!$N$23=1,0,0.5))*P576</f>
        <v>61421.5</v>
      </c>
    </row>
    <row r="577" spans="3:17" x14ac:dyDescent="0.25">
      <c r="C577" s="191"/>
      <c r="K577" s="283" t="s">
        <v>1271</v>
      </c>
      <c r="L577" s="283" t="s">
        <v>670</v>
      </c>
      <c r="M577" s="283" t="s">
        <v>249</v>
      </c>
      <c r="N577" s="283" t="s">
        <v>253</v>
      </c>
      <c r="O577" s="283">
        <v>81</v>
      </c>
      <c r="P577" s="283">
        <v>820</v>
      </c>
      <c r="Q577" s="235">
        <f>(O577+IF('Scenario Analysis'!$N$23=1,0,0.5))*P577</f>
        <v>66830</v>
      </c>
    </row>
    <row r="578" spans="3:17" x14ac:dyDescent="0.25">
      <c r="C578" s="191"/>
      <c r="K578" s="283" t="s">
        <v>1271</v>
      </c>
      <c r="L578" s="283" t="s">
        <v>670</v>
      </c>
      <c r="M578" s="283" t="s">
        <v>249</v>
      </c>
      <c r="N578" s="283" t="s">
        <v>253</v>
      </c>
      <c r="O578" s="283">
        <v>82</v>
      </c>
      <c r="P578" s="283">
        <v>412</v>
      </c>
      <c r="Q578" s="235">
        <f>(O578+IF('Scenario Analysis'!$N$23=1,0,0.5))*P578</f>
        <v>33990</v>
      </c>
    </row>
    <row r="579" spans="3:17" x14ac:dyDescent="0.25">
      <c r="C579" s="191"/>
      <c r="K579" s="283" t="s">
        <v>1271</v>
      </c>
      <c r="L579" s="283" t="s">
        <v>670</v>
      </c>
      <c r="M579" s="283" t="s">
        <v>249</v>
      </c>
      <c r="N579" s="283" t="s">
        <v>253</v>
      </c>
      <c r="O579" s="283">
        <v>83</v>
      </c>
      <c r="P579" s="283">
        <v>484</v>
      </c>
      <c r="Q579" s="235">
        <f>(O579+IF('Scenario Analysis'!$N$23=1,0,0.5))*P579</f>
        <v>40414</v>
      </c>
    </row>
    <row r="580" spans="3:17" x14ac:dyDescent="0.25">
      <c r="C580" s="191"/>
      <c r="K580" s="283" t="s">
        <v>1271</v>
      </c>
      <c r="L580" s="283" t="s">
        <v>670</v>
      </c>
      <c r="M580" s="283" t="s">
        <v>249</v>
      </c>
      <c r="N580" s="283" t="s">
        <v>253</v>
      </c>
      <c r="O580" s="283">
        <v>84</v>
      </c>
      <c r="P580" s="283">
        <v>529</v>
      </c>
      <c r="Q580" s="235">
        <f>(O580+IF('Scenario Analysis'!$N$23=1,0,0.5))*P580</f>
        <v>44700.5</v>
      </c>
    </row>
    <row r="581" spans="3:17" x14ac:dyDescent="0.25">
      <c r="C581" s="191"/>
      <c r="K581" s="283" t="s">
        <v>1271</v>
      </c>
      <c r="L581" s="283" t="s">
        <v>670</v>
      </c>
      <c r="M581" s="283" t="s">
        <v>249</v>
      </c>
      <c r="N581" s="283" t="s">
        <v>253</v>
      </c>
      <c r="O581" s="283">
        <v>85</v>
      </c>
      <c r="P581" s="283">
        <v>289</v>
      </c>
      <c r="Q581" s="235">
        <f>(O581+IF('Scenario Analysis'!$N$23=1,0,0.5))*P581</f>
        <v>24709.5</v>
      </c>
    </row>
    <row r="582" spans="3:17" x14ac:dyDescent="0.25">
      <c r="C582" s="191"/>
      <c r="K582" s="283" t="s">
        <v>1271</v>
      </c>
      <c r="L582" s="283" t="s">
        <v>670</v>
      </c>
      <c r="M582" s="283" t="s">
        <v>249</v>
      </c>
      <c r="N582" s="283" t="s">
        <v>253</v>
      </c>
      <c r="O582" s="283">
        <v>86</v>
      </c>
      <c r="P582" s="283">
        <v>281</v>
      </c>
      <c r="Q582" s="235">
        <f>(O582+IF('Scenario Analysis'!$N$23=1,0,0.5))*P582</f>
        <v>24306.5</v>
      </c>
    </row>
    <row r="583" spans="3:17" x14ac:dyDescent="0.25">
      <c r="C583" s="191"/>
      <c r="K583" s="283" t="s">
        <v>1271</v>
      </c>
      <c r="L583" s="283" t="s">
        <v>670</v>
      </c>
      <c r="M583" s="283" t="s">
        <v>249</v>
      </c>
      <c r="N583" s="283" t="s">
        <v>253</v>
      </c>
      <c r="O583" s="283">
        <v>87</v>
      </c>
      <c r="P583" s="283">
        <v>400</v>
      </c>
      <c r="Q583" s="235">
        <f>(O583+IF('Scenario Analysis'!$N$23=1,0,0.5))*P583</f>
        <v>35000</v>
      </c>
    </row>
    <row r="584" spans="3:17" x14ac:dyDescent="0.25">
      <c r="C584" s="191"/>
      <c r="K584" s="283" t="s">
        <v>1271</v>
      </c>
      <c r="L584" s="283" t="s">
        <v>670</v>
      </c>
      <c r="M584" s="283" t="s">
        <v>249</v>
      </c>
      <c r="N584" s="283" t="s">
        <v>253</v>
      </c>
      <c r="O584" s="283">
        <v>88</v>
      </c>
      <c r="P584" s="283">
        <v>307</v>
      </c>
      <c r="Q584" s="235">
        <f>(O584+IF('Scenario Analysis'!$N$23=1,0,0.5))*P584</f>
        <v>27169.5</v>
      </c>
    </row>
    <row r="585" spans="3:17" x14ac:dyDescent="0.25">
      <c r="C585" s="191"/>
      <c r="K585" s="283" t="s">
        <v>1271</v>
      </c>
      <c r="L585" s="283" t="s">
        <v>670</v>
      </c>
      <c r="M585" s="283" t="s">
        <v>249</v>
      </c>
      <c r="N585" s="283" t="s">
        <v>253</v>
      </c>
      <c r="O585" s="283">
        <v>89</v>
      </c>
      <c r="P585" s="283">
        <v>511</v>
      </c>
      <c r="Q585" s="235">
        <f>(O585+IF('Scenario Analysis'!$N$23=1,0,0.5))*P585</f>
        <v>45734.5</v>
      </c>
    </row>
    <row r="586" spans="3:17" x14ac:dyDescent="0.25">
      <c r="C586" s="191"/>
      <c r="K586" s="283" t="s">
        <v>1271</v>
      </c>
      <c r="L586" s="283" t="s">
        <v>670</v>
      </c>
      <c r="M586" s="283" t="s">
        <v>249</v>
      </c>
      <c r="N586" s="283" t="s">
        <v>253</v>
      </c>
      <c r="O586" s="283">
        <v>90</v>
      </c>
      <c r="P586" s="283">
        <v>160</v>
      </c>
      <c r="Q586" s="235">
        <f>(O586+IF('Scenario Analysis'!$N$23=1,0,0.5))*P586</f>
        <v>14480</v>
      </c>
    </row>
    <row r="587" spans="3:17" x14ac:dyDescent="0.25">
      <c r="C587" s="191"/>
      <c r="K587" s="283" t="s">
        <v>1271</v>
      </c>
      <c r="L587" s="283" t="s">
        <v>670</v>
      </c>
      <c r="M587" s="283" t="s">
        <v>249</v>
      </c>
      <c r="N587" s="283" t="s">
        <v>253</v>
      </c>
      <c r="O587" s="283">
        <v>91</v>
      </c>
      <c r="P587" s="283">
        <v>173</v>
      </c>
      <c r="Q587" s="235">
        <f>(O587+IF('Scenario Analysis'!$N$23=1,0,0.5))*P587</f>
        <v>15829.5</v>
      </c>
    </row>
    <row r="588" spans="3:17" x14ac:dyDescent="0.25">
      <c r="C588" s="191"/>
      <c r="K588" s="283" t="s">
        <v>1271</v>
      </c>
      <c r="L588" s="283" t="s">
        <v>670</v>
      </c>
      <c r="M588" s="283" t="s">
        <v>249</v>
      </c>
      <c r="N588" s="283" t="s">
        <v>253</v>
      </c>
      <c r="O588" s="283">
        <v>92</v>
      </c>
      <c r="P588" s="283">
        <v>119</v>
      </c>
      <c r="Q588" s="235">
        <f>(O588+IF('Scenario Analysis'!$N$23=1,0,0.5))*P588</f>
        <v>11007.5</v>
      </c>
    </row>
    <row r="589" spans="3:17" x14ac:dyDescent="0.25">
      <c r="C589" s="191"/>
      <c r="K589" s="283" t="s">
        <v>1271</v>
      </c>
      <c r="L589" s="283" t="s">
        <v>670</v>
      </c>
      <c r="M589" s="283" t="s">
        <v>249</v>
      </c>
      <c r="N589" s="283" t="s">
        <v>253</v>
      </c>
      <c r="O589" s="283">
        <v>93</v>
      </c>
      <c r="P589" s="283">
        <v>314</v>
      </c>
      <c r="Q589" s="235">
        <f>(O589+IF('Scenario Analysis'!$N$23=1,0,0.5))*P589</f>
        <v>29359</v>
      </c>
    </row>
    <row r="590" spans="3:17" x14ac:dyDescent="0.25">
      <c r="C590" s="191"/>
      <c r="K590" s="283" t="s">
        <v>1271</v>
      </c>
      <c r="L590" s="283" t="s">
        <v>670</v>
      </c>
      <c r="M590" s="283" t="s">
        <v>249</v>
      </c>
      <c r="N590" s="283" t="s">
        <v>253</v>
      </c>
      <c r="O590" s="283">
        <v>94</v>
      </c>
      <c r="P590" s="283">
        <v>41</v>
      </c>
      <c r="Q590" s="235">
        <f>(O590+IF('Scenario Analysis'!$N$23=1,0,0.5))*P590</f>
        <v>3874.5</v>
      </c>
    </row>
    <row r="591" spans="3:17" x14ac:dyDescent="0.25">
      <c r="C591" s="191"/>
      <c r="K591" s="283" t="s">
        <v>1271</v>
      </c>
      <c r="L591" s="283" t="s">
        <v>670</v>
      </c>
      <c r="M591" s="283" t="s">
        <v>249</v>
      </c>
      <c r="N591" s="283" t="s">
        <v>253</v>
      </c>
      <c r="O591" s="283">
        <v>95</v>
      </c>
      <c r="P591" s="283">
        <v>87</v>
      </c>
      <c r="Q591" s="235">
        <f>(O591+IF('Scenario Analysis'!$N$23=1,0,0.5))*P591</f>
        <v>8308.5</v>
      </c>
    </row>
    <row r="592" spans="3:17" x14ac:dyDescent="0.25">
      <c r="C592" s="191"/>
      <c r="K592" s="283" t="s">
        <v>1271</v>
      </c>
      <c r="L592" s="283" t="s">
        <v>670</v>
      </c>
      <c r="M592" s="283" t="s">
        <v>249</v>
      </c>
      <c r="N592" s="283" t="s">
        <v>253</v>
      </c>
      <c r="O592" s="283">
        <v>96</v>
      </c>
      <c r="P592" s="283">
        <v>153</v>
      </c>
      <c r="Q592" s="235">
        <f>(O592+IF('Scenario Analysis'!$N$23=1,0,0.5))*P592</f>
        <v>14764.5</v>
      </c>
    </row>
    <row r="593" spans="3:17" x14ac:dyDescent="0.25">
      <c r="C593" s="191"/>
      <c r="K593" s="283" t="s">
        <v>1271</v>
      </c>
      <c r="L593" s="283" t="s">
        <v>670</v>
      </c>
      <c r="M593" s="283" t="s">
        <v>249</v>
      </c>
      <c r="N593" s="283" t="s">
        <v>253</v>
      </c>
      <c r="O593" s="283">
        <v>97</v>
      </c>
      <c r="P593" s="283">
        <v>35</v>
      </c>
      <c r="Q593" s="235">
        <f>(O593+IF('Scenario Analysis'!$N$23=1,0,0.5))*P593</f>
        <v>3412.5</v>
      </c>
    </row>
    <row r="594" spans="3:17" x14ac:dyDescent="0.25">
      <c r="C594" s="191"/>
      <c r="K594" s="283" t="s">
        <v>1271</v>
      </c>
      <c r="L594" s="283" t="s">
        <v>670</v>
      </c>
      <c r="M594" s="283" t="s">
        <v>249</v>
      </c>
      <c r="N594" s="283" t="s">
        <v>253</v>
      </c>
      <c r="O594" s="283">
        <v>98</v>
      </c>
      <c r="P594" s="283">
        <v>138</v>
      </c>
      <c r="Q594" s="235">
        <f>(O594+IF('Scenario Analysis'!$N$23=1,0,0.5))*P594</f>
        <v>13593</v>
      </c>
    </row>
    <row r="595" spans="3:17" x14ac:dyDescent="0.25">
      <c r="C595" s="191"/>
      <c r="K595" s="283" t="s">
        <v>1271</v>
      </c>
      <c r="L595" s="283" t="s">
        <v>670</v>
      </c>
      <c r="M595" s="283" t="s">
        <v>249</v>
      </c>
      <c r="N595" s="283" t="s">
        <v>253</v>
      </c>
      <c r="O595" s="283">
        <v>99</v>
      </c>
      <c r="P595" s="283">
        <v>23</v>
      </c>
      <c r="Q595" s="235">
        <f>(O595+IF('Scenario Analysis'!$N$23=1,0,0.5))*P595</f>
        <v>2288.5</v>
      </c>
    </row>
    <row r="596" spans="3:17" x14ac:dyDescent="0.25">
      <c r="C596" s="191"/>
      <c r="K596" s="283" t="s">
        <v>1271</v>
      </c>
      <c r="L596" s="283" t="s">
        <v>670</v>
      </c>
      <c r="M596" s="283" t="s">
        <v>249</v>
      </c>
      <c r="N596" s="283" t="s">
        <v>253</v>
      </c>
      <c r="O596" s="283">
        <v>100</v>
      </c>
      <c r="P596" s="283">
        <v>66</v>
      </c>
      <c r="Q596" s="235">
        <f>(O596+IF('Scenario Analysis'!$N$23=1,0,0.5))*P596</f>
        <v>6633</v>
      </c>
    </row>
    <row r="597" spans="3:17" x14ac:dyDescent="0.25">
      <c r="C597" s="191"/>
      <c r="K597" s="283" t="s">
        <v>1271</v>
      </c>
      <c r="L597" s="283" t="s">
        <v>670</v>
      </c>
      <c r="M597" s="283" t="s">
        <v>249</v>
      </c>
      <c r="N597" s="283" t="s">
        <v>253</v>
      </c>
      <c r="O597" s="283">
        <v>101</v>
      </c>
      <c r="P597" s="283">
        <v>165</v>
      </c>
      <c r="Q597" s="235">
        <f>(O597+IF('Scenario Analysis'!$N$23=1,0,0.5))*P597</f>
        <v>16747.5</v>
      </c>
    </row>
    <row r="598" spans="3:17" x14ac:dyDescent="0.25">
      <c r="C598" s="191"/>
      <c r="K598" s="283" t="s">
        <v>1271</v>
      </c>
      <c r="L598" s="283" t="s">
        <v>670</v>
      </c>
      <c r="M598" s="283" t="s">
        <v>249</v>
      </c>
      <c r="N598" s="283" t="s">
        <v>253</v>
      </c>
      <c r="O598" s="283">
        <v>102</v>
      </c>
      <c r="P598" s="283">
        <v>4</v>
      </c>
      <c r="Q598" s="235">
        <f>(O598+IF('Scenario Analysis'!$N$23=1,0,0.5))*P598</f>
        <v>410</v>
      </c>
    </row>
    <row r="599" spans="3:17" x14ac:dyDescent="0.25">
      <c r="C599" s="191"/>
      <c r="K599" s="283" t="s">
        <v>1271</v>
      </c>
      <c r="L599" s="283" t="s">
        <v>670</v>
      </c>
      <c r="M599" s="283" t="s">
        <v>249</v>
      </c>
      <c r="N599" s="283" t="s">
        <v>253</v>
      </c>
      <c r="O599" s="283">
        <v>103</v>
      </c>
      <c r="P599" s="283">
        <v>12</v>
      </c>
      <c r="Q599" s="235">
        <f>(O599+IF('Scenario Analysis'!$N$23=1,0,0.5))*P599</f>
        <v>1242</v>
      </c>
    </row>
    <row r="600" spans="3:17" x14ac:dyDescent="0.25">
      <c r="C600" s="191"/>
      <c r="K600" s="283" t="s">
        <v>1271</v>
      </c>
      <c r="L600" s="283" t="s">
        <v>670</v>
      </c>
      <c r="M600" s="283" t="s">
        <v>249</v>
      </c>
      <c r="N600" s="283" t="s">
        <v>253</v>
      </c>
      <c r="O600" s="283">
        <v>104</v>
      </c>
      <c r="P600" s="283">
        <v>17</v>
      </c>
      <c r="Q600" s="235">
        <f>(O600+IF('Scenario Analysis'!$N$23=1,0,0.5))*P600</f>
        <v>1776.5</v>
      </c>
    </row>
    <row r="601" spans="3:17" x14ac:dyDescent="0.25">
      <c r="C601" s="191"/>
      <c r="K601" s="283" t="s">
        <v>1271</v>
      </c>
      <c r="L601" s="283" t="s">
        <v>670</v>
      </c>
      <c r="M601" s="283" t="s">
        <v>249</v>
      </c>
      <c r="N601" s="283" t="s">
        <v>253</v>
      </c>
      <c r="O601" s="283">
        <v>105</v>
      </c>
      <c r="P601" s="283">
        <v>17</v>
      </c>
      <c r="Q601" s="235">
        <f>(O601+IF('Scenario Analysis'!$N$23=1,0,0.5))*P601</f>
        <v>1793.5</v>
      </c>
    </row>
    <row r="602" spans="3:17" x14ac:dyDescent="0.25">
      <c r="C602" s="191"/>
      <c r="K602" s="283" t="s">
        <v>1271</v>
      </c>
      <c r="L602" s="283" t="s">
        <v>670</v>
      </c>
      <c r="M602" s="283" t="s">
        <v>249</v>
      </c>
      <c r="N602" s="283" t="s">
        <v>253</v>
      </c>
      <c r="O602" s="283">
        <v>106</v>
      </c>
      <c r="P602" s="283">
        <v>43</v>
      </c>
      <c r="Q602" s="235">
        <f>(O602+IF('Scenario Analysis'!$N$23=1,0,0.5))*P602</f>
        <v>4579.5</v>
      </c>
    </row>
    <row r="603" spans="3:17" x14ac:dyDescent="0.25">
      <c r="C603" s="191"/>
      <c r="K603" s="283" t="s">
        <v>1271</v>
      </c>
      <c r="L603" s="283" t="s">
        <v>670</v>
      </c>
      <c r="M603" s="283" t="s">
        <v>249</v>
      </c>
      <c r="N603" s="283" t="s">
        <v>253</v>
      </c>
      <c r="O603" s="283">
        <v>107</v>
      </c>
      <c r="P603" s="283">
        <v>23</v>
      </c>
      <c r="Q603" s="235">
        <f>(O603+IF('Scenario Analysis'!$N$23=1,0,0.5))*P603</f>
        <v>2472.5</v>
      </c>
    </row>
    <row r="604" spans="3:17" x14ac:dyDescent="0.25">
      <c r="C604" s="191"/>
      <c r="K604" s="283" t="s">
        <v>1271</v>
      </c>
      <c r="L604" s="283" t="s">
        <v>670</v>
      </c>
      <c r="M604" s="283" t="s">
        <v>249</v>
      </c>
      <c r="N604" s="283" t="s">
        <v>253</v>
      </c>
      <c r="O604" s="283">
        <v>108</v>
      </c>
      <c r="P604" s="283">
        <v>7</v>
      </c>
      <c r="Q604" s="235">
        <f>(O604+IF('Scenario Analysis'!$N$23=1,0,0.5))*P604</f>
        <v>759.5</v>
      </c>
    </row>
    <row r="605" spans="3:17" x14ac:dyDescent="0.25">
      <c r="C605" s="191"/>
      <c r="K605" s="283" t="s">
        <v>1271</v>
      </c>
      <c r="L605" s="283" t="s">
        <v>670</v>
      </c>
      <c r="M605" s="283" t="s">
        <v>249</v>
      </c>
      <c r="N605" s="283" t="s">
        <v>253</v>
      </c>
      <c r="O605" s="283">
        <v>109</v>
      </c>
      <c r="P605" s="283">
        <v>1</v>
      </c>
      <c r="Q605" s="235">
        <f>(O605+IF('Scenario Analysis'!$N$23=1,0,0.5))*P605</f>
        <v>109.5</v>
      </c>
    </row>
    <row r="606" spans="3:17" x14ac:dyDescent="0.25">
      <c r="C606" s="191"/>
      <c r="K606" s="283" t="s">
        <v>1271</v>
      </c>
      <c r="L606" s="283" t="s">
        <v>670</v>
      </c>
      <c r="M606" s="283" t="s">
        <v>249</v>
      </c>
      <c r="N606" s="283" t="s">
        <v>253</v>
      </c>
      <c r="O606" s="283">
        <v>110</v>
      </c>
      <c r="P606" s="283">
        <v>8</v>
      </c>
      <c r="Q606" s="235">
        <f>(O606+IF('Scenario Analysis'!$N$23=1,0,0.5))*P606</f>
        <v>884</v>
      </c>
    </row>
    <row r="607" spans="3:17" x14ac:dyDescent="0.25">
      <c r="C607" s="191"/>
      <c r="K607" s="283" t="s">
        <v>1271</v>
      </c>
      <c r="L607" s="283" t="s">
        <v>670</v>
      </c>
      <c r="M607" s="283" t="s">
        <v>249</v>
      </c>
      <c r="N607" s="283" t="s">
        <v>253</v>
      </c>
      <c r="O607" s="283">
        <v>112</v>
      </c>
      <c r="P607" s="283">
        <v>8</v>
      </c>
      <c r="Q607" s="235">
        <f>(O607+IF('Scenario Analysis'!$N$23=1,0,0.5))*P607</f>
        <v>900</v>
      </c>
    </row>
    <row r="608" spans="3:17" x14ac:dyDescent="0.25">
      <c r="C608" s="191"/>
      <c r="K608" s="283" t="s">
        <v>1271</v>
      </c>
      <c r="L608" s="283" t="s">
        <v>670</v>
      </c>
      <c r="M608" s="283" t="s">
        <v>249</v>
      </c>
      <c r="N608" s="283" t="s">
        <v>253</v>
      </c>
      <c r="O608" s="283">
        <v>113</v>
      </c>
      <c r="P608" s="283">
        <v>4</v>
      </c>
      <c r="Q608" s="235">
        <f>(O608+IF('Scenario Analysis'!$N$23=1,0,0.5))*P608</f>
        <v>454</v>
      </c>
    </row>
    <row r="609" spans="3:17" x14ac:dyDescent="0.25">
      <c r="C609" s="191"/>
      <c r="K609" s="283" t="s">
        <v>1271</v>
      </c>
      <c r="L609" s="283" t="s">
        <v>670</v>
      </c>
      <c r="M609" s="283" t="s">
        <v>249</v>
      </c>
      <c r="N609" s="283" t="s">
        <v>253</v>
      </c>
      <c r="O609" s="283">
        <v>114</v>
      </c>
      <c r="P609" s="283">
        <v>5</v>
      </c>
      <c r="Q609" s="235">
        <f>(O609+IF('Scenario Analysis'!$N$23=1,0,0.5))*P609</f>
        <v>572.5</v>
      </c>
    </row>
    <row r="610" spans="3:17" x14ac:dyDescent="0.25">
      <c r="C610" s="191"/>
      <c r="K610" s="283" t="s">
        <v>1271</v>
      </c>
      <c r="L610" s="283" t="s">
        <v>670</v>
      </c>
      <c r="M610" s="283" t="s">
        <v>249</v>
      </c>
      <c r="N610" s="283" t="s">
        <v>253</v>
      </c>
      <c r="O610" s="283">
        <v>115</v>
      </c>
      <c r="P610" s="283">
        <v>2</v>
      </c>
      <c r="Q610" s="235">
        <f>(O610+IF('Scenario Analysis'!$N$23=1,0,0.5))*P610</f>
        <v>231</v>
      </c>
    </row>
    <row r="611" spans="3:17" x14ac:dyDescent="0.25">
      <c r="C611" s="191"/>
      <c r="K611" s="283" t="s">
        <v>1271</v>
      </c>
      <c r="L611" s="283" t="s">
        <v>670</v>
      </c>
      <c r="M611" s="283" t="s">
        <v>249</v>
      </c>
      <c r="N611" s="283" t="s">
        <v>253</v>
      </c>
      <c r="O611" s="283">
        <v>116</v>
      </c>
      <c r="P611" s="283">
        <v>4</v>
      </c>
      <c r="Q611" s="235">
        <f>(O611+IF('Scenario Analysis'!$N$23=1,0,0.5))*P611</f>
        <v>466</v>
      </c>
    </row>
    <row r="612" spans="3:17" x14ac:dyDescent="0.25">
      <c r="C612" s="191"/>
      <c r="K612" s="283" t="s">
        <v>1271</v>
      </c>
      <c r="L612" s="283" t="s">
        <v>670</v>
      </c>
      <c r="M612" s="283" t="s">
        <v>249</v>
      </c>
      <c r="N612" s="283" t="s">
        <v>253</v>
      </c>
      <c r="O612" s="283">
        <v>117</v>
      </c>
      <c r="P612" s="283">
        <v>1</v>
      </c>
      <c r="Q612" s="235">
        <f>(O612+IF('Scenario Analysis'!$N$23=1,0,0.5))*P612</f>
        <v>117.5</v>
      </c>
    </row>
    <row r="613" spans="3:17" x14ac:dyDescent="0.25">
      <c r="C613" s="191"/>
      <c r="K613" s="283" t="s">
        <v>1271</v>
      </c>
      <c r="L613" s="283" t="s">
        <v>670</v>
      </c>
      <c r="M613" s="283" t="s">
        <v>249</v>
      </c>
      <c r="N613" s="283" t="s">
        <v>253</v>
      </c>
      <c r="O613" s="283">
        <v>118</v>
      </c>
      <c r="P613" s="283">
        <v>2</v>
      </c>
      <c r="Q613" s="235">
        <f>(O613+IF('Scenario Analysis'!$N$23=1,0,0.5))*P613</f>
        <v>237</v>
      </c>
    </row>
    <row r="614" spans="3:17" x14ac:dyDescent="0.25">
      <c r="C614" s="191"/>
      <c r="K614" s="283" t="s">
        <v>1271</v>
      </c>
      <c r="L614" s="283" t="s">
        <v>670</v>
      </c>
      <c r="M614" s="283" t="s">
        <v>249</v>
      </c>
      <c r="N614" s="283" t="s">
        <v>253</v>
      </c>
      <c r="O614" s="283">
        <v>119</v>
      </c>
      <c r="P614" s="283">
        <v>2</v>
      </c>
      <c r="Q614" s="235">
        <f>(O614+IF('Scenario Analysis'!$N$23=1,0,0.5))*P614</f>
        <v>239</v>
      </c>
    </row>
    <row r="615" spans="3:17" x14ac:dyDescent="0.25">
      <c r="C615" s="191"/>
      <c r="K615" s="283" t="s">
        <v>1271</v>
      </c>
      <c r="L615" s="283" t="s">
        <v>670</v>
      </c>
      <c r="M615" s="283" t="s">
        <v>249</v>
      </c>
      <c r="N615" s="283" t="s">
        <v>253</v>
      </c>
      <c r="O615" s="283">
        <v>120</v>
      </c>
      <c r="P615" s="283">
        <v>3</v>
      </c>
      <c r="Q615" s="235">
        <f>(O615+IF('Scenario Analysis'!$N$23=1,0,0.5))*P615</f>
        <v>361.5</v>
      </c>
    </row>
    <row r="616" spans="3:17" x14ac:dyDescent="0.25">
      <c r="C616" s="191"/>
      <c r="K616" s="283" t="s">
        <v>1271</v>
      </c>
      <c r="L616" s="283" t="s">
        <v>670</v>
      </c>
      <c r="M616" s="283" t="s">
        <v>249</v>
      </c>
      <c r="N616" s="283" t="s">
        <v>253</v>
      </c>
      <c r="O616" s="283">
        <v>122</v>
      </c>
      <c r="P616" s="283">
        <v>2</v>
      </c>
      <c r="Q616" s="235">
        <f>(O616+IF('Scenario Analysis'!$N$23=1,0,0.5))*P616</f>
        <v>245</v>
      </c>
    </row>
    <row r="617" spans="3:17" x14ac:dyDescent="0.25">
      <c r="C617" s="191"/>
      <c r="K617" s="283" t="s">
        <v>1271</v>
      </c>
      <c r="L617" s="283" t="s">
        <v>670</v>
      </c>
      <c r="M617" s="283" t="s">
        <v>249</v>
      </c>
      <c r="N617" s="283" t="s">
        <v>253</v>
      </c>
      <c r="O617" s="283">
        <v>123</v>
      </c>
      <c r="P617" s="283">
        <v>4</v>
      </c>
      <c r="Q617" s="235">
        <f>(O617+IF('Scenario Analysis'!$N$23=1,0,0.5))*P617</f>
        <v>494</v>
      </c>
    </row>
    <row r="618" spans="3:17" x14ac:dyDescent="0.25">
      <c r="C618" s="191"/>
      <c r="K618" s="283" t="s">
        <v>1271</v>
      </c>
      <c r="L618" s="283" t="s">
        <v>670</v>
      </c>
      <c r="M618" s="283" t="s">
        <v>249</v>
      </c>
      <c r="N618" s="283" t="s">
        <v>253</v>
      </c>
      <c r="O618" s="283">
        <v>124</v>
      </c>
      <c r="P618" s="283">
        <v>3</v>
      </c>
      <c r="Q618" s="235">
        <f>(O618+IF('Scenario Analysis'!$N$23=1,0,0.5))*P618</f>
        <v>373.5</v>
      </c>
    </row>
    <row r="619" spans="3:17" x14ac:dyDescent="0.25">
      <c r="C619" s="191"/>
      <c r="K619" s="283" t="s">
        <v>1271</v>
      </c>
      <c r="L619" s="283" t="s">
        <v>670</v>
      </c>
      <c r="M619" s="283" t="s">
        <v>249</v>
      </c>
      <c r="N619" s="283" t="s">
        <v>253</v>
      </c>
      <c r="O619" s="283">
        <v>128</v>
      </c>
      <c r="P619" s="283">
        <v>1</v>
      </c>
      <c r="Q619" s="235">
        <f>(O619+IF('Scenario Analysis'!$N$23=1,0,0.5))*P619</f>
        <v>128.5</v>
      </c>
    </row>
    <row r="620" spans="3:17" x14ac:dyDescent="0.25">
      <c r="C620" s="191"/>
      <c r="K620" s="283" t="s">
        <v>1271</v>
      </c>
      <c r="L620" s="283" t="s">
        <v>670</v>
      </c>
      <c r="M620" s="283" t="s">
        <v>249</v>
      </c>
      <c r="N620" s="283" t="s">
        <v>253</v>
      </c>
      <c r="O620" s="283">
        <v>130</v>
      </c>
      <c r="P620" s="283">
        <v>1</v>
      </c>
      <c r="Q620" s="235">
        <f>(O620+IF('Scenario Analysis'!$N$23=1,0,0.5))*P620</f>
        <v>130.5</v>
      </c>
    </row>
    <row r="621" spans="3:17" x14ac:dyDescent="0.25">
      <c r="C621" s="191"/>
      <c r="K621" s="283" t="s">
        <v>1271</v>
      </c>
      <c r="L621" s="283" t="s">
        <v>670</v>
      </c>
      <c r="M621" s="283" t="s">
        <v>249</v>
      </c>
      <c r="N621" s="283" t="s">
        <v>253</v>
      </c>
      <c r="O621" s="283">
        <v>150</v>
      </c>
      <c r="P621" s="283">
        <v>3</v>
      </c>
      <c r="Q621" s="235">
        <f>(O621+IF('Scenario Analysis'!$N$23=1,0,0.5))*P621</f>
        <v>451.5</v>
      </c>
    </row>
    <row r="622" spans="3:17" x14ac:dyDescent="0.25">
      <c r="C622" s="191"/>
      <c r="K622" s="283" t="s">
        <v>1271</v>
      </c>
      <c r="L622" s="283" t="s">
        <v>671</v>
      </c>
      <c r="M622" s="283" t="s">
        <v>250</v>
      </c>
      <c r="N622" s="283" t="s">
        <v>251</v>
      </c>
      <c r="O622" s="283">
        <v>1</v>
      </c>
      <c r="P622" s="283">
        <v>65923</v>
      </c>
      <c r="Q622" s="235">
        <f>(O622+IF('Scenario Analysis'!$N$23=1,0,0.5))*P622</f>
        <v>98884.5</v>
      </c>
    </row>
    <row r="623" spans="3:17" x14ac:dyDescent="0.25">
      <c r="C623" s="191"/>
      <c r="K623" s="283" t="s">
        <v>1271</v>
      </c>
      <c r="L623" s="283" t="s">
        <v>671</v>
      </c>
      <c r="M623" s="283" t="s">
        <v>250</v>
      </c>
      <c r="N623" s="283" t="s">
        <v>251</v>
      </c>
      <c r="O623" s="283">
        <v>2</v>
      </c>
      <c r="P623" s="283">
        <v>166078</v>
      </c>
      <c r="Q623" s="235">
        <f>(O623+IF('Scenario Analysis'!$N$23=1,0,0.5))*P623</f>
        <v>415195</v>
      </c>
    </row>
    <row r="624" spans="3:17" x14ac:dyDescent="0.25">
      <c r="C624" s="191"/>
      <c r="K624" s="283" t="s">
        <v>1271</v>
      </c>
      <c r="L624" s="283" t="s">
        <v>671</v>
      </c>
      <c r="M624" s="283" t="s">
        <v>250</v>
      </c>
      <c r="N624" s="283" t="s">
        <v>251</v>
      </c>
      <c r="O624" s="283">
        <v>3</v>
      </c>
      <c r="P624" s="283">
        <v>511542</v>
      </c>
      <c r="Q624" s="235">
        <f>(O624+IF('Scenario Analysis'!$N$23=1,0,0.5))*P624</f>
        <v>1790397</v>
      </c>
    </row>
    <row r="625" spans="3:17" x14ac:dyDescent="0.25">
      <c r="C625" s="191"/>
      <c r="K625" s="283" t="s">
        <v>1271</v>
      </c>
      <c r="L625" s="283" t="s">
        <v>671</v>
      </c>
      <c r="M625" s="283" t="s">
        <v>250</v>
      </c>
      <c r="N625" s="283" t="s">
        <v>251</v>
      </c>
      <c r="O625" s="283">
        <v>4</v>
      </c>
      <c r="P625" s="283">
        <v>109981</v>
      </c>
      <c r="Q625" s="235">
        <f>(O625+IF('Scenario Analysis'!$N$23=1,0,0.5))*P625</f>
        <v>494914.5</v>
      </c>
    </row>
    <row r="626" spans="3:17" x14ac:dyDescent="0.25">
      <c r="C626" s="191"/>
      <c r="K626" s="283" t="s">
        <v>1271</v>
      </c>
      <c r="L626" s="283" t="s">
        <v>671</v>
      </c>
      <c r="M626" s="283" t="s">
        <v>250</v>
      </c>
      <c r="N626" s="283" t="s">
        <v>251</v>
      </c>
      <c r="O626" s="283">
        <v>5</v>
      </c>
      <c r="P626" s="283">
        <v>157093</v>
      </c>
      <c r="Q626" s="235">
        <f>(O626+IF('Scenario Analysis'!$N$23=1,0,0.5))*P626</f>
        <v>864011.5</v>
      </c>
    </row>
    <row r="627" spans="3:17" x14ac:dyDescent="0.25">
      <c r="C627" s="191"/>
      <c r="K627" s="283" t="s">
        <v>1271</v>
      </c>
      <c r="L627" s="283" t="s">
        <v>671</v>
      </c>
      <c r="M627" s="283" t="s">
        <v>250</v>
      </c>
      <c r="N627" s="283" t="s">
        <v>251</v>
      </c>
      <c r="O627" s="283">
        <v>6</v>
      </c>
      <c r="P627" s="283">
        <v>478768</v>
      </c>
      <c r="Q627" s="235">
        <f>(O627+IF('Scenario Analysis'!$N$23=1,0,0.5))*P627</f>
        <v>3111992</v>
      </c>
    </row>
    <row r="628" spans="3:17" x14ac:dyDescent="0.25">
      <c r="C628" s="191"/>
      <c r="K628" s="283" t="s">
        <v>1271</v>
      </c>
      <c r="L628" s="283" t="s">
        <v>671</v>
      </c>
      <c r="M628" s="283" t="s">
        <v>250</v>
      </c>
      <c r="N628" s="283" t="s">
        <v>251</v>
      </c>
      <c r="O628" s="283">
        <v>7</v>
      </c>
      <c r="P628" s="283">
        <v>228045</v>
      </c>
      <c r="Q628" s="235">
        <f>(O628+IF('Scenario Analysis'!$N$23=1,0,0.5))*P628</f>
        <v>1710337.5</v>
      </c>
    </row>
    <row r="629" spans="3:17" x14ac:dyDescent="0.25">
      <c r="C629" s="191"/>
      <c r="K629" s="283" t="s">
        <v>1271</v>
      </c>
      <c r="L629" s="283" t="s">
        <v>671</v>
      </c>
      <c r="M629" s="283" t="s">
        <v>250</v>
      </c>
      <c r="N629" s="283" t="s">
        <v>251</v>
      </c>
      <c r="O629" s="283">
        <v>8</v>
      </c>
      <c r="P629" s="283">
        <v>213801</v>
      </c>
      <c r="Q629" s="235">
        <f>(O629+IF('Scenario Analysis'!$N$23=1,0,0.5))*P629</f>
        <v>1817308.5</v>
      </c>
    </row>
    <row r="630" spans="3:17" x14ac:dyDescent="0.25">
      <c r="C630" s="191"/>
      <c r="K630" s="283" t="s">
        <v>1271</v>
      </c>
      <c r="L630" s="283" t="s">
        <v>671</v>
      </c>
      <c r="M630" s="283" t="s">
        <v>250</v>
      </c>
      <c r="N630" s="283" t="s">
        <v>251</v>
      </c>
      <c r="O630" s="283">
        <v>9</v>
      </c>
      <c r="P630" s="283">
        <v>683024</v>
      </c>
      <c r="Q630" s="235">
        <f>(O630+IF('Scenario Analysis'!$N$23=1,0,0.5))*P630</f>
        <v>6488728</v>
      </c>
    </row>
    <row r="631" spans="3:17" x14ac:dyDescent="0.25">
      <c r="C631" s="191"/>
      <c r="K631" s="283" t="s">
        <v>1271</v>
      </c>
      <c r="L631" s="283" t="s">
        <v>671</v>
      </c>
      <c r="M631" s="283" t="s">
        <v>250</v>
      </c>
      <c r="N631" s="283" t="s">
        <v>251</v>
      </c>
      <c r="O631" s="283">
        <v>10</v>
      </c>
      <c r="P631" s="283">
        <v>119068</v>
      </c>
      <c r="Q631" s="235">
        <f>(O631+IF('Scenario Analysis'!$N$23=1,0,0.5))*P631</f>
        <v>1250214</v>
      </c>
    </row>
    <row r="632" spans="3:17" x14ac:dyDescent="0.25">
      <c r="C632" s="191"/>
      <c r="K632" s="283" t="s">
        <v>1271</v>
      </c>
      <c r="L632" s="283" t="s">
        <v>671</v>
      </c>
      <c r="M632" s="283" t="s">
        <v>250</v>
      </c>
      <c r="N632" s="283" t="s">
        <v>251</v>
      </c>
      <c r="O632" s="283">
        <v>11</v>
      </c>
      <c r="P632" s="283">
        <v>110002</v>
      </c>
      <c r="Q632" s="235">
        <f>(O632+IF('Scenario Analysis'!$N$23=1,0,0.5))*P632</f>
        <v>1265023</v>
      </c>
    </row>
    <row r="633" spans="3:17" x14ac:dyDescent="0.25">
      <c r="C633" s="191"/>
      <c r="K633" s="283" t="s">
        <v>1271</v>
      </c>
      <c r="L633" s="283" t="s">
        <v>671</v>
      </c>
      <c r="M633" s="283" t="s">
        <v>250</v>
      </c>
      <c r="N633" s="283" t="s">
        <v>251</v>
      </c>
      <c r="O633" s="283">
        <v>12</v>
      </c>
      <c r="P633" s="283">
        <v>73115</v>
      </c>
      <c r="Q633" s="235">
        <f>(O633+IF('Scenario Analysis'!$N$23=1,0,0.5))*P633</f>
        <v>913937.5</v>
      </c>
    </row>
    <row r="634" spans="3:17" x14ac:dyDescent="0.25">
      <c r="C634" s="191"/>
      <c r="K634" s="283" t="s">
        <v>1271</v>
      </c>
      <c r="L634" s="283" t="s">
        <v>671</v>
      </c>
      <c r="M634" s="283" t="s">
        <v>250</v>
      </c>
      <c r="N634" s="283" t="s">
        <v>251</v>
      </c>
      <c r="O634" s="283">
        <v>13</v>
      </c>
      <c r="P634" s="283">
        <v>732702</v>
      </c>
      <c r="Q634" s="235">
        <f>(O634+IF('Scenario Analysis'!$N$23=1,0,0.5))*P634</f>
        <v>9891477</v>
      </c>
    </row>
    <row r="635" spans="3:17" x14ac:dyDescent="0.25">
      <c r="C635" s="191"/>
      <c r="K635" s="283" t="s">
        <v>1271</v>
      </c>
      <c r="L635" s="283" t="s">
        <v>671</v>
      </c>
      <c r="M635" s="283" t="s">
        <v>250</v>
      </c>
      <c r="N635" s="283" t="s">
        <v>251</v>
      </c>
      <c r="O635" s="283">
        <v>14</v>
      </c>
      <c r="P635" s="283">
        <v>51787</v>
      </c>
      <c r="Q635" s="235">
        <f>(O635+IF('Scenario Analysis'!$N$23=1,0,0.5))*P635</f>
        <v>750911.5</v>
      </c>
    </row>
    <row r="636" spans="3:17" x14ac:dyDescent="0.25">
      <c r="C636" s="191"/>
      <c r="K636" s="283" t="s">
        <v>1271</v>
      </c>
      <c r="L636" s="283" t="s">
        <v>671</v>
      </c>
      <c r="M636" s="283" t="s">
        <v>250</v>
      </c>
      <c r="N636" s="283" t="s">
        <v>251</v>
      </c>
      <c r="O636" s="283">
        <v>15</v>
      </c>
      <c r="P636" s="283">
        <v>68704</v>
      </c>
      <c r="Q636" s="235">
        <f>(O636+IF('Scenario Analysis'!$N$23=1,0,0.5))*P636</f>
        <v>1064912</v>
      </c>
    </row>
    <row r="637" spans="3:17" x14ac:dyDescent="0.25">
      <c r="C637" s="191"/>
      <c r="K637" s="283" t="s">
        <v>1271</v>
      </c>
      <c r="L637" s="283" t="s">
        <v>671</v>
      </c>
      <c r="M637" s="283" t="s">
        <v>250</v>
      </c>
      <c r="N637" s="283" t="s">
        <v>251</v>
      </c>
      <c r="O637" s="283">
        <v>16</v>
      </c>
      <c r="P637" s="283">
        <v>10574</v>
      </c>
      <c r="Q637" s="235">
        <f>(O637+IF('Scenario Analysis'!$N$23=1,0,0.5))*P637</f>
        <v>174471</v>
      </c>
    </row>
    <row r="638" spans="3:17" x14ac:dyDescent="0.25">
      <c r="C638" s="191"/>
      <c r="K638" s="283" t="s">
        <v>1271</v>
      </c>
      <c r="L638" s="283" t="s">
        <v>671</v>
      </c>
      <c r="M638" s="283" t="s">
        <v>250</v>
      </c>
      <c r="N638" s="283" t="s">
        <v>251</v>
      </c>
      <c r="O638" s="283">
        <v>17</v>
      </c>
      <c r="P638" s="283">
        <v>94066</v>
      </c>
      <c r="Q638" s="235">
        <f>(O638+IF('Scenario Analysis'!$N$23=1,0,0.5))*P638</f>
        <v>1646155</v>
      </c>
    </row>
    <row r="639" spans="3:17" x14ac:dyDescent="0.25">
      <c r="C639" s="191"/>
      <c r="K639" s="283" t="s">
        <v>1271</v>
      </c>
      <c r="L639" s="283" t="s">
        <v>671</v>
      </c>
      <c r="M639" s="283" t="s">
        <v>250</v>
      </c>
      <c r="N639" s="283" t="s">
        <v>251</v>
      </c>
      <c r="O639" s="283">
        <v>18</v>
      </c>
      <c r="P639" s="283">
        <v>8034</v>
      </c>
      <c r="Q639" s="235">
        <f>(O639+IF('Scenario Analysis'!$N$23=1,0,0.5))*P639</f>
        <v>148629</v>
      </c>
    </row>
    <row r="640" spans="3:17" x14ac:dyDescent="0.25">
      <c r="C640" s="191"/>
      <c r="K640" s="283" t="s">
        <v>1271</v>
      </c>
      <c r="L640" s="283" t="s">
        <v>671</v>
      </c>
      <c r="M640" s="283" t="s">
        <v>250</v>
      </c>
      <c r="N640" s="283" t="s">
        <v>251</v>
      </c>
      <c r="O640" s="283">
        <v>19</v>
      </c>
      <c r="P640" s="283">
        <v>269016</v>
      </c>
      <c r="Q640" s="235">
        <f>(O640+IF('Scenario Analysis'!$N$23=1,0,0.5))*P640</f>
        <v>5245812</v>
      </c>
    </row>
    <row r="641" spans="3:17" x14ac:dyDescent="0.25">
      <c r="C641" s="191"/>
      <c r="K641" s="283" t="s">
        <v>1271</v>
      </c>
      <c r="L641" s="283" t="s">
        <v>671</v>
      </c>
      <c r="M641" s="283" t="s">
        <v>250</v>
      </c>
      <c r="N641" s="283" t="s">
        <v>251</v>
      </c>
      <c r="O641" s="283">
        <v>20</v>
      </c>
      <c r="P641" s="283">
        <v>79529</v>
      </c>
      <c r="Q641" s="235">
        <f>(O641+IF('Scenario Analysis'!$N$23=1,0,0.5))*P641</f>
        <v>1630344.5</v>
      </c>
    </row>
    <row r="642" spans="3:17" x14ac:dyDescent="0.25">
      <c r="C642" s="191"/>
      <c r="K642" s="283" t="s">
        <v>1271</v>
      </c>
      <c r="L642" s="283" t="s">
        <v>671</v>
      </c>
      <c r="M642" s="283" t="s">
        <v>250</v>
      </c>
      <c r="N642" s="283" t="s">
        <v>251</v>
      </c>
      <c r="O642" s="283">
        <v>21</v>
      </c>
      <c r="P642" s="283">
        <v>247501</v>
      </c>
      <c r="Q642" s="235">
        <f>(O642+IF('Scenario Analysis'!$N$23=1,0,0.5))*P642</f>
        <v>5321271.5</v>
      </c>
    </row>
    <row r="643" spans="3:17" x14ac:dyDescent="0.25">
      <c r="C643" s="191"/>
      <c r="K643" s="283" t="s">
        <v>1271</v>
      </c>
      <c r="L643" s="283" t="s">
        <v>671</v>
      </c>
      <c r="M643" s="283" t="s">
        <v>250</v>
      </c>
      <c r="N643" s="283" t="s">
        <v>251</v>
      </c>
      <c r="O643" s="283">
        <v>22</v>
      </c>
      <c r="P643" s="283">
        <v>97943</v>
      </c>
      <c r="Q643" s="235">
        <f>(O643+IF('Scenario Analysis'!$N$23=1,0,0.5))*P643</f>
        <v>2203717.5</v>
      </c>
    </row>
    <row r="644" spans="3:17" x14ac:dyDescent="0.25">
      <c r="C644" s="191"/>
      <c r="K644" s="283" t="s">
        <v>1271</v>
      </c>
      <c r="L644" s="283" t="s">
        <v>671</v>
      </c>
      <c r="M644" s="283" t="s">
        <v>250</v>
      </c>
      <c r="N644" s="283" t="s">
        <v>251</v>
      </c>
      <c r="O644" s="283">
        <v>24</v>
      </c>
      <c r="P644" s="283">
        <v>233875</v>
      </c>
      <c r="Q644" s="235">
        <f>(O644+IF('Scenario Analysis'!$N$23=1,0,0.5))*P644</f>
        <v>5729937.5</v>
      </c>
    </row>
    <row r="645" spans="3:17" x14ac:dyDescent="0.25">
      <c r="C645" s="191"/>
      <c r="K645" s="283" t="s">
        <v>1271</v>
      </c>
      <c r="L645" s="283" t="s">
        <v>671</v>
      </c>
      <c r="M645" s="283" t="s">
        <v>250</v>
      </c>
      <c r="N645" s="283" t="s">
        <v>251</v>
      </c>
      <c r="O645" s="283">
        <v>25</v>
      </c>
      <c r="P645" s="283">
        <v>11673</v>
      </c>
      <c r="Q645" s="235">
        <f>(O645+IF('Scenario Analysis'!$N$23=1,0,0.5))*P645</f>
        <v>297661.5</v>
      </c>
    </row>
    <row r="646" spans="3:17" x14ac:dyDescent="0.25">
      <c r="C646" s="191"/>
      <c r="K646" s="283" t="s">
        <v>1271</v>
      </c>
      <c r="L646" s="283" t="s">
        <v>671</v>
      </c>
      <c r="M646" s="283" t="s">
        <v>250</v>
      </c>
      <c r="N646" s="283" t="s">
        <v>251</v>
      </c>
      <c r="O646" s="283">
        <v>26</v>
      </c>
      <c r="P646" s="283">
        <v>172027</v>
      </c>
      <c r="Q646" s="235">
        <f>(O646+IF('Scenario Analysis'!$N$23=1,0,0.5))*P646</f>
        <v>4558715.5</v>
      </c>
    </row>
    <row r="647" spans="3:17" x14ac:dyDescent="0.25">
      <c r="C647" s="191"/>
      <c r="K647" s="283" t="s">
        <v>1271</v>
      </c>
      <c r="L647" s="283" t="s">
        <v>671</v>
      </c>
      <c r="M647" s="283" t="s">
        <v>250</v>
      </c>
      <c r="N647" s="283" t="s">
        <v>251</v>
      </c>
      <c r="O647" s="283">
        <v>27</v>
      </c>
      <c r="P647" s="283">
        <v>43126</v>
      </c>
      <c r="Q647" s="235">
        <f>(O647+IF('Scenario Analysis'!$N$23=1,0,0.5))*P647</f>
        <v>1185965</v>
      </c>
    </row>
    <row r="648" spans="3:17" x14ac:dyDescent="0.25">
      <c r="C648" s="191"/>
      <c r="K648" s="283" t="s">
        <v>1271</v>
      </c>
      <c r="L648" s="283" t="s">
        <v>671</v>
      </c>
      <c r="M648" s="283" t="s">
        <v>250</v>
      </c>
      <c r="N648" s="283" t="s">
        <v>251</v>
      </c>
      <c r="O648" s="283">
        <v>28</v>
      </c>
      <c r="P648" s="283">
        <v>125080</v>
      </c>
      <c r="Q648" s="235">
        <f>(O648+IF('Scenario Analysis'!$N$23=1,0,0.5))*P648</f>
        <v>3564780</v>
      </c>
    </row>
    <row r="649" spans="3:17" x14ac:dyDescent="0.25">
      <c r="C649" s="191"/>
      <c r="K649" s="283" t="s">
        <v>1271</v>
      </c>
      <c r="L649" s="283" t="s">
        <v>671</v>
      </c>
      <c r="M649" s="283" t="s">
        <v>250</v>
      </c>
      <c r="N649" s="283" t="s">
        <v>251</v>
      </c>
      <c r="O649" s="283">
        <v>30</v>
      </c>
      <c r="P649" s="283">
        <v>255604</v>
      </c>
      <c r="Q649" s="235">
        <f>(O649+IF('Scenario Analysis'!$N$23=1,0,0.5))*P649</f>
        <v>7795922</v>
      </c>
    </row>
    <row r="650" spans="3:17" x14ac:dyDescent="0.25">
      <c r="C650" s="191"/>
      <c r="K650" s="283" t="s">
        <v>1271</v>
      </c>
      <c r="L650" s="283" t="s">
        <v>671</v>
      </c>
      <c r="M650" s="283" t="s">
        <v>250</v>
      </c>
      <c r="N650" s="283" t="s">
        <v>251</v>
      </c>
      <c r="O650" s="283">
        <v>33</v>
      </c>
      <c r="P650" s="283">
        <v>149822</v>
      </c>
      <c r="Q650" s="235">
        <f>(O650+IF('Scenario Analysis'!$N$23=1,0,0.5))*P650</f>
        <v>5019037</v>
      </c>
    </row>
    <row r="651" spans="3:17" x14ac:dyDescent="0.25">
      <c r="C651" s="191"/>
      <c r="K651" s="283" t="s">
        <v>1271</v>
      </c>
      <c r="L651" s="283" t="s">
        <v>671</v>
      </c>
      <c r="M651" s="283" t="s">
        <v>250</v>
      </c>
      <c r="N651" s="283" t="s">
        <v>251</v>
      </c>
      <c r="O651" s="283">
        <v>35</v>
      </c>
      <c r="P651" s="283">
        <v>283243</v>
      </c>
      <c r="Q651" s="235">
        <f>(O651+IF('Scenario Analysis'!$N$23=1,0,0.5))*P651</f>
        <v>10055126.5</v>
      </c>
    </row>
    <row r="652" spans="3:17" x14ac:dyDescent="0.25">
      <c r="C652" s="191"/>
      <c r="K652" s="283" t="s">
        <v>1271</v>
      </c>
      <c r="L652" s="283" t="s">
        <v>672</v>
      </c>
      <c r="M652" s="283" t="s">
        <v>250</v>
      </c>
      <c r="N652" s="283" t="s">
        <v>252</v>
      </c>
      <c r="O652" s="283">
        <v>0</v>
      </c>
      <c r="P652" s="283">
        <v>1195</v>
      </c>
      <c r="Q652" s="235">
        <f>(O652+IF('Scenario Analysis'!$N$23=1,0,0.5))*P652</f>
        <v>597.5</v>
      </c>
    </row>
    <row r="653" spans="3:17" x14ac:dyDescent="0.25">
      <c r="C653" s="191"/>
      <c r="K653" s="283" t="s">
        <v>1271</v>
      </c>
      <c r="L653" s="283" t="s">
        <v>672</v>
      </c>
      <c r="M653" s="283" t="s">
        <v>250</v>
      </c>
      <c r="N653" s="283" t="s">
        <v>252</v>
      </c>
      <c r="O653" s="283">
        <v>1</v>
      </c>
      <c r="P653" s="283">
        <v>57865</v>
      </c>
      <c r="Q653" s="235">
        <f>(O653+IF('Scenario Analysis'!$N$23=1,0,0.5))*P653</f>
        <v>86797.5</v>
      </c>
    </row>
    <row r="654" spans="3:17" x14ac:dyDescent="0.25">
      <c r="C654" s="191"/>
      <c r="K654" s="283" t="s">
        <v>1271</v>
      </c>
      <c r="L654" s="283" t="s">
        <v>672</v>
      </c>
      <c r="M654" s="283" t="s">
        <v>250</v>
      </c>
      <c r="N654" s="283" t="s">
        <v>252</v>
      </c>
      <c r="O654" s="283">
        <v>2</v>
      </c>
      <c r="P654" s="283">
        <v>40889</v>
      </c>
      <c r="Q654" s="235">
        <f>(O654+IF('Scenario Analysis'!$N$23=1,0,0.5))*P654</f>
        <v>102222.5</v>
      </c>
    </row>
    <row r="655" spans="3:17" x14ac:dyDescent="0.25">
      <c r="C655" s="191"/>
      <c r="K655" s="283" t="s">
        <v>1271</v>
      </c>
      <c r="L655" s="283" t="s">
        <v>672</v>
      </c>
      <c r="M655" s="283" t="s">
        <v>250</v>
      </c>
      <c r="N655" s="283" t="s">
        <v>252</v>
      </c>
      <c r="O655" s="283">
        <v>3</v>
      </c>
      <c r="P655" s="283">
        <v>236232</v>
      </c>
      <c r="Q655" s="235">
        <f>(O655+IF('Scenario Analysis'!$N$23=1,0,0.5))*P655</f>
        <v>826812</v>
      </c>
    </row>
    <row r="656" spans="3:17" x14ac:dyDescent="0.25">
      <c r="C656" s="191"/>
      <c r="K656" s="283" t="s">
        <v>1271</v>
      </c>
      <c r="L656" s="283" t="s">
        <v>672</v>
      </c>
      <c r="M656" s="283" t="s">
        <v>250</v>
      </c>
      <c r="N656" s="283" t="s">
        <v>252</v>
      </c>
      <c r="O656" s="283">
        <v>4</v>
      </c>
      <c r="P656" s="283">
        <v>107793</v>
      </c>
      <c r="Q656" s="235">
        <f>(O656+IF('Scenario Analysis'!$N$23=1,0,0.5))*P656</f>
        <v>485068.5</v>
      </c>
    </row>
    <row r="657" spans="3:17" x14ac:dyDescent="0.25">
      <c r="C657" s="191"/>
      <c r="K657" s="283" t="s">
        <v>1271</v>
      </c>
      <c r="L657" s="283" t="s">
        <v>672</v>
      </c>
      <c r="M657" s="283" t="s">
        <v>250</v>
      </c>
      <c r="N657" s="283" t="s">
        <v>252</v>
      </c>
      <c r="O657" s="283">
        <v>5</v>
      </c>
      <c r="P657" s="283">
        <v>68318</v>
      </c>
      <c r="Q657" s="235">
        <f>(O657+IF('Scenario Analysis'!$N$23=1,0,0.5))*P657</f>
        <v>375749</v>
      </c>
    </row>
    <row r="658" spans="3:17" x14ac:dyDescent="0.25">
      <c r="C658" s="191"/>
      <c r="K658" s="283" t="s">
        <v>1271</v>
      </c>
      <c r="L658" s="283" t="s">
        <v>672</v>
      </c>
      <c r="M658" s="283" t="s">
        <v>250</v>
      </c>
      <c r="N658" s="283" t="s">
        <v>252</v>
      </c>
      <c r="O658" s="283">
        <v>6</v>
      </c>
      <c r="P658" s="283">
        <v>275085</v>
      </c>
      <c r="Q658" s="235">
        <f>(O658+IF('Scenario Analysis'!$N$23=1,0,0.5))*P658</f>
        <v>1788052.5</v>
      </c>
    </row>
    <row r="659" spans="3:17" x14ac:dyDescent="0.25">
      <c r="C659" s="191"/>
      <c r="K659" s="283" t="s">
        <v>1271</v>
      </c>
      <c r="L659" s="283" t="s">
        <v>672</v>
      </c>
      <c r="M659" s="283" t="s">
        <v>250</v>
      </c>
      <c r="N659" s="283" t="s">
        <v>252</v>
      </c>
      <c r="O659" s="283">
        <v>7</v>
      </c>
      <c r="P659" s="283">
        <v>86241</v>
      </c>
      <c r="Q659" s="235">
        <f>(O659+IF('Scenario Analysis'!$N$23=1,0,0.5))*P659</f>
        <v>646807.5</v>
      </c>
    </row>
    <row r="660" spans="3:17" x14ac:dyDescent="0.25">
      <c r="C660" s="191"/>
      <c r="K660" s="283" t="s">
        <v>1271</v>
      </c>
      <c r="L660" s="283" t="s">
        <v>672</v>
      </c>
      <c r="M660" s="283" t="s">
        <v>250</v>
      </c>
      <c r="N660" s="283" t="s">
        <v>252</v>
      </c>
      <c r="O660" s="283">
        <v>8</v>
      </c>
      <c r="P660" s="283">
        <v>73933</v>
      </c>
      <c r="Q660" s="235">
        <f>(O660+IF('Scenario Analysis'!$N$23=1,0,0.5))*P660</f>
        <v>628430.5</v>
      </c>
    </row>
    <row r="661" spans="3:17" x14ac:dyDescent="0.25">
      <c r="C661" s="191"/>
      <c r="K661" s="283" t="s">
        <v>1271</v>
      </c>
      <c r="L661" s="283" t="s">
        <v>672</v>
      </c>
      <c r="M661" s="283" t="s">
        <v>250</v>
      </c>
      <c r="N661" s="283" t="s">
        <v>252</v>
      </c>
      <c r="O661" s="283">
        <v>9</v>
      </c>
      <c r="P661" s="283">
        <v>152587</v>
      </c>
      <c r="Q661" s="235">
        <f>(O661+IF('Scenario Analysis'!$N$23=1,0,0.5))*P661</f>
        <v>1449576.5</v>
      </c>
    </row>
    <row r="662" spans="3:17" x14ac:dyDescent="0.25">
      <c r="C662" s="191"/>
      <c r="K662" s="283" t="s">
        <v>1271</v>
      </c>
      <c r="L662" s="283" t="s">
        <v>672</v>
      </c>
      <c r="M662" s="283" t="s">
        <v>250</v>
      </c>
      <c r="N662" s="283" t="s">
        <v>252</v>
      </c>
      <c r="O662" s="283">
        <v>10</v>
      </c>
      <c r="P662" s="283">
        <v>140723</v>
      </c>
      <c r="Q662" s="235">
        <f>(O662+IF('Scenario Analysis'!$N$23=1,0,0.5))*P662</f>
        <v>1477591.5</v>
      </c>
    </row>
    <row r="663" spans="3:17" x14ac:dyDescent="0.25">
      <c r="C663" s="191"/>
      <c r="K663" s="283" t="s">
        <v>1271</v>
      </c>
      <c r="L663" s="283" t="s">
        <v>672</v>
      </c>
      <c r="M663" s="283" t="s">
        <v>250</v>
      </c>
      <c r="N663" s="283" t="s">
        <v>252</v>
      </c>
      <c r="O663" s="283">
        <v>11</v>
      </c>
      <c r="P663" s="283">
        <v>412539</v>
      </c>
      <c r="Q663" s="235">
        <f>(O663+IF('Scenario Analysis'!$N$23=1,0,0.5))*P663</f>
        <v>4744198.5</v>
      </c>
    </row>
    <row r="664" spans="3:17" x14ac:dyDescent="0.25">
      <c r="C664" s="191"/>
      <c r="K664" s="283" t="s">
        <v>1271</v>
      </c>
      <c r="L664" s="283" t="s">
        <v>672</v>
      </c>
      <c r="M664" s="283" t="s">
        <v>250</v>
      </c>
      <c r="N664" s="283" t="s">
        <v>252</v>
      </c>
      <c r="O664" s="283">
        <v>12</v>
      </c>
      <c r="P664" s="283">
        <v>139372</v>
      </c>
      <c r="Q664" s="235">
        <f>(O664+IF('Scenario Analysis'!$N$23=1,0,0.5))*P664</f>
        <v>1742150</v>
      </c>
    </row>
    <row r="665" spans="3:17" x14ac:dyDescent="0.25">
      <c r="C665" s="191"/>
      <c r="K665" s="283" t="s">
        <v>1271</v>
      </c>
      <c r="L665" s="283" t="s">
        <v>672</v>
      </c>
      <c r="M665" s="283" t="s">
        <v>250</v>
      </c>
      <c r="N665" s="283" t="s">
        <v>252</v>
      </c>
      <c r="O665" s="283">
        <v>13</v>
      </c>
      <c r="P665" s="283">
        <v>84178</v>
      </c>
      <c r="Q665" s="235">
        <f>(O665+IF('Scenario Analysis'!$N$23=1,0,0.5))*P665</f>
        <v>1136403</v>
      </c>
    </row>
    <row r="666" spans="3:17" x14ac:dyDescent="0.25">
      <c r="C666" s="191"/>
      <c r="K666" s="283" t="s">
        <v>1271</v>
      </c>
      <c r="L666" s="283" t="s">
        <v>672</v>
      </c>
      <c r="M666" s="283" t="s">
        <v>250</v>
      </c>
      <c r="N666" s="283" t="s">
        <v>252</v>
      </c>
      <c r="O666" s="283">
        <v>14</v>
      </c>
      <c r="P666" s="283">
        <v>74141</v>
      </c>
      <c r="Q666" s="235">
        <f>(O666+IF('Scenario Analysis'!$N$23=1,0,0.5))*P666</f>
        <v>1075044.5</v>
      </c>
    </row>
    <row r="667" spans="3:17" x14ac:dyDescent="0.25">
      <c r="C667" s="191"/>
      <c r="K667" s="283" t="s">
        <v>1271</v>
      </c>
      <c r="L667" s="283" t="s">
        <v>672</v>
      </c>
      <c r="M667" s="283" t="s">
        <v>250</v>
      </c>
      <c r="N667" s="283" t="s">
        <v>252</v>
      </c>
      <c r="O667" s="283">
        <v>15</v>
      </c>
      <c r="P667" s="283">
        <v>31449</v>
      </c>
      <c r="Q667" s="235">
        <f>(O667+IF('Scenario Analysis'!$N$23=1,0,0.5))*P667</f>
        <v>487459.5</v>
      </c>
    </row>
    <row r="668" spans="3:17" x14ac:dyDescent="0.25">
      <c r="C668" s="191"/>
      <c r="K668" s="283" t="s">
        <v>1271</v>
      </c>
      <c r="L668" s="283" t="s">
        <v>672</v>
      </c>
      <c r="M668" s="283" t="s">
        <v>250</v>
      </c>
      <c r="N668" s="283" t="s">
        <v>252</v>
      </c>
      <c r="O668" s="283">
        <v>16</v>
      </c>
      <c r="P668" s="283">
        <v>31605</v>
      </c>
      <c r="Q668" s="235">
        <f>(O668+IF('Scenario Analysis'!$N$23=1,0,0.5))*P668</f>
        <v>521482.5</v>
      </c>
    </row>
    <row r="669" spans="3:17" x14ac:dyDescent="0.25">
      <c r="C669" s="191"/>
      <c r="K669" s="283" t="s">
        <v>1271</v>
      </c>
      <c r="L669" s="283" t="s">
        <v>672</v>
      </c>
      <c r="M669" s="283" t="s">
        <v>250</v>
      </c>
      <c r="N669" s="283" t="s">
        <v>252</v>
      </c>
      <c r="O669" s="283">
        <v>17</v>
      </c>
      <c r="P669" s="283">
        <v>34119</v>
      </c>
      <c r="Q669" s="235">
        <f>(O669+IF('Scenario Analysis'!$N$23=1,0,0.5))*P669</f>
        <v>597082.5</v>
      </c>
    </row>
    <row r="670" spans="3:17" x14ac:dyDescent="0.25">
      <c r="C670" s="191"/>
      <c r="K670" s="283" t="s">
        <v>1271</v>
      </c>
      <c r="L670" s="283" t="s">
        <v>672</v>
      </c>
      <c r="M670" s="283" t="s">
        <v>250</v>
      </c>
      <c r="N670" s="283" t="s">
        <v>252</v>
      </c>
      <c r="O670" s="283">
        <v>18</v>
      </c>
      <c r="P670" s="283">
        <v>137266</v>
      </c>
      <c r="Q670" s="235">
        <f>(O670+IF('Scenario Analysis'!$N$23=1,0,0.5))*P670</f>
        <v>2539421</v>
      </c>
    </row>
    <row r="671" spans="3:17" x14ac:dyDescent="0.25">
      <c r="C671" s="191"/>
      <c r="K671" s="283" t="s">
        <v>1271</v>
      </c>
      <c r="L671" s="283" t="s">
        <v>672</v>
      </c>
      <c r="M671" s="283" t="s">
        <v>250</v>
      </c>
      <c r="N671" s="283" t="s">
        <v>252</v>
      </c>
      <c r="O671" s="283">
        <v>19</v>
      </c>
      <c r="P671" s="283">
        <v>24716</v>
      </c>
      <c r="Q671" s="235">
        <f>(O671+IF('Scenario Analysis'!$N$23=1,0,0.5))*P671</f>
        <v>481962</v>
      </c>
    </row>
    <row r="672" spans="3:17" x14ac:dyDescent="0.25">
      <c r="C672" s="191"/>
      <c r="K672" s="283" t="s">
        <v>1271</v>
      </c>
      <c r="L672" s="283" t="s">
        <v>672</v>
      </c>
      <c r="M672" s="283" t="s">
        <v>250</v>
      </c>
      <c r="N672" s="283" t="s">
        <v>252</v>
      </c>
      <c r="O672" s="283">
        <v>20</v>
      </c>
      <c r="P672" s="283">
        <v>96052</v>
      </c>
      <c r="Q672" s="235">
        <f>(O672+IF('Scenario Analysis'!$N$23=1,0,0.5))*P672</f>
        <v>1969066</v>
      </c>
    </row>
    <row r="673" spans="3:17" x14ac:dyDescent="0.25">
      <c r="C673" s="191"/>
      <c r="K673" s="283" t="s">
        <v>1271</v>
      </c>
      <c r="L673" s="283" t="s">
        <v>672</v>
      </c>
      <c r="M673" s="283" t="s">
        <v>250</v>
      </c>
      <c r="N673" s="283" t="s">
        <v>252</v>
      </c>
      <c r="O673" s="283">
        <v>21</v>
      </c>
      <c r="P673" s="283">
        <v>26190</v>
      </c>
      <c r="Q673" s="235">
        <f>(O673+IF('Scenario Analysis'!$N$23=1,0,0.5))*P673</f>
        <v>563085</v>
      </c>
    </row>
    <row r="674" spans="3:17" x14ac:dyDescent="0.25">
      <c r="C674" s="191"/>
      <c r="K674" s="283" t="s">
        <v>1271</v>
      </c>
      <c r="L674" s="283" t="s">
        <v>672</v>
      </c>
      <c r="M674" s="283" t="s">
        <v>250</v>
      </c>
      <c r="N674" s="283" t="s">
        <v>252</v>
      </c>
      <c r="O674" s="283">
        <v>22</v>
      </c>
      <c r="P674" s="283">
        <v>153884</v>
      </c>
      <c r="Q674" s="235">
        <f>(O674+IF('Scenario Analysis'!$N$23=1,0,0.5))*P674</f>
        <v>3462390</v>
      </c>
    </row>
    <row r="675" spans="3:17" x14ac:dyDescent="0.25">
      <c r="C675" s="191"/>
      <c r="K675" s="283" t="s">
        <v>1271</v>
      </c>
      <c r="L675" s="283" t="s">
        <v>672</v>
      </c>
      <c r="M675" s="283" t="s">
        <v>250</v>
      </c>
      <c r="N675" s="283" t="s">
        <v>252</v>
      </c>
      <c r="O675" s="283">
        <v>23</v>
      </c>
      <c r="P675" s="283">
        <v>421273</v>
      </c>
      <c r="Q675" s="235">
        <f>(O675+IF('Scenario Analysis'!$N$23=1,0,0.5))*P675</f>
        <v>9899915.5</v>
      </c>
    </row>
    <row r="676" spans="3:17" x14ac:dyDescent="0.25">
      <c r="C676" s="191"/>
      <c r="K676" s="283" t="s">
        <v>1271</v>
      </c>
      <c r="L676" s="283" t="s">
        <v>672</v>
      </c>
      <c r="M676" s="283" t="s">
        <v>250</v>
      </c>
      <c r="N676" s="283" t="s">
        <v>252</v>
      </c>
      <c r="O676" s="283">
        <v>24</v>
      </c>
      <c r="P676" s="283">
        <v>68337</v>
      </c>
      <c r="Q676" s="235">
        <f>(O676+IF('Scenario Analysis'!$N$23=1,0,0.5))*P676</f>
        <v>1674256.5</v>
      </c>
    </row>
    <row r="677" spans="3:17" x14ac:dyDescent="0.25">
      <c r="C677" s="191"/>
      <c r="K677" s="283" t="s">
        <v>1271</v>
      </c>
      <c r="L677" s="283" t="s">
        <v>672</v>
      </c>
      <c r="M677" s="283" t="s">
        <v>250</v>
      </c>
      <c r="N677" s="283" t="s">
        <v>252</v>
      </c>
      <c r="O677" s="283">
        <v>25</v>
      </c>
      <c r="P677" s="283">
        <v>23351</v>
      </c>
      <c r="Q677" s="235">
        <f>(O677+IF('Scenario Analysis'!$N$23=1,0,0.5))*P677</f>
        <v>595450.5</v>
      </c>
    </row>
    <row r="678" spans="3:17" x14ac:dyDescent="0.25">
      <c r="C678" s="191"/>
      <c r="K678" s="283" t="s">
        <v>1271</v>
      </c>
      <c r="L678" s="283" t="s">
        <v>672</v>
      </c>
      <c r="M678" s="283" t="s">
        <v>250</v>
      </c>
      <c r="N678" s="283" t="s">
        <v>252</v>
      </c>
      <c r="O678" s="283">
        <v>26</v>
      </c>
      <c r="P678" s="283">
        <v>106734</v>
      </c>
      <c r="Q678" s="235">
        <f>(O678+IF('Scenario Analysis'!$N$23=1,0,0.5))*P678</f>
        <v>2828451</v>
      </c>
    </row>
    <row r="679" spans="3:17" x14ac:dyDescent="0.25">
      <c r="C679" s="191"/>
      <c r="K679" s="283" t="s">
        <v>1271</v>
      </c>
      <c r="L679" s="283" t="s">
        <v>672</v>
      </c>
      <c r="M679" s="283" t="s">
        <v>250</v>
      </c>
      <c r="N679" s="283" t="s">
        <v>252</v>
      </c>
      <c r="O679" s="283">
        <v>27</v>
      </c>
      <c r="P679" s="283">
        <v>95216</v>
      </c>
      <c r="Q679" s="235">
        <f>(O679+IF('Scenario Analysis'!$N$23=1,0,0.5))*P679</f>
        <v>2618440</v>
      </c>
    </row>
    <row r="680" spans="3:17" x14ac:dyDescent="0.25">
      <c r="C680" s="191"/>
      <c r="K680" s="283" t="s">
        <v>1271</v>
      </c>
      <c r="L680" s="283" t="s">
        <v>672</v>
      </c>
      <c r="M680" s="283" t="s">
        <v>250</v>
      </c>
      <c r="N680" s="283" t="s">
        <v>252</v>
      </c>
      <c r="O680" s="283">
        <v>28</v>
      </c>
      <c r="P680" s="283">
        <v>11895</v>
      </c>
      <c r="Q680" s="235">
        <f>(O680+IF('Scenario Analysis'!$N$23=1,0,0.5))*P680</f>
        <v>339007.5</v>
      </c>
    </row>
    <row r="681" spans="3:17" x14ac:dyDescent="0.25">
      <c r="C681" s="191"/>
      <c r="K681" s="283" t="s">
        <v>1271</v>
      </c>
      <c r="L681" s="283" t="s">
        <v>672</v>
      </c>
      <c r="M681" s="283" t="s">
        <v>250</v>
      </c>
      <c r="N681" s="283" t="s">
        <v>252</v>
      </c>
      <c r="O681" s="283">
        <v>29</v>
      </c>
      <c r="P681" s="283">
        <v>8966</v>
      </c>
      <c r="Q681" s="235">
        <f>(O681+IF('Scenario Analysis'!$N$23=1,0,0.5))*P681</f>
        <v>264497</v>
      </c>
    </row>
    <row r="682" spans="3:17" x14ac:dyDescent="0.25">
      <c r="C682" s="191"/>
      <c r="K682" s="283" t="s">
        <v>1271</v>
      </c>
      <c r="L682" s="283" t="s">
        <v>672</v>
      </c>
      <c r="M682" s="283" t="s">
        <v>250</v>
      </c>
      <c r="N682" s="283" t="s">
        <v>252</v>
      </c>
      <c r="O682" s="283">
        <v>30</v>
      </c>
      <c r="P682" s="283">
        <v>37070</v>
      </c>
      <c r="Q682" s="235">
        <f>(O682+IF('Scenario Analysis'!$N$23=1,0,0.5))*P682</f>
        <v>1130635</v>
      </c>
    </row>
    <row r="683" spans="3:17" x14ac:dyDescent="0.25">
      <c r="C683" s="191"/>
      <c r="K683" s="283" t="s">
        <v>1271</v>
      </c>
      <c r="L683" s="283" t="s">
        <v>672</v>
      </c>
      <c r="M683" s="283" t="s">
        <v>250</v>
      </c>
      <c r="N683" s="283" t="s">
        <v>252</v>
      </c>
      <c r="O683" s="283">
        <v>31</v>
      </c>
      <c r="P683" s="283">
        <v>143848</v>
      </c>
      <c r="Q683" s="235">
        <f>(O683+IF('Scenario Analysis'!$N$23=1,0,0.5))*P683</f>
        <v>4531212</v>
      </c>
    </row>
    <row r="684" spans="3:17" x14ac:dyDescent="0.25">
      <c r="C684" s="191"/>
      <c r="K684" s="283" t="s">
        <v>1271</v>
      </c>
      <c r="L684" s="283" t="s">
        <v>672</v>
      </c>
      <c r="M684" s="283" t="s">
        <v>250</v>
      </c>
      <c r="N684" s="283" t="s">
        <v>252</v>
      </c>
      <c r="O684" s="283">
        <v>32</v>
      </c>
      <c r="P684" s="283">
        <v>17163</v>
      </c>
      <c r="Q684" s="235">
        <f>(O684+IF('Scenario Analysis'!$N$23=1,0,0.5))*P684</f>
        <v>557797.5</v>
      </c>
    </row>
    <row r="685" spans="3:17" x14ac:dyDescent="0.25">
      <c r="C685" s="191"/>
      <c r="K685" s="283" t="s">
        <v>1271</v>
      </c>
      <c r="L685" s="283" t="s">
        <v>672</v>
      </c>
      <c r="M685" s="283" t="s">
        <v>250</v>
      </c>
      <c r="N685" s="283" t="s">
        <v>252</v>
      </c>
      <c r="O685" s="283">
        <v>33</v>
      </c>
      <c r="P685" s="283">
        <v>22371</v>
      </c>
      <c r="Q685" s="235">
        <f>(O685+IF('Scenario Analysis'!$N$23=1,0,0.5))*P685</f>
        <v>749428.5</v>
      </c>
    </row>
    <row r="686" spans="3:17" x14ac:dyDescent="0.25">
      <c r="C686" s="191"/>
      <c r="K686" s="283" t="s">
        <v>1271</v>
      </c>
      <c r="L686" s="283" t="s">
        <v>672</v>
      </c>
      <c r="M686" s="283" t="s">
        <v>250</v>
      </c>
      <c r="N686" s="283" t="s">
        <v>252</v>
      </c>
      <c r="O686" s="283">
        <v>34</v>
      </c>
      <c r="P686" s="283">
        <v>103011</v>
      </c>
      <c r="Q686" s="235">
        <f>(O686+IF('Scenario Analysis'!$N$23=1,0,0.5))*P686</f>
        <v>3553879.5</v>
      </c>
    </row>
    <row r="687" spans="3:17" x14ac:dyDescent="0.25">
      <c r="C687" s="191"/>
      <c r="K687" s="283" t="s">
        <v>1271</v>
      </c>
      <c r="L687" s="283" t="s">
        <v>672</v>
      </c>
      <c r="M687" s="283" t="s">
        <v>250</v>
      </c>
      <c r="N687" s="283" t="s">
        <v>252</v>
      </c>
      <c r="O687" s="283">
        <v>35</v>
      </c>
      <c r="P687" s="283">
        <v>5356</v>
      </c>
      <c r="Q687" s="235">
        <f>(O687+IF('Scenario Analysis'!$N$23=1,0,0.5))*P687</f>
        <v>190138</v>
      </c>
    </row>
    <row r="688" spans="3:17" x14ac:dyDescent="0.25">
      <c r="C688" s="191"/>
      <c r="K688" s="283" t="s">
        <v>1271</v>
      </c>
      <c r="L688" s="283" t="s">
        <v>672</v>
      </c>
      <c r="M688" s="283" t="s">
        <v>250</v>
      </c>
      <c r="N688" s="283" t="s">
        <v>252</v>
      </c>
      <c r="O688" s="283">
        <v>36</v>
      </c>
      <c r="P688" s="283">
        <v>24276</v>
      </c>
      <c r="Q688" s="235">
        <f>(O688+IF('Scenario Analysis'!$N$23=1,0,0.5))*P688</f>
        <v>886074</v>
      </c>
    </row>
    <row r="689" spans="3:17" x14ac:dyDescent="0.25">
      <c r="C689" s="191"/>
      <c r="K689" s="283" t="s">
        <v>1271</v>
      </c>
      <c r="L689" s="283" t="s">
        <v>672</v>
      </c>
      <c r="M689" s="283" t="s">
        <v>250</v>
      </c>
      <c r="N689" s="283" t="s">
        <v>252</v>
      </c>
      <c r="O689" s="283">
        <v>37</v>
      </c>
      <c r="P689" s="283">
        <v>24135</v>
      </c>
      <c r="Q689" s="235">
        <f>(O689+IF('Scenario Analysis'!$N$23=1,0,0.5))*P689</f>
        <v>905062.5</v>
      </c>
    </row>
    <row r="690" spans="3:17" x14ac:dyDescent="0.25">
      <c r="C690" s="191"/>
      <c r="K690" s="283" t="s">
        <v>1271</v>
      </c>
      <c r="L690" s="283" t="s">
        <v>672</v>
      </c>
      <c r="M690" s="283" t="s">
        <v>250</v>
      </c>
      <c r="N690" s="283" t="s">
        <v>252</v>
      </c>
      <c r="O690" s="283">
        <v>38</v>
      </c>
      <c r="P690" s="283">
        <v>77288</v>
      </c>
      <c r="Q690" s="235">
        <f>(O690+IF('Scenario Analysis'!$N$23=1,0,0.5))*P690</f>
        <v>2975588</v>
      </c>
    </row>
    <row r="691" spans="3:17" x14ac:dyDescent="0.25">
      <c r="C691" s="191"/>
      <c r="K691" s="283" t="s">
        <v>1271</v>
      </c>
      <c r="L691" s="283" t="s">
        <v>672</v>
      </c>
      <c r="M691" s="283" t="s">
        <v>250</v>
      </c>
      <c r="N691" s="283" t="s">
        <v>252</v>
      </c>
      <c r="O691" s="283">
        <v>39</v>
      </c>
      <c r="P691" s="283">
        <v>15926</v>
      </c>
      <c r="Q691" s="235">
        <f>(O691+IF('Scenario Analysis'!$N$23=1,0,0.5))*P691</f>
        <v>629077</v>
      </c>
    </row>
    <row r="692" spans="3:17" x14ac:dyDescent="0.25">
      <c r="C692" s="191"/>
      <c r="K692" s="283" t="s">
        <v>1271</v>
      </c>
      <c r="L692" s="283" t="s">
        <v>672</v>
      </c>
      <c r="M692" s="283" t="s">
        <v>250</v>
      </c>
      <c r="N692" s="283" t="s">
        <v>252</v>
      </c>
      <c r="O692" s="283">
        <v>40</v>
      </c>
      <c r="P692" s="283">
        <v>7897</v>
      </c>
      <c r="Q692" s="235">
        <f>(O692+IF('Scenario Analysis'!$N$23=1,0,0.5))*P692</f>
        <v>319828.5</v>
      </c>
    </row>
    <row r="693" spans="3:17" x14ac:dyDescent="0.25">
      <c r="C693" s="191"/>
      <c r="K693" s="283" t="s">
        <v>1271</v>
      </c>
      <c r="L693" s="283" t="s">
        <v>672</v>
      </c>
      <c r="M693" s="283" t="s">
        <v>250</v>
      </c>
      <c r="N693" s="283" t="s">
        <v>252</v>
      </c>
      <c r="O693" s="283">
        <v>41</v>
      </c>
      <c r="P693" s="283">
        <v>8690</v>
      </c>
      <c r="Q693" s="235">
        <f>(O693+IF('Scenario Analysis'!$N$23=1,0,0.5))*P693</f>
        <v>360635</v>
      </c>
    </row>
    <row r="694" spans="3:17" x14ac:dyDescent="0.25">
      <c r="C694" s="191"/>
      <c r="K694" s="283" t="s">
        <v>1271</v>
      </c>
      <c r="L694" s="283" t="s">
        <v>672</v>
      </c>
      <c r="M694" s="283" t="s">
        <v>250</v>
      </c>
      <c r="N694" s="283" t="s">
        <v>252</v>
      </c>
      <c r="O694" s="283">
        <v>42</v>
      </c>
      <c r="P694" s="283">
        <v>18867</v>
      </c>
      <c r="Q694" s="235">
        <f>(O694+IF('Scenario Analysis'!$N$23=1,0,0.5))*P694</f>
        <v>801847.5</v>
      </c>
    </row>
    <row r="695" spans="3:17" x14ac:dyDescent="0.25">
      <c r="C695" s="191"/>
      <c r="K695" s="283" t="s">
        <v>1271</v>
      </c>
      <c r="L695" s="283" t="s">
        <v>672</v>
      </c>
      <c r="M695" s="283" t="s">
        <v>250</v>
      </c>
      <c r="N695" s="283" t="s">
        <v>252</v>
      </c>
      <c r="O695" s="283">
        <v>43</v>
      </c>
      <c r="P695" s="283">
        <v>49575</v>
      </c>
      <c r="Q695" s="235">
        <f>(O695+IF('Scenario Analysis'!$N$23=1,0,0.5))*P695</f>
        <v>2156512.5</v>
      </c>
    </row>
    <row r="696" spans="3:17" x14ac:dyDescent="0.25">
      <c r="C696" s="191"/>
      <c r="K696" s="283" t="s">
        <v>1271</v>
      </c>
      <c r="L696" s="283" t="s">
        <v>672</v>
      </c>
      <c r="M696" s="283" t="s">
        <v>250</v>
      </c>
      <c r="N696" s="283" t="s">
        <v>252</v>
      </c>
      <c r="O696" s="283">
        <v>44</v>
      </c>
      <c r="P696" s="283">
        <v>14614</v>
      </c>
      <c r="Q696" s="235">
        <f>(O696+IF('Scenario Analysis'!$N$23=1,0,0.5))*P696</f>
        <v>650323</v>
      </c>
    </row>
    <row r="697" spans="3:17" x14ac:dyDescent="0.25">
      <c r="C697" s="191"/>
      <c r="K697" s="283" t="s">
        <v>1271</v>
      </c>
      <c r="L697" s="283" t="s">
        <v>672</v>
      </c>
      <c r="M697" s="283" t="s">
        <v>250</v>
      </c>
      <c r="N697" s="283" t="s">
        <v>252</v>
      </c>
      <c r="O697" s="283">
        <v>45</v>
      </c>
      <c r="P697" s="283">
        <v>35600</v>
      </c>
      <c r="Q697" s="235">
        <f>(O697+IF('Scenario Analysis'!$N$23=1,0,0.5))*P697</f>
        <v>1619800</v>
      </c>
    </row>
    <row r="698" spans="3:17" x14ac:dyDescent="0.25">
      <c r="C698" s="191"/>
      <c r="K698" s="283" t="s">
        <v>1271</v>
      </c>
      <c r="L698" s="283" t="s">
        <v>672</v>
      </c>
      <c r="M698" s="283" t="s">
        <v>250</v>
      </c>
      <c r="N698" s="283" t="s">
        <v>252</v>
      </c>
      <c r="O698" s="283">
        <v>46</v>
      </c>
      <c r="P698" s="283">
        <v>14315</v>
      </c>
      <c r="Q698" s="235">
        <f>(O698+IF('Scenario Analysis'!$N$23=1,0,0.5))*P698</f>
        <v>665647.5</v>
      </c>
    </row>
    <row r="699" spans="3:17" x14ac:dyDescent="0.25">
      <c r="C699" s="191"/>
      <c r="K699" s="283" t="s">
        <v>1271</v>
      </c>
      <c r="L699" s="283" t="s">
        <v>672</v>
      </c>
      <c r="M699" s="283" t="s">
        <v>250</v>
      </c>
      <c r="N699" s="283" t="s">
        <v>252</v>
      </c>
      <c r="O699" s="283">
        <v>47</v>
      </c>
      <c r="P699" s="283">
        <v>88543</v>
      </c>
      <c r="Q699" s="235">
        <f>(O699+IF('Scenario Analysis'!$N$23=1,0,0.5))*P699</f>
        <v>4205792.5</v>
      </c>
    </row>
    <row r="700" spans="3:17" x14ac:dyDescent="0.25">
      <c r="C700" s="191"/>
      <c r="K700" s="283" t="s">
        <v>1271</v>
      </c>
      <c r="L700" s="283" t="s">
        <v>672</v>
      </c>
      <c r="M700" s="283" t="s">
        <v>250</v>
      </c>
      <c r="N700" s="283" t="s">
        <v>252</v>
      </c>
      <c r="O700" s="283">
        <v>48</v>
      </c>
      <c r="P700" s="283">
        <v>20527</v>
      </c>
      <c r="Q700" s="235">
        <f>(O700+IF('Scenario Analysis'!$N$23=1,0,0.5))*P700</f>
        <v>995559.5</v>
      </c>
    </row>
    <row r="701" spans="3:17" x14ac:dyDescent="0.25">
      <c r="C701" s="191"/>
      <c r="K701" s="283" t="s">
        <v>1271</v>
      </c>
      <c r="L701" s="283" t="s">
        <v>672</v>
      </c>
      <c r="M701" s="283" t="s">
        <v>250</v>
      </c>
      <c r="N701" s="283" t="s">
        <v>252</v>
      </c>
      <c r="O701" s="283">
        <v>49</v>
      </c>
      <c r="P701" s="283">
        <v>55016</v>
      </c>
      <c r="Q701" s="235">
        <f>(O701+IF('Scenario Analysis'!$N$23=1,0,0.5))*P701</f>
        <v>2723292</v>
      </c>
    </row>
    <row r="702" spans="3:17" x14ac:dyDescent="0.25">
      <c r="C702" s="191"/>
      <c r="K702" s="283" t="s">
        <v>1271</v>
      </c>
      <c r="L702" s="283" t="s">
        <v>672</v>
      </c>
      <c r="M702" s="283" t="s">
        <v>250</v>
      </c>
      <c r="N702" s="283" t="s">
        <v>252</v>
      </c>
      <c r="O702" s="283">
        <v>50</v>
      </c>
      <c r="P702" s="283">
        <v>7094</v>
      </c>
      <c r="Q702" s="235">
        <f>(O702+IF('Scenario Analysis'!$N$23=1,0,0.5))*P702</f>
        <v>358247</v>
      </c>
    </row>
    <row r="703" spans="3:17" x14ac:dyDescent="0.25">
      <c r="C703" s="191"/>
      <c r="K703" s="283" t="s">
        <v>1271</v>
      </c>
      <c r="L703" s="283" t="s">
        <v>672</v>
      </c>
      <c r="M703" s="283" t="s">
        <v>250</v>
      </c>
      <c r="N703" s="283" t="s">
        <v>252</v>
      </c>
      <c r="O703" s="283">
        <v>51</v>
      </c>
      <c r="P703" s="283">
        <v>5110</v>
      </c>
      <c r="Q703" s="235">
        <f>(O703+IF('Scenario Analysis'!$N$23=1,0,0.5))*P703</f>
        <v>263165</v>
      </c>
    </row>
    <row r="704" spans="3:17" x14ac:dyDescent="0.25">
      <c r="C704" s="191"/>
      <c r="K704" s="283" t="s">
        <v>1271</v>
      </c>
      <c r="L704" s="283" t="s">
        <v>672</v>
      </c>
      <c r="M704" s="283" t="s">
        <v>250</v>
      </c>
      <c r="N704" s="283" t="s">
        <v>252</v>
      </c>
      <c r="O704" s="283">
        <v>52</v>
      </c>
      <c r="P704" s="283">
        <v>14024</v>
      </c>
      <c r="Q704" s="235">
        <f>(O704+IF('Scenario Analysis'!$N$23=1,0,0.5))*P704</f>
        <v>736260</v>
      </c>
    </row>
    <row r="705" spans="3:17" x14ac:dyDescent="0.25">
      <c r="C705" s="191"/>
      <c r="K705" s="283" t="s">
        <v>1271</v>
      </c>
      <c r="L705" s="283" t="s">
        <v>672</v>
      </c>
      <c r="M705" s="283" t="s">
        <v>250</v>
      </c>
      <c r="N705" s="283" t="s">
        <v>252</v>
      </c>
      <c r="O705" s="283">
        <v>53</v>
      </c>
      <c r="P705" s="283">
        <v>16205</v>
      </c>
      <c r="Q705" s="235">
        <f>(O705+IF('Scenario Analysis'!$N$23=1,0,0.5))*P705</f>
        <v>866967.5</v>
      </c>
    </row>
    <row r="706" spans="3:17" x14ac:dyDescent="0.25">
      <c r="C706" s="191"/>
      <c r="K706" s="283" t="s">
        <v>1271</v>
      </c>
      <c r="L706" s="283" t="s">
        <v>672</v>
      </c>
      <c r="M706" s="283" t="s">
        <v>250</v>
      </c>
      <c r="N706" s="283" t="s">
        <v>252</v>
      </c>
      <c r="O706" s="283">
        <v>54</v>
      </c>
      <c r="P706" s="283">
        <v>13602</v>
      </c>
      <c r="Q706" s="235">
        <f>(O706+IF('Scenario Analysis'!$N$23=1,0,0.5))*P706</f>
        <v>741309</v>
      </c>
    </row>
    <row r="707" spans="3:17" x14ac:dyDescent="0.25">
      <c r="C707" s="191"/>
      <c r="K707" s="283" t="s">
        <v>1271</v>
      </c>
      <c r="L707" s="283" t="s">
        <v>672</v>
      </c>
      <c r="M707" s="283" t="s">
        <v>250</v>
      </c>
      <c r="N707" s="283" t="s">
        <v>252</v>
      </c>
      <c r="O707" s="283">
        <v>55</v>
      </c>
      <c r="P707" s="283">
        <v>130613</v>
      </c>
      <c r="Q707" s="235">
        <f>(O707+IF('Scenario Analysis'!$N$23=1,0,0.5))*P707</f>
        <v>7249021.5</v>
      </c>
    </row>
    <row r="708" spans="3:17" x14ac:dyDescent="0.25">
      <c r="C708" s="191"/>
      <c r="K708" s="283" t="s">
        <v>1271</v>
      </c>
      <c r="L708" s="283" t="s">
        <v>672</v>
      </c>
      <c r="M708" s="283" t="s">
        <v>250</v>
      </c>
      <c r="N708" s="283" t="s">
        <v>252</v>
      </c>
      <c r="O708" s="283">
        <v>56</v>
      </c>
      <c r="P708" s="283">
        <v>48489</v>
      </c>
      <c r="Q708" s="235">
        <f>(O708+IF('Scenario Analysis'!$N$23=1,0,0.5))*P708</f>
        <v>2739628.5</v>
      </c>
    </row>
    <row r="709" spans="3:17" x14ac:dyDescent="0.25">
      <c r="C709" s="191"/>
      <c r="K709" s="283" t="s">
        <v>1271</v>
      </c>
      <c r="L709" s="283" t="s">
        <v>672</v>
      </c>
      <c r="M709" s="283" t="s">
        <v>250</v>
      </c>
      <c r="N709" s="283" t="s">
        <v>252</v>
      </c>
      <c r="O709" s="283">
        <v>57</v>
      </c>
      <c r="P709" s="283">
        <v>74245</v>
      </c>
      <c r="Q709" s="235">
        <f>(O709+IF('Scenario Analysis'!$N$23=1,0,0.5))*P709</f>
        <v>4269087.5</v>
      </c>
    </row>
    <row r="710" spans="3:17" x14ac:dyDescent="0.25">
      <c r="C710" s="191"/>
      <c r="K710" s="283" t="s">
        <v>1271</v>
      </c>
      <c r="L710" s="283" t="s">
        <v>672</v>
      </c>
      <c r="M710" s="283" t="s">
        <v>250</v>
      </c>
      <c r="N710" s="283" t="s">
        <v>252</v>
      </c>
      <c r="O710" s="283">
        <v>58</v>
      </c>
      <c r="P710" s="283">
        <v>24723</v>
      </c>
      <c r="Q710" s="235">
        <f>(O710+IF('Scenario Analysis'!$N$23=1,0,0.5))*P710</f>
        <v>1446295.5</v>
      </c>
    </row>
    <row r="711" spans="3:17" x14ac:dyDescent="0.25">
      <c r="C711" s="191"/>
      <c r="K711" s="283" t="s">
        <v>1271</v>
      </c>
      <c r="L711" s="283" t="s">
        <v>672</v>
      </c>
      <c r="M711" s="283" t="s">
        <v>250</v>
      </c>
      <c r="N711" s="283" t="s">
        <v>252</v>
      </c>
      <c r="O711" s="283">
        <v>59</v>
      </c>
      <c r="P711" s="283">
        <v>9811</v>
      </c>
      <c r="Q711" s="235">
        <f>(O711+IF('Scenario Analysis'!$N$23=1,0,0.5))*P711</f>
        <v>583754.5</v>
      </c>
    </row>
    <row r="712" spans="3:17" x14ac:dyDescent="0.25">
      <c r="C712" s="191"/>
      <c r="K712" s="283" t="s">
        <v>1271</v>
      </c>
      <c r="L712" s="283" t="s">
        <v>672</v>
      </c>
      <c r="M712" s="283" t="s">
        <v>250</v>
      </c>
      <c r="N712" s="283" t="s">
        <v>252</v>
      </c>
      <c r="O712" s="283">
        <v>60</v>
      </c>
      <c r="P712" s="283">
        <v>59401</v>
      </c>
      <c r="Q712" s="235">
        <f>(O712+IF('Scenario Analysis'!$N$23=1,0,0.5))*P712</f>
        <v>3593760.5</v>
      </c>
    </row>
    <row r="713" spans="3:17" x14ac:dyDescent="0.25">
      <c r="C713" s="191"/>
      <c r="K713" s="283" t="s">
        <v>1271</v>
      </c>
      <c r="L713" s="283" t="s">
        <v>672</v>
      </c>
      <c r="M713" s="283" t="s">
        <v>250</v>
      </c>
      <c r="N713" s="283" t="s">
        <v>252</v>
      </c>
      <c r="O713" s="283">
        <v>61</v>
      </c>
      <c r="P713" s="283">
        <v>34803</v>
      </c>
      <c r="Q713" s="235">
        <f>(O713+IF('Scenario Analysis'!$N$23=1,0,0.5))*P713</f>
        <v>2140384.5</v>
      </c>
    </row>
    <row r="714" spans="3:17" x14ac:dyDescent="0.25">
      <c r="C714" s="191"/>
      <c r="K714" s="283" t="s">
        <v>1271</v>
      </c>
      <c r="L714" s="283" t="s">
        <v>672</v>
      </c>
      <c r="M714" s="283" t="s">
        <v>250</v>
      </c>
      <c r="N714" s="283" t="s">
        <v>252</v>
      </c>
      <c r="O714" s="283">
        <v>62</v>
      </c>
      <c r="P714" s="283">
        <v>13726</v>
      </c>
      <c r="Q714" s="235">
        <f>(O714+IF('Scenario Analysis'!$N$23=1,0,0.5))*P714</f>
        <v>857875</v>
      </c>
    </row>
    <row r="715" spans="3:17" x14ac:dyDescent="0.25">
      <c r="C715" s="191"/>
      <c r="K715" s="283" t="s">
        <v>1271</v>
      </c>
      <c r="L715" s="283" t="s">
        <v>672</v>
      </c>
      <c r="M715" s="283" t="s">
        <v>250</v>
      </c>
      <c r="N715" s="283" t="s">
        <v>252</v>
      </c>
      <c r="O715" s="283">
        <v>63</v>
      </c>
      <c r="P715" s="283">
        <v>15631</v>
      </c>
      <c r="Q715" s="235">
        <f>(O715+IF('Scenario Analysis'!$N$23=1,0,0.5))*P715</f>
        <v>992568.5</v>
      </c>
    </row>
    <row r="716" spans="3:17" x14ac:dyDescent="0.25">
      <c r="C716" s="191"/>
      <c r="K716" s="283" t="s">
        <v>1271</v>
      </c>
      <c r="L716" s="283" t="s">
        <v>672</v>
      </c>
      <c r="M716" s="283" t="s">
        <v>250</v>
      </c>
      <c r="N716" s="283" t="s">
        <v>252</v>
      </c>
      <c r="O716" s="283">
        <v>64</v>
      </c>
      <c r="P716" s="283">
        <v>23438</v>
      </c>
      <c r="Q716" s="235">
        <f>(O716+IF('Scenario Analysis'!$N$23=1,0,0.5))*P716</f>
        <v>1511751</v>
      </c>
    </row>
    <row r="717" spans="3:17" x14ac:dyDescent="0.25">
      <c r="C717" s="191"/>
      <c r="K717" s="283" t="s">
        <v>1271</v>
      </c>
      <c r="L717" s="283" t="s">
        <v>672</v>
      </c>
      <c r="M717" s="283" t="s">
        <v>250</v>
      </c>
      <c r="N717" s="283" t="s">
        <v>252</v>
      </c>
      <c r="O717" s="283">
        <v>65</v>
      </c>
      <c r="P717" s="283">
        <v>119446</v>
      </c>
      <c r="Q717" s="235">
        <f>(O717+IF('Scenario Analysis'!$N$23=1,0,0.5))*P717</f>
        <v>7823713</v>
      </c>
    </row>
    <row r="718" spans="3:17" x14ac:dyDescent="0.25">
      <c r="C718" s="191"/>
      <c r="K718" s="283" t="s">
        <v>1271</v>
      </c>
      <c r="L718" s="283" t="s">
        <v>672</v>
      </c>
      <c r="M718" s="283" t="s">
        <v>250</v>
      </c>
      <c r="N718" s="283" t="s">
        <v>252</v>
      </c>
      <c r="O718" s="283">
        <v>66</v>
      </c>
      <c r="P718" s="283">
        <v>21454</v>
      </c>
      <c r="Q718" s="235">
        <f>(O718+IF('Scenario Analysis'!$N$23=1,0,0.5))*P718</f>
        <v>1426691</v>
      </c>
    </row>
    <row r="719" spans="3:17" x14ac:dyDescent="0.25">
      <c r="C719" s="191"/>
      <c r="K719" s="283" t="s">
        <v>1271</v>
      </c>
      <c r="L719" s="283" t="s">
        <v>672</v>
      </c>
      <c r="M719" s="283" t="s">
        <v>250</v>
      </c>
      <c r="N719" s="283" t="s">
        <v>252</v>
      </c>
      <c r="O719" s="283">
        <v>67</v>
      </c>
      <c r="P719" s="283">
        <v>63246</v>
      </c>
      <c r="Q719" s="235">
        <f>(O719+IF('Scenario Analysis'!$N$23=1,0,0.5))*P719</f>
        <v>4269105</v>
      </c>
    </row>
    <row r="720" spans="3:17" x14ac:dyDescent="0.25">
      <c r="C720" s="191"/>
      <c r="K720" s="283" t="s">
        <v>1271</v>
      </c>
      <c r="L720" s="283" t="s">
        <v>672</v>
      </c>
      <c r="M720" s="283" t="s">
        <v>250</v>
      </c>
      <c r="N720" s="283" t="s">
        <v>252</v>
      </c>
      <c r="O720" s="283">
        <v>68</v>
      </c>
      <c r="P720" s="283">
        <v>29091</v>
      </c>
      <c r="Q720" s="235">
        <f>(O720+IF('Scenario Analysis'!$N$23=1,0,0.5))*P720</f>
        <v>1992733.5</v>
      </c>
    </row>
    <row r="721" spans="3:17" x14ac:dyDescent="0.25">
      <c r="C721" s="191"/>
      <c r="K721" s="283" t="s">
        <v>1271</v>
      </c>
      <c r="L721" s="283" t="s">
        <v>672</v>
      </c>
      <c r="M721" s="283" t="s">
        <v>250</v>
      </c>
      <c r="N721" s="283" t="s">
        <v>252</v>
      </c>
      <c r="O721" s="283">
        <v>69</v>
      </c>
      <c r="P721" s="283">
        <v>63897</v>
      </c>
      <c r="Q721" s="235">
        <f>(O721+IF('Scenario Analysis'!$N$23=1,0,0.5))*P721</f>
        <v>4440841.5</v>
      </c>
    </row>
    <row r="722" spans="3:17" x14ac:dyDescent="0.25">
      <c r="C722" s="191"/>
      <c r="K722" s="283" t="s">
        <v>1271</v>
      </c>
      <c r="L722" s="283" t="s">
        <v>672</v>
      </c>
      <c r="M722" s="283" t="s">
        <v>250</v>
      </c>
      <c r="N722" s="283" t="s">
        <v>252</v>
      </c>
      <c r="O722" s="283">
        <v>70</v>
      </c>
      <c r="P722" s="283">
        <v>69510</v>
      </c>
      <c r="Q722" s="235">
        <f>(O722+IF('Scenario Analysis'!$N$23=1,0,0.5))*P722</f>
        <v>4900455</v>
      </c>
    </row>
    <row r="723" spans="3:17" x14ac:dyDescent="0.25">
      <c r="C723" s="191"/>
      <c r="K723" s="283" t="s">
        <v>1271</v>
      </c>
      <c r="L723" s="283" t="s">
        <v>672</v>
      </c>
      <c r="M723" s="283" t="s">
        <v>250</v>
      </c>
      <c r="N723" s="283" t="s">
        <v>252</v>
      </c>
      <c r="O723" s="283">
        <v>71</v>
      </c>
      <c r="P723" s="283">
        <v>19076</v>
      </c>
      <c r="Q723" s="235">
        <f>(O723+IF('Scenario Analysis'!$N$23=1,0,0.5))*P723</f>
        <v>1363934</v>
      </c>
    </row>
    <row r="724" spans="3:17" x14ac:dyDescent="0.25">
      <c r="C724" s="191"/>
      <c r="K724" s="283" t="s">
        <v>1271</v>
      </c>
      <c r="L724" s="283" t="s">
        <v>672</v>
      </c>
      <c r="M724" s="283" t="s">
        <v>250</v>
      </c>
      <c r="N724" s="283" t="s">
        <v>252</v>
      </c>
      <c r="O724" s="283">
        <v>72</v>
      </c>
      <c r="P724" s="283">
        <v>12145</v>
      </c>
      <c r="Q724" s="235">
        <f>(O724+IF('Scenario Analysis'!$N$23=1,0,0.5))*P724</f>
        <v>880512.5</v>
      </c>
    </row>
    <row r="725" spans="3:17" x14ac:dyDescent="0.25">
      <c r="C725" s="191"/>
      <c r="K725" s="283" t="s">
        <v>1271</v>
      </c>
      <c r="L725" s="283" t="s">
        <v>672</v>
      </c>
      <c r="M725" s="283" t="s">
        <v>250</v>
      </c>
      <c r="N725" s="283" t="s">
        <v>252</v>
      </c>
      <c r="O725" s="283">
        <v>73</v>
      </c>
      <c r="P725" s="283">
        <v>166865</v>
      </c>
      <c r="Q725" s="235">
        <f>(O725+IF('Scenario Analysis'!$N$23=1,0,0.5))*P725</f>
        <v>12264577.5</v>
      </c>
    </row>
    <row r="726" spans="3:17" x14ac:dyDescent="0.25">
      <c r="C726" s="191"/>
      <c r="K726" s="283" t="s">
        <v>1271</v>
      </c>
      <c r="L726" s="283" t="s">
        <v>672</v>
      </c>
      <c r="M726" s="283" t="s">
        <v>250</v>
      </c>
      <c r="N726" s="283" t="s">
        <v>252</v>
      </c>
      <c r="O726" s="283">
        <v>74</v>
      </c>
      <c r="P726" s="283">
        <v>20160</v>
      </c>
      <c r="Q726" s="235">
        <f>(O726+IF('Scenario Analysis'!$N$23=1,0,0.5))*P726</f>
        <v>1501920</v>
      </c>
    </row>
    <row r="727" spans="3:17" x14ac:dyDescent="0.25">
      <c r="C727" s="191"/>
      <c r="K727" s="283" t="s">
        <v>1271</v>
      </c>
      <c r="L727" s="283" t="s">
        <v>672</v>
      </c>
      <c r="M727" s="283" t="s">
        <v>250</v>
      </c>
      <c r="N727" s="283" t="s">
        <v>252</v>
      </c>
      <c r="O727" s="283">
        <v>75</v>
      </c>
      <c r="P727" s="283">
        <v>33690</v>
      </c>
      <c r="Q727" s="235">
        <f>(O727+IF('Scenario Analysis'!$N$23=1,0,0.5))*P727</f>
        <v>2543595</v>
      </c>
    </row>
    <row r="728" spans="3:17" x14ac:dyDescent="0.25">
      <c r="C728" s="191"/>
      <c r="K728" s="283" t="s">
        <v>1271</v>
      </c>
      <c r="L728" s="283" t="s">
        <v>672</v>
      </c>
      <c r="M728" s="283" t="s">
        <v>250</v>
      </c>
      <c r="N728" s="283" t="s">
        <v>252</v>
      </c>
      <c r="O728" s="283">
        <v>76</v>
      </c>
      <c r="P728" s="283">
        <v>10047</v>
      </c>
      <c r="Q728" s="235">
        <f>(O728+IF('Scenario Analysis'!$N$23=1,0,0.5))*P728</f>
        <v>768595.5</v>
      </c>
    </row>
    <row r="729" spans="3:17" x14ac:dyDescent="0.25">
      <c r="C729" s="191"/>
      <c r="K729" s="283" t="s">
        <v>1271</v>
      </c>
      <c r="L729" s="283" t="s">
        <v>672</v>
      </c>
      <c r="M729" s="283" t="s">
        <v>250</v>
      </c>
      <c r="N729" s="283" t="s">
        <v>252</v>
      </c>
      <c r="O729" s="283">
        <v>77</v>
      </c>
      <c r="P729" s="283">
        <v>24483</v>
      </c>
      <c r="Q729" s="235">
        <f>(O729+IF('Scenario Analysis'!$N$23=1,0,0.5))*P729</f>
        <v>1897432.5</v>
      </c>
    </row>
    <row r="730" spans="3:17" x14ac:dyDescent="0.25">
      <c r="C730" s="191"/>
      <c r="K730" s="283" t="s">
        <v>1271</v>
      </c>
      <c r="L730" s="283" t="s">
        <v>672</v>
      </c>
      <c r="M730" s="283" t="s">
        <v>250</v>
      </c>
      <c r="N730" s="283" t="s">
        <v>252</v>
      </c>
      <c r="O730" s="283">
        <v>78</v>
      </c>
      <c r="P730" s="283">
        <v>12192</v>
      </c>
      <c r="Q730" s="235">
        <f>(O730+IF('Scenario Analysis'!$N$23=1,0,0.5))*P730</f>
        <v>957072</v>
      </c>
    </row>
    <row r="731" spans="3:17" x14ac:dyDescent="0.25">
      <c r="C731" s="191"/>
      <c r="K731" s="283" t="s">
        <v>1271</v>
      </c>
      <c r="L731" s="283" t="s">
        <v>672</v>
      </c>
      <c r="M731" s="283" t="s">
        <v>250</v>
      </c>
      <c r="N731" s="283" t="s">
        <v>252</v>
      </c>
      <c r="O731" s="283">
        <v>79</v>
      </c>
      <c r="P731" s="283">
        <v>41220</v>
      </c>
      <c r="Q731" s="235">
        <f>(O731+IF('Scenario Analysis'!$N$23=1,0,0.5))*P731</f>
        <v>3276990</v>
      </c>
    </row>
    <row r="732" spans="3:17" x14ac:dyDescent="0.25">
      <c r="C732" s="191"/>
      <c r="K732" s="283" t="s">
        <v>1271</v>
      </c>
      <c r="L732" s="283" t="s">
        <v>672</v>
      </c>
      <c r="M732" s="283" t="s">
        <v>250</v>
      </c>
      <c r="N732" s="283" t="s">
        <v>252</v>
      </c>
      <c r="O732" s="283">
        <v>80</v>
      </c>
      <c r="P732" s="283">
        <v>31629</v>
      </c>
      <c r="Q732" s="235">
        <f>(O732+IF('Scenario Analysis'!$N$23=1,0,0.5))*P732</f>
        <v>2546134.5</v>
      </c>
    </row>
    <row r="733" spans="3:17" x14ac:dyDescent="0.25">
      <c r="C733" s="191"/>
      <c r="K733" s="283" t="s">
        <v>1271</v>
      </c>
      <c r="L733" s="283" t="s">
        <v>672</v>
      </c>
      <c r="M733" s="283" t="s">
        <v>250</v>
      </c>
      <c r="N733" s="283" t="s">
        <v>252</v>
      </c>
      <c r="O733" s="283">
        <v>81</v>
      </c>
      <c r="P733" s="283">
        <v>62005</v>
      </c>
      <c r="Q733" s="235">
        <f>(O733+IF('Scenario Analysis'!$N$23=1,0,0.5))*P733</f>
        <v>5053407.5</v>
      </c>
    </row>
    <row r="734" spans="3:17" x14ac:dyDescent="0.25">
      <c r="C734" s="191"/>
      <c r="K734" s="283" t="s">
        <v>1271</v>
      </c>
      <c r="L734" s="283" t="s">
        <v>672</v>
      </c>
      <c r="M734" s="283" t="s">
        <v>250</v>
      </c>
      <c r="N734" s="283" t="s">
        <v>252</v>
      </c>
      <c r="O734" s="283">
        <v>82</v>
      </c>
      <c r="P734" s="283">
        <v>44808</v>
      </c>
      <c r="Q734" s="235">
        <f>(O734+IF('Scenario Analysis'!$N$23=1,0,0.5))*P734</f>
        <v>3696660</v>
      </c>
    </row>
    <row r="735" spans="3:17" x14ac:dyDescent="0.25">
      <c r="C735" s="191"/>
      <c r="K735" s="283" t="s">
        <v>1271</v>
      </c>
      <c r="L735" s="283" t="s">
        <v>672</v>
      </c>
      <c r="M735" s="283" t="s">
        <v>250</v>
      </c>
      <c r="N735" s="283" t="s">
        <v>252</v>
      </c>
      <c r="O735" s="283">
        <v>83</v>
      </c>
      <c r="P735" s="283">
        <v>6211</v>
      </c>
      <c r="Q735" s="235">
        <f>(O735+IF('Scenario Analysis'!$N$23=1,0,0.5))*P735</f>
        <v>518618.5</v>
      </c>
    </row>
    <row r="736" spans="3:17" x14ac:dyDescent="0.25">
      <c r="C736" s="191"/>
      <c r="K736" s="283" t="s">
        <v>1271</v>
      </c>
      <c r="L736" s="283" t="s">
        <v>672</v>
      </c>
      <c r="M736" s="283" t="s">
        <v>250</v>
      </c>
      <c r="N736" s="283" t="s">
        <v>252</v>
      </c>
      <c r="O736" s="283">
        <v>84</v>
      </c>
      <c r="P736" s="283">
        <v>40316</v>
      </c>
      <c r="Q736" s="235">
        <f>(O736+IF('Scenario Analysis'!$N$23=1,0,0.5))*P736</f>
        <v>3406702</v>
      </c>
    </row>
    <row r="737" spans="3:17" x14ac:dyDescent="0.25">
      <c r="C737" s="191"/>
      <c r="K737" s="283" t="s">
        <v>1271</v>
      </c>
      <c r="L737" s="283" t="s">
        <v>672</v>
      </c>
      <c r="M737" s="283" t="s">
        <v>250</v>
      </c>
      <c r="N737" s="283" t="s">
        <v>252</v>
      </c>
      <c r="O737" s="283">
        <v>85</v>
      </c>
      <c r="P737" s="283">
        <v>3469</v>
      </c>
      <c r="Q737" s="235">
        <f>(O737+IF('Scenario Analysis'!$N$23=1,0,0.5))*P737</f>
        <v>296599.5</v>
      </c>
    </row>
    <row r="738" spans="3:17" x14ac:dyDescent="0.25">
      <c r="C738" s="191"/>
      <c r="K738" s="283" t="s">
        <v>1271</v>
      </c>
      <c r="L738" s="283" t="s">
        <v>672</v>
      </c>
      <c r="M738" s="283" t="s">
        <v>250</v>
      </c>
      <c r="N738" s="283" t="s">
        <v>252</v>
      </c>
      <c r="O738" s="283">
        <v>86</v>
      </c>
      <c r="P738" s="283">
        <v>55499</v>
      </c>
      <c r="Q738" s="235">
        <f>(O738+IF('Scenario Analysis'!$N$23=1,0,0.5))*P738</f>
        <v>4800663.5</v>
      </c>
    </row>
    <row r="739" spans="3:17" x14ac:dyDescent="0.25">
      <c r="C739" s="191"/>
      <c r="K739" s="283" t="s">
        <v>1271</v>
      </c>
      <c r="L739" s="283" t="s">
        <v>672</v>
      </c>
      <c r="M739" s="283" t="s">
        <v>250</v>
      </c>
      <c r="N739" s="283" t="s">
        <v>252</v>
      </c>
      <c r="O739" s="283">
        <v>87</v>
      </c>
      <c r="P739" s="283">
        <v>17105</v>
      </c>
      <c r="Q739" s="235">
        <f>(O739+IF('Scenario Analysis'!$N$23=1,0,0.5))*P739</f>
        <v>1496687.5</v>
      </c>
    </row>
    <row r="740" spans="3:17" x14ac:dyDescent="0.25">
      <c r="C740" s="191"/>
      <c r="K740" s="283" t="s">
        <v>1271</v>
      </c>
      <c r="L740" s="283" t="s">
        <v>672</v>
      </c>
      <c r="M740" s="283" t="s">
        <v>250</v>
      </c>
      <c r="N740" s="283" t="s">
        <v>252</v>
      </c>
      <c r="O740" s="283">
        <v>88</v>
      </c>
      <c r="P740" s="283">
        <v>8752</v>
      </c>
      <c r="Q740" s="235">
        <f>(O740+IF('Scenario Analysis'!$N$23=1,0,0.5))*P740</f>
        <v>774552</v>
      </c>
    </row>
    <row r="741" spans="3:17" x14ac:dyDescent="0.25">
      <c r="C741" s="191"/>
      <c r="K741" s="283" t="s">
        <v>1271</v>
      </c>
      <c r="L741" s="283" t="s">
        <v>672</v>
      </c>
      <c r="M741" s="283" t="s">
        <v>250</v>
      </c>
      <c r="N741" s="283" t="s">
        <v>252</v>
      </c>
      <c r="O741" s="283">
        <v>89</v>
      </c>
      <c r="P741" s="283">
        <v>22792</v>
      </c>
      <c r="Q741" s="235">
        <f>(O741+IF('Scenario Analysis'!$N$23=1,0,0.5))*P741</f>
        <v>2039884</v>
      </c>
    </row>
    <row r="742" spans="3:17" x14ac:dyDescent="0.25">
      <c r="C742" s="191"/>
      <c r="K742" s="283" t="s">
        <v>1271</v>
      </c>
      <c r="L742" s="283" t="s">
        <v>672</v>
      </c>
      <c r="M742" s="283" t="s">
        <v>250</v>
      </c>
      <c r="N742" s="283" t="s">
        <v>252</v>
      </c>
      <c r="O742" s="283">
        <v>90</v>
      </c>
      <c r="P742" s="283">
        <v>10974</v>
      </c>
      <c r="Q742" s="235">
        <f>(O742+IF('Scenario Analysis'!$N$23=1,0,0.5))*P742</f>
        <v>993147</v>
      </c>
    </row>
    <row r="743" spans="3:17" x14ac:dyDescent="0.25">
      <c r="C743" s="191"/>
      <c r="K743" s="283" t="s">
        <v>1271</v>
      </c>
      <c r="L743" s="283" t="s">
        <v>672</v>
      </c>
      <c r="M743" s="283" t="s">
        <v>250</v>
      </c>
      <c r="N743" s="283" t="s">
        <v>252</v>
      </c>
      <c r="O743" s="283">
        <v>91</v>
      </c>
      <c r="P743" s="283">
        <v>46732</v>
      </c>
      <c r="Q743" s="235">
        <f>(O743+IF('Scenario Analysis'!$N$23=1,0,0.5))*P743</f>
        <v>4275978</v>
      </c>
    </row>
    <row r="744" spans="3:17" x14ac:dyDescent="0.25">
      <c r="C744" s="191"/>
      <c r="K744" s="283" t="s">
        <v>1271</v>
      </c>
      <c r="L744" s="283" t="s">
        <v>672</v>
      </c>
      <c r="M744" s="283" t="s">
        <v>250</v>
      </c>
      <c r="N744" s="283" t="s">
        <v>252</v>
      </c>
      <c r="O744" s="283">
        <v>92</v>
      </c>
      <c r="P744" s="283">
        <v>3469</v>
      </c>
      <c r="Q744" s="235">
        <f>(O744+IF('Scenario Analysis'!$N$23=1,0,0.5))*P744</f>
        <v>320882.5</v>
      </c>
    </row>
    <row r="745" spans="3:17" x14ac:dyDescent="0.25">
      <c r="C745" s="191"/>
      <c r="K745" s="283" t="s">
        <v>1271</v>
      </c>
      <c r="L745" s="283" t="s">
        <v>672</v>
      </c>
      <c r="M745" s="283" t="s">
        <v>250</v>
      </c>
      <c r="N745" s="283" t="s">
        <v>252</v>
      </c>
      <c r="O745" s="283">
        <v>93</v>
      </c>
      <c r="P745" s="283">
        <v>43605</v>
      </c>
      <c r="Q745" s="235">
        <f>(O745+IF('Scenario Analysis'!$N$23=1,0,0.5))*P745</f>
        <v>4077067.5</v>
      </c>
    </row>
    <row r="746" spans="3:17" x14ac:dyDescent="0.25">
      <c r="C746" s="191"/>
      <c r="K746" s="283" t="s">
        <v>1271</v>
      </c>
      <c r="L746" s="283" t="s">
        <v>672</v>
      </c>
      <c r="M746" s="283" t="s">
        <v>250</v>
      </c>
      <c r="N746" s="283" t="s">
        <v>252</v>
      </c>
      <c r="O746" s="283">
        <v>94</v>
      </c>
      <c r="P746" s="283">
        <v>6410</v>
      </c>
      <c r="Q746" s="235">
        <f>(O746+IF('Scenario Analysis'!$N$23=1,0,0.5))*P746</f>
        <v>605745</v>
      </c>
    </row>
    <row r="747" spans="3:17" x14ac:dyDescent="0.25">
      <c r="C747" s="191"/>
      <c r="K747" s="283" t="s">
        <v>1271</v>
      </c>
      <c r="L747" s="283" t="s">
        <v>672</v>
      </c>
      <c r="M747" s="283" t="s">
        <v>250</v>
      </c>
      <c r="N747" s="283" t="s">
        <v>252</v>
      </c>
      <c r="O747" s="283">
        <v>95</v>
      </c>
      <c r="P747" s="283">
        <v>12316</v>
      </c>
      <c r="Q747" s="235">
        <f>(O747+IF('Scenario Analysis'!$N$23=1,0,0.5))*P747</f>
        <v>1176178</v>
      </c>
    </row>
    <row r="748" spans="3:17" x14ac:dyDescent="0.25">
      <c r="C748" s="191"/>
      <c r="K748" s="283" t="s">
        <v>1271</v>
      </c>
      <c r="L748" s="283" t="s">
        <v>672</v>
      </c>
      <c r="M748" s="283" t="s">
        <v>250</v>
      </c>
      <c r="N748" s="283" t="s">
        <v>252</v>
      </c>
      <c r="O748" s="283">
        <v>96</v>
      </c>
      <c r="P748" s="283">
        <v>3243</v>
      </c>
      <c r="Q748" s="235">
        <f>(O748+IF('Scenario Analysis'!$N$23=1,0,0.5))*P748</f>
        <v>312949.5</v>
      </c>
    </row>
    <row r="749" spans="3:17" x14ac:dyDescent="0.25">
      <c r="C749" s="191"/>
      <c r="K749" s="283" t="s">
        <v>1271</v>
      </c>
      <c r="L749" s="283" t="s">
        <v>672</v>
      </c>
      <c r="M749" s="283" t="s">
        <v>250</v>
      </c>
      <c r="N749" s="283" t="s">
        <v>252</v>
      </c>
      <c r="O749" s="283">
        <v>97</v>
      </c>
      <c r="P749" s="283">
        <v>5516</v>
      </c>
      <c r="Q749" s="235">
        <f>(O749+IF('Scenario Analysis'!$N$23=1,0,0.5))*P749</f>
        <v>537810</v>
      </c>
    </row>
    <row r="750" spans="3:17" x14ac:dyDescent="0.25">
      <c r="C750" s="191"/>
      <c r="K750" s="283" t="s">
        <v>1271</v>
      </c>
      <c r="L750" s="283" t="s">
        <v>672</v>
      </c>
      <c r="M750" s="283" t="s">
        <v>250</v>
      </c>
      <c r="N750" s="283" t="s">
        <v>252</v>
      </c>
      <c r="O750" s="283">
        <v>98</v>
      </c>
      <c r="P750" s="283">
        <v>19245</v>
      </c>
      <c r="Q750" s="235">
        <f>(O750+IF('Scenario Analysis'!$N$23=1,0,0.5))*P750</f>
        <v>1895632.5</v>
      </c>
    </row>
    <row r="751" spans="3:17" x14ac:dyDescent="0.25">
      <c r="C751" s="191"/>
      <c r="K751" s="283" t="s">
        <v>1271</v>
      </c>
      <c r="L751" s="283" t="s">
        <v>672</v>
      </c>
      <c r="M751" s="283" t="s">
        <v>250</v>
      </c>
      <c r="N751" s="283" t="s">
        <v>252</v>
      </c>
      <c r="O751" s="283">
        <v>99</v>
      </c>
      <c r="P751" s="283">
        <v>587</v>
      </c>
      <c r="Q751" s="235">
        <f>(O751+IF('Scenario Analysis'!$N$23=1,0,0.5))*P751</f>
        <v>58406.5</v>
      </c>
    </row>
    <row r="752" spans="3:17" x14ac:dyDescent="0.25">
      <c r="C752" s="191"/>
      <c r="K752" s="283" t="s">
        <v>1271</v>
      </c>
      <c r="L752" s="283" t="s">
        <v>672</v>
      </c>
      <c r="M752" s="283" t="s">
        <v>250</v>
      </c>
      <c r="N752" s="283" t="s">
        <v>252</v>
      </c>
      <c r="O752" s="283">
        <v>100</v>
      </c>
      <c r="P752" s="283">
        <v>4927</v>
      </c>
      <c r="Q752" s="235">
        <f>(O752+IF('Scenario Analysis'!$N$23=1,0,0.5))*P752</f>
        <v>495163.5</v>
      </c>
    </row>
    <row r="753" spans="3:17" x14ac:dyDescent="0.25">
      <c r="C753" s="191"/>
      <c r="K753" s="283" t="s">
        <v>1271</v>
      </c>
      <c r="L753" s="283" t="s">
        <v>672</v>
      </c>
      <c r="M753" s="283" t="s">
        <v>250</v>
      </c>
      <c r="N753" s="283" t="s">
        <v>252</v>
      </c>
      <c r="O753" s="283">
        <v>101</v>
      </c>
      <c r="P753" s="283">
        <v>1066</v>
      </c>
      <c r="Q753" s="235">
        <f>(O753+IF('Scenario Analysis'!$N$23=1,0,0.5))*P753</f>
        <v>108199</v>
      </c>
    </row>
    <row r="754" spans="3:17" x14ac:dyDescent="0.25">
      <c r="C754" s="191"/>
      <c r="K754" s="283" t="s">
        <v>1271</v>
      </c>
      <c r="L754" s="283" t="s">
        <v>672</v>
      </c>
      <c r="M754" s="283" t="s">
        <v>250</v>
      </c>
      <c r="N754" s="283" t="s">
        <v>252</v>
      </c>
      <c r="O754" s="283">
        <v>102</v>
      </c>
      <c r="P754" s="283">
        <v>10807</v>
      </c>
      <c r="Q754" s="235">
        <f>(O754+IF('Scenario Analysis'!$N$23=1,0,0.5))*P754</f>
        <v>1107717.5</v>
      </c>
    </row>
    <row r="755" spans="3:17" x14ac:dyDescent="0.25">
      <c r="C755" s="191"/>
      <c r="K755" s="283" t="s">
        <v>1271</v>
      </c>
      <c r="L755" s="283" t="s">
        <v>672</v>
      </c>
      <c r="M755" s="283" t="s">
        <v>250</v>
      </c>
      <c r="N755" s="283" t="s">
        <v>252</v>
      </c>
      <c r="O755" s="283">
        <v>103</v>
      </c>
      <c r="P755" s="283">
        <v>11412</v>
      </c>
      <c r="Q755" s="235">
        <f>(O755+IF('Scenario Analysis'!$N$23=1,0,0.5))*P755</f>
        <v>1181142</v>
      </c>
    </row>
    <row r="756" spans="3:17" x14ac:dyDescent="0.25">
      <c r="C756" s="191"/>
      <c r="K756" s="283" t="s">
        <v>1271</v>
      </c>
      <c r="L756" s="283" t="s">
        <v>672</v>
      </c>
      <c r="M756" s="283" t="s">
        <v>250</v>
      </c>
      <c r="N756" s="283" t="s">
        <v>252</v>
      </c>
      <c r="O756" s="283">
        <v>104</v>
      </c>
      <c r="P756" s="283">
        <v>3540</v>
      </c>
      <c r="Q756" s="235">
        <f>(O756+IF('Scenario Analysis'!$N$23=1,0,0.5))*P756</f>
        <v>369930</v>
      </c>
    </row>
    <row r="757" spans="3:17" x14ac:dyDescent="0.25">
      <c r="C757" s="191"/>
      <c r="K757" s="283" t="s">
        <v>1271</v>
      </c>
      <c r="L757" s="283" t="s">
        <v>672</v>
      </c>
      <c r="M757" s="283" t="s">
        <v>250</v>
      </c>
      <c r="N757" s="283" t="s">
        <v>252</v>
      </c>
      <c r="O757" s="283">
        <v>105</v>
      </c>
      <c r="P757" s="283">
        <v>5491</v>
      </c>
      <c r="Q757" s="235">
        <f>(O757+IF('Scenario Analysis'!$N$23=1,0,0.5))*P757</f>
        <v>579300.5</v>
      </c>
    </row>
    <row r="758" spans="3:17" x14ac:dyDescent="0.25">
      <c r="C758" s="191"/>
      <c r="K758" s="283" t="s">
        <v>1271</v>
      </c>
      <c r="L758" s="283" t="s">
        <v>672</v>
      </c>
      <c r="M758" s="283" t="s">
        <v>250</v>
      </c>
      <c r="N758" s="283" t="s">
        <v>252</v>
      </c>
      <c r="O758" s="283">
        <v>106</v>
      </c>
      <c r="P758" s="283">
        <v>3586</v>
      </c>
      <c r="Q758" s="235">
        <f>(O758+IF('Scenario Analysis'!$N$23=1,0,0.5))*P758</f>
        <v>381909</v>
      </c>
    </row>
    <row r="759" spans="3:17" x14ac:dyDescent="0.25">
      <c r="C759" s="191"/>
      <c r="K759" s="283" t="s">
        <v>1271</v>
      </c>
      <c r="L759" s="283" t="s">
        <v>672</v>
      </c>
      <c r="M759" s="283" t="s">
        <v>250</v>
      </c>
      <c r="N759" s="283" t="s">
        <v>252</v>
      </c>
      <c r="O759" s="283">
        <v>107</v>
      </c>
      <c r="P759" s="283">
        <v>16579</v>
      </c>
      <c r="Q759" s="235">
        <f>(O759+IF('Scenario Analysis'!$N$23=1,0,0.5))*P759</f>
        <v>1782242.5</v>
      </c>
    </row>
    <row r="760" spans="3:17" x14ac:dyDescent="0.25">
      <c r="C760" s="191"/>
      <c r="K760" s="283" t="s">
        <v>1271</v>
      </c>
      <c r="L760" s="283" t="s">
        <v>672</v>
      </c>
      <c r="M760" s="283" t="s">
        <v>250</v>
      </c>
      <c r="N760" s="283" t="s">
        <v>252</v>
      </c>
      <c r="O760" s="283">
        <v>108</v>
      </c>
      <c r="P760" s="283">
        <v>7441</v>
      </c>
      <c r="Q760" s="235">
        <f>(O760+IF('Scenario Analysis'!$N$23=1,0,0.5))*P760</f>
        <v>807348.5</v>
      </c>
    </row>
    <row r="761" spans="3:17" x14ac:dyDescent="0.25">
      <c r="C761" s="191"/>
      <c r="K761" s="283" t="s">
        <v>1271</v>
      </c>
      <c r="L761" s="283" t="s">
        <v>672</v>
      </c>
      <c r="M761" s="283" t="s">
        <v>250</v>
      </c>
      <c r="N761" s="283" t="s">
        <v>252</v>
      </c>
      <c r="O761" s="283">
        <v>109</v>
      </c>
      <c r="P761" s="283">
        <v>46391</v>
      </c>
      <c r="Q761" s="235">
        <f>(O761+IF('Scenario Analysis'!$N$23=1,0,0.5))*P761</f>
        <v>5079814.5</v>
      </c>
    </row>
    <row r="762" spans="3:17" x14ac:dyDescent="0.25">
      <c r="C762" s="191"/>
      <c r="K762" s="283" t="s">
        <v>1271</v>
      </c>
      <c r="L762" s="283" t="s">
        <v>672</v>
      </c>
      <c r="M762" s="283" t="s">
        <v>250</v>
      </c>
      <c r="N762" s="283" t="s">
        <v>252</v>
      </c>
      <c r="O762" s="283">
        <v>110</v>
      </c>
      <c r="P762" s="283">
        <v>3351</v>
      </c>
      <c r="Q762" s="235">
        <f>(O762+IF('Scenario Analysis'!$N$23=1,0,0.5))*P762</f>
        <v>370285.5</v>
      </c>
    </row>
    <row r="763" spans="3:17" x14ac:dyDescent="0.25">
      <c r="C763" s="191"/>
      <c r="K763" s="283" t="s">
        <v>1271</v>
      </c>
      <c r="L763" s="283" t="s">
        <v>672</v>
      </c>
      <c r="M763" s="283" t="s">
        <v>250</v>
      </c>
      <c r="N763" s="283" t="s">
        <v>252</v>
      </c>
      <c r="O763" s="283">
        <v>111</v>
      </c>
      <c r="P763" s="283">
        <v>9576</v>
      </c>
      <c r="Q763" s="235">
        <f>(O763+IF('Scenario Analysis'!$N$23=1,0,0.5))*P763</f>
        <v>1067724</v>
      </c>
    </row>
    <row r="764" spans="3:17" x14ac:dyDescent="0.25">
      <c r="C764" s="191"/>
      <c r="K764" s="283" t="s">
        <v>1271</v>
      </c>
      <c r="L764" s="283" t="s">
        <v>672</v>
      </c>
      <c r="M764" s="283" t="s">
        <v>250</v>
      </c>
      <c r="N764" s="283" t="s">
        <v>252</v>
      </c>
      <c r="O764" s="283">
        <v>112</v>
      </c>
      <c r="P764" s="283">
        <v>1306</v>
      </c>
      <c r="Q764" s="235">
        <f>(O764+IF('Scenario Analysis'!$N$23=1,0,0.5))*P764</f>
        <v>146925</v>
      </c>
    </row>
    <row r="765" spans="3:17" x14ac:dyDescent="0.25">
      <c r="C765" s="191"/>
      <c r="K765" s="283" t="s">
        <v>1271</v>
      </c>
      <c r="L765" s="283" t="s">
        <v>672</v>
      </c>
      <c r="M765" s="283" t="s">
        <v>250</v>
      </c>
      <c r="N765" s="283" t="s">
        <v>252</v>
      </c>
      <c r="O765" s="283">
        <v>113</v>
      </c>
      <c r="P765" s="283">
        <v>4325</v>
      </c>
      <c r="Q765" s="235">
        <f>(O765+IF('Scenario Analysis'!$N$23=1,0,0.5))*P765</f>
        <v>490887.5</v>
      </c>
    </row>
    <row r="766" spans="3:17" x14ac:dyDescent="0.25">
      <c r="C766" s="191"/>
      <c r="K766" s="283" t="s">
        <v>1271</v>
      </c>
      <c r="L766" s="283" t="s">
        <v>672</v>
      </c>
      <c r="M766" s="283" t="s">
        <v>250</v>
      </c>
      <c r="N766" s="283" t="s">
        <v>252</v>
      </c>
      <c r="O766" s="283">
        <v>114</v>
      </c>
      <c r="P766" s="283">
        <v>326</v>
      </c>
      <c r="Q766" s="235">
        <f>(O766+IF('Scenario Analysis'!$N$23=1,0,0.5))*P766</f>
        <v>37327</v>
      </c>
    </row>
    <row r="767" spans="3:17" x14ac:dyDescent="0.25">
      <c r="C767" s="191"/>
      <c r="K767" s="283" t="s">
        <v>1271</v>
      </c>
      <c r="L767" s="283" t="s">
        <v>672</v>
      </c>
      <c r="M767" s="283" t="s">
        <v>250</v>
      </c>
      <c r="N767" s="283" t="s">
        <v>252</v>
      </c>
      <c r="O767" s="283">
        <v>115</v>
      </c>
      <c r="P767" s="283">
        <v>1611</v>
      </c>
      <c r="Q767" s="235">
        <f>(O767+IF('Scenario Analysis'!$N$23=1,0,0.5))*P767</f>
        <v>186070.5</v>
      </c>
    </row>
    <row r="768" spans="3:17" x14ac:dyDescent="0.25">
      <c r="C768" s="191"/>
      <c r="K768" s="283" t="s">
        <v>1271</v>
      </c>
      <c r="L768" s="283" t="s">
        <v>672</v>
      </c>
      <c r="M768" s="283" t="s">
        <v>250</v>
      </c>
      <c r="N768" s="283" t="s">
        <v>252</v>
      </c>
      <c r="O768" s="283">
        <v>116</v>
      </c>
      <c r="P768" s="283">
        <v>16864</v>
      </c>
      <c r="Q768" s="235">
        <f>(O768+IF('Scenario Analysis'!$N$23=1,0,0.5))*P768</f>
        <v>1964656</v>
      </c>
    </row>
    <row r="769" spans="3:17" x14ac:dyDescent="0.25">
      <c r="C769" s="191"/>
      <c r="K769" s="283" t="s">
        <v>1271</v>
      </c>
      <c r="L769" s="283" t="s">
        <v>672</v>
      </c>
      <c r="M769" s="283" t="s">
        <v>250</v>
      </c>
      <c r="N769" s="283" t="s">
        <v>252</v>
      </c>
      <c r="O769" s="283">
        <v>117</v>
      </c>
      <c r="P769" s="283">
        <v>4850</v>
      </c>
      <c r="Q769" s="235">
        <f>(O769+IF('Scenario Analysis'!$N$23=1,0,0.5))*P769</f>
        <v>569875</v>
      </c>
    </row>
    <row r="770" spans="3:17" x14ac:dyDescent="0.25">
      <c r="C770" s="191"/>
      <c r="K770" s="283" t="s">
        <v>1271</v>
      </c>
      <c r="L770" s="283" t="s">
        <v>672</v>
      </c>
      <c r="M770" s="283" t="s">
        <v>250</v>
      </c>
      <c r="N770" s="283" t="s">
        <v>252</v>
      </c>
      <c r="O770" s="283">
        <v>118</v>
      </c>
      <c r="P770" s="283">
        <v>183</v>
      </c>
      <c r="Q770" s="235">
        <f>(O770+IF('Scenario Analysis'!$N$23=1,0,0.5))*P770</f>
        <v>21685.5</v>
      </c>
    </row>
    <row r="771" spans="3:17" x14ac:dyDescent="0.25">
      <c r="C771" s="191"/>
      <c r="K771" s="283" t="s">
        <v>1271</v>
      </c>
      <c r="L771" s="283" t="s">
        <v>672</v>
      </c>
      <c r="M771" s="283" t="s">
        <v>250</v>
      </c>
      <c r="N771" s="283" t="s">
        <v>252</v>
      </c>
      <c r="O771" s="283">
        <v>119</v>
      </c>
      <c r="P771" s="283">
        <v>8532</v>
      </c>
      <c r="Q771" s="235">
        <f>(O771+IF('Scenario Analysis'!$N$23=1,0,0.5))*P771</f>
        <v>1019574</v>
      </c>
    </row>
    <row r="772" spans="3:17" x14ac:dyDescent="0.25">
      <c r="C772" s="191"/>
      <c r="K772" s="283" t="s">
        <v>1271</v>
      </c>
      <c r="L772" s="283" t="s">
        <v>672</v>
      </c>
      <c r="M772" s="283" t="s">
        <v>250</v>
      </c>
      <c r="N772" s="283" t="s">
        <v>252</v>
      </c>
      <c r="O772" s="283">
        <v>120</v>
      </c>
      <c r="P772" s="283">
        <v>5593</v>
      </c>
      <c r="Q772" s="235">
        <f>(O772+IF('Scenario Analysis'!$N$23=1,0,0.5))*P772</f>
        <v>673956.5</v>
      </c>
    </row>
    <row r="773" spans="3:17" x14ac:dyDescent="0.25">
      <c r="C773" s="191"/>
      <c r="K773" s="283" t="s">
        <v>1271</v>
      </c>
      <c r="L773" s="283" t="s">
        <v>672</v>
      </c>
      <c r="M773" s="283" t="s">
        <v>250</v>
      </c>
      <c r="N773" s="283" t="s">
        <v>252</v>
      </c>
      <c r="O773" s="283">
        <v>121</v>
      </c>
      <c r="P773" s="283">
        <v>5429</v>
      </c>
      <c r="Q773" s="235">
        <f>(O773+IF('Scenario Analysis'!$N$23=1,0,0.5))*P773</f>
        <v>659623.5</v>
      </c>
    </row>
    <row r="774" spans="3:17" x14ac:dyDescent="0.25">
      <c r="C774" s="191"/>
      <c r="K774" s="283" t="s">
        <v>1271</v>
      </c>
      <c r="L774" s="283" t="s">
        <v>672</v>
      </c>
      <c r="M774" s="283" t="s">
        <v>250</v>
      </c>
      <c r="N774" s="283" t="s">
        <v>252</v>
      </c>
      <c r="O774" s="283">
        <v>122</v>
      </c>
      <c r="P774" s="283">
        <v>3935</v>
      </c>
      <c r="Q774" s="235">
        <f>(O774+IF('Scenario Analysis'!$N$23=1,0,0.5))*P774</f>
        <v>482037.5</v>
      </c>
    </row>
    <row r="775" spans="3:17" x14ac:dyDescent="0.25">
      <c r="C775" s="191"/>
      <c r="K775" s="283" t="s">
        <v>1271</v>
      </c>
      <c r="L775" s="283" t="s">
        <v>672</v>
      </c>
      <c r="M775" s="283" t="s">
        <v>250</v>
      </c>
      <c r="N775" s="283" t="s">
        <v>252</v>
      </c>
      <c r="O775" s="283">
        <v>123</v>
      </c>
      <c r="P775" s="283">
        <v>2241</v>
      </c>
      <c r="Q775" s="235">
        <f>(O775+IF('Scenario Analysis'!$N$23=1,0,0.5))*P775</f>
        <v>276763.5</v>
      </c>
    </row>
    <row r="776" spans="3:17" x14ac:dyDescent="0.25">
      <c r="C776" s="191"/>
      <c r="K776" s="283" t="s">
        <v>1271</v>
      </c>
      <c r="L776" s="283" t="s">
        <v>672</v>
      </c>
      <c r="M776" s="283" t="s">
        <v>250</v>
      </c>
      <c r="N776" s="283" t="s">
        <v>252</v>
      </c>
      <c r="O776" s="283">
        <v>124</v>
      </c>
      <c r="P776" s="283">
        <v>148</v>
      </c>
      <c r="Q776" s="235">
        <f>(O776+IF('Scenario Analysis'!$N$23=1,0,0.5))*P776</f>
        <v>18426</v>
      </c>
    </row>
    <row r="777" spans="3:17" x14ac:dyDescent="0.25">
      <c r="C777" s="191"/>
      <c r="K777" s="283" t="s">
        <v>1271</v>
      </c>
      <c r="L777" s="283" t="s">
        <v>672</v>
      </c>
      <c r="M777" s="283" t="s">
        <v>250</v>
      </c>
      <c r="N777" s="283" t="s">
        <v>252</v>
      </c>
      <c r="O777" s="283">
        <v>125</v>
      </c>
      <c r="P777" s="283">
        <v>687</v>
      </c>
      <c r="Q777" s="235">
        <f>(O777+IF('Scenario Analysis'!$N$23=1,0,0.5))*P777</f>
        <v>86218.5</v>
      </c>
    </row>
    <row r="778" spans="3:17" x14ac:dyDescent="0.25">
      <c r="C778" s="191"/>
      <c r="K778" s="283" t="s">
        <v>1271</v>
      </c>
      <c r="L778" s="283" t="s">
        <v>672</v>
      </c>
      <c r="M778" s="283" t="s">
        <v>250</v>
      </c>
      <c r="N778" s="283" t="s">
        <v>252</v>
      </c>
      <c r="O778" s="283">
        <v>126</v>
      </c>
      <c r="P778" s="283">
        <v>2732</v>
      </c>
      <c r="Q778" s="235">
        <f>(O778+IF('Scenario Analysis'!$N$23=1,0,0.5))*P778</f>
        <v>345598</v>
      </c>
    </row>
    <row r="779" spans="3:17" x14ac:dyDescent="0.25">
      <c r="C779" s="191"/>
      <c r="K779" s="283" t="s">
        <v>1271</v>
      </c>
      <c r="L779" s="283" t="s">
        <v>672</v>
      </c>
      <c r="M779" s="283" t="s">
        <v>250</v>
      </c>
      <c r="N779" s="283" t="s">
        <v>252</v>
      </c>
      <c r="O779" s="283">
        <v>127</v>
      </c>
      <c r="P779" s="283">
        <v>3119</v>
      </c>
      <c r="Q779" s="235">
        <f>(O779+IF('Scenario Analysis'!$N$23=1,0,0.5))*P779</f>
        <v>397672.5</v>
      </c>
    </row>
    <row r="780" spans="3:17" x14ac:dyDescent="0.25">
      <c r="C780" s="191"/>
      <c r="K780" s="283" t="s">
        <v>1271</v>
      </c>
      <c r="L780" s="283" t="s">
        <v>672</v>
      </c>
      <c r="M780" s="283" t="s">
        <v>250</v>
      </c>
      <c r="N780" s="283" t="s">
        <v>252</v>
      </c>
      <c r="O780" s="283">
        <v>128</v>
      </c>
      <c r="P780" s="283">
        <v>885</v>
      </c>
      <c r="Q780" s="235">
        <f>(O780+IF('Scenario Analysis'!$N$23=1,0,0.5))*P780</f>
        <v>113722.5</v>
      </c>
    </row>
    <row r="781" spans="3:17" x14ac:dyDescent="0.25">
      <c r="C781" s="191"/>
      <c r="K781" s="283" t="s">
        <v>1271</v>
      </c>
      <c r="L781" s="283" t="s">
        <v>672</v>
      </c>
      <c r="M781" s="283" t="s">
        <v>250</v>
      </c>
      <c r="N781" s="283" t="s">
        <v>252</v>
      </c>
      <c r="O781" s="283">
        <v>129</v>
      </c>
      <c r="P781" s="283">
        <v>5841</v>
      </c>
      <c r="Q781" s="235">
        <f>(O781+IF('Scenario Analysis'!$N$23=1,0,0.5))*P781</f>
        <v>756409.5</v>
      </c>
    </row>
    <row r="782" spans="3:17" x14ac:dyDescent="0.25">
      <c r="C782" s="191"/>
      <c r="K782" s="283" t="s">
        <v>1271</v>
      </c>
      <c r="L782" s="283" t="s">
        <v>672</v>
      </c>
      <c r="M782" s="283" t="s">
        <v>250</v>
      </c>
      <c r="N782" s="283" t="s">
        <v>252</v>
      </c>
      <c r="O782" s="283">
        <v>130</v>
      </c>
      <c r="P782" s="283">
        <v>5369</v>
      </c>
      <c r="Q782" s="235">
        <f>(O782+IF('Scenario Analysis'!$N$23=1,0,0.5))*P782</f>
        <v>700654.5</v>
      </c>
    </row>
    <row r="783" spans="3:17" x14ac:dyDescent="0.25">
      <c r="C783" s="191"/>
      <c r="K783" s="283" t="s">
        <v>1271</v>
      </c>
      <c r="L783" s="283" t="s">
        <v>672</v>
      </c>
      <c r="M783" s="283" t="s">
        <v>250</v>
      </c>
      <c r="N783" s="283" t="s">
        <v>252</v>
      </c>
      <c r="O783" s="283">
        <v>131</v>
      </c>
      <c r="P783" s="283">
        <v>9329</v>
      </c>
      <c r="Q783" s="235">
        <f>(O783+IF('Scenario Analysis'!$N$23=1,0,0.5))*P783</f>
        <v>1226763.5</v>
      </c>
    </row>
    <row r="784" spans="3:17" x14ac:dyDescent="0.25">
      <c r="C784" s="191"/>
      <c r="K784" s="283" t="s">
        <v>1271</v>
      </c>
      <c r="L784" s="283" t="s">
        <v>672</v>
      </c>
      <c r="M784" s="283" t="s">
        <v>250</v>
      </c>
      <c r="N784" s="283" t="s">
        <v>252</v>
      </c>
      <c r="O784" s="283">
        <v>132</v>
      </c>
      <c r="P784" s="283">
        <v>1889</v>
      </c>
      <c r="Q784" s="235">
        <f>(O784+IF('Scenario Analysis'!$N$23=1,0,0.5))*P784</f>
        <v>250292.5</v>
      </c>
    </row>
    <row r="785" spans="3:17" x14ac:dyDescent="0.25">
      <c r="C785" s="191"/>
      <c r="K785" s="283" t="s">
        <v>1271</v>
      </c>
      <c r="L785" s="283" t="s">
        <v>672</v>
      </c>
      <c r="M785" s="283" t="s">
        <v>250</v>
      </c>
      <c r="N785" s="283" t="s">
        <v>252</v>
      </c>
      <c r="O785" s="283">
        <v>133</v>
      </c>
      <c r="P785" s="283">
        <v>239</v>
      </c>
      <c r="Q785" s="235">
        <f>(O785+IF('Scenario Analysis'!$N$23=1,0,0.5))*P785</f>
        <v>31906.5</v>
      </c>
    </row>
    <row r="786" spans="3:17" x14ac:dyDescent="0.25">
      <c r="C786" s="191"/>
      <c r="K786" s="283" t="s">
        <v>1271</v>
      </c>
      <c r="L786" s="283" t="s">
        <v>672</v>
      </c>
      <c r="M786" s="283" t="s">
        <v>250</v>
      </c>
      <c r="N786" s="283" t="s">
        <v>252</v>
      </c>
      <c r="O786" s="283">
        <v>134</v>
      </c>
      <c r="P786" s="283">
        <v>8870</v>
      </c>
      <c r="Q786" s="235">
        <f>(O786+IF('Scenario Analysis'!$N$23=1,0,0.5))*P786</f>
        <v>1193015</v>
      </c>
    </row>
    <row r="787" spans="3:17" x14ac:dyDescent="0.25">
      <c r="C787" s="191"/>
      <c r="K787" s="283" t="s">
        <v>1271</v>
      </c>
      <c r="L787" s="283" t="s">
        <v>672</v>
      </c>
      <c r="M787" s="283" t="s">
        <v>250</v>
      </c>
      <c r="N787" s="283" t="s">
        <v>252</v>
      </c>
      <c r="O787" s="283">
        <v>135</v>
      </c>
      <c r="P787" s="283">
        <v>304</v>
      </c>
      <c r="Q787" s="235">
        <f>(O787+IF('Scenario Analysis'!$N$23=1,0,0.5))*P787</f>
        <v>41192</v>
      </c>
    </row>
    <row r="788" spans="3:17" x14ac:dyDescent="0.25">
      <c r="C788" s="191"/>
      <c r="K788" s="283" t="s">
        <v>1271</v>
      </c>
      <c r="L788" s="283" t="s">
        <v>672</v>
      </c>
      <c r="M788" s="283" t="s">
        <v>250</v>
      </c>
      <c r="N788" s="283" t="s">
        <v>252</v>
      </c>
      <c r="O788" s="283">
        <v>136</v>
      </c>
      <c r="P788" s="283">
        <v>355</v>
      </c>
      <c r="Q788" s="235">
        <f>(O788+IF('Scenario Analysis'!$N$23=1,0,0.5))*P788</f>
        <v>48457.5</v>
      </c>
    </row>
    <row r="789" spans="3:17" x14ac:dyDescent="0.25">
      <c r="C789" s="191"/>
      <c r="K789" s="283" t="s">
        <v>1271</v>
      </c>
      <c r="L789" s="283" t="s">
        <v>672</v>
      </c>
      <c r="M789" s="283" t="s">
        <v>250</v>
      </c>
      <c r="N789" s="283" t="s">
        <v>252</v>
      </c>
      <c r="O789" s="283">
        <v>137</v>
      </c>
      <c r="P789" s="283">
        <v>2232</v>
      </c>
      <c r="Q789" s="235">
        <f>(O789+IF('Scenario Analysis'!$N$23=1,0,0.5))*P789</f>
        <v>306900</v>
      </c>
    </row>
    <row r="790" spans="3:17" x14ac:dyDescent="0.25">
      <c r="C790" s="191"/>
      <c r="K790" s="283" t="s">
        <v>1271</v>
      </c>
      <c r="L790" s="283" t="s">
        <v>672</v>
      </c>
      <c r="M790" s="283" t="s">
        <v>250</v>
      </c>
      <c r="N790" s="283" t="s">
        <v>252</v>
      </c>
      <c r="O790" s="283">
        <v>138</v>
      </c>
      <c r="P790" s="283">
        <v>1230</v>
      </c>
      <c r="Q790" s="235">
        <f>(O790+IF('Scenario Analysis'!$N$23=1,0,0.5))*P790</f>
        <v>170355</v>
      </c>
    </row>
    <row r="791" spans="3:17" x14ac:dyDescent="0.25">
      <c r="C791" s="191"/>
      <c r="K791" s="283" t="s">
        <v>1271</v>
      </c>
      <c r="L791" s="283" t="s">
        <v>672</v>
      </c>
      <c r="M791" s="283" t="s">
        <v>250</v>
      </c>
      <c r="N791" s="283" t="s">
        <v>252</v>
      </c>
      <c r="O791" s="283">
        <v>139</v>
      </c>
      <c r="P791" s="283">
        <v>3927</v>
      </c>
      <c r="Q791" s="235">
        <f>(O791+IF('Scenario Analysis'!$N$23=1,0,0.5))*P791</f>
        <v>547816.5</v>
      </c>
    </row>
    <row r="792" spans="3:17" x14ac:dyDescent="0.25">
      <c r="C792" s="191"/>
      <c r="K792" s="283" t="s">
        <v>1271</v>
      </c>
      <c r="L792" s="283" t="s">
        <v>672</v>
      </c>
      <c r="M792" s="283" t="s">
        <v>250</v>
      </c>
      <c r="N792" s="283" t="s">
        <v>252</v>
      </c>
      <c r="O792" s="283">
        <v>140</v>
      </c>
      <c r="P792" s="283">
        <v>938</v>
      </c>
      <c r="Q792" s="235">
        <f>(O792+IF('Scenario Analysis'!$N$23=1,0,0.5))*P792</f>
        <v>131789</v>
      </c>
    </row>
    <row r="793" spans="3:17" x14ac:dyDescent="0.25">
      <c r="C793" s="191"/>
      <c r="K793" s="283" t="s">
        <v>1271</v>
      </c>
      <c r="L793" s="283" t="s">
        <v>672</v>
      </c>
      <c r="M793" s="283" t="s">
        <v>250</v>
      </c>
      <c r="N793" s="283" t="s">
        <v>252</v>
      </c>
      <c r="O793" s="283">
        <v>141</v>
      </c>
      <c r="P793" s="283">
        <v>1826</v>
      </c>
      <c r="Q793" s="235">
        <f>(O793+IF('Scenario Analysis'!$N$23=1,0,0.5))*P793</f>
        <v>258379</v>
      </c>
    </row>
    <row r="794" spans="3:17" x14ac:dyDescent="0.25">
      <c r="C794" s="191"/>
      <c r="K794" s="283" t="s">
        <v>1271</v>
      </c>
      <c r="L794" s="283" t="s">
        <v>672</v>
      </c>
      <c r="M794" s="283" t="s">
        <v>250</v>
      </c>
      <c r="N794" s="283" t="s">
        <v>252</v>
      </c>
      <c r="O794" s="283">
        <v>142</v>
      </c>
      <c r="P794" s="283">
        <v>4252</v>
      </c>
      <c r="Q794" s="235">
        <f>(O794+IF('Scenario Analysis'!$N$23=1,0,0.5))*P794</f>
        <v>605910</v>
      </c>
    </row>
    <row r="795" spans="3:17" x14ac:dyDescent="0.25">
      <c r="C795" s="191"/>
      <c r="K795" s="283" t="s">
        <v>1271</v>
      </c>
      <c r="L795" s="283" t="s">
        <v>672</v>
      </c>
      <c r="M795" s="283" t="s">
        <v>250</v>
      </c>
      <c r="N795" s="283" t="s">
        <v>252</v>
      </c>
      <c r="O795" s="283">
        <v>143</v>
      </c>
      <c r="P795" s="283">
        <v>9505</v>
      </c>
      <c r="Q795" s="235">
        <f>(O795+IF('Scenario Analysis'!$N$23=1,0,0.5))*P795</f>
        <v>1363967.5</v>
      </c>
    </row>
    <row r="796" spans="3:17" x14ac:dyDescent="0.25">
      <c r="C796" s="191"/>
      <c r="K796" s="283" t="s">
        <v>1271</v>
      </c>
      <c r="L796" s="283" t="s">
        <v>672</v>
      </c>
      <c r="M796" s="283" t="s">
        <v>250</v>
      </c>
      <c r="N796" s="283" t="s">
        <v>252</v>
      </c>
      <c r="O796" s="283">
        <v>144</v>
      </c>
      <c r="P796" s="283">
        <v>1959</v>
      </c>
      <c r="Q796" s="235">
        <f>(O796+IF('Scenario Analysis'!$N$23=1,0,0.5))*P796</f>
        <v>283075.5</v>
      </c>
    </row>
    <row r="797" spans="3:17" x14ac:dyDescent="0.25">
      <c r="C797" s="191"/>
      <c r="K797" s="283" t="s">
        <v>1271</v>
      </c>
      <c r="L797" s="283" t="s">
        <v>672</v>
      </c>
      <c r="M797" s="283" t="s">
        <v>250</v>
      </c>
      <c r="N797" s="283" t="s">
        <v>252</v>
      </c>
      <c r="O797" s="283">
        <v>145</v>
      </c>
      <c r="P797" s="283">
        <v>1158</v>
      </c>
      <c r="Q797" s="235">
        <f>(O797+IF('Scenario Analysis'!$N$23=1,0,0.5))*P797</f>
        <v>168489</v>
      </c>
    </row>
    <row r="798" spans="3:17" x14ac:dyDescent="0.25">
      <c r="C798" s="191"/>
      <c r="K798" s="283" t="s">
        <v>1271</v>
      </c>
      <c r="L798" s="283" t="s">
        <v>672</v>
      </c>
      <c r="M798" s="283" t="s">
        <v>250</v>
      </c>
      <c r="N798" s="283" t="s">
        <v>252</v>
      </c>
      <c r="O798" s="283">
        <v>146</v>
      </c>
      <c r="P798" s="283">
        <v>198</v>
      </c>
      <c r="Q798" s="235">
        <f>(O798+IF('Scenario Analysis'!$N$23=1,0,0.5))*P798</f>
        <v>29007</v>
      </c>
    </row>
    <row r="799" spans="3:17" x14ac:dyDescent="0.25">
      <c r="C799" s="191"/>
      <c r="K799" s="283" t="s">
        <v>1271</v>
      </c>
      <c r="L799" s="283" t="s">
        <v>672</v>
      </c>
      <c r="M799" s="283" t="s">
        <v>250</v>
      </c>
      <c r="N799" s="283" t="s">
        <v>252</v>
      </c>
      <c r="O799" s="283">
        <v>147</v>
      </c>
      <c r="P799" s="283">
        <v>23407</v>
      </c>
      <c r="Q799" s="235">
        <f>(O799+IF('Scenario Analysis'!$N$23=1,0,0.5))*P799</f>
        <v>3452532.5</v>
      </c>
    </row>
    <row r="800" spans="3:17" x14ac:dyDescent="0.25">
      <c r="C800" s="191"/>
      <c r="K800" s="283" t="s">
        <v>1271</v>
      </c>
      <c r="L800" s="283" t="s">
        <v>672</v>
      </c>
      <c r="M800" s="283" t="s">
        <v>250</v>
      </c>
      <c r="N800" s="283" t="s">
        <v>252</v>
      </c>
      <c r="O800" s="283">
        <v>148</v>
      </c>
      <c r="P800" s="283">
        <v>775</v>
      </c>
      <c r="Q800" s="235">
        <f>(O800+IF('Scenario Analysis'!$N$23=1,0,0.5))*P800</f>
        <v>115087.5</v>
      </c>
    </row>
    <row r="801" spans="3:17" x14ac:dyDescent="0.25">
      <c r="C801" s="191"/>
      <c r="K801" s="283" t="s">
        <v>1271</v>
      </c>
      <c r="L801" s="283" t="s">
        <v>672</v>
      </c>
      <c r="M801" s="283" t="s">
        <v>250</v>
      </c>
      <c r="N801" s="283" t="s">
        <v>252</v>
      </c>
      <c r="O801" s="283">
        <v>149</v>
      </c>
      <c r="P801" s="283">
        <v>667</v>
      </c>
      <c r="Q801" s="235">
        <f>(O801+IF('Scenario Analysis'!$N$23=1,0,0.5))*P801</f>
        <v>99716.5</v>
      </c>
    </row>
    <row r="802" spans="3:17" x14ac:dyDescent="0.25">
      <c r="C802" s="191"/>
      <c r="K802" s="283" t="s">
        <v>1271</v>
      </c>
      <c r="L802" s="283" t="s">
        <v>672</v>
      </c>
      <c r="M802" s="283" t="s">
        <v>250</v>
      </c>
      <c r="N802" s="283" t="s">
        <v>252</v>
      </c>
      <c r="O802" s="283">
        <v>150</v>
      </c>
      <c r="P802" s="283">
        <v>94234</v>
      </c>
      <c r="Q802" s="235">
        <f>(O802+IF('Scenario Analysis'!$N$23=1,0,0.5))*P802</f>
        <v>14182217</v>
      </c>
    </row>
    <row r="803" spans="3:17" x14ac:dyDescent="0.25">
      <c r="C803" s="191"/>
      <c r="K803" s="283" t="s">
        <v>1271</v>
      </c>
      <c r="L803" s="283" t="s">
        <v>673</v>
      </c>
      <c r="M803" s="283" t="s">
        <v>250</v>
      </c>
      <c r="N803" s="283" t="s">
        <v>253</v>
      </c>
      <c r="O803" s="283">
        <v>0</v>
      </c>
      <c r="P803" s="283">
        <v>113104</v>
      </c>
      <c r="Q803" s="235">
        <f>(O803+IF('Scenario Analysis'!$N$23=1,0,0.5))*P803</f>
        <v>56552</v>
      </c>
    </row>
    <row r="804" spans="3:17" x14ac:dyDescent="0.25">
      <c r="C804" s="191"/>
      <c r="K804" s="283" t="s">
        <v>1271</v>
      </c>
      <c r="L804" s="283" t="s">
        <v>673</v>
      </c>
      <c r="M804" s="283" t="s">
        <v>250</v>
      </c>
      <c r="N804" s="283" t="s">
        <v>253</v>
      </c>
      <c r="O804" s="283">
        <v>1</v>
      </c>
      <c r="P804" s="283">
        <v>2024769</v>
      </c>
      <c r="Q804" s="235">
        <f>(O804+IF('Scenario Analysis'!$N$23=1,0,0.5))*P804</f>
        <v>3037153.5</v>
      </c>
    </row>
    <row r="805" spans="3:17" x14ac:dyDescent="0.25">
      <c r="C805" s="191"/>
      <c r="K805" s="283" t="s">
        <v>1271</v>
      </c>
      <c r="L805" s="283" t="s">
        <v>673</v>
      </c>
      <c r="M805" s="283" t="s">
        <v>250</v>
      </c>
      <c r="N805" s="283" t="s">
        <v>253</v>
      </c>
      <c r="O805" s="283">
        <v>2</v>
      </c>
      <c r="P805" s="283">
        <v>1853271</v>
      </c>
      <c r="Q805" s="235">
        <f>(O805+IF('Scenario Analysis'!$N$23=1,0,0.5))*P805</f>
        <v>4633177.5</v>
      </c>
    </row>
    <row r="806" spans="3:17" x14ac:dyDescent="0.25">
      <c r="C806" s="191"/>
      <c r="K806" s="283" t="s">
        <v>1271</v>
      </c>
      <c r="L806" s="283" t="s">
        <v>673</v>
      </c>
      <c r="M806" s="283" t="s">
        <v>250</v>
      </c>
      <c r="N806" s="283" t="s">
        <v>253</v>
      </c>
      <c r="O806" s="283">
        <v>3</v>
      </c>
      <c r="P806" s="283">
        <v>4769343</v>
      </c>
      <c r="Q806" s="235">
        <f>(O806+IF('Scenario Analysis'!$N$23=1,0,0.5))*P806</f>
        <v>16692700.5</v>
      </c>
    </row>
    <row r="807" spans="3:17" x14ac:dyDescent="0.25">
      <c r="C807" s="191"/>
      <c r="K807" s="283" t="s">
        <v>1271</v>
      </c>
      <c r="L807" s="283" t="s">
        <v>673</v>
      </c>
      <c r="M807" s="283" t="s">
        <v>250</v>
      </c>
      <c r="N807" s="283" t="s">
        <v>253</v>
      </c>
      <c r="O807" s="283">
        <v>4</v>
      </c>
      <c r="P807" s="283">
        <v>2853685</v>
      </c>
      <c r="Q807" s="235">
        <f>(O807+IF('Scenario Analysis'!$N$23=1,0,0.5))*P807</f>
        <v>12841582.5</v>
      </c>
    </row>
    <row r="808" spans="3:17" x14ac:dyDescent="0.25">
      <c r="C808" s="191"/>
      <c r="K808" s="283" t="s">
        <v>1271</v>
      </c>
      <c r="L808" s="283" t="s">
        <v>673</v>
      </c>
      <c r="M808" s="283" t="s">
        <v>250</v>
      </c>
      <c r="N808" s="283" t="s">
        <v>253</v>
      </c>
      <c r="O808" s="283">
        <v>5</v>
      </c>
      <c r="P808" s="283">
        <v>2553789</v>
      </c>
      <c r="Q808" s="235">
        <f>(O808+IF('Scenario Analysis'!$N$23=1,0,0.5))*P808</f>
        <v>14045839.5</v>
      </c>
    </row>
    <row r="809" spans="3:17" x14ac:dyDescent="0.25">
      <c r="C809" s="191"/>
      <c r="K809" s="283" t="s">
        <v>1271</v>
      </c>
      <c r="L809" s="283" t="s">
        <v>673</v>
      </c>
      <c r="M809" s="283" t="s">
        <v>250</v>
      </c>
      <c r="N809" s="283" t="s">
        <v>253</v>
      </c>
      <c r="O809" s="283">
        <v>6</v>
      </c>
      <c r="P809" s="283">
        <v>4704187</v>
      </c>
      <c r="Q809" s="235">
        <f>(O809+IF('Scenario Analysis'!$N$23=1,0,0.5))*P809</f>
        <v>30577215.5</v>
      </c>
    </row>
    <row r="810" spans="3:17" x14ac:dyDescent="0.25">
      <c r="C810" s="191"/>
      <c r="K810" s="283" t="s">
        <v>1271</v>
      </c>
      <c r="L810" s="283" t="s">
        <v>673</v>
      </c>
      <c r="M810" s="283" t="s">
        <v>250</v>
      </c>
      <c r="N810" s="283" t="s">
        <v>253</v>
      </c>
      <c r="O810" s="283">
        <v>7</v>
      </c>
      <c r="P810" s="283">
        <v>1579000</v>
      </c>
      <c r="Q810" s="235">
        <f>(O810+IF('Scenario Analysis'!$N$23=1,0,0.5))*P810</f>
        <v>11842500</v>
      </c>
    </row>
    <row r="811" spans="3:17" x14ac:dyDescent="0.25">
      <c r="C811" s="191"/>
      <c r="K811" s="283" t="s">
        <v>1271</v>
      </c>
      <c r="L811" s="283" t="s">
        <v>673</v>
      </c>
      <c r="M811" s="283" t="s">
        <v>250</v>
      </c>
      <c r="N811" s="283" t="s">
        <v>253</v>
      </c>
      <c r="O811" s="283">
        <v>8</v>
      </c>
      <c r="P811" s="283">
        <v>2564266</v>
      </c>
      <c r="Q811" s="235">
        <f>(O811+IF('Scenario Analysis'!$N$23=1,0,0.5))*P811</f>
        <v>21796261</v>
      </c>
    </row>
    <row r="812" spans="3:17" x14ac:dyDescent="0.25">
      <c r="C812" s="191"/>
      <c r="K812" s="283" t="s">
        <v>1271</v>
      </c>
      <c r="L812" s="283" t="s">
        <v>673</v>
      </c>
      <c r="M812" s="283" t="s">
        <v>250</v>
      </c>
      <c r="N812" s="283" t="s">
        <v>253</v>
      </c>
      <c r="O812" s="283">
        <v>9</v>
      </c>
      <c r="P812" s="283">
        <v>2912493</v>
      </c>
      <c r="Q812" s="235">
        <f>(O812+IF('Scenario Analysis'!$N$23=1,0,0.5))*P812</f>
        <v>27668683.5</v>
      </c>
    </row>
    <row r="813" spans="3:17" x14ac:dyDescent="0.25">
      <c r="C813" s="191"/>
      <c r="K813" s="283" t="s">
        <v>1271</v>
      </c>
      <c r="L813" s="283" t="s">
        <v>673</v>
      </c>
      <c r="M813" s="283" t="s">
        <v>250</v>
      </c>
      <c r="N813" s="283" t="s">
        <v>253</v>
      </c>
      <c r="O813" s="283">
        <v>10</v>
      </c>
      <c r="P813" s="283">
        <v>1910709</v>
      </c>
      <c r="Q813" s="235">
        <f>(O813+IF('Scenario Analysis'!$N$23=1,0,0.5))*P813</f>
        <v>20062444.5</v>
      </c>
    </row>
    <row r="814" spans="3:17" x14ac:dyDescent="0.25">
      <c r="C814" s="191"/>
      <c r="K814" s="283" t="s">
        <v>1271</v>
      </c>
      <c r="L814" s="283" t="s">
        <v>673</v>
      </c>
      <c r="M814" s="283" t="s">
        <v>250</v>
      </c>
      <c r="N814" s="283" t="s">
        <v>253</v>
      </c>
      <c r="O814" s="283">
        <v>11</v>
      </c>
      <c r="P814" s="283">
        <v>2549443</v>
      </c>
      <c r="Q814" s="235">
        <f>(O814+IF('Scenario Analysis'!$N$23=1,0,0.5))*P814</f>
        <v>29318594.5</v>
      </c>
    </row>
    <row r="815" spans="3:17" x14ac:dyDescent="0.25">
      <c r="C815" s="191"/>
      <c r="K815" s="283" t="s">
        <v>1271</v>
      </c>
      <c r="L815" s="283" t="s">
        <v>673</v>
      </c>
      <c r="M815" s="283" t="s">
        <v>250</v>
      </c>
      <c r="N815" s="283" t="s">
        <v>253</v>
      </c>
      <c r="O815" s="283">
        <v>12</v>
      </c>
      <c r="P815" s="283">
        <v>2418698</v>
      </c>
      <c r="Q815" s="235">
        <f>(O815+IF('Scenario Analysis'!$N$23=1,0,0.5))*P815</f>
        <v>30233725</v>
      </c>
    </row>
    <row r="816" spans="3:17" x14ac:dyDescent="0.25">
      <c r="C816" s="191"/>
      <c r="K816" s="283" t="s">
        <v>1271</v>
      </c>
      <c r="L816" s="283" t="s">
        <v>673</v>
      </c>
      <c r="M816" s="283" t="s">
        <v>250</v>
      </c>
      <c r="N816" s="283" t="s">
        <v>253</v>
      </c>
      <c r="O816" s="283">
        <v>13</v>
      </c>
      <c r="P816" s="283">
        <v>1854654</v>
      </c>
      <c r="Q816" s="235">
        <f>(O816+IF('Scenario Analysis'!$N$23=1,0,0.5))*P816</f>
        <v>25037829</v>
      </c>
    </row>
    <row r="817" spans="3:17" x14ac:dyDescent="0.25">
      <c r="C817" s="191"/>
      <c r="K817" s="283" t="s">
        <v>1271</v>
      </c>
      <c r="L817" s="283" t="s">
        <v>673</v>
      </c>
      <c r="M817" s="283" t="s">
        <v>250</v>
      </c>
      <c r="N817" s="283" t="s">
        <v>253</v>
      </c>
      <c r="O817" s="283">
        <v>14</v>
      </c>
      <c r="P817" s="283">
        <v>2676406</v>
      </c>
      <c r="Q817" s="235">
        <f>(O817+IF('Scenario Analysis'!$N$23=1,0,0.5))*P817</f>
        <v>38807887</v>
      </c>
    </row>
    <row r="818" spans="3:17" x14ac:dyDescent="0.25">
      <c r="C818" s="191"/>
      <c r="K818" s="283" t="s">
        <v>1271</v>
      </c>
      <c r="L818" s="283" t="s">
        <v>673</v>
      </c>
      <c r="M818" s="283" t="s">
        <v>250</v>
      </c>
      <c r="N818" s="283" t="s">
        <v>253</v>
      </c>
      <c r="O818" s="283">
        <v>15</v>
      </c>
      <c r="P818" s="283">
        <v>1291239</v>
      </c>
      <c r="Q818" s="235">
        <f>(O818+IF('Scenario Analysis'!$N$23=1,0,0.5))*P818</f>
        <v>20014204.5</v>
      </c>
    </row>
    <row r="819" spans="3:17" x14ac:dyDescent="0.25">
      <c r="C819" s="191"/>
      <c r="K819" s="283" t="s">
        <v>1271</v>
      </c>
      <c r="L819" s="283" t="s">
        <v>673</v>
      </c>
      <c r="M819" s="283" t="s">
        <v>250</v>
      </c>
      <c r="N819" s="283" t="s">
        <v>253</v>
      </c>
      <c r="O819" s="283">
        <v>16</v>
      </c>
      <c r="P819" s="283">
        <v>1572894</v>
      </c>
      <c r="Q819" s="235">
        <f>(O819+IF('Scenario Analysis'!$N$23=1,0,0.5))*P819</f>
        <v>25952751</v>
      </c>
    </row>
    <row r="820" spans="3:17" x14ac:dyDescent="0.25">
      <c r="C820" s="191"/>
      <c r="K820" s="283" t="s">
        <v>1271</v>
      </c>
      <c r="L820" s="283" t="s">
        <v>673</v>
      </c>
      <c r="M820" s="283" t="s">
        <v>250</v>
      </c>
      <c r="N820" s="283" t="s">
        <v>253</v>
      </c>
      <c r="O820" s="283">
        <v>17</v>
      </c>
      <c r="P820" s="283">
        <v>1232817</v>
      </c>
      <c r="Q820" s="235">
        <f>(O820+IF('Scenario Analysis'!$N$23=1,0,0.5))*P820</f>
        <v>21574297.5</v>
      </c>
    </row>
    <row r="821" spans="3:17" x14ac:dyDescent="0.25">
      <c r="C821" s="191"/>
      <c r="K821" s="283" t="s">
        <v>1271</v>
      </c>
      <c r="L821" s="283" t="s">
        <v>673</v>
      </c>
      <c r="M821" s="283" t="s">
        <v>250</v>
      </c>
      <c r="N821" s="283" t="s">
        <v>253</v>
      </c>
      <c r="O821" s="283">
        <v>18</v>
      </c>
      <c r="P821" s="283">
        <v>1755336</v>
      </c>
      <c r="Q821" s="235">
        <f>(O821+IF('Scenario Analysis'!$N$23=1,0,0.5))*P821</f>
        <v>32473716</v>
      </c>
    </row>
    <row r="822" spans="3:17" x14ac:dyDescent="0.25">
      <c r="C822" s="191"/>
      <c r="K822" s="283" t="s">
        <v>1271</v>
      </c>
      <c r="L822" s="283" t="s">
        <v>673</v>
      </c>
      <c r="M822" s="283" t="s">
        <v>250</v>
      </c>
      <c r="N822" s="283" t="s">
        <v>253</v>
      </c>
      <c r="O822" s="283">
        <v>19</v>
      </c>
      <c r="P822" s="283">
        <v>1637526</v>
      </c>
      <c r="Q822" s="235">
        <f>(O822+IF('Scenario Analysis'!$N$23=1,0,0.5))*P822</f>
        <v>31931757</v>
      </c>
    </row>
    <row r="823" spans="3:17" x14ac:dyDescent="0.25">
      <c r="C823" s="191"/>
      <c r="K823" s="283" t="s">
        <v>1271</v>
      </c>
      <c r="L823" s="283" t="s">
        <v>673</v>
      </c>
      <c r="M823" s="283" t="s">
        <v>250</v>
      </c>
      <c r="N823" s="283" t="s">
        <v>253</v>
      </c>
      <c r="O823" s="283">
        <v>20</v>
      </c>
      <c r="P823" s="283">
        <v>1239697</v>
      </c>
      <c r="Q823" s="235">
        <f>(O823+IF('Scenario Analysis'!$N$23=1,0,0.5))*P823</f>
        <v>25413788.5</v>
      </c>
    </row>
    <row r="824" spans="3:17" x14ac:dyDescent="0.25">
      <c r="C824" s="191"/>
      <c r="K824" s="283" t="s">
        <v>1271</v>
      </c>
      <c r="L824" s="283" t="s">
        <v>673</v>
      </c>
      <c r="M824" s="283" t="s">
        <v>250</v>
      </c>
      <c r="N824" s="283" t="s">
        <v>253</v>
      </c>
      <c r="O824" s="283">
        <v>21</v>
      </c>
      <c r="P824" s="283">
        <v>1694971</v>
      </c>
      <c r="Q824" s="235">
        <f>(O824+IF('Scenario Analysis'!$N$23=1,0,0.5))*P824</f>
        <v>36441876.5</v>
      </c>
    </row>
    <row r="825" spans="3:17" x14ac:dyDescent="0.25">
      <c r="C825" s="191"/>
      <c r="K825" s="283" t="s">
        <v>1271</v>
      </c>
      <c r="L825" s="283" t="s">
        <v>673</v>
      </c>
      <c r="M825" s="283" t="s">
        <v>250</v>
      </c>
      <c r="N825" s="283" t="s">
        <v>253</v>
      </c>
      <c r="O825" s="283">
        <v>22</v>
      </c>
      <c r="P825" s="283">
        <v>978582</v>
      </c>
      <c r="Q825" s="235">
        <f>(O825+IF('Scenario Analysis'!$N$23=1,0,0.5))*P825</f>
        <v>22018095</v>
      </c>
    </row>
    <row r="826" spans="3:17" x14ac:dyDescent="0.25">
      <c r="C826" s="191"/>
      <c r="K826" s="283" t="s">
        <v>1271</v>
      </c>
      <c r="L826" s="283" t="s">
        <v>673</v>
      </c>
      <c r="M826" s="283" t="s">
        <v>250</v>
      </c>
      <c r="N826" s="283" t="s">
        <v>253</v>
      </c>
      <c r="O826" s="283">
        <v>23</v>
      </c>
      <c r="P826" s="283">
        <v>1256214</v>
      </c>
      <c r="Q826" s="235">
        <f>(O826+IF('Scenario Analysis'!$N$23=1,0,0.5))*P826</f>
        <v>29521029</v>
      </c>
    </row>
    <row r="827" spans="3:17" x14ac:dyDescent="0.25">
      <c r="C827" s="191"/>
      <c r="K827" s="283" t="s">
        <v>1271</v>
      </c>
      <c r="L827" s="283" t="s">
        <v>673</v>
      </c>
      <c r="M827" s="283" t="s">
        <v>250</v>
      </c>
      <c r="N827" s="283" t="s">
        <v>253</v>
      </c>
      <c r="O827" s="283">
        <v>24</v>
      </c>
      <c r="P827" s="283">
        <v>1183109</v>
      </c>
      <c r="Q827" s="235">
        <f>(O827+IF('Scenario Analysis'!$N$23=1,0,0.5))*P827</f>
        <v>28986170.5</v>
      </c>
    </row>
    <row r="828" spans="3:17" x14ac:dyDescent="0.25">
      <c r="C828" s="191"/>
      <c r="K828" s="283" t="s">
        <v>1271</v>
      </c>
      <c r="L828" s="283" t="s">
        <v>673</v>
      </c>
      <c r="M828" s="283" t="s">
        <v>250</v>
      </c>
      <c r="N828" s="283" t="s">
        <v>253</v>
      </c>
      <c r="O828" s="283">
        <v>25</v>
      </c>
      <c r="P828" s="283">
        <v>893004</v>
      </c>
      <c r="Q828" s="235">
        <f>(O828+IF('Scenario Analysis'!$N$23=1,0,0.5))*P828</f>
        <v>22771602</v>
      </c>
    </row>
    <row r="829" spans="3:17" x14ac:dyDescent="0.25">
      <c r="C829" s="191"/>
      <c r="K829" s="283" t="s">
        <v>1271</v>
      </c>
      <c r="L829" s="283" t="s">
        <v>673</v>
      </c>
      <c r="M829" s="283" t="s">
        <v>250</v>
      </c>
      <c r="N829" s="283" t="s">
        <v>253</v>
      </c>
      <c r="O829" s="283">
        <v>26</v>
      </c>
      <c r="P829" s="283">
        <v>1533128</v>
      </c>
      <c r="Q829" s="235">
        <f>(O829+IF('Scenario Analysis'!$N$23=1,0,0.5))*P829</f>
        <v>40627892</v>
      </c>
    </row>
    <row r="830" spans="3:17" x14ac:dyDescent="0.25">
      <c r="C830" s="191"/>
      <c r="K830" s="283" t="s">
        <v>1271</v>
      </c>
      <c r="L830" s="283" t="s">
        <v>673</v>
      </c>
      <c r="M830" s="283" t="s">
        <v>250</v>
      </c>
      <c r="N830" s="283" t="s">
        <v>253</v>
      </c>
      <c r="O830" s="283">
        <v>27</v>
      </c>
      <c r="P830" s="283">
        <v>680172</v>
      </c>
      <c r="Q830" s="235">
        <f>(O830+IF('Scenario Analysis'!$N$23=1,0,0.5))*P830</f>
        <v>18704730</v>
      </c>
    </row>
    <row r="831" spans="3:17" x14ac:dyDescent="0.25">
      <c r="C831" s="191"/>
      <c r="K831" s="283" t="s">
        <v>1271</v>
      </c>
      <c r="L831" s="283" t="s">
        <v>673</v>
      </c>
      <c r="M831" s="283" t="s">
        <v>250</v>
      </c>
      <c r="N831" s="283" t="s">
        <v>253</v>
      </c>
      <c r="O831" s="283">
        <v>28</v>
      </c>
      <c r="P831" s="283">
        <v>704399</v>
      </c>
      <c r="Q831" s="235">
        <f>(O831+IF('Scenario Analysis'!$N$23=1,0,0.5))*P831</f>
        <v>20075371.5</v>
      </c>
    </row>
    <row r="832" spans="3:17" x14ac:dyDescent="0.25">
      <c r="C832" s="191"/>
      <c r="K832" s="283" t="s">
        <v>1271</v>
      </c>
      <c r="L832" s="283" t="s">
        <v>673</v>
      </c>
      <c r="M832" s="283" t="s">
        <v>250</v>
      </c>
      <c r="N832" s="283" t="s">
        <v>253</v>
      </c>
      <c r="O832" s="283">
        <v>29</v>
      </c>
      <c r="P832" s="283">
        <v>750155</v>
      </c>
      <c r="Q832" s="235">
        <f>(O832+IF('Scenario Analysis'!$N$23=1,0,0.5))*P832</f>
        <v>22129572.5</v>
      </c>
    </row>
    <row r="833" spans="3:17" x14ac:dyDescent="0.25">
      <c r="C833" s="191"/>
      <c r="K833" s="283" t="s">
        <v>1271</v>
      </c>
      <c r="L833" s="283" t="s">
        <v>673</v>
      </c>
      <c r="M833" s="283" t="s">
        <v>250</v>
      </c>
      <c r="N833" s="283" t="s">
        <v>253</v>
      </c>
      <c r="O833" s="283">
        <v>30</v>
      </c>
      <c r="P833" s="283">
        <v>560027</v>
      </c>
      <c r="Q833" s="235">
        <f>(O833+IF('Scenario Analysis'!$N$23=1,0,0.5))*P833</f>
        <v>17080823.5</v>
      </c>
    </row>
    <row r="834" spans="3:17" x14ac:dyDescent="0.25">
      <c r="C834" s="191"/>
      <c r="K834" s="283" t="s">
        <v>1271</v>
      </c>
      <c r="L834" s="283" t="s">
        <v>673</v>
      </c>
      <c r="M834" s="283" t="s">
        <v>250</v>
      </c>
      <c r="N834" s="283" t="s">
        <v>253</v>
      </c>
      <c r="O834" s="283">
        <v>31</v>
      </c>
      <c r="P834" s="283">
        <v>775043</v>
      </c>
      <c r="Q834" s="235">
        <f>(O834+IF('Scenario Analysis'!$N$23=1,0,0.5))*P834</f>
        <v>24413854.5</v>
      </c>
    </row>
    <row r="835" spans="3:17" x14ac:dyDescent="0.25">
      <c r="C835" s="191"/>
      <c r="K835" s="283" t="s">
        <v>1271</v>
      </c>
      <c r="L835" s="283" t="s">
        <v>673</v>
      </c>
      <c r="M835" s="283" t="s">
        <v>250</v>
      </c>
      <c r="N835" s="283" t="s">
        <v>253</v>
      </c>
      <c r="O835" s="283">
        <v>32</v>
      </c>
      <c r="P835" s="283">
        <v>653910</v>
      </c>
      <c r="Q835" s="235">
        <f>(O835+IF('Scenario Analysis'!$N$23=1,0,0.5))*P835</f>
        <v>21252075</v>
      </c>
    </row>
    <row r="836" spans="3:17" x14ac:dyDescent="0.25">
      <c r="C836" s="191"/>
      <c r="K836" s="283" t="s">
        <v>1271</v>
      </c>
      <c r="L836" s="283" t="s">
        <v>673</v>
      </c>
      <c r="M836" s="283" t="s">
        <v>250</v>
      </c>
      <c r="N836" s="283" t="s">
        <v>253</v>
      </c>
      <c r="O836" s="283">
        <v>33</v>
      </c>
      <c r="P836" s="283">
        <v>579001</v>
      </c>
      <c r="Q836" s="235">
        <f>(O836+IF('Scenario Analysis'!$N$23=1,0,0.5))*P836</f>
        <v>19396533.5</v>
      </c>
    </row>
    <row r="837" spans="3:17" x14ac:dyDescent="0.25">
      <c r="C837" s="191"/>
      <c r="K837" s="283" t="s">
        <v>1271</v>
      </c>
      <c r="L837" s="283" t="s">
        <v>673</v>
      </c>
      <c r="M837" s="283" t="s">
        <v>250</v>
      </c>
      <c r="N837" s="283" t="s">
        <v>253</v>
      </c>
      <c r="O837" s="283">
        <v>34</v>
      </c>
      <c r="P837" s="283">
        <v>428682</v>
      </c>
      <c r="Q837" s="235">
        <f>(O837+IF('Scenario Analysis'!$N$23=1,0,0.5))*P837</f>
        <v>14789529</v>
      </c>
    </row>
    <row r="838" spans="3:17" x14ac:dyDescent="0.25">
      <c r="C838" s="191"/>
      <c r="K838" s="283" t="s">
        <v>1271</v>
      </c>
      <c r="L838" s="283" t="s">
        <v>673</v>
      </c>
      <c r="M838" s="283" t="s">
        <v>250</v>
      </c>
      <c r="N838" s="283" t="s">
        <v>253</v>
      </c>
      <c r="O838" s="283">
        <v>35</v>
      </c>
      <c r="P838" s="283">
        <v>438307</v>
      </c>
      <c r="Q838" s="235">
        <f>(O838+IF('Scenario Analysis'!$N$23=1,0,0.5))*P838</f>
        <v>15559898.5</v>
      </c>
    </row>
    <row r="839" spans="3:17" x14ac:dyDescent="0.25">
      <c r="C839" s="191"/>
      <c r="K839" s="283" t="s">
        <v>1271</v>
      </c>
      <c r="L839" s="283" t="s">
        <v>673</v>
      </c>
      <c r="M839" s="283" t="s">
        <v>250</v>
      </c>
      <c r="N839" s="283" t="s">
        <v>253</v>
      </c>
      <c r="O839" s="283">
        <v>36</v>
      </c>
      <c r="P839" s="283">
        <v>553008</v>
      </c>
      <c r="Q839" s="235">
        <f>(O839+IF('Scenario Analysis'!$N$23=1,0,0.5))*P839</f>
        <v>20184792</v>
      </c>
    </row>
    <row r="840" spans="3:17" x14ac:dyDescent="0.25">
      <c r="C840" s="191"/>
      <c r="K840" s="283" t="s">
        <v>1271</v>
      </c>
      <c r="L840" s="283" t="s">
        <v>673</v>
      </c>
      <c r="M840" s="283" t="s">
        <v>250</v>
      </c>
      <c r="N840" s="283" t="s">
        <v>253</v>
      </c>
      <c r="O840" s="283">
        <v>37</v>
      </c>
      <c r="P840" s="283">
        <v>197176</v>
      </c>
      <c r="Q840" s="235">
        <f>(O840+IF('Scenario Analysis'!$N$23=1,0,0.5))*P840</f>
        <v>7394100</v>
      </c>
    </row>
    <row r="841" spans="3:17" x14ac:dyDescent="0.25">
      <c r="C841" s="191"/>
      <c r="K841" s="283" t="s">
        <v>1271</v>
      </c>
      <c r="L841" s="283" t="s">
        <v>673</v>
      </c>
      <c r="M841" s="283" t="s">
        <v>250</v>
      </c>
      <c r="N841" s="283" t="s">
        <v>253</v>
      </c>
      <c r="O841" s="283">
        <v>38</v>
      </c>
      <c r="P841" s="283">
        <v>530397</v>
      </c>
      <c r="Q841" s="235">
        <f>(O841+IF('Scenario Analysis'!$N$23=1,0,0.5))*P841</f>
        <v>20420284.5</v>
      </c>
    </row>
    <row r="842" spans="3:17" x14ac:dyDescent="0.25">
      <c r="C842" s="191"/>
      <c r="K842" s="283" t="s">
        <v>1271</v>
      </c>
      <c r="L842" s="283" t="s">
        <v>673</v>
      </c>
      <c r="M842" s="283" t="s">
        <v>250</v>
      </c>
      <c r="N842" s="283" t="s">
        <v>253</v>
      </c>
      <c r="O842" s="283">
        <v>39</v>
      </c>
      <c r="P842" s="283">
        <v>293037</v>
      </c>
      <c r="Q842" s="235">
        <f>(O842+IF('Scenario Analysis'!$N$23=1,0,0.5))*P842</f>
        <v>11574961.5</v>
      </c>
    </row>
    <row r="843" spans="3:17" x14ac:dyDescent="0.25">
      <c r="C843" s="191"/>
      <c r="K843" s="283" t="s">
        <v>1271</v>
      </c>
      <c r="L843" s="283" t="s">
        <v>673</v>
      </c>
      <c r="M843" s="283" t="s">
        <v>250</v>
      </c>
      <c r="N843" s="283" t="s">
        <v>253</v>
      </c>
      <c r="O843" s="283">
        <v>40</v>
      </c>
      <c r="P843" s="283">
        <v>325313</v>
      </c>
      <c r="Q843" s="235">
        <f>(O843+IF('Scenario Analysis'!$N$23=1,0,0.5))*P843</f>
        <v>13175176.5</v>
      </c>
    </row>
    <row r="844" spans="3:17" x14ac:dyDescent="0.25">
      <c r="C844" s="191"/>
      <c r="K844" s="283" t="s">
        <v>1271</v>
      </c>
      <c r="L844" s="283" t="s">
        <v>673</v>
      </c>
      <c r="M844" s="283" t="s">
        <v>250</v>
      </c>
      <c r="N844" s="283" t="s">
        <v>253</v>
      </c>
      <c r="O844" s="283">
        <v>41</v>
      </c>
      <c r="P844" s="283">
        <v>251836</v>
      </c>
      <c r="Q844" s="235">
        <f>(O844+IF('Scenario Analysis'!$N$23=1,0,0.5))*P844</f>
        <v>10451194</v>
      </c>
    </row>
    <row r="845" spans="3:17" x14ac:dyDescent="0.25">
      <c r="C845" s="191"/>
      <c r="K845" s="283" t="s">
        <v>1271</v>
      </c>
      <c r="L845" s="283" t="s">
        <v>673</v>
      </c>
      <c r="M845" s="283" t="s">
        <v>250</v>
      </c>
      <c r="N845" s="283" t="s">
        <v>253</v>
      </c>
      <c r="O845" s="283">
        <v>42</v>
      </c>
      <c r="P845" s="283">
        <v>190652</v>
      </c>
      <c r="Q845" s="235">
        <f>(O845+IF('Scenario Analysis'!$N$23=1,0,0.5))*P845</f>
        <v>8102710</v>
      </c>
    </row>
    <row r="846" spans="3:17" x14ac:dyDescent="0.25">
      <c r="C846" s="191"/>
      <c r="K846" s="283" t="s">
        <v>1271</v>
      </c>
      <c r="L846" s="283" t="s">
        <v>673</v>
      </c>
      <c r="M846" s="283" t="s">
        <v>250</v>
      </c>
      <c r="N846" s="283" t="s">
        <v>253</v>
      </c>
      <c r="O846" s="283">
        <v>43</v>
      </c>
      <c r="P846" s="283">
        <v>293594</v>
      </c>
      <c r="Q846" s="235">
        <f>(O846+IF('Scenario Analysis'!$N$23=1,0,0.5))*P846</f>
        <v>12771339</v>
      </c>
    </row>
    <row r="847" spans="3:17" x14ac:dyDescent="0.25">
      <c r="C847" s="191"/>
      <c r="K847" s="283" t="s">
        <v>1271</v>
      </c>
      <c r="L847" s="283" t="s">
        <v>673</v>
      </c>
      <c r="M847" s="283" t="s">
        <v>250</v>
      </c>
      <c r="N847" s="283" t="s">
        <v>253</v>
      </c>
      <c r="O847" s="283">
        <v>44</v>
      </c>
      <c r="P847" s="283">
        <v>285171</v>
      </c>
      <c r="Q847" s="235">
        <f>(O847+IF('Scenario Analysis'!$N$23=1,0,0.5))*P847</f>
        <v>12690109.5</v>
      </c>
    </row>
    <row r="848" spans="3:17" x14ac:dyDescent="0.25">
      <c r="C848" s="191"/>
      <c r="K848" s="283" t="s">
        <v>1271</v>
      </c>
      <c r="L848" s="283" t="s">
        <v>673</v>
      </c>
      <c r="M848" s="283" t="s">
        <v>250</v>
      </c>
      <c r="N848" s="283" t="s">
        <v>253</v>
      </c>
      <c r="O848" s="283">
        <v>45</v>
      </c>
      <c r="P848" s="283">
        <v>312722</v>
      </c>
      <c r="Q848" s="235">
        <f>(O848+IF('Scenario Analysis'!$N$23=1,0,0.5))*P848</f>
        <v>14228851</v>
      </c>
    </row>
    <row r="849" spans="3:17" x14ac:dyDescent="0.25">
      <c r="C849" s="191"/>
      <c r="K849" s="283" t="s">
        <v>1271</v>
      </c>
      <c r="L849" s="283" t="s">
        <v>673</v>
      </c>
      <c r="M849" s="283" t="s">
        <v>250</v>
      </c>
      <c r="N849" s="283" t="s">
        <v>253</v>
      </c>
      <c r="O849" s="283">
        <v>46</v>
      </c>
      <c r="P849" s="283">
        <v>219220</v>
      </c>
      <c r="Q849" s="235">
        <f>(O849+IF('Scenario Analysis'!$N$23=1,0,0.5))*P849</f>
        <v>10193730</v>
      </c>
    </row>
    <row r="850" spans="3:17" x14ac:dyDescent="0.25">
      <c r="C850" s="191"/>
      <c r="K850" s="283" t="s">
        <v>1271</v>
      </c>
      <c r="L850" s="283" t="s">
        <v>673</v>
      </c>
      <c r="M850" s="283" t="s">
        <v>250</v>
      </c>
      <c r="N850" s="283" t="s">
        <v>253</v>
      </c>
      <c r="O850" s="283">
        <v>47</v>
      </c>
      <c r="P850" s="283">
        <v>305726</v>
      </c>
      <c r="Q850" s="235">
        <f>(O850+IF('Scenario Analysis'!$N$23=1,0,0.5))*P850</f>
        <v>14521985</v>
      </c>
    </row>
    <row r="851" spans="3:17" x14ac:dyDescent="0.25">
      <c r="C851" s="191"/>
      <c r="K851" s="283" t="s">
        <v>1271</v>
      </c>
      <c r="L851" s="283" t="s">
        <v>673</v>
      </c>
      <c r="M851" s="283" t="s">
        <v>250</v>
      </c>
      <c r="N851" s="283" t="s">
        <v>253</v>
      </c>
      <c r="O851" s="283">
        <v>48</v>
      </c>
      <c r="P851" s="283">
        <v>51604</v>
      </c>
      <c r="Q851" s="235">
        <f>(O851+IF('Scenario Analysis'!$N$23=1,0,0.5))*P851</f>
        <v>2502794</v>
      </c>
    </row>
    <row r="852" spans="3:17" x14ac:dyDescent="0.25">
      <c r="C852" s="191"/>
      <c r="K852" s="283" t="s">
        <v>1271</v>
      </c>
      <c r="L852" s="283" t="s">
        <v>673</v>
      </c>
      <c r="M852" s="283" t="s">
        <v>250</v>
      </c>
      <c r="N852" s="283" t="s">
        <v>253</v>
      </c>
      <c r="O852" s="283">
        <v>49</v>
      </c>
      <c r="P852" s="283">
        <v>357067</v>
      </c>
      <c r="Q852" s="235">
        <f>(O852+IF('Scenario Analysis'!$N$23=1,0,0.5))*P852</f>
        <v>17674816.5</v>
      </c>
    </row>
    <row r="853" spans="3:17" x14ac:dyDescent="0.25">
      <c r="C853" s="191"/>
      <c r="K853" s="283" t="s">
        <v>1271</v>
      </c>
      <c r="L853" s="283" t="s">
        <v>673</v>
      </c>
      <c r="M853" s="283" t="s">
        <v>250</v>
      </c>
      <c r="N853" s="283" t="s">
        <v>253</v>
      </c>
      <c r="O853" s="283">
        <v>50</v>
      </c>
      <c r="P853" s="283">
        <v>160887</v>
      </c>
      <c r="Q853" s="235">
        <f>(O853+IF('Scenario Analysis'!$N$23=1,0,0.5))*P853</f>
        <v>8124793.5</v>
      </c>
    </row>
    <row r="854" spans="3:17" x14ac:dyDescent="0.25">
      <c r="C854" s="191"/>
      <c r="K854" s="283" t="s">
        <v>1271</v>
      </c>
      <c r="L854" s="283" t="s">
        <v>673</v>
      </c>
      <c r="M854" s="283" t="s">
        <v>250</v>
      </c>
      <c r="N854" s="283" t="s">
        <v>253</v>
      </c>
      <c r="O854" s="283">
        <v>51</v>
      </c>
      <c r="P854" s="283">
        <v>35711</v>
      </c>
      <c r="Q854" s="235">
        <f>(O854+IF('Scenario Analysis'!$N$23=1,0,0.5))*P854</f>
        <v>1839116.5</v>
      </c>
    </row>
    <row r="855" spans="3:17" x14ac:dyDescent="0.25">
      <c r="C855" s="191"/>
      <c r="K855" s="283" t="s">
        <v>1271</v>
      </c>
      <c r="L855" s="283" t="s">
        <v>673</v>
      </c>
      <c r="M855" s="283" t="s">
        <v>250</v>
      </c>
      <c r="N855" s="283" t="s">
        <v>253</v>
      </c>
      <c r="O855" s="283">
        <v>52</v>
      </c>
      <c r="P855" s="283">
        <v>91268</v>
      </c>
      <c r="Q855" s="235">
        <f>(O855+IF('Scenario Analysis'!$N$23=1,0,0.5))*P855</f>
        <v>4791570</v>
      </c>
    </row>
    <row r="856" spans="3:17" x14ac:dyDescent="0.25">
      <c r="C856" s="191"/>
      <c r="K856" s="283" t="s">
        <v>1271</v>
      </c>
      <c r="L856" s="283" t="s">
        <v>673</v>
      </c>
      <c r="M856" s="283" t="s">
        <v>250</v>
      </c>
      <c r="N856" s="283" t="s">
        <v>253</v>
      </c>
      <c r="O856" s="283">
        <v>53</v>
      </c>
      <c r="P856" s="283">
        <v>60442</v>
      </c>
      <c r="Q856" s="235">
        <f>(O856+IF('Scenario Analysis'!$N$23=1,0,0.5))*P856</f>
        <v>3233647</v>
      </c>
    </row>
    <row r="857" spans="3:17" x14ac:dyDescent="0.25">
      <c r="C857" s="191"/>
      <c r="K857" s="283" t="s">
        <v>1271</v>
      </c>
      <c r="L857" s="283" t="s">
        <v>673</v>
      </c>
      <c r="M857" s="283" t="s">
        <v>250</v>
      </c>
      <c r="N857" s="283" t="s">
        <v>253</v>
      </c>
      <c r="O857" s="283">
        <v>54</v>
      </c>
      <c r="P857" s="283">
        <v>24125</v>
      </c>
      <c r="Q857" s="235">
        <f>(O857+IF('Scenario Analysis'!$N$23=1,0,0.5))*P857</f>
        <v>1314812.5</v>
      </c>
    </row>
    <row r="858" spans="3:17" x14ac:dyDescent="0.25">
      <c r="C858" s="191"/>
      <c r="K858" s="283" t="s">
        <v>1271</v>
      </c>
      <c r="L858" s="283" t="s">
        <v>673</v>
      </c>
      <c r="M858" s="283" t="s">
        <v>250</v>
      </c>
      <c r="N858" s="283" t="s">
        <v>253</v>
      </c>
      <c r="O858" s="283">
        <v>55</v>
      </c>
      <c r="P858" s="283">
        <v>101164</v>
      </c>
      <c r="Q858" s="235">
        <f>(O858+IF('Scenario Analysis'!$N$23=1,0,0.5))*P858</f>
        <v>5614602</v>
      </c>
    </row>
    <row r="859" spans="3:17" x14ac:dyDescent="0.25">
      <c r="C859" s="191"/>
      <c r="K859" s="283" t="s">
        <v>1271</v>
      </c>
      <c r="L859" s="283" t="s">
        <v>673</v>
      </c>
      <c r="M859" s="283" t="s">
        <v>250</v>
      </c>
      <c r="N859" s="283" t="s">
        <v>253</v>
      </c>
      <c r="O859" s="283">
        <v>56</v>
      </c>
      <c r="P859" s="283">
        <v>19604</v>
      </c>
      <c r="Q859" s="235">
        <f>(O859+IF('Scenario Analysis'!$N$23=1,0,0.5))*P859</f>
        <v>1107626</v>
      </c>
    </row>
    <row r="860" spans="3:17" x14ac:dyDescent="0.25">
      <c r="C860" s="191"/>
      <c r="K860" s="283" t="s">
        <v>1271</v>
      </c>
      <c r="L860" s="283" t="s">
        <v>673</v>
      </c>
      <c r="M860" s="283" t="s">
        <v>250</v>
      </c>
      <c r="N860" s="283" t="s">
        <v>253</v>
      </c>
      <c r="O860" s="283">
        <v>57</v>
      </c>
      <c r="P860" s="283">
        <v>22101</v>
      </c>
      <c r="Q860" s="235">
        <f>(O860+IF('Scenario Analysis'!$N$23=1,0,0.5))*P860</f>
        <v>1270807.5</v>
      </c>
    </row>
    <row r="861" spans="3:17" x14ac:dyDescent="0.25">
      <c r="C861" s="191"/>
      <c r="K861" s="283" t="s">
        <v>1271</v>
      </c>
      <c r="L861" s="283" t="s">
        <v>673</v>
      </c>
      <c r="M861" s="283" t="s">
        <v>250</v>
      </c>
      <c r="N861" s="283" t="s">
        <v>253</v>
      </c>
      <c r="O861" s="283">
        <v>58</v>
      </c>
      <c r="P861" s="283">
        <v>124929</v>
      </c>
      <c r="Q861" s="235">
        <f>(O861+IF('Scenario Analysis'!$N$23=1,0,0.5))*P861</f>
        <v>7308346.5</v>
      </c>
    </row>
    <row r="862" spans="3:17" x14ac:dyDescent="0.25">
      <c r="C862" s="191"/>
      <c r="K862" s="283" t="s">
        <v>1271</v>
      </c>
      <c r="L862" s="283" t="s">
        <v>673</v>
      </c>
      <c r="M862" s="283" t="s">
        <v>250</v>
      </c>
      <c r="N862" s="283" t="s">
        <v>253</v>
      </c>
      <c r="O862" s="283">
        <v>59</v>
      </c>
      <c r="P862" s="283">
        <v>15160</v>
      </c>
      <c r="Q862" s="235">
        <f>(O862+IF('Scenario Analysis'!$N$23=1,0,0.5))*P862</f>
        <v>902020</v>
      </c>
    </row>
    <row r="863" spans="3:17" x14ac:dyDescent="0.25">
      <c r="C863" s="191"/>
      <c r="K863" s="283" t="s">
        <v>1271</v>
      </c>
      <c r="L863" s="283" t="s">
        <v>673</v>
      </c>
      <c r="M863" s="283" t="s">
        <v>250</v>
      </c>
      <c r="N863" s="283" t="s">
        <v>253</v>
      </c>
      <c r="O863" s="283">
        <v>60</v>
      </c>
      <c r="P863" s="283">
        <v>30682</v>
      </c>
      <c r="Q863" s="235">
        <f>(O863+IF('Scenario Analysis'!$N$23=1,0,0.5))*P863</f>
        <v>1856261</v>
      </c>
    </row>
    <row r="864" spans="3:17" x14ac:dyDescent="0.25">
      <c r="C864" s="191"/>
      <c r="K864" s="283" t="s">
        <v>1271</v>
      </c>
      <c r="L864" s="283" t="s">
        <v>673</v>
      </c>
      <c r="M864" s="283" t="s">
        <v>250</v>
      </c>
      <c r="N864" s="283" t="s">
        <v>253</v>
      </c>
      <c r="O864" s="283">
        <v>61</v>
      </c>
      <c r="P864" s="283">
        <v>30739</v>
      </c>
      <c r="Q864" s="235">
        <f>(O864+IF('Scenario Analysis'!$N$23=1,0,0.5))*P864</f>
        <v>1890448.5</v>
      </c>
    </row>
    <row r="865" spans="3:17" x14ac:dyDescent="0.25">
      <c r="C865" s="191"/>
      <c r="K865" s="283" t="s">
        <v>1271</v>
      </c>
      <c r="L865" s="283" t="s">
        <v>673</v>
      </c>
      <c r="M865" s="283" t="s">
        <v>250</v>
      </c>
      <c r="N865" s="283" t="s">
        <v>253</v>
      </c>
      <c r="O865" s="283">
        <v>62</v>
      </c>
      <c r="P865" s="283">
        <v>10605</v>
      </c>
      <c r="Q865" s="235">
        <f>(O865+IF('Scenario Analysis'!$N$23=1,0,0.5))*P865</f>
        <v>662812.5</v>
      </c>
    </row>
    <row r="866" spans="3:17" x14ac:dyDescent="0.25">
      <c r="C866" s="191"/>
      <c r="K866" s="283" t="s">
        <v>1271</v>
      </c>
      <c r="L866" s="283" t="s">
        <v>673</v>
      </c>
      <c r="M866" s="283" t="s">
        <v>250</v>
      </c>
      <c r="N866" s="283" t="s">
        <v>253</v>
      </c>
      <c r="O866" s="283">
        <v>63</v>
      </c>
      <c r="P866" s="283">
        <v>23079</v>
      </c>
      <c r="Q866" s="235">
        <f>(O866+IF('Scenario Analysis'!$N$23=1,0,0.5))*P866</f>
        <v>1465516.5</v>
      </c>
    </row>
    <row r="867" spans="3:17" x14ac:dyDescent="0.25">
      <c r="C867" s="191"/>
      <c r="K867" s="283" t="s">
        <v>1271</v>
      </c>
      <c r="L867" s="283" t="s">
        <v>673</v>
      </c>
      <c r="M867" s="283" t="s">
        <v>250</v>
      </c>
      <c r="N867" s="283" t="s">
        <v>253</v>
      </c>
      <c r="O867" s="283">
        <v>64</v>
      </c>
      <c r="P867" s="283">
        <v>11824</v>
      </c>
      <c r="Q867" s="235">
        <f>(O867+IF('Scenario Analysis'!$N$23=1,0,0.5))*P867</f>
        <v>762648</v>
      </c>
    </row>
    <row r="868" spans="3:17" x14ac:dyDescent="0.25">
      <c r="C868" s="191"/>
      <c r="K868" s="283" t="s">
        <v>1271</v>
      </c>
      <c r="L868" s="283" t="s">
        <v>673</v>
      </c>
      <c r="M868" s="283" t="s">
        <v>250</v>
      </c>
      <c r="N868" s="283" t="s">
        <v>253</v>
      </c>
      <c r="O868" s="283">
        <v>65</v>
      </c>
      <c r="P868" s="283">
        <v>5395</v>
      </c>
      <c r="Q868" s="235">
        <f>(O868+IF('Scenario Analysis'!$N$23=1,0,0.5))*P868</f>
        <v>353372.5</v>
      </c>
    </row>
    <row r="869" spans="3:17" x14ac:dyDescent="0.25">
      <c r="C869" s="191"/>
      <c r="K869" s="283" t="s">
        <v>1271</v>
      </c>
      <c r="L869" s="283" t="s">
        <v>673</v>
      </c>
      <c r="M869" s="283" t="s">
        <v>250</v>
      </c>
      <c r="N869" s="283" t="s">
        <v>253</v>
      </c>
      <c r="O869" s="283">
        <v>66</v>
      </c>
      <c r="P869" s="283">
        <v>4861</v>
      </c>
      <c r="Q869" s="235">
        <f>(O869+IF('Scenario Analysis'!$N$23=1,0,0.5))*P869</f>
        <v>323256.5</v>
      </c>
    </row>
    <row r="870" spans="3:17" x14ac:dyDescent="0.25">
      <c r="C870" s="191"/>
      <c r="K870" s="283" t="s">
        <v>1271</v>
      </c>
      <c r="L870" s="283" t="s">
        <v>673</v>
      </c>
      <c r="M870" s="283" t="s">
        <v>250</v>
      </c>
      <c r="N870" s="283" t="s">
        <v>253</v>
      </c>
      <c r="O870" s="283">
        <v>67</v>
      </c>
      <c r="P870" s="283">
        <v>9682</v>
      </c>
      <c r="Q870" s="235">
        <f>(O870+IF('Scenario Analysis'!$N$23=1,0,0.5))*P870</f>
        <v>653535</v>
      </c>
    </row>
    <row r="871" spans="3:17" x14ac:dyDescent="0.25">
      <c r="C871" s="191"/>
      <c r="K871" s="283" t="s">
        <v>1271</v>
      </c>
      <c r="L871" s="283" t="s">
        <v>673</v>
      </c>
      <c r="M871" s="283" t="s">
        <v>250</v>
      </c>
      <c r="N871" s="283" t="s">
        <v>253</v>
      </c>
      <c r="O871" s="283">
        <v>68</v>
      </c>
      <c r="P871" s="283">
        <v>2401</v>
      </c>
      <c r="Q871" s="235">
        <f>(O871+IF('Scenario Analysis'!$N$23=1,0,0.5))*P871</f>
        <v>164468.5</v>
      </c>
    </row>
    <row r="872" spans="3:17" x14ac:dyDescent="0.25">
      <c r="C872" s="191"/>
      <c r="K872" s="283" t="s">
        <v>1271</v>
      </c>
      <c r="L872" s="283" t="s">
        <v>673</v>
      </c>
      <c r="M872" s="283" t="s">
        <v>250</v>
      </c>
      <c r="N872" s="283" t="s">
        <v>253</v>
      </c>
      <c r="O872" s="283">
        <v>69</v>
      </c>
      <c r="P872" s="283">
        <v>4076</v>
      </c>
      <c r="Q872" s="235">
        <f>(O872+IF('Scenario Analysis'!$N$23=1,0,0.5))*P872</f>
        <v>283282</v>
      </c>
    </row>
    <row r="873" spans="3:17" x14ac:dyDescent="0.25">
      <c r="C873" s="191"/>
      <c r="K873" s="283" t="s">
        <v>1271</v>
      </c>
      <c r="L873" s="283" t="s">
        <v>673</v>
      </c>
      <c r="M873" s="283" t="s">
        <v>250</v>
      </c>
      <c r="N873" s="283" t="s">
        <v>253</v>
      </c>
      <c r="O873" s="283">
        <v>70</v>
      </c>
      <c r="P873" s="283">
        <v>2907</v>
      </c>
      <c r="Q873" s="235">
        <f>(O873+IF('Scenario Analysis'!$N$23=1,0,0.5))*P873</f>
        <v>204943.5</v>
      </c>
    </row>
    <row r="874" spans="3:17" x14ac:dyDescent="0.25">
      <c r="C874" s="191"/>
      <c r="K874" s="283" t="s">
        <v>1271</v>
      </c>
      <c r="L874" s="283" t="s">
        <v>673</v>
      </c>
      <c r="M874" s="283" t="s">
        <v>250</v>
      </c>
      <c r="N874" s="283" t="s">
        <v>253</v>
      </c>
      <c r="O874" s="283">
        <v>71</v>
      </c>
      <c r="P874" s="283">
        <v>1520</v>
      </c>
      <c r="Q874" s="235">
        <f>(O874+IF('Scenario Analysis'!$N$23=1,0,0.5))*P874</f>
        <v>108680</v>
      </c>
    </row>
    <row r="875" spans="3:17" x14ac:dyDescent="0.25">
      <c r="C875" s="191"/>
      <c r="K875" s="283" t="s">
        <v>1271</v>
      </c>
      <c r="L875" s="283" t="s">
        <v>673</v>
      </c>
      <c r="M875" s="283" t="s">
        <v>250</v>
      </c>
      <c r="N875" s="283" t="s">
        <v>253</v>
      </c>
      <c r="O875" s="283">
        <v>72</v>
      </c>
      <c r="P875" s="283">
        <v>2192</v>
      </c>
      <c r="Q875" s="235">
        <f>(O875+IF('Scenario Analysis'!$N$23=1,0,0.5))*P875</f>
        <v>158920</v>
      </c>
    </row>
    <row r="876" spans="3:17" x14ac:dyDescent="0.25">
      <c r="C876" s="191"/>
      <c r="K876" s="283" t="s">
        <v>1271</v>
      </c>
      <c r="L876" s="283" t="s">
        <v>673</v>
      </c>
      <c r="M876" s="283" t="s">
        <v>250</v>
      </c>
      <c r="N876" s="283" t="s">
        <v>253</v>
      </c>
      <c r="O876" s="283">
        <v>73</v>
      </c>
      <c r="P876" s="283">
        <v>1678</v>
      </c>
      <c r="Q876" s="235">
        <f>(O876+IF('Scenario Analysis'!$N$23=1,0,0.5))*P876</f>
        <v>123333</v>
      </c>
    </row>
    <row r="877" spans="3:17" x14ac:dyDescent="0.25">
      <c r="C877" s="191"/>
      <c r="K877" s="283" t="s">
        <v>1271</v>
      </c>
      <c r="L877" s="283" t="s">
        <v>673</v>
      </c>
      <c r="M877" s="283" t="s">
        <v>250</v>
      </c>
      <c r="N877" s="283" t="s">
        <v>253</v>
      </c>
      <c r="O877" s="283">
        <v>74</v>
      </c>
      <c r="P877" s="283">
        <v>1114</v>
      </c>
      <c r="Q877" s="235">
        <f>(O877+IF('Scenario Analysis'!$N$23=1,0,0.5))*P877</f>
        <v>82993</v>
      </c>
    </row>
    <row r="878" spans="3:17" x14ac:dyDescent="0.25">
      <c r="C878" s="191"/>
      <c r="K878" s="283" t="s">
        <v>1271</v>
      </c>
      <c r="L878" s="283" t="s">
        <v>673</v>
      </c>
      <c r="M878" s="283" t="s">
        <v>250</v>
      </c>
      <c r="N878" s="283" t="s">
        <v>253</v>
      </c>
      <c r="O878" s="283">
        <v>75</v>
      </c>
      <c r="P878" s="283">
        <v>1000</v>
      </c>
      <c r="Q878" s="235">
        <f>(O878+IF('Scenario Analysis'!$N$23=1,0,0.5))*P878</f>
        <v>75500</v>
      </c>
    </row>
    <row r="879" spans="3:17" x14ac:dyDescent="0.25">
      <c r="C879" s="191"/>
      <c r="K879" s="283" t="s">
        <v>1271</v>
      </c>
      <c r="L879" s="283" t="s">
        <v>673</v>
      </c>
      <c r="M879" s="283" t="s">
        <v>250</v>
      </c>
      <c r="N879" s="283" t="s">
        <v>253</v>
      </c>
      <c r="O879" s="283">
        <v>76</v>
      </c>
      <c r="P879" s="283">
        <v>913</v>
      </c>
      <c r="Q879" s="235">
        <f>(O879+IF('Scenario Analysis'!$N$23=1,0,0.5))*P879</f>
        <v>69844.5</v>
      </c>
    </row>
    <row r="880" spans="3:17" x14ac:dyDescent="0.25">
      <c r="C880" s="191"/>
      <c r="K880" s="283" t="s">
        <v>1271</v>
      </c>
      <c r="L880" s="283" t="s">
        <v>673</v>
      </c>
      <c r="M880" s="283" t="s">
        <v>250</v>
      </c>
      <c r="N880" s="283" t="s">
        <v>253</v>
      </c>
      <c r="O880" s="283">
        <v>77</v>
      </c>
      <c r="P880" s="283">
        <v>671</v>
      </c>
      <c r="Q880" s="235">
        <f>(O880+IF('Scenario Analysis'!$N$23=1,0,0.5))*P880</f>
        <v>52002.5</v>
      </c>
    </row>
    <row r="881" spans="3:17" x14ac:dyDescent="0.25">
      <c r="C881" s="191"/>
      <c r="K881" s="283" t="s">
        <v>1271</v>
      </c>
      <c r="L881" s="283" t="s">
        <v>673</v>
      </c>
      <c r="M881" s="283" t="s">
        <v>250</v>
      </c>
      <c r="N881" s="283" t="s">
        <v>253</v>
      </c>
      <c r="O881" s="283">
        <v>78</v>
      </c>
      <c r="P881" s="283">
        <v>886</v>
      </c>
      <c r="Q881" s="235">
        <f>(O881+IF('Scenario Analysis'!$N$23=1,0,0.5))*P881</f>
        <v>69551</v>
      </c>
    </row>
    <row r="882" spans="3:17" x14ac:dyDescent="0.25">
      <c r="C882" s="191"/>
      <c r="K882" s="283" t="s">
        <v>1271</v>
      </c>
      <c r="L882" s="283" t="s">
        <v>673</v>
      </c>
      <c r="M882" s="283" t="s">
        <v>250</v>
      </c>
      <c r="N882" s="283" t="s">
        <v>253</v>
      </c>
      <c r="O882" s="283">
        <v>79</v>
      </c>
      <c r="P882" s="283">
        <v>474</v>
      </c>
      <c r="Q882" s="235">
        <f>(O882+IF('Scenario Analysis'!$N$23=1,0,0.5))*P882</f>
        <v>37683</v>
      </c>
    </row>
    <row r="883" spans="3:17" x14ac:dyDescent="0.25">
      <c r="C883" s="191"/>
      <c r="K883" s="283" t="s">
        <v>1271</v>
      </c>
      <c r="L883" s="283" t="s">
        <v>673</v>
      </c>
      <c r="M883" s="283" t="s">
        <v>250</v>
      </c>
      <c r="N883" s="283" t="s">
        <v>253</v>
      </c>
      <c r="O883" s="283">
        <v>80</v>
      </c>
      <c r="P883" s="283">
        <v>739</v>
      </c>
      <c r="Q883" s="235">
        <f>(O883+IF('Scenario Analysis'!$N$23=1,0,0.5))*P883</f>
        <v>59489.5</v>
      </c>
    </row>
    <row r="884" spans="3:17" x14ac:dyDescent="0.25">
      <c r="C884" s="191"/>
      <c r="K884" s="283" t="s">
        <v>1271</v>
      </c>
      <c r="L884" s="283" t="s">
        <v>673</v>
      </c>
      <c r="M884" s="283" t="s">
        <v>250</v>
      </c>
      <c r="N884" s="283" t="s">
        <v>253</v>
      </c>
      <c r="O884" s="283">
        <v>81</v>
      </c>
      <c r="P884" s="283">
        <v>584</v>
      </c>
      <c r="Q884" s="235">
        <f>(O884+IF('Scenario Analysis'!$N$23=1,0,0.5))*P884</f>
        <v>47596</v>
      </c>
    </row>
    <row r="885" spans="3:17" x14ac:dyDescent="0.25">
      <c r="C885" s="191"/>
      <c r="K885" s="283" t="s">
        <v>1271</v>
      </c>
      <c r="L885" s="283" t="s">
        <v>673</v>
      </c>
      <c r="M885" s="283" t="s">
        <v>250</v>
      </c>
      <c r="N885" s="283" t="s">
        <v>253</v>
      </c>
      <c r="O885" s="283">
        <v>82</v>
      </c>
      <c r="P885" s="283">
        <v>284</v>
      </c>
      <c r="Q885" s="235">
        <f>(O885+IF('Scenario Analysis'!$N$23=1,0,0.5))*P885</f>
        <v>23430</v>
      </c>
    </row>
    <row r="886" spans="3:17" x14ac:dyDescent="0.25">
      <c r="C886" s="191"/>
      <c r="K886" s="283" t="s">
        <v>1271</v>
      </c>
      <c r="L886" s="283" t="s">
        <v>673</v>
      </c>
      <c r="M886" s="283" t="s">
        <v>250</v>
      </c>
      <c r="N886" s="283" t="s">
        <v>253</v>
      </c>
      <c r="O886" s="283">
        <v>83</v>
      </c>
      <c r="P886" s="283">
        <v>308</v>
      </c>
      <c r="Q886" s="235">
        <f>(O886+IF('Scenario Analysis'!$N$23=1,0,0.5))*P886</f>
        <v>25718</v>
      </c>
    </row>
    <row r="887" spans="3:17" x14ac:dyDescent="0.25">
      <c r="C887" s="191"/>
      <c r="K887" s="283" t="s">
        <v>1271</v>
      </c>
      <c r="L887" s="283" t="s">
        <v>673</v>
      </c>
      <c r="M887" s="283" t="s">
        <v>250</v>
      </c>
      <c r="N887" s="283" t="s">
        <v>253</v>
      </c>
      <c r="O887" s="283">
        <v>84</v>
      </c>
      <c r="P887" s="283">
        <v>474</v>
      </c>
      <c r="Q887" s="235">
        <f>(O887+IF('Scenario Analysis'!$N$23=1,0,0.5))*P887</f>
        <v>40053</v>
      </c>
    </row>
    <row r="888" spans="3:17" x14ac:dyDescent="0.25">
      <c r="C888" s="191"/>
      <c r="K888" s="283" t="s">
        <v>1271</v>
      </c>
      <c r="L888" s="283" t="s">
        <v>673</v>
      </c>
      <c r="M888" s="283" t="s">
        <v>250</v>
      </c>
      <c r="N888" s="283" t="s">
        <v>253</v>
      </c>
      <c r="O888" s="283">
        <v>85</v>
      </c>
      <c r="P888" s="283">
        <v>236</v>
      </c>
      <c r="Q888" s="235">
        <f>(O888+IF('Scenario Analysis'!$N$23=1,0,0.5))*P888</f>
        <v>20178</v>
      </c>
    </row>
    <row r="889" spans="3:17" x14ac:dyDescent="0.25">
      <c r="C889" s="191"/>
      <c r="K889" s="283" t="s">
        <v>1271</v>
      </c>
      <c r="L889" s="283" t="s">
        <v>673</v>
      </c>
      <c r="M889" s="283" t="s">
        <v>250</v>
      </c>
      <c r="N889" s="283" t="s">
        <v>253</v>
      </c>
      <c r="O889" s="283">
        <v>86</v>
      </c>
      <c r="P889" s="283">
        <v>190</v>
      </c>
      <c r="Q889" s="235">
        <f>(O889+IF('Scenario Analysis'!$N$23=1,0,0.5))*P889</f>
        <v>16435</v>
      </c>
    </row>
    <row r="890" spans="3:17" x14ac:dyDescent="0.25">
      <c r="C890" s="191"/>
      <c r="K890" s="283" t="s">
        <v>1271</v>
      </c>
      <c r="L890" s="283" t="s">
        <v>673</v>
      </c>
      <c r="M890" s="283" t="s">
        <v>250</v>
      </c>
      <c r="N890" s="283" t="s">
        <v>253</v>
      </c>
      <c r="O890" s="283">
        <v>87</v>
      </c>
      <c r="P890" s="283">
        <v>350</v>
      </c>
      <c r="Q890" s="235">
        <f>(O890+IF('Scenario Analysis'!$N$23=1,0,0.5))*P890</f>
        <v>30625</v>
      </c>
    </row>
    <row r="891" spans="3:17" x14ac:dyDescent="0.25">
      <c r="C891" s="191"/>
      <c r="K891" s="283" t="s">
        <v>1271</v>
      </c>
      <c r="L891" s="283" t="s">
        <v>673</v>
      </c>
      <c r="M891" s="283" t="s">
        <v>250</v>
      </c>
      <c r="N891" s="283" t="s">
        <v>253</v>
      </c>
      <c r="O891" s="283">
        <v>88</v>
      </c>
      <c r="P891" s="283">
        <v>122</v>
      </c>
      <c r="Q891" s="235">
        <f>(O891+IF('Scenario Analysis'!$N$23=1,0,0.5))*P891</f>
        <v>10797</v>
      </c>
    </row>
    <row r="892" spans="3:17" x14ac:dyDescent="0.25">
      <c r="C892" s="191"/>
      <c r="K892" s="283" t="s">
        <v>1271</v>
      </c>
      <c r="L892" s="283" t="s">
        <v>673</v>
      </c>
      <c r="M892" s="283" t="s">
        <v>250</v>
      </c>
      <c r="N892" s="283" t="s">
        <v>253</v>
      </c>
      <c r="O892" s="283">
        <v>89</v>
      </c>
      <c r="P892" s="283">
        <v>437</v>
      </c>
      <c r="Q892" s="235">
        <f>(O892+IF('Scenario Analysis'!$N$23=1,0,0.5))*P892</f>
        <v>39111.5</v>
      </c>
    </row>
    <row r="893" spans="3:17" x14ac:dyDescent="0.25">
      <c r="C893" s="191"/>
      <c r="K893" s="283" t="s">
        <v>1271</v>
      </c>
      <c r="L893" s="283" t="s">
        <v>673</v>
      </c>
      <c r="M893" s="283" t="s">
        <v>250</v>
      </c>
      <c r="N893" s="283" t="s">
        <v>253</v>
      </c>
      <c r="O893" s="283">
        <v>90</v>
      </c>
      <c r="P893" s="283">
        <v>177</v>
      </c>
      <c r="Q893" s="235">
        <f>(O893+IF('Scenario Analysis'!$N$23=1,0,0.5))*P893</f>
        <v>16018.5</v>
      </c>
    </row>
    <row r="894" spans="3:17" x14ac:dyDescent="0.25">
      <c r="C894" s="191"/>
      <c r="K894" s="283" t="s">
        <v>1271</v>
      </c>
      <c r="L894" s="283" t="s">
        <v>673</v>
      </c>
      <c r="M894" s="283" t="s">
        <v>250</v>
      </c>
      <c r="N894" s="283" t="s">
        <v>253</v>
      </c>
      <c r="O894" s="283">
        <v>91</v>
      </c>
      <c r="P894" s="283">
        <v>136</v>
      </c>
      <c r="Q894" s="235">
        <f>(O894+IF('Scenario Analysis'!$N$23=1,0,0.5))*P894</f>
        <v>12444</v>
      </c>
    </row>
    <row r="895" spans="3:17" x14ac:dyDescent="0.25">
      <c r="C895" s="191"/>
      <c r="K895" s="283" t="s">
        <v>1271</v>
      </c>
      <c r="L895" s="283" t="s">
        <v>673</v>
      </c>
      <c r="M895" s="283" t="s">
        <v>250</v>
      </c>
      <c r="N895" s="283" t="s">
        <v>253</v>
      </c>
      <c r="O895" s="283">
        <v>92</v>
      </c>
      <c r="P895" s="283">
        <v>191</v>
      </c>
      <c r="Q895" s="235">
        <f>(O895+IF('Scenario Analysis'!$N$23=1,0,0.5))*P895</f>
        <v>17667.5</v>
      </c>
    </row>
    <row r="896" spans="3:17" x14ac:dyDescent="0.25">
      <c r="C896" s="191"/>
      <c r="K896" s="283" t="s">
        <v>1271</v>
      </c>
      <c r="L896" s="283" t="s">
        <v>673</v>
      </c>
      <c r="M896" s="283" t="s">
        <v>250</v>
      </c>
      <c r="N896" s="283" t="s">
        <v>253</v>
      </c>
      <c r="O896" s="283">
        <v>93</v>
      </c>
      <c r="P896" s="283">
        <v>243</v>
      </c>
      <c r="Q896" s="235">
        <f>(O896+IF('Scenario Analysis'!$N$23=1,0,0.5))*P896</f>
        <v>22720.5</v>
      </c>
    </row>
    <row r="897" spans="3:17" x14ac:dyDescent="0.25">
      <c r="C897" s="191"/>
      <c r="K897" s="283" t="s">
        <v>1271</v>
      </c>
      <c r="L897" s="283" t="s">
        <v>673</v>
      </c>
      <c r="M897" s="283" t="s">
        <v>250</v>
      </c>
      <c r="N897" s="283" t="s">
        <v>253</v>
      </c>
      <c r="O897" s="283">
        <v>94</v>
      </c>
      <c r="P897" s="283">
        <v>123</v>
      </c>
      <c r="Q897" s="235">
        <f>(O897+IF('Scenario Analysis'!$N$23=1,0,0.5))*P897</f>
        <v>11623.5</v>
      </c>
    </row>
    <row r="898" spans="3:17" x14ac:dyDescent="0.25">
      <c r="C898" s="191"/>
      <c r="K898" s="283" t="s">
        <v>1271</v>
      </c>
      <c r="L898" s="283" t="s">
        <v>673</v>
      </c>
      <c r="M898" s="283" t="s">
        <v>250</v>
      </c>
      <c r="N898" s="283" t="s">
        <v>253</v>
      </c>
      <c r="O898" s="283">
        <v>95</v>
      </c>
      <c r="P898" s="283">
        <v>105</v>
      </c>
      <c r="Q898" s="235">
        <f>(O898+IF('Scenario Analysis'!$N$23=1,0,0.5))*P898</f>
        <v>10027.5</v>
      </c>
    </row>
    <row r="899" spans="3:17" x14ac:dyDescent="0.25">
      <c r="C899" s="191"/>
      <c r="K899" s="283" t="s">
        <v>1271</v>
      </c>
      <c r="L899" s="283" t="s">
        <v>673</v>
      </c>
      <c r="M899" s="283" t="s">
        <v>250</v>
      </c>
      <c r="N899" s="283" t="s">
        <v>253</v>
      </c>
      <c r="O899" s="283">
        <v>96</v>
      </c>
      <c r="P899" s="283">
        <v>102</v>
      </c>
      <c r="Q899" s="235">
        <f>(O899+IF('Scenario Analysis'!$N$23=1,0,0.5))*P899</f>
        <v>9843</v>
      </c>
    </row>
    <row r="900" spans="3:17" x14ac:dyDescent="0.25">
      <c r="C900" s="191"/>
      <c r="K900" s="283" t="s">
        <v>1271</v>
      </c>
      <c r="L900" s="283" t="s">
        <v>673</v>
      </c>
      <c r="M900" s="283" t="s">
        <v>250</v>
      </c>
      <c r="N900" s="283" t="s">
        <v>253</v>
      </c>
      <c r="O900" s="283">
        <v>97</v>
      </c>
      <c r="P900" s="283">
        <v>23</v>
      </c>
      <c r="Q900" s="235">
        <f>(O900+IF('Scenario Analysis'!$N$23=1,0,0.5))*P900</f>
        <v>2242.5</v>
      </c>
    </row>
    <row r="901" spans="3:17" x14ac:dyDescent="0.25">
      <c r="C901" s="191"/>
      <c r="K901" s="283" t="s">
        <v>1271</v>
      </c>
      <c r="L901" s="283" t="s">
        <v>673</v>
      </c>
      <c r="M901" s="283" t="s">
        <v>250</v>
      </c>
      <c r="N901" s="283" t="s">
        <v>253</v>
      </c>
      <c r="O901" s="283">
        <v>98</v>
      </c>
      <c r="P901" s="283">
        <v>190</v>
      </c>
      <c r="Q901" s="235">
        <f>(O901+IF('Scenario Analysis'!$N$23=1,0,0.5))*P901</f>
        <v>18715</v>
      </c>
    </row>
    <row r="902" spans="3:17" x14ac:dyDescent="0.25">
      <c r="C902" s="191"/>
      <c r="K902" s="283" t="s">
        <v>1271</v>
      </c>
      <c r="L902" s="283" t="s">
        <v>673</v>
      </c>
      <c r="M902" s="283" t="s">
        <v>250</v>
      </c>
      <c r="N902" s="283" t="s">
        <v>253</v>
      </c>
      <c r="O902" s="283">
        <v>99</v>
      </c>
      <c r="P902" s="283">
        <v>32</v>
      </c>
      <c r="Q902" s="235">
        <f>(O902+IF('Scenario Analysis'!$N$23=1,0,0.5))*P902</f>
        <v>3184</v>
      </c>
    </row>
    <row r="903" spans="3:17" x14ac:dyDescent="0.25">
      <c r="C903" s="191"/>
      <c r="K903" s="283" t="s">
        <v>1271</v>
      </c>
      <c r="L903" s="283" t="s">
        <v>673</v>
      </c>
      <c r="M903" s="283" t="s">
        <v>250</v>
      </c>
      <c r="N903" s="283" t="s">
        <v>253</v>
      </c>
      <c r="O903" s="283">
        <v>100</v>
      </c>
      <c r="P903" s="283">
        <v>102</v>
      </c>
      <c r="Q903" s="235">
        <f>(O903+IF('Scenario Analysis'!$N$23=1,0,0.5))*P903</f>
        <v>10251</v>
      </c>
    </row>
    <row r="904" spans="3:17" x14ac:dyDescent="0.25">
      <c r="C904" s="191"/>
      <c r="K904" s="283" t="s">
        <v>1271</v>
      </c>
      <c r="L904" s="283" t="s">
        <v>673</v>
      </c>
      <c r="M904" s="283" t="s">
        <v>250</v>
      </c>
      <c r="N904" s="283" t="s">
        <v>253</v>
      </c>
      <c r="O904" s="283">
        <v>101</v>
      </c>
      <c r="P904" s="283">
        <v>95</v>
      </c>
      <c r="Q904" s="235">
        <f>(O904+IF('Scenario Analysis'!$N$23=1,0,0.5))*P904</f>
        <v>9642.5</v>
      </c>
    </row>
    <row r="905" spans="3:17" x14ac:dyDescent="0.25">
      <c r="C905" s="191"/>
      <c r="K905" s="283" t="s">
        <v>1271</v>
      </c>
      <c r="L905" s="283" t="s">
        <v>673</v>
      </c>
      <c r="M905" s="283" t="s">
        <v>250</v>
      </c>
      <c r="N905" s="283" t="s">
        <v>253</v>
      </c>
      <c r="O905" s="283">
        <v>102</v>
      </c>
      <c r="P905" s="283">
        <v>5</v>
      </c>
      <c r="Q905" s="235">
        <f>(O905+IF('Scenario Analysis'!$N$23=1,0,0.5))*P905</f>
        <v>512.5</v>
      </c>
    </row>
    <row r="906" spans="3:17" x14ac:dyDescent="0.25">
      <c r="C906" s="191"/>
      <c r="K906" s="283" t="s">
        <v>1271</v>
      </c>
      <c r="L906" s="283" t="s">
        <v>673</v>
      </c>
      <c r="M906" s="283" t="s">
        <v>250</v>
      </c>
      <c r="N906" s="283" t="s">
        <v>253</v>
      </c>
      <c r="O906" s="283">
        <v>103</v>
      </c>
      <c r="P906" s="283">
        <v>16</v>
      </c>
      <c r="Q906" s="235">
        <f>(O906+IF('Scenario Analysis'!$N$23=1,0,0.5))*P906</f>
        <v>1656</v>
      </c>
    </row>
    <row r="907" spans="3:17" x14ac:dyDescent="0.25">
      <c r="C907" s="191"/>
      <c r="K907" s="283" t="s">
        <v>1271</v>
      </c>
      <c r="L907" s="283" t="s">
        <v>673</v>
      </c>
      <c r="M907" s="283" t="s">
        <v>250</v>
      </c>
      <c r="N907" s="283" t="s">
        <v>253</v>
      </c>
      <c r="O907" s="283">
        <v>104</v>
      </c>
      <c r="P907" s="283">
        <v>12</v>
      </c>
      <c r="Q907" s="235">
        <f>(O907+IF('Scenario Analysis'!$N$23=1,0,0.5))*P907</f>
        <v>1254</v>
      </c>
    </row>
    <row r="908" spans="3:17" x14ac:dyDescent="0.25">
      <c r="C908" s="191"/>
      <c r="K908" s="283" t="s">
        <v>1271</v>
      </c>
      <c r="L908" s="283" t="s">
        <v>673</v>
      </c>
      <c r="M908" s="283" t="s">
        <v>250</v>
      </c>
      <c r="N908" s="283" t="s">
        <v>253</v>
      </c>
      <c r="O908" s="283">
        <v>105</v>
      </c>
      <c r="P908" s="283">
        <v>8</v>
      </c>
      <c r="Q908" s="235">
        <f>(O908+IF('Scenario Analysis'!$N$23=1,0,0.5))*P908</f>
        <v>844</v>
      </c>
    </row>
    <row r="909" spans="3:17" x14ac:dyDescent="0.25">
      <c r="C909" s="191"/>
      <c r="K909" s="283" t="s">
        <v>1271</v>
      </c>
      <c r="L909" s="283" t="s">
        <v>673</v>
      </c>
      <c r="M909" s="283" t="s">
        <v>250</v>
      </c>
      <c r="N909" s="283" t="s">
        <v>253</v>
      </c>
      <c r="O909" s="283">
        <v>106</v>
      </c>
      <c r="P909" s="283">
        <v>33</v>
      </c>
      <c r="Q909" s="235">
        <f>(O909+IF('Scenario Analysis'!$N$23=1,0,0.5))*P909</f>
        <v>3514.5</v>
      </c>
    </row>
    <row r="910" spans="3:17" x14ac:dyDescent="0.25">
      <c r="C910" s="191"/>
      <c r="K910" s="283" t="s">
        <v>1271</v>
      </c>
      <c r="L910" s="283" t="s">
        <v>673</v>
      </c>
      <c r="M910" s="283" t="s">
        <v>250</v>
      </c>
      <c r="N910" s="283" t="s">
        <v>253</v>
      </c>
      <c r="O910" s="283">
        <v>107</v>
      </c>
      <c r="P910" s="283">
        <v>21</v>
      </c>
      <c r="Q910" s="235">
        <f>(O910+IF('Scenario Analysis'!$N$23=1,0,0.5))*P910</f>
        <v>2257.5</v>
      </c>
    </row>
    <row r="911" spans="3:17" x14ac:dyDescent="0.25">
      <c r="C911" s="191"/>
      <c r="K911" s="283" t="s">
        <v>1271</v>
      </c>
      <c r="L911" s="283" t="s">
        <v>673</v>
      </c>
      <c r="M911" s="283" t="s">
        <v>250</v>
      </c>
      <c r="N911" s="283" t="s">
        <v>253</v>
      </c>
      <c r="O911" s="283">
        <v>108</v>
      </c>
      <c r="P911" s="283">
        <v>3</v>
      </c>
      <c r="Q911" s="235">
        <f>(O911+IF('Scenario Analysis'!$N$23=1,0,0.5))*P911</f>
        <v>325.5</v>
      </c>
    </row>
    <row r="912" spans="3:17" x14ac:dyDescent="0.25">
      <c r="C912" s="191"/>
      <c r="K912" s="283" t="s">
        <v>1271</v>
      </c>
      <c r="L912" s="283" t="s">
        <v>673</v>
      </c>
      <c r="M912" s="283" t="s">
        <v>250</v>
      </c>
      <c r="N912" s="283" t="s">
        <v>253</v>
      </c>
      <c r="O912" s="283">
        <v>109</v>
      </c>
      <c r="P912" s="283">
        <v>13</v>
      </c>
      <c r="Q912" s="235">
        <f>(O912+IF('Scenario Analysis'!$N$23=1,0,0.5))*P912</f>
        <v>1423.5</v>
      </c>
    </row>
    <row r="913" spans="3:17" x14ac:dyDescent="0.25">
      <c r="C913" s="191"/>
      <c r="K913" s="283" t="s">
        <v>1271</v>
      </c>
      <c r="L913" s="283" t="s">
        <v>673</v>
      </c>
      <c r="M913" s="283" t="s">
        <v>250</v>
      </c>
      <c r="N913" s="283" t="s">
        <v>253</v>
      </c>
      <c r="O913" s="283">
        <v>110</v>
      </c>
      <c r="P913" s="283">
        <v>1</v>
      </c>
      <c r="Q913" s="235">
        <f>(O913+IF('Scenario Analysis'!$N$23=1,0,0.5))*P913</f>
        <v>110.5</v>
      </c>
    </row>
    <row r="914" spans="3:17" x14ac:dyDescent="0.25">
      <c r="C914" s="191"/>
      <c r="K914" s="283" t="s">
        <v>1271</v>
      </c>
      <c r="L914" s="283" t="s">
        <v>673</v>
      </c>
      <c r="M914" s="283" t="s">
        <v>250</v>
      </c>
      <c r="N914" s="283" t="s">
        <v>253</v>
      </c>
      <c r="O914" s="283">
        <v>112</v>
      </c>
      <c r="P914" s="283">
        <v>24</v>
      </c>
      <c r="Q914" s="235">
        <f>(O914+IF('Scenario Analysis'!$N$23=1,0,0.5))*P914</f>
        <v>2700</v>
      </c>
    </row>
    <row r="915" spans="3:17" x14ac:dyDescent="0.25">
      <c r="C915" s="191"/>
      <c r="K915" s="283" t="s">
        <v>1271</v>
      </c>
      <c r="L915" s="283" t="s">
        <v>673</v>
      </c>
      <c r="M915" s="283" t="s">
        <v>250</v>
      </c>
      <c r="N915" s="283" t="s">
        <v>253</v>
      </c>
      <c r="O915" s="283">
        <v>113</v>
      </c>
      <c r="P915" s="283">
        <v>3</v>
      </c>
      <c r="Q915" s="235">
        <f>(O915+IF('Scenario Analysis'!$N$23=1,0,0.5))*P915</f>
        <v>340.5</v>
      </c>
    </row>
    <row r="916" spans="3:17" x14ac:dyDescent="0.25">
      <c r="C916" s="191"/>
      <c r="K916" s="283" t="s">
        <v>1271</v>
      </c>
      <c r="L916" s="283" t="s">
        <v>673</v>
      </c>
      <c r="M916" s="283" t="s">
        <v>250</v>
      </c>
      <c r="N916" s="283" t="s">
        <v>253</v>
      </c>
      <c r="O916" s="283">
        <v>114</v>
      </c>
      <c r="P916" s="283">
        <v>2</v>
      </c>
      <c r="Q916" s="235">
        <f>(O916+IF('Scenario Analysis'!$N$23=1,0,0.5))*P916</f>
        <v>229</v>
      </c>
    </row>
    <row r="917" spans="3:17" x14ac:dyDescent="0.25">
      <c r="C917" s="191"/>
      <c r="K917" s="283" t="s">
        <v>1271</v>
      </c>
      <c r="L917" s="283" t="s">
        <v>673</v>
      </c>
      <c r="M917" s="283" t="s">
        <v>250</v>
      </c>
      <c r="N917" s="283" t="s">
        <v>253</v>
      </c>
      <c r="O917" s="283">
        <v>115</v>
      </c>
      <c r="P917" s="283">
        <v>2</v>
      </c>
      <c r="Q917" s="235">
        <f>(O917+IF('Scenario Analysis'!$N$23=1,0,0.5))*P917</f>
        <v>231</v>
      </c>
    </row>
    <row r="918" spans="3:17" x14ac:dyDescent="0.25">
      <c r="C918" s="191"/>
      <c r="K918" s="283" t="s">
        <v>1271</v>
      </c>
      <c r="L918" s="283" t="s">
        <v>673</v>
      </c>
      <c r="M918" s="283" t="s">
        <v>250</v>
      </c>
      <c r="N918" s="283" t="s">
        <v>253</v>
      </c>
      <c r="O918" s="283">
        <v>116</v>
      </c>
      <c r="P918" s="283">
        <v>1</v>
      </c>
      <c r="Q918" s="235">
        <f>(O918+IF('Scenario Analysis'!$N$23=1,0,0.5))*P918</f>
        <v>116.5</v>
      </c>
    </row>
    <row r="919" spans="3:17" x14ac:dyDescent="0.25">
      <c r="C919" s="191"/>
      <c r="K919" s="283" t="s">
        <v>1271</v>
      </c>
      <c r="L919" s="283" t="s">
        <v>673</v>
      </c>
      <c r="M919" s="283" t="s">
        <v>250</v>
      </c>
      <c r="N919" s="283" t="s">
        <v>253</v>
      </c>
      <c r="O919" s="283">
        <v>117</v>
      </c>
      <c r="P919" s="283">
        <v>1</v>
      </c>
      <c r="Q919" s="235">
        <f>(O919+IF('Scenario Analysis'!$N$23=1,0,0.5))*P919</f>
        <v>117.5</v>
      </c>
    </row>
    <row r="920" spans="3:17" x14ac:dyDescent="0.25">
      <c r="C920" s="191"/>
      <c r="K920" s="283" t="s">
        <v>1271</v>
      </c>
      <c r="L920" s="283" t="s">
        <v>673</v>
      </c>
      <c r="M920" s="283" t="s">
        <v>250</v>
      </c>
      <c r="N920" s="283" t="s">
        <v>253</v>
      </c>
      <c r="O920" s="283">
        <v>118</v>
      </c>
      <c r="P920" s="283">
        <v>1</v>
      </c>
      <c r="Q920" s="235">
        <f>(O920+IF('Scenario Analysis'!$N$23=1,0,0.5))*P920</f>
        <v>118.5</v>
      </c>
    </row>
    <row r="921" spans="3:17" x14ac:dyDescent="0.25">
      <c r="C921" s="191"/>
      <c r="K921" s="283" t="s">
        <v>1271</v>
      </c>
      <c r="L921" s="283" t="s">
        <v>673</v>
      </c>
      <c r="M921" s="283" t="s">
        <v>250</v>
      </c>
      <c r="N921" s="283" t="s">
        <v>253</v>
      </c>
      <c r="O921" s="283">
        <v>124</v>
      </c>
      <c r="P921" s="283">
        <v>1</v>
      </c>
      <c r="Q921" s="235">
        <f>(O921+IF('Scenario Analysis'!$N$23=1,0,0.5))*P921</f>
        <v>124.5</v>
      </c>
    </row>
    <row r="922" spans="3:17" x14ac:dyDescent="0.25">
      <c r="C922" s="191"/>
      <c r="K922" s="283" t="s">
        <v>1271</v>
      </c>
      <c r="L922" s="283" t="s">
        <v>673</v>
      </c>
      <c r="M922" s="283" t="s">
        <v>250</v>
      </c>
      <c r="N922" s="283" t="s">
        <v>253</v>
      </c>
      <c r="O922" s="283">
        <v>125</v>
      </c>
      <c r="P922" s="283">
        <v>2</v>
      </c>
      <c r="Q922" s="235">
        <f>(O922+IF('Scenario Analysis'!$N$23=1,0,0.5))*P922</f>
        <v>251</v>
      </c>
    </row>
    <row r="923" spans="3:17" x14ac:dyDescent="0.25">
      <c r="C923" s="191"/>
      <c r="K923" s="283" t="s">
        <v>1272</v>
      </c>
      <c r="L923" s="283" t="s">
        <v>657</v>
      </c>
      <c r="M923" s="283" t="s">
        <v>247</v>
      </c>
      <c r="N923" s="283" t="s">
        <v>251</v>
      </c>
      <c r="O923" s="283">
        <v>1</v>
      </c>
      <c r="P923" s="283">
        <v>3510</v>
      </c>
      <c r="Q923" s="235">
        <f>(O923+IF('Scenario Analysis'!$N$23=1,0,0.5))*P923</f>
        <v>5265</v>
      </c>
    </row>
    <row r="924" spans="3:17" x14ac:dyDescent="0.25">
      <c r="C924" s="191"/>
      <c r="K924" s="283" t="s">
        <v>1272</v>
      </c>
      <c r="L924" s="283" t="s">
        <v>657</v>
      </c>
      <c r="M924" s="283" t="s">
        <v>247</v>
      </c>
      <c r="N924" s="283" t="s">
        <v>251</v>
      </c>
      <c r="O924" s="283">
        <v>2</v>
      </c>
      <c r="P924" s="283">
        <v>9894</v>
      </c>
      <c r="Q924" s="235">
        <f>(O924+IF('Scenario Analysis'!$N$23=1,0,0.5))*P924</f>
        <v>24735</v>
      </c>
    </row>
    <row r="925" spans="3:17" x14ac:dyDescent="0.25">
      <c r="C925" s="191"/>
      <c r="K925" s="283" t="s">
        <v>1272</v>
      </c>
      <c r="L925" s="283" t="s">
        <v>657</v>
      </c>
      <c r="M925" s="283" t="s">
        <v>247</v>
      </c>
      <c r="N925" s="283" t="s">
        <v>251</v>
      </c>
      <c r="O925" s="283">
        <v>3</v>
      </c>
      <c r="P925" s="283">
        <v>38998</v>
      </c>
      <c r="Q925" s="235">
        <f>(O925+IF('Scenario Analysis'!$N$23=1,0,0.5))*P925</f>
        <v>136493</v>
      </c>
    </row>
    <row r="926" spans="3:17" x14ac:dyDescent="0.25">
      <c r="C926" s="191"/>
      <c r="K926" s="283" t="s">
        <v>1272</v>
      </c>
      <c r="L926" s="283" t="s">
        <v>657</v>
      </c>
      <c r="M926" s="283" t="s">
        <v>247</v>
      </c>
      <c r="N926" s="283" t="s">
        <v>251</v>
      </c>
      <c r="O926" s="283">
        <v>4</v>
      </c>
      <c r="P926" s="283">
        <v>7413</v>
      </c>
      <c r="Q926" s="235">
        <f>(O926+IF('Scenario Analysis'!$N$23=1,0,0.5))*P926</f>
        <v>33358.5</v>
      </c>
    </row>
    <row r="927" spans="3:17" x14ac:dyDescent="0.25">
      <c r="C927" s="191"/>
      <c r="K927" s="283" t="s">
        <v>1272</v>
      </c>
      <c r="L927" s="283" t="s">
        <v>657</v>
      </c>
      <c r="M927" s="283" t="s">
        <v>247</v>
      </c>
      <c r="N927" s="283" t="s">
        <v>251</v>
      </c>
      <c r="O927" s="283">
        <v>5</v>
      </c>
      <c r="P927" s="283">
        <v>8297</v>
      </c>
      <c r="Q927" s="235">
        <f>(O927+IF('Scenario Analysis'!$N$23=1,0,0.5))*P927</f>
        <v>45633.5</v>
      </c>
    </row>
    <row r="928" spans="3:17" x14ac:dyDescent="0.25">
      <c r="C928" s="191"/>
      <c r="K928" s="283" t="s">
        <v>1272</v>
      </c>
      <c r="L928" s="283" t="s">
        <v>657</v>
      </c>
      <c r="M928" s="283" t="s">
        <v>247</v>
      </c>
      <c r="N928" s="283" t="s">
        <v>251</v>
      </c>
      <c r="O928" s="283">
        <v>6</v>
      </c>
      <c r="P928" s="283">
        <v>33819</v>
      </c>
      <c r="Q928" s="235">
        <f>(O928+IF('Scenario Analysis'!$N$23=1,0,0.5))*P928</f>
        <v>219823.5</v>
      </c>
    </row>
    <row r="929" spans="3:17" x14ac:dyDescent="0.25">
      <c r="C929" s="191"/>
      <c r="K929" s="283" t="s">
        <v>1272</v>
      </c>
      <c r="L929" s="283" t="s">
        <v>657</v>
      </c>
      <c r="M929" s="283" t="s">
        <v>247</v>
      </c>
      <c r="N929" s="283" t="s">
        <v>251</v>
      </c>
      <c r="O929" s="283">
        <v>7</v>
      </c>
      <c r="P929" s="283">
        <v>8567</v>
      </c>
      <c r="Q929" s="235">
        <f>(O929+IF('Scenario Analysis'!$N$23=1,0,0.5))*P929</f>
        <v>64252.5</v>
      </c>
    </row>
    <row r="930" spans="3:17" x14ac:dyDescent="0.25">
      <c r="C930" s="191"/>
      <c r="K930" s="283" t="s">
        <v>1272</v>
      </c>
      <c r="L930" s="283" t="s">
        <v>657</v>
      </c>
      <c r="M930" s="283" t="s">
        <v>247</v>
      </c>
      <c r="N930" s="283" t="s">
        <v>251</v>
      </c>
      <c r="O930" s="283">
        <v>8</v>
      </c>
      <c r="P930" s="283">
        <v>24691</v>
      </c>
      <c r="Q930" s="235">
        <f>(O930+IF('Scenario Analysis'!$N$23=1,0,0.5))*P930</f>
        <v>209873.5</v>
      </c>
    </row>
    <row r="931" spans="3:17" x14ac:dyDescent="0.25">
      <c r="C931" s="191"/>
      <c r="K931" s="283" t="s">
        <v>1272</v>
      </c>
      <c r="L931" s="283" t="s">
        <v>657</v>
      </c>
      <c r="M931" s="283" t="s">
        <v>247</v>
      </c>
      <c r="N931" s="283" t="s">
        <v>251</v>
      </c>
      <c r="O931" s="283">
        <v>9</v>
      </c>
      <c r="P931" s="283">
        <v>44200</v>
      </c>
      <c r="Q931" s="235">
        <f>(O931+IF('Scenario Analysis'!$N$23=1,0,0.5))*P931</f>
        <v>419900</v>
      </c>
    </row>
    <row r="932" spans="3:17" x14ac:dyDescent="0.25">
      <c r="C932" s="191"/>
      <c r="K932" s="283" t="s">
        <v>1272</v>
      </c>
      <c r="L932" s="283" t="s">
        <v>657</v>
      </c>
      <c r="M932" s="283" t="s">
        <v>247</v>
      </c>
      <c r="N932" s="283" t="s">
        <v>251</v>
      </c>
      <c r="O932" s="283">
        <v>10</v>
      </c>
      <c r="P932" s="283">
        <v>10911</v>
      </c>
      <c r="Q932" s="235">
        <f>(O932+IF('Scenario Analysis'!$N$23=1,0,0.5))*P932</f>
        <v>114565.5</v>
      </c>
    </row>
    <row r="933" spans="3:17" x14ac:dyDescent="0.25">
      <c r="C933" s="191"/>
      <c r="K933" s="283" t="s">
        <v>1272</v>
      </c>
      <c r="L933" s="283" t="s">
        <v>657</v>
      </c>
      <c r="M933" s="283" t="s">
        <v>247</v>
      </c>
      <c r="N933" s="283" t="s">
        <v>251</v>
      </c>
      <c r="O933" s="283">
        <v>11</v>
      </c>
      <c r="P933" s="283">
        <v>6177</v>
      </c>
      <c r="Q933" s="235">
        <f>(O933+IF('Scenario Analysis'!$N$23=1,0,0.5))*P933</f>
        <v>71035.5</v>
      </c>
    </row>
    <row r="934" spans="3:17" x14ac:dyDescent="0.25">
      <c r="C934" s="191"/>
      <c r="K934" s="283" t="s">
        <v>1272</v>
      </c>
      <c r="L934" s="283" t="s">
        <v>657</v>
      </c>
      <c r="M934" s="283" t="s">
        <v>247</v>
      </c>
      <c r="N934" s="283" t="s">
        <v>251</v>
      </c>
      <c r="O934" s="283">
        <v>12</v>
      </c>
      <c r="P934" s="283">
        <v>5214</v>
      </c>
      <c r="Q934" s="235">
        <f>(O934+IF('Scenario Analysis'!$N$23=1,0,0.5))*P934</f>
        <v>65175</v>
      </c>
    </row>
    <row r="935" spans="3:17" x14ac:dyDescent="0.25">
      <c r="C935" s="191"/>
      <c r="K935" s="283" t="s">
        <v>1272</v>
      </c>
      <c r="L935" s="283" t="s">
        <v>657</v>
      </c>
      <c r="M935" s="283" t="s">
        <v>247</v>
      </c>
      <c r="N935" s="283" t="s">
        <v>251</v>
      </c>
      <c r="O935" s="283">
        <v>13</v>
      </c>
      <c r="P935" s="283">
        <v>68786</v>
      </c>
      <c r="Q935" s="235">
        <f>(O935+IF('Scenario Analysis'!$N$23=1,0,0.5))*P935</f>
        <v>928611</v>
      </c>
    </row>
    <row r="936" spans="3:17" x14ac:dyDescent="0.25">
      <c r="C936" s="191"/>
      <c r="K936" s="283" t="s">
        <v>1272</v>
      </c>
      <c r="L936" s="283" t="s">
        <v>657</v>
      </c>
      <c r="M936" s="283" t="s">
        <v>247</v>
      </c>
      <c r="N936" s="283" t="s">
        <v>251</v>
      </c>
      <c r="O936" s="283">
        <v>14</v>
      </c>
      <c r="P936" s="283">
        <v>4301</v>
      </c>
      <c r="Q936" s="235">
        <f>(O936+IF('Scenario Analysis'!$N$23=1,0,0.5))*P936</f>
        <v>62364.5</v>
      </c>
    </row>
    <row r="937" spans="3:17" x14ac:dyDescent="0.25">
      <c r="C937" s="191"/>
      <c r="K937" s="283" t="s">
        <v>1272</v>
      </c>
      <c r="L937" s="283" t="s">
        <v>657</v>
      </c>
      <c r="M937" s="283" t="s">
        <v>247</v>
      </c>
      <c r="N937" s="283" t="s">
        <v>251</v>
      </c>
      <c r="O937" s="283">
        <v>15</v>
      </c>
      <c r="P937" s="283">
        <v>5582</v>
      </c>
      <c r="Q937" s="235">
        <f>(O937+IF('Scenario Analysis'!$N$23=1,0,0.5))*P937</f>
        <v>86521</v>
      </c>
    </row>
    <row r="938" spans="3:17" x14ac:dyDescent="0.25">
      <c r="C938" s="191"/>
      <c r="K938" s="283" t="s">
        <v>1272</v>
      </c>
      <c r="L938" s="283" t="s">
        <v>657</v>
      </c>
      <c r="M938" s="283" t="s">
        <v>247</v>
      </c>
      <c r="N938" s="283" t="s">
        <v>251</v>
      </c>
      <c r="O938" s="283">
        <v>16</v>
      </c>
      <c r="P938" s="283">
        <v>558</v>
      </c>
      <c r="Q938" s="235">
        <f>(O938+IF('Scenario Analysis'!$N$23=1,0,0.5))*P938</f>
        <v>9207</v>
      </c>
    </row>
    <row r="939" spans="3:17" x14ac:dyDescent="0.25">
      <c r="C939" s="191"/>
      <c r="K939" s="283" t="s">
        <v>1272</v>
      </c>
      <c r="L939" s="283" t="s">
        <v>657</v>
      </c>
      <c r="M939" s="283" t="s">
        <v>247</v>
      </c>
      <c r="N939" s="283" t="s">
        <v>251</v>
      </c>
      <c r="O939" s="283">
        <v>17</v>
      </c>
      <c r="P939" s="283">
        <v>8706</v>
      </c>
      <c r="Q939" s="235">
        <f>(O939+IF('Scenario Analysis'!$N$23=1,0,0.5))*P939</f>
        <v>152355</v>
      </c>
    </row>
    <row r="940" spans="3:17" x14ac:dyDescent="0.25">
      <c r="C940" s="191"/>
      <c r="K940" s="283" t="s">
        <v>1272</v>
      </c>
      <c r="L940" s="283" t="s">
        <v>657</v>
      </c>
      <c r="M940" s="283" t="s">
        <v>247</v>
      </c>
      <c r="N940" s="283" t="s">
        <v>251</v>
      </c>
      <c r="O940" s="283">
        <v>18</v>
      </c>
      <c r="P940" s="283">
        <v>396</v>
      </c>
      <c r="Q940" s="235">
        <f>(O940+IF('Scenario Analysis'!$N$23=1,0,0.5))*P940</f>
        <v>7326</v>
      </c>
    </row>
    <row r="941" spans="3:17" x14ac:dyDescent="0.25">
      <c r="C941" s="191"/>
      <c r="K941" s="283" t="s">
        <v>1272</v>
      </c>
      <c r="L941" s="283" t="s">
        <v>657</v>
      </c>
      <c r="M941" s="283" t="s">
        <v>247</v>
      </c>
      <c r="N941" s="283" t="s">
        <v>251</v>
      </c>
      <c r="O941" s="283">
        <v>19</v>
      </c>
      <c r="P941" s="283">
        <v>18018</v>
      </c>
      <c r="Q941" s="235">
        <f>(O941+IF('Scenario Analysis'!$N$23=1,0,0.5))*P941</f>
        <v>351351</v>
      </c>
    </row>
    <row r="942" spans="3:17" x14ac:dyDescent="0.25">
      <c r="C942" s="191"/>
      <c r="K942" s="283" t="s">
        <v>1272</v>
      </c>
      <c r="L942" s="283" t="s">
        <v>657</v>
      </c>
      <c r="M942" s="283" t="s">
        <v>247</v>
      </c>
      <c r="N942" s="283" t="s">
        <v>251</v>
      </c>
      <c r="O942" s="283">
        <v>20</v>
      </c>
      <c r="P942" s="283">
        <v>8601</v>
      </c>
      <c r="Q942" s="235">
        <f>(O942+IF('Scenario Analysis'!$N$23=1,0,0.5))*P942</f>
        <v>176320.5</v>
      </c>
    </row>
    <row r="943" spans="3:17" x14ac:dyDescent="0.25">
      <c r="C943" s="191"/>
      <c r="K943" s="283" t="s">
        <v>1272</v>
      </c>
      <c r="L943" s="283" t="s">
        <v>657</v>
      </c>
      <c r="M943" s="283" t="s">
        <v>247</v>
      </c>
      <c r="N943" s="283" t="s">
        <v>251</v>
      </c>
      <c r="O943" s="283">
        <v>21</v>
      </c>
      <c r="P943" s="283">
        <v>16165</v>
      </c>
      <c r="Q943" s="235">
        <f>(O943+IF('Scenario Analysis'!$N$23=1,0,0.5))*P943</f>
        <v>347547.5</v>
      </c>
    </row>
    <row r="944" spans="3:17" x14ac:dyDescent="0.25">
      <c r="C944" s="191"/>
      <c r="K944" s="283" t="s">
        <v>1272</v>
      </c>
      <c r="L944" s="283" t="s">
        <v>657</v>
      </c>
      <c r="M944" s="283" t="s">
        <v>247</v>
      </c>
      <c r="N944" s="283" t="s">
        <v>251</v>
      </c>
      <c r="O944" s="283">
        <v>22</v>
      </c>
      <c r="P944" s="283">
        <v>9229</v>
      </c>
      <c r="Q944" s="235">
        <f>(O944+IF('Scenario Analysis'!$N$23=1,0,0.5))*P944</f>
        <v>207652.5</v>
      </c>
    </row>
    <row r="945" spans="3:17" x14ac:dyDescent="0.25">
      <c r="C945" s="191"/>
      <c r="K945" s="283" t="s">
        <v>1272</v>
      </c>
      <c r="L945" s="283" t="s">
        <v>657</v>
      </c>
      <c r="M945" s="283" t="s">
        <v>247</v>
      </c>
      <c r="N945" s="283" t="s">
        <v>251</v>
      </c>
      <c r="O945" s="283">
        <v>24</v>
      </c>
      <c r="P945" s="283">
        <v>12733</v>
      </c>
      <c r="Q945" s="235">
        <f>(O945+IF('Scenario Analysis'!$N$23=1,0,0.5))*P945</f>
        <v>311958.5</v>
      </c>
    </row>
    <row r="946" spans="3:17" x14ac:dyDescent="0.25">
      <c r="C946" s="191"/>
      <c r="K946" s="283" t="s">
        <v>1272</v>
      </c>
      <c r="L946" s="283" t="s">
        <v>657</v>
      </c>
      <c r="M946" s="283" t="s">
        <v>247</v>
      </c>
      <c r="N946" s="283" t="s">
        <v>251</v>
      </c>
      <c r="O946" s="283">
        <v>25</v>
      </c>
      <c r="P946" s="283">
        <v>469</v>
      </c>
      <c r="Q946" s="235">
        <f>(O946+IF('Scenario Analysis'!$N$23=1,0,0.5))*P946</f>
        <v>11959.5</v>
      </c>
    </row>
    <row r="947" spans="3:17" x14ac:dyDescent="0.25">
      <c r="C947" s="191"/>
      <c r="K947" s="283" t="s">
        <v>1272</v>
      </c>
      <c r="L947" s="283" t="s">
        <v>657</v>
      </c>
      <c r="M947" s="283" t="s">
        <v>247</v>
      </c>
      <c r="N947" s="283" t="s">
        <v>251</v>
      </c>
      <c r="O947" s="283">
        <v>26</v>
      </c>
      <c r="P947" s="283">
        <v>10947</v>
      </c>
      <c r="Q947" s="235">
        <f>(O947+IF('Scenario Analysis'!$N$23=1,0,0.5))*P947</f>
        <v>290095.5</v>
      </c>
    </row>
    <row r="948" spans="3:17" x14ac:dyDescent="0.25">
      <c r="C948" s="191"/>
      <c r="K948" s="283" t="s">
        <v>1272</v>
      </c>
      <c r="L948" s="283" t="s">
        <v>657</v>
      </c>
      <c r="M948" s="283" t="s">
        <v>247</v>
      </c>
      <c r="N948" s="283" t="s">
        <v>251</v>
      </c>
      <c r="O948" s="283">
        <v>27</v>
      </c>
      <c r="P948" s="283">
        <v>883</v>
      </c>
      <c r="Q948" s="235">
        <f>(O948+IF('Scenario Analysis'!$N$23=1,0,0.5))*P948</f>
        <v>24282.5</v>
      </c>
    </row>
    <row r="949" spans="3:17" x14ac:dyDescent="0.25">
      <c r="C949" s="191"/>
      <c r="K949" s="283" t="s">
        <v>1272</v>
      </c>
      <c r="L949" s="283" t="s">
        <v>657</v>
      </c>
      <c r="M949" s="283" t="s">
        <v>247</v>
      </c>
      <c r="N949" s="283" t="s">
        <v>251</v>
      </c>
      <c r="O949" s="283">
        <v>28</v>
      </c>
      <c r="P949" s="283">
        <v>6198</v>
      </c>
      <c r="Q949" s="235">
        <f>(O949+IF('Scenario Analysis'!$N$23=1,0,0.5))*P949</f>
        <v>176643</v>
      </c>
    </row>
    <row r="950" spans="3:17" x14ac:dyDescent="0.25">
      <c r="C950" s="191"/>
      <c r="K950" s="283" t="s">
        <v>1272</v>
      </c>
      <c r="L950" s="283" t="s">
        <v>657</v>
      </c>
      <c r="M950" s="283" t="s">
        <v>247</v>
      </c>
      <c r="N950" s="283" t="s">
        <v>251</v>
      </c>
      <c r="O950" s="283">
        <v>30</v>
      </c>
      <c r="P950" s="283">
        <v>11051</v>
      </c>
      <c r="Q950" s="235">
        <f>(O950+IF('Scenario Analysis'!$N$23=1,0,0.5))*P950</f>
        <v>337055.5</v>
      </c>
    </row>
    <row r="951" spans="3:17" x14ac:dyDescent="0.25">
      <c r="C951" s="191"/>
      <c r="K951" s="283" t="s">
        <v>1272</v>
      </c>
      <c r="L951" s="283" t="s">
        <v>657</v>
      </c>
      <c r="M951" s="283" t="s">
        <v>247</v>
      </c>
      <c r="N951" s="283" t="s">
        <v>251</v>
      </c>
      <c r="O951" s="283">
        <v>33</v>
      </c>
      <c r="P951" s="283">
        <v>8293</v>
      </c>
      <c r="Q951" s="235">
        <f>(O951+IF('Scenario Analysis'!$N$23=1,0,0.5))*P951</f>
        <v>277815.5</v>
      </c>
    </row>
    <row r="952" spans="3:17" x14ac:dyDescent="0.25">
      <c r="C952" s="191"/>
      <c r="K952" s="283" t="s">
        <v>1272</v>
      </c>
      <c r="L952" s="283" t="s">
        <v>657</v>
      </c>
      <c r="M952" s="283" t="s">
        <v>247</v>
      </c>
      <c r="N952" s="283" t="s">
        <v>251</v>
      </c>
      <c r="O952" s="283">
        <v>35</v>
      </c>
      <c r="P952" s="283">
        <v>15531</v>
      </c>
      <c r="Q952" s="235">
        <f>(O952+IF('Scenario Analysis'!$N$23=1,0,0.5))*P952</f>
        <v>551350.5</v>
      </c>
    </row>
    <row r="953" spans="3:17" x14ac:dyDescent="0.25">
      <c r="C953" s="191"/>
      <c r="K953" s="283" t="s">
        <v>1272</v>
      </c>
      <c r="L953" s="283" t="s">
        <v>658</v>
      </c>
      <c r="M953" s="283" t="s">
        <v>247</v>
      </c>
      <c r="N953" s="283" t="s">
        <v>252</v>
      </c>
      <c r="O953" s="283">
        <v>0</v>
      </c>
      <c r="P953" s="283">
        <v>8</v>
      </c>
      <c r="Q953" s="235">
        <f>(O953+IF('Scenario Analysis'!$N$23=1,0,0.5))*P953</f>
        <v>4</v>
      </c>
    </row>
    <row r="954" spans="3:17" x14ac:dyDescent="0.25">
      <c r="C954" s="191"/>
      <c r="K954" s="283" t="s">
        <v>1272</v>
      </c>
      <c r="L954" s="283" t="s">
        <v>658</v>
      </c>
      <c r="M954" s="283" t="s">
        <v>247</v>
      </c>
      <c r="N954" s="283" t="s">
        <v>252</v>
      </c>
      <c r="O954" s="283">
        <v>1</v>
      </c>
      <c r="P954" s="283">
        <v>4020</v>
      </c>
      <c r="Q954" s="235">
        <f>(O954+IF('Scenario Analysis'!$N$23=1,0,0.5))*P954</f>
        <v>6030</v>
      </c>
    </row>
    <row r="955" spans="3:17" x14ac:dyDescent="0.25">
      <c r="C955" s="191"/>
      <c r="K955" s="283" t="s">
        <v>1272</v>
      </c>
      <c r="L955" s="283" t="s">
        <v>658</v>
      </c>
      <c r="M955" s="283" t="s">
        <v>247</v>
      </c>
      <c r="N955" s="283" t="s">
        <v>252</v>
      </c>
      <c r="O955" s="283">
        <v>2</v>
      </c>
      <c r="P955" s="283">
        <v>3546</v>
      </c>
      <c r="Q955" s="235">
        <f>(O955+IF('Scenario Analysis'!$N$23=1,0,0.5))*P955</f>
        <v>8865</v>
      </c>
    </row>
    <row r="956" spans="3:17" x14ac:dyDescent="0.25">
      <c r="C956" s="191"/>
      <c r="K956" s="283" t="s">
        <v>1272</v>
      </c>
      <c r="L956" s="283" t="s">
        <v>658</v>
      </c>
      <c r="M956" s="283" t="s">
        <v>247</v>
      </c>
      <c r="N956" s="283" t="s">
        <v>252</v>
      </c>
      <c r="O956" s="283">
        <v>3</v>
      </c>
      <c r="P956" s="283">
        <v>15614</v>
      </c>
      <c r="Q956" s="235">
        <f>(O956+IF('Scenario Analysis'!$N$23=1,0,0.5))*P956</f>
        <v>54649</v>
      </c>
    </row>
    <row r="957" spans="3:17" x14ac:dyDescent="0.25">
      <c r="C957" s="191"/>
      <c r="K957" s="283" t="s">
        <v>1272</v>
      </c>
      <c r="L957" s="283" t="s">
        <v>658</v>
      </c>
      <c r="M957" s="283" t="s">
        <v>247</v>
      </c>
      <c r="N957" s="283" t="s">
        <v>252</v>
      </c>
      <c r="O957" s="283">
        <v>4</v>
      </c>
      <c r="P957" s="283">
        <v>10034</v>
      </c>
      <c r="Q957" s="235">
        <f>(O957+IF('Scenario Analysis'!$N$23=1,0,0.5))*P957</f>
        <v>45153</v>
      </c>
    </row>
    <row r="958" spans="3:17" x14ac:dyDescent="0.25">
      <c r="C958" s="191"/>
      <c r="K958" s="283" t="s">
        <v>1272</v>
      </c>
      <c r="L958" s="283" t="s">
        <v>658</v>
      </c>
      <c r="M958" s="283" t="s">
        <v>247</v>
      </c>
      <c r="N958" s="283" t="s">
        <v>252</v>
      </c>
      <c r="O958" s="283">
        <v>5</v>
      </c>
      <c r="P958" s="283">
        <v>3565</v>
      </c>
      <c r="Q958" s="235">
        <f>(O958+IF('Scenario Analysis'!$N$23=1,0,0.5))*P958</f>
        <v>19607.5</v>
      </c>
    </row>
    <row r="959" spans="3:17" x14ac:dyDescent="0.25">
      <c r="C959" s="191"/>
      <c r="K959" s="283" t="s">
        <v>1272</v>
      </c>
      <c r="L959" s="283" t="s">
        <v>658</v>
      </c>
      <c r="M959" s="283" t="s">
        <v>247</v>
      </c>
      <c r="N959" s="283" t="s">
        <v>252</v>
      </c>
      <c r="O959" s="283">
        <v>6</v>
      </c>
      <c r="P959" s="283">
        <v>15500</v>
      </c>
      <c r="Q959" s="235">
        <f>(O959+IF('Scenario Analysis'!$N$23=1,0,0.5))*P959</f>
        <v>100750</v>
      </c>
    </row>
    <row r="960" spans="3:17" x14ac:dyDescent="0.25">
      <c r="C960" s="191"/>
      <c r="K960" s="283" t="s">
        <v>1272</v>
      </c>
      <c r="L960" s="283" t="s">
        <v>658</v>
      </c>
      <c r="M960" s="283" t="s">
        <v>247</v>
      </c>
      <c r="N960" s="283" t="s">
        <v>252</v>
      </c>
      <c r="O960" s="283">
        <v>7</v>
      </c>
      <c r="P960" s="283">
        <v>9311</v>
      </c>
      <c r="Q960" s="235">
        <f>(O960+IF('Scenario Analysis'!$N$23=1,0,0.5))*P960</f>
        <v>69832.5</v>
      </c>
    </row>
    <row r="961" spans="3:17" x14ac:dyDescent="0.25">
      <c r="C961" s="191"/>
      <c r="K961" s="283" t="s">
        <v>1272</v>
      </c>
      <c r="L961" s="283" t="s">
        <v>658</v>
      </c>
      <c r="M961" s="283" t="s">
        <v>247</v>
      </c>
      <c r="N961" s="283" t="s">
        <v>252</v>
      </c>
      <c r="O961" s="283">
        <v>8</v>
      </c>
      <c r="P961" s="283">
        <v>7837</v>
      </c>
      <c r="Q961" s="235">
        <f>(O961+IF('Scenario Analysis'!$N$23=1,0,0.5))*P961</f>
        <v>66614.5</v>
      </c>
    </row>
    <row r="962" spans="3:17" x14ac:dyDescent="0.25">
      <c r="C962" s="191"/>
      <c r="K962" s="283" t="s">
        <v>1272</v>
      </c>
      <c r="L962" s="283" t="s">
        <v>658</v>
      </c>
      <c r="M962" s="283" t="s">
        <v>247</v>
      </c>
      <c r="N962" s="283" t="s">
        <v>252</v>
      </c>
      <c r="O962" s="283">
        <v>9</v>
      </c>
      <c r="P962" s="283">
        <v>3091</v>
      </c>
      <c r="Q962" s="235">
        <f>(O962+IF('Scenario Analysis'!$N$23=1,0,0.5))*P962</f>
        <v>29364.5</v>
      </c>
    </row>
    <row r="963" spans="3:17" x14ac:dyDescent="0.25">
      <c r="C963" s="191"/>
      <c r="K963" s="283" t="s">
        <v>1272</v>
      </c>
      <c r="L963" s="283" t="s">
        <v>658</v>
      </c>
      <c r="M963" s="283" t="s">
        <v>247</v>
      </c>
      <c r="N963" s="283" t="s">
        <v>252</v>
      </c>
      <c r="O963" s="283">
        <v>10</v>
      </c>
      <c r="P963" s="283">
        <v>12658</v>
      </c>
      <c r="Q963" s="235">
        <f>(O963+IF('Scenario Analysis'!$N$23=1,0,0.5))*P963</f>
        <v>132909</v>
      </c>
    </row>
    <row r="964" spans="3:17" x14ac:dyDescent="0.25">
      <c r="C964" s="191"/>
      <c r="K964" s="283" t="s">
        <v>1272</v>
      </c>
      <c r="L964" s="283" t="s">
        <v>658</v>
      </c>
      <c r="M964" s="283" t="s">
        <v>247</v>
      </c>
      <c r="N964" s="283" t="s">
        <v>252</v>
      </c>
      <c r="O964" s="283">
        <v>11</v>
      </c>
      <c r="P964" s="283">
        <v>53987</v>
      </c>
      <c r="Q964" s="235">
        <f>(O964+IF('Scenario Analysis'!$N$23=1,0,0.5))*P964</f>
        <v>620850.5</v>
      </c>
    </row>
    <row r="965" spans="3:17" x14ac:dyDescent="0.25">
      <c r="C965" s="191"/>
      <c r="K965" s="283" t="s">
        <v>1272</v>
      </c>
      <c r="L965" s="283" t="s">
        <v>658</v>
      </c>
      <c r="M965" s="283" t="s">
        <v>247</v>
      </c>
      <c r="N965" s="283" t="s">
        <v>252</v>
      </c>
      <c r="O965" s="283">
        <v>12</v>
      </c>
      <c r="P965" s="283">
        <v>4467</v>
      </c>
      <c r="Q965" s="235">
        <f>(O965+IF('Scenario Analysis'!$N$23=1,0,0.5))*P965</f>
        <v>55837.5</v>
      </c>
    </row>
    <row r="966" spans="3:17" x14ac:dyDescent="0.25">
      <c r="C966" s="191"/>
      <c r="K966" s="283" t="s">
        <v>1272</v>
      </c>
      <c r="L966" s="283" t="s">
        <v>658</v>
      </c>
      <c r="M966" s="283" t="s">
        <v>247</v>
      </c>
      <c r="N966" s="283" t="s">
        <v>252</v>
      </c>
      <c r="O966" s="283">
        <v>13</v>
      </c>
      <c r="P966" s="283">
        <v>7627</v>
      </c>
      <c r="Q966" s="235">
        <f>(O966+IF('Scenario Analysis'!$N$23=1,0,0.5))*P966</f>
        <v>102964.5</v>
      </c>
    </row>
    <row r="967" spans="3:17" x14ac:dyDescent="0.25">
      <c r="C967" s="191"/>
      <c r="K967" s="283" t="s">
        <v>1272</v>
      </c>
      <c r="L967" s="283" t="s">
        <v>658</v>
      </c>
      <c r="M967" s="283" t="s">
        <v>247</v>
      </c>
      <c r="N967" s="283" t="s">
        <v>252</v>
      </c>
      <c r="O967" s="283">
        <v>14</v>
      </c>
      <c r="P967" s="283">
        <v>9980</v>
      </c>
      <c r="Q967" s="235">
        <f>(O967+IF('Scenario Analysis'!$N$23=1,0,0.5))*P967</f>
        <v>144710</v>
      </c>
    </row>
    <row r="968" spans="3:17" x14ac:dyDescent="0.25">
      <c r="C968" s="191"/>
      <c r="K968" s="283" t="s">
        <v>1272</v>
      </c>
      <c r="L968" s="283" t="s">
        <v>658</v>
      </c>
      <c r="M968" s="283" t="s">
        <v>247</v>
      </c>
      <c r="N968" s="283" t="s">
        <v>252</v>
      </c>
      <c r="O968" s="283">
        <v>15</v>
      </c>
      <c r="P968" s="283">
        <v>1574</v>
      </c>
      <c r="Q968" s="235">
        <f>(O968+IF('Scenario Analysis'!$N$23=1,0,0.5))*P968</f>
        <v>24397</v>
      </c>
    </row>
    <row r="969" spans="3:17" x14ac:dyDescent="0.25">
      <c r="C969" s="191"/>
      <c r="K969" s="283" t="s">
        <v>1272</v>
      </c>
      <c r="L969" s="283" t="s">
        <v>658</v>
      </c>
      <c r="M969" s="283" t="s">
        <v>247</v>
      </c>
      <c r="N969" s="283" t="s">
        <v>252</v>
      </c>
      <c r="O969" s="283">
        <v>16</v>
      </c>
      <c r="P969" s="283">
        <v>3196</v>
      </c>
      <c r="Q969" s="235">
        <f>(O969+IF('Scenario Analysis'!$N$23=1,0,0.5))*P969</f>
        <v>52734</v>
      </c>
    </row>
    <row r="970" spans="3:17" x14ac:dyDescent="0.25">
      <c r="C970" s="191"/>
      <c r="K970" s="283" t="s">
        <v>1272</v>
      </c>
      <c r="L970" s="283" t="s">
        <v>658</v>
      </c>
      <c r="M970" s="283" t="s">
        <v>247</v>
      </c>
      <c r="N970" s="283" t="s">
        <v>252</v>
      </c>
      <c r="O970" s="283">
        <v>17</v>
      </c>
      <c r="P970" s="283">
        <v>3896</v>
      </c>
      <c r="Q970" s="235">
        <f>(O970+IF('Scenario Analysis'!$N$23=1,0,0.5))*P970</f>
        <v>68180</v>
      </c>
    </row>
    <row r="971" spans="3:17" x14ac:dyDescent="0.25">
      <c r="C971" s="191"/>
      <c r="K971" s="283" t="s">
        <v>1272</v>
      </c>
      <c r="L971" s="283" t="s">
        <v>658</v>
      </c>
      <c r="M971" s="283" t="s">
        <v>247</v>
      </c>
      <c r="N971" s="283" t="s">
        <v>252</v>
      </c>
      <c r="O971" s="283">
        <v>18</v>
      </c>
      <c r="P971" s="283">
        <v>10492</v>
      </c>
      <c r="Q971" s="235">
        <f>(O971+IF('Scenario Analysis'!$N$23=1,0,0.5))*P971</f>
        <v>194102</v>
      </c>
    </row>
    <row r="972" spans="3:17" x14ac:dyDescent="0.25">
      <c r="C972" s="191"/>
      <c r="K972" s="283" t="s">
        <v>1272</v>
      </c>
      <c r="L972" s="283" t="s">
        <v>658</v>
      </c>
      <c r="M972" s="283" t="s">
        <v>247</v>
      </c>
      <c r="N972" s="283" t="s">
        <v>252</v>
      </c>
      <c r="O972" s="283">
        <v>19</v>
      </c>
      <c r="P972" s="283">
        <v>2303</v>
      </c>
      <c r="Q972" s="235">
        <f>(O972+IF('Scenario Analysis'!$N$23=1,0,0.5))*P972</f>
        <v>44908.5</v>
      </c>
    </row>
    <row r="973" spans="3:17" x14ac:dyDescent="0.25">
      <c r="C973" s="191"/>
      <c r="K973" s="283" t="s">
        <v>1272</v>
      </c>
      <c r="L973" s="283" t="s">
        <v>658</v>
      </c>
      <c r="M973" s="283" t="s">
        <v>247</v>
      </c>
      <c r="N973" s="283" t="s">
        <v>252</v>
      </c>
      <c r="O973" s="283">
        <v>20</v>
      </c>
      <c r="P973" s="283">
        <v>9802</v>
      </c>
      <c r="Q973" s="235">
        <f>(O973+IF('Scenario Analysis'!$N$23=1,0,0.5))*P973</f>
        <v>200941</v>
      </c>
    </row>
    <row r="974" spans="3:17" x14ac:dyDescent="0.25">
      <c r="C974" s="191"/>
      <c r="K974" s="283" t="s">
        <v>1272</v>
      </c>
      <c r="L974" s="283" t="s">
        <v>658</v>
      </c>
      <c r="M974" s="283" t="s">
        <v>247</v>
      </c>
      <c r="N974" s="283" t="s">
        <v>252</v>
      </c>
      <c r="O974" s="283">
        <v>21</v>
      </c>
      <c r="P974" s="283">
        <v>3840</v>
      </c>
      <c r="Q974" s="235">
        <f>(O974+IF('Scenario Analysis'!$N$23=1,0,0.5))*P974</f>
        <v>82560</v>
      </c>
    </row>
    <row r="975" spans="3:17" x14ac:dyDescent="0.25">
      <c r="C975" s="191"/>
      <c r="K975" s="283" t="s">
        <v>1272</v>
      </c>
      <c r="L975" s="283" t="s">
        <v>658</v>
      </c>
      <c r="M975" s="283" t="s">
        <v>247</v>
      </c>
      <c r="N975" s="283" t="s">
        <v>252</v>
      </c>
      <c r="O975" s="283">
        <v>22</v>
      </c>
      <c r="P975" s="283">
        <v>15923</v>
      </c>
      <c r="Q975" s="235">
        <f>(O975+IF('Scenario Analysis'!$N$23=1,0,0.5))*P975</f>
        <v>358267.5</v>
      </c>
    </row>
    <row r="976" spans="3:17" x14ac:dyDescent="0.25">
      <c r="C976" s="191"/>
      <c r="K976" s="283" t="s">
        <v>1272</v>
      </c>
      <c r="L976" s="283" t="s">
        <v>658</v>
      </c>
      <c r="M976" s="283" t="s">
        <v>247</v>
      </c>
      <c r="N976" s="283" t="s">
        <v>252</v>
      </c>
      <c r="O976" s="283">
        <v>23</v>
      </c>
      <c r="P976" s="283">
        <v>50243</v>
      </c>
      <c r="Q976" s="235">
        <f>(O976+IF('Scenario Analysis'!$N$23=1,0,0.5))*P976</f>
        <v>1180710.5</v>
      </c>
    </row>
    <row r="977" spans="3:17" x14ac:dyDescent="0.25">
      <c r="C977" s="191"/>
      <c r="K977" s="283" t="s">
        <v>1272</v>
      </c>
      <c r="L977" s="283" t="s">
        <v>658</v>
      </c>
      <c r="M977" s="283" t="s">
        <v>247</v>
      </c>
      <c r="N977" s="283" t="s">
        <v>252</v>
      </c>
      <c r="O977" s="283">
        <v>24</v>
      </c>
      <c r="P977" s="283">
        <v>8537</v>
      </c>
      <c r="Q977" s="235">
        <f>(O977+IF('Scenario Analysis'!$N$23=1,0,0.5))*P977</f>
        <v>209156.5</v>
      </c>
    </row>
    <row r="978" spans="3:17" x14ac:dyDescent="0.25">
      <c r="C978" s="191"/>
      <c r="K978" s="283" t="s">
        <v>1272</v>
      </c>
      <c r="L978" s="283" t="s">
        <v>658</v>
      </c>
      <c r="M978" s="283" t="s">
        <v>247</v>
      </c>
      <c r="N978" s="283" t="s">
        <v>252</v>
      </c>
      <c r="O978" s="283">
        <v>25</v>
      </c>
      <c r="P978" s="283">
        <v>3044</v>
      </c>
      <c r="Q978" s="235">
        <f>(O978+IF('Scenario Analysis'!$N$23=1,0,0.5))*P978</f>
        <v>77622</v>
      </c>
    </row>
    <row r="979" spans="3:17" x14ac:dyDescent="0.25">
      <c r="C979" s="191"/>
      <c r="K979" s="283" t="s">
        <v>1272</v>
      </c>
      <c r="L979" s="283" t="s">
        <v>658</v>
      </c>
      <c r="M979" s="283" t="s">
        <v>247</v>
      </c>
      <c r="N979" s="283" t="s">
        <v>252</v>
      </c>
      <c r="O979" s="283">
        <v>26</v>
      </c>
      <c r="P979" s="283">
        <v>10088</v>
      </c>
      <c r="Q979" s="235">
        <f>(O979+IF('Scenario Analysis'!$N$23=1,0,0.5))*P979</f>
        <v>267332</v>
      </c>
    </row>
    <row r="980" spans="3:17" x14ac:dyDescent="0.25">
      <c r="C980" s="191"/>
      <c r="K980" s="283" t="s">
        <v>1272</v>
      </c>
      <c r="L980" s="283" t="s">
        <v>658</v>
      </c>
      <c r="M980" s="283" t="s">
        <v>247</v>
      </c>
      <c r="N980" s="283" t="s">
        <v>252</v>
      </c>
      <c r="O980" s="283">
        <v>27</v>
      </c>
      <c r="P980" s="283">
        <v>6085</v>
      </c>
      <c r="Q980" s="235">
        <f>(O980+IF('Scenario Analysis'!$N$23=1,0,0.5))*P980</f>
        <v>167337.5</v>
      </c>
    </row>
    <row r="981" spans="3:17" x14ac:dyDescent="0.25">
      <c r="C981" s="191"/>
      <c r="K981" s="283" t="s">
        <v>1272</v>
      </c>
      <c r="L981" s="283" t="s">
        <v>658</v>
      </c>
      <c r="M981" s="283" t="s">
        <v>247</v>
      </c>
      <c r="N981" s="283" t="s">
        <v>252</v>
      </c>
      <c r="O981" s="283">
        <v>28</v>
      </c>
      <c r="P981" s="283">
        <v>1951</v>
      </c>
      <c r="Q981" s="235">
        <f>(O981+IF('Scenario Analysis'!$N$23=1,0,0.5))*P981</f>
        <v>55603.5</v>
      </c>
    </row>
    <row r="982" spans="3:17" x14ac:dyDescent="0.25">
      <c r="C982" s="191"/>
      <c r="K982" s="283" t="s">
        <v>1272</v>
      </c>
      <c r="L982" s="283" t="s">
        <v>658</v>
      </c>
      <c r="M982" s="283" t="s">
        <v>247</v>
      </c>
      <c r="N982" s="283" t="s">
        <v>252</v>
      </c>
      <c r="O982" s="283">
        <v>29</v>
      </c>
      <c r="P982" s="283">
        <v>649</v>
      </c>
      <c r="Q982" s="235">
        <f>(O982+IF('Scenario Analysis'!$N$23=1,0,0.5))*P982</f>
        <v>19145.5</v>
      </c>
    </row>
    <row r="983" spans="3:17" x14ac:dyDescent="0.25">
      <c r="C983" s="191"/>
      <c r="K983" s="283" t="s">
        <v>1272</v>
      </c>
      <c r="L983" s="283" t="s">
        <v>658</v>
      </c>
      <c r="M983" s="283" t="s">
        <v>247</v>
      </c>
      <c r="N983" s="283" t="s">
        <v>252</v>
      </c>
      <c r="O983" s="283">
        <v>30</v>
      </c>
      <c r="P983" s="283">
        <v>4422</v>
      </c>
      <c r="Q983" s="235">
        <f>(O983+IF('Scenario Analysis'!$N$23=1,0,0.5))*P983</f>
        <v>134871</v>
      </c>
    </row>
    <row r="984" spans="3:17" x14ac:dyDescent="0.25">
      <c r="C984" s="191"/>
      <c r="K984" s="283" t="s">
        <v>1272</v>
      </c>
      <c r="L984" s="283" t="s">
        <v>658</v>
      </c>
      <c r="M984" s="283" t="s">
        <v>247</v>
      </c>
      <c r="N984" s="283" t="s">
        <v>252</v>
      </c>
      <c r="O984" s="283">
        <v>31</v>
      </c>
      <c r="P984" s="283">
        <v>6788</v>
      </c>
      <c r="Q984" s="235">
        <f>(O984+IF('Scenario Analysis'!$N$23=1,0,0.5))*P984</f>
        <v>213822</v>
      </c>
    </row>
    <row r="985" spans="3:17" x14ac:dyDescent="0.25">
      <c r="C985" s="191"/>
      <c r="K985" s="283" t="s">
        <v>1272</v>
      </c>
      <c r="L985" s="283" t="s">
        <v>658</v>
      </c>
      <c r="M985" s="283" t="s">
        <v>247</v>
      </c>
      <c r="N985" s="283" t="s">
        <v>252</v>
      </c>
      <c r="O985" s="283">
        <v>32</v>
      </c>
      <c r="P985" s="283">
        <v>2267</v>
      </c>
      <c r="Q985" s="235">
        <f>(O985+IF('Scenario Analysis'!$N$23=1,0,0.5))*P985</f>
        <v>73677.5</v>
      </c>
    </row>
    <row r="986" spans="3:17" x14ac:dyDescent="0.25">
      <c r="C986" s="191"/>
      <c r="K986" s="283" t="s">
        <v>1272</v>
      </c>
      <c r="L986" s="283" t="s">
        <v>658</v>
      </c>
      <c r="M986" s="283" t="s">
        <v>247</v>
      </c>
      <c r="N986" s="283" t="s">
        <v>252</v>
      </c>
      <c r="O986" s="283">
        <v>33</v>
      </c>
      <c r="P986" s="283">
        <v>1893</v>
      </c>
      <c r="Q986" s="235">
        <f>(O986+IF('Scenario Analysis'!$N$23=1,0,0.5))*P986</f>
        <v>63415.5</v>
      </c>
    </row>
    <row r="987" spans="3:17" x14ac:dyDescent="0.25">
      <c r="C987" s="191"/>
      <c r="K987" s="283" t="s">
        <v>1272</v>
      </c>
      <c r="L987" s="283" t="s">
        <v>658</v>
      </c>
      <c r="M987" s="283" t="s">
        <v>247</v>
      </c>
      <c r="N987" s="283" t="s">
        <v>252</v>
      </c>
      <c r="O987" s="283">
        <v>34</v>
      </c>
      <c r="P987" s="283">
        <v>13913</v>
      </c>
      <c r="Q987" s="235">
        <f>(O987+IF('Scenario Analysis'!$N$23=1,0,0.5))*P987</f>
        <v>479998.5</v>
      </c>
    </row>
    <row r="988" spans="3:17" x14ac:dyDescent="0.25">
      <c r="C988" s="191"/>
      <c r="K988" s="283" t="s">
        <v>1272</v>
      </c>
      <c r="L988" s="283" t="s">
        <v>658</v>
      </c>
      <c r="M988" s="283" t="s">
        <v>247</v>
      </c>
      <c r="N988" s="283" t="s">
        <v>252</v>
      </c>
      <c r="O988" s="283">
        <v>35</v>
      </c>
      <c r="P988" s="283">
        <v>1015</v>
      </c>
      <c r="Q988" s="235">
        <f>(O988+IF('Scenario Analysis'!$N$23=1,0,0.5))*P988</f>
        <v>36032.5</v>
      </c>
    </row>
    <row r="989" spans="3:17" x14ac:dyDescent="0.25">
      <c r="C989" s="191"/>
      <c r="K989" s="283" t="s">
        <v>1272</v>
      </c>
      <c r="L989" s="283" t="s">
        <v>658</v>
      </c>
      <c r="M989" s="283" t="s">
        <v>247</v>
      </c>
      <c r="N989" s="283" t="s">
        <v>252</v>
      </c>
      <c r="O989" s="283">
        <v>36</v>
      </c>
      <c r="P989" s="283">
        <v>4036</v>
      </c>
      <c r="Q989" s="235">
        <f>(O989+IF('Scenario Analysis'!$N$23=1,0,0.5))*P989</f>
        <v>147314</v>
      </c>
    </row>
    <row r="990" spans="3:17" x14ac:dyDescent="0.25">
      <c r="C990" s="191"/>
      <c r="K990" s="283" t="s">
        <v>1272</v>
      </c>
      <c r="L990" s="283" t="s">
        <v>658</v>
      </c>
      <c r="M990" s="283" t="s">
        <v>247</v>
      </c>
      <c r="N990" s="283" t="s">
        <v>252</v>
      </c>
      <c r="O990" s="283">
        <v>37</v>
      </c>
      <c r="P990" s="283">
        <v>2458</v>
      </c>
      <c r="Q990" s="235">
        <f>(O990+IF('Scenario Analysis'!$N$23=1,0,0.5))*P990</f>
        <v>92175</v>
      </c>
    </row>
    <row r="991" spans="3:17" x14ac:dyDescent="0.25">
      <c r="C991" s="191"/>
      <c r="K991" s="283" t="s">
        <v>1272</v>
      </c>
      <c r="L991" s="283" t="s">
        <v>658</v>
      </c>
      <c r="M991" s="283" t="s">
        <v>247</v>
      </c>
      <c r="N991" s="283" t="s">
        <v>252</v>
      </c>
      <c r="O991" s="283">
        <v>38</v>
      </c>
      <c r="P991" s="283">
        <v>11292</v>
      </c>
      <c r="Q991" s="235">
        <f>(O991+IF('Scenario Analysis'!$N$23=1,0,0.5))*P991</f>
        <v>434742</v>
      </c>
    </row>
    <row r="992" spans="3:17" x14ac:dyDescent="0.25">
      <c r="C992" s="191"/>
      <c r="K992" s="283" t="s">
        <v>1272</v>
      </c>
      <c r="L992" s="283" t="s">
        <v>658</v>
      </c>
      <c r="M992" s="283" t="s">
        <v>247</v>
      </c>
      <c r="N992" s="283" t="s">
        <v>252</v>
      </c>
      <c r="O992" s="283">
        <v>39</v>
      </c>
      <c r="P992" s="283">
        <v>2496</v>
      </c>
      <c r="Q992" s="235">
        <f>(O992+IF('Scenario Analysis'!$N$23=1,0,0.5))*P992</f>
        <v>98592</v>
      </c>
    </row>
    <row r="993" spans="3:17" x14ac:dyDescent="0.25">
      <c r="C993" s="191"/>
      <c r="K993" s="283" t="s">
        <v>1272</v>
      </c>
      <c r="L993" s="283" t="s">
        <v>658</v>
      </c>
      <c r="M993" s="283" t="s">
        <v>247</v>
      </c>
      <c r="N993" s="283" t="s">
        <v>252</v>
      </c>
      <c r="O993" s="283">
        <v>40</v>
      </c>
      <c r="P993" s="283">
        <v>1157</v>
      </c>
      <c r="Q993" s="235">
        <f>(O993+IF('Scenario Analysis'!$N$23=1,0,0.5))*P993</f>
        <v>46858.5</v>
      </c>
    </row>
    <row r="994" spans="3:17" x14ac:dyDescent="0.25">
      <c r="C994" s="191"/>
      <c r="K994" s="283" t="s">
        <v>1272</v>
      </c>
      <c r="L994" s="283" t="s">
        <v>658</v>
      </c>
      <c r="M994" s="283" t="s">
        <v>247</v>
      </c>
      <c r="N994" s="283" t="s">
        <v>252</v>
      </c>
      <c r="O994" s="283">
        <v>41</v>
      </c>
      <c r="P994" s="283">
        <v>1914</v>
      </c>
      <c r="Q994" s="235">
        <f>(O994+IF('Scenario Analysis'!$N$23=1,0,0.5))*P994</f>
        <v>79431</v>
      </c>
    </row>
    <row r="995" spans="3:17" x14ac:dyDescent="0.25">
      <c r="C995" s="191"/>
      <c r="K995" s="283" t="s">
        <v>1272</v>
      </c>
      <c r="L995" s="283" t="s">
        <v>658</v>
      </c>
      <c r="M995" s="283" t="s">
        <v>247</v>
      </c>
      <c r="N995" s="283" t="s">
        <v>252</v>
      </c>
      <c r="O995" s="283">
        <v>42</v>
      </c>
      <c r="P995" s="283">
        <v>2622</v>
      </c>
      <c r="Q995" s="235">
        <f>(O995+IF('Scenario Analysis'!$N$23=1,0,0.5))*P995</f>
        <v>111435</v>
      </c>
    </row>
    <row r="996" spans="3:17" x14ac:dyDescent="0.25">
      <c r="C996" s="191"/>
      <c r="K996" s="283" t="s">
        <v>1272</v>
      </c>
      <c r="L996" s="283" t="s">
        <v>658</v>
      </c>
      <c r="M996" s="283" t="s">
        <v>247</v>
      </c>
      <c r="N996" s="283" t="s">
        <v>252</v>
      </c>
      <c r="O996" s="283">
        <v>43</v>
      </c>
      <c r="P996" s="283">
        <v>5559</v>
      </c>
      <c r="Q996" s="235">
        <f>(O996+IF('Scenario Analysis'!$N$23=1,0,0.5))*P996</f>
        <v>241816.5</v>
      </c>
    </row>
    <row r="997" spans="3:17" x14ac:dyDescent="0.25">
      <c r="C997" s="191"/>
      <c r="K997" s="283" t="s">
        <v>1272</v>
      </c>
      <c r="L997" s="283" t="s">
        <v>658</v>
      </c>
      <c r="M997" s="283" t="s">
        <v>247</v>
      </c>
      <c r="N997" s="283" t="s">
        <v>252</v>
      </c>
      <c r="O997" s="283">
        <v>44</v>
      </c>
      <c r="P997" s="283">
        <v>4239</v>
      </c>
      <c r="Q997" s="235">
        <f>(O997+IF('Scenario Analysis'!$N$23=1,0,0.5))*P997</f>
        <v>188635.5</v>
      </c>
    </row>
    <row r="998" spans="3:17" x14ac:dyDescent="0.25">
      <c r="C998" s="191"/>
      <c r="K998" s="283" t="s">
        <v>1272</v>
      </c>
      <c r="L998" s="283" t="s">
        <v>658</v>
      </c>
      <c r="M998" s="283" t="s">
        <v>247</v>
      </c>
      <c r="N998" s="283" t="s">
        <v>252</v>
      </c>
      <c r="O998" s="283">
        <v>45</v>
      </c>
      <c r="P998" s="283">
        <v>6635</v>
      </c>
      <c r="Q998" s="235">
        <f>(O998+IF('Scenario Analysis'!$N$23=1,0,0.5))*P998</f>
        <v>301892.5</v>
      </c>
    </row>
    <row r="999" spans="3:17" x14ac:dyDescent="0.25">
      <c r="C999" s="191"/>
      <c r="K999" s="283" t="s">
        <v>1272</v>
      </c>
      <c r="L999" s="283" t="s">
        <v>658</v>
      </c>
      <c r="M999" s="283" t="s">
        <v>247</v>
      </c>
      <c r="N999" s="283" t="s">
        <v>252</v>
      </c>
      <c r="O999" s="283">
        <v>46</v>
      </c>
      <c r="P999" s="283">
        <v>1383</v>
      </c>
      <c r="Q999" s="235">
        <f>(O999+IF('Scenario Analysis'!$N$23=1,0,0.5))*P999</f>
        <v>64309.5</v>
      </c>
    </row>
    <row r="1000" spans="3:17" x14ac:dyDescent="0.25">
      <c r="C1000" s="191"/>
      <c r="K1000" s="283" t="s">
        <v>1272</v>
      </c>
      <c r="L1000" s="283" t="s">
        <v>658</v>
      </c>
      <c r="M1000" s="283" t="s">
        <v>247</v>
      </c>
      <c r="N1000" s="283" t="s">
        <v>252</v>
      </c>
      <c r="O1000" s="283">
        <v>47</v>
      </c>
      <c r="P1000" s="283">
        <v>12115</v>
      </c>
      <c r="Q1000" s="235">
        <f>(O1000+IF('Scenario Analysis'!$N$23=1,0,0.5))*P1000</f>
        <v>575462.5</v>
      </c>
    </row>
    <row r="1001" spans="3:17" x14ac:dyDescent="0.25">
      <c r="C1001" s="191"/>
      <c r="K1001" s="283" t="s">
        <v>1272</v>
      </c>
      <c r="L1001" s="283" t="s">
        <v>658</v>
      </c>
      <c r="M1001" s="283" t="s">
        <v>247</v>
      </c>
      <c r="N1001" s="283" t="s">
        <v>252</v>
      </c>
      <c r="O1001" s="283">
        <v>48</v>
      </c>
      <c r="P1001" s="283">
        <v>1617</v>
      </c>
      <c r="Q1001" s="235">
        <f>(O1001+IF('Scenario Analysis'!$N$23=1,0,0.5))*P1001</f>
        <v>78424.5</v>
      </c>
    </row>
    <row r="1002" spans="3:17" x14ac:dyDescent="0.25">
      <c r="C1002" s="191"/>
      <c r="K1002" s="283" t="s">
        <v>1272</v>
      </c>
      <c r="L1002" s="283" t="s">
        <v>658</v>
      </c>
      <c r="M1002" s="283" t="s">
        <v>247</v>
      </c>
      <c r="N1002" s="283" t="s">
        <v>252</v>
      </c>
      <c r="O1002" s="283">
        <v>49</v>
      </c>
      <c r="P1002" s="283">
        <v>7235</v>
      </c>
      <c r="Q1002" s="235">
        <f>(O1002+IF('Scenario Analysis'!$N$23=1,0,0.5))*P1002</f>
        <v>358132.5</v>
      </c>
    </row>
    <row r="1003" spans="3:17" x14ac:dyDescent="0.25">
      <c r="C1003" s="191"/>
      <c r="K1003" s="283" t="s">
        <v>1272</v>
      </c>
      <c r="L1003" s="283" t="s">
        <v>658</v>
      </c>
      <c r="M1003" s="283" t="s">
        <v>247</v>
      </c>
      <c r="N1003" s="283" t="s">
        <v>252</v>
      </c>
      <c r="O1003" s="283">
        <v>50</v>
      </c>
      <c r="P1003" s="283">
        <v>863</v>
      </c>
      <c r="Q1003" s="235">
        <f>(O1003+IF('Scenario Analysis'!$N$23=1,0,0.5))*P1003</f>
        <v>43581.5</v>
      </c>
    </row>
    <row r="1004" spans="3:17" x14ac:dyDescent="0.25">
      <c r="C1004" s="191"/>
      <c r="K1004" s="283" t="s">
        <v>1272</v>
      </c>
      <c r="L1004" s="283" t="s">
        <v>658</v>
      </c>
      <c r="M1004" s="283" t="s">
        <v>247</v>
      </c>
      <c r="N1004" s="283" t="s">
        <v>252</v>
      </c>
      <c r="O1004" s="283">
        <v>51</v>
      </c>
      <c r="P1004" s="283">
        <v>596</v>
      </c>
      <c r="Q1004" s="235">
        <f>(O1004+IF('Scenario Analysis'!$N$23=1,0,0.5))*P1004</f>
        <v>30694</v>
      </c>
    </row>
    <row r="1005" spans="3:17" x14ac:dyDescent="0.25">
      <c r="C1005" s="191"/>
      <c r="K1005" s="283" t="s">
        <v>1272</v>
      </c>
      <c r="L1005" s="283" t="s">
        <v>658</v>
      </c>
      <c r="M1005" s="283" t="s">
        <v>247</v>
      </c>
      <c r="N1005" s="283" t="s">
        <v>252</v>
      </c>
      <c r="O1005" s="283">
        <v>52</v>
      </c>
      <c r="P1005" s="283">
        <v>1770</v>
      </c>
      <c r="Q1005" s="235">
        <f>(O1005+IF('Scenario Analysis'!$N$23=1,0,0.5))*P1005</f>
        <v>92925</v>
      </c>
    </row>
    <row r="1006" spans="3:17" x14ac:dyDescent="0.25">
      <c r="C1006" s="191"/>
      <c r="K1006" s="283" t="s">
        <v>1272</v>
      </c>
      <c r="L1006" s="283" t="s">
        <v>658</v>
      </c>
      <c r="M1006" s="283" t="s">
        <v>247</v>
      </c>
      <c r="N1006" s="283" t="s">
        <v>252</v>
      </c>
      <c r="O1006" s="283">
        <v>53</v>
      </c>
      <c r="P1006" s="283">
        <v>1232</v>
      </c>
      <c r="Q1006" s="235">
        <f>(O1006+IF('Scenario Analysis'!$N$23=1,0,0.5))*P1006</f>
        <v>65912</v>
      </c>
    </row>
    <row r="1007" spans="3:17" x14ac:dyDescent="0.25">
      <c r="C1007" s="191"/>
      <c r="K1007" s="283" t="s">
        <v>1272</v>
      </c>
      <c r="L1007" s="283" t="s">
        <v>658</v>
      </c>
      <c r="M1007" s="283" t="s">
        <v>247</v>
      </c>
      <c r="N1007" s="283" t="s">
        <v>252</v>
      </c>
      <c r="O1007" s="283">
        <v>54</v>
      </c>
      <c r="P1007" s="283">
        <v>3700</v>
      </c>
      <c r="Q1007" s="235">
        <f>(O1007+IF('Scenario Analysis'!$N$23=1,0,0.5))*P1007</f>
        <v>201650</v>
      </c>
    </row>
    <row r="1008" spans="3:17" x14ac:dyDescent="0.25">
      <c r="C1008" s="191"/>
      <c r="K1008" s="283" t="s">
        <v>1272</v>
      </c>
      <c r="L1008" s="283" t="s">
        <v>658</v>
      </c>
      <c r="M1008" s="283" t="s">
        <v>247</v>
      </c>
      <c r="N1008" s="283" t="s">
        <v>252</v>
      </c>
      <c r="O1008" s="283">
        <v>55</v>
      </c>
      <c r="P1008" s="283">
        <v>15050</v>
      </c>
      <c r="Q1008" s="235">
        <f>(O1008+IF('Scenario Analysis'!$N$23=1,0,0.5))*P1008</f>
        <v>835275</v>
      </c>
    </row>
    <row r="1009" spans="3:17" x14ac:dyDescent="0.25">
      <c r="C1009" s="191"/>
      <c r="K1009" s="283" t="s">
        <v>1272</v>
      </c>
      <c r="L1009" s="283" t="s">
        <v>658</v>
      </c>
      <c r="M1009" s="283" t="s">
        <v>247</v>
      </c>
      <c r="N1009" s="283" t="s">
        <v>252</v>
      </c>
      <c r="O1009" s="283">
        <v>56</v>
      </c>
      <c r="P1009" s="283">
        <v>3910</v>
      </c>
      <c r="Q1009" s="235">
        <f>(O1009+IF('Scenario Analysis'!$N$23=1,0,0.5))*P1009</f>
        <v>220915</v>
      </c>
    </row>
    <row r="1010" spans="3:17" x14ac:dyDescent="0.25">
      <c r="C1010" s="191"/>
      <c r="K1010" s="283" t="s">
        <v>1272</v>
      </c>
      <c r="L1010" s="283" t="s">
        <v>658</v>
      </c>
      <c r="M1010" s="283" t="s">
        <v>247</v>
      </c>
      <c r="N1010" s="283" t="s">
        <v>252</v>
      </c>
      <c r="O1010" s="283">
        <v>57</v>
      </c>
      <c r="P1010" s="283">
        <v>7930</v>
      </c>
      <c r="Q1010" s="235">
        <f>(O1010+IF('Scenario Analysis'!$N$23=1,0,0.5))*P1010</f>
        <v>455975</v>
      </c>
    </row>
    <row r="1011" spans="3:17" x14ac:dyDescent="0.25">
      <c r="C1011" s="191"/>
      <c r="K1011" s="283" t="s">
        <v>1272</v>
      </c>
      <c r="L1011" s="283" t="s">
        <v>658</v>
      </c>
      <c r="M1011" s="283" t="s">
        <v>247</v>
      </c>
      <c r="N1011" s="283" t="s">
        <v>252</v>
      </c>
      <c r="O1011" s="283">
        <v>58</v>
      </c>
      <c r="P1011" s="283">
        <v>2715</v>
      </c>
      <c r="Q1011" s="235">
        <f>(O1011+IF('Scenario Analysis'!$N$23=1,0,0.5))*P1011</f>
        <v>158827.5</v>
      </c>
    </row>
    <row r="1012" spans="3:17" x14ac:dyDescent="0.25">
      <c r="C1012" s="191"/>
      <c r="K1012" s="283" t="s">
        <v>1272</v>
      </c>
      <c r="L1012" s="283" t="s">
        <v>658</v>
      </c>
      <c r="M1012" s="283" t="s">
        <v>247</v>
      </c>
      <c r="N1012" s="283" t="s">
        <v>252</v>
      </c>
      <c r="O1012" s="283">
        <v>59</v>
      </c>
      <c r="P1012" s="283">
        <v>1082</v>
      </c>
      <c r="Q1012" s="235">
        <f>(O1012+IF('Scenario Analysis'!$N$23=1,0,0.5))*P1012</f>
        <v>64379</v>
      </c>
    </row>
    <row r="1013" spans="3:17" x14ac:dyDescent="0.25">
      <c r="C1013" s="191"/>
      <c r="K1013" s="283" t="s">
        <v>1272</v>
      </c>
      <c r="L1013" s="283" t="s">
        <v>658</v>
      </c>
      <c r="M1013" s="283" t="s">
        <v>247</v>
      </c>
      <c r="N1013" s="283" t="s">
        <v>252</v>
      </c>
      <c r="O1013" s="283">
        <v>60</v>
      </c>
      <c r="P1013" s="283">
        <v>9129</v>
      </c>
      <c r="Q1013" s="235">
        <f>(O1013+IF('Scenario Analysis'!$N$23=1,0,0.5))*P1013</f>
        <v>552304.5</v>
      </c>
    </row>
    <row r="1014" spans="3:17" x14ac:dyDescent="0.25">
      <c r="C1014" s="191"/>
      <c r="K1014" s="283" t="s">
        <v>1272</v>
      </c>
      <c r="L1014" s="283" t="s">
        <v>658</v>
      </c>
      <c r="M1014" s="283" t="s">
        <v>247</v>
      </c>
      <c r="N1014" s="283" t="s">
        <v>252</v>
      </c>
      <c r="O1014" s="283">
        <v>61</v>
      </c>
      <c r="P1014" s="283">
        <v>1388</v>
      </c>
      <c r="Q1014" s="235">
        <f>(O1014+IF('Scenario Analysis'!$N$23=1,0,0.5))*P1014</f>
        <v>85362</v>
      </c>
    </row>
    <row r="1015" spans="3:17" x14ac:dyDescent="0.25">
      <c r="C1015" s="191"/>
      <c r="K1015" s="283" t="s">
        <v>1272</v>
      </c>
      <c r="L1015" s="283" t="s">
        <v>658</v>
      </c>
      <c r="M1015" s="283" t="s">
        <v>247</v>
      </c>
      <c r="N1015" s="283" t="s">
        <v>252</v>
      </c>
      <c r="O1015" s="283">
        <v>62</v>
      </c>
      <c r="P1015" s="283">
        <v>2076</v>
      </c>
      <c r="Q1015" s="235">
        <f>(O1015+IF('Scenario Analysis'!$N$23=1,0,0.5))*P1015</f>
        <v>129750</v>
      </c>
    </row>
    <row r="1016" spans="3:17" x14ac:dyDescent="0.25">
      <c r="C1016" s="191"/>
      <c r="K1016" s="283" t="s">
        <v>1272</v>
      </c>
      <c r="L1016" s="283" t="s">
        <v>658</v>
      </c>
      <c r="M1016" s="283" t="s">
        <v>247</v>
      </c>
      <c r="N1016" s="283" t="s">
        <v>252</v>
      </c>
      <c r="O1016" s="283">
        <v>63</v>
      </c>
      <c r="P1016" s="283">
        <v>860</v>
      </c>
      <c r="Q1016" s="235">
        <f>(O1016+IF('Scenario Analysis'!$N$23=1,0,0.5))*P1016</f>
        <v>54610</v>
      </c>
    </row>
    <row r="1017" spans="3:17" x14ac:dyDescent="0.25">
      <c r="C1017" s="191"/>
      <c r="K1017" s="283" t="s">
        <v>1272</v>
      </c>
      <c r="L1017" s="283" t="s">
        <v>658</v>
      </c>
      <c r="M1017" s="283" t="s">
        <v>247</v>
      </c>
      <c r="N1017" s="283" t="s">
        <v>252</v>
      </c>
      <c r="O1017" s="283">
        <v>64</v>
      </c>
      <c r="P1017" s="283">
        <v>4584</v>
      </c>
      <c r="Q1017" s="235">
        <f>(O1017+IF('Scenario Analysis'!$N$23=1,0,0.5))*P1017</f>
        <v>295668</v>
      </c>
    </row>
    <row r="1018" spans="3:17" x14ac:dyDescent="0.25">
      <c r="C1018" s="191"/>
      <c r="K1018" s="283" t="s">
        <v>1272</v>
      </c>
      <c r="L1018" s="283" t="s">
        <v>658</v>
      </c>
      <c r="M1018" s="283" t="s">
        <v>247</v>
      </c>
      <c r="N1018" s="283" t="s">
        <v>252</v>
      </c>
      <c r="O1018" s="283">
        <v>65</v>
      </c>
      <c r="P1018" s="283">
        <v>17870</v>
      </c>
      <c r="Q1018" s="235">
        <f>(O1018+IF('Scenario Analysis'!$N$23=1,0,0.5))*P1018</f>
        <v>1170485</v>
      </c>
    </row>
    <row r="1019" spans="3:17" x14ac:dyDescent="0.25">
      <c r="C1019" s="191"/>
      <c r="K1019" s="283" t="s">
        <v>1272</v>
      </c>
      <c r="L1019" s="283" t="s">
        <v>658</v>
      </c>
      <c r="M1019" s="283" t="s">
        <v>247</v>
      </c>
      <c r="N1019" s="283" t="s">
        <v>252</v>
      </c>
      <c r="O1019" s="283">
        <v>66</v>
      </c>
      <c r="P1019" s="283">
        <v>2217</v>
      </c>
      <c r="Q1019" s="235">
        <f>(O1019+IF('Scenario Analysis'!$N$23=1,0,0.5))*P1019</f>
        <v>147430.5</v>
      </c>
    </row>
    <row r="1020" spans="3:17" x14ac:dyDescent="0.25">
      <c r="C1020" s="191"/>
      <c r="K1020" s="283" t="s">
        <v>1272</v>
      </c>
      <c r="L1020" s="283" t="s">
        <v>658</v>
      </c>
      <c r="M1020" s="283" t="s">
        <v>247</v>
      </c>
      <c r="N1020" s="283" t="s">
        <v>252</v>
      </c>
      <c r="O1020" s="283">
        <v>67</v>
      </c>
      <c r="P1020" s="283">
        <v>7982</v>
      </c>
      <c r="Q1020" s="235">
        <f>(O1020+IF('Scenario Analysis'!$N$23=1,0,0.5))*P1020</f>
        <v>538785</v>
      </c>
    </row>
    <row r="1021" spans="3:17" x14ac:dyDescent="0.25">
      <c r="C1021" s="191"/>
      <c r="K1021" s="283" t="s">
        <v>1272</v>
      </c>
      <c r="L1021" s="283" t="s">
        <v>658</v>
      </c>
      <c r="M1021" s="283" t="s">
        <v>247</v>
      </c>
      <c r="N1021" s="283" t="s">
        <v>252</v>
      </c>
      <c r="O1021" s="283">
        <v>68</v>
      </c>
      <c r="P1021" s="283">
        <v>4204</v>
      </c>
      <c r="Q1021" s="235">
        <f>(O1021+IF('Scenario Analysis'!$N$23=1,0,0.5))*P1021</f>
        <v>287974</v>
      </c>
    </row>
    <row r="1022" spans="3:17" x14ac:dyDescent="0.25">
      <c r="C1022" s="191"/>
      <c r="K1022" s="283" t="s">
        <v>1272</v>
      </c>
      <c r="L1022" s="283" t="s">
        <v>658</v>
      </c>
      <c r="M1022" s="283" t="s">
        <v>247</v>
      </c>
      <c r="N1022" s="283" t="s">
        <v>252</v>
      </c>
      <c r="O1022" s="283">
        <v>69</v>
      </c>
      <c r="P1022" s="283">
        <v>13571</v>
      </c>
      <c r="Q1022" s="235">
        <f>(O1022+IF('Scenario Analysis'!$N$23=1,0,0.5))*P1022</f>
        <v>943184.5</v>
      </c>
    </row>
    <row r="1023" spans="3:17" x14ac:dyDescent="0.25">
      <c r="C1023" s="191"/>
      <c r="K1023" s="283" t="s">
        <v>1272</v>
      </c>
      <c r="L1023" s="283" t="s">
        <v>658</v>
      </c>
      <c r="M1023" s="283" t="s">
        <v>247</v>
      </c>
      <c r="N1023" s="283" t="s">
        <v>252</v>
      </c>
      <c r="O1023" s="283">
        <v>70</v>
      </c>
      <c r="P1023" s="283">
        <v>5390</v>
      </c>
      <c r="Q1023" s="235">
        <f>(O1023+IF('Scenario Analysis'!$N$23=1,0,0.5))*P1023</f>
        <v>379995</v>
      </c>
    </row>
    <row r="1024" spans="3:17" x14ac:dyDescent="0.25">
      <c r="C1024" s="191"/>
      <c r="K1024" s="283" t="s">
        <v>1272</v>
      </c>
      <c r="L1024" s="283" t="s">
        <v>658</v>
      </c>
      <c r="M1024" s="283" t="s">
        <v>247</v>
      </c>
      <c r="N1024" s="283" t="s">
        <v>252</v>
      </c>
      <c r="O1024" s="283">
        <v>71</v>
      </c>
      <c r="P1024" s="283">
        <v>2022</v>
      </c>
      <c r="Q1024" s="235">
        <f>(O1024+IF('Scenario Analysis'!$N$23=1,0,0.5))*P1024</f>
        <v>144573</v>
      </c>
    </row>
    <row r="1025" spans="3:17" x14ac:dyDescent="0.25">
      <c r="C1025" s="191"/>
      <c r="K1025" s="283" t="s">
        <v>1272</v>
      </c>
      <c r="L1025" s="283" t="s">
        <v>658</v>
      </c>
      <c r="M1025" s="283" t="s">
        <v>247</v>
      </c>
      <c r="N1025" s="283" t="s">
        <v>252</v>
      </c>
      <c r="O1025" s="283">
        <v>72</v>
      </c>
      <c r="P1025" s="283">
        <v>2535</v>
      </c>
      <c r="Q1025" s="235">
        <f>(O1025+IF('Scenario Analysis'!$N$23=1,0,0.5))*P1025</f>
        <v>183787.5</v>
      </c>
    </row>
    <row r="1026" spans="3:17" x14ac:dyDescent="0.25">
      <c r="C1026" s="191"/>
      <c r="K1026" s="283" t="s">
        <v>1272</v>
      </c>
      <c r="L1026" s="283" t="s">
        <v>658</v>
      </c>
      <c r="M1026" s="283" t="s">
        <v>247</v>
      </c>
      <c r="N1026" s="283" t="s">
        <v>252</v>
      </c>
      <c r="O1026" s="283">
        <v>73</v>
      </c>
      <c r="P1026" s="283">
        <v>30482</v>
      </c>
      <c r="Q1026" s="235">
        <f>(O1026+IF('Scenario Analysis'!$N$23=1,0,0.5))*P1026</f>
        <v>2240427</v>
      </c>
    </row>
    <row r="1027" spans="3:17" x14ac:dyDescent="0.25">
      <c r="C1027" s="191"/>
      <c r="K1027" s="283" t="s">
        <v>1272</v>
      </c>
      <c r="L1027" s="283" t="s">
        <v>658</v>
      </c>
      <c r="M1027" s="283" t="s">
        <v>247</v>
      </c>
      <c r="N1027" s="283" t="s">
        <v>252</v>
      </c>
      <c r="O1027" s="283">
        <v>74</v>
      </c>
      <c r="P1027" s="283">
        <v>1411</v>
      </c>
      <c r="Q1027" s="235">
        <f>(O1027+IF('Scenario Analysis'!$N$23=1,0,0.5))*P1027</f>
        <v>105119.5</v>
      </c>
    </row>
    <row r="1028" spans="3:17" x14ac:dyDescent="0.25">
      <c r="C1028" s="191"/>
      <c r="K1028" s="283" t="s">
        <v>1272</v>
      </c>
      <c r="L1028" s="283" t="s">
        <v>658</v>
      </c>
      <c r="M1028" s="283" t="s">
        <v>247</v>
      </c>
      <c r="N1028" s="283" t="s">
        <v>252</v>
      </c>
      <c r="O1028" s="283">
        <v>75</v>
      </c>
      <c r="P1028" s="283">
        <v>12540</v>
      </c>
      <c r="Q1028" s="235">
        <f>(O1028+IF('Scenario Analysis'!$N$23=1,0,0.5))*P1028</f>
        <v>946770</v>
      </c>
    </row>
    <row r="1029" spans="3:17" x14ac:dyDescent="0.25">
      <c r="C1029" s="191"/>
      <c r="K1029" s="283" t="s">
        <v>1272</v>
      </c>
      <c r="L1029" s="283" t="s">
        <v>658</v>
      </c>
      <c r="M1029" s="283" t="s">
        <v>247</v>
      </c>
      <c r="N1029" s="283" t="s">
        <v>252</v>
      </c>
      <c r="O1029" s="283">
        <v>76</v>
      </c>
      <c r="P1029" s="283">
        <v>1707</v>
      </c>
      <c r="Q1029" s="235">
        <f>(O1029+IF('Scenario Analysis'!$N$23=1,0,0.5))*P1029</f>
        <v>130585.5</v>
      </c>
    </row>
    <row r="1030" spans="3:17" x14ac:dyDescent="0.25">
      <c r="C1030" s="191"/>
      <c r="K1030" s="283" t="s">
        <v>1272</v>
      </c>
      <c r="L1030" s="283" t="s">
        <v>658</v>
      </c>
      <c r="M1030" s="283" t="s">
        <v>247</v>
      </c>
      <c r="N1030" s="283" t="s">
        <v>252</v>
      </c>
      <c r="O1030" s="283">
        <v>77</v>
      </c>
      <c r="P1030" s="283">
        <v>3697</v>
      </c>
      <c r="Q1030" s="235">
        <f>(O1030+IF('Scenario Analysis'!$N$23=1,0,0.5))*P1030</f>
        <v>286517.5</v>
      </c>
    </row>
    <row r="1031" spans="3:17" x14ac:dyDescent="0.25">
      <c r="C1031" s="191"/>
      <c r="K1031" s="283" t="s">
        <v>1272</v>
      </c>
      <c r="L1031" s="283" t="s">
        <v>658</v>
      </c>
      <c r="M1031" s="283" t="s">
        <v>247</v>
      </c>
      <c r="N1031" s="283" t="s">
        <v>252</v>
      </c>
      <c r="O1031" s="283">
        <v>78</v>
      </c>
      <c r="P1031" s="283">
        <v>1574</v>
      </c>
      <c r="Q1031" s="235">
        <f>(O1031+IF('Scenario Analysis'!$N$23=1,0,0.5))*P1031</f>
        <v>123559</v>
      </c>
    </row>
    <row r="1032" spans="3:17" x14ac:dyDescent="0.25">
      <c r="C1032" s="191"/>
      <c r="K1032" s="283" t="s">
        <v>1272</v>
      </c>
      <c r="L1032" s="283" t="s">
        <v>658</v>
      </c>
      <c r="M1032" s="283" t="s">
        <v>247</v>
      </c>
      <c r="N1032" s="283" t="s">
        <v>252</v>
      </c>
      <c r="O1032" s="283">
        <v>79</v>
      </c>
      <c r="P1032" s="283">
        <v>6040</v>
      </c>
      <c r="Q1032" s="235">
        <f>(O1032+IF('Scenario Analysis'!$N$23=1,0,0.5))*P1032</f>
        <v>480180</v>
      </c>
    </row>
    <row r="1033" spans="3:17" x14ac:dyDescent="0.25">
      <c r="C1033" s="191"/>
      <c r="K1033" s="283" t="s">
        <v>1272</v>
      </c>
      <c r="L1033" s="283" t="s">
        <v>658</v>
      </c>
      <c r="M1033" s="283" t="s">
        <v>247</v>
      </c>
      <c r="N1033" s="283" t="s">
        <v>252</v>
      </c>
      <c r="O1033" s="283">
        <v>80</v>
      </c>
      <c r="P1033" s="283">
        <v>4642</v>
      </c>
      <c r="Q1033" s="235">
        <f>(O1033+IF('Scenario Analysis'!$N$23=1,0,0.5))*P1033</f>
        <v>373681</v>
      </c>
    </row>
    <row r="1034" spans="3:17" x14ac:dyDescent="0.25">
      <c r="C1034" s="191"/>
      <c r="K1034" s="283" t="s">
        <v>1272</v>
      </c>
      <c r="L1034" s="283" t="s">
        <v>658</v>
      </c>
      <c r="M1034" s="283" t="s">
        <v>247</v>
      </c>
      <c r="N1034" s="283" t="s">
        <v>252</v>
      </c>
      <c r="O1034" s="283">
        <v>81</v>
      </c>
      <c r="P1034" s="283">
        <v>12303</v>
      </c>
      <c r="Q1034" s="235">
        <f>(O1034+IF('Scenario Analysis'!$N$23=1,0,0.5))*P1034</f>
        <v>1002694.5</v>
      </c>
    </row>
    <row r="1035" spans="3:17" x14ac:dyDescent="0.25">
      <c r="C1035" s="191"/>
      <c r="K1035" s="283" t="s">
        <v>1272</v>
      </c>
      <c r="L1035" s="283" t="s">
        <v>658</v>
      </c>
      <c r="M1035" s="283" t="s">
        <v>247</v>
      </c>
      <c r="N1035" s="283" t="s">
        <v>252</v>
      </c>
      <c r="O1035" s="283">
        <v>82</v>
      </c>
      <c r="P1035" s="283">
        <v>10136</v>
      </c>
      <c r="Q1035" s="235">
        <f>(O1035+IF('Scenario Analysis'!$N$23=1,0,0.5))*P1035</f>
        <v>836220</v>
      </c>
    </row>
    <row r="1036" spans="3:17" x14ac:dyDescent="0.25">
      <c r="C1036" s="191"/>
      <c r="K1036" s="283" t="s">
        <v>1272</v>
      </c>
      <c r="L1036" s="283" t="s">
        <v>658</v>
      </c>
      <c r="M1036" s="283" t="s">
        <v>247</v>
      </c>
      <c r="N1036" s="283" t="s">
        <v>252</v>
      </c>
      <c r="O1036" s="283">
        <v>83</v>
      </c>
      <c r="P1036" s="283">
        <v>1156</v>
      </c>
      <c r="Q1036" s="235">
        <f>(O1036+IF('Scenario Analysis'!$N$23=1,0,0.5))*P1036</f>
        <v>96526</v>
      </c>
    </row>
    <row r="1037" spans="3:17" x14ac:dyDescent="0.25">
      <c r="C1037" s="191"/>
      <c r="K1037" s="283" t="s">
        <v>1272</v>
      </c>
      <c r="L1037" s="283" t="s">
        <v>658</v>
      </c>
      <c r="M1037" s="283" t="s">
        <v>247</v>
      </c>
      <c r="N1037" s="283" t="s">
        <v>252</v>
      </c>
      <c r="O1037" s="283">
        <v>84</v>
      </c>
      <c r="P1037" s="283">
        <v>7239</v>
      </c>
      <c r="Q1037" s="235">
        <f>(O1037+IF('Scenario Analysis'!$N$23=1,0,0.5))*P1037</f>
        <v>611695.5</v>
      </c>
    </row>
    <row r="1038" spans="3:17" x14ac:dyDescent="0.25">
      <c r="C1038" s="191"/>
      <c r="K1038" s="283" t="s">
        <v>1272</v>
      </c>
      <c r="L1038" s="283" t="s">
        <v>658</v>
      </c>
      <c r="M1038" s="283" t="s">
        <v>247</v>
      </c>
      <c r="N1038" s="283" t="s">
        <v>252</v>
      </c>
      <c r="O1038" s="283">
        <v>85</v>
      </c>
      <c r="P1038" s="283">
        <v>1591</v>
      </c>
      <c r="Q1038" s="235">
        <f>(O1038+IF('Scenario Analysis'!$N$23=1,0,0.5))*P1038</f>
        <v>136030.5</v>
      </c>
    </row>
    <row r="1039" spans="3:17" x14ac:dyDescent="0.25">
      <c r="C1039" s="191"/>
      <c r="K1039" s="283" t="s">
        <v>1272</v>
      </c>
      <c r="L1039" s="283" t="s">
        <v>658</v>
      </c>
      <c r="M1039" s="283" t="s">
        <v>247</v>
      </c>
      <c r="N1039" s="283" t="s">
        <v>252</v>
      </c>
      <c r="O1039" s="283">
        <v>86</v>
      </c>
      <c r="P1039" s="283">
        <v>14425</v>
      </c>
      <c r="Q1039" s="235">
        <f>(O1039+IF('Scenario Analysis'!$N$23=1,0,0.5))*P1039</f>
        <v>1247762.5</v>
      </c>
    </row>
    <row r="1040" spans="3:17" x14ac:dyDescent="0.25">
      <c r="C1040" s="191"/>
      <c r="K1040" s="283" t="s">
        <v>1272</v>
      </c>
      <c r="L1040" s="283" t="s">
        <v>658</v>
      </c>
      <c r="M1040" s="283" t="s">
        <v>247</v>
      </c>
      <c r="N1040" s="283" t="s">
        <v>252</v>
      </c>
      <c r="O1040" s="283">
        <v>87</v>
      </c>
      <c r="P1040" s="283">
        <v>2543</v>
      </c>
      <c r="Q1040" s="235">
        <f>(O1040+IF('Scenario Analysis'!$N$23=1,0,0.5))*P1040</f>
        <v>222512.5</v>
      </c>
    </row>
    <row r="1041" spans="3:17" x14ac:dyDescent="0.25">
      <c r="C1041" s="191"/>
      <c r="K1041" s="283" t="s">
        <v>1272</v>
      </c>
      <c r="L1041" s="283" t="s">
        <v>658</v>
      </c>
      <c r="M1041" s="283" t="s">
        <v>247</v>
      </c>
      <c r="N1041" s="283" t="s">
        <v>252</v>
      </c>
      <c r="O1041" s="283">
        <v>88</v>
      </c>
      <c r="P1041" s="283">
        <v>2169</v>
      </c>
      <c r="Q1041" s="235">
        <f>(O1041+IF('Scenario Analysis'!$N$23=1,0,0.5))*P1041</f>
        <v>191956.5</v>
      </c>
    </row>
    <row r="1042" spans="3:17" x14ac:dyDescent="0.25">
      <c r="C1042" s="191"/>
      <c r="K1042" s="283" t="s">
        <v>1272</v>
      </c>
      <c r="L1042" s="283" t="s">
        <v>658</v>
      </c>
      <c r="M1042" s="283" t="s">
        <v>247</v>
      </c>
      <c r="N1042" s="283" t="s">
        <v>252</v>
      </c>
      <c r="O1042" s="283">
        <v>89</v>
      </c>
      <c r="P1042" s="283">
        <v>6841</v>
      </c>
      <c r="Q1042" s="235">
        <f>(O1042+IF('Scenario Analysis'!$N$23=1,0,0.5))*P1042</f>
        <v>612269.5</v>
      </c>
    </row>
    <row r="1043" spans="3:17" x14ac:dyDescent="0.25">
      <c r="C1043" s="191"/>
      <c r="K1043" s="283" t="s">
        <v>1272</v>
      </c>
      <c r="L1043" s="283" t="s">
        <v>658</v>
      </c>
      <c r="M1043" s="283" t="s">
        <v>247</v>
      </c>
      <c r="N1043" s="283" t="s">
        <v>252</v>
      </c>
      <c r="O1043" s="283">
        <v>90</v>
      </c>
      <c r="P1043" s="283">
        <v>1887</v>
      </c>
      <c r="Q1043" s="235">
        <f>(O1043+IF('Scenario Analysis'!$N$23=1,0,0.5))*P1043</f>
        <v>170773.5</v>
      </c>
    </row>
    <row r="1044" spans="3:17" x14ac:dyDescent="0.25">
      <c r="C1044" s="191"/>
      <c r="K1044" s="283" t="s">
        <v>1272</v>
      </c>
      <c r="L1044" s="283" t="s">
        <v>658</v>
      </c>
      <c r="M1044" s="283" t="s">
        <v>247</v>
      </c>
      <c r="N1044" s="283" t="s">
        <v>252</v>
      </c>
      <c r="O1044" s="283">
        <v>91</v>
      </c>
      <c r="P1044" s="283">
        <v>11784</v>
      </c>
      <c r="Q1044" s="235">
        <f>(O1044+IF('Scenario Analysis'!$N$23=1,0,0.5))*P1044</f>
        <v>1078236</v>
      </c>
    </row>
    <row r="1045" spans="3:17" x14ac:dyDescent="0.25">
      <c r="C1045" s="191"/>
      <c r="K1045" s="283" t="s">
        <v>1272</v>
      </c>
      <c r="L1045" s="283" t="s">
        <v>658</v>
      </c>
      <c r="M1045" s="283" t="s">
        <v>247</v>
      </c>
      <c r="N1045" s="283" t="s">
        <v>252</v>
      </c>
      <c r="O1045" s="283">
        <v>92</v>
      </c>
      <c r="P1045" s="283">
        <v>418</v>
      </c>
      <c r="Q1045" s="235">
        <f>(O1045+IF('Scenario Analysis'!$N$23=1,0,0.5))*P1045</f>
        <v>38665</v>
      </c>
    </row>
    <row r="1046" spans="3:17" x14ac:dyDescent="0.25">
      <c r="C1046" s="191"/>
      <c r="K1046" s="283" t="s">
        <v>1272</v>
      </c>
      <c r="L1046" s="283" t="s">
        <v>658</v>
      </c>
      <c r="M1046" s="283" t="s">
        <v>247</v>
      </c>
      <c r="N1046" s="283" t="s">
        <v>252</v>
      </c>
      <c r="O1046" s="283">
        <v>93</v>
      </c>
      <c r="P1046" s="283">
        <v>10667</v>
      </c>
      <c r="Q1046" s="235">
        <f>(O1046+IF('Scenario Analysis'!$N$23=1,0,0.5))*P1046</f>
        <v>997364.5</v>
      </c>
    </row>
    <row r="1047" spans="3:17" x14ac:dyDescent="0.25">
      <c r="C1047" s="191"/>
      <c r="K1047" s="283" t="s">
        <v>1272</v>
      </c>
      <c r="L1047" s="283" t="s">
        <v>658</v>
      </c>
      <c r="M1047" s="283" t="s">
        <v>247</v>
      </c>
      <c r="N1047" s="283" t="s">
        <v>252</v>
      </c>
      <c r="O1047" s="283">
        <v>94</v>
      </c>
      <c r="P1047" s="283">
        <v>1677</v>
      </c>
      <c r="Q1047" s="235">
        <f>(O1047+IF('Scenario Analysis'!$N$23=1,0,0.5))*P1047</f>
        <v>158476.5</v>
      </c>
    </row>
    <row r="1048" spans="3:17" x14ac:dyDescent="0.25">
      <c r="C1048" s="191"/>
      <c r="K1048" s="283" t="s">
        <v>1272</v>
      </c>
      <c r="L1048" s="283" t="s">
        <v>658</v>
      </c>
      <c r="M1048" s="283" t="s">
        <v>247</v>
      </c>
      <c r="N1048" s="283" t="s">
        <v>252</v>
      </c>
      <c r="O1048" s="283">
        <v>95</v>
      </c>
      <c r="P1048" s="283">
        <v>3430</v>
      </c>
      <c r="Q1048" s="235">
        <f>(O1048+IF('Scenario Analysis'!$N$23=1,0,0.5))*P1048</f>
        <v>327565</v>
      </c>
    </row>
    <row r="1049" spans="3:17" x14ac:dyDescent="0.25">
      <c r="C1049" s="191"/>
      <c r="K1049" s="283" t="s">
        <v>1272</v>
      </c>
      <c r="L1049" s="283" t="s">
        <v>658</v>
      </c>
      <c r="M1049" s="283" t="s">
        <v>247</v>
      </c>
      <c r="N1049" s="283" t="s">
        <v>252</v>
      </c>
      <c r="O1049" s="283">
        <v>96</v>
      </c>
      <c r="P1049" s="283">
        <v>570</v>
      </c>
      <c r="Q1049" s="235">
        <f>(O1049+IF('Scenario Analysis'!$N$23=1,0,0.5))*P1049</f>
        <v>55005</v>
      </c>
    </row>
    <row r="1050" spans="3:17" x14ac:dyDescent="0.25">
      <c r="C1050" s="191"/>
      <c r="K1050" s="283" t="s">
        <v>1272</v>
      </c>
      <c r="L1050" s="283" t="s">
        <v>658</v>
      </c>
      <c r="M1050" s="283" t="s">
        <v>247</v>
      </c>
      <c r="N1050" s="283" t="s">
        <v>252</v>
      </c>
      <c r="O1050" s="283">
        <v>97</v>
      </c>
      <c r="P1050" s="283">
        <v>1140</v>
      </c>
      <c r="Q1050" s="235">
        <f>(O1050+IF('Scenario Analysis'!$N$23=1,0,0.5))*P1050</f>
        <v>111150</v>
      </c>
    </row>
    <row r="1051" spans="3:17" x14ac:dyDescent="0.25">
      <c r="C1051" s="191"/>
      <c r="K1051" s="283" t="s">
        <v>1272</v>
      </c>
      <c r="L1051" s="283" t="s">
        <v>658</v>
      </c>
      <c r="M1051" s="283" t="s">
        <v>247</v>
      </c>
      <c r="N1051" s="283" t="s">
        <v>252</v>
      </c>
      <c r="O1051" s="283">
        <v>98</v>
      </c>
      <c r="P1051" s="283">
        <v>7242</v>
      </c>
      <c r="Q1051" s="235">
        <f>(O1051+IF('Scenario Analysis'!$N$23=1,0,0.5))*P1051</f>
        <v>713337</v>
      </c>
    </row>
    <row r="1052" spans="3:17" x14ac:dyDescent="0.25">
      <c r="C1052" s="191"/>
      <c r="K1052" s="283" t="s">
        <v>1272</v>
      </c>
      <c r="L1052" s="283" t="s">
        <v>658</v>
      </c>
      <c r="M1052" s="283" t="s">
        <v>247</v>
      </c>
      <c r="N1052" s="283" t="s">
        <v>252</v>
      </c>
      <c r="O1052" s="283">
        <v>99</v>
      </c>
      <c r="P1052" s="283">
        <v>54</v>
      </c>
      <c r="Q1052" s="235">
        <f>(O1052+IF('Scenario Analysis'!$N$23=1,0,0.5))*P1052</f>
        <v>5373</v>
      </c>
    </row>
    <row r="1053" spans="3:17" x14ac:dyDescent="0.25">
      <c r="C1053" s="191"/>
      <c r="K1053" s="283" t="s">
        <v>1272</v>
      </c>
      <c r="L1053" s="283" t="s">
        <v>658</v>
      </c>
      <c r="M1053" s="283" t="s">
        <v>247</v>
      </c>
      <c r="N1053" s="283" t="s">
        <v>252</v>
      </c>
      <c r="O1053" s="283">
        <v>100</v>
      </c>
      <c r="P1053" s="283">
        <v>1589</v>
      </c>
      <c r="Q1053" s="235">
        <f>(O1053+IF('Scenario Analysis'!$N$23=1,0,0.5))*P1053</f>
        <v>159694.5</v>
      </c>
    </row>
    <row r="1054" spans="3:17" x14ac:dyDescent="0.25">
      <c r="C1054" s="191"/>
      <c r="K1054" s="283" t="s">
        <v>1272</v>
      </c>
      <c r="L1054" s="283" t="s">
        <v>658</v>
      </c>
      <c r="M1054" s="283" t="s">
        <v>247</v>
      </c>
      <c r="N1054" s="283" t="s">
        <v>252</v>
      </c>
      <c r="O1054" s="283">
        <v>101</v>
      </c>
      <c r="P1054" s="283">
        <v>196</v>
      </c>
      <c r="Q1054" s="235">
        <f>(O1054+IF('Scenario Analysis'!$N$23=1,0,0.5))*P1054</f>
        <v>19894</v>
      </c>
    </row>
    <row r="1055" spans="3:17" x14ac:dyDescent="0.25">
      <c r="C1055" s="191"/>
      <c r="K1055" s="283" t="s">
        <v>1272</v>
      </c>
      <c r="L1055" s="283" t="s">
        <v>658</v>
      </c>
      <c r="M1055" s="283" t="s">
        <v>247</v>
      </c>
      <c r="N1055" s="283" t="s">
        <v>252</v>
      </c>
      <c r="O1055" s="283">
        <v>102</v>
      </c>
      <c r="P1055" s="283">
        <v>2620</v>
      </c>
      <c r="Q1055" s="235">
        <f>(O1055+IF('Scenario Analysis'!$N$23=1,0,0.5))*P1055</f>
        <v>268550</v>
      </c>
    </row>
    <row r="1056" spans="3:17" x14ac:dyDescent="0.25">
      <c r="C1056" s="191"/>
      <c r="K1056" s="283" t="s">
        <v>1272</v>
      </c>
      <c r="L1056" s="283" t="s">
        <v>658</v>
      </c>
      <c r="M1056" s="283" t="s">
        <v>247</v>
      </c>
      <c r="N1056" s="283" t="s">
        <v>252</v>
      </c>
      <c r="O1056" s="283">
        <v>103</v>
      </c>
      <c r="P1056" s="283">
        <v>2772</v>
      </c>
      <c r="Q1056" s="235">
        <f>(O1056+IF('Scenario Analysis'!$N$23=1,0,0.5))*P1056</f>
        <v>286902</v>
      </c>
    </row>
    <row r="1057" spans="3:17" x14ac:dyDescent="0.25">
      <c r="C1057" s="191"/>
      <c r="K1057" s="283" t="s">
        <v>1272</v>
      </c>
      <c r="L1057" s="283" t="s">
        <v>658</v>
      </c>
      <c r="M1057" s="283" t="s">
        <v>247</v>
      </c>
      <c r="N1057" s="283" t="s">
        <v>252</v>
      </c>
      <c r="O1057" s="283">
        <v>104</v>
      </c>
      <c r="P1057" s="283">
        <v>1132</v>
      </c>
      <c r="Q1057" s="235">
        <f>(O1057+IF('Scenario Analysis'!$N$23=1,0,0.5))*P1057</f>
        <v>118294</v>
      </c>
    </row>
    <row r="1058" spans="3:17" x14ac:dyDescent="0.25">
      <c r="C1058" s="191"/>
      <c r="K1058" s="283" t="s">
        <v>1272</v>
      </c>
      <c r="L1058" s="283" t="s">
        <v>658</v>
      </c>
      <c r="M1058" s="283" t="s">
        <v>247</v>
      </c>
      <c r="N1058" s="283" t="s">
        <v>252</v>
      </c>
      <c r="O1058" s="283">
        <v>105</v>
      </c>
      <c r="P1058" s="283">
        <v>1738</v>
      </c>
      <c r="Q1058" s="235">
        <f>(O1058+IF('Scenario Analysis'!$N$23=1,0,0.5))*P1058</f>
        <v>183359</v>
      </c>
    </row>
    <row r="1059" spans="3:17" x14ac:dyDescent="0.25">
      <c r="C1059" s="191"/>
      <c r="K1059" s="283" t="s">
        <v>1272</v>
      </c>
      <c r="L1059" s="283" t="s">
        <v>658</v>
      </c>
      <c r="M1059" s="283" t="s">
        <v>247</v>
      </c>
      <c r="N1059" s="283" t="s">
        <v>252</v>
      </c>
      <c r="O1059" s="283">
        <v>106</v>
      </c>
      <c r="P1059" s="283">
        <v>1060</v>
      </c>
      <c r="Q1059" s="235">
        <f>(O1059+IF('Scenario Analysis'!$N$23=1,0,0.5))*P1059</f>
        <v>112890</v>
      </c>
    </row>
    <row r="1060" spans="3:17" x14ac:dyDescent="0.25">
      <c r="C1060" s="191"/>
      <c r="K1060" s="283" t="s">
        <v>1272</v>
      </c>
      <c r="L1060" s="283" t="s">
        <v>658</v>
      </c>
      <c r="M1060" s="283" t="s">
        <v>247</v>
      </c>
      <c r="N1060" s="283" t="s">
        <v>252</v>
      </c>
      <c r="O1060" s="283">
        <v>107</v>
      </c>
      <c r="P1060" s="283">
        <v>4722</v>
      </c>
      <c r="Q1060" s="235">
        <f>(O1060+IF('Scenario Analysis'!$N$23=1,0,0.5))*P1060</f>
        <v>507615</v>
      </c>
    </row>
    <row r="1061" spans="3:17" x14ac:dyDescent="0.25">
      <c r="C1061" s="191"/>
      <c r="K1061" s="283" t="s">
        <v>1272</v>
      </c>
      <c r="L1061" s="283" t="s">
        <v>658</v>
      </c>
      <c r="M1061" s="283" t="s">
        <v>247</v>
      </c>
      <c r="N1061" s="283" t="s">
        <v>252</v>
      </c>
      <c r="O1061" s="283">
        <v>108</v>
      </c>
      <c r="P1061" s="283">
        <v>3098</v>
      </c>
      <c r="Q1061" s="235">
        <f>(O1061+IF('Scenario Analysis'!$N$23=1,0,0.5))*P1061</f>
        <v>336133</v>
      </c>
    </row>
    <row r="1062" spans="3:17" x14ac:dyDescent="0.25">
      <c r="C1062" s="191"/>
      <c r="K1062" s="283" t="s">
        <v>1272</v>
      </c>
      <c r="L1062" s="283" t="s">
        <v>658</v>
      </c>
      <c r="M1062" s="283" t="s">
        <v>247</v>
      </c>
      <c r="N1062" s="283" t="s">
        <v>252</v>
      </c>
      <c r="O1062" s="283">
        <v>109</v>
      </c>
      <c r="P1062" s="283">
        <v>19232</v>
      </c>
      <c r="Q1062" s="235">
        <f>(O1062+IF('Scenario Analysis'!$N$23=1,0,0.5))*P1062</f>
        <v>2105904</v>
      </c>
    </row>
    <row r="1063" spans="3:17" x14ac:dyDescent="0.25">
      <c r="C1063" s="191"/>
      <c r="K1063" s="283" t="s">
        <v>1272</v>
      </c>
      <c r="L1063" s="283" t="s">
        <v>658</v>
      </c>
      <c r="M1063" s="283" t="s">
        <v>247</v>
      </c>
      <c r="N1063" s="283" t="s">
        <v>252</v>
      </c>
      <c r="O1063" s="283">
        <v>110</v>
      </c>
      <c r="P1063" s="283">
        <v>847</v>
      </c>
      <c r="Q1063" s="235">
        <f>(O1063+IF('Scenario Analysis'!$N$23=1,0,0.5))*P1063</f>
        <v>93593.5</v>
      </c>
    </row>
    <row r="1064" spans="3:17" x14ac:dyDescent="0.25">
      <c r="C1064" s="191"/>
      <c r="K1064" s="283" t="s">
        <v>1272</v>
      </c>
      <c r="L1064" s="283" t="s">
        <v>658</v>
      </c>
      <c r="M1064" s="283" t="s">
        <v>247</v>
      </c>
      <c r="N1064" s="283" t="s">
        <v>252</v>
      </c>
      <c r="O1064" s="283">
        <v>111</v>
      </c>
      <c r="P1064" s="283">
        <v>3414</v>
      </c>
      <c r="Q1064" s="235">
        <f>(O1064+IF('Scenario Analysis'!$N$23=1,0,0.5))*P1064</f>
        <v>380661</v>
      </c>
    </row>
    <row r="1065" spans="3:17" x14ac:dyDescent="0.25">
      <c r="C1065" s="191"/>
      <c r="K1065" s="283" t="s">
        <v>1272</v>
      </c>
      <c r="L1065" s="283" t="s">
        <v>658</v>
      </c>
      <c r="M1065" s="283" t="s">
        <v>247</v>
      </c>
      <c r="N1065" s="283" t="s">
        <v>252</v>
      </c>
      <c r="O1065" s="283">
        <v>112</v>
      </c>
      <c r="P1065" s="283">
        <v>373</v>
      </c>
      <c r="Q1065" s="235">
        <f>(O1065+IF('Scenario Analysis'!$N$23=1,0,0.5))*P1065</f>
        <v>41962.5</v>
      </c>
    </row>
    <row r="1066" spans="3:17" x14ac:dyDescent="0.25">
      <c r="C1066" s="191"/>
      <c r="K1066" s="283" t="s">
        <v>1272</v>
      </c>
      <c r="L1066" s="283" t="s">
        <v>658</v>
      </c>
      <c r="M1066" s="283" t="s">
        <v>247</v>
      </c>
      <c r="N1066" s="283" t="s">
        <v>252</v>
      </c>
      <c r="O1066" s="283">
        <v>113</v>
      </c>
      <c r="P1066" s="283">
        <v>1080</v>
      </c>
      <c r="Q1066" s="235">
        <f>(O1066+IF('Scenario Analysis'!$N$23=1,0,0.5))*P1066</f>
        <v>122580</v>
      </c>
    </row>
    <row r="1067" spans="3:17" x14ac:dyDescent="0.25">
      <c r="C1067" s="191"/>
      <c r="K1067" s="283" t="s">
        <v>1272</v>
      </c>
      <c r="L1067" s="283" t="s">
        <v>658</v>
      </c>
      <c r="M1067" s="283" t="s">
        <v>247</v>
      </c>
      <c r="N1067" s="283" t="s">
        <v>252</v>
      </c>
      <c r="O1067" s="283">
        <v>114</v>
      </c>
      <c r="P1067" s="283">
        <v>188</v>
      </c>
      <c r="Q1067" s="235">
        <f>(O1067+IF('Scenario Analysis'!$N$23=1,0,0.5))*P1067</f>
        <v>21526</v>
      </c>
    </row>
    <row r="1068" spans="3:17" x14ac:dyDescent="0.25">
      <c r="C1068" s="191"/>
      <c r="K1068" s="283" t="s">
        <v>1272</v>
      </c>
      <c r="L1068" s="283" t="s">
        <v>658</v>
      </c>
      <c r="M1068" s="283" t="s">
        <v>247</v>
      </c>
      <c r="N1068" s="283" t="s">
        <v>252</v>
      </c>
      <c r="O1068" s="283">
        <v>115</v>
      </c>
      <c r="P1068" s="283">
        <v>670</v>
      </c>
      <c r="Q1068" s="235">
        <f>(O1068+IF('Scenario Analysis'!$N$23=1,0,0.5))*P1068</f>
        <v>77385</v>
      </c>
    </row>
    <row r="1069" spans="3:17" x14ac:dyDescent="0.25">
      <c r="C1069" s="191"/>
      <c r="K1069" s="283" t="s">
        <v>1272</v>
      </c>
      <c r="L1069" s="283" t="s">
        <v>658</v>
      </c>
      <c r="M1069" s="283" t="s">
        <v>247</v>
      </c>
      <c r="N1069" s="283" t="s">
        <v>252</v>
      </c>
      <c r="O1069" s="283">
        <v>116</v>
      </c>
      <c r="P1069" s="283">
        <v>6364</v>
      </c>
      <c r="Q1069" s="235">
        <f>(O1069+IF('Scenario Analysis'!$N$23=1,0,0.5))*P1069</f>
        <v>741406</v>
      </c>
    </row>
    <row r="1070" spans="3:17" x14ac:dyDescent="0.25">
      <c r="C1070" s="191"/>
      <c r="K1070" s="283" t="s">
        <v>1272</v>
      </c>
      <c r="L1070" s="283" t="s">
        <v>658</v>
      </c>
      <c r="M1070" s="283" t="s">
        <v>247</v>
      </c>
      <c r="N1070" s="283" t="s">
        <v>252</v>
      </c>
      <c r="O1070" s="283">
        <v>117</v>
      </c>
      <c r="P1070" s="283">
        <v>1532</v>
      </c>
      <c r="Q1070" s="235">
        <f>(O1070+IF('Scenario Analysis'!$N$23=1,0,0.5))*P1070</f>
        <v>180010</v>
      </c>
    </row>
    <row r="1071" spans="3:17" x14ac:dyDescent="0.25">
      <c r="C1071" s="191"/>
      <c r="K1071" s="283" t="s">
        <v>1272</v>
      </c>
      <c r="L1071" s="283" t="s">
        <v>658</v>
      </c>
      <c r="M1071" s="283" t="s">
        <v>247</v>
      </c>
      <c r="N1071" s="283" t="s">
        <v>252</v>
      </c>
      <c r="O1071" s="283">
        <v>118</v>
      </c>
      <c r="P1071" s="283">
        <v>129</v>
      </c>
      <c r="Q1071" s="235">
        <f>(O1071+IF('Scenario Analysis'!$N$23=1,0,0.5))*P1071</f>
        <v>15286.5</v>
      </c>
    </row>
    <row r="1072" spans="3:17" x14ac:dyDescent="0.25">
      <c r="C1072" s="191"/>
      <c r="K1072" s="283" t="s">
        <v>1272</v>
      </c>
      <c r="L1072" s="283" t="s">
        <v>658</v>
      </c>
      <c r="M1072" s="283" t="s">
        <v>247</v>
      </c>
      <c r="N1072" s="283" t="s">
        <v>252</v>
      </c>
      <c r="O1072" s="283">
        <v>119</v>
      </c>
      <c r="P1072" s="283">
        <v>3013</v>
      </c>
      <c r="Q1072" s="235">
        <f>(O1072+IF('Scenario Analysis'!$N$23=1,0,0.5))*P1072</f>
        <v>360053.5</v>
      </c>
    </row>
    <row r="1073" spans="3:17" x14ac:dyDescent="0.25">
      <c r="C1073" s="191"/>
      <c r="K1073" s="283" t="s">
        <v>1272</v>
      </c>
      <c r="L1073" s="283" t="s">
        <v>658</v>
      </c>
      <c r="M1073" s="283" t="s">
        <v>247</v>
      </c>
      <c r="N1073" s="283" t="s">
        <v>252</v>
      </c>
      <c r="O1073" s="283">
        <v>120</v>
      </c>
      <c r="P1073" s="283">
        <v>3224</v>
      </c>
      <c r="Q1073" s="235">
        <f>(O1073+IF('Scenario Analysis'!$N$23=1,0,0.5))*P1073</f>
        <v>388492</v>
      </c>
    </row>
    <row r="1074" spans="3:17" x14ac:dyDescent="0.25">
      <c r="C1074" s="191"/>
      <c r="K1074" s="283" t="s">
        <v>1272</v>
      </c>
      <c r="L1074" s="283" t="s">
        <v>658</v>
      </c>
      <c r="M1074" s="283" t="s">
        <v>247</v>
      </c>
      <c r="N1074" s="283" t="s">
        <v>252</v>
      </c>
      <c r="O1074" s="283">
        <v>121</v>
      </c>
      <c r="P1074" s="283">
        <v>2461</v>
      </c>
      <c r="Q1074" s="235">
        <f>(O1074+IF('Scenario Analysis'!$N$23=1,0,0.5))*P1074</f>
        <v>299011.5</v>
      </c>
    </row>
    <row r="1075" spans="3:17" x14ac:dyDescent="0.25">
      <c r="C1075" s="191"/>
      <c r="K1075" s="283" t="s">
        <v>1272</v>
      </c>
      <c r="L1075" s="283" t="s">
        <v>658</v>
      </c>
      <c r="M1075" s="283" t="s">
        <v>247</v>
      </c>
      <c r="N1075" s="283" t="s">
        <v>252</v>
      </c>
      <c r="O1075" s="283">
        <v>122</v>
      </c>
      <c r="P1075" s="283">
        <v>1900</v>
      </c>
      <c r="Q1075" s="235">
        <f>(O1075+IF('Scenario Analysis'!$N$23=1,0,0.5))*P1075</f>
        <v>232750</v>
      </c>
    </row>
    <row r="1076" spans="3:17" x14ac:dyDescent="0.25">
      <c r="C1076" s="191"/>
      <c r="K1076" s="283" t="s">
        <v>1272</v>
      </c>
      <c r="L1076" s="283" t="s">
        <v>658</v>
      </c>
      <c r="M1076" s="283" t="s">
        <v>247</v>
      </c>
      <c r="N1076" s="283" t="s">
        <v>252</v>
      </c>
      <c r="O1076" s="283">
        <v>123</v>
      </c>
      <c r="P1076" s="283">
        <v>940</v>
      </c>
      <c r="Q1076" s="235">
        <f>(O1076+IF('Scenario Analysis'!$N$23=1,0,0.5))*P1076</f>
        <v>116090</v>
      </c>
    </row>
    <row r="1077" spans="3:17" x14ac:dyDescent="0.25">
      <c r="C1077" s="191"/>
      <c r="K1077" s="283" t="s">
        <v>1272</v>
      </c>
      <c r="L1077" s="283" t="s">
        <v>658</v>
      </c>
      <c r="M1077" s="283" t="s">
        <v>247</v>
      </c>
      <c r="N1077" s="283" t="s">
        <v>252</v>
      </c>
      <c r="O1077" s="283">
        <v>124</v>
      </c>
      <c r="P1077" s="283">
        <v>73</v>
      </c>
      <c r="Q1077" s="235">
        <f>(O1077+IF('Scenario Analysis'!$N$23=1,0,0.5))*P1077</f>
        <v>9088.5</v>
      </c>
    </row>
    <row r="1078" spans="3:17" x14ac:dyDescent="0.25">
      <c r="C1078" s="191"/>
      <c r="K1078" s="283" t="s">
        <v>1272</v>
      </c>
      <c r="L1078" s="283" t="s">
        <v>658</v>
      </c>
      <c r="M1078" s="283" t="s">
        <v>247</v>
      </c>
      <c r="N1078" s="283" t="s">
        <v>252</v>
      </c>
      <c r="O1078" s="283">
        <v>125</v>
      </c>
      <c r="P1078" s="283">
        <v>500</v>
      </c>
      <c r="Q1078" s="235">
        <f>(O1078+IF('Scenario Analysis'!$N$23=1,0,0.5))*P1078</f>
        <v>62750</v>
      </c>
    </row>
    <row r="1079" spans="3:17" x14ac:dyDescent="0.25">
      <c r="C1079" s="191"/>
      <c r="K1079" s="283" t="s">
        <v>1272</v>
      </c>
      <c r="L1079" s="283" t="s">
        <v>658</v>
      </c>
      <c r="M1079" s="283" t="s">
        <v>247</v>
      </c>
      <c r="N1079" s="283" t="s">
        <v>252</v>
      </c>
      <c r="O1079" s="283">
        <v>126</v>
      </c>
      <c r="P1079" s="283">
        <v>1216</v>
      </c>
      <c r="Q1079" s="235">
        <f>(O1079+IF('Scenario Analysis'!$N$23=1,0,0.5))*P1079</f>
        <v>153824</v>
      </c>
    </row>
    <row r="1080" spans="3:17" x14ac:dyDescent="0.25">
      <c r="C1080" s="191"/>
      <c r="K1080" s="283" t="s">
        <v>1272</v>
      </c>
      <c r="L1080" s="283" t="s">
        <v>658</v>
      </c>
      <c r="M1080" s="283" t="s">
        <v>247</v>
      </c>
      <c r="N1080" s="283" t="s">
        <v>252</v>
      </c>
      <c r="O1080" s="283">
        <v>127</v>
      </c>
      <c r="P1080" s="283">
        <v>980</v>
      </c>
      <c r="Q1080" s="235">
        <f>(O1080+IF('Scenario Analysis'!$N$23=1,0,0.5))*P1080</f>
        <v>124950</v>
      </c>
    </row>
    <row r="1081" spans="3:17" x14ac:dyDescent="0.25">
      <c r="C1081" s="191"/>
      <c r="K1081" s="283" t="s">
        <v>1272</v>
      </c>
      <c r="L1081" s="283" t="s">
        <v>658</v>
      </c>
      <c r="M1081" s="283" t="s">
        <v>247</v>
      </c>
      <c r="N1081" s="283" t="s">
        <v>252</v>
      </c>
      <c r="O1081" s="283">
        <v>128</v>
      </c>
      <c r="P1081" s="283">
        <v>343</v>
      </c>
      <c r="Q1081" s="235">
        <f>(O1081+IF('Scenario Analysis'!$N$23=1,0,0.5))*P1081</f>
        <v>44075.5</v>
      </c>
    </row>
    <row r="1082" spans="3:17" x14ac:dyDescent="0.25">
      <c r="C1082" s="191"/>
      <c r="K1082" s="283" t="s">
        <v>1272</v>
      </c>
      <c r="L1082" s="283" t="s">
        <v>658</v>
      </c>
      <c r="M1082" s="283" t="s">
        <v>247</v>
      </c>
      <c r="N1082" s="283" t="s">
        <v>252</v>
      </c>
      <c r="O1082" s="283">
        <v>129</v>
      </c>
      <c r="P1082" s="283">
        <v>2618</v>
      </c>
      <c r="Q1082" s="235">
        <f>(O1082+IF('Scenario Analysis'!$N$23=1,0,0.5))*P1082</f>
        <v>339031</v>
      </c>
    </row>
    <row r="1083" spans="3:17" x14ac:dyDescent="0.25">
      <c r="C1083" s="191"/>
      <c r="K1083" s="283" t="s">
        <v>1272</v>
      </c>
      <c r="L1083" s="283" t="s">
        <v>658</v>
      </c>
      <c r="M1083" s="283" t="s">
        <v>247</v>
      </c>
      <c r="N1083" s="283" t="s">
        <v>252</v>
      </c>
      <c r="O1083" s="283">
        <v>130</v>
      </c>
      <c r="P1083" s="283">
        <v>2637</v>
      </c>
      <c r="Q1083" s="235">
        <f>(O1083+IF('Scenario Analysis'!$N$23=1,0,0.5))*P1083</f>
        <v>344128.5</v>
      </c>
    </row>
    <row r="1084" spans="3:17" x14ac:dyDescent="0.25">
      <c r="C1084" s="191"/>
      <c r="K1084" s="283" t="s">
        <v>1272</v>
      </c>
      <c r="L1084" s="283" t="s">
        <v>658</v>
      </c>
      <c r="M1084" s="283" t="s">
        <v>247</v>
      </c>
      <c r="N1084" s="283" t="s">
        <v>252</v>
      </c>
      <c r="O1084" s="283">
        <v>131</v>
      </c>
      <c r="P1084" s="283">
        <v>3915</v>
      </c>
      <c r="Q1084" s="235">
        <f>(O1084+IF('Scenario Analysis'!$N$23=1,0,0.5))*P1084</f>
        <v>514822.5</v>
      </c>
    </row>
    <row r="1085" spans="3:17" x14ac:dyDescent="0.25">
      <c r="C1085" s="191"/>
      <c r="K1085" s="283" t="s">
        <v>1272</v>
      </c>
      <c r="L1085" s="283" t="s">
        <v>658</v>
      </c>
      <c r="M1085" s="283" t="s">
        <v>247</v>
      </c>
      <c r="N1085" s="283" t="s">
        <v>252</v>
      </c>
      <c r="O1085" s="283">
        <v>132</v>
      </c>
      <c r="P1085" s="283">
        <v>648</v>
      </c>
      <c r="Q1085" s="235">
        <f>(O1085+IF('Scenario Analysis'!$N$23=1,0,0.5))*P1085</f>
        <v>85860</v>
      </c>
    </row>
    <row r="1086" spans="3:17" x14ac:dyDescent="0.25">
      <c r="C1086" s="191"/>
      <c r="K1086" s="283" t="s">
        <v>1272</v>
      </c>
      <c r="L1086" s="283" t="s">
        <v>658</v>
      </c>
      <c r="M1086" s="283" t="s">
        <v>247</v>
      </c>
      <c r="N1086" s="283" t="s">
        <v>252</v>
      </c>
      <c r="O1086" s="283">
        <v>133</v>
      </c>
      <c r="P1086" s="283">
        <v>82</v>
      </c>
      <c r="Q1086" s="235">
        <f>(O1086+IF('Scenario Analysis'!$N$23=1,0,0.5))*P1086</f>
        <v>10947</v>
      </c>
    </row>
    <row r="1087" spans="3:17" x14ac:dyDescent="0.25">
      <c r="C1087" s="191"/>
      <c r="K1087" s="283" t="s">
        <v>1272</v>
      </c>
      <c r="L1087" s="283" t="s">
        <v>658</v>
      </c>
      <c r="M1087" s="283" t="s">
        <v>247</v>
      </c>
      <c r="N1087" s="283" t="s">
        <v>252</v>
      </c>
      <c r="O1087" s="283">
        <v>134</v>
      </c>
      <c r="P1087" s="283">
        <v>3823</v>
      </c>
      <c r="Q1087" s="235">
        <f>(O1087+IF('Scenario Analysis'!$N$23=1,0,0.5))*P1087</f>
        <v>514193.5</v>
      </c>
    </row>
    <row r="1088" spans="3:17" x14ac:dyDescent="0.25">
      <c r="C1088" s="191"/>
      <c r="K1088" s="283" t="s">
        <v>1272</v>
      </c>
      <c r="L1088" s="283" t="s">
        <v>658</v>
      </c>
      <c r="M1088" s="283" t="s">
        <v>247</v>
      </c>
      <c r="N1088" s="283" t="s">
        <v>252</v>
      </c>
      <c r="O1088" s="283">
        <v>135</v>
      </c>
      <c r="P1088" s="283">
        <v>183</v>
      </c>
      <c r="Q1088" s="235">
        <f>(O1088+IF('Scenario Analysis'!$N$23=1,0,0.5))*P1088</f>
        <v>24796.5</v>
      </c>
    </row>
    <row r="1089" spans="3:17" x14ac:dyDescent="0.25">
      <c r="C1089" s="191"/>
      <c r="K1089" s="283" t="s">
        <v>1272</v>
      </c>
      <c r="L1089" s="283" t="s">
        <v>658</v>
      </c>
      <c r="M1089" s="283" t="s">
        <v>247</v>
      </c>
      <c r="N1089" s="283" t="s">
        <v>252</v>
      </c>
      <c r="O1089" s="283">
        <v>136</v>
      </c>
      <c r="P1089" s="283">
        <v>19</v>
      </c>
      <c r="Q1089" s="235">
        <f>(O1089+IF('Scenario Analysis'!$N$23=1,0,0.5))*P1089</f>
        <v>2593.5</v>
      </c>
    </row>
    <row r="1090" spans="3:17" x14ac:dyDescent="0.25">
      <c r="C1090" s="191"/>
      <c r="K1090" s="283" t="s">
        <v>1272</v>
      </c>
      <c r="L1090" s="283" t="s">
        <v>658</v>
      </c>
      <c r="M1090" s="283" t="s">
        <v>247</v>
      </c>
      <c r="N1090" s="283" t="s">
        <v>252</v>
      </c>
      <c r="O1090" s="283">
        <v>137</v>
      </c>
      <c r="P1090" s="283">
        <v>992</v>
      </c>
      <c r="Q1090" s="235">
        <f>(O1090+IF('Scenario Analysis'!$N$23=1,0,0.5))*P1090</f>
        <v>136400</v>
      </c>
    </row>
    <row r="1091" spans="3:17" x14ac:dyDescent="0.25">
      <c r="C1091" s="191"/>
      <c r="K1091" s="283" t="s">
        <v>1272</v>
      </c>
      <c r="L1091" s="283" t="s">
        <v>658</v>
      </c>
      <c r="M1091" s="283" t="s">
        <v>247</v>
      </c>
      <c r="N1091" s="283" t="s">
        <v>252</v>
      </c>
      <c r="O1091" s="283">
        <v>138</v>
      </c>
      <c r="P1091" s="283">
        <v>371</v>
      </c>
      <c r="Q1091" s="235">
        <f>(O1091+IF('Scenario Analysis'!$N$23=1,0,0.5))*P1091</f>
        <v>51383.5</v>
      </c>
    </row>
    <row r="1092" spans="3:17" x14ac:dyDescent="0.25">
      <c r="C1092" s="191"/>
      <c r="K1092" s="283" t="s">
        <v>1272</v>
      </c>
      <c r="L1092" s="283" t="s">
        <v>658</v>
      </c>
      <c r="M1092" s="283" t="s">
        <v>247</v>
      </c>
      <c r="N1092" s="283" t="s">
        <v>252</v>
      </c>
      <c r="O1092" s="283">
        <v>139</v>
      </c>
      <c r="P1092" s="283">
        <v>1343</v>
      </c>
      <c r="Q1092" s="235">
        <f>(O1092+IF('Scenario Analysis'!$N$23=1,0,0.5))*P1092</f>
        <v>187348.5</v>
      </c>
    </row>
    <row r="1093" spans="3:17" x14ac:dyDescent="0.25">
      <c r="C1093" s="191"/>
      <c r="K1093" s="283" t="s">
        <v>1272</v>
      </c>
      <c r="L1093" s="283" t="s">
        <v>658</v>
      </c>
      <c r="M1093" s="283" t="s">
        <v>247</v>
      </c>
      <c r="N1093" s="283" t="s">
        <v>252</v>
      </c>
      <c r="O1093" s="283">
        <v>140</v>
      </c>
      <c r="P1093" s="283">
        <v>323</v>
      </c>
      <c r="Q1093" s="235">
        <f>(O1093+IF('Scenario Analysis'!$N$23=1,0,0.5))*P1093</f>
        <v>45381.5</v>
      </c>
    </row>
    <row r="1094" spans="3:17" x14ac:dyDescent="0.25">
      <c r="C1094" s="191"/>
      <c r="K1094" s="283" t="s">
        <v>1272</v>
      </c>
      <c r="L1094" s="283" t="s">
        <v>658</v>
      </c>
      <c r="M1094" s="283" t="s">
        <v>247</v>
      </c>
      <c r="N1094" s="283" t="s">
        <v>252</v>
      </c>
      <c r="O1094" s="283">
        <v>141</v>
      </c>
      <c r="P1094" s="283">
        <v>618</v>
      </c>
      <c r="Q1094" s="235">
        <f>(O1094+IF('Scenario Analysis'!$N$23=1,0,0.5))*P1094</f>
        <v>87447</v>
      </c>
    </row>
    <row r="1095" spans="3:17" x14ac:dyDescent="0.25">
      <c r="C1095" s="191"/>
      <c r="K1095" s="283" t="s">
        <v>1272</v>
      </c>
      <c r="L1095" s="283" t="s">
        <v>658</v>
      </c>
      <c r="M1095" s="283" t="s">
        <v>247</v>
      </c>
      <c r="N1095" s="283" t="s">
        <v>252</v>
      </c>
      <c r="O1095" s="283">
        <v>142</v>
      </c>
      <c r="P1095" s="283">
        <v>1896</v>
      </c>
      <c r="Q1095" s="235">
        <f>(O1095+IF('Scenario Analysis'!$N$23=1,0,0.5))*P1095</f>
        <v>270180</v>
      </c>
    </row>
    <row r="1096" spans="3:17" x14ac:dyDescent="0.25">
      <c r="C1096" s="191"/>
      <c r="K1096" s="283" t="s">
        <v>1272</v>
      </c>
      <c r="L1096" s="283" t="s">
        <v>658</v>
      </c>
      <c r="M1096" s="283" t="s">
        <v>247</v>
      </c>
      <c r="N1096" s="283" t="s">
        <v>252</v>
      </c>
      <c r="O1096" s="283">
        <v>143</v>
      </c>
      <c r="P1096" s="283">
        <v>4524</v>
      </c>
      <c r="Q1096" s="235">
        <f>(O1096+IF('Scenario Analysis'!$N$23=1,0,0.5))*P1096</f>
        <v>649194</v>
      </c>
    </row>
    <row r="1097" spans="3:17" x14ac:dyDescent="0.25">
      <c r="C1097" s="191"/>
      <c r="K1097" s="283" t="s">
        <v>1272</v>
      </c>
      <c r="L1097" s="283" t="s">
        <v>658</v>
      </c>
      <c r="M1097" s="283" t="s">
        <v>247</v>
      </c>
      <c r="N1097" s="283" t="s">
        <v>252</v>
      </c>
      <c r="O1097" s="283">
        <v>144</v>
      </c>
      <c r="P1097" s="283">
        <v>384</v>
      </c>
      <c r="Q1097" s="235">
        <f>(O1097+IF('Scenario Analysis'!$N$23=1,0,0.5))*P1097</f>
        <v>55488</v>
      </c>
    </row>
    <row r="1098" spans="3:17" x14ac:dyDescent="0.25">
      <c r="C1098" s="191"/>
      <c r="K1098" s="283" t="s">
        <v>1272</v>
      </c>
      <c r="L1098" s="283" t="s">
        <v>658</v>
      </c>
      <c r="M1098" s="283" t="s">
        <v>247</v>
      </c>
      <c r="N1098" s="283" t="s">
        <v>252</v>
      </c>
      <c r="O1098" s="283">
        <v>145</v>
      </c>
      <c r="P1098" s="283">
        <v>297</v>
      </c>
      <c r="Q1098" s="235">
        <f>(O1098+IF('Scenario Analysis'!$N$23=1,0,0.5))*P1098</f>
        <v>43213.5</v>
      </c>
    </row>
    <row r="1099" spans="3:17" x14ac:dyDescent="0.25">
      <c r="C1099" s="191"/>
      <c r="K1099" s="283" t="s">
        <v>1272</v>
      </c>
      <c r="L1099" s="283" t="s">
        <v>658</v>
      </c>
      <c r="M1099" s="283" t="s">
        <v>247</v>
      </c>
      <c r="N1099" s="283" t="s">
        <v>252</v>
      </c>
      <c r="O1099" s="283">
        <v>146</v>
      </c>
      <c r="P1099" s="283">
        <v>45</v>
      </c>
      <c r="Q1099" s="235">
        <f>(O1099+IF('Scenario Analysis'!$N$23=1,0,0.5))*P1099</f>
        <v>6592.5</v>
      </c>
    </row>
    <row r="1100" spans="3:17" x14ac:dyDescent="0.25">
      <c r="C1100" s="191"/>
      <c r="K1100" s="283" t="s">
        <v>1272</v>
      </c>
      <c r="L1100" s="283" t="s">
        <v>658</v>
      </c>
      <c r="M1100" s="283" t="s">
        <v>247</v>
      </c>
      <c r="N1100" s="283" t="s">
        <v>252</v>
      </c>
      <c r="O1100" s="283">
        <v>147</v>
      </c>
      <c r="P1100" s="283">
        <v>11410</v>
      </c>
      <c r="Q1100" s="235">
        <f>(O1100+IF('Scenario Analysis'!$N$23=1,0,0.5))*P1100</f>
        <v>1682975</v>
      </c>
    </row>
    <row r="1101" spans="3:17" x14ac:dyDescent="0.25">
      <c r="C1101" s="191"/>
      <c r="K1101" s="283" t="s">
        <v>1272</v>
      </c>
      <c r="L1101" s="283" t="s">
        <v>658</v>
      </c>
      <c r="M1101" s="283" t="s">
        <v>247</v>
      </c>
      <c r="N1101" s="283" t="s">
        <v>252</v>
      </c>
      <c r="O1101" s="283">
        <v>148</v>
      </c>
      <c r="P1101" s="283">
        <v>51</v>
      </c>
      <c r="Q1101" s="235">
        <f>(O1101+IF('Scenario Analysis'!$N$23=1,0,0.5))*P1101</f>
        <v>7573.5</v>
      </c>
    </row>
    <row r="1102" spans="3:17" x14ac:dyDescent="0.25">
      <c r="C1102" s="191"/>
      <c r="K1102" s="283" t="s">
        <v>1272</v>
      </c>
      <c r="L1102" s="283" t="s">
        <v>658</v>
      </c>
      <c r="M1102" s="283" t="s">
        <v>247</v>
      </c>
      <c r="N1102" s="283" t="s">
        <v>252</v>
      </c>
      <c r="O1102" s="283">
        <v>149</v>
      </c>
      <c r="P1102" s="283">
        <v>287</v>
      </c>
      <c r="Q1102" s="235">
        <f>(O1102+IF('Scenario Analysis'!$N$23=1,0,0.5))*P1102</f>
        <v>42906.5</v>
      </c>
    </row>
    <row r="1103" spans="3:17" x14ac:dyDescent="0.25">
      <c r="C1103" s="191"/>
      <c r="K1103" s="283" t="s">
        <v>1272</v>
      </c>
      <c r="L1103" s="283" t="s">
        <v>658</v>
      </c>
      <c r="M1103" s="283" t="s">
        <v>247</v>
      </c>
      <c r="N1103" s="283" t="s">
        <v>252</v>
      </c>
      <c r="O1103" s="283">
        <v>150</v>
      </c>
      <c r="P1103" s="283">
        <v>45833</v>
      </c>
      <c r="Q1103" s="235">
        <f>(O1103+IF('Scenario Analysis'!$N$23=1,0,0.5))*P1103</f>
        <v>6897866.5</v>
      </c>
    </row>
    <row r="1104" spans="3:17" x14ac:dyDescent="0.25">
      <c r="C1104" s="191"/>
      <c r="K1104" s="283" t="s">
        <v>1272</v>
      </c>
      <c r="L1104" s="283" t="s">
        <v>665</v>
      </c>
      <c r="M1104" s="283" t="s">
        <v>247</v>
      </c>
      <c r="N1104" s="283" t="s">
        <v>253</v>
      </c>
      <c r="O1104" s="283">
        <v>0</v>
      </c>
      <c r="P1104" s="283">
        <v>8744</v>
      </c>
      <c r="Q1104" s="235">
        <f>(O1104+IF('Scenario Analysis'!$N$23=1,0,0.5))*P1104</f>
        <v>4372</v>
      </c>
    </row>
    <row r="1105" spans="3:17" x14ac:dyDescent="0.25">
      <c r="C1105" s="191"/>
      <c r="K1105" s="283" t="s">
        <v>1272</v>
      </c>
      <c r="L1105" s="283" t="s">
        <v>665</v>
      </c>
      <c r="M1105" s="283" t="s">
        <v>247</v>
      </c>
      <c r="N1105" s="283" t="s">
        <v>253</v>
      </c>
      <c r="O1105" s="283">
        <v>1</v>
      </c>
      <c r="P1105" s="283">
        <v>209731</v>
      </c>
      <c r="Q1105" s="235">
        <f>(O1105+IF('Scenario Analysis'!$N$23=1,0,0.5))*P1105</f>
        <v>314596.5</v>
      </c>
    </row>
    <row r="1106" spans="3:17" x14ac:dyDescent="0.25">
      <c r="C1106" s="191"/>
      <c r="K1106" s="283" t="s">
        <v>1272</v>
      </c>
      <c r="L1106" s="283" t="s">
        <v>665</v>
      </c>
      <c r="M1106" s="283" t="s">
        <v>247</v>
      </c>
      <c r="N1106" s="283" t="s">
        <v>253</v>
      </c>
      <c r="O1106" s="283">
        <v>2</v>
      </c>
      <c r="P1106" s="283">
        <v>200054</v>
      </c>
      <c r="Q1106" s="235">
        <f>(O1106+IF('Scenario Analysis'!$N$23=1,0,0.5))*P1106</f>
        <v>500135</v>
      </c>
    </row>
    <row r="1107" spans="3:17" x14ac:dyDescent="0.25">
      <c r="C1107" s="191"/>
      <c r="K1107" s="283" t="s">
        <v>1272</v>
      </c>
      <c r="L1107" s="283" t="s">
        <v>665</v>
      </c>
      <c r="M1107" s="283" t="s">
        <v>247</v>
      </c>
      <c r="N1107" s="283" t="s">
        <v>253</v>
      </c>
      <c r="O1107" s="283">
        <v>3</v>
      </c>
      <c r="P1107" s="283">
        <v>415625</v>
      </c>
      <c r="Q1107" s="235">
        <f>(O1107+IF('Scenario Analysis'!$N$23=1,0,0.5))*P1107</f>
        <v>1454687.5</v>
      </c>
    </row>
    <row r="1108" spans="3:17" x14ac:dyDescent="0.25">
      <c r="C1108" s="191"/>
      <c r="K1108" s="283" t="s">
        <v>1272</v>
      </c>
      <c r="L1108" s="283" t="s">
        <v>665</v>
      </c>
      <c r="M1108" s="283" t="s">
        <v>247</v>
      </c>
      <c r="N1108" s="283" t="s">
        <v>253</v>
      </c>
      <c r="O1108" s="283">
        <v>4</v>
      </c>
      <c r="P1108" s="283">
        <v>263380</v>
      </c>
      <c r="Q1108" s="235">
        <f>(O1108+IF('Scenario Analysis'!$N$23=1,0,0.5))*P1108</f>
        <v>1185210</v>
      </c>
    </row>
    <row r="1109" spans="3:17" x14ac:dyDescent="0.25">
      <c r="C1109" s="191"/>
      <c r="K1109" s="283" t="s">
        <v>1272</v>
      </c>
      <c r="L1109" s="283" t="s">
        <v>665</v>
      </c>
      <c r="M1109" s="283" t="s">
        <v>247</v>
      </c>
      <c r="N1109" s="283" t="s">
        <v>253</v>
      </c>
      <c r="O1109" s="283">
        <v>5</v>
      </c>
      <c r="P1109" s="283">
        <v>232216</v>
      </c>
      <c r="Q1109" s="235">
        <f>(O1109+IF('Scenario Analysis'!$N$23=1,0,0.5))*P1109</f>
        <v>1277188</v>
      </c>
    </row>
    <row r="1110" spans="3:17" x14ac:dyDescent="0.25">
      <c r="C1110" s="191"/>
      <c r="K1110" s="283" t="s">
        <v>1272</v>
      </c>
      <c r="L1110" s="283" t="s">
        <v>665</v>
      </c>
      <c r="M1110" s="283" t="s">
        <v>247</v>
      </c>
      <c r="N1110" s="283" t="s">
        <v>253</v>
      </c>
      <c r="O1110" s="283">
        <v>6</v>
      </c>
      <c r="P1110" s="283">
        <v>333008</v>
      </c>
      <c r="Q1110" s="235">
        <f>(O1110+IF('Scenario Analysis'!$N$23=1,0,0.5))*P1110</f>
        <v>2164552</v>
      </c>
    </row>
    <row r="1111" spans="3:17" x14ac:dyDescent="0.25">
      <c r="C1111" s="191"/>
      <c r="K1111" s="283" t="s">
        <v>1272</v>
      </c>
      <c r="L1111" s="283" t="s">
        <v>665</v>
      </c>
      <c r="M1111" s="283" t="s">
        <v>247</v>
      </c>
      <c r="N1111" s="283" t="s">
        <v>253</v>
      </c>
      <c r="O1111" s="283">
        <v>7</v>
      </c>
      <c r="P1111" s="283">
        <v>147954</v>
      </c>
      <c r="Q1111" s="235">
        <f>(O1111+IF('Scenario Analysis'!$N$23=1,0,0.5))*P1111</f>
        <v>1109655</v>
      </c>
    </row>
    <row r="1112" spans="3:17" x14ac:dyDescent="0.25">
      <c r="C1112" s="191"/>
      <c r="K1112" s="283" t="s">
        <v>1272</v>
      </c>
      <c r="L1112" s="283" t="s">
        <v>665</v>
      </c>
      <c r="M1112" s="283" t="s">
        <v>247</v>
      </c>
      <c r="N1112" s="283" t="s">
        <v>253</v>
      </c>
      <c r="O1112" s="283">
        <v>8</v>
      </c>
      <c r="P1112" s="283">
        <v>261176</v>
      </c>
      <c r="Q1112" s="235">
        <f>(O1112+IF('Scenario Analysis'!$N$23=1,0,0.5))*P1112</f>
        <v>2219996</v>
      </c>
    </row>
    <row r="1113" spans="3:17" x14ac:dyDescent="0.25">
      <c r="C1113" s="191"/>
      <c r="K1113" s="283" t="s">
        <v>1272</v>
      </c>
      <c r="L1113" s="283" t="s">
        <v>665</v>
      </c>
      <c r="M1113" s="283" t="s">
        <v>247</v>
      </c>
      <c r="N1113" s="283" t="s">
        <v>253</v>
      </c>
      <c r="O1113" s="283">
        <v>9</v>
      </c>
      <c r="P1113" s="283">
        <v>239286</v>
      </c>
      <c r="Q1113" s="235">
        <f>(O1113+IF('Scenario Analysis'!$N$23=1,0,0.5))*P1113</f>
        <v>2273217</v>
      </c>
    </row>
    <row r="1114" spans="3:17" x14ac:dyDescent="0.25">
      <c r="C1114" s="191"/>
      <c r="K1114" s="283" t="s">
        <v>1272</v>
      </c>
      <c r="L1114" s="283" t="s">
        <v>665</v>
      </c>
      <c r="M1114" s="283" t="s">
        <v>247</v>
      </c>
      <c r="N1114" s="283" t="s">
        <v>253</v>
      </c>
      <c r="O1114" s="283">
        <v>10</v>
      </c>
      <c r="P1114" s="283">
        <v>203209</v>
      </c>
      <c r="Q1114" s="235">
        <f>(O1114+IF('Scenario Analysis'!$N$23=1,0,0.5))*P1114</f>
        <v>2133694.5</v>
      </c>
    </row>
    <row r="1115" spans="3:17" x14ac:dyDescent="0.25">
      <c r="C1115" s="191"/>
      <c r="K1115" s="283" t="s">
        <v>1272</v>
      </c>
      <c r="L1115" s="283" t="s">
        <v>665</v>
      </c>
      <c r="M1115" s="283" t="s">
        <v>247</v>
      </c>
      <c r="N1115" s="283" t="s">
        <v>253</v>
      </c>
      <c r="O1115" s="283">
        <v>11</v>
      </c>
      <c r="P1115" s="283">
        <v>291276</v>
      </c>
      <c r="Q1115" s="235">
        <f>(O1115+IF('Scenario Analysis'!$N$23=1,0,0.5))*P1115</f>
        <v>3349674</v>
      </c>
    </row>
    <row r="1116" spans="3:17" x14ac:dyDescent="0.25">
      <c r="C1116" s="191"/>
      <c r="K1116" s="283" t="s">
        <v>1272</v>
      </c>
      <c r="L1116" s="283" t="s">
        <v>665</v>
      </c>
      <c r="M1116" s="283" t="s">
        <v>247</v>
      </c>
      <c r="N1116" s="283" t="s">
        <v>253</v>
      </c>
      <c r="O1116" s="283">
        <v>12</v>
      </c>
      <c r="P1116" s="283">
        <v>199270</v>
      </c>
      <c r="Q1116" s="235">
        <f>(O1116+IF('Scenario Analysis'!$N$23=1,0,0.5))*P1116</f>
        <v>2490875</v>
      </c>
    </row>
    <row r="1117" spans="3:17" x14ac:dyDescent="0.25">
      <c r="C1117" s="191"/>
      <c r="K1117" s="283" t="s">
        <v>1272</v>
      </c>
      <c r="L1117" s="283" t="s">
        <v>665</v>
      </c>
      <c r="M1117" s="283" t="s">
        <v>247</v>
      </c>
      <c r="N1117" s="283" t="s">
        <v>253</v>
      </c>
      <c r="O1117" s="283">
        <v>13</v>
      </c>
      <c r="P1117" s="283">
        <v>189709</v>
      </c>
      <c r="Q1117" s="235">
        <f>(O1117+IF('Scenario Analysis'!$N$23=1,0,0.5))*P1117</f>
        <v>2561071.5</v>
      </c>
    </row>
    <row r="1118" spans="3:17" x14ac:dyDescent="0.25">
      <c r="C1118" s="191"/>
      <c r="K1118" s="283" t="s">
        <v>1272</v>
      </c>
      <c r="L1118" s="283" t="s">
        <v>665</v>
      </c>
      <c r="M1118" s="283" t="s">
        <v>247</v>
      </c>
      <c r="N1118" s="283" t="s">
        <v>253</v>
      </c>
      <c r="O1118" s="283">
        <v>14</v>
      </c>
      <c r="P1118" s="283">
        <v>292116</v>
      </c>
      <c r="Q1118" s="235">
        <f>(O1118+IF('Scenario Analysis'!$N$23=1,0,0.5))*P1118</f>
        <v>4235682</v>
      </c>
    </row>
    <row r="1119" spans="3:17" x14ac:dyDescent="0.25">
      <c r="C1119" s="191"/>
      <c r="K1119" s="283" t="s">
        <v>1272</v>
      </c>
      <c r="L1119" s="283" t="s">
        <v>665</v>
      </c>
      <c r="M1119" s="283" t="s">
        <v>247</v>
      </c>
      <c r="N1119" s="283" t="s">
        <v>253</v>
      </c>
      <c r="O1119" s="283">
        <v>15</v>
      </c>
      <c r="P1119" s="283">
        <v>111687</v>
      </c>
      <c r="Q1119" s="235">
        <f>(O1119+IF('Scenario Analysis'!$N$23=1,0,0.5))*P1119</f>
        <v>1731148.5</v>
      </c>
    </row>
    <row r="1120" spans="3:17" x14ac:dyDescent="0.25">
      <c r="C1120" s="191"/>
      <c r="K1120" s="283" t="s">
        <v>1272</v>
      </c>
      <c r="L1120" s="283" t="s">
        <v>665</v>
      </c>
      <c r="M1120" s="283" t="s">
        <v>247</v>
      </c>
      <c r="N1120" s="283" t="s">
        <v>253</v>
      </c>
      <c r="O1120" s="283">
        <v>16</v>
      </c>
      <c r="P1120" s="283">
        <v>151492</v>
      </c>
      <c r="Q1120" s="235">
        <f>(O1120+IF('Scenario Analysis'!$N$23=1,0,0.5))*P1120</f>
        <v>2499618</v>
      </c>
    </row>
    <row r="1121" spans="3:17" x14ac:dyDescent="0.25">
      <c r="C1121" s="191"/>
      <c r="K1121" s="283" t="s">
        <v>1272</v>
      </c>
      <c r="L1121" s="283" t="s">
        <v>665</v>
      </c>
      <c r="M1121" s="283" t="s">
        <v>247</v>
      </c>
      <c r="N1121" s="283" t="s">
        <v>253</v>
      </c>
      <c r="O1121" s="283">
        <v>17</v>
      </c>
      <c r="P1121" s="283">
        <v>133540</v>
      </c>
      <c r="Q1121" s="235">
        <f>(O1121+IF('Scenario Analysis'!$N$23=1,0,0.5))*P1121</f>
        <v>2336950</v>
      </c>
    </row>
    <row r="1122" spans="3:17" x14ac:dyDescent="0.25">
      <c r="C1122" s="191"/>
      <c r="K1122" s="283" t="s">
        <v>1272</v>
      </c>
      <c r="L1122" s="283" t="s">
        <v>665</v>
      </c>
      <c r="M1122" s="283" t="s">
        <v>247</v>
      </c>
      <c r="N1122" s="283" t="s">
        <v>253</v>
      </c>
      <c r="O1122" s="283">
        <v>18</v>
      </c>
      <c r="P1122" s="283">
        <v>175386</v>
      </c>
      <c r="Q1122" s="235">
        <f>(O1122+IF('Scenario Analysis'!$N$23=1,0,0.5))*P1122</f>
        <v>3244641</v>
      </c>
    </row>
    <row r="1123" spans="3:17" x14ac:dyDescent="0.25">
      <c r="C1123" s="191"/>
      <c r="K1123" s="283" t="s">
        <v>1272</v>
      </c>
      <c r="L1123" s="283" t="s">
        <v>665</v>
      </c>
      <c r="M1123" s="283" t="s">
        <v>247</v>
      </c>
      <c r="N1123" s="283" t="s">
        <v>253</v>
      </c>
      <c r="O1123" s="283">
        <v>19</v>
      </c>
      <c r="P1123" s="283">
        <v>153114</v>
      </c>
      <c r="Q1123" s="235">
        <f>(O1123+IF('Scenario Analysis'!$N$23=1,0,0.5))*P1123</f>
        <v>2985723</v>
      </c>
    </row>
    <row r="1124" spans="3:17" x14ac:dyDescent="0.25">
      <c r="C1124" s="191"/>
      <c r="K1124" s="283" t="s">
        <v>1272</v>
      </c>
      <c r="L1124" s="283" t="s">
        <v>665</v>
      </c>
      <c r="M1124" s="283" t="s">
        <v>247</v>
      </c>
      <c r="N1124" s="283" t="s">
        <v>253</v>
      </c>
      <c r="O1124" s="283">
        <v>20</v>
      </c>
      <c r="P1124" s="283">
        <v>116116</v>
      </c>
      <c r="Q1124" s="235">
        <f>(O1124+IF('Scenario Analysis'!$N$23=1,0,0.5))*P1124</f>
        <v>2380378</v>
      </c>
    </row>
    <row r="1125" spans="3:17" x14ac:dyDescent="0.25">
      <c r="C1125" s="191"/>
      <c r="K1125" s="283" t="s">
        <v>1272</v>
      </c>
      <c r="L1125" s="283" t="s">
        <v>665</v>
      </c>
      <c r="M1125" s="283" t="s">
        <v>247</v>
      </c>
      <c r="N1125" s="283" t="s">
        <v>253</v>
      </c>
      <c r="O1125" s="283">
        <v>21</v>
      </c>
      <c r="P1125" s="283">
        <v>179435</v>
      </c>
      <c r="Q1125" s="235">
        <f>(O1125+IF('Scenario Analysis'!$N$23=1,0,0.5))*P1125</f>
        <v>3857852.5</v>
      </c>
    </row>
    <row r="1126" spans="3:17" x14ac:dyDescent="0.25">
      <c r="C1126" s="191"/>
      <c r="K1126" s="283" t="s">
        <v>1272</v>
      </c>
      <c r="L1126" s="283" t="s">
        <v>665</v>
      </c>
      <c r="M1126" s="283" t="s">
        <v>247</v>
      </c>
      <c r="N1126" s="283" t="s">
        <v>253</v>
      </c>
      <c r="O1126" s="283">
        <v>22</v>
      </c>
      <c r="P1126" s="283">
        <v>81319</v>
      </c>
      <c r="Q1126" s="235">
        <f>(O1126+IF('Scenario Analysis'!$N$23=1,0,0.5))*P1126</f>
        <v>1829677.5</v>
      </c>
    </row>
    <row r="1127" spans="3:17" x14ac:dyDescent="0.25">
      <c r="C1127" s="191"/>
      <c r="K1127" s="283" t="s">
        <v>1272</v>
      </c>
      <c r="L1127" s="283" t="s">
        <v>665</v>
      </c>
      <c r="M1127" s="283" t="s">
        <v>247</v>
      </c>
      <c r="N1127" s="283" t="s">
        <v>253</v>
      </c>
      <c r="O1127" s="283">
        <v>23</v>
      </c>
      <c r="P1127" s="283">
        <v>117460</v>
      </c>
      <c r="Q1127" s="235">
        <f>(O1127+IF('Scenario Analysis'!$N$23=1,0,0.5))*P1127</f>
        <v>2760310</v>
      </c>
    </row>
    <row r="1128" spans="3:17" x14ac:dyDescent="0.25">
      <c r="C1128" s="191"/>
      <c r="K1128" s="283" t="s">
        <v>1272</v>
      </c>
      <c r="L1128" s="283" t="s">
        <v>665</v>
      </c>
      <c r="M1128" s="283" t="s">
        <v>247</v>
      </c>
      <c r="N1128" s="283" t="s">
        <v>253</v>
      </c>
      <c r="O1128" s="283">
        <v>24</v>
      </c>
      <c r="P1128" s="283">
        <v>116113</v>
      </c>
      <c r="Q1128" s="235">
        <f>(O1128+IF('Scenario Analysis'!$N$23=1,0,0.5))*P1128</f>
        <v>2844768.5</v>
      </c>
    </row>
    <row r="1129" spans="3:17" x14ac:dyDescent="0.25">
      <c r="C1129" s="191"/>
      <c r="K1129" s="283" t="s">
        <v>1272</v>
      </c>
      <c r="L1129" s="283" t="s">
        <v>665</v>
      </c>
      <c r="M1129" s="283" t="s">
        <v>247</v>
      </c>
      <c r="N1129" s="283" t="s">
        <v>253</v>
      </c>
      <c r="O1129" s="283">
        <v>25</v>
      </c>
      <c r="P1129" s="283">
        <v>76129</v>
      </c>
      <c r="Q1129" s="235">
        <f>(O1129+IF('Scenario Analysis'!$N$23=1,0,0.5))*P1129</f>
        <v>1941289.5</v>
      </c>
    </row>
    <row r="1130" spans="3:17" x14ac:dyDescent="0.25">
      <c r="C1130" s="191"/>
      <c r="K1130" s="283" t="s">
        <v>1272</v>
      </c>
      <c r="L1130" s="283" t="s">
        <v>665</v>
      </c>
      <c r="M1130" s="283" t="s">
        <v>247</v>
      </c>
      <c r="N1130" s="283" t="s">
        <v>253</v>
      </c>
      <c r="O1130" s="283">
        <v>26</v>
      </c>
      <c r="P1130" s="283">
        <v>115715</v>
      </c>
      <c r="Q1130" s="235">
        <f>(O1130+IF('Scenario Analysis'!$N$23=1,0,0.5))*P1130</f>
        <v>3066447.5</v>
      </c>
    </row>
    <row r="1131" spans="3:17" x14ac:dyDescent="0.25">
      <c r="C1131" s="191"/>
      <c r="K1131" s="283" t="s">
        <v>1272</v>
      </c>
      <c r="L1131" s="283" t="s">
        <v>665</v>
      </c>
      <c r="M1131" s="283" t="s">
        <v>247</v>
      </c>
      <c r="N1131" s="283" t="s">
        <v>253</v>
      </c>
      <c r="O1131" s="283">
        <v>27</v>
      </c>
      <c r="P1131" s="283">
        <v>61064</v>
      </c>
      <c r="Q1131" s="235">
        <f>(O1131+IF('Scenario Analysis'!$N$23=1,0,0.5))*P1131</f>
        <v>1679260</v>
      </c>
    </row>
    <row r="1132" spans="3:17" x14ac:dyDescent="0.25">
      <c r="C1132" s="191"/>
      <c r="K1132" s="283" t="s">
        <v>1272</v>
      </c>
      <c r="L1132" s="283" t="s">
        <v>665</v>
      </c>
      <c r="M1132" s="283" t="s">
        <v>247</v>
      </c>
      <c r="N1132" s="283" t="s">
        <v>253</v>
      </c>
      <c r="O1132" s="283">
        <v>28</v>
      </c>
      <c r="P1132" s="283">
        <v>70078</v>
      </c>
      <c r="Q1132" s="235">
        <f>(O1132+IF('Scenario Analysis'!$N$23=1,0,0.5))*P1132</f>
        <v>1997223</v>
      </c>
    </row>
    <row r="1133" spans="3:17" x14ac:dyDescent="0.25">
      <c r="C1133" s="191"/>
      <c r="K1133" s="283" t="s">
        <v>1272</v>
      </c>
      <c r="L1133" s="283" t="s">
        <v>665</v>
      </c>
      <c r="M1133" s="283" t="s">
        <v>247</v>
      </c>
      <c r="N1133" s="283" t="s">
        <v>253</v>
      </c>
      <c r="O1133" s="283">
        <v>29</v>
      </c>
      <c r="P1133" s="283">
        <v>57563</v>
      </c>
      <c r="Q1133" s="235">
        <f>(O1133+IF('Scenario Analysis'!$N$23=1,0,0.5))*P1133</f>
        <v>1698108.5</v>
      </c>
    </row>
    <row r="1134" spans="3:17" x14ac:dyDescent="0.25">
      <c r="C1134" s="191"/>
      <c r="K1134" s="283" t="s">
        <v>1272</v>
      </c>
      <c r="L1134" s="283" t="s">
        <v>665</v>
      </c>
      <c r="M1134" s="283" t="s">
        <v>247</v>
      </c>
      <c r="N1134" s="283" t="s">
        <v>253</v>
      </c>
      <c r="O1134" s="283">
        <v>30</v>
      </c>
      <c r="P1134" s="283">
        <v>46748</v>
      </c>
      <c r="Q1134" s="235">
        <f>(O1134+IF('Scenario Analysis'!$N$23=1,0,0.5))*P1134</f>
        <v>1425814</v>
      </c>
    </row>
    <row r="1135" spans="3:17" x14ac:dyDescent="0.25">
      <c r="C1135" s="191"/>
      <c r="K1135" s="283" t="s">
        <v>1272</v>
      </c>
      <c r="L1135" s="283" t="s">
        <v>665</v>
      </c>
      <c r="M1135" s="283" t="s">
        <v>247</v>
      </c>
      <c r="N1135" s="283" t="s">
        <v>253</v>
      </c>
      <c r="O1135" s="283">
        <v>31</v>
      </c>
      <c r="P1135" s="283">
        <v>68306</v>
      </c>
      <c r="Q1135" s="235">
        <f>(O1135+IF('Scenario Analysis'!$N$23=1,0,0.5))*P1135</f>
        <v>2151639</v>
      </c>
    </row>
    <row r="1136" spans="3:17" x14ac:dyDescent="0.25">
      <c r="C1136" s="191"/>
      <c r="K1136" s="283" t="s">
        <v>1272</v>
      </c>
      <c r="L1136" s="283" t="s">
        <v>665</v>
      </c>
      <c r="M1136" s="283" t="s">
        <v>247</v>
      </c>
      <c r="N1136" s="283" t="s">
        <v>253</v>
      </c>
      <c r="O1136" s="283">
        <v>32</v>
      </c>
      <c r="P1136" s="283">
        <v>51784</v>
      </c>
      <c r="Q1136" s="235">
        <f>(O1136+IF('Scenario Analysis'!$N$23=1,0,0.5))*P1136</f>
        <v>1682980</v>
      </c>
    </row>
    <row r="1137" spans="3:17" x14ac:dyDescent="0.25">
      <c r="C1137" s="191"/>
      <c r="K1137" s="283" t="s">
        <v>1272</v>
      </c>
      <c r="L1137" s="283" t="s">
        <v>665</v>
      </c>
      <c r="M1137" s="283" t="s">
        <v>247</v>
      </c>
      <c r="N1137" s="283" t="s">
        <v>253</v>
      </c>
      <c r="O1137" s="283">
        <v>33</v>
      </c>
      <c r="P1137" s="283">
        <v>49491</v>
      </c>
      <c r="Q1137" s="235">
        <f>(O1137+IF('Scenario Analysis'!$N$23=1,0,0.5))*P1137</f>
        <v>1657948.5</v>
      </c>
    </row>
    <row r="1138" spans="3:17" x14ac:dyDescent="0.25">
      <c r="C1138" s="191"/>
      <c r="K1138" s="283" t="s">
        <v>1272</v>
      </c>
      <c r="L1138" s="283" t="s">
        <v>665</v>
      </c>
      <c r="M1138" s="283" t="s">
        <v>247</v>
      </c>
      <c r="N1138" s="283" t="s">
        <v>253</v>
      </c>
      <c r="O1138" s="283">
        <v>34</v>
      </c>
      <c r="P1138" s="283">
        <v>43996</v>
      </c>
      <c r="Q1138" s="235">
        <f>(O1138+IF('Scenario Analysis'!$N$23=1,0,0.5))*P1138</f>
        <v>1517862</v>
      </c>
    </row>
    <row r="1139" spans="3:17" x14ac:dyDescent="0.25">
      <c r="C1139" s="191"/>
      <c r="K1139" s="283" t="s">
        <v>1272</v>
      </c>
      <c r="L1139" s="283" t="s">
        <v>665</v>
      </c>
      <c r="M1139" s="283" t="s">
        <v>247</v>
      </c>
      <c r="N1139" s="283" t="s">
        <v>253</v>
      </c>
      <c r="O1139" s="283">
        <v>35</v>
      </c>
      <c r="P1139" s="283">
        <v>37117</v>
      </c>
      <c r="Q1139" s="235">
        <f>(O1139+IF('Scenario Analysis'!$N$23=1,0,0.5))*P1139</f>
        <v>1317653.5</v>
      </c>
    </row>
    <row r="1140" spans="3:17" x14ac:dyDescent="0.25">
      <c r="C1140" s="191"/>
      <c r="K1140" s="283" t="s">
        <v>1272</v>
      </c>
      <c r="L1140" s="283" t="s">
        <v>665</v>
      </c>
      <c r="M1140" s="283" t="s">
        <v>247</v>
      </c>
      <c r="N1140" s="283" t="s">
        <v>253</v>
      </c>
      <c r="O1140" s="283">
        <v>36</v>
      </c>
      <c r="P1140" s="283">
        <v>45906</v>
      </c>
      <c r="Q1140" s="235">
        <f>(O1140+IF('Scenario Analysis'!$N$23=1,0,0.5))*P1140</f>
        <v>1675569</v>
      </c>
    </row>
    <row r="1141" spans="3:17" x14ac:dyDescent="0.25">
      <c r="C1141" s="191"/>
      <c r="K1141" s="283" t="s">
        <v>1272</v>
      </c>
      <c r="L1141" s="283" t="s">
        <v>665</v>
      </c>
      <c r="M1141" s="283" t="s">
        <v>247</v>
      </c>
      <c r="N1141" s="283" t="s">
        <v>253</v>
      </c>
      <c r="O1141" s="283">
        <v>37</v>
      </c>
      <c r="P1141" s="283">
        <v>19007</v>
      </c>
      <c r="Q1141" s="235">
        <f>(O1141+IF('Scenario Analysis'!$N$23=1,0,0.5))*P1141</f>
        <v>712762.5</v>
      </c>
    </row>
    <row r="1142" spans="3:17" x14ac:dyDescent="0.25">
      <c r="C1142" s="191"/>
      <c r="K1142" s="283" t="s">
        <v>1272</v>
      </c>
      <c r="L1142" s="283" t="s">
        <v>665</v>
      </c>
      <c r="M1142" s="283" t="s">
        <v>247</v>
      </c>
      <c r="N1142" s="283" t="s">
        <v>253</v>
      </c>
      <c r="O1142" s="283">
        <v>38</v>
      </c>
      <c r="P1142" s="283">
        <v>48958</v>
      </c>
      <c r="Q1142" s="235">
        <f>(O1142+IF('Scenario Analysis'!$N$23=1,0,0.5))*P1142</f>
        <v>1884883</v>
      </c>
    </row>
    <row r="1143" spans="3:17" x14ac:dyDescent="0.25">
      <c r="C1143" s="191"/>
      <c r="K1143" s="283" t="s">
        <v>1272</v>
      </c>
      <c r="L1143" s="283" t="s">
        <v>665</v>
      </c>
      <c r="M1143" s="283" t="s">
        <v>247</v>
      </c>
      <c r="N1143" s="283" t="s">
        <v>253</v>
      </c>
      <c r="O1143" s="283">
        <v>39</v>
      </c>
      <c r="P1143" s="283">
        <v>22095</v>
      </c>
      <c r="Q1143" s="235">
        <f>(O1143+IF('Scenario Analysis'!$N$23=1,0,0.5))*P1143</f>
        <v>872752.5</v>
      </c>
    </row>
    <row r="1144" spans="3:17" x14ac:dyDescent="0.25">
      <c r="C1144" s="191"/>
      <c r="K1144" s="283" t="s">
        <v>1272</v>
      </c>
      <c r="L1144" s="283" t="s">
        <v>665</v>
      </c>
      <c r="M1144" s="283" t="s">
        <v>247</v>
      </c>
      <c r="N1144" s="283" t="s">
        <v>253</v>
      </c>
      <c r="O1144" s="283">
        <v>40</v>
      </c>
      <c r="P1144" s="283">
        <v>26046</v>
      </c>
      <c r="Q1144" s="235">
        <f>(O1144+IF('Scenario Analysis'!$N$23=1,0,0.5))*P1144</f>
        <v>1054863</v>
      </c>
    </row>
    <row r="1145" spans="3:17" x14ac:dyDescent="0.25">
      <c r="C1145" s="191"/>
      <c r="K1145" s="283" t="s">
        <v>1272</v>
      </c>
      <c r="L1145" s="283" t="s">
        <v>665</v>
      </c>
      <c r="M1145" s="283" t="s">
        <v>247</v>
      </c>
      <c r="N1145" s="283" t="s">
        <v>253</v>
      </c>
      <c r="O1145" s="283">
        <v>41</v>
      </c>
      <c r="P1145" s="283">
        <v>21943</v>
      </c>
      <c r="Q1145" s="235">
        <f>(O1145+IF('Scenario Analysis'!$N$23=1,0,0.5))*P1145</f>
        <v>910634.5</v>
      </c>
    </row>
    <row r="1146" spans="3:17" x14ac:dyDescent="0.25">
      <c r="C1146" s="191"/>
      <c r="K1146" s="283" t="s">
        <v>1272</v>
      </c>
      <c r="L1146" s="283" t="s">
        <v>665</v>
      </c>
      <c r="M1146" s="283" t="s">
        <v>247</v>
      </c>
      <c r="N1146" s="283" t="s">
        <v>253</v>
      </c>
      <c r="O1146" s="283">
        <v>42</v>
      </c>
      <c r="P1146" s="283">
        <v>13172</v>
      </c>
      <c r="Q1146" s="235">
        <f>(O1146+IF('Scenario Analysis'!$N$23=1,0,0.5))*P1146</f>
        <v>559810</v>
      </c>
    </row>
    <row r="1147" spans="3:17" x14ac:dyDescent="0.25">
      <c r="C1147" s="191"/>
      <c r="K1147" s="283" t="s">
        <v>1272</v>
      </c>
      <c r="L1147" s="283" t="s">
        <v>665</v>
      </c>
      <c r="M1147" s="283" t="s">
        <v>247</v>
      </c>
      <c r="N1147" s="283" t="s">
        <v>253</v>
      </c>
      <c r="O1147" s="283">
        <v>43</v>
      </c>
      <c r="P1147" s="283">
        <v>23391</v>
      </c>
      <c r="Q1147" s="235">
        <f>(O1147+IF('Scenario Analysis'!$N$23=1,0,0.5))*P1147</f>
        <v>1017508.5</v>
      </c>
    </row>
    <row r="1148" spans="3:17" x14ac:dyDescent="0.25">
      <c r="C1148" s="191"/>
      <c r="K1148" s="283" t="s">
        <v>1272</v>
      </c>
      <c r="L1148" s="283" t="s">
        <v>665</v>
      </c>
      <c r="M1148" s="283" t="s">
        <v>247</v>
      </c>
      <c r="N1148" s="283" t="s">
        <v>253</v>
      </c>
      <c r="O1148" s="283">
        <v>44</v>
      </c>
      <c r="P1148" s="283">
        <v>20354</v>
      </c>
      <c r="Q1148" s="235">
        <f>(O1148+IF('Scenario Analysis'!$N$23=1,0,0.5))*P1148</f>
        <v>905753</v>
      </c>
    </row>
    <row r="1149" spans="3:17" x14ac:dyDescent="0.25">
      <c r="C1149" s="191"/>
      <c r="K1149" s="283" t="s">
        <v>1272</v>
      </c>
      <c r="L1149" s="283" t="s">
        <v>665</v>
      </c>
      <c r="M1149" s="283" t="s">
        <v>247</v>
      </c>
      <c r="N1149" s="283" t="s">
        <v>253</v>
      </c>
      <c r="O1149" s="283">
        <v>45</v>
      </c>
      <c r="P1149" s="283">
        <v>27010</v>
      </c>
      <c r="Q1149" s="235">
        <f>(O1149+IF('Scenario Analysis'!$N$23=1,0,0.5))*P1149</f>
        <v>1228955</v>
      </c>
    </row>
    <row r="1150" spans="3:17" x14ac:dyDescent="0.25">
      <c r="C1150" s="191"/>
      <c r="K1150" s="283" t="s">
        <v>1272</v>
      </c>
      <c r="L1150" s="283" t="s">
        <v>665</v>
      </c>
      <c r="M1150" s="283" t="s">
        <v>247</v>
      </c>
      <c r="N1150" s="283" t="s">
        <v>253</v>
      </c>
      <c r="O1150" s="283">
        <v>46</v>
      </c>
      <c r="P1150" s="283">
        <v>11516</v>
      </c>
      <c r="Q1150" s="235">
        <f>(O1150+IF('Scenario Analysis'!$N$23=1,0,0.5))*P1150</f>
        <v>535494</v>
      </c>
    </row>
    <row r="1151" spans="3:17" x14ac:dyDescent="0.25">
      <c r="C1151" s="191"/>
      <c r="K1151" s="283" t="s">
        <v>1272</v>
      </c>
      <c r="L1151" s="283" t="s">
        <v>665</v>
      </c>
      <c r="M1151" s="283" t="s">
        <v>247</v>
      </c>
      <c r="N1151" s="283" t="s">
        <v>253</v>
      </c>
      <c r="O1151" s="283">
        <v>47</v>
      </c>
      <c r="P1151" s="283">
        <v>23324</v>
      </c>
      <c r="Q1151" s="235">
        <f>(O1151+IF('Scenario Analysis'!$N$23=1,0,0.5))*P1151</f>
        <v>1107890</v>
      </c>
    </row>
    <row r="1152" spans="3:17" x14ac:dyDescent="0.25">
      <c r="C1152" s="191"/>
      <c r="K1152" s="283" t="s">
        <v>1272</v>
      </c>
      <c r="L1152" s="283" t="s">
        <v>665</v>
      </c>
      <c r="M1152" s="283" t="s">
        <v>247</v>
      </c>
      <c r="N1152" s="283" t="s">
        <v>253</v>
      </c>
      <c r="O1152" s="283">
        <v>48</v>
      </c>
      <c r="P1152" s="283">
        <v>4429</v>
      </c>
      <c r="Q1152" s="235">
        <f>(O1152+IF('Scenario Analysis'!$N$23=1,0,0.5))*P1152</f>
        <v>214806.5</v>
      </c>
    </row>
    <row r="1153" spans="3:17" x14ac:dyDescent="0.25">
      <c r="C1153" s="191"/>
      <c r="K1153" s="283" t="s">
        <v>1272</v>
      </c>
      <c r="L1153" s="283" t="s">
        <v>665</v>
      </c>
      <c r="M1153" s="283" t="s">
        <v>247</v>
      </c>
      <c r="N1153" s="283" t="s">
        <v>253</v>
      </c>
      <c r="O1153" s="283">
        <v>49</v>
      </c>
      <c r="P1153" s="283">
        <v>29770</v>
      </c>
      <c r="Q1153" s="235">
        <f>(O1153+IF('Scenario Analysis'!$N$23=1,0,0.5))*P1153</f>
        <v>1473615</v>
      </c>
    </row>
    <row r="1154" spans="3:17" x14ac:dyDescent="0.25">
      <c r="C1154" s="191"/>
      <c r="K1154" s="283" t="s">
        <v>1272</v>
      </c>
      <c r="L1154" s="283" t="s">
        <v>665</v>
      </c>
      <c r="M1154" s="283" t="s">
        <v>247</v>
      </c>
      <c r="N1154" s="283" t="s">
        <v>253</v>
      </c>
      <c r="O1154" s="283">
        <v>50</v>
      </c>
      <c r="P1154" s="283">
        <v>10264</v>
      </c>
      <c r="Q1154" s="235">
        <f>(O1154+IF('Scenario Analysis'!$N$23=1,0,0.5))*P1154</f>
        <v>518332</v>
      </c>
    </row>
    <row r="1155" spans="3:17" x14ac:dyDescent="0.25">
      <c r="C1155" s="191"/>
      <c r="K1155" s="283" t="s">
        <v>1272</v>
      </c>
      <c r="L1155" s="283" t="s">
        <v>665</v>
      </c>
      <c r="M1155" s="283" t="s">
        <v>247</v>
      </c>
      <c r="N1155" s="283" t="s">
        <v>253</v>
      </c>
      <c r="O1155" s="283">
        <v>51</v>
      </c>
      <c r="P1155" s="283">
        <v>3696</v>
      </c>
      <c r="Q1155" s="235">
        <f>(O1155+IF('Scenario Analysis'!$N$23=1,0,0.5))*P1155</f>
        <v>190344</v>
      </c>
    </row>
    <row r="1156" spans="3:17" x14ac:dyDescent="0.25">
      <c r="C1156" s="191"/>
      <c r="K1156" s="283" t="s">
        <v>1272</v>
      </c>
      <c r="L1156" s="283" t="s">
        <v>665</v>
      </c>
      <c r="M1156" s="283" t="s">
        <v>247</v>
      </c>
      <c r="N1156" s="283" t="s">
        <v>253</v>
      </c>
      <c r="O1156" s="283">
        <v>52</v>
      </c>
      <c r="P1156" s="283">
        <v>7460</v>
      </c>
      <c r="Q1156" s="235">
        <f>(O1156+IF('Scenario Analysis'!$N$23=1,0,0.5))*P1156</f>
        <v>391650</v>
      </c>
    </row>
    <row r="1157" spans="3:17" x14ac:dyDescent="0.25">
      <c r="C1157" s="191"/>
      <c r="K1157" s="283" t="s">
        <v>1272</v>
      </c>
      <c r="L1157" s="283" t="s">
        <v>665</v>
      </c>
      <c r="M1157" s="283" t="s">
        <v>247</v>
      </c>
      <c r="N1157" s="283" t="s">
        <v>253</v>
      </c>
      <c r="O1157" s="283">
        <v>53</v>
      </c>
      <c r="P1157" s="283">
        <v>4527</v>
      </c>
      <c r="Q1157" s="235">
        <f>(O1157+IF('Scenario Analysis'!$N$23=1,0,0.5))*P1157</f>
        <v>242194.5</v>
      </c>
    </row>
    <row r="1158" spans="3:17" x14ac:dyDescent="0.25">
      <c r="C1158" s="191"/>
      <c r="K1158" s="283" t="s">
        <v>1272</v>
      </c>
      <c r="L1158" s="283" t="s">
        <v>665</v>
      </c>
      <c r="M1158" s="283" t="s">
        <v>247</v>
      </c>
      <c r="N1158" s="283" t="s">
        <v>253</v>
      </c>
      <c r="O1158" s="283">
        <v>54</v>
      </c>
      <c r="P1158" s="283">
        <v>3343</v>
      </c>
      <c r="Q1158" s="235">
        <f>(O1158+IF('Scenario Analysis'!$N$23=1,0,0.5))*P1158</f>
        <v>182193.5</v>
      </c>
    </row>
    <row r="1159" spans="3:17" x14ac:dyDescent="0.25">
      <c r="C1159" s="191"/>
      <c r="K1159" s="283" t="s">
        <v>1272</v>
      </c>
      <c r="L1159" s="283" t="s">
        <v>665</v>
      </c>
      <c r="M1159" s="283" t="s">
        <v>247</v>
      </c>
      <c r="N1159" s="283" t="s">
        <v>253</v>
      </c>
      <c r="O1159" s="283">
        <v>55</v>
      </c>
      <c r="P1159" s="283">
        <v>10501</v>
      </c>
      <c r="Q1159" s="235">
        <f>(O1159+IF('Scenario Analysis'!$N$23=1,0,0.5))*P1159</f>
        <v>582805.5</v>
      </c>
    </row>
    <row r="1160" spans="3:17" x14ac:dyDescent="0.25">
      <c r="C1160" s="191"/>
      <c r="K1160" s="283" t="s">
        <v>1272</v>
      </c>
      <c r="L1160" s="283" t="s">
        <v>665</v>
      </c>
      <c r="M1160" s="283" t="s">
        <v>247</v>
      </c>
      <c r="N1160" s="283" t="s">
        <v>253</v>
      </c>
      <c r="O1160" s="283">
        <v>56</v>
      </c>
      <c r="P1160" s="283">
        <v>2150</v>
      </c>
      <c r="Q1160" s="235">
        <f>(O1160+IF('Scenario Analysis'!$N$23=1,0,0.5))*P1160</f>
        <v>121475</v>
      </c>
    </row>
    <row r="1161" spans="3:17" x14ac:dyDescent="0.25">
      <c r="C1161" s="191"/>
      <c r="K1161" s="283" t="s">
        <v>1272</v>
      </c>
      <c r="L1161" s="283" t="s">
        <v>665</v>
      </c>
      <c r="M1161" s="283" t="s">
        <v>247</v>
      </c>
      <c r="N1161" s="283" t="s">
        <v>253</v>
      </c>
      <c r="O1161" s="283">
        <v>57</v>
      </c>
      <c r="P1161" s="283">
        <v>2349</v>
      </c>
      <c r="Q1161" s="235">
        <f>(O1161+IF('Scenario Analysis'!$N$23=1,0,0.5))*P1161</f>
        <v>135067.5</v>
      </c>
    </row>
    <row r="1162" spans="3:17" x14ac:dyDescent="0.25">
      <c r="C1162" s="191"/>
      <c r="K1162" s="283" t="s">
        <v>1272</v>
      </c>
      <c r="L1162" s="283" t="s">
        <v>665</v>
      </c>
      <c r="M1162" s="283" t="s">
        <v>247</v>
      </c>
      <c r="N1162" s="283" t="s">
        <v>253</v>
      </c>
      <c r="O1162" s="283">
        <v>58</v>
      </c>
      <c r="P1162" s="283">
        <v>9493</v>
      </c>
      <c r="Q1162" s="235">
        <f>(O1162+IF('Scenario Analysis'!$N$23=1,0,0.5))*P1162</f>
        <v>555340.5</v>
      </c>
    </row>
    <row r="1163" spans="3:17" x14ac:dyDescent="0.25">
      <c r="C1163" s="191"/>
      <c r="K1163" s="283" t="s">
        <v>1272</v>
      </c>
      <c r="L1163" s="283" t="s">
        <v>665</v>
      </c>
      <c r="M1163" s="283" t="s">
        <v>247</v>
      </c>
      <c r="N1163" s="283" t="s">
        <v>253</v>
      </c>
      <c r="O1163" s="283">
        <v>59</v>
      </c>
      <c r="P1163" s="283">
        <v>1869</v>
      </c>
      <c r="Q1163" s="235">
        <f>(O1163+IF('Scenario Analysis'!$N$23=1,0,0.5))*P1163</f>
        <v>111205.5</v>
      </c>
    </row>
    <row r="1164" spans="3:17" x14ac:dyDescent="0.25">
      <c r="C1164" s="191"/>
      <c r="K1164" s="283" t="s">
        <v>1272</v>
      </c>
      <c r="L1164" s="283" t="s">
        <v>665</v>
      </c>
      <c r="M1164" s="283" t="s">
        <v>247</v>
      </c>
      <c r="N1164" s="283" t="s">
        <v>253</v>
      </c>
      <c r="O1164" s="283">
        <v>60</v>
      </c>
      <c r="P1164" s="283">
        <v>3154</v>
      </c>
      <c r="Q1164" s="235">
        <f>(O1164+IF('Scenario Analysis'!$N$23=1,0,0.5))*P1164</f>
        <v>190817</v>
      </c>
    </row>
    <row r="1165" spans="3:17" x14ac:dyDescent="0.25">
      <c r="C1165" s="191"/>
      <c r="K1165" s="283" t="s">
        <v>1272</v>
      </c>
      <c r="L1165" s="283" t="s">
        <v>665</v>
      </c>
      <c r="M1165" s="283" t="s">
        <v>247</v>
      </c>
      <c r="N1165" s="283" t="s">
        <v>253</v>
      </c>
      <c r="O1165" s="283">
        <v>61</v>
      </c>
      <c r="P1165" s="283">
        <v>2852</v>
      </c>
      <c r="Q1165" s="235">
        <f>(O1165+IF('Scenario Analysis'!$N$23=1,0,0.5))*P1165</f>
        <v>175398</v>
      </c>
    </row>
    <row r="1166" spans="3:17" x14ac:dyDescent="0.25">
      <c r="C1166" s="191"/>
      <c r="K1166" s="283" t="s">
        <v>1272</v>
      </c>
      <c r="L1166" s="283" t="s">
        <v>665</v>
      </c>
      <c r="M1166" s="283" t="s">
        <v>247</v>
      </c>
      <c r="N1166" s="283" t="s">
        <v>253</v>
      </c>
      <c r="O1166" s="283">
        <v>62</v>
      </c>
      <c r="P1166" s="283">
        <v>1058</v>
      </c>
      <c r="Q1166" s="235">
        <f>(O1166+IF('Scenario Analysis'!$N$23=1,0,0.5))*P1166</f>
        <v>66125</v>
      </c>
    </row>
    <row r="1167" spans="3:17" x14ac:dyDescent="0.25">
      <c r="C1167" s="191"/>
      <c r="K1167" s="283" t="s">
        <v>1272</v>
      </c>
      <c r="L1167" s="283" t="s">
        <v>665</v>
      </c>
      <c r="M1167" s="283" t="s">
        <v>247</v>
      </c>
      <c r="N1167" s="283" t="s">
        <v>253</v>
      </c>
      <c r="O1167" s="283">
        <v>63</v>
      </c>
      <c r="P1167" s="283">
        <v>2579</v>
      </c>
      <c r="Q1167" s="235">
        <f>(O1167+IF('Scenario Analysis'!$N$23=1,0,0.5))*P1167</f>
        <v>163766.5</v>
      </c>
    </row>
    <row r="1168" spans="3:17" x14ac:dyDescent="0.25">
      <c r="C1168" s="191"/>
      <c r="K1168" s="283" t="s">
        <v>1272</v>
      </c>
      <c r="L1168" s="283" t="s">
        <v>665</v>
      </c>
      <c r="M1168" s="283" t="s">
        <v>247</v>
      </c>
      <c r="N1168" s="283" t="s">
        <v>253</v>
      </c>
      <c r="O1168" s="283">
        <v>64</v>
      </c>
      <c r="P1168" s="283">
        <v>1355</v>
      </c>
      <c r="Q1168" s="235">
        <f>(O1168+IF('Scenario Analysis'!$N$23=1,0,0.5))*P1168</f>
        <v>87397.5</v>
      </c>
    </row>
    <row r="1169" spans="3:17" x14ac:dyDescent="0.25">
      <c r="C1169" s="191"/>
      <c r="K1169" s="283" t="s">
        <v>1272</v>
      </c>
      <c r="L1169" s="283" t="s">
        <v>665</v>
      </c>
      <c r="M1169" s="283" t="s">
        <v>247</v>
      </c>
      <c r="N1169" s="283" t="s">
        <v>253</v>
      </c>
      <c r="O1169" s="283">
        <v>65</v>
      </c>
      <c r="P1169" s="283">
        <v>918</v>
      </c>
      <c r="Q1169" s="235">
        <f>(O1169+IF('Scenario Analysis'!$N$23=1,0,0.5))*P1169</f>
        <v>60129</v>
      </c>
    </row>
    <row r="1170" spans="3:17" x14ac:dyDescent="0.25">
      <c r="C1170" s="191"/>
      <c r="K1170" s="283" t="s">
        <v>1272</v>
      </c>
      <c r="L1170" s="283" t="s">
        <v>665</v>
      </c>
      <c r="M1170" s="283" t="s">
        <v>247</v>
      </c>
      <c r="N1170" s="283" t="s">
        <v>253</v>
      </c>
      <c r="O1170" s="283">
        <v>66</v>
      </c>
      <c r="P1170" s="283">
        <v>705</v>
      </c>
      <c r="Q1170" s="235">
        <f>(O1170+IF('Scenario Analysis'!$N$23=1,0,0.5))*P1170</f>
        <v>46882.5</v>
      </c>
    </row>
    <row r="1171" spans="3:17" x14ac:dyDescent="0.25">
      <c r="C1171" s="191"/>
      <c r="K1171" s="283" t="s">
        <v>1272</v>
      </c>
      <c r="L1171" s="283" t="s">
        <v>665</v>
      </c>
      <c r="M1171" s="283" t="s">
        <v>247</v>
      </c>
      <c r="N1171" s="283" t="s">
        <v>253</v>
      </c>
      <c r="O1171" s="283">
        <v>67</v>
      </c>
      <c r="P1171" s="283">
        <v>1183</v>
      </c>
      <c r="Q1171" s="235">
        <f>(O1171+IF('Scenario Analysis'!$N$23=1,0,0.5))*P1171</f>
        <v>79852.5</v>
      </c>
    </row>
    <row r="1172" spans="3:17" x14ac:dyDescent="0.25">
      <c r="C1172" s="191"/>
      <c r="K1172" s="283" t="s">
        <v>1272</v>
      </c>
      <c r="L1172" s="283" t="s">
        <v>665</v>
      </c>
      <c r="M1172" s="283" t="s">
        <v>247</v>
      </c>
      <c r="N1172" s="283" t="s">
        <v>253</v>
      </c>
      <c r="O1172" s="283">
        <v>68</v>
      </c>
      <c r="P1172" s="283">
        <v>427</v>
      </c>
      <c r="Q1172" s="235">
        <f>(O1172+IF('Scenario Analysis'!$N$23=1,0,0.5))*P1172</f>
        <v>29249.5</v>
      </c>
    </row>
    <row r="1173" spans="3:17" x14ac:dyDescent="0.25">
      <c r="C1173" s="191"/>
      <c r="K1173" s="283" t="s">
        <v>1272</v>
      </c>
      <c r="L1173" s="283" t="s">
        <v>665</v>
      </c>
      <c r="M1173" s="283" t="s">
        <v>247</v>
      </c>
      <c r="N1173" s="283" t="s">
        <v>253</v>
      </c>
      <c r="O1173" s="283">
        <v>69</v>
      </c>
      <c r="P1173" s="283">
        <v>526</v>
      </c>
      <c r="Q1173" s="235">
        <f>(O1173+IF('Scenario Analysis'!$N$23=1,0,0.5))*P1173</f>
        <v>36557</v>
      </c>
    </row>
    <row r="1174" spans="3:17" x14ac:dyDescent="0.25">
      <c r="C1174" s="191"/>
      <c r="K1174" s="283" t="s">
        <v>1272</v>
      </c>
      <c r="L1174" s="283" t="s">
        <v>665</v>
      </c>
      <c r="M1174" s="283" t="s">
        <v>247</v>
      </c>
      <c r="N1174" s="283" t="s">
        <v>253</v>
      </c>
      <c r="O1174" s="283">
        <v>70</v>
      </c>
      <c r="P1174" s="283">
        <v>395</v>
      </c>
      <c r="Q1174" s="235">
        <f>(O1174+IF('Scenario Analysis'!$N$23=1,0,0.5))*P1174</f>
        <v>27847.5</v>
      </c>
    </row>
    <row r="1175" spans="3:17" x14ac:dyDescent="0.25">
      <c r="C1175" s="191"/>
      <c r="K1175" s="283" t="s">
        <v>1272</v>
      </c>
      <c r="L1175" s="283" t="s">
        <v>665</v>
      </c>
      <c r="M1175" s="283" t="s">
        <v>247</v>
      </c>
      <c r="N1175" s="283" t="s">
        <v>253</v>
      </c>
      <c r="O1175" s="283">
        <v>71</v>
      </c>
      <c r="P1175" s="283">
        <v>260</v>
      </c>
      <c r="Q1175" s="235">
        <f>(O1175+IF('Scenario Analysis'!$N$23=1,0,0.5))*P1175</f>
        <v>18590</v>
      </c>
    </row>
    <row r="1176" spans="3:17" x14ac:dyDescent="0.25">
      <c r="C1176" s="191"/>
      <c r="K1176" s="283" t="s">
        <v>1272</v>
      </c>
      <c r="L1176" s="283" t="s">
        <v>665</v>
      </c>
      <c r="M1176" s="283" t="s">
        <v>247</v>
      </c>
      <c r="N1176" s="283" t="s">
        <v>253</v>
      </c>
      <c r="O1176" s="283">
        <v>72</v>
      </c>
      <c r="P1176" s="283">
        <v>372</v>
      </c>
      <c r="Q1176" s="235">
        <f>(O1176+IF('Scenario Analysis'!$N$23=1,0,0.5))*P1176</f>
        <v>26970</v>
      </c>
    </row>
    <row r="1177" spans="3:17" x14ac:dyDescent="0.25">
      <c r="C1177" s="191"/>
      <c r="K1177" s="283" t="s">
        <v>1272</v>
      </c>
      <c r="L1177" s="283" t="s">
        <v>665</v>
      </c>
      <c r="M1177" s="283" t="s">
        <v>247</v>
      </c>
      <c r="N1177" s="283" t="s">
        <v>253</v>
      </c>
      <c r="O1177" s="283">
        <v>73</v>
      </c>
      <c r="P1177" s="283">
        <v>313</v>
      </c>
      <c r="Q1177" s="235">
        <f>(O1177+IF('Scenario Analysis'!$N$23=1,0,0.5))*P1177</f>
        <v>23005.5</v>
      </c>
    </row>
    <row r="1178" spans="3:17" x14ac:dyDescent="0.25">
      <c r="C1178" s="191"/>
      <c r="K1178" s="283" t="s">
        <v>1272</v>
      </c>
      <c r="L1178" s="283" t="s">
        <v>665</v>
      </c>
      <c r="M1178" s="283" t="s">
        <v>247</v>
      </c>
      <c r="N1178" s="283" t="s">
        <v>253</v>
      </c>
      <c r="O1178" s="283">
        <v>74</v>
      </c>
      <c r="P1178" s="283">
        <v>135</v>
      </c>
      <c r="Q1178" s="235">
        <f>(O1178+IF('Scenario Analysis'!$N$23=1,0,0.5))*P1178</f>
        <v>10057.5</v>
      </c>
    </row>
    <row r="1179" spans="3:17" x14ac:dyDescent="0.25">
      <c r="C1179" s="191"/>
      <c r="K1179" s="283" t="s">
        <v>1272</v>
      </c>
      <c r="L1179" s="283" t="s">
        <v>665</v>
      </c>
      <c r="M1179" s="283" t="s">
        <v>247</v>
      </c>
      <c r="N1179" s="283" t="s">
        <v>253</v>
      </c>
      <c r="O1179" s="283">
        <v>75</v>
      </c>
      <c r="P1179" s="283">
        <v>171</v>
      </c>
      <c r="Q1179" s="235">
        <f>(O1179+IF('Scenario Analysis'!$N$23=1,0,0.5))*P1179</f>
        <v>12910.5</v>
      </c>
    </row>
    <row r="1180" spans="3:17" x14ac:dyDescent="0.25">
      <c r="C1180" s="191"/>
      <c r="K1180" s="283" t="s">
        <v>1272</v>
      </c>
      <c r="L1180" s="283" t="s">
        <v>665</v>
      </c>
      <c r="M1180" s="283" t="s">
        <v>247</v>
      </c>
      <c r="N1180" s="283" t="s">
        <v>253</v>
      </c>
      <c r="O1180" s="283">
        <v>76</v>
      </c>
      <c r="P1180" s="283">
        <v>188</v>
      </c>
      <c r="Q1180" s="235">
        <f>(O1180+IF('Scenario Analysis'!$N$23=1,0,0.5))*P1180</f>
        <v>14382</v>
      </c>
    </row>
    <row r="1181" spans="3:17" x14ac:dyDescent="0.25">
      <c r="C1181" s="191"/>
      <c r="K1181" s="283" t="s">
        <v>1272</v>
      </c>
      <c r="L1181" s="283" t="s">
        <v>665</v>
      </c>
      <c r="M1181" s="283" t="s">
        <v>247</v>
      </c>
      <c r="N1181" s="283" t="s">
        <v>253</v>
      </c>
      <c r="O1181" s="283">
        <v>77</v>
      </c>
      <c r="P1181" s="283">
        <v>112</v>
      </c>
      <c r="Q1181" s="235">
        <f>(O1181+IF('Scenario Analysis'!$N$23=1,0,0.5))*P1181</f>
        <v>8680</v>
      </c>
    </row>
    <row r="1182" spans="3:17" x14ac:dyDescent="0.25">
      <c r="C1182" s="191"/>
      <c r="K1182" s="283" t="s">
        <v>1272</v>
      </c>
      <c r="L1182" s="283" t="s">
        <v>665</v>
      </c>
      <c r="M1182" s="283" t="s">
        <v>247</v>
      </c>
      <c r="N1182" s="283" t="s">
        <v>253</v>
      </c>
      <c r="O1182" s="283">
        <v>78</v>
      </c>
      <c r="P1182" s="283">
        <v>120</v>
      </c>
      <c r="Q1182" s="235">
        <f>(O1182+IF('Scenario Analysis'!$N$23=1,0,0.5))*P1182</f>
        <v>9420</v>
      </c>
    </row>
    <row r="1183" spans="3:17" x14ac:dyDescent="0.25">
      <c r="C1183" s="191"/>
      <c r="K1183" s="283" t="s">
        <v>1272</v>
      </c>
      <c r="L1183" s="283" t="s">
        <v>665</v>
      </c>
      <c r="M1183" s="283" t="s">
        <v>247</v>
      </c>
      <c r="N1183" s="283" t="s">
        <v>253</v>
      </c>
      <c r="O1183" s="283">
        <v>79</v>
      </c>
      <c r="P1183" s="283">
        <v>79</v>
      </c>
      <c r="Q1183" s="235">
        <f>(O1183+IF('Scenario Analysis'!$N$23=1,0,0.5))*P1183</f>
        <v>6280.5</v>
      </c>
    </row>
    <row r="1184" spans="3:17" x14ac:dyDescent="0.25">
      <c r="C1184" s="191"/>
      <c r="K1184" s="283" t="s">
        <v>1272</v>
      </c>
      <c r="L1184" s="283" t="s">
        <v>665</v>
      </c>
      <c r="M1184" s="283" t="s">
        <v>247</v>
      </c>
      <c r="N1184" s="283" t="s">
        <v>253</v>
      </c>
      <c r="O1184" s="283">
        <v>80</v>
      </c>
      <c r="P1184" s="283">
        <v>148</v>
      </c>
      <c r="Q1184" s="235">
        <f>(O1184+IF('Scenario Analysis'!$N$23=1,0,0.5))*P1184</f>
        <v>11914</v>
      </c>
    </row>
    <row r="1185" spans="3:17" x14ac:dyDescent="0.25">
      <c r="C1185" s="191"/>
      <c r="K1185" s="283" t="s">
        <v>1272</v>
      </c>
      <c r="L1185" s="283" t="s">
        <v>665</v>
      </c>
      <c r="M1185" s="283" t="s">
        <v>247</v>
      </c>
      <c r="N1185" s="283" t="s">
        <v>253</v>
      </c>
      <c r="O1185" s="283">
        <v>81</v>
      </c>
      <c r="P1185" s="283">
        <v>117</v>
      </c>
      <c r="Q1185" s="235">
        <f>(O1185+IF('Scenario Analysis'!$N$23=1,0,0.5))*P1185</f>
        <v>9535.5</v>
      </c>
    </row>
    <row r="1186" spans="3:17" x14ac:dyDescent="0.25">
      <c r="C1186" s="191"/>
      <c r="K1186" s="283" t="s">
        <v>1272</v>
      </c>
      <c r="L1186" s="283" t="s">
        <v>665</v>
      </c>
      <c r="M1186" s="283" t="s">
        <v>247</v>
      </c>
      <c r="N1186" s="283" t="s">
        <v>253</v>
      </c>
      <c r="O1186" s="283">
        <v>82</v>
      </c>
      <c r="P1186" s="283">
        <v>66</v>
      </c>
      <c r="Q1186" s="235">
        <f>(O1186+IF('Scenario Analysis'!$N$23=1,0,0.5))*P1186</f>
        <v>5445</v>
      </c>
    </row>
    <row r="1187" spans="3:17" x14ac:dyDescent="0.25">
      <c r="C1187" s="191"/>
      <c r="K1187" s="283" t="s">
        <v>1272</v>
      </c>
      <c r="L1187" s="283" t="s">
        <v>665</v>
      </c>
      <c r="M1187" s="283" t="s">
        <v>247</v>
      </c>
      <c r="N1187" s="283" t="s">
        <v>253</v>
      </c>
      <c r="O1187" s="283">
        <v>83</v>
      </c>
      <c r="P1187" s="283">
        <v>47</v>
      </c>
      <c r="Q1187" s="235">
        <f>(O1187+IF('Scenario Analysis'!$N$23=1,0,0.5))*P1187</f>
        <v>3924.5</v>
      </c>
    </row>
    <row r="1188" spans="3:17" x14ac:dyDescent="0.25">
      <c r="C1188" s="191"/>
      <c r="K1188" s="283" t="s">
        <v>1272</v>
      </c>
      <c r="L1188" s="283" t="s">
        <v>665</v>
      </c>
      <c r="M1188" s="283" t="s">
        <v>247</v>
      </c>
      <c r="N1188" s="283" t="s">
        <v>253</v>
      </c>
      <c r="O1188" s="283">
        <v>84</v>
      </c>
      <c r="P1188" s="283">
        <v>102</v>
      </c>
      <c r="Q1188" s="235">
        <f>(O1188+IF('Scenario Analysis'!$N$23=1,0,0.5))*P1188</f>
        <v>8619</v>
      </c>
    </row>
    <row r="1189" spans="3:17" x14ac:dyDescent="0.25">
      <c r="C1189" s="191"/>
      <c r="K1189" s="283" t="s">
        <v>1272</v>
      </c>
      <c r="L1189" s="283" t="s">
        <v>665</v>
      </c>
      <c r="M1189" s="283" t="s">
        <v>247</v>
      </c>
      <c r="N1189" s="283" t="s">
        <v>253</v>
      </c>
      <c r="O1189" s="283">
        <v>85</v>
      </c>
      <c r="P1189" s="283">
        <v>32</v>
      </c>
      <c r="Q1189" s="235">
        <f>(O1189+IF('Scenario Analysis'!$N$23=1,0,0.5))*P1189</f>
        <v>2736</v>
      </c>
    </row>
    <row r="1190" spans="3:17" x14ac:dyDescent="0.25">
      <c r="C1190" s="191"/>
      <c r="K1190" s="283" t="s">
        <v>1272</v>
      </c>
      <c r="L1190" s="283" t="s">
        <v>665</v>
      </c>
      <c r="M1190" s="283" t="s">
        <v>247</v>
      </c>
      <c r="N1190" s="283" t="s">
        <v>253</v>
      </c>
      <c r="O1190" s="283">
        <v>86</v>
      </c>
      <c r="P1190" s="283">
        <v>60</v>
      </c>
      <c r="Q1190" s="235">
        <f>(O1190+IF('Scenario Analysis'!$N$23=1,0,0.5))*P1190</f>
        <v>5190</v>
      </c>
    </row>
    <row r="1191" spans="3:17" x14ac:dyDescent="0.25">
      <c r="C1191" s="191"/>
      <c r="K1191" s="283" t="s">
        <v>1272</v>
      </c>
      <c r="L1191" s="283" t="s">
        <v>665</v>
      </c>
      <c r="M1191" s="283" t="s">
        <v>247</v>
      </c>
      <c r="N1191" s="283" t="s">
        <v>253</v>
      </c>
      <c r="O1191" s="283">
        <v>87</v>
      </c>
      <c r="P1191" s="283">
        <v>62</v>
      </c>
      <c r="Q1191" s="235">
        <f>(O1191+IF('Scenario Analysis'!$N$23=1,0,0.5))*P1191</f>
        <v>5425</v>
      </c>
    </row>
    <row r="1192" spans="3:17" x14ac:dyDescent="0.25">
      <c r="C1192" s="191"/>
      <c r="K1192" s="283" t="s">
        <v>1272</v>
      </c>
      <c r="L1192" s="283" t="s">
        <v>665</v>
      </c>
      <c r="M1192" s="283" t="s">
        <v>247</v>
      </c>
      <c r="N1192" s="283" t="s">
        <v>253</v>
      </c>
      <c r="O1192" s="283">
        <v>88</v>
      </c>
      <c r="P1192" s="283">
        <v>63</v>
      </c>
      <c r="Q1192" s="235">
        <f>(O1192+IF('Scenario Analysis'!$N$23=1,0,0.5))*P1192</f>
        <v>5575.5</v>
      </c>
    </row>
    <row r="1193" spans="3:17" x14ac:dyDescent="0.25">
      <c r="C1193" s="191"/>
      <c r="K1193" s="283" t="s">
        <v>1272</v>
      </c>
      <c r="L1193" s="283" t="s">
        <v>665</v>
      </c>
      <c r="M1193" s="283" t="s">
        <v>247</v>
      </c>
      <c r="N1193" s="283" t="s">
        <v>253</v>
      </c>
      <c r="O1193" s="283">
        <v>89</v>
      </c>
      <c r="P1193" s="283">
        <v>49</v>
      </c>
      <c r="Q1193" s="235">
        <f>(O1193+IF('Scenario Analysis'!$N$23=1,0,0.5))*P1193</f>
        <v>4385.5</v>
      </c>
    </row>
    <row r="1194" spans="3:17" x14ac:dyDescent="0.25">
      <c r="C1194" s="191"/>
      <c r="K1194" s="283" t="s">
        <v>1272</v>
      </c>
      <c r="L1194" s="283" t="s">
        <v>665</v>
      </c>
      <c r="M1194" s="283" t="s">
        <v>247</v>
      </c>
      <c r="N1194" s="283" t="s">
        <v>253</v>
      </c>
      <c r="O1194" s="283">
        <v>90</v>
      </c>
      <c r="P1194" s="283">
        <v>21</v>
      </c>
      <c r="Q1194" s="235">
        <f>(O1194+IF('Scenario Analysis'!$N$23=1,0,0.5))*P1194</f>
        <v>1900.5</v>
      </c>
    </row>
    <row r="1195" spans="3:17" x14ac:dyDescent="0.25">
      <c r="C1195" s="191"/>
      <c r="K1195" s="283" t="s">
        <v>1272</v>
      </c>
      <c r="L1195" s="283" t="s">
        <v>665</v>
      </c>
      <c r="M1195" s="283" t="s">
        <v>247</v>
      </c>
      <c r="N1195" s="283" t="s">
        <v>253</v>
      </c>
      <c r="O1195" s="283">
        <v>91</v>
      </c>
      <c r="P1195" s="283">
        <v>28</v>
      </c>
      <c r="Q1195" s="235">
        <f>(O1195+IF('Scenario Analysis'!$N$23=1,0,0.5))*P1195</f>
        <v>2562</v>
      </c>
    </row>
    <row r="1196" spans="3:17" x14ac:dyDescent="0.25">
      <c r="C1196" s="191"/>
      <c r="K1196" s="283" t="s">
        <v>1272</v>
      </c>
      <c r="L1196" s="283" t="s">
        <v>665</v>
      </c>
      <c r="M1196" s="283" t="s">
        <v>247</v>
      </c>
      <c r="N1196" s="283" t="s">
        <v>253</v>
      </c>
      <c r="O1196" s="283">
        <v>92</v>
      </c>
      <c r="P1196" s="283">
        <v>17</v>
      </c>
      <c r="Q1196" s="235">
        <f>(O1196+IF('Scenario Analysis'!$N$23=1,0,0.5))*P1196</f>
        <v>1572.5</v>
      </c>
    </row>
    <row r="1197" spans="3:17" x14ac:dyDescent="0.25">
      <c r="C1197" s="191"/>
      <c r="K1197" s="283" t="s">
        <v>1272</v>
      </c>
      <c r="L1197" s="283" t="s">
        <v>665</v>
      </c>
      <c r="M1197" s="283" t="s">
        <v>247</v>
      </c>
      <c r="N1197" s="283" t="s">
        <v>253</v>
      </c>
      <c r="O1197" s="283">
        <v>93</v>
      </c>
      <c r="P1197" s="283">
        <v>24</v>
      </c>
      <c r="Q1197" s="235">
        <f>(O1197+IF('Scenario Analysis'!$N$23=1,0,0.5))*P1197</f>
        <v>2244</v>
      </c>
    </row>
    <row r="1198" spans="3:17" x14ac:dyDescent="0.25">
      <c r="C1198" s="191"/>
      <c r="K1198" s="283" t="s">
        <v>1272</v>
      </c>
      <c r="L1198" s="283" t="s">
        <v>665</v>
      </c>
      <c r="M1198" s="283" t="s">
        <v>247</v>
      </c>
      <c r="N1198" s="283" t="s">
        <v>253</v>
      </c>
      <c r="O1198" s="283">
        <v>94</v>
      </c>
      <c r="P1198" s="283">
        <v>4</v>
      </c>
      <c r="Q1198" s="235">
        <f>(O1198+IF('Scenario Analysis'!$N$23=1,0,0.5))*P1198</f>
        <v>378</v>
      </c>
    </row>
    <row r="1199" spans="3:17" x14ac:dyDescent="0.25">
      <c r="C1199" s="191"/>
      <c r="K1199" s="283" t="s">
        <v>1272</v>
      </c>
      <c r="L1199" s="283" t="s">
        <v>665</v>
      </c>
      <c r="M1199" s="283" t="s">
        <v>247</v>
      </c>
      <c r="N1199" s="283" t="s">
        <v>253</v>
      </c>
      <c r="O1199" s="283">
        <v>95</v>
      </c>
      <c r="P1199" s="283">
        <v>11</v>
      </c>
      <c r="Q1199" s="235">
        <f>(O1199+IF('Scenario Analysis'!$N$23=1,0,0.5))*P1199</f>
        <v>1050.5</v>
      </c>
    </row>
    <row r="1200" spans="3:17" x14ac:dyDescent="0.25">
      <c r="C1200" s="191"/>
      <c r="K1200" s="283" t="s">
        <v>1272</v>
      </c>
      <c r="L1200" s="283" t="s">
        <v>665</v>
      </c>
      <c r="M1200" s="283" t="s">
        <v>247</v>
      </c>
      <c r="N1200" s="283" t="s">
        <v>253</v>
      </c>
      <c r="O1200" s="283">
        <v>96</v>
      </c>
      <c r="P1200" s="283">
        <v>33</v>
      </c>
      <c r="Q1200" s="235">
        <f>(O1200+IF('Scenario Analysis'!$N$23=1,0,0.5))*P1200</f>
        <v>3184.5</v>
      </c>
    </row>
    <row r="1201" spans="3:17" x14ac:dyDescent="0.25">
      <c r="C1201" s="191"/>
      <c r="K1201" s="283" t="s">
        <v>1272</v>
      </c>
      <c r="L1201" s="283" t="s">
        <v>665</v>
      </c>
      <c r="M1201" s="283" t="s">
        <v>247</v>
      </c>
      <c r="N1201" s="283" t="s">
        <v>253</v>
      </c>
      <c r="O1201" s="283">
        <v>97</v>
      </c>
      <c r="P1201" s="283">
        <v>6</v>
      </c>
      <c r="Q1201" s="235">
        <f>(O1201+IF('Scenario Analysis'!$N$23=1,0,0.5))*P1201</f>
        <v>585</v>
      </c>
    </row>
    <row r="1202" spans="3:17" x14ac:dyDescent="0.25">
      <c r="C1202" s="191"/>
      <c r="K1202" s="283" t="s">
        <v>1272</v>
      </c>
      <c r="L1202" s="283" t="s">
        <v>665</v>
      </c>
      <c r="M1202" s="283" t="s">
        <v>247</v>
      </c>
      <c r="N1202" s="283" t="s">
        <v>253</v>
      </c>
      <c r="O1202" s="283">
        <v>98</v>
      </c>
      <c r="P1202" s="283">
        <v>16</v>
      </c>
      <c r="Q1202" s="235">
        <f>(O1202+IF('Scenario Analysis'!$N$23=1,0,0.5))*P1202</f>
        <v>1576</v>
      </c>
    </row>
    <row r="1203" spans="3:17" x14ac:dyDescent="0.25">
      <c r="C1203" s="191"/>
      <c r="K1203" s="283" t="s">
        <v>1272</v>
      </c>
      <c r="L1203" s="283" t="s">
        <v>665</v>
      </c>
      <c r="M1203" s="283" t="s">
        <v>247</v>
      </c>
      <c r="N1203" s="283" t="s">
        <v>253</v>
      </c>
      <c r="O1203" s="283">
        <v>99</v>
      </c>
      <c r="P1203" s="283">
        <v>4</v>
      </c>
      <c r="Q1203" s="235">
        <f>(O1203+IF('Scenario Analysis'!$N$23=1,0,0.5))*P1203</f>
        <v>398</v>
      </c>
    </row>
    <row r="1204" spans="3:17" x14ac:dyDescent="0.25">
      <c r="C1204" s="191"/>
      <c r="K1204" s="283" t="s">
        <v>1272</v>
      </c>
      <c r="L1204" s="283" t="s">
        <v>665</v>
      </c>
      <c r="M1204" s="283" t="s">
        <v>247</v>
      </c>
      <c r="N1204" s="283" t="s">
        <v>253</v>
      </c>
      <c r="O1204" s="283">
        <v>100</v>
      </c>
      <c r="P1204" s="283">
        <v>4</v>
      </c>
      <c r="Q1204" s="235">
        <f>(O1204+IF('Scenario Analysis'!$N$23=1,0,0.5))*P1204</f>
        <v>402</v>
      </c>
    </row>
    <row r="1205" spans="3:17" x14ac:dyDescent="0.25">
      <c r="C1205" s="191"/>
      <c r="K1205" s="283" t="s">
        <v>1272</v>
      </c>
      <c r="L1205" s="283" t="s">
        <v>665</v>
      </c>
      <c r="M1205" s="283" t="s">
        <v>247</v>
      </c>
      <c r="N1205" s="283" t="s">
        <v>253</v>
      </c>
      <c r="O1205" s="283">
        <v>101</v>
      </c>
      <c r="P1205" s="283">
        <v>21</v>
      </c>
      <c r="Q1205" s="235">
        <f>(O1205+IF('Scenario Analysis'!$N$23=1,0,0.5))*P1205</f>
        <v>2131.5</v>
      </c>
    </row>
    <row r="1206" spans="3:17" x14ac:dyDescent="0.25">
      <c r="C1206" s="191"/>
      <c r="K1206" s="283" t="s">
        <v>1272</v>
      </c>
      <c r="L1206" s="283" t="s">
        <v>665</v>
      </c>
      <c r="M1206" s="283" t="s">
        <v>247</v>
      </c>
      <c r="N1206" s="283" t="s">
        <v>253</v>
      </c>
      <c r="O1206" s="283">
        <v>102</v>
      </c>
      <c r="P1206" s="283">
        <v>4</v>
      </c>
      <c r="Q1206" s="235">
        <f>(O1206+IF('Scenario Analysis'!$N$23=1,0,0.5))*P1206</f>
        <v>410</v>
      </c>
    </row>
    <row r="1207" spans="3:17" x14ac:dyDescent="0.25">
      <c r="C1207" s="191"/>
      <c r="K1207" s="283" t="s">
        <v>1272</v>
      </c>
      <c r="L1207" s="283" t="s">
        <v>665</v>
      </c>
      <c r="M1207" s="283" t="s">
        <v>247</v>
      </c>
      <c r="N1207" s="283" t="s">
        <v>253</v>
      </c>
      <c r="O1207" s="283">
        <v>103</v>
      </c>
      <c r="P1207" s="283">
        <v>11</v>
      </c>
      <c r="Q1207" s="235">
        <f>(O1207+IF('Scenario Analysis'!$N$23=1,0,0.5))*P1207</f>
        <v>1138.5</v>
      </c>
    </row>
    <row r="1208" spans="3:17" x14ac:dyDescent="0.25">
      <c r="C1208" s="191"/>
      <c r="K1208" s="283" t="s">
        <v>1272</v>
      </c>
      <c r="L1208" s="283" t="s">
        <v>665</v>
      </c>
      <c r="M1208" s="283" t="s">
        <v>247</v>
      </c>
      <c r="N1208" s="283" t="s">
        <v>253</v>
      </c>
      <c r="O1208" s="283">
        <v>104</v>
      </c>
      <c r="P1208" s="283">
        <v>4</v>
      </c>
      <c r="Q1208" s="235">
        <f>(O1208+IF('Scenario Analysis'!$N$23=1,0,0.5))*P1208</f>
        <v>418</v>
      </c>
    </row>
    <row r="1209" spans="3:17" x14ac:dyDescent="0.25">
      <c r="C1209" s="191"/>
      <c r="K1209" s="283" t="s">
        <v>1272</v>
      </c>
      <c r="L1209" s="283" t="s">
        <v>665</v>
      </c>
      <c r="M1209" s="283" t="s">
        <v>247</v>
      </c>
      <c r="N1209" s="283" t="s">
        <v>253</v>
      </c>
      <c r="O1209" s="283">
        <v>106</v>
      </c>
      <c r="P1209" s="283">
        <v>4</v>
      </c>
      <c r="Q1209" s="235">
        <f>(O1209+IF('Scenario Analysis'!$N$23=1,0,0.5))*P1209</f>
        <v>426</v>
      </c>
    </row>
    <row r="1210" spans="3:17" x14ac:dyDescent="0.25">
      <c r="C1210" s="191"/>
      <c r="K1210" s="283" t="s">
        <v>1272</v>
      </c>
      <c r="L1210" s="283" t="s">
        <v>665</v>
      </c>
      <c r="M1210" s="283" t="s">
        <v>247</v>
      </c>
      <c r="N1210" s="283" t="s">
        <v>253</v>
      </c>
      <c r="O1210" s="283">
        <v>107</v>
      </c>
      <c r="P1210" s="283">
        <v>5</v>
      </c>
      <c r="Q1210" s="235">
        <f>(O1210+IF('Scenario Analysis'!$N$23=1,0,0.5))*P1210</f>
        <v>537.5</v>
      </c>
    </row>
    <row r="1211" spans="3:17" x14ac:dyDescent="0.25">
      <c r="C1211" s="191"/>
      <c r="K1211" s="283" t="s">
        <v>1272</v>
      </c>
      <c r="L1211" s="283" t="s">
        <v>665</v>
      </c>
      <c r="M1211" s="283" t="s">
        <v>247</v>
      </c>
      <c r="N1211" s="283" t="s">
        <v>253</v>
      </c>
      <c r="O1211" s="283">
        <v>109</v>
      </c>
      <c r="P1211" s="283">
        <v>2</v>
      </c>
      <c r="Q1211" s="235">
        <f>(O1211+IF('Scenario Analysis'!$N$23=1,0,0.5))*P1211</f>
        <v>219</v>
      </c>
    </row>
    <row r="1212" spans="3:17" x14ac:dyDescent="0.25">
      <c r="C1212" s="191"/>
      <c r="K1212" s="283" t="s">
        <v>1272</v>
      </c>
      <c r="L1212" s="283" t="s">
        <v>665</v>
      </c>
      <c r="M1212" s="283" t="s">
        <v>247</v>
      </c>
      <c r="N1212" s="283" t="s">
        <v>253</v>
      </c>
      <c r="O1212" s="283">
        <v>110</v>
      </c>
      <c r="P1212" s="283">
        <v>6</v>
      </c>
      <c r="Q1212" s="235">
        <f>(O1212+IF('Scenario Analysis'!$N$23=1,0,0.5))*P1212</f>
        <v>663</v>
      </c>
    </row>
    <row r="1213" spans="3:17" x14ac:dyDescent="0.25">
      <c r="C1213" s="191"/>
      <c r="K1213" s="283" t="s">
        <v>1272</v>
      </c>
      <c r="L1213" s="283" t="s">
        <v>665</v>
      </c>
      <c r="M1213" s="283" t="s">
        <v>247</v>
      </c>
      <c r="N1213" s="283" t="s">
        <v>253</v>
      </c>
      <c r="O1213" s="283">
        <v>116</v>
      </c>
      <c r="P1213" s="283">
        <v>11</v>
      </c>
      <c r="Q1213" s="235">
        <f>(O1213+IF('Scenario Analysis'!$N$23=1,0,0.5))*P1213</f>
        <v>1281.5</v>
      </c>
    </row>
    <row r="1214" spans="3:17" x14ac:dyDescent="0.25">
      <c r="C1214" s="191"/>
      <c r="K1214" s="283" t="s">
        <v>1272</v>
      </c>
      <c r="L1214" s="283" t="s">
        <v>665</v>
      </c>
      <c r="M1214" s="283" t="s">
        <v>247</v>
      </c>
      <c r="N1214" s="283" t="s">
        <v>253</v>
      </c>
      <c r="O1214" s="283">
        <v>119</v>
      </c>
      <c r="P1214" s="283">
        <v>2</v>
      </c>
      <c r="Q1214" s="235">
        <f>(O1214+IF('Scenario Analysis'!$N$23=1,0,0.5))*P1214</f>
        <v>239</v>
      </c>
    </row>
    <row r="1215" spans="3:17" x14ac:dyDescent="0.25">
      <c r="C1215" s="191"/>
      <c r="K1215" s="283" t="s">
        <v>1272</v>
      </c>
      <c r="L1215" s="283" t="s">
        <v>665</v>
      </c>
      <c r="M1215" s="283" t="s">
        <v>247</v>
      </c>
      <c r="N1215" s="283" t="s">
        <v>253</v>
      </c>
      <c r="O1215" s="283">
        <v>122</v>
      </c>
      <c r="P1215" s="283">
        <v>1</v>
      </c>
      <c r="Q1215" s="235">
        <f>(O1215+IF('Scenario Analysis'!$N$23=1,0,0.5))*P1215</f>
        <v>122.5</v>
      </c>
    </row>
    <row r="1216" spans="3:17" x14ac:dyDescent="0.25">
      <c r="C1216" s="191"/>
      <c r="K1216" s="283" t="s">
        <v>1272</v>
      </c>
      <c r="L1216" s="283" t="s">
        <v>665</v>
      </c>
      <c r="M1216" s="283" t="s">
        <v>247</v>
      </c>
      <c r="N1216" s="283" t="s">
        <v>253</v>
      </c>
      <c r="O1216" s="283">
        <v>123</v>
      </c>
      <c r="P1216" s="283">
        <v>1</v>
      </c>
      <c r="Q1216" s="235">
        <f>(O1216+IF('Scenario Analysis'!$N$23=1,0,0.5))*P1216</f>
        <v>123.5</v>
      </c>
    </row>
    <row r="1217" spans="3:17" x14ac:dyDescent="0.25">
      <c r="C1217" s="191"/>
      <c r="K1217" s="283" t="s">
        <v>1272</v>
      </c>
      <c r="L1217" s="283" t="s">
        <v>665</v>
      </c>
      <c r="M1217" s="283" t="s">
        <v>247</v>
      </c>
      <c r="N1217" s="283" t="s">
        <v>253</v>
      </c>
      <c r="O1217" s="283">
        <v>124</v>
      </c>
      <c r="P1217" s="283">
        <v>1</v>
      </c>
      <c r="Q1217" s="235">
        <f>(O1217+IF('Scenario Analysis'!$N$23=1,0,0.5))*P1217</f>
        <v>124.5</v>
      </c>
    </row>
    <row r="1218" spans="3:17" x14ac:dyDescent="0.25">
      <c r="C1218" s="191"/>
      <c r="K1218" s="283" t="s">
        <v>1272</v>
      </c>
      <c r="L1218" s="283" t="s">
        <v>665</v>
      </c>
      <c r="M1218" s="283" t="s">
        <v>247</v>
      </c>
      <c r="N1218" s="283" t="s">
        <v>253</v>
      </c>
      <c r="O1218" s="283">
        <v>126</v>
      </c>
      <c r="P1218" s="283">
        <v>1</v>
      </c>
      <c r="Q1218" s="235">
        <f>(O1218+IF('Scenario Analysis'!$N$23=1,0,0.5))*P1218</f>
        <v>126.5</v>
      </c>
    </row>
    <row r="1219" spans="3:17" x14ac:dyDescent="0.25">
      <c r="C1219" s="191"/>
      <c r="K1219" s="283" t="s">
        <v>1272</v>
      </c>
      <c r="L1219" s="283" t="s">
        <v>665</v>
      </c>
      <c r="M1219" s="283" t="s">
        <v>247</v>
      </c>
      <c r="N1219" s="283" t="s">
        <v>253</v>
      </c>
      <c r="O1219" s="283">
        <v>131</v>
      </c>
      <c r="P1219" s="283">
        <v>1</v>
      </c>
      <c r="Q1219" s="235">
        <f>(O1219+IF('Scenario Analysis'!$N$23=1,0,0.5))*P1219</f>
        <v>131.5</v>
      </c>
    </row>
    <row r="1220" spans="3:17" x14ac:dyDescent="0.25">
      <c r="C1220" s="191"/>
      <c r="K1220" s="283" t="s">
        <v>1272</v>
      </c>
      <c r="L1220" s="283" t="s">
        <v>665</v>
      </c>
      <c r="M1220" s="283" t="s">
        <v>247</v>
      </c>
      <c r="N1220" s="283" t="s">
        <v>253</v>
      </c>
      <c r="O1220" s="283">
        <v>134</v>
      </c>
      <c r="P1220" s="283">
        <v>5</v>
      </c>
      <c r="Q1220" s="235">
        <f>(O1220+IF('Scenario Analysis'!$N$23=1,0,0.5))*P1220</f>
        <v>672.5</v>
      </c>
    </row>
    <row r="1221" spans="3:17" x14ac:dyDescent="0.25">
      <c r="C1221" s="191"/>
      <c r="K1221" s="283" t="s">
        <v>1272</v>
      </c>
      <c r="L1221" s="283" t="s">
        <v>665</v>
      </c>
      <c r="M1221" s="283" t="s">
        <v>247</v>
      </c>
      <c r="N1221" s="283" t="s">
        <v>253</v>
      </c>
      <c r="O1221" s="283">
        <v>138</v>
      </c>
      <c r="P1221" s="283">
        <v>4</v>
      </c>
      <c r="Q1221" s="235">
        <f>(O1221+IF('Scenario Analysis'!$N$23=1,0,0.5))*P1221</f>
        <v>554</v>
      </c>
    </row>
    <row r="1222" spans="3:17" x14ac:dyDescent="0.25">
      <c r="C1222" s="191"/>
      <c r="K1222" s="283" t="s">
        <v>1272</v>
      </c>
      <c r="L1222" s="283" t="s">
        <v>665</v>
      </c>
      <c r="M1222" s="283" t="s">
        <v>247</v>
      </c>
      <c r="N1222" s="283" t="s">
        <v>253</v>
      </c>
      <c r="O1222" s="283">
        <v>140</v>
      </c>
      <c r="P1222" s="283">
        <v>1</v>
      </c>
      <c r="Q1222" s="235">
        <f>(O1222+IF('Scenario Analysis'!$N$23=1,0,0.5))*P1222</f>
        <v>140.5</v>
      </c>
    </row>
    <row r="1223" spans="3:17" x14ac:dyDescent="0.25">
      <c r="C1223" s="191"/>
      <c r="K1223" s="283" t="s">
        <v>1272</v>
      </c>
      <c r="L1223" s="283" t="s">
        <v>665</v>
      </c>
      <c r="M1223" s="283" t="s">
        <v>247</v>
      </c>
      <c r="N1223" s="283" t="s">
        <v>253</v>
      </c>
      <c r="O1223" s="283">
        <v>141</v>
      </c>
      <c r="P1223" s="283">
        <v>1</v>
      </c>
      <c r="Q1223" s="235">
        <f>(O1223+IF('Scenario Analysis'!$N$23=1,0,0.5))*P1223</f>
        <v>141.5</v>
      </c>
    </row>
    <row r="1224" spans="3:17" x14ac:dyDescent="0.25">
      <c r="C1224" s="191"/>
      <c r="K1224" s="283" t="s">
        <v>1272</v>
      </c>
      <c r="L1224" s="283" t="s">
        <v>665</v>
      </c>
      <c r="M1224" s="283" t="s">
        <v>247</v>
      </c>
      <c r="N1224" s="283" t="s">
        <v>253</v>
      </c>
      <c r="O1224" s="283">
        <v>144</v>
      </c>
      <c r="P1224" s="283">
        <v>2</v>
      </c>
      <c r="Q1224" s="235">
        <f>(O1224+IF('Scenario Analysis'!$N$23=1,0,0.5))*P1224</f>
        <v>289</v>
      </c>
    </row>
    <row r="1225" spans="3:17" x14ac:dyDescent="0.25">
      <c r="C1225" s="191"/>
      <c r="K1225" s="283" t="s">
        <v>1272</v>
      </c>
      <c r="L1225" s="283" t="s">
        <v>665</v>
      </c>
      <c r="M1225" s="283" t="s">
        <v>247</v>
      </c>
      <c r="N1225" s="283" t="s">
        <v>253</v>
      </c>
      <c r="O1225" s="283">
        <v>147</v>
      </c>
      <c r="P1225" s="283">
        <v>9</v>
      </c>
      <c r="Q1225" s="235">
        <f>(O1225+IF('Scenario Analysis'!$N$23=1,0,0.5))*P1225</f>
        <v>1327.5</v>
      </c>
    </row>
    <row r="1226" spans="3:17" x14ac:dyDescent="0.25">
      <c r="C1226" s="191"/>
      <c r="K1226" s="283" t="s">
        <v>1272</v>
      </c>
      <c r="L1226" s="283" t="s">
        <v>665</v>
      </c>
      <c r="M1226" s="283" t="s">
        <v>247</v>
      </c>
      <c r="N1226" s="283" t="s">
        <v>253</v>
      </c>
      <c r="O1226" s="283">
        <v>149</v>
      </c>
      <c r="P1226" s="283">
        <v>3</v>
      </c>
      <c r="Q1226" s="235">
        <f>(O1226+IF('Scenario Analysis'!$N$23=1,0,0.5))*P1226</f>
        <v>448.5</v>
      </c>
    </row>
    <row r="1227" spans="3:17" x14ac:dyDescent="0.25">
      <c r="C1227" s="191"/>
      <c r="K1227" s="283" t="s">
        <v>1272</v>
      </c>
      <c r="L1227" s="283" t="s">
        <v>665</v>
      </c>
      <c r="M1227" s="283" t="s">
        <v>247</v>
      </c>
      <c r="N1227" s="283" t="s">
        <v>253</v>
      </c>
      <c r="O1227" s="283">
        <v>150</v>
      </c>
      <c r="P1227" s="283">
        <v>85</v>
      </c>
      <c r="Q1227" s="235">
        <f>(O1227+IF('Scenario Analysis'!$N$23=1,0,0.5))*P1227</f>
        <v>12792.5</v>
      </c>
    </row>
    <row r="1228" spans="3:17" x14ac:dyDescent="0.25">
      <c r="C1228" s="191"/>
      <c r="K1228" s="283" t="s">
        <v>1272</v>
      </c>
      <c r="L1228" s="283" t="s">
        <v>668</v>
      </c>
      <c r="M1228" s="283" t="s">
        <v>249</v>
      </c>
      <c r="N1228" s="283" t="s">
        <v>251</v>
      </c>
      <c r="O1228" s="283">
        <v>1</v>
      </c>
      <c r="P1228" s="283">
        <v>21647</v>
      </c>
      <c r="Q1228" s="235">
        <f>(O1228+IF('Scenario Analysis'!$N$23=1,0,0.5))*P1228</f>
        <v>32470.5</v>
      </c>
    </row>
    <row r="1229" spans="3:17" x14ac:dyDescent="0.25">
      <c r="C1229" s="191"/>
      <c r="K1229" s="283" t="s">
        <v>1272</v>
      </c>
      <c r="L1229" s="283" t="s">
        <v>668</v>
      </c>
      <c r="M1229" s="283" t="s">
        <v>249</v>
      </c>
      <c r="N1229" s="283" t="s">
        <v>251</v>
      </c>
      <c r="O1229" s="283">
        <v>2</v>
      </c>
      <c r="P1229" s="283">
        <v>54416</v>
      </c>
      <c r="Q1229" s="235">
        <f>(O1229+IF('Scenario Analysis'!$N$23=1,0,0.5))*P1229</f>
        <v>136040</v>
      </c>
    </row>
    <row r="1230" spans="3:17" x14ac:dyDescent="0.25">
      <c r="C1230" s="191"/>
      <c r="K1230" s="283" t="s">
        <v>1272</v>
      </c>
      <c r="L1230" s="283" t="s">
        <v>668</v>
      </c>
      <c r="M1230" s="283" t="s">
        <v>249</v>
      </c>
      <c r="N1230" s="283" t="s">
        <v>251</v>
      </c>
      <c r="O1230" s="283">
        <v>3</v>
      </c>
      <c r="P1230" s="283">
        <v>145226</v>
      </c>
      <c r="Q1230" s="235">
        <f>(O1230+IF('Scenario Analysis'!$N$23=1,0,0.5))*P1230</f>
        <v>508291</v>
      </c>
    </row>
    <row r="1231" spans="3:17" x14ac:dyDescent="0.25">
      <c r="C1231" s="191"/>
      <c r="K1231" s="283" t="s">
        <v>1272</v>
      </c>
      <c r="L1231" s="283" t="s">
        <v>668</v>
      </c>
      <c r="M1231" s="283" t="s">
        <v>249</v>
      </c>
      <c r="N1231" s="283" t="s">
        <v>251</v>
      </c>
      <c r="O1231" s="283">
        <v>4</v>
      </c>
      <c r="P1231" s="283">
        <v>33590</v>
      </c>
      <c r="Q1231" s="235">
        <f>(O1231+IF('Scenario Analysis'!$N$23=1,0,0.5))*P1231</f>
        <v>151155</v>
      </c>
    </row>
    <row r="1232" spans="3:17" x14ac:dyDescent="0.25">
      <c r="C1232" s="191"/>
      <c r="K1232" s="283" t="s">
        <v>1272</v>
      </c>
      <c r="L1232" s="283" t="s">
        <v>668</v>
      </c>
      <c r="M1232" s="283" t="s">
        <v>249</v>
      </c>
      <c r="N1232" s="283" t="s">
        <v>251</v>
      </c>
      <c r="O1232" s="283">
        <v>5</v>
      </c>
      <c r="P1232" s="283">
        <v>20274</v>
      </c>
      <c r="Q1232" s="235">
        <f>(O1232+IF('Scenario Analysis'!$N$23=1,0,0.5))*P1232</f>
        <v>111507</v>
      </c>
    </row>
    <row r="1233" spans="3:17" x14ac:dyDescent="0.25">
      <c r="C1233" s="191"/>
      <c r="K1233" s="283" t="s">
        <v>1272</v>
      </c>
      <c r="L1233" s="283" t="s">
        <v>668</v>
      </c>
      <c r="M1233" s="283" t="s">
        <v>249</v>
      </c>
      <c r="N1233" s="283" t="s">
        <v>251</v>
      </c>
      <c r="O1233" s="283">
        <v>6</v>
      </c>
      <c r="P1233" s="283">
        <v>131304</v>
      </c>
      <c r="Q1233" s="235">
        <f>(O1233+IF('Scenario Analysis'!$N$23=1,0,0.5))*P1233</f>
        <v>853476</v>
      </c>
    </row>
    <row r="1234" spans="3:17" x14ac:dyDescent="0.25">
      <c r="C1234" s="191"/>
      <c r="K1234" s="283" t="s">
        <v>1272</v>
      </c>
      <c r="L1234" s="283" t="s">
        <v>668</v>
      </c>
      <c r="M1234" s="283" t="s">
        <v>249</v>
      </c>
      <c r="N1234" s="283" t="s">
        <v>251</v>
      </c>
      <c r="O1234" s="283">
        <v>7</v>
      </c>
      <c r="P1234" s="283">
        <v>29585</v>
      </c>
      <c r="Q1234" s="235">
        <f>(O1234+IF('Scenario Analysis'!$N$23=1,0,0.5))*P1234</f>
        <v>221887.5</v>
      </c>
    </row>
    <row r="1235" spans="3:17" x14ac:dyDescent="0.25">
      <c r="C1235" s="191"/>
      <c r="K1235" s="283" t="s">
        <v>1272</v>
      </c>
      <c r="L1235" s="283" t="s">
        <v>668</v>
      </c>
      <c r="M1235" s="283" t="s">
        <v>249</v>
      </c>
      <c r="N1235" s="283" t="s">
        <v>251</v>
      </c>
      <c r="O1235" s="283">
        <v>8</v>
      </c>
      <c r="P1235" s="283">
        <v>79653</v>
      </c>
      <c r="Q1235" s="235">
        <f>(O1235+IF('Scenario Analysis'!$N$23=1,0,0.5))*P1235</f>
        <v>677050.5</v>
      </c>
    </row>
    <row r="1236" spans="3:17" x14ac:dyDescent="0.25">
      <c r="C1236" s="191"/>
      <c r="K1236" s="283" t="s">
        <v>1272</v>
      </c>
      <c r="L1236" s="283" t="s">
        <v>668</v>
      </c>
      <c r="M1236" s="283" t="s">
        <v>249</v>
      </c>
      <c r="N1236" s="283" t="s">
        <v>251</v>
      </c>
      <c r="O1236" s="283">
        <v>9</v>
      </c>
      <c r="P1236" s="283">
        <v>195652</v>
      </c>
      <c r="Q1236" s="235">
        <f>(O1236+IF('Scenario Analysis'!$N$23=1,0,0.5))*P1236</f>
        <v>1858694</v>
      </c>
    </row>
    <row r="1237" spans="3:17" x14ac:dyDescent="0.25">
      <c r="C1237" s="191"/>
      <c r="K1237" s="283" t="s">
        <v>1272</v>
      </c>
      <c r="L1237" s="283" t="s">
        <v>668</v>
      </c>
      <c r="M1237" s="283" t="s">
        <v>249</v>
      </c>
      <c r="N1237" s="283" t="s">
        <v>251</v>
      </c>
      <c r="O1237" s="283">
        <v>10</v>
      </c>
      <c r="P1237" s="283">
        <v>37018</v>
      </c>
      <c r="Q1237" s="235">
        <f>(O1237+IF('Scenario Analysis'!$N$23=1,0,0.5))*P1237</f>
        <v>388689</v>
      </c>
    </row>
    <row r="1238" spans="3:17" x14ac:dyDescent="0.25">
      <c r="C1238" s="191"/>
      <c r="K1238" s="283" t="s">
        <v>1272</v>
      </c>
      <c r="L1238" s="283" t="s">
        <v>668</v>
      </c>
      <c r="M1238" s="283" t="s">
        <v>249</v>
      </c>
      <c r="N1238" s="283" t="s">
        <v>251</v>
      </c>
      <c r="O1238" s="283">
        <v>11</v>
      </c>
      <c r="P1238" s="283">
        <v>31074</v>
      </c>
      <c r="Q1238" s="235">
        <f>(O1238+IF('Scenario Analysis'!$N$23=1,0,0.5))*P1238</f>
        <v>357351</v>
      </c>
    </row>
    <row r="1239" spans="3:17" x14ac:dyDescent="0.25">
      <c r="C1239" s="191"/>
      <c r="K1239" s="283" t="s">
        <v>1272</v>
      </c>
      <c r="L1239" s="283" t="s">
        <v>668</v>
      </c>
      <c r="M1239" s="283" t="s">
        <v>249</v>
      </c>
      <c r="N1239" s="283" t="s">
        <v>251</v>
      </c>
      <c r="O1239" s="283">
        <v>12</v>
      </c>
      <c r="P1239" s="283">
        <v>24424</v>
      </c>
      <c r="Q1239" s="235">
        <f>(O1239+IF('Scenario Analysis'!$N$23=1,0,0.5))*P1239</f>
        <v>305300</v>
      </c>
    </row>
    <row r="1240" spans="3:17" x14ac:dyDescent="0.25">
      <c r="C1240" s="191"/>
      <c r="K1240" s="283" t="s">
        <v>1272</v>
      </c>
      <c r="L1240" s="283" t="s">
        <v>668</v>
      </c>
      <c r="M1240" s="283" t="s">
        <v>249</v>
      </c>
      <c r="N1240" s="283" t="s">
        <v>251</v>
      </c>
      <c r="O1240" s="283">
        <v>13</v>
      </c>
      <c r="P1240" s="283">
        <v>222780</v>
      </c>
      <c r="Q1240" s="235">
        <f>(O1240+IF('Scenario Analysis'!$N$23=1,0,0.5))*P1240</f>
        <v>3007530</v>
      </c>
    </row>
    <row r="1241" spans="3:17" x14ac:dyDescent="0.25">
      <c r="C1241" s="191"/>
      <c r="K1241" s="283" t="s">
        <v>1272</v>
      </c>
      <c r="L1241" s="283" t="s">
        <v>668</v>
      </c>
      <c r="M1241" s="283" t="s">
        <v>249</v>
      </c>
      <c r="N1241" s="283" t="s">
        <v>251</v>
      </c>
      <c r="O1241" s="283">
        <v>14</v>
      </c>
      <c r="P1241" s="283">
        <v>14177</v>
      </c>
      <c r="Q1241" s="235">
        <f>(O1241+IF('Scenario Analysis'!$N$23=1,0,0.5))*P1241</f>
        <v>205566.5</v>
      </c>
    </row>
    <row r="1242" spans="3:17" x14ac:dyDescent="0.25">
      <c r="C1242" s="191"/>
      <c r="K1242" s="283" t="s">
        <v>1272</v>
      </c>
      <c r="L1242" s="283" t="s">
        <v>668</v>
      </c>
      <c r="M1242" s="283" t="s">
        <v>249</v>
      </c>
      <c r="N1242" s="283" t="s">
        <v>251</v>
      </c>
      <c r="O1242" s="283">
        <v>15</v>
      </c>
      <c r="P1242" s="283">
        <v>18226</v>
      </c>
      <c r="Q1242" s="235">
        <f>(O1242+IF('Scenario Analysis'!$N$23=1,0,0.5))*P1242</f>
        <v>282503</v>
      </c>
    </row>
    <row r="1243" spans="3:17" x14ac:dyDescent="0.25">
      <c r="C1243" s="191"/>
      <c r="K1243" s="283" t="s">
        <v>1272</v>
      </c>
      <c r="L1243" s="283" t="s">
        <v>668</v>
      </c>
      <c r="M1243" s="283" t="s">
        <v>249</v>
      </c>
      <c r="N1243" s="283" t="s">
        <v>251</v>
      </c>
      <c r="O1243" s="283">
        <v>16</v>
      </c>
      <c r="P1243" s="283">
        <v>1583</v>
      </c>
      <c r="Q1243" s="235">
        <f>(O1243+IF('Scenario Analysis'!$N$23=1,0,0.5))*P1243</f>
        <v>26119.5</v>
      </c>
    </row>
    <row r="1244" spans="3:17" x14ac:dyDescent="0.25">
      <c r="C1244" s="191"/>
      <c r="K1244" s="283" t="s">
        <v>1272</v>
      </c>
      <c r="L1244" s="283" t="s">
        <v>668</v>
      </c>
      <c r="M1244" s="283" t="s">
        <v>249</v>
      </c>
      <c r="N1244" s="283" t="s">
        <v>251</v>
      </c>
      <c r="O1244" s="283">
        <v>17</v>
      </c>
      <c r="P1244" s="283">
        <v>28319</v>
      </c>
      <c r="Q1244" s="235">
        <f>(O1244+IF('Scenario Analysis'!$N$23=1,0,0.5))*P1244</f>
        <v>495582.5</v>
      </c>
    </row>
    <row r="1245" spans="3:17" x14ac:dyDescent="0.25">
      <c r="C1245" s="191"/>
      <c r="K1245" s="283" t="s">
        <v>1272</v>
      </c>
      <c r="L1245" s="283" t="s">
        <v>668</v>
      </c>
      <c r="M1245" s="283" t="s">
        <v>249</v>
      </c>
      <c r="N1245" s="283" t="s">
        <v>251</v>
      </c>
      <c r="O1245" s="283">
        <v>18</v>
      </c>
      <c r="P1245" s="283">
        <v>1563</v>
      </c>
      <c r="Q1245" s="235">
        <f>(O1245+IF('Scenario Analysis'!$N$23=1,0,0.5))*P1245</f>
        <v>28915.5</v>
      </c>
    </row>
    <row r="1246" spans="3:17" x14ac:dyDescent="0.25">
      <c r="C1246" s="191"/>
      <c r="K1246" s="283" t="s">
        <v>1272</v>
      </c>
      <c r="L1246" s="283" t="s">
        <v>668</v>
      </c>
      <c r="M1246" s="283" t="s">
        <v>249</v>
      </c>
      <c r="N1246" s="283" t="s">
        <v>251</v>
      </c>
      <c r="O1246" s="283">
        <v>19</v>
      </c>
      <c r="P1246" s="283">
        <v>81956</v>
      </c>
      <c r="Q1246" s="235">
        <f>(O1246+IF('Scenario Analysis'!$N$23=1,0,0.5))*P1246</f>
        <v>1598142</v>
      </c>
    </row>
    <row r="1247" spans="3:17" x14ac:dyDescent="0.25">
      <c r="C1247" s="191"/>
      <c r="K1247" s="283" t="s">
        <v>1272</v>
      </c>
      <c r="L1247" s="283" t="s">
        <v>668</v>
      </c>
      <c r="M1247" s="283" t="s">
        <v>249</v>
      </c>
      <c r="N1247" s="283" t="s">
        <v>251</v>
      </c>
      <c r="O1247" s="283">
        <v>20</v>
      </c>
      <c r="P1247" s="283">
        <v>26125</v>
      </c>
      <c r="Q1247" s="235">
        <f>(O1247+IF('Scenario Analysis'!$N$23=1,0,0.5))*P1247</f>
        <v>535562.5</v>
      </c>
    </row>
    <row r="1248" spans="3:17" x14ac:dyDescent="0.25">
      <c r="C1248" s="191"/>
      <c r="K1248" s="283" t="s">
        <v>1272</v>
      </c>
      <c r="L1248" s="283" t="s">
        <v>668</v>
      </c>
      <c r="M1248" s="283" t="s">
        <v>249</v>
      </c>
      <c r="N1248" s="283" t="s">
        <v>251</v>
      </c>
      <c r="O1248" s="283">
        <v>21</v>
      </c>
      <c r="P1248" s="283">
        <v>66926</v>
      </c>
      <c r="Q1248" s="235">
        <f>(O1248+IF('Scenario Analysis'!$N$23=1,0,0.5))*P1248</f>
        <v>1438909</v>
      </c>
    </row>
    <row r="1249" spans="3:17" x14ac:dyDescent="0.25">
      <c r="C1249" s="191"/>
      <c r="K1249" s="283" t="s">
        <v>1272</v>
      </c>
      <c r="L1249" s="283" t="s">
        <v>668</v>
      </c>
      <c r="M1249" s="283" t="s">
        <v>249</v>
      </c>
      <c r="N1249" s="283" t="s">
        <v>251</v>
      </c>
      <c r="O1249" s="283">
        <v>22</v>
      </c>
      <c r="P1249" s="283">
        <v>28391</v>
      </c>
      <c r="Q1249" s="235">
        <f>(O1249+IF('Scenario Analysis'!$N$23=1,0,0.5))*P1249</f>
        <v>638797.5</v>
      </c>
    </row>
    <row r="1250" spans="3:17" x14ac:dyDescent="0.25">
      <c r="C1250" s="191"/>
      <c r="K1250" s="283" t="s">
        <v>1272</v>
      </c>
      <c r="L1250" s="283" t="s">
        <v>668</v>
      </c>
      <c r="M1250" s="283" t="s">
        <v>249</v>
      </c>
      <c r="N1250" s="283" t="s">
        <v>251</v>
      </c>
      <c r="O1250" s="283">
        <v>24</v>
      </c>
      <c r="P1250" s="283">
        <v>58246</v>
      </c>
      <c r="Q1250" s="235">
        <f>(O1250+IF('Scenario Analysis'!$N$23=1,0,0.5))*P1250</f>
        <v>1427027</v>
      </c>
    </row>
    <row r="1251" spans="3:17" x14ac:dyDescent="0.25">
      <c r="C1251" s="191"/>
      <c r="K1251" s="283" t="s">
        <v>1272</v>
      </c>
      <c r="L1251" s="283" t="s">
        <v>668</v>
      </c>
      <c r="M1251" s="283" t="s">
        <v>249</v>
      </c>
      <c r="N1251" s="283" t="s">
        <v>251</v>
      </c>
      <c r="O1251" s="283">
        <v>25</v>
      </c>
      <c r="P1251" s="283">
        <v>1759</v>
      </c>
      <c r="Q1251" s="235">
        <f>(O1251+IF('Scenario Analysis'!$N$23=1,0,0.5))*P1251</f>
        <v>44854.5</v>
      </c>
    </row>
    <row r="1252" spans="3:17" x14ac:dyDescent="0.25">
      <c r="C1252" s="191"/>
      <c r="K1252" s="283" t="s">
        <v>1272</v>
      </c>
      <c r="L1252" s="283" t="s">
        <v>668</v>
      </c>
      <c r="M1252" s="283" t="s">
        <v>249</v>
      </c>
      <c r="N1252" s="283" t="s">
        <v>251</v>
      </c>
      <c r="O1252" s="283">
        <v>26</v>
      </c>
      <c r="P1252" s="283">
        <v>42432</v>
      </c>
      <c r="Q1252" s="235">
        <f>(O1252+IF('Scenario Analysis'!$N$23=1,0,0.5))*P1252</f>
        <v>1124448</v>
      </c>
    </row>
    <row r="1253" spans="3:17" x14ac:dyDescent="0.25">
      <c r="C1253" s="191"/>
      <c r="K1253" s="283" t="s">
        <v>1272</v>
      </c>
      <c r="L1253" s="283" t="s">
        <v>668</v>
      </c>
      <c r="M1253" s="283" t="s">
        <v>249</v>
      </c>
      <c r="N1253" s="283" t="s">
        <v>251</v>
      </c>
      <c r="O1253" s="283">
        <v>27</v>
      </c>
      <c r="P1253" s="283">
        <v>3426</v>
      </c>
      <c r="Q1253" s="235">
        <f>(O1253+IF('Scenario Analysis'!$N$23=1,0,0.5))*P1253</f>
        <v>94215</v>
      </c>
    </row>
    <row r="1254" spans="3:17" x14ac:dyDescent="0.25">
      <c r="C1254" s="191"/>
      <c r="K1254" s="283" t="s">
        <v>1272</v>
      </c>
      <c r="L1254" s="283" t="s">
        <v>668</v>
      </c>
      <c r="M1254" s="283" t="s">
        <v>249</v>
      </c>
      <c r="N1254" s="283" t="s">
        <v>251</v>
      </c>
      <c r="O1254" s="283">
        <v>28</v>
      </c>
      <c r="P1254" s="283">
        <v>31087</v>
      </c>
      <c r="Q1254" s="235">
        <f>(O1254+IF('Scenario Analysis'!$N$23=1,0,0.5))*P1254</f>
        <v>885979.5</v>
      </c>
    </row>
    <row r="1255" spans="3:17" x14ac:dyDescent="0.25">
      <c r="C1255" s="191"/>
      <c r="K1255" s="283" t="s">
        <v>1272</v>
      </c>
      <c r="L1255" s="283" t="s">
        <v>668</v>
      </c>
      <c r="M1255" s="283" t="s">
        <v>249</v>
      </c>
      <c r="N1255" s="283" t="s">
        <v>251</v>
      </c>
      <c r="O1255" s="283">
        <v>30</v>
      </c>
      <c r="P1255" s="283">
        <v>56230</v>
      </c>
      <c r="Q1255" s="235">
        <f>(O1255+IF('Scenario Analysis'!$N$23=1,0,0.5))*P1255</f>
        <v>1715015</v>
      </c>
    </row>
    <row r="1256" spans="3:17" x14ac:dyDescent="0.25">
      <c r="C1256" s="191"/>
      <c r="K1256" s="283" t="s">
        <v>1272</v>
      </c>
      <c r="L1256" s="283" t="s">
        <v>668</v>
      </c>
      <c r="M1256" s="283" t="s">
        <v>249</v>
      </c>
      <c r="N1256" s="283" t="s">
        <v>251</v>
      </c>
      <c r="O1256" s="283">
        <v>33</v>
      </c>
      <c r="P1256" s="283">
        <v>32889</v>
      </c>
      <c r="Q1256" s="235">
        <f>(O1256+IF('Scenario Analysis'!$N$23=1,0,0.5))*P1256</f>
        <v>1101781.5</v>
      </c>
    </row>
    <row r="1257" spans="3:17" x14ac:dyDescent="0.25">
      <c r="C1257" s="191"/>
      <c r="K1257" s="283" t="s">
        <v>1272</v>
      </c>
      <c r="L1257" s="283" t="s">
        <v>668</v>
      </c>
      <c r="M1257" s="283" t="s">
        <v>249</v>
      </c>
      <c r="N1257" s="283" t="s">
        <v>251</v>
      </c>
      <c r="O1257" s="283">
        <v>35</v>
      </c>
      <c r="P1257" s="283">
        <v>67974</v>
      </c>
      <c r="Q1257" s="235">
        <f>(O1257+IF('Scenario Analysis'!$N$23=1,0,0.5))*P1257</f>
        <v>2413077</v>
      </c>
    </row>
    <row r="1258" spans="3:17" x14ac:dyDescent="0.25">
      <c r="C1258" s="191"/>
      <c r="K1258" s="283" t="s">
        <v>1272</v>
      </c>
      <c r="L1258" s="283" t="s">
        <v>669</v>
      </c>
      <c r="M1258" s="283" t="s">
        <v>249</v>
      </c>
      <c r="N1258" s="283" t="s">
        <v>252</v>
      </c>
      <c r="O1258" s="283">
        <v>0</v>
      </c>
      <c r="P1258" s="283">
        <v>17</v>
      </c>
      <c r="Q1258" s="235">
        <f>(O1258+IF('Scenario Analysis'!$N$23=1,0,0.5))*P1258</f>
        <v>8.5</v>
      </c>
    </row>
    <row r="1259" spans="3:17" x14ac:dyDescent="0.25">
      <c r="C1259" s="191"/>
      <c r="K1259" s="283" t="s">
        <v>1272</v>
      </c>
      <c r="L1259" s="283" t="s">
        <v>669</v>
      </c>
      <c r="M1259" s="283" t="s">
        <v>249</v>
      </c>
      <c r="N1259" s="283" t="s">
        <v>252</v>
      </c>
      <c r="O1259" s="283">
        <v>1</v>
      </c>
      <c r="P1259" s="283">
        <v>19218</v>
      </c>
      <c r="Q1259" s="235">
        <f>(O1259+IF('Scenario Analysis'!$N$23=1,0,0.5))*P1259</f>
        <v>28827</v>
      </c>
    </row>
    <row r="1260" spans="3:17" x14ac:dyDescent="0.25">
      <c r="C1260" s="191"/>
      <c r="K1260" s="283" t="s">
        <v>1272</v>
      </c>
      <c r="L1260" s="283" t="s">
        <v>669</v>
      </c>
      <c r="M1260" s="283" t="s">
        <v>249</v>
      </c>
      <c r="N1260" s="283" t="s">
        <v>252</v>
      </c>
      <c r="O1260" s="283">
        <v>2</v>
      </c>
      <c r="P1260" s="283">
        <v>11853</v>
      </c>
      <c r="Q1260" s="235">
        <f>(O1260+IF('Scenario Analysis'!$N$23=1,0,0.5))*P1260</f>
        <v>29632.5</v>
      </c>
    </row>
    <row r="1261" spans="3:17" x14ac:dyDescent="0.25">
      <c r="C1261" s="191"/>
      <c r="K1261" s="283" t="s">
        <v>1272</v>
      </c>
      <c r="L1261" s="283" t="s">
        <v>669</v>
      </c>
      <c r="M1261" s="283" t="s">
        <v>249</v>
      </c>
      <c r="N1261" s="283" t="s">
        <v>252</v>
      </c>
      <c r="O1261" s="283">
        <v>3</v>
      </c>
      <c r="P1261" s="283">
        <v>71154</v>
      </c>
      <c r="Q1261" s="235">
        <f>(O1261+IF('Scenario Analysis'!$N$23=1,0,0.5))*P1261</f>
        <v>249039</v>
      </c>
    </row>
    <row r="1262" spans="3:17" x14ac:dyDescent="0.25">
      <c r="C1262" s="191"/>
      <c r="K1262" s="283" t="s">
        <v>1272</v>
      </c>
      <c r="L1262" s="283" t="s">
        <v>669</v>
      </c>
      <c r="M1262" s="283" t="s">
        <v>249</v>
      </c>
      <c r="N1262" s="283" t="s">
        <v>252</v>
      </c>
      <c r="O1262" s="283">
        <v>4</v>
      </c>
      <c r="P1262" s="283">
        <v>36936</v>
      </c>
      <c r="Q1262" s="235">
        <f>(O1262+IF('Scenario Analysis'!$N$23=1,0,0.5))*P1262</f>
        <v>166212</v>
      </c>
    </row>
    <row r="1263" spans="3:17" x14ac:dyDescent="0.25">
      <c r="C1263" s="191"/>
      <c r="K1263" s="283" t="s">
        <v>1272</v>
      </c>
      <c r="L1263" s="283" t="s">
        <v>669</v>
      </c>
      <c r="M1263" s="283" t="s">
        <v>249</v>
      </c>
      <c r="N1263" s="283" t="s">
        <v>252</v>
      </c>
      <c r="O1263" s="283">
        <v>5</v>
      </c>
      <c r="P1263" s="283">
        <v>11929</v>
      </c>
      <c r="Q1263" s="235">
        <f>(O1263+IF('Scenario Analysis'!$N$23=1,0,0.5))*P1263</f>
        <v>65609.5</v>
      </c>
    </row>
    <row r="1264" spans="3:17" x14ac:dyDescent="0.25">
      <c r="C1264" s="191"/>
      <c r="K1264" s="283" t="s">
        <v>1272</v>
      </c>
      <c r="L1264" s="283" t="s">
        <v>669</v>
      </c>
      <c r="M1264" s="283" t="s">
        <v>249</v>
      </c>
      <c r="N1264" s="283" t="s">
        <v>252</v>
      </c>
      <c r="O1264" s="283">
        <v>6</v>
      </c>
      <c r="P1264" s="283">
        <v>57787</v>
      </c>
      <c r="Q1264" s="235">
        <f>(O1264+IF('Scenario Analysis'!$N$23=1,0,0.5))*P1264</f>
        <v>375615.5</v>
      </c>
    </row>
    <row r="1265" spans="3:17" x14ac:dyDescent="0.25">
      <c r="C1265" s="191"/>
      <c r="K1265" s="283" t="s">
        <v>1272</v>
      </c>
      <c r="L1265" s="283" t="s">
        <v>669</v>
      </c>
      <c r="M1265" s="283" t="s">
        <v>249</v>
      </c>
      <c r="N1265" s="283" t="s">
        <v>252</v>
      </c>
      <c r="O1265" s="283">
        <v>7</v>
      </c>
      <c r="P1265" s="283">
        <v>33933</v>
      </c>
      <c r="Q1265" s="235">
        <f>(O1265+IF('Scenario Analysis'!$N$23=1,0,0.5))*P1265</f>
        <v>254497.5</v>
      </c>
    </row>
    <row r="1266" spans="3:17" x14ac:dyDescent="0.25">
      <c r="C1266" s="191"/>
      <c r="K1266" s="283" t="s">
        <v>1272</v>
      </c>
      <c r="L1266" s="283" t="s">
        <v>669</v>
      </c>
      <c r="M1266" s="283" t="s">
        <v>249</v>
      </c>
      <c r="N1266" s="283" t="s">
        <v>252</v>
      </c>
      <c r="O1266" s="283">
        <v>8</v>
      </c>
      <c r="P1266" s="283">
        <v>24088</v>
      </c>
      <c r="Q1266" s="235">
        <f>(O1266+IF('Scenario Analysis'!$N$23=1,0,0.5))*P1266</f>
        <v>204748</v>
      </c>
    </row>
    <row r="1267" spans="3:17" x14ac:dyDescent="0.25">
      <c r="C1267" s="191"/>
      <c r="K1267" s="283" t="s">
        <v>1272</v>
      </c>
      <c r="L1267" s="283" t="s">
        <v>669</v>
      </c>
      <c r="M1267" s="283" t="s">
        <v>249</v>
      </c>
      <c r="N1267" s="283" t="s">
        <v>252</v>
      </c>
      <c r="O1267" s="283">
        <v>9</v>
      </c>
      <c r="P1267" s="283">
        <v>8982</v>
      </c>
      <c r="Q1267" s="235">
        <f>(O1267+IF('Scenario Analysis'!$N$23=1,0,0.5))*P1267</f>
        <v>85329</v>
      </c>
    </row>
    <row r="1268" spans="3:17" x14ac:dyDescent="0.25">
      <c r="C1268" s="191"/>
      <c r="K1268" s="283" t="s">
        <v>1272</v>
      </c>
      <c r="L1268" s="283" t="s">
        <v>669</v>
      </c>
      <c r="M1268" s="283" t="s">
        <v>249</v>
      </c>
      <c r="N1268" s="283" t="s">
        <v>252</v>
      </c>
      <c r="O1268" s="283">
        <v>10</v>
      </c>
      <c r="P1268" s="283">
        <v>42821</v>
      </c>
      <c r="Q1268" s="235">
        <f>(O1268+IF('Scenario Analysis'!$N$23=1,0,0.5))*P1268</f>
        <v>449620.5</v>
      </c>
    </row>
    <row r="1269" spans="3:17" x14ac:dyDescent="0.25">
      <c r="C1269" s="191"/>
      <c r="K1269" s="283" t="s">
        <v>1272</v>
      </c>
      <c r="L1269" s="283" t="s">
        <v>669</v>
      </c>
      <c r="M1269" s="283" t="s">
        <v>249</v>
      </c>
      <c r="N1269" s="283" t="s">
        <v>252</v>
      </c>
      <c r="O1269" s="283">
        <v>11</v>
      </c>
      <c r="P1269" s="283">
        <v>133927</v>
      </c>
      <c r="Q1269" s="235">
        <f>(O1269+IF('Scenario Analysis'!$N$23=1,0,0.5))*P1269</f>
        <v>1540160.5</v>
      </c>
    </row>
    <row r="1270" spans="3:17" x14ac:dyDescent="0.25">
      <c r="C1270" s="191"/>
      <c r="K1270" s="283" t="s">
        <v>1272</v>
      </c>
      <c r="L1270" s="283" t="s">
        <v>669</v>
      </c>
      <c r="M1270" s="283" t="s">
        <v>249</v>
      </c>
      <c r="N1270" s="283" t="s">
        <v>252</v>
      </c>
      <c r="O1270" s="283">
        <v>12</v>
      </c>
      <c r="P1270" s="283">
        <v>14063</v>
      </c>
      <c r="Q1270" s="235">
        <f>(O1270+IF('Scenario Analysis'!$N$23=1,0,0.5))*P1270</f>
        <v>175787.5</v>
      </c>
    </row>
    <row r="1271" spans="3:17" x14ac:dyDescent="0.25">
      <c r="C1271" s="191"/>
      <c r="K1271" s="283" t="s">
        <v>1272</v>
      </c>
      <c r="L1271" s="283" t="s">
        <v>669</v>
      </c>
      <c r="M1271" s="283" t="s">
        <v>249</v>
      </c>
      <c r="N1271" s="283" t="s">
        <v>252</v>
      </c>
      <c r="O1271" s="283">
        <v>13</v>
      </c>
      <c r="P1271" s="283">
        <v>21205</v>
      </c>
      <c r="Q1271" s="235">
        <f>(O1271+IF('Scenario Analysis'!$N$23=1,0,0.5))*P1271</f>
        <v>286267.5</v>
      </c>
    </row>
    <row r="1272" spans="3:17" x14ac:dyDescent="0.25">
      <c r="C1272" s="191"/>
      <c r="K1272" s="283" t="s">
        <v>1272</v>
      </c>
      <c r="L1272" s="283" t="s">
        <v>669</v>
      </c>
      <c r="M1272" s="283" t="s">
        <v>249</v>
      </c>
      <c r="N1272" s="283" t="s">
        <v>252</v>
      </c>
      <c r="O1272" s="283">
        <v>14</v>
      </c>
      <c r="P1272" s="283">
        <v>27681</v>
      </c>
      <c r="Q1272" s="235">
        <f>(O1272+IF('Scenario Analysis'!$N$23=1,0,0.5))*P1272</f>
        <v>401374.5</v>
      </c>
    </row>
    <row r="1273" spans="3:17" x14ac:dyDescent="0.25">
      <c r="C1273" s="191"/>
      <c r="K1273" s="283" t="s">
        <v>1272</v>
      </c>
      <c r="L1273" s="283" t="s">
        <v>669</v>
      </c>
      <c r="M1273" s="283" t="s">
        <v>249</v>
      </c>
      <c r="N1273" s="283" t="s">
        <v>252</v>
      </c>
      <c r="O1273" s="283">
        <v>15</v>
      </c>
      <c r="P1273" s="283">
        <v>5402</v>
      </c>
      <c r="Q1273" s="235">
        <f>(O1273+IF('Scenario Analysis'!$N$23=1,0,0.5))*P1273</f>
        <v>83731</v>
      </c>
    </row>
    <row r="1274" spans="3:17" x14ac:dyDescent="0.25">
      <c r="C1274" s="191"/>
      <c r="K1274" s="283" t="s">
        <v>1272</v>
      </c>
      <c r="L1274" s="283" t="s">
        <v>669</v>
      </c>
      <c r="M1274" s="283" t="s">
        <v>249</v>
      </c>
      <c r="N1274" s="283" t="s">
        <v>252</v>
      </c>
      <c r="O1274" s="283">
        <v>16</v>
      </c>
      <c r="P1274" s="283">
        <v>9162</v>
      </c>
      <c r="Q1274" s="235">
        <f>(O1274+IF('Scenario Analysis'!$N$23=1,0,0.5))*P1274</f>
        <v>151173</v>
      </c>
    </row>
    <row r="1275" spans="3:17" x14ac:dyDescent="0.25">
      <c r="C1275" s="191"/>
      <c r="K1275" s="283" t="s">
        <v>1272</v>
      </c>
      <c r="L1275" s="283" t="s">
        <v>669</v>
      </c>
      <c r="M1275" s="283" t="s">
        <v>249</v>
      </c>
      <c r="N1275" s="283" t="s">
        <v>252</v>
      </c>
      <c r="O1275" s="283">
        <v>17</v>
      </c>
      <c r="P1275" s="283">
        <v>9204</v>
      </c>
      <c r="Q1275" s="235">
        <f>(O1275+IF('Scenario Analysis'!$N$23=1,0,0.5))*P1275</f>
        <v>161070</v>
      </c>
    </row>
    <row r="1276" spans="3:17" x14ac:dyDescent="0.25">
      <c r="C1276" s="191"/>
      <c r="K1276" s="283" t="s">
        <v>1272</v>
      </c>
      <c r="L1276" s="283" t="s">
        <v>669</v>
      </c>
      <c r="M1276" s="283" t="s">
        <v>249</v>
      </c>
      <c r="N1276" s="283" t="s">
        <v>252</v>
      </c>
      <c r="O1276" s="283">
        <v>18</v>
      </c>
      <c r="P1276" s="283">
        <v>29639</v>
      </c>
      <c r="Q1276" s="235">
        <f>(O1276+IF('Scenario Analysis'!$N$23=1,0,0.5))*P1276</f>
        <v>548321.5</v>
      </c>
    </row>
    <row r="1277" spans="3:17" x14ac:dyDescent="0.25">
      <c r="C1277" s="191"/>
      <c r="K1277" s="283" t="s">
        <v>1272</v>
      </c>
      <c r="L1277" s="283" t="s">
        <v>669</v>
      </c>
      <c r="M1277" s="283" t="s">
        <v>249</v>
      </c>
      <c r="N1277" s="283" t="s">
        <v>252</v>
      </c>
      <c r="O1277" s="283">
        <v>19</v>
      </c>
      <c r="P1277" s="283">
        <v>5973</v>
      </c>
      <c r="Q1277" s="235">
        <f>(O1277+IF('Scenario Analysis'!$N$23=1,0,0.5))*P1277</f>
        <v>116473.5</v>
      </c>
    </row>
    <row r="1278" spans="3:17" x14ac:dyDescent="0.25">
      <c r="C1278" s="191"/>
      <c r="K1278" s="283" t="s">
        <v>1272</v>
      </c>
      <c r="L1278" s="283" t="s">
        <v>669</v>
      </c>
      <c r="M1278" s="283" t="s">
        <v>249</v>
      </c>
      <c r="N1278" s="283" t="s">
        <v>252</v>
      </c>
      <c r="O1278" s="283">
        <v>20</v>
      </c>
      <c r="P1278" s="283">
        <v>21638</v>
      </c>
      <c r="Q1278" s="235">
        <f>(O1278+IF('Scenario Analysis'!$N$23=1,0,0.5))*P1278</f>
        <v>443579</v>
      </c>
    </row>
    <row r="1279" spans="3:17" x14ac:dyDescent="0.25">
      <c r="C1279" s="191"/>
      <c r="K1279" s="283" t="s">
        <v>1272</v>
      </c>
      <c r="L1279" s="283" t="s">
        <v>669</v>
      </c>
      <c r="M1279" s="283" t="s">
        <v>249</v>
      </c>
      <c r="N1279" s="283" t="s">
        <v>252</v>
      </c>
      <c r="O1279" s="283">
        <v>21</v>
      </c>
      <c r="P1279" s="283">
        <v>8598</v>
      </c>
      <c r="Q1279" s="235">
        <f>(O1279+IF('Scenario Analysis'!$N$23=1,0,0.5))*P1279</f>
        <v>184857</v>
      </c>
    </row>
    <row r="1280" spans="3:17" x14ac:dyDescent="0.25">
      <c r="C1280" s="191"/>
      <c r="K1280" s="283" t="s">
        <v>1272</v>
      </c>
      <c r="L1280" s="283" t="s">
        <v>669</v>
      </c>
      <c r="M1280" s="283" t="s">
        <v>249</v>
      </c>
      <c r="N1280" s="283" t="s">
        <v>252</v>
      </c>
      <c r="O1280" s="283">
        <v>22</v>
      </c>
      <c r="P1280" s="283">
        <v>35979</v>
      </c>
      <c r="Q1280" s="235">
        <f>(O1280+IF('Scenario Analysis'!$N$23=1,0,0.5))*P1280</f>
        <v>809527.5</v>
      </c>
    </row>
    <row r="1281" spans="3:17" x14ac:dyDescent="0.25">
      <c r="C1281" s="191"/>
      <c r="K1281" s="283" t="s">
        <v>1272</v>
      </c>
      <c r="L1281" s="283" t="s">
        <v>669</v>
      </c>
      <c r="M1281" s="283" t="s">
        <v>249</v>
      </c>
      <c r="N1281" s="283" t="s">
        <v>252</v>
      </c>
      <c r="O1281" s="283">
        <v>23</v>
      </c>
      <c r="P1281" s="283">
        <v>138093</v>
      </c>
      <c r="Q1281" s="235">
        <f>(O1281+IF('Scenario Analysis'!$N$23=1,0,0.5))*P1281</f>
        <v>3245185.5</v>
      </c>
    </row>
    <row r="1282" spans="3:17" x14ac:dyDescent="0.25">
      <c r="C1282" s="191"/>
      <c r="K1282" s="283" t="s">
        <v>1272</v>
      </c>
      <c r="L1282" s="283" t="s">
        <v>669</v>
      </c>
      <c r="M1282" s="283" t="s">
        <v>249</v>
      </c>
      <c r="N1282" s="283" t="s">
        <v>252</v>
      </c>
      <c r="O1282" s="283">
        <v>24</v>
      </c>
      <c r="P1282" s="283">
        <v>23399</v>
      </c>
      <c r="Q1282" s="235">
        <f>(O1282+IF('Scenario Analysis'!$N$23=1,0,0.5))*P1282</f>
        <v>573275.5</v>
      </c>
    </row>
    <row r="1283" spans="3:17" x14ac:dyDescent="0.25">
      <c r="C1283" s="191"/>
      <c r="K1283" s="283" t="s">
        <v>1272</v>
      </c>
      <c r="L1283" s="283" t="s">
        <v>669</v>
      </c>
      <c r="M1283" s="283" t="s">
        <v>249</v>
      </c>
      <c r="N1283" s="283" t="s">
        <v>252</v>
      </c>
      <c r="O1283" s="283">
        <v>25</v>
      </c>
      <c r="P1283" s="283">
        <v>6359</v>
      </c>
      <c r="Q1283" s="235">
        <f>(O1283+IF('Scenario Analysis'!$N$23=1,0,0.5))*P1283</f>
        <v>162154.5</v>
      </c>
    </row>
    <row r="1284" spans="3:17" x14ac:dyDescent="0.25">
      <c r="C1284" s="191"/>
      <c r="K1284" s="283" t="s">
        <v>1272</v>
      </c>
      <c r="L1284" s="283" t="s">
        <v>669</v>
      </c>
      <c r="M1284" s="283" t="s">
        <v>249</v>
      </c>
      <c r="N1284" s="283" t="s">
        <v>252</v>
      </c>
      <c r="O1284" s="283">
        <v>26</v>
      </c>
      <c r="P1284" s="283">
        <v>34452</v>
      </c>
      <c r="Q1284" s="235">
        <f>(O1284+IF('Scenario Analysis'!$N$23=1,0,0.5))*P1284</f>
        <v>912978</v>
      </c>
    </row>
    <row r="1285" spans="3:17" x14ac:dyDescent="0.25">
      <c r="C1285" s="191"/>
      <c r="K1285" s="283" t="s">
        <v>1272</v>
      </c>
      <c r="L1285" s="283" t="s">
        <v>669</v>
      </c>
      <c r="M1285" s="283" t="s">
        <v>249</v>
      </c>
      <c r="N1285" s="283" t="s">
        <v>252</v>
      </c>
      <c r="O1285" s="283">
        <v>27</v>
      </c>
      <c r="P1285" s="283">
        <v>18158</v>
      </c>
      <c r="Q1285" s="235">
        <f>(O1285+IF('Scenario Analysis'!$N$23=1,0,0.5))*P1285</f>
        <v>499345</v>
      </c>
    </row>
    <row r="1286" spans="3:17" x14ac:dyDescent="0.25">
      <c r="C1286" s="191"/>
      <c r="K1286" s="283" t="s">
        <v>1272</v>
      </c>
      <c r="L1286" s="283" t="s">
        <v>669</v>
      </c>
      <c r="M1286" s="283" t="s">
        <v>249</v>
      </c>
      <c r="N1286" s="283" t="s">
        <v>252</v>
      </c>
      <c r="O1286" s="283">
        <v>28</v>
      </c>
      <c r="P1286" s="283">
        <v>4731</v>
      </c>
      <c r="Q1286" s="235">
        <f>(O1286+IF('Scenario Analysis'!$N$23=1,0,0.5))*P1286</f>
        <v>134833.5</v>
      </c>
    </row>
    <row r="1287" spans="3:17" x14ac:dyDescent="0.25">
      <c r="C1287" s="191"/>
      <c r="K1287" s="283" t="s">
        <v>1272</v>
      </c>
      <c r="L1287" s="283" t="s">
        <v>669</v>
      </c>
      <c r="M1287" s="283" t="s">
        <v>249</v>
      </c>
      <c r="N1287" s="283" t="s">
        <v>252</v>
      </c>
      <c r="O1287" s="283">
        <v>29</v>
      </c>
      <c r="P1287" s="283">
        <v>1666</v>
      </c>
      <c r="Q1287" s="235">
        <f>(O1287+IF('Scenario Analysis'!$N$23=1,0,0.5))*P1287</f>
        <v>49147</v>
      </c>
    </row>
    <row r="1288" spans="3:17" x14ac:dyDescent="0.25">
      <c r="C1288" s="191"/>
      <c r="K1288" s="283" t="s">
        <v>1272</v>
      </c>
      <c r="L1288" s="283" t="s">
        <v>669</v>
      </c>
      <c r="M1288" s="283" t="s">
        <v>249</v>
      </c>
      <c r="N1288" s="283" t="s">
        <v>252</v>
      </c>
      <c r="O1288" s="283">
        <v>30</v>
      </c>
      <c r="P1288" s="283">
        <v>10272</v>
      </c>
      <c r="Q1288" s="235">
        <f>(O1288+IF('Scenario Analysis'!$N$23=1,0,0.5))*P1288</f>
        <v>313296</v>
      </c>
    </row>
    <row r="1289" spans="3:17" x14ac:dyDescent="0.25">
      <c r="C1289" s="191"/>
      <c r="K1289" s="283" t="s">
        <v>1272</v>
      </c>
      <c r="L1289" s="283" t="s">
        <v>669</v>
      </c>
      <c r="M1289" s="283" t="s">
        <v>249</v>
      </c>
      <c r="N1289" s="283" t="s">
        <v>252</v>
      </c>
      <c r="O1289" s="283">
        <v>31</v>
      </c>
      <c r="P1289" s="283">
        <v>13279</v>
      </c>
      <c r="Q1289" s="235">
        <f>(O1289+IF('Scenario Analysis'!$N$23=1,0,0.5))*P1289</f>
        <v>418288.5</v>
      </c>
    </row>
    <row r="1290" spans="3:17" x14ac:dyDescent="0.25">
      <c r="C1290" s="191"/>
      <c r="K1290" s="283" t="s">
        <v>1272</v>
      </c>
      <c r="L1290" s="283" t="s">
        <v>669</v>
      </c>
      <c r="M1290" s="283" t="s">
        <v>249</v>
      </c>
      <c r="N1290" s="283" t="s">
        <v>252</v>
      </c>
      <c r="O1290" s="283">
        <v>32</v>
      </c>
      <c r="P1290" s="283">
        <v>4793</v>
      </c>
      <c r="Q1290" s="235">
        <f>(O1290+IF('Scenario Analysis'!$N$23=1,0,0.5))*P1290</f>
        <v>155772.5</v>
      </c>
    </row>
    <row r="1291" spans="3:17" x14ac:dyDescent="0.25">
      <c r="C1291" s="191"/>
      <c r="K1291" s="283" t="s">
        <v>1272</v>
      </c>
      <c r="L1291" s="283" t="s">
        <v>669</v>
      </c>
      <c r="M1291" s="283" t="s">
        <v>249</v>
      </c>
      <c r="N1291" s="283" t="s">
        <v>252</v>
      </c>
      <c r="O1291" s="283">
        <v>33</v>
      </c>
      <c r="P1291" s="283">
        <v>4014</v>
      </c>
      <c r="Q1291" s="235">
        <f>(O1291+IF('Scenario Analysis'!$N$23=1,0,0.5))*P1291</f>
        <v>134469</v>
      </c>
    </row>
    <row r="1292" spans="3:17" x14ac:dyDescent="0.25">
      <c r="C1292" s="191"/>
      <c r="K1292" s="283" t="s">
        <v>1272</v>
      </c>
      <c r="L1292" s="283" t="s">
        <v>669</v>
      </c>
      <c r="M1292" s="283" t="s">
        <v>249</v>
      </c>
      <c r="N1292" s="283" t="s">
        <v>252</v>
      </c>
      <c r="O1292" s="283">
        <v>34</v>
      </c>
      <c r="P1292" s="283">
        <v>28194</v>
      </c>
      <c r="Q1292" s="235">
        <f>(O1292+IF('Scenario Analysis'!$N$23=1,0,0.5))*P1292</f>
        <v>972693</v>
      </c>
    </row>
    <row r="1293" spans="3:17" x14ac:dyDescent="0.25">
      <c r="C1293" s="191"/>
      <c r="K1293" s="283" t="s">
        <v>1272</v>
      </c>
      <c r="L1293" s="283" t="s">
        <v>669</v>
      </c>
      <c r="M1293" s="283" t="s">
        <v>249</v>
      </c>
      <c r="N1293" s="283" t="s">
        <v>252</v>
      </c>
      <c r="O1293" s="283">
        <v>35</v>
      </c>
      <c r="P1293" s="283">
        <v>1862</v>
      </c>
      <c r="Q1293" s="235">
        <f>(O1293+IF('Scenario Analysis'!$N$23=1,0,0.5))*P1293</f>
        <v>66101</v>
      </c>
    </row>
    <row r="1294" spans="3:17" x14ac:dyDescent="0.25">
      <c r="C1294" s="191"/>
      <c r="K1294" s="283" t="s">
        <v>1272</v>
      </c>
      <c r="L1294" s="283" t="s">
        <v>669</v>
      </c>
      <c r="M1294" s="283" t="s">
        <v>249</v>
      </c>
      <c r="N1294" s="283" t="s">
        <v>252</v>
      </c>
      <c r="O1294" s="283">
        <v>36</v>
      </c>
      <c r="P1294" s="283">
        <v>9685</v>
      </c>
      <c r="Q1294" s="235">
        <f>(O1294+IF('Scenario Analysis'!$N$23=1,0,0.5))*P1294</f>
        <v>353502.5</v>
      </c>
    </row>
    <row r="1295" spans="3:17" x14ac:dyDescent="0.25">
      <c r="C1295" s="191"/>
      <c r="K1295" s="283" t="s">
        <v>1272</v>
      </c>
      <c r="L1295" s="283" t="s">
        <v>669</v>
      </c>
      <c r="M1295" s="283" t="s">
        <v>249</v>
      </c>
      <c r="N1295" s="283" t="s">
        <v>252</v>
      </c>
      <c r="O1295" s="283">
        <v>37</v>
      </c>
      <c r="P1295" s="283">
        <v>6338</v>
      </c>
      <c r="Q1295" s="235">
        <f>(O1295+IF('Scenario Analysis'!$N$23=1,0,0.5))*P1295</f>
        <v>237675</v>
      </c>
    </row>
    <row r="1296" spans="3:17" x14ac:dyDescent="0.25">
      <c r="C1296" s="191"/>
      <c r="K1296" s="283" t="s">
        <v>1272</v>
      </c>
      <c r="L1296" s="283" t="s">
        <v>669</v>
      </c>
      <c r="M1296" s="283" t="s">
        <v>249</v>
      </c>
      <c r="N1296" s="283" t="s">
        <v>252</v>
      </c>
      <c r="O1296" s="283">
        <v>38</v>
      </c>
      <c r="P1296" s="283">
        <v>27301</v>
      </c>
      <c r="Q1296" s="235">
        <f>(O1296+IF('Scenario Analysis'!$N$23=1,0,0.5))*P1296</f>
        <v>1051088.5</v>
      </c>
    </row>
    <row r="1297" spans="3:17" x14ac:dyDescent="0.25">
      <c r="C1297" s="191"/>
      <c r="K1297" s="283" t="s">
        <v>1272</v>
      </c>
      <c r="L1297" s="283" t="s">
        <v>669</v>
      </c>
      <c r="M1297" s="283" t="s">
        <v>249</v>
      </c>
      <c r="N1297" s="283" t="s">
        <v>252</v>
      </c>
      <c r="O1297" s="283">
        <v>39</v>
      </c>
      <c r="P1297" s="283">
        <v>5443</v>
      </c>
      <c r="Q1297" s="235">
        <f>(O1297+IF('Scenario Analysis'!$N$23=1,0,0.5))*P1297</f>
        <v>214998.5</v>
      </c>
    </row>
    <row r="1298" spans="3:17" x14ac:dyDescent="0.25">
      <c r="C1298" s="191"/>
      <c r="K1298" s="283" t="s">
        <v>1272</v>
      </c>
      <c r="L1298" s="283" t="s">
        <v>669</v>
      </c>
      <c r="M1298" s="283" t="s">
        <v>249</v>
      </c>
      <c r="N1298" s="283" t="s">
        <v>252</v>
      </c>
      <c r="O1298" s="283">
        <v>40</v>
      </c>
      <c r="P1298" s="283">
        <v>2493</v>
      </c>
      <c r="Q1298" s="235">
        <f>(O1298+IF('Scenario Analysis'!$N$23=1,0,0.5))*P1298</f>
        <v>100966.5</v>
      </c>
    </row>
    <row r="1299" spans="3:17" x14ac:dyDescent="0.25">
      <c r="C1299" s="191"/>
      <c r="K1299" s="283" t="s">
        <v>1272</v>
      </c>
      <c r="L1299" s="283" t="s">
        <v>669</v>
      </c>
      <c r="M1299" s="283" t="s">
        <v>249</v>
      </c>
      <c r="N1299" s="283" t="s">
        <v>252</v>
      </c>
      <c r="O1299" s="283">
        <v>41</v>
      </c>
      <c r="P1299" s="283">
        <v>3970</v>
      </c>
      <c r="Q1299" s="235">
        <f>(O1299+IF('Scenario Analysis'!$N$23=1,0,0.5))*P1299</f>
        <v>164755</v>
      </c>
    </row>
    <row r="1300" spans="3:17" x14ac:dyDescent="0.25">
      <c r="C1300" s="191"/>
      <c r="K1300" s="283" t="s">
        <v>1272</v>
      </c>
      <c r="L1300" s="283" t="s">
        <v>669</v>
      </c>
      <c r="M1300" s="283" t="s">
        <v>249</v>
      </c>
      <c r="N1300" s="283" t="s">
        <v>252</v>
      </c>
      <c r="O1300" s="283">
        <v>42</v>
      </c>
      <c r="P1300" s="283">
        <v>7380</v>
      </c>
      <c r="Q1300" s="235">
        <f>(O1300+IF('Scenario Analysis'!$N$23=1,0,0.5))*P1300</f>
        <v>313650</v>
      </c>
    </row>
    <row r="1301" spans="3:17" x14ac:dyDescent="0.25">
      <c r="C1301" s="191"/>
      <c r="K1301" s="283" t="s">
        <v>1272</v>
      </c>
      <c r="L1301" s="283" t="s">
        <v>669</v>
      </c>
      <c r="M1301" s="283" t="s">
        <v>249</v>
      </c>
      <c r="N1301" s="283" t="s">
        <v>252</v>
      </c>
      <c r="O1301" s="283">
        <v>43</v>
      </c>
      <c r="P1301" s="283">
        <v>10238</v>
      </c>
      <c r="Q1301" s="235">
        <f>(O1301+IF('Scenario Analysis'!$N$23=1,0,0.5))*P1301</f>
        <v>445353</v>
      </c>
    </row>
    <row r="1302" spans="3:17" x14ac:dyDescent="0.25">
      <c r="C1302" s="191"/>
      <c r="K1302" s="283" t="s">
        <v>1272</v>
      </c>
      <c r="L1302" s="283" t="s">
        <v>669</v>
      </c>
      <c r="M1302" s="283" t="s">
        <v>249</v>
      </c>
      <c r="N1302" s="283" t="s">
        <v>252</v>
      </c>
      <c r="O1302" s="283">
        <v>44</v>
      </c>
      <c r="P1302" s="283">
        <v>8596</v>
      </c>
      <c r="Q1302" s="235">
        <f>(O1302+IF('Scenario Analysis'!$N$23=1,0,0.5))*P1302</f>
        <v>382522</v>
      </c>
    </row>
    <row r="1303" spans="3:17" x14ac:dyDescent="0.25">
      <c r="C1303" s="191"/>
      <c r="K1303" s="283" t="s">
        <v>1272</v>
      </c>
      <c r="L1303" s="283" t="s">
        <v>669</v>
      </c>
      <c r="M1303" s="283" t="s">
        <v>249</v>
      </c>
      <c r="N1303" s="283" t="s">
        <v>252</v>
      </c>
      <c r="O1303" s="283">
        <v>45</v>
      </c>
      <c r="P1303" s="283">
        <v>11399</v>
      </c>
      <c r="Q1303" s="235">
        <f>(O1303+IF('Scenario Analysis'!$N$23=1,0,0.5))*P1303</f>
        <v>518654.5</v>
      </c>
    </row>
    <row r="1304" spans="3:17" x14ac:dyDescent="0.25">
      <c r="C1304" s="191"/>
      <c r="K1304" s="283" t="s">
        <v>1272</v>
      </c>
      <c r="L1304" s="283" t="s">
        <v>669</v>
      </c>
      <c r="M1304" s="283" t="s">
        <v>249</v>
      </c>
      <c r="N1304" s="283" t="s">
        <v>252</v>
      </c>
      <c r="O1304" s="283">
        <v>46</v>
      </c>
      <c r="P1304" s="283">
        <v>3243</v>
      </c>
      <c r="Q1304" s="235">
        <f>(O1304+IF('Scenario Analysis'!$N$23=1,0,0.5))*P1304</f>
        <v>150799.5</v>
      </c>
    </row>
    <row r="1305" spans="3:17" x14ac:dyDescent="0.25">
      <c r="C1305" s="191"/>
      <c r="K1305" s="283" t="s">
        <v>1272</v>
      </c>
      <c r="L1305" s="283" t="s">
        <v>669</v>
      </c>
      <c r="M1305" s="283" t="s">
        <v>249</v>
      </c>
      <c r="N1305" s="283" t="s">
        <v>252</v>
      </c>
      <c r="O1305" s="283">
        <v>47</v>
      </c>
      <c r="P1305" s="283">
        <v>24332</v>
      </c>
      <c r="Q1305" s="235">
        <f>(O1305+IF('Scenario Analysis'!$N$23=1,0,0.5))*P1305</f>
        <v>1155770</v>
      </c>
    </row>
    <row r="1306" spans="3:17" x14ac:dyDescent="0.25">
      <c r="C1306" s="191"/>
      <c r="K1306" s="283" t="s">
        <v>1272</v>
      </c>
      <c r="L1306" s="283" t="s">
        <v>669</v>
      </c>
      <c r="M1306" s="283" t="s">
        <v>249</v>
      </c>
      <c r="N1306" s="283" t="s">
        <v>252</v>
      </c>
      <c r="O1306" s="283">
        <v>48</v>
      </c>
      <c r="P1306" s="283">
        <v>3743</v>
      </c>
      <c r="Q1306" s="235">
        <f>(O1306+IF('Scenario Analysis'!$N$23=1,0,0.5))*P1306</f>
        <v>181535.5</v>
      </c>
    </row>
    <row r="1307" spans="3:17" x14ac:dyDescent="0.25">
      <c r="C1307" s="191"/>
      <c r="K1307" s="283" t="s">
        <v>1272</v>
      </c>
      <c r="L1307" s="283" t="s">
        <v>669</v>
      </c>
      <c r="M1307" s="283" t="s">
        <v>249</v>
      </c>
      <c r="N1307" s="283" t="s">
        <v>252</v>
      </c>
      <c r="O1307" s="283">
        <v>49</v>
      </c>
      <c r="P1307" s="283">
        <v>15285</v>
      </c>
      <c r="Q1307" s="235">
        <f>(O1307+IF('Scenario Analysis'!$N$23=1,0,0.5))*P1307</f>
        <v>756607.5</v>
      </c>
    </row>
    <row r="1308" spans="3:17" x14ac:dyDescent="0.25">
      <c r="C1308" s="191"/>
      <c r="K1308" s="283" t="s">
        <v>1272</v>
      </c>
      <c r="L1308" s="283" t="s">
        <v>669</v>
      </c>
      <c r="M1308" s="283" t="s">
        <v>249</v>
      </c>
      <c r="N1308" s="283" t="s">
        <v>252</v>
      </c>
      <c r="O1308" s="283">
        <v>50</v>
      </c>
      <c r="P1308" s="283">
        <v>3220</v>
      </c>
      <c r="Q1308" s="235">
        <f>(O1308+IF('Scenario Analysis'!$N$23=1,0,0.5))*P1308</f>
        <v>162610</v>
      </c>
    </row>
    <row r="1309" spans="3:17" x14ac:dyDescent="0.25">
      <c r="C1309" s="191"/>
      <c r="K1309" s="283" t="s">
        <v>1272</v>
      </c>
      <c r="L1309" s="283" t="s">
        <v>669</v>
      </c>
      <c r="M1309" s="283" t="s">
        <v>249</v>
      </c>
      <c r="N1309" s="283" t="s">
        <v>252</v>
      </c>
      <c r="O1309" s="283">
        <v>51</v>
      </c>
      <c r="P1309" s="283">
        <v>1118</v>
      </c>
      <c r="Q1309" s="235">
        <f>(O1309+IF('Scenario Analysis'!$N$23=1,0,0.5))*P1309</f>
        <v>57577</v>
      </c>
    </row>
    <row r="1310" spans="3:17" x14ac:dyDescent="0.25">
      <c r="C1310" s="191"/>
      <c r="K1310" s="283" t="s">
        <v>1272</v>
      </c>
      <c r="L1310" s="283" t="s">
        <v>669</v>
      </c>
      <c r="M1310" s="283" t="s">
        <v>249</v>
      </c>
      <c r="N1310" s="283" t="s">
        <v>252</v>
      </c>
      <c r="O1310" s="283">
        <v>52</v>
      </c>
      <c r="P1310" s="283">
        <v>3479</v>
      </c>
      <c r="Q1310" s="235">
        <f>(O1310+IF('Scenario Analysis'!$N$23=1,0,0.5))*P1310</f>
        <v>182647.5</v>
      </c>
    </row>
    <row r="1311" spans="3:17" x14ac:dyDescent="0.25">
      <c r="C1311" s="191"/>
      <c r="K1311" s="283" t="s">
        <v>1272</v>
      </c>
      <c r="L1311" s="283" t="s">
        <v>669</v>
      </c>
      <c r="M1311" s="283" t="s">
        <v>249</v>
      </c>
      <c r="N1311" s="283" t="s">
        <v>252</v>
      </c>
      <c r="O1311" s="283">
        <v>53</v>
      </c>
      <c r="P1311" s="283">
        <v>1868</v>
      </c>
      <c r="Q1311" s="235">
        <f>(O1311+IF('Scenario Analysis'!$N$23=1,0,0.5))*P1311</f>
        <v>99938</v>
      </c>
    </row>
    <row r="1312" spans="3:17" x14ac:dyDescent="0.25">
      <c r="C1312" s="191"/>
      <c r="K1312" s="283" t="s">
        <v>1272</v>
      </c>
      <c r="L1312" s="283" t="s">
        <v>669</v>
      </c>
      <c r="M1312" s="283" t="s">
        <v>249</v>
      </c>
      <c r="N1312" s="283" t="s">
        <v>252</v>
      </c>
      <c r="O1312" s="283">
        <v>54</v>
      </c>
      <c r="P1312" s="283">
        <v>7827</v>
      </c>
      <c r="Q1312" s="235">
        <f>(O1312+IF('Scenario Analysis'!$N$23=1,0,0.5))*P1312</f>
        <v>426571.5</v>
      </c>
    </row>
    <row r="1313" spans="3:17" x14ac:dyDescent="0.25">
      <c r="C1313" s="191"/>
      <c r="K1313" s="283" t="s">
        <v>1272</v>
      </c>
      <c r="L1313" s="283" t="s">
        <v>669</v>
      </c>
      <c r="M1313" s="283" t="s">
        <v>249</v>
      </c>
      <c r="N1313" s="283" t="s">
        <v>252</v>
      </c>
      <c r="O1313" s="283">
        <v>55</v>
      </c>
      <c r="P1313" s="283">
        <v>29371</v>
      </c>
      <c r="Q1313" s="235">
        <f>(O1313+IF('Scenario Analysis'!$N$23=1,0,0.5))*P1313</f>
        <v>1630090.5</v>
      </c>
    </row>
    <row r="1314" spans="3:17" x14ac:dyDescent="0.25">
      <c r="C1314" s="191"/>
      <c r="K1314" s="283" t="s">
        <v>1272</v>
      </c>
      <c r="L1314" s="283" t="s">
        <v>669</v>
      </c>
      <c r="M1314" s="283" t="s">
        <v>249</v>
      </c>
      <c r="N1314" s="283" t="s">
        <v>252</v>
      </c>
      <c r="O1314" s="283">
        <v>56</v>
      </c>
      <c r="P1314" s="283">
        <v>7000</v>
      </c>
      <c r="Q1314" s="235">
        <f>(O1314+IF('Scenario Analysis'!$N$23=1,0,0.5))*P1314</f>
        <v>395500</v>
      </c>
    </row>
    <row r="1315" spans="3:17" x14ac:dyDescent="0.25">
      <c r="C1315" s="191"/>
      <c r="K1315" s="283" t="s">
        <v>1272</v>
      </c>
      <c r="L1315" s="283" t="s">
        <v>669</v>
      </c>
      <c r="M1315" s="283" t="s">
        <v>249</v>
      </c>
      <c r="N1315" s="283" t="s">
        <v>252</v>
      </c>
      <c r="O1315" s="283">
        <v>57</v>
      </c>
      <c r="P1315" s="283">
        <v>15920</v>
      </c>
      <c r="Q1315" s="235">
        <f>(O1315+IF('Scenario Analysis'!$N$23=1,0,0.5))*P1315</f>
        <v>915400</v>
      </c>
    </row>
    <row r="1316" spans="3:17" x14ac:dyDescent="0.25">
      <c r="C1316" s="191"/>
      <c r="K1316" s="283" t="s">
        <v>1272</v>
      </c>
      <c r="L1316" s="283" t="s">
        <v>669</v>
      </c>
      <c r="M1316" s="283" t="s">
        <v>249</v>
      </c>
      <c r="N1316" s="283" t="s">
        <v>252</v>
      </c>
      <c r="O1316" s="283">
        <v>58</v>
      </c>
      <c r="P1316" s="283">
        <v>5802</v>
      </c>
      <c r="Q1316" s="235">
        <f>(O1316+IF('Scenario Analysis'!$N$23=1,0,0.5))*P1316</f>
        <v>339417</v>
      </c>
    </row>
    <row r="1317" spans="3:17" x14ac:dyDescent="0.25">
      <c r="C1317" s="191"/>
      <c r="K1317" s="283" t="s">
        <v>1272</v>
      </c>
      <c r="L1317" s="283" t="s">
        <v>669</v>
      </c>
      <c r="M1317" s="283" t="s">
        <v>249</v>
      </c>
      <c r="N1317" s="283" t="s">
        <v>252</v>
      </c>
      <c r="O1317" s="283">
        <v>59</v>
      </c>
      <c r="P1317" s="283">
        <v>3035</v>
      </c>
      <c r="Q1317" s="235">
        <f>(O1317+IF('Scenario Analysis'!$N$23=1,0,0.5))*P1317</f>
        <v>180582.5</v>
      </c>
    </row>
    <row r="1318" spans="3:17" x14ac:dyDescent="0.25">
      <c r="C1318" s="191"/>
      <c r="K1318" s="283" t="s">
        <v>1272</v>
      </c>
      <c r="L1318" s="283" t="s">
        <v>669</v>
      </c>
      <c r="M1318" s="283" t="s">
        <v>249</v>
      </c>
      <c r="N1318" s="283" t="s">
        <v>252</v>
      </c>
      <c r="O1318" s="283">
        <v>60</v>
      </c>
      <c r="P1318" s="283">
        <v>18581</v>
      </c>
      <c r="Q1318" s="235">
        <f>(O1318+IF('Scenario Analysis'!$N$23=1,0,0.5))*P1318</f>
        <v>1124150.5</v>
      </c>
    </row>
    <row r="1319" spans="3:17" x14ac:dyDescent="0.25">
      <c r="C1319" s="191"/>
      <c r="K1319" s="283" t="s">
        <v>1272</v>
      </c>
      <c r="L1319" s="283" t="s">
        <v>669</v>
      </c>
      <c r="M1319" s="283" t="s">
        <v>249</v>
      </c>
      <c r="N1319" s="283" t="s">
        <v>252</v>
      </c>
      <c r="O1319" s="283">
        <v>61</v>
      </c>
      <c r="P1319" s="283">
        <v>3034</v>
      </c>
      <c r="Q1319" s="235">
        <f>(O1319+IF('Scenario Analysis'!$N$23=1,0,0.5))*P1319</f>
        <v>186591</v>
      </c>
    </row>
    <row r="1320" spans="3:17" x14ac:dyDescent="0.25">
      <c r="C1320" s="191"/>
      <c r="K1320" s="283" t="s">
        <v>1272</v>
      </c>
      <c r="L1320" s="283" t="s">
        <v>669</v>
      </c>
      <c r="M1320" s="283" t="s">
        <v>249</v>
      </c>
      <c r="N1320" s="283" t="s">
        <v>252</v>
      </c>
      <c r="O1320" s="283">
        <v>62</v>
      </c>
      <c r="P1320" s="283">
        <v>3440</v>
      </c>
      <c r="Q1320" s="235">
        <f>(O1320+IF('Scenario Analysis'!$N$23=1,0,0.5))*P1320</f>
        <v>215000</v>
      </c>
    </row>
    <row r="1321" spans="3:17" x14ac:dyDescent="0.25">
      <c r="C1321" s="191"/>
      <c r="K1321" s="283" t="s">
        <v>1272</v>
      </c>
      <c r="L1321" s="283" t="s">
        <v>669</v>
      </c>
      <c r="M1321" s="283" t="s">
        <v>249</v>
      </c>
      <c r="N1321" s="283" t="s">
        <v>252</v>
      </c>
      <c r="O1321" s="283">
        <v>63</v>
      </c>
      <c r="P1321" s="283">
        <v>2016</v>
      </c>
      <c r="Q1321" s="235">
        <f>(O1321+IF('Scenario Analysis'!$N$23=1,0,0.5))*P1321</f>
        <v>128016</v>
      </c>
    </row>
    <row r="1322" spans="3:17" x14ac:dyDescent="0.25">
      <c r="C1322" s="191"/>
      <c r="K1322" s="283" t="s">
        <v>1272</v>
      </c>
      <c r="L1322" s="283" t="s">
        <v>669</v>
      </c>
      <c r="M1322" s="283" t="s">
        <v>249</v>
      </c>
      <c r="N1322" s="283" t="s">
        <v>252</v>
      </c>
      <c r="O1322" s="283">
        <v>64</v>
      </c>
      <c r="P1322" s="283">
        <v>8451</v>
      </c>
      <c r="Q1322" s="235">
        <f>(O1322+IF('Scenario Analysis'!$N$23=1,0,0.5))*P1322</f>
        <v>545089.5</v>
      </c>
    </row>
    <row r="1323" spans="3:17" x14ac:dyDescent="0.25">
      <c r="C1323" s="191"/>
      <c r="K1323" s="283" t="s">
        <v>1272</v>
      </c>
      <c r="L1323" s="283" t="s">
        <v>669</v>
      </c>
      <c r="M1323" s="283" t="s">
        <v>249</v>
      </c>
      <c r="N1323" s="283" t="s">
        <v>252</v>
      </c>
      <c r="O1323" s="283">
        <v>65</v>
      </c>
      <c r="P1323" s="283">
        <v>41764</v>
      </c>
      <c r="Q1323" s="235">
        <f>(O1323+IF('Scenario Analysis'!$N$23=1,0,0.5))*P1323</f>
        <v>2735542</v>
      </c>
    </row>
    <row r="1324" spans="3:17" x14ac:dyDescent="0.25">
      <c r="C1324" s="191"/>
      <c r="K1324" s="283" t="s">
        <v>1272</v>
      </c>
      <c r="L1324" s="283" t="s">
        <v>669</v>
      </c>
      <c r="M1324" s="283" t="s">
        <v>249</v>
      </c>
      <c r="N1324" s="283" t="s">
        <v>252</v>
      </c>
      <c r="O1324" s="283">
        <v>66</v>
      </c>
      <c r="P1324" s="283">
        <v>4255</v>
      </c>
      <c r="Q1324" s="235">
        <f>(O1324+IF('Scenario Analysis'!$N$23=1,0,0.5))*P1324</f>
        <v>282957.5</v>
      </c>
    </row>
    <row r="1325" spans="3:17" x14ac:dyDescent="0.25">
      <c r="C1325" s="191"/>
      <c r="K1325" s="283" t="s">
        <v>1272</v>
      </c>
      <c r="L1325" s="283" t="s">
        <v>669</v>
      </c>
      <c r="M1325" s="283" t="s">
        <v>249</v>
      </c>
      <c r="N1325" s="283" t="s">
        <v>252</v>
      </c>
      <c r="O1325" s="283">
        <v>67</v>
      </c>
      <c r="P1325" s="283">
        <v>15244</v>
      </c>
      <c r="Q1325" s="235">
        <f>(O1325+IF('Scenario Analysis'!$N$23=1,0,0.5))*P1325</f>
        <v>1028970</v>
      </c>
    </row>
    <row r="1326" spans="3:17" x14ac:dyDescent="0.25">
      <c r="C1326" s="191"/>
      <c r="K1326" s="283" t="s">
        <v>1272</v>
      </c>
      <c r="L1326" s="283" t="s">
        <v>669</v>
      </c>
      <c r="M1326" s="283" t="s">
        <v>249</v>
      </c>
      <c r="N1326" s="283" t="s">
        <v>252</v>
      </c>
      <c r="O1326" s="283">
        <v>68</v>
      </c>
      <c r="P1326" s="283">
        <v>8415</v>
      </c>
      <c r="Q1326" s="235">
        <f>(O1326+IF('Scenario Analysis'!$N$23=1,0,0.5))*P1326</f>
        <v>576427.5</v>
      </c>
    </row>
    <row r="1327" spans="3:17" x14ac:dyDescent="0.25">
      <c r="C1327" s="191"/>
      <c r="K1327" s="283" t="s">
        <v>1272</v>
      </c>
      <c r="L1327" s="283" t="s">
        <v>669</v>
      </c>
      <c r="M1327" s="283" t="s">
        <v>249</v>
      </c>
      <c r="N1327" s="283" t="s">
        <v>252</v>
      </c>
      <c r="O1327" s="283">
        <v>69</v>
      </c>
      <c r="P1327" s="283">
        <v>25932</v>
      </c>
      <c r="Q1327" s="235">
        <f>(O1327+IF('Scenario Analysis'!$N$23=1,0,0.5))*P1327</f>
        <v>1802274</v>
      </c>
    </row>
    <row r="1328" spans="3:17" x14ac:dyDescent="0.25">
      <c r="C1328" s="191"/>
      <c r="K1328" s="283" t="s">
        <v>1272</v>
      </c>
      <c r="L1328" s="283" t="s">
        <v>669</v>
      </c>
      <c r="M1328" s="283" t="s">
        <v>249</v>
      </c>
      <c r="N1328" s="283" t="s">
        <v>252</v>
      </c>
      <c r="O1328" s="283">
        <v>70</v>
      </c>
      <c r="P1328" s="283">
        <v>10312</v>
      </c>
      <c r="Q1328" s="235">
        <f>(O1328+IF('Scenario Analysis'!$N$23=1,0,0.5))*P1328</f>
        <v>726996</v>
      </c>
    </row>
    <row r="1329" spans="3:17" x14ac:dyDescent="0.25">
      <c r="C1329" s="191"/>
      <c r="K1329" s="283" t="s">
        <v>1272</v>
      </c>
      <c r="L1329" s="283" t="s">
        <v>669</v>
      </c>
      <c r="M1329" s="283" t="s">
        <v>249</v>
      </c>
      <c r="N1329" s="283" t="s">
        <v>252</v>
      </c>
      <c r="O1329" s="283">
        <v>71</v>
      </c>
      <c r="P1329" s="283">
        <v>4598</v>
      </c>
      <c r="Q1329" s="235">
        <f>(O1329+IF('Scenario Analysis'!$N$23=1,0,0.5))*P1329</f>
        <v>328757</v>
      </c>
    </row>
    <row r="1330" spans="3:17" x14ac:dyDescent="0.25">
      <c r="C1330" s="191"/>
      <c r="K1330" s="283" t="s">
        <v>1272</v>
      </c>
      <c r="L1330" s="283" t="s">
        <v>669</v>
      </c>
      <c r="M1330" s="283" t="s">
        <v>249</v>
      </c>
      <c r="N1330" s="283" t="s">
        <v>252</v>
      </c>
      <c r="O1330" s="283">
        <v>72</v>
      </c>
      <c r="P1330" s="283">
        <v>4927</v>
      </c>
      <c r="Q1330" s="235">
        <f>(O1330+IF('Scenario Analysis'!$N$23=1,0,0.5))*P1330</f>
        <v>357207.5</v>
      </c>
    </row>
    <row r="1331" spans="3:17" x14ac:dyDescent="0.25">
      <c r="C1331" s="191"/>
      <c r="K1331" s="283" t="s">
        <v>1272</v>
      </c>
      <c r="L1331" s="283" t="s">
        <v>669</v>
      </c>
      <c r="M1331" s="283" t="s">
        <v>249</v>
      </c>
      <c r="N1331" s="283" t="s">
        <v>252</v>
      </c>
      <c r="O1331" s="283">
        <v>73</v>
      </c>
      <c r="P1331" s="283">
        <v>61097</v>
      </c>
      <c r="Q1331" s="235">
        <f>(O1331+IF('Scenario Analysis'!$N$23=1,0,0.5))*P1331</f>
        <v>4490629.5</v>
      </c>
    </row>
    <row r="1332" spans="3:17" x14ac:dyDescent="0.25">
      <c r="C1332" s="191"/>
      <c r="K1332" s="283" t="s">
        <v>1272</v>
      </c>
      <c r="L1332" s="283" t="s">
        <v>669</v>
      </c>
      <c r="M1332" s="283" t="s">
        <v>249</v>
      </c>
      <c r="N1332" s="283" t="s">
        <v>252</v>
      </c>
      <c r="O1332" s="283">
        <v>74</v>
      </c>
      <c r="P1332" s="283">
        <v>3142</v>
      </c>
      <c r="Q1332" s="235">
        <f>(O1332+IF('Scenario Analysis'!$N$23=1,0,0.5))*P1332</f>
        <v>234079</v>
      </c>
    </row>
    <row r="1333" spans="3:17" x14ac:dyDescent="0.25">
      <c r="C1333" s="191"/>
      <c r="K1333" s="283" t="s">
        <v>1272</v>
      </c>
      <c r="L1333" s="283" t="s">
        <v>669</v>
      </c>
      <c r="M1333" s="283" t="s">
        <v>249</v>
      </c>
      <c r="N1333" s="283" t="s">
        <v>252</v>
      </c>
      <c r="O1333" s="283">
        <v>75</v>
      </c>
      <c r="P1333" s="283">
        <v>18547</v>
      </c>
      <c r="Q1333" s="235">
        <f>(O1333+IF('Scenario Analysis'!$N$23=1,0,0.5))*P1333</f>
        <v>1400298.5</v>
      </c>
    </row>
    <row r="1334" spans="3:17" x14ac:dyDescent="0.25">
      <c r="C1334" s="191"/>
      <c r="K1334" s="283" t="s">
        <v>1272</v>
      </c>
      <c r="L1334" s="283" t="s">
        <v>669</v>
      </c>
      <c r="M1334" s="283" t="s">
        <v>249</v>
      </c>
      <c r="N1334" s="283" t="s">
        <v>252</v>
      </c>
      <c r="O1334" s="283">
        <v>76</v>
      </c>
      <c r="P1334" s="283">
        <v>3265</v>
      </c>
      <c r="Q1334" s="235">
        <f>(O1334+IF('Scenario Analysis'!$N$23=1,0,0.5))*P1334</f>
        <v>249772.5</v>
      </c>
    </row>
    <row r="1335" spans="3:17" x14ac:dyDescent="0.25">
      <c r="C1335" s="191"/>
      <c r="K1335" s="283" t="s">
        <v>1272</v>
      </c>
      <c r="L1335" s="283" t="s">
        <v>669</v>
      </c>
      <c r="M1335" s="283" t="s">
        <v>249</v>
      </c>
      <c r="N1335" s="283" t="s">
        <v>252</v>
      </c>
      <c r="O1335" s="283">
        <v>77</v>
      </c>
      <c r="P1335" s="283">
        <v>6890</v>
      </c>
      <c r="Q1335" s="235">
        <f>(O1335+IF('Scenario Analysis'!$N$23=1,0,0.5))*P1335</f>
        <v>533975</v>
      </c>
    </row>
    <row r="1336" spans="3:17" x14ac:dyDescent="0.25">
      <c r="C1336" s="191"/>
      <c r="K1336" s="283" t="s">
        <v>1272</v>
      </c>
      <c r="L1336" s="283" t="s">
        <v>669</v>
      </c>
      <c r="M1336" s="283" t="s">
        <v>249</v>
      </c>
      <c r="N1336" s="283" t="s">
        <v>252</v>
      </c>
      <c r="O1336" s="283">
        <v>78</v>
      </c>
      <c r="P1336" s="283">
        <v>3142</v>
      </c>
      <c r="Q1336" s="235">
        <f>(O1336+IF('Scenario Analysis'!$N$23=1,0,0.5))*P1336</f>
        <v>246647</v>
      </c>
    </row>
    <row r="1337" spans="3:17" x14ac:dyDescent="0.25">
      <c r="C1337" s="191"/>
      <c r="K1337" s="283" t="s">
        <v>1272</v>
      </c>
      <c r="L1337" s="283" t="s">
        <v>669</v>
      </c>
      <c r="M1337" s="283" t="s">
        <v>249</v>
      </c>
      <c r="N1337" s="283" t="s">
        <v>252</v>
      </c>
      <c r="O1337" s="283">
        <v>79</v>
      </c>
      <c r="P1337" s="283">
        <v>10006</v>
      </c>
      <c r="Q1337" s="235">
        <f>(O1337+IF('Scenario Analysis'!$N$23=1,0,0.5))*P1337</f>
        <v>795477</v>
      </c>
    </row>
    <row r="1338" spans="3:17" x14ac:dyDescent="0.25">
      <c r="C1338" s="191"/>
      <c r="K1338" s="283" t="s">
        <v>1272</v>
      </c>
      <c r="L1338" s="283" t="s">
        <v>669</v>
      </c>
      <c r="M1338" s="283" t="s">
        <v>249</v>
      </c>
      <c r="N1338" s="283" t="s">
        <v>252</v>
      </c>
      <c r="O1338" s="283">
        <v>80</v>
      </c>
      <c r="P1338" s="283">
        <v>8736</v>
      </c>
      <c r="Q1338" s="235">
        <f>(O1338+IF('Scenario Analysis'!$N$23=1,0,0.5))*P1338</f>
        <v>703248</v>
      </c>
    </row>
    <row r="1339" spans="3:17" x14ac:dyDescent="0.25">
      <c r="C1339" s="191"/>
      <c r="K1339" s="283" t="s">
        <v>1272</v>
      </c>
      <c r="L1339" s="283" t="s">
        <v>669</v>
      </c>
      <c r="M1339" s="283" t="s">
        <v>249</v>
      </c>
      <c r="N1339" s="283" t="s">
        <v>252</v>
      </c>
      <c r="O1339" s="283">
        <v>81</v>
      </c>
      <c r="P1339" s="283">
        <v>23308</v>
      </c>
      <c r="Q1339" s="235">
        <f>(O1339+IF('Scenario Analysis'!$N$23=1,0,0.5))*P1339</f>
        <v>1899602</v>
      </c>
    </row>
    <row r="1340" spans="3:17" x14ac:dyDescent="0.25">
      <c r="C1340" s="191"/>
      <c r="K1340" s="283" t="s">
        <v>1272</v>
      </c>
      <c r="L1340" s="283" t="s">
        <v>669</v>
      </c>
      <c r="M1340" s="283" t="s">
        <v>249</v>
      </c>
      <c r="N1340" s="283" t="s">
        <v>252</v>
      </c>
      <c r="O1340" s="283">
        <v>82</v>
      </c>
      <c r="P1340" s="283">
        <v>20861</v>
      </c>
      <c r="Q1340" s="235">
        <f>(O1340+IF('Scenario Analysis'!$N$23=1,0,0.5))*P1340</f>
        <v>1721032.5</v>
      </c>
    </row>
    <row r="1341" spans="3:17" x14ac:dyDescent="0.25">
      <c r="C1341" s="191"/>
      <c r="K1341" s="283" t="s">
        <v>1272</v>
      </c>
      <c r="L1341" s="283" t="s">
        <v>669</v>
      </c>
      <c r="M1341" s="283" t="s">
        <v>249</v>
      </c>
      <c r="N1341" s="283" t="s">
        <v>252</v>
      </c>
      <c r="O1341" s="283">
        <v>83</v>
      </c>
      <c r="P1341" s="283">
        <v>2378</v>
      </c>
      <c r="Q1341" s="235">
        <f>(O1341+IF('Scenario Analysis'!$N$23=1,0,0.5))*P1341</f>
        <v>198563</v>
      </c>
    </row>
    <row r="1342" spans="3:17" x14ac:dyDescent="0.25">
      <c r="C1342" s="191"/>
      <c r="K1342" s="283" t="s">
        <v>1272</v>
      </c>
      <c r="L1342" s="283" t="s">
        <v>669</v>
      </c>
      <c r="M1342" s="283" t="s">
        <v>249</v>
      </c>
      <c r="N1342" s="283" t="s">
        <v>252</v>
      </c>
      <c r="O1342" s="283">
        <v>84</v>
      </c>
      <c r="P1342" s="283">
        <v>14595</v>
      </c>
      <c r="Q1342" s="235">
        <f>(O1342+IF('Scenario Analysis'!$N$23=1,0,0.5))*P1342</f>
        <v>1233277.5</v>
      </c>
    </row>
    <row r="1343" spans="3:17" x14ac:dyDescent="0.25">
      <c r="C1343" s="191"/>
      <c r="K1343" s="283" t="s">
        <v>1272</v>
      </c>
      <c r="L1343" s="283" t="s">
        <v>669</v>
      </c>
      <c r="M1343" s="283" t="s">
        <v>249</v>
      </c>
      <c r="N1343" s="283" t="s">
        <v>252</v>
      </c>
      <c r="O1343" s="283">
        <v>85</v>
      </c>
      <c r="P1343" s="283">
        <v>1922</v>
      </c>
      <c r="Q1343" s="235">
        <f>(O1343+IF('Scenario Analysis'!$N$23=1,0,0.5))*P1343</f>
        <v>164331</v>
      </c>
    </row>
    <row r="1344" spans="3:17" x14ac:dyDescent="0.25">
      <c r="C1344" s="191"/>
      <c r="K1344" s="283" t="s">
        <v>1272</v>
      </c>
      <c r="L1344" s="283" t="s">
        <v>669</v>
      </c>
      <c r="M1344" s="283" t="s">
        <v>249</v>
      </c>
      <c r="N1344" s="283" t="s">
        <v>252</v>
      </c>
      <c r="O1344" s="283">
        <v>86</v>
      </c>
      <c r="P1344" s="283">
        <v>23286</v>
      </c>
      <c r="Q1344" s="235">
        <f>(O1344+IF('Scenario Analysis'!$N$23=1,0,0.5))*P1344</f>
        <v>2014239</v>
      </c>
    </row>
    <row r="1345" spans="3:17" x14ac:dyDescent="0.25">
      <c r="C1345" s="191"/>
      <c r="K1345" s="283" t="s">
        <v>1272</v>
      </c>
      <c r="L1345" s="283" t="s">
        <v>669</v>
      </c>
      <c r="M1345" s="283" t="s">
        <v>249</v>
      </c>
      <c r="N1345" s="283" t="s">
        <v>252</v>
      </c>
      <c r="O1345" s="283">
        <v>87</v>
      </c>
      <c r="P1345" s="283">
        <v>3768</v>
      </c>
      <c r="Q1345" s="235">
        <f>(O1345+IF('Scenario Analysis'!$N$23=1,0,0.5))*P1345</f>
        <v>329700</v>
      </c>
    </row>
    <row r="1346" spans="3:17" x14ac:dyDescent="0.25">
      <c r="C1346" s="191"/>
      <c r="K1346" s="283" t="s">
        <v>1272</v>
      </c>
      <c r="L1346" s="283" t="s">
        <v>669</v>
      </c>
      <c r="M1346" s="283" t="s">
        <v>249</v>
      </c>
      <c r="N1346" s="283" t="s">
        <v>252</v>
      </c>
      <c r="O1346" s="283">
        <v>88</v>
      </c>
      <c r="P1346" s="283">
        <v>3129</v>
      </c>
      <c r="Q1346" s="235">
        <f>(O1346+IF('Scenario Analysis'!$N$23=1,0,0.5))*P1346</f>
        <v>276916.5</v>
      </c>
    </row>
    <row r="1347" spans="3:17" x14ac:dyDescent="0.25">
      <c r="C1347" s="191"/>
      <c r="K1347" s="283" t="s">
        <v>1272</v>
      </c>
      <c r="L1347" s="283" t="s">
        <v>669</v>
      </c>
      <c r="M1347" s="283" t="s">
        <v>249</v>
      </c>
      <c r="N1347" s="283" t="s">
        <v>252</v>
      </c>
      <c r="O1347" s="283">
        <v>89</v>
      </c>
      <c r="P1347" s="283">
        <v>10727</v>
      </c>
      <c r="Q1347" s="235">
        <f>(O1347+IF('Scenario Analysis'!$N$23=1,0,0.5))*P1347</f>
        <v>960066.5</v>
      </c>
    </row>
    <row r="1348" spans="3:17" x14ac:dyDescent="0.25">
      <c r="C1348" s="191"/>
      <c r="K1348" s="283" t="s">
        <v>1272</v>
      </c>
      <c r="L1348" s="283" t="s">
        <v>669</v>
      </c>
      <c r="M1348" s="283" t="s">
        <v>249</v>
      </c>
      <c r="N1348" s="283" t="s">
        <v>252</v>
      </c>
      <c r="O1348" s="283">
        <v>90</v>
      </c>
      <c r="P1348" s="283">
        <v>2934</v>
      </c>
      <c r="Q1348" s="235">
        <f>(O1348+IF('Scenario Analysis'!$N$23=1,0,0.5))*P1348</f>
        <v>265527</v>
      </c>
    </row>
    <row r="1349" spans="3:17" x14ac:dyDescent="0.25">
      <c r="C1349" s="191"/>
      <c r="K1349" s="283" t="s">
        <v>1272</v>
      </c>
      <c r="L1349" s="283" t="s">
        <v>669</v>
      </c>
      <c r="M1349" s="283" t="s">
        <v>249</v>
      </c>
      <c r="N1349" s="283" t="s">
        <v>252</v>
      </c>
      <c r="O1349" s="283">
        <v>91</v>
      </c>
      <c r="P1349" s="283">
        <v>20650</v>
      </c>
      <c r="Q1349" s="235">
        <f>(O1349+IF('Scenario Analysis'!$N$23=1,0,0.5))*P1349</f>
        <v>1889475</v>
      </c>
    </row>
    <row r="1350" spans="3:17" x14ac:dyDescent="0.25">
      <c r="C1350" s="191"/>
      <c r="K1350" s="283" t="s">
        <v>1272</v>
      </c>
      <c r="L1350" s="283" t="s">
        <v>669</v>
      </c>
      <c r="M1350" s="283" t="s">
        <v>249</v>
      </c>
      <c r="N1350" s="283" t="s">
        <v>252</v>
      </c>
      <c r="O1350" s="283">
        <v>92</v>
      </c>
      <c r="P1350" s="283">
        <v>784</v>
      </c>
      <c r="Q1350" s="235">
        <f>(O1350+IF('Scenario Analysis'!$N$23=1,0,0.5))*P1350</f>
        <v>72520</v>
      </c>
    </row>
    <row r="1351" spans="3:17" x14ac:dyDescent="0.25">
      <c r="C1351" s="191"/>
      <c r="K1351" s="283" t="s">
        <v>1272</v>
      </c>
      <c r="L1351" s="283" t="s">
        <v>669</v>
      </c>
      <c r="M1351" s="283" t="s">
        <v>249</v>
      </c>
      <c r="N1351" s="283" t="s">
        <v>252</v>
      </c>
      <c r="O1351" s="283">
        <v>93</v>
      </c>
      <c r="P1351" s="283">
        <v>17444</v>
      </c>
      <c r="Q1351" s="235">
        <f>(O1351+IF('Scenario Analysis'!$N$23=1,0,0.5))*P1351</f>
        <v>1631014</v>
      </c>
    </row>
    <row r="1352" spans="3:17" x14ac:dyDescent="0.25">
      <c r="C1352" s="191"/>
      <c r="K1352" s="283" t="s">
        <v>1272</v>
      </c>
      <c r="L1352" s="283" t="s">
        <v>669</v>
      </c>
      <c r="M1352" s="283" t="s">
        <v>249</v>
      </c>
      <c r="N1352" s="283" t="s">
        <v>252</v>
      </c>
      <c r="O1352" s="283">
        <v>94</v>
      </c>
      <c r="P1352" s="283">
        <v>2237</v>
      </c>
      <c r="Q1352" s="235">
        <f>(O1352+IF('Scenario Analysis'!$N$23=1,0,0.5))*P1352</f>
        <v>211396.5</v>
      </c>
    </row>
    <row r="1353" spans="3:17" x14ac:dyDescent="0.25">
      <c r="C1353" s="191"/>
      <c r="K1353" s="283" t="s">
        <v>1272</v>
      </c>
      <c r="L1353" s="283" t="s">
        <v>669</v>
      </c>
      <c r="M1353" s="283" t="s">
        <v>249</v>
      </c>
      <c r="N1353" s="283" t="s">
        <v>252</v>
      </c>
      <c r="O1353" s="283">
        <v>95</v>
      </c>
      <c r="P1353" s="283">
        <v>4304</v>
      </c>
      <c r="Q1353" s="235">
        <f>(O1353+IF('Scenario Analysis'!$N$23=1,0,0.5))*P1353</f>
        <v>411032</v>
      </c>
    </row>
    <row r="1354" spans="3:17" x14ac:dyDescent="0.25">
      <c r="C1354" s="191"/>
      <c r="K1354" s="283" t="s">
        <v>1272</v>
      </c>
      <c r="L1354" s="283" t="s">
        <v>669</v>
      </c>
      <c r="M1354" s="283" t="s">
        <v>249</v>
      </c>
      <c r="N1354" s="283" t="s">
        <v>252</v>
      </c>
      <c r="O1354" s="283">
        <v>96</v>
      </c>
      <c r="P1354" s="283">
        <v>822</v>
      </c>
      <c r="Q1354" s="235">
        <f>(O1354+IF('Scenario Analysis'!$N$23=1,0,0.5))*P1354</f>
        <v>79323</v>
      </c>
    </row>
    <row r="1355" spans="3:17" x14ac:dyDescent="0.25">
      <c r="C1355" s="191"/>
      <c r="K1355" s="283" t="s">
        <v>1272</v>
      </c>
      <c r="L1355" s="283" t="s">
        <v>669</v>
      </c>
      <c r="M1355" s="283" t="s">
        <v>249</v>
      </c>
      <c r="N1355" s="283" t="s">
        <v>252</v>
      </c>
      <c r="O1355" s="283">
        <v>97</v>
      </c>
      <c r="P1355" s="283">
        <v>1580</v>
      </c>
      <c r="Q1355" s="235">
        <f>(O1355+IF('Scenario Analysis'!$N$23=1,0,0.5))*P1355</f>
        <v>154050</v>
      </c>
    </row>
    <row r="1356" spans="3:17" x14ac:dyDescent="0.25">
      <c r="C1356" s="191"/>
      <c r="K1356" s="283" t="s">
        <v>1272</v>
      </c>
      <c r="L1356" s="283" t="s">
        <v>669</v>
      </c>
      <c r="M1356" s="283" t="s">
        <v>249</v>
      </c>
      <c r="N1356" s="283" t="s">
        <v>252</v>
      </c>
      <c r="O1356" s="283">
        <v>98</v>
      </c>
      <c r="P1356" s="283">
        <v>8325</v>
      </c>
      <c r="Q1356" s="235">
        <f>(O1356+IF('Scenario Analysis'!$N$23=1,0,0.5))*P1356</f>
        <v>820012.5</v>
      </c>
    </row>
    <row r="1357" spans="3:17" x14ac:dyDescent="0.25">
      <c r="C1357" s="191"/>
      <c r="K1357" s="283" t="s">
        <v>1272</v>
      </c>
      <c r="L1357" s="283" t="s">
        <v>669</v>
      </c>
      <c r="M1357" s="283" t="s">
        <v>249</v>
      </c>
      <c r="N1357" s="283" t="s">
        <v>252</v>
      </c>
      <c r="O1357" s="283">
        <v>99</v>
      </c>
      <c r="P1357" s="283">
        <v>87</v>
      </c>
      <c r="Q1357" s="235">
        <f>(O1357+IF('Scenario Analysis'!$N$23=1,0,0.5))*P1357</f>
        <v>8656.5</v>
      </c>
    </row>
    <row r="1358" spans="3:17" x14ac:dyDescent="0.25">
      <c r="C1358" s="191"/>
      <c r="K1358" s="283" t="s">
        <v>1272</v>
      </c>
      <c r="L1358" s="283" t="s">
        <v>669</v>
      </c>
      <c r="M1358" s="283" t="s">
        <v>249</v>
      </c>
      <c r="N1358" s="283" t="s">
        <v>252</v>
      </c>
      <c r="O1358" s="283">
        <v>100</v>
      </c>
      <c r="P1358" s="283">
        <v>2299</v>
      </c>
      <c r="Q1358" s="235">
        <f>(O1358+IF('Scenario Analysis'!$N$23=1,0,0.5))*P1358</f>
        <v>231049.5</v>
      </c>
    </row>
    <row r="1359" spans="3:17" x14ac:dyDescent="0.25">
      <c r="C1359" s="191"/>
      <c r="K1359" s="283" t="s">
        <v>1272</v>
      </c>
      <c r="L1359" s="283" t="s">
        <v>669</v>
      </c>
      <c r="M1359" s="283" t="s">
        <v>249</v>
      </c>
      <c r="N1359" s="283" t="s">
        <v>252</v>
      </c>
      <c r="O1359" s="283">
        <v>101</v>
      </c>
      <c r="P1359" s="283">
        <v>184</v>
      </c>
      <c r="Q1359" s="235">
        <f>(O1359+IF('Scenario Analysis'!$N$23=1,0,0.5))*P1359</f>
        <v>18676</v>
      </c>
    </row>
    <row r="1360" spans="3:17" x14ac:dyDescent="0.25">
      <c r="C1360" s="191"/>
      <c r="K1360" s="283" t="s">
        <v>1272</v>
      </c>
      <c r="L1360" s="283" t="s">
        <v>669</v>
      </c>
      <c r="M1360" s="283" t="s">
        <v>249</v>
      </c>
      <c r="N1360" s="283" t="s">
        <v>252</v>
      </c>
      <c r="O1360" s="283">
        <v>102</v>
      </c>
      <c r="P1360" s="283">
        <v>3010</v>
      </c>
      <c r="Q1360" s="235">
        <f>(O1360+IF('Scenario Analysis'!$N$23=1,0,0.5))*P1360</f>
        <v>308525</v>
      </c>
    </row>
    <row r="1361" spans="3:17" x14ac:dyDescent="0.25">
      <c r="C1361" s="191"/>
      <c r="K1361" s="283" t="s">
        <v>1272</v>
      </c>
      <c r="L1361" s="283" t="s">
        <v>669</v>
      </c>
      <c r="M1361" s="283" t="s">
        <v>249</v>
      </c>
      <c r="N1361" s="283" t="s">
        <v>252</v>
      </c>
      <c r="O1361" s="283">
        <v>103</v>
      </c>
      <c r="P1361" s="283">
        <v>4023</v>
      </c>
      <c r="Q1361" s="235">
        <f>(O1361+IF('Scenario Analysis'!$N$23=1,0,0.5))*P1361</f>
        <v>416380.5</v>
      </c>
    </row>
    <row r="1362" spans="3:17" x14ac:dyDescent="0.25">
      <c r="C1362" s="191"/>
      <c r="K1362" s="283" t="s">
        <v>1272</v>
      </c>
      <c r="L1362" s="283" t="s">
        <v>669</v>
      </c>
      <c r="M1362" s="283" t="s">
        <v>249</v>
      </c>
      <c r="N1362" s="283" t="s">
        <v>252</v>
      </c>
      <c r="O1362" s="283">
        <v>104</v>
      </c>
      <c r="P1362" s="283">
        <v>1757</v>
      </c>
      <c r="Q1362" s="235">
        <f>(O1362+IF('Scenario Analysis'!$N$23=1,0,0.5))*P1362</f>
        <v>183606.5</v>
      </c>
    </row>
    <row r="1363" spans="3:17" x14ac:dyDescent="0.25">
      <c r="C1363" s="191"/>
      <c r="K1363" s="283" t="s">
        <v>1272</v>
      </c>
      <c r="L1363" s="283" t="s">
        <v>669</v>
      </c>
      <c r="M1363" s="283" t="s">
        <v>249</v>
      </c>
      <c r="N1363" s="283" t="s">
        <v>252</v>
      </c>
      <c r="O1363" s="283">
        <v>105</v>
      </c>
      <c r="P1363" s="283">
        <v>2229</v>
      </c>
      <c r="Q1363" s="235">
        <f>(O1363+IF('Scenario Analysis'!$N$23=1,0,0.5))*P1363</f>
        <v>235159.5</v>
      </c>
    </row>
    <row r="1364" spans="3:17" x14ac:dyDescent="0.25">
      <c r="C1364" s="191"/>
      <c r="K1364" s="283" t="s">
        <v>1272</v>
      </c>
      <c r="L1364" s="283" t="s">
        <v>669</v>
      </c>
      <c r="M1364" s="283" t="s">
        <v>249</v>
      </c>
      <c r="N1364" s="283" t="s">
        <v>252</v>
      </c>
      <c r="O1364" s="283">
        <v>106</v>
      </c>
      <c r="P1364" s="283">
        <v>1204</v>
      </c>
      <c r="Q1364" s="235">
        <f>(O1364+IF('Scenario Analysis'!$N$23=1,0,0.5))*P1364</f>
        <v>128226</v>
      </c>
    </row>
    <row r="1365" spans="3:17" x14ac:dyDescent="0.25">
      <c r="C1365" s="191"/>
      <c r="K1365" s="283" t="s">
        <v>1272</v>
      </c>
      <c r="L1365" s="283" t="s">
        <v>669</v>
      </c>
      <c r="M1365" s="283" t="s">
        <v>249</v>
      </c>
      <c r="N1365" s="283" t="s">
        <v>252</v>
      </c>
      <c r="O1365" s="283">
        <v>107</v>
      </c>
      <c r="P1365" s="283">
        <v>7096</v>
      </c>
      <c r="Q1365" s="235">
        <f>(O1365+IF('Scenario Analysis'!$N$23=1,0,0.5))*P1365</f>
        <v>762820</v>
      </c>
    </row>
    <row r="1366" spans="3:17" x14ac:dyDescent="0.25">
      <c r="C1366" s="191"/>
      <c r="K1366" s="283" t="s">
        <v>1272</v>
      </c>
      <c r="L1366" s="283" t="s">
        <v>669</v>
      </c>
      <c r="M1366" s="283" t="s">
        <v>249</v>
      </c>
      <c r="N1366" s="283" t="s">
        <v>252</v>
      </c>
      <c r="O1366" s="283">
        <v>108</v>
      </c>
      <c r="P1366" s="283">
        <v>3537</v>
      </c>
      <c r="Q1366" s="235">
        <f>(O1366+IF('Scenario Analysis'!$N$23=1,0,0.5))*P1366</f>
        <v>383764.5</v>
      </c>
    </row>
    <row r="1367" spans="3:17" x14ac:dyDescent="0.25">
      <c r="C1367" s="191"/>
      <c r="K1367" s="283" t="s">
        <v>1272</v>
      </c>
      <c r="L1367" s="283" t="s">
        <v>669</v>
      </c>
      <c r="M1367" s="283" t="s">
        <v>249</v>
      </c>
      <c r="N1367" s="283" t="s">
        <v>252</v>
      </c>
      <c r="O1367" s="283">
        <v>109</v>
      </c>
      <c r="P1367" s="283">
        <v>16122</v>
      </c>
      <c r="Q1367" s="235">
        <f>(O1367+IF('Scenario Analysis'!$N$23=1,0,0.5))*P1367</f>
        <v>1765359</v>
      </c>
    </row>
    <row r="1368" spans="3:17" x14ac:dyDescent="0.25">
      <c r="C1368" s="191"/>
      <c r="K1368" s="283" t="s">
        <v>1272</v>
      </c>
      <c r="L1368" s="283" t="s">
        <v>669</v>
      </c>
      <c r="M1368" s="283" t="s">
        <v>249</v>
      </c>
      <c r="N1368" s="283" t="s">
        <v>252</v>
      </c>
      <c r="O1368" s="283">
        <v>110</v>
      </c>
      <c r="P1368" s="283">
        <v>1121</v>
      </c>
      <c r="Q1368" s="235">
        <f>(O1368+IF('Scenario Analysis'!$N$23=1,0,0.5))*P1368</f>
        <v>123870.5</v>
      </c>
    </row>
    <row r="1369" spans="3:17" x14ac:dyDescent="0.25">
      <c r="C1369" s="191"/>
      <c r="K1369" s="283" t="s">
        <v>1272</v>
      </c>
      <c r="L1369" s="283" t="s">
        <v>669</v>
      </c>
      <c r="M1369" s="283" t="s">
        <v>249</v>
      </c>
      <c r="N1369" s="283" t="s">
        <v>252</v>
      </c>
      <c r="O1369" s="283">
        <v>111</v>
      </c>
      <c r="P1369" s="283">
        <v>4529</v>
      </c>
      <c r="Q1369" s="235">
        <f>(O1369+IF('Scenario Analysis'!$N$23=1,0,0.5))*P1369</f>
        <v>504983.5</v>
      </c>
    </row>
    <row r="1370" spans="3:17" x14ac:dyDescent="0.25">
      <c r="C1370" s="191"/>
      <c r="K1370" s="283" t="s">
        <v>1272</v>
      </c>
      <c r="L1370" s="283" t="s">
        <v>669</v>
      </c>
      <c r="M1370" s="283" t="s">
        <v>249</v>
      </c>
      <c r="N1370" s="283" t="s">
        <v>252</v>
      </c>
      <c r="O1370" s="283">
        <v>112</v>
      </c>
      <c r="P1370" s="283">
        <v>346</v>
      </c>
      <c r="Q1370" s="235">
        <f>(O1370+IF('Scenario Analysis'!$N$23=1,0,0.5))*P1370</f>
        <v>38925</v>
      </c>
    </row>
    <row r="1371" spans="3:17" x14ac:dyDescent="0.25">
      <c r="C1371" s="191"/>
      <c r="K1371" s="283" t="s">
        <v>1272</v>
      </c>
      <c r="L1371" s="283" t="s">
        <v>669</v>
      </c>
      <c r="M1371" s="283" t="s">
        <v>249</v>
      </c>
      <c r="N1371" s="283" t="s">
        <v>252</v>
      </c>
      <c r="O1371" s="283">
        <v>113</v>
      </c>
      <c r="P1371" s="283">
        <v>1197</v>
      </c>
      <c r="Q1371" s="235">
        <f>(O1371+IF('Scenario Analysis'!$N$23=1,0,0.5))*P1371</f>
        <v>135859.5</v>
      </c>
    </row>
    <row r="1372" spans="3:17" x14ac:dyDescent="0.25">
      <c r="C1372" s="191"/>
      <c r="K1372" s="283" t="s">
        <v>1272</v>
      </c>
      <c r="L1372" s="283" t="s">
        <v>669</v>
      </c>
      <c r="M1372" s="283" t="s">
        <v>249</v>
      </c>
      <c r="N1372" s="283" t="s">
        <v>252</v>
      </c>
      <c r="O1372" s="283">
        <v>114</v>
      </c>
      <c r="P1372" s="283">
        <v>347</v>
      </c>
      <c r="Q1372" s="235">
        <f>(O1372+IF('Scenario Analysis'!$N$23=1,0,0.5))*P1372</f>
        <v>39731.5</v>
      </c>
    </row>
    <row r="1373" spans="3:17" x14ac:dyDescent="0.25">
      <c r="C1373" s="191"/>
      <c r="K1373" s="283" t="s">
        <v>1272</v>
      </c>
      <c r="L1373" s="283" t="s">
        <v>669</v>
      </c>
      <c r="M1373" s="283" t="s">
        <v>249</v>
      </c>
      <c r="N1373" s="283" t="s">
        <v>252</v>
      </c>
      <c r="O1373" s="283">
        <v>115</v>
      </c>
      <c r="P1373" s="283">
        <v>900</v>
      </c>
      <c r="Q1373" s="235">
        <f>(O1373+IF('Scenario Analysis'!$N$23=1,0,0.5))*P1373</f>
        <v>103950</v>
      </c>
    </row>
    <row r="1374" spans="3:17" x14ac:dyDescent="0.25">
      <c r="C1374" s="191"/>
      <c r="K1374" s="283" t="s">
        <v>1272</v>
      </c>
      <c r="L1374" s="283" t="s">
        <v>669</v>
      </c>
      <c r="M1374" s="283" t="s">
        <v>249</v>
      </c>
      <c r="N1374" s="283" t="s">
        <v>252</v>
      </c>
      <c r="O1374" s="283">
        <v>116</v>
      </c>
      <c r="P1374" s="283">
        <v>9028</v>
      </c>
      <c r="Q1374" s="235">
        <f>(O1374+IF('Scenario Analysis'!$N$23=1,0,0.5))*P1374</f>
        <v>1051762</v>
      </c>
    </row>
    <row r="1375" spans="3:17" x14ac:dyDescent="0.25">
      <c r="C1375" s="191"/>
      <c r="K1375" s="283" t="s">
        <v>1272</v>
      </c>
      <c r="L1375" s="283" t="s">
        <v>669</v>
      </c>
      <c r="M1375" s="283" t="s">
        <v>249</v>
      </c>
      <c r="N1375" s="283" t="s">
        <v>252</v>
      </c>
      <c r="O1375" s="283">
        <v>117</v>
      </c>
      <c r="P1375" s="283">
        <v>2070</v>
      </c>
      <c r="Q1375" s="235">
        <f>(O1375+IF('Scenario Analysis'!$N$23=1,0,0.5))*P1375</f>
        <v>243225</v>
      </c>
    </row>
    <row r="1376" spans="3:17" x14ac:dyDescent="0.25">
      <c r="C1376" s="191"/>
      <c r="K1376" s="283" t="s">
        <v>1272</v>
      </c>
      <c r="L1376" s="283" t="s">
        <v>669</v>
      </c>
      <c r="M1376" s="283" t="s">
        <v>249</v>
      </c>
      <c r="N1376" s="283" t="s">
        <v>252</v>
      </c>
      <c r="O1376" s="283">
        <v>118</v>
      </c>
      <c r="P1376" s="283">
        <v>159</v>
      </c>
      <c r="Q1376" s="235">
        <f>(O1376+IF('Scenario Analysis'!$N$23=1,0,0.5))*P1376</f>
        <v>18841.5</v>
      </c>
    </row>
    <row r="1377" spans="3:17" x14ac:dyDescent="0.25">
      <c r="C1377" s="191"/>
      <c r="K1377" s="283" t="s">
        <v>1272</v>
      </c>
      <c r="L1377" s="283" t="s">
        <v>669</v>
      </c>
      <c r="M1377" s="283" t="s">
        <v>249</v>
      </c>
      <c r="N1377" s="283" t="s">
        <v>252</v>
      </c>
      <c r="O1377" s="283">
        <v>119</v>
      </c>
      <c r="P1377" s="283">
        <v>5048</v>
      </c>
      <c r="Q1377" s="235">
        <f>(O1377+IF('Scenario Analysis'!$N$23=1,0,0.5))*P1377</f>
        <v>603236</v>
      </c>
    </row>
    <row r="1378" spans="3:17" x14ac:dyDescent="0.25">
      <c r="C1378" s="191"/>
      <c r="K1378" s="283" t="s">
        <v>1272</v>
      </c>
      <c r="L1378" s="283" t="s">
        <v>669</v>
      </c>
      <c r="M1378" s="283" t="s">
        <v>249</v>
      </c>
      <c r="N1378" s="283" t="s">
        <v>252</v>
      </c>
      <c r="O1378" s="283">
        <v>120</v>
      </c>
      <c r="P1378" s="283">
        <v>3825</v>
      </c>
      <c r="Q1378" s="235">
        <f>(O1378+IF('Scenario Analysis'!$N$23=1,0,0.5))*P1378</f>
        <v>460912.5</v>
      </c>
    </row>
    <row r="1379" spans="3:17" x14ac:dyDescent="0.25">
      <c r="C1379" s="191"/>
      <c r="K1379" s="283" t="s">
        <v>1272</v>
      </c>
      <c r="L1379" s="283" t="s">
        <v>669</v>
      </c>
      <c r="M1379" s="283" t="s">
        <v>249</v>
      </c>
      <c r="N1379" s="283" t="s">
        <v>252</v>
      </c>
      <c r="O1379" s="283">
        <v>121</v>
      </c>
      <c r="P1379" s="283">
        <v>3440</v>
      </c>
      <c r="Q1379" s="235">
        <f>(O1379+IF('Scenario Analysis'!$N$23=1,0,0.5))*P1379</f>
        <v>417960</v>
      </c>
    </row>
    <row r="1380" spans="3:17" x14ac:dyDescent="0.25">
      <c r="C1380" s="191"/>
      <c r="K1380" s="283" t="s">
        <v>1272</v>
      </c>
      <c r="L1380" s="283" t="s">
        <v>669</v>
      </c>
      <c r="M1380" s="283" t="s">
        <v>249</v>
      </c>
      <c r="N1380" s="283" t="s">
        <v>252</v>
      </c>
      <c r="O1380" s="283">
        <v>122</v>
      </c>
      <c r="P1380" s="283">
        <v>2553</v>
      </c>
      <c r="Q1380" s="235">
        <f>(O1380+IF('Scenario Analysis'!$N$23=1,0,0.5))*P1380</f>
        <v>312742.5</v>
      </c>
    </row>
    <row r="1381" spans="3:17" x14ac:dyDescent="0.25">
      <c r="C1381" s="191"/>
      <c r="K1381" s="283" t="s">
        <v>1272</v>
      </c>
      <c r="L1381" s="283" t="s">
        <v>669</v>
      </c>
      <c r="M1381" s="283" t="s">
        <v>249</v>
      </c>
      <c r="N1381" s="283" t="s">
        <v>252</v>
      </c>
      <c r="O1381" s="283">
        <v>123</v>
      </c>
      <c r="P1381" s="283">
        <v>231</v>
      </c>
      <c r="Q1381" s="235">
        <f>(O1381+IF('Scenario Analysis'!$N$23=1,0,0.5))*P1381</f>
        <v>28528.5</v>
      </c>
    </row>
    <row r="1382" spans="3:17" x14ac:dyDescent="0.25">
      <c r="C1382" s="191"/>
      <c r="K1382" s="283" t="s">
        <v>1272</v>
      </c>
      <c r="L1382" s="283" t="s">
        <v>669</v>
      </c>
      <c r="M1382" s="283" t="s">
        <v>249</v>
      </c>
      <c r="N1382" s="283" t="s">
        <v>252</v>
      </c>
      <c r="O1382" s="283">
        <v>124</v>
      </c>
      <c r="P1382" s="283">
        <v>57</v>
      </c>
      <c r="Q1382" s="235">
        <f>(O1382+IF('Scenario Analysis'!$N$23=1,0,0.5))*P1382</f>
        <v>7096.5</v>
      </c>
    </row>
    <row r="1383" spans="3:17" x14ac:dyDescent="0.25">
      <c r="C1383" s="191"/>
      <c r="K1383" s="283" t="s">
        <v>1272</v>
      </c>
      <c r="L1383" s="283" t="s">
        <v>669</v>
      </c>
      <c r="M1383" s="283" t="s">
        <v>249</v>
      </c>
      <c r="N1383" s="283" t="s">
        <v>252</v>
      </c>
      <c r="O1383" s="283">
        <v>125</v>
      </c>
      <c r="P1383" s="283">
        <v>626</v>
      </c>
      <c r="Q1383" s="235">
        <f>(O1383+IF('Scenario Analysis'!$N$23=1,0,0.5))*P1383</f>
        <v>78563</v>
      </c>
    </row>
    <row r="1384" spans="3:17" x14ac:dyDescent="0.25">
      <c r="C1384" s="191"/>
      <c r="K1384" s="283" t="s">
        <v>1272</v>
      </c>
      <c r="L1384" s="283" t="s">
        <v>669</v>
      </c>
      <c r="M1384" s="283" t="s">
        <v>249</v>
      </c>
      <c r="N1384" s="283" t="s">
        <v>252</v>
      </c>
      <c r="O1384" s="283">
        <v>126</v>
      </c>
      <c r="P1384" s="283">
        <v>1358</v>
      </c>
      <c r="Q1384" s="235">
        <f>(O1384+IF('Scenario Analysis'!$N$23=1,0,0.5))*P1384</f>
        <v>171787</v>
      </c>
    </row>
    <row r="1385" spans="3:17" x14ac:dyDescent="0.25">
      <c r="C1385" s="191"/>
      <c r="K1385" s="283" t="s">
        <v>1272</v>
      </c>
      <c r="L1385" s="283" t="s">
        <v>669</v>
      </c>
      <c r="M1385" s="283" t="s">
        <v>249</v>
      </c>
      <c r="N1385" s="283" t="s">
        <v>252</v>
      </c>
      <c r="O1385" s="283">
        <v>127</v>
      </c>
      <c r="P1385" s="283">
        <v>375</v>
      </c>
      <c r="Q1385" s="235">
        <f>(O1385+IF('Scenario Analysis'!$N$23=1,0,0.5))*P1385</f>
        <v>47812.5</v>
      </c>
    </row>
    <row r="1386" spans="3:17" x14ac:dyDescent="0.25">
      <c r="C1386" s="191"/>
      <c r="K1386" s="283" t="s">
        <v>1272</v>
      </c>
      <c r="L1386" s="283" t="s">
        <v>669</v>
      </c>
      <c r="M1386" s="283" t="s">
        <v>249</v>
      </c>
      <c r="N1386" s="283" t="s">
        <v>252</v>
      </c>
      <c r="O1386" s="283">
        <v>128</v>
      </c>
      <c r="P1386" s="283">
        <v>617</v>
      </c>
      <c r="Q1386" s="235">
        <f>(O1386+IF('Scenario Analysis'!$N$23=1,0,0.5))*P1386</f>
        <v>79284.5</v>
      </c>
    </row>
    <row r="1387" spans="3:17" x14ac:dyDescent="0.25">
      <c r="C1387" s="191"/>
      <c r="K1387" s="283" t="s">
        <v>1272</v>
      </c>
      <c r="L1387" s="283" t="s">
        <v>669</v>
      </c>
      <c r="M1387" s="283" t="s">
        <v>249</v>
      </c>
      <c r="N1387" s="283" t="s">
        <v>252</v>
      </c>
      <c r="O1387" s="283">
        <v>129</v>
      </c>
      <c r="P1387" s="283">
        <v>4357</v>
      </c>
      <c r="Q1387" s="235">
        <f>(O1387+IF('Scenario Analysis'!$N$23=1,0,0.5))*P1387</f>
        <v>564231.5</v>
      </c>
    </row>
    <row r="1388" spans="3:17" x14ac:dyDescent="0.25">
      <c r="C1388" s="191"/>
      <c r="K1388" s="283" t="s">
        <v>1272</v>
      </c>
      <c r="L1388" s="283" t="s">
        <v>669</v>
      </c>
      <c r="M1388" s="283" t="s">
        <v>249</v>
      </c>
      <c r="N1388" s="283" t="s">
        <v>252</v>
      </c>
      <c r="O1388" s="283">
        <v>130</v>
      </c>
      <c r="P1388" s="283">
        <v>3439</v>
      </c>
      <c r="Q1388" s="235">
        <f>(O1388+IF('Scenario Analysis'!$N$23=1,0,0.5))*P1388</f>
        <v>448789.5</v>
      </c>
    </row>
    <row r="1389" spans="3:17" x14ac:dyDescent="0.25">
      <c r="C1389" s="191"/>
      <c r="K1389" s="283" t="s">
        <v>1272</v>
      </c>
      <c r="L1389" s="283" t="s">
        <v>669</v>
      </c>
      <c r="M1389" s="283" t="s">
        <v>249</v>
      </c>
      <c r="N1389" s="283" t="s">
        <v>252</v>
      </c>
      <c r="O1389" s="283">
        <v>131</v>
      </c>
      <c r="P1389" s="283">
        <v>6277</v>
      </c>
      <c r="Q1389" s="235">
        <f>(O1389+IF('Scenario Analysis'!$N$23=1,0,0.5))*P1389</f>
        <v>825425.5</v>
      </c>
    </row>
    <row r="1390" spans="3:17" x14ac:dyDescent="0.25">
      <c r="C1390" s="191"/>
      <c r="K1390" s="283" t="s">
        <v>1272</v>
      </c>
      <c r="L1390" s="283" t="s">
        <v>669</v>
      </c>
      <c r="M1390" s="283" t="s">
        <v>249</v>
      </c>
      <c r="N1390" s="283" t="s">
        <v>252</v>
      </c>
      <c r="O1390" s="283">
        <v>132</v>
      </c>
      <c r="P1390" s="283">
        <v>726</v>
      </c>
      <c r="Q1390" s="235">
        <f>(O1390+IF('Scenario Analysis'!$N$23=1,0,0.5))*P1390</f>
        <v>96195</v>
      </c>
    </row>
    <row r="1391" spans="3:17" x14ac:dyDescent="0.25">
      <c r="C1391" s="191"/>
      <c r="K1391" s="283" t="s">
        <v>1272</v>
      </c>
      <c r="L1391" s="283" t="s">
        <v>669</v>
      </c>
      <c r="M1391" s="283" t="s">
        <v>249</v>
      </c>
      <c r="N1391" s="283" t="s">
        <v>252</v>
      </c>
      <c r="O1391" s="283">
        <v>133</v>
      </c>
      <c r="P1391" s="283">
        <v>127</v>
      </c>
      <c r="Q1391" s="235">
        <f>(O1391+IF('Scenario Analysis'!$N$23=1,0,0.5))*P1391</f>
        <v>16954.5</v>
      </c>
    </row>
    <row r="1392" spans="3:17" x14ac:dyDescent="0.25">
      <c r="C1392" s="191"/>
      <c r="K1392" s="283" t="s">
        <v>1272</v>
      </c>
      <c r="L1392" s="283" t="s">
        <v>669</v>
      </c>
      <c r="M1392" s="283" t="s">
        <v>249</v>
      </c>
      <c r="N1392" s="283" t="s">
        <v>252</v>
      </c>
      <c r="O1392" s="283">
        <v>134</v>
      </c>
      <c r="P1392" s="283">
        <v>5401</v>
      </c>
      <c r="Q1392" s="235">
        <f>(O1392+IF('Scenario Analysis'!$N$23=1,0,0.5))*P1392</f>
        <v>726434.5</v>
      </c>
    </row>
    <row r="1393" spans="3:17" x14ac:dyDescent="0.25">
      <c r="C1393" s="191"/>
      <c r="K1393" s="283" t="s">
        <v>1272</v>
      </c>
      <c r="L1393" s="283" t="s">
        <v>669</v>
      </c>
      <c r="M1393" s="283" t="s">
        <v>249</v>
      </c>
      <c r="N1393" s="283" t="s">
        <v>252</v>
      </c>
      <c r="O1393" s="283">
        <v>135</v>
      </c>
      <c r="P1393" s="283">
        <v>262</v>
      </c>
      <c r="Q1393" s="235">
        <f>(O1393+IF('Scenario Analysis'!$N$23=1,0,0.5))*P1393</f>
        <v>35501</v>
      </c>
    </row>
    <row r="1394" spans="3:17" x14ac:dyDescent="0.25">
      <c r="C1394" s="191"/>
      <c r="K1394" s="283" t="s">
        <v>1272</v>
      </c>
      <c r="L1394" s="283" t="s">
        <v>669</v>
      </c>
      <c r="M1394" s="283" t="s">
        <v>249</v>
      </c>
      <c r="N1394" s="283" t="s">
        <v>252</v>
      </c>
      <c r="O1394" s="283">
        <v>136</v>
      </c>
      <c r="P1394" s="283">
        <v>25</v>
      </c>
      <c r="Q1394" s="235">
        <f>(O1394+IF('Scenario Analysis'!$N$23=1,0,0.5))*P1394</f>
        <v>3412.5</v>
      </c>
    </row>
    <row r="1395" spans="3:17" x14ac:dyDescent="0.25">
      <c r="C1395" s="191"/>
      <c r="K1395" s="283" t="s">
        <v>1272</v>
      </c>
      <c r="L1395" s="283" t="s">
        <v>669</v>
      </c>
      <c r="M1395" s="283" t="s">
        <v>249</v>
      </c>
      <c r="N1395" s="283" t="s">
        <v>252</v>
      </c>
      <c r="O1395" s="283">
        <v>137</v>
      </c>
      <c r="P1395" s="283">
        <v>234</v>
      </c>
      <c r="Q1395" s="235">
        <f>(O1395+IF('Scenario Analysis'!$N$23=1,0,0.5))*P1395</f>
        <v>32175</v>
      </c>
    </row>
    <row r="1396" spans="3:17" x14ac:dyDescent="0.25">
      <c r="C1396" s="191"/>
      <c r="K1396" s="283" t="s">
        <v>1272</v>
      </c>
      <c r="L1396" s="283" t="s">
        <v>669</v>
      </c>
      <c r="M1396" s="283" t="s">
        <v>249</v>
      </c>
      <c r="N1396" s="283" t="s">
        <v>252</v>
      </c>
      <c r="O1396" s="283">
        <v>138</v>
      </c>
      <c r="P1396" s="283">
        <v>484</v>
      </c>
      <c r="Q1396" s="235">
        <f>(O1396+IF('Scenario Analysis'!$N$23=1,0,0.5))*P1396</f>
        <v>67034</v>
      </c>
    </row>
    <row r="1397" spans="3:17" x14ac:dyDescent="0.25">
      <c r="C1397" s="191"/>
      <c r="K1397" s="283" t="s">
        <v>1272</v>
      </c>
      <c r="L1397" s="283" t="s">
        <v>669</v>
      </c>
      <c r="M1397" s="283" t="s">
        <v>249</v>
      </c>
      <c r="N1397" s="283" t="s">
        <v>252</v>
      </c>
      <c r="O1397" s="283">
        <v>139</v>
      </c>
      <c r="P1397" s="283">
        <v>2217</v>
      </c>
      <c r="Q1397" s="235">
        <f>(O1397+IF('Scenario Analysis'!$N$23=1,0,0.5))*P1397</f>
        <v>309271.5</v>
      </c>
    </row>
    <row r="1398" spans="3:17" x14ac:dyDescent="0.25">
      <c r="C1398" s="191"/>
      <c r="K1398" s="283" t="s">
        <v>1272</v>
      </c>
      <c r="L1398" s="283" t="s">
        <v>669</v>
      </c>
      <c r="M1398" s="283" t="s">
        <v>249</v>
      </c>
      <c r="N1398" s="283" t="s">
        <v>252</v>
      </c>
      <c r="O1398" s="283">
        <v>140</v>
      </c>
      <c r="P1398" s="283">
        <v>568</v>
      </c>
      <c r="Q1398" s="235">
        <f>(O1398+IF('Scenario Analysis'!$N$23=1,0,0.5))*P1398</f>
        <v>79804</v>
      </c>
    </row>
    <row r="1399" spans="3:17" x14ac:dyDescent="0.25">
      <c r="C1399" s="191"/>
      <c r="K1399" s="283" t="s">
        <v>1272</v>
      </c>
      <c r="L1399" s="283" t="s">
        <v>669</v>
      </c>
      <c r="M1399" s="283" t="s">
        <v>249</v>
      </c>
      <c r="N1399" s="283" t="s">
        <v>252</v>
      </c>
      <c r="O1399" s="283">
        <v>141</v>
      </c>
      <c r="P1399" s="283">
        <v>917</v>
      </c>
      <c r="Q1399" s="235">
        <f>(O1399+IF('Scenario Analysis'!$N$23=1,0,0.5))*P1399</f>
        <v>129755.5</v>
      </c>
    </row>
    <row r="1400" spans="3:17" x14ac:dyDescent="0.25">
      <c r="C1400" s="191"/>
      <c r="K1400" s="283" t="s">
        <v>1272</v>
      </c>
      <c r="L1400" s="283" t="s">
        <v>669</v>
      </c>
      <c r="M1400" s="283" t="s">
        <v>249</v>
      </c>
      <c r="N1400" s="283" t="s">
        <v>252</v>
      </c>
      <c r="O1400" s="283">
        <v>142</v>
      </c>
      <c r="P1400" s="283">
        <v>2682</v>
      </c>
      <c r="Q1400" s="235">
        <f>(O1400+IF('Scenario Analysis'!$N$23=1,0,0.5))*P1400</f>
        <v>382185</v>
      </c>
    </row>
    <row r="1401" spans="3:17" x14ac:dyDescent="0.25">
      <c r="C1401" s="191"/>
      <c r="K1401" s="283" t="s">
        <v>1272</v>
      </c>
      <c r="L1401" s="283" t="s">
        <v>669</v>
      </c>
      <c r="M1401" s="283" t="s">
        <v>249</v>
      </c>
      <c r="N1401" s="283" t="s">
        <v>252</v>
      </c>
      <c r="O1401" s="283">
        <v>143</v>
      </c>
      <c r="P1401" s="283">
        <v>6543</v>
      </c>
      <c r="Q1401" s="235">
        <f>(O1401+IF('Scenario Analysis'!$N$23=1,0,0.5))*P1401</f>
        <v>938920.5</v>
      </c>
    </row>
    <row r="1402" spans="3:17" x14ac:dyDescent="0.25">
      <c r="C1402" s="191"/>
      <c r="K1402" s="283" t="s">
        <v>1272</v>
      </c>
      <c r="L1402" s="283" t="s">
        <v>669</v>
      </c>
      <c r="M1402" s="283" t="s">
        <v>249</v>
      </c>
      <c r="N1402" s="283" t="s">
        <v>252</v>
      </c>
      <c r="O1402" s="283">
        <v>144</v>
      </c>
      <c r="P1402" s="283">
        <v>811</v>
      </c>
      <c r="Q1402" s="235">
        <f>(O1402+IF('Scenario Analysis'!$N$23=1,0,0.5))*P1402</f>
        <v>117189.5</v>
      </c>
    </row>
    <row r="1403" spans="3:17" x14ac:dyDescent="0.25">
      <c r="C1403" s="191"/>
      <c r="K1403" s="283" t="s">
        <v>1272</v>
      </c>
      <c r="L1403" s="283" t="s">
        <v>669</v>
      </c>
      <c r="M1403" s="283" t="s">
        <v>249</v>
      </c>
      <c r="N1403" s="283" t="s">
        <v>252</v>
      </c>
      <c r="O1403" s="283">
        <v>145</v>
      </c>
      <c r="P1403" s="283">
        <v>634</v>
      </c>
      <c r="Q1403" s="235">
        <f>(O1403+IF('Scenario Analysis'!$N$23=1,0,0.5))*P1403</f>
        <v>92247</v>
      </c>
    </row>
    <row r="1404" spans="3:17" x14ac:dyDescent="0.25">
      <c r="C1404" s="191"/>
      <c r="K1404" s="283" t="s">
        <v>1272</v>
      </c>
      <c r="L1404" s="283" t="s">
        <v>669</v>
      </c>
      <c r="M1404" s="283" t="s">
        <v>249</v>
      </c>
      <c r="N1404" s="283" t="s">
        <v>252</v>
      </c>
      <c r="O1404" s="283">
        <v>146</v>
      </c>
      <c r="P1404" s="283">
        <v>59</v>
      </c>
      <c r="Q1404" s="235">
        <f>(O1404+IF('Scenario Analysis'!$N$23=1,0,0.5))*P1404</f>
        <v>8643.5</v>
      </c>
    </row>
    <row r="1405" spans="3:17" x14ac:dyDescent="0.25">
      <c r="C1405" s="191"/>
      <c r="K1405" s="283" t="s">
        <v>1272</v>
      </c>
      <c r="L1405" s="283" t="s">
        <v>669</v>
      </c>
      <c r="M1405" s="283" t="s">
        <v>249</v>
      </c>
      <c r="N1405" s="283" t="s">
        <v>252</v>
      </c>
      <c r="O1405" s="283">
        <v>147</v>
      </c>
      <c r="P1405" s="283">
        <v>16783</v>
      </c>
      <c r="Q1405" s="235">
        <f>(O1405+IF('Scenario Analysis'!$N$23=1,0,0.5))*P1405</f>
        <v>2475492.5</v>
      </c>
    </row>
    <row r="1406" spans="3:17" x14ac:dyDescent="0.25">
      <c r="C1406" s="191"/>
      <c r="K1406" s="283" t="s">
        <v>1272</v>
      </c>
      <c r="L1406" s="283" t="s">
        <v>669</v>
      </c>
      <c r="M1406" s="283" t="s">
        <v>249</v>
      </c>
      <c r="N1406" s="283" t="s">
        <v>252</v>
      </c>
      <c r="O1406" s="283">
        <v>148</v>
      </c>
      <c r="P1406" s="283">
        <v>45</v>
      </c>
      <c r="Q1406" s="235">
        <f>(O1406+IF('Scenario Analysis'!$N$23=1,0,0.5))*P1406</f>
        <v>6682.5</v>
      </c>
    </row>
    <row r="1407" spans="3:17" x14ac:dyDescent="0.25">
      <c r="C1407" s="191"/>
      <c r="K1407" s="283" t="s">
        <v>1272</v>
      </c>
      <c r="L1407" s="283" t="s">
        <v>669</v>
      </c>
      <c r="M1407" s="283" t="s">
        <v>249</v>
      </c>
      <c r="N1407" s="283" t="s">
        <v>252</v>
      </c>
      <c r="O1407" s="283">
        <v>149</v>
      </c>
      <c r="P1407" s="283">
        <v>434</v>
      </c>
      <c r="Q1407" s="235">
        <f>(O1407+IF('Scenario Analysis'!$N$23=1,0,0.5))*P1407</f>
        <v>64883</v>
      </c>
    </row>
    <row r="1408" spans="3:17" x14ac:dyDescent="0.25">
      <c r="C1408" s="191"/>
      <c r="K1408" s="283" t="s">
        <v>1272</v>
      </c>
      <c r="L1408" s="283" t="s">
        <v>669</v>
      </c>
      <c r="M1408" s="283" t="s">
        <v>249</v>
      </c>
      <c r="N1408" s="283" t="s">
        <v>252</v>
      </c>
      <c r="O1408" s="283">
        <v>150</v>
      </c>
      <c r="P1408" s="283">
        <v>70656</v>
      </c>
      <c r="Q1408" s="235">
        <f>(O1408+IF('Scenario Analysis'!$N$23=1,0,0.5))*P1408</f>
        <v>10633728</v>
      </c>
    </row>
    <row r="1409" spans="3:17" x14ac:dyDescent="0.25">
      <c r="C1409" s="191"/>
      <c r="K1409" s="283" t="s">
        <v>1272</v>
      </c>
      <c r="L1409" s="283" t="s">
        <v>670</v>
      </c>
      <c r="M1409" s="283" t="s">
        <v>249</v>
      </c>
      <c r="N1409" s="283" t="s">
        <v>253</v>
      </c>
      <c r="O1409" s="283">
        <v>0</v>
      </c>
      <c r="P1409" s="283">
        <v>50432</v>
      </c>
      <c r="Q1409" s="235">
        <f>(O1409+IF('Scenario Analysis'!$N$23=1,0,0.5))*P1409</f>
        <v>25216</v>
      </c>
    </row>
    <row r="1410" spans="3:17" x14ac:dyDescent="0.25">
      <c r="C1410" s="191"/>
      <c r="K1410" s="283" t="s">
        <v>1272</v>
      </c>
      <c r="L1410" s="283" t="s">
        <v>670</v>
      </c>
      <c r="M1410" s="283" t="s">
        <v>249</v>
      </c>
      <c r="N1410" s="283" t="s">
        <v>253</v>
      </c>
      <c r="O1410" s="283">
        <v>1</v>
      </c>
      <c r="P1410" s="283">
        <v>958823</v>
      </c>
      <c r="Q1410" s="235">
        <f>(O1410+IF('Scenario Analysis'!$N$23=1,0,0.5))*P1410</f>
        <v>1438234.5</v>
      </c>
    </row>
    <row r="1411" spans="3:17" x14ac:dyDescent="0.25">
      <c r="C1411" s="191"/>
      <c r="K1411" s="283" t="s">
        <v>1272</v>
      </c>
      <c r="L1411" s="283" t="s">
        <v>670</v>
      </c>
      <c r="M1411" s="283" t="s">
        <v>249</v>
      </c>
      <c r="N1411" s="283" t="s">
        <v>253</v>
      </c>
      <c r="O1411" s="283">
        <v>2</v>
      </c>
      <c r="P1411" s="283">
        <v>888119</v>
      </c>
      <c r="Q1411" s="235">
        <f>(O1411+IF('Scenario Analysis'!$N$23=1,0,0.5))*P1411</f>
        <v>2220297.5</v>
      </c>
    </row>
    <row r="1412" spans="3:17" x14ac:dyDescent="0.25">
      <c r="C1412" s="191"/>
      <c r="K1412" s="283" t="s">
        <v>1272</v>
      </c>
      <c r="L1412" s="283" t="s">
        <v>670</v>
      </c>
      <c r="M1412" s="283" t="s">
        <v>249</v>
      </c>
      <c r="N1412" s="283" t="s">
        <v>253</v>
      </c>
      <c r="O1412" s="283">
        <v>3</v>
      </c>
      <c r="P1412" s="283">
        <v>2201573</v>
      </c>
      <c r="Q1412" s="235">
        <f>(O1412+IF('Scenario Analysis'!$N$23=1,0,0.5))*P1412</f>
        <v>7705505.5</v>
      </c>
    </row>
    <row r="1413" spans="3:17" x14ac:dyDescent="0.25">
      <c r="C1413" s="191"/>
      <c r="K1413" s="283" t="s">
        <v>1272</v>
      </c>
      <c r="L1413" s="283" t="s">
        <v>670</v>
      </c>
      <c r="M1413" s="283" t="s">
        <v>249</v>
      </c>
      <c r="N1413" s="283" t="s">
        <v>253</v>
      </c>
      <c r="O1413" s="283">
        <v>4</v>
      </c>
      <c r="P1413" s="283">
        <v>1167837</v>
      </c>
      <c r="Q1413" s="235">
        <f>(O1413+IF('Scenario Analysis'!$N$23=1,0,0.5))*P1413</f>
        <v>5255266.5</v>
      </c>
    </row>
    <row r="1414" spans="3:17" x14ac:dyDescent="0.25">
      <c r="C1414" s="191"/>
      <c r="K1414" s="283" t="s">
        <v>1272</v>
      </c>
      <c r="L1414" s="283" t="s">
        <v>670</v>
      </c>
      <c r="M1414" s="283" t="s">
        <v>249</v>
      </c>
      <c r="N1414" s="283" t="s">
        <v>253</v>
      </c>
      <c r="O1414" s="283">
        <v>5</v>
      </c>
      <c r="P1414" s="283">
        <v>1107291</v>
      </c>
      <c r="Q1414" s="235">
        <f>(O1414+IF('Scenario Analysis'!$N$23=1,0,0.5))*P1414</f>
        <v>6090100.5</v>
      </c>
    </row>
    <row r="1415" spans="3:17" x14ac:dyDescent="0.25">
      <c r="C1415" s="191"/>
      <c r="K1415" s="283" t="s">
        <v>1272</v>
      </c>
      <c r="L1415" s="283" t="s">
        <v>670</v>
      </c>
      <c r="M1415" s="283" t="s">
        <v>249</v>
      </c>
      <c r="N1415" s="283" t="s">
        <v>253</v>
      </c>
      <c r="O1415" s="283">
        <v>6</v>
      </c>
      <c r="P1415" s="283">
        <v>1532403</v>
      </c>
      <c r="Q1415" s="235">
        <f>(O1415+IF('Scenario Analysis'!$N$23=1,0,0.5))*P1415</f>
        <v>9960619.5</v>
      </c>
    </row>
    <row r="1416" spans="3:17" x14ac:dyDescent="0.25">
      <c r="C1416" s="191"/>
      <c r="K1416" s="283" t="s">
        <v>1272</v>
      </c>
      <c r="L1416" s="283" t="s">
        <v>670</v>
      </c>
      <c r="M1416" s="283" t="s">
        <v>249</v>
      </c>
      <c r="N1416" s="283" t="s">
        <v>253</v>
      </c>
      <c r="O1416" s="283">
        <v>7</v>
      </c>
      <c r="P1416" s="283">
        <v>640276</v>
      </c>
      <c r="Q1416" s="235">
        <f>(O1416+IF('Scenario Analysis'!$N$23=1,0,0.5))*P1416</f>
        <v>4802070</v>
      </c>
    </row>
    <row r="1417" spans="3:17" x14ac:dyDescent="0.25">
      <c r="C1417" s="191"/>
      <c r="K1417" s="283" t="s">
        <v>1272</v>
      </c>
      <c r="L1417" s="283" t="s">
        <v>670</v>
      </c>
      <c r="M1417" s="283" t="s">
        <v>249</v>
      </c>
      <c r="N1417" s="283" t="s">
        <v>253</v>
      </c>
      <c r="O1417" s="283">
        <v>8</v>
      </c>
      <c r="P1417" s="283">
        <v>1069987</v>
      </c>
      <c r="Q1417" s="235">
        <f>(O1417+IF('Scenario Analysis'!$N$23=1,0,0.5))*P1417</f>
        <v>9094889.5</v>
      </c>
    </row>
    <row r="1418" spans="3:17" x14ac:dyDescent="0.25">
      <c r="C1418" s="191"/>
      <c r="K1418" s="283" t="s">
        <v>1272</v>
      </c>
      <c r="L1418" s="283" t="s">
        <v>670</v>
      </c>
      <c r="M1418" s="283" t="s">
        <v>249</v>
      </c>
      <c r="N1418" s="283" t="s">
        <v>253</v>
      </c>
      <c r="O1418" s="283">
        <v>9</v>
      </c>
      <c r="P1418" s="283">
        <v>974171</v>
      </c>
      <c r="Q1418" s="235">
        <f>(O1418+IF('Scenario Analysis'!$N$23=1,0,0.5))*P1418</f>
        <v>9254624.5</v>
      </c>
    </row>
    <row r="1419" spans="3:17" x14ac:dyDescent="0.25">
      <c r="C1419" s="191"/>
      <c r="K1419" s="283" t="s">
        <v>1272</v>
      </c>
      <c r="L1419" s="283" t="s">
        <v>670</v>
      </c>
      <c r="M1419" s="283" t="s">
        <v>249</v>
      </c>
      <c r="N1419" s="283" t="s">
        <v>253</v>
      </c>
      <c r="O1419" s="283">
        <v>10</v>
      </c>
      <c r="P1419" s="283">
        <v>845848</v>
      </c>
      <c r="Q1419" s="235">
        <f>(O1419+IF('Scenario Analysis'!$N$23=1,0,0.5))*P1419</f>
        <v>8881404</v>
      </c>
    </row>
    <row r="1420" spans="3:17" x14ac:dyDescent="0.25">
      <c r="C1420" s="191"/>
      <c r="K1420" s="283" t="s">
        <v>1272</v>
      </c>
      <c r="L1420" s="283" t="s">
        <v>670</v>
      </c>
      <c r="M1420" s="283" t="s">
        <v>249</v>
      </c>
      <c r="N1420" s="283" t="s">
        <v>253</v>
      </c>
      <c r="O1420" s="283">
        <v>11</v>
      </c>
      <c r="P1420" s="283">
        <v>1049365</v>
      </c>
      <c r="Q1420" s="235">
        <f>(O1420+IF('Scenario Analysis'!$N$23=1,0,0.5))*P1420</f>
        <v>12067697.5</v>
      </c>
    </row>
    <row r="1421" spans="3:17" x14ac:dyDescent="0.25">
      <c r="C1421" s="191"/>
      <c r="K1421" s="283" t="s">
        <v>1272</v>
      </c>
      <c r="L1421" s="283" t="s">
        <v>670</v>
      </c>
      <c r="M1421" s="283" t="s">
        <v>249</v>
      </c>
      <c r="N1421" s="283" t="s">
        <v>253</v>
      </c>
      <c r="O1421" s="283">
        <v>12</v>
      </c>
      <c r="P1421" s="283">
        <v>855730</v>
      </c>
      <c r="Q1421" s="235">
        <f>(O1421+IF('Scenario Analysis'!$N$23=1,0,0.5))*P1421</f>
        <v>10696625</v>
      </c>
    </row>
    <row r="1422" spans="3:17" x14ac:dyDescent="0.25">
      <c r="C1422" s="191"/>
      <c r="K1422" s="283" t="s">
        <v>1272</v>
      </c>
      <c r="L1422" s="283" t="s">
        <v>670</v>
      </c>
      <c r="M1422" s="283" t="s">
        <v>249</v>
      </c>
      <c r="N1422" s="283" t="s">
        <v>253</v>
      </c>
      <c r="O1422" s="283">
        <v>13</v>
      </c>
      <c r="P1422" s="283">
        <v>771293</v>
      </c>
      <c r="Q1422" s="235">
        <f>(O1422+IF('Scenario Analysis'!$N$23=1,0,0.5))*P1422</f>
        <v>10412455.5</v>
      </c>
    </row>
    <row r="1423" spans="3:17" x14ac:dyDescent="0.25">
      <c r="C1423" s="191"/>
      <c r="K1423" s="283" t="s">
        <v>1272</v>
      </c>
      <c r="L1423" s="283" t="s">
        <v>670</v>
      </c>
      <c r="M1423" s="283" t="s">
        <v>249</v>
      </c>
      <c r="N1423" s="283" t="s">
        <v>253</v>
      </c>
      <c r="O1423" s="283">
        <v>14</v>
      </c>
      <c r="P1423" s="283">
        <v>1067603</v>
      </c>
      <c r="Q1423" s="235">
        <f>(O1423+IF('Scenario Analysis'!$N$23=1,0,0.5))*P1423</f>
        <v>15480243.5</v>
      </c>
    </row>
    <row r="1424" spans="3:17" x14ac:dyDescent="0.25">
      <c r="C1424" s="191"/>
      <c r="K1424" s="283" t="s">
        <v>1272</v>
      </c>
      <c r="L1424" s="283" t="s">
        <v>670</v>
      </c>
      <c r="M1424" s="283" t="s">
        <v>249</v>
      </c>
      <c r="N1424" s="283" t="s">
        <v>253</v>
      </c>
      <c r="O1424" s="283">
        <v>15</v>
      </c>
      <c r="P1424" s="283">
        <v>408071</v>
      </c>
      <c r="Q1424" s="235">
        <f>(O1424+IF('Scenario Analysis'!$N$23=1,0,0.5))*P1424</f>
        <v>6325100.5</v>
      </c>
    </row>
    <row r="1425" spans="3:17" x14ac:dyDescent="0.25">
      <c r="C1425" s="191"/>
      <c r="K1425" s="283" t="s">
        <v>1272</v>
      </c>
      <c r="L1425" s="283" t="s">
        <v>670</v>
      </c>
      <c r="M1425" s="283" t="s">
        <v>249</v>
      </c>
      <c r="N1425" s="283" t="s">
        <v>253</v>
      </c>
      <c r="O1425" s="283">
        <v>16</v>
      </c>
      <c r="P1425" s="283">
        <v>571932</v>
      </c>
      <c r="Q1425" s="235">
        <f>(O1425+IF('Scenario Analysis'!$N$23=1,0,0.5))*P1425</f>
        <v>9436878</v>
      </c>
    </row>
    <row r="1426" spans="3:17" x14ac:dyDescent="0.25">
      <c r="C1426" s="191"/>
      <c r="K1426" s="283" t="s">
        <v>1272</v>
      </c>
      <c r="L1426" s="283" t="s">
        <v>670</v>
      </c>
      <c r="M1426" s="283" t="s">
        <v>249</v>
      </c>
      <c r="N1426" s="283" t="s">
        <v>253</v>
      </c>
      <c r="O1426" s="283">
        <v>17</v>
      </c>
      <c r="P1426" s="283">
        <v>453961</v>
      </c>
      <c r="Q1426" s="235">
        <f>(O1426+IF('Scenario Analysis'!$N$23=1,0,0.5))*P1426</f>
        <v>7944317.5</v>
      </c>
    </row>
    <row r="1427" spans="3:17" x14ac:dyDescent="0.25">
      <c r="C1427" s="191"/>
      <c r="K1427" s="283" t="s">
        <v>1272</v>
      </c>
      <c r="L1427" s="283" t="s">
        <v>670</v>
      </c>
      <c r="M1427" s="283" t="s">
        <v>249</v>
      </c>
      <c r="N1427" s="283" t="s">
        <v>253</v>
      </c>
      <c r="O1427" s="283">
        <v>18</v>
      </c>
      <c r="P1427" s="283">
        <v>643717</v>
      </c>
      <c r="Q1427" s="235">
        <f>(O1427+IF('Scenario Analysis'!$N$23=1,0,0.5))*P1427</f>
        <v>11908764.5</v>
      </c>
    </row>
    <row r="1428" spans="3:17" x14ac:dyDescent="0.25">
      <c r="C1428" s="191"/>
      <c r="K1428" s="283" t="s">
        <v>1272</v>
      </c>
      <c r="L1428" s="283" t="s">
        <v>670</v>
      </c>
      <c r="M1428" s="283" t="s">
        <v>249</v>
      </c>
      <c r="N1428" s="283" t="s">
        <v>253</v>
      </c>
      <c r="O1428" s="283">
        <v>19</v>
      </c>
      <c r="P1428" s="283">
        <v>582128</v>
      </c>
      <c r="Q1428" s="235">
        <f>(O1428+IF('Scenario Analysis'!$N$23=1,0,0.5))*P1428</f>
        <v>11351496</v>
      </c>
    </row>
    <row r="1429" spans="3:17" x14ac:dyDescent="0.25">
      <c r="C1429" s="191"/>
      <c r="K1429" s="283" t="s">
        <v>1272</v>
      </c>
      <c r="L1429" s="283" t="s">
        <v>670</v>
      </c>
      <c r="M1429" s="283" t="s">
        <v>249</v>
      </c>
      <c r="N1429" s="283" t="s">
        <v>253</v>
      </c>
      <c r="O1429" s="283">
        <v>20</v>
      </c>
      <c r="P1429" s="283">
        <v>393508</v>
      </c>
      <c r="Q1429" s="235">
        <f>(O1429+IF('Scenario Analysis'!$N$23=1,0,0.5))*P1429</f>
        <v>8066914</v>
      </c>
    </row>
    <row r="1430" spans="3:17" x14ac:dyDescent="0.25">
      <c r="C1430" s="191"/>
      <c r="K1430" s="283" t="s">
        <v>1272</v>
      </c>
      <c r="L1430" s="283" t="s">
        <v>670</v>
      </c>
      <c r="M1430" s="283" t="s">
        <v>249</v>
      </c>
      <c r="N1430" s="283" t="s">
        <v>253</v>
      </c>
      <c r="O1430" s="283">
        <v>21</v>
      </c>
      <c r="P1430" s="283">
        <v>622894</v>
      </c>
      <c r="Q1430" s="235">
        <f>(O1430+IF('Scenario Analysis'!$N$23=1,0,0.5))*P1430</f>
        <v>13392221</v>
      </c>
    </row>
    <row r="1431" spans="3:17" x14ac:dyDescent="0.25">
      <c r="C1431" s="191"/>
      <c r="K1431" s="283" t="s">
        <v>1272</v>
      </c>
      <c r="L1431" s="283" t="s">
        <v>670</v>
      </c>
      <c r="M1431" s="283" t="s">
        <v>249</v>
      </c>
      <c r="N1431" s="283" t="s">
        <v>253</v>
      </c>
      <c r="O1431" s="283">
        <v>22</v>
      </c>
      <c r="P1431" s="283">
        <v>294669</v>
      </c>
      <c r="Q1431" s="235">
        <f>(O1431+IF('Scenario Analysis'!$N$23=1,0,0.5))*P1431</f>
        <v>6630052.5</v>
      </c>
    </row>
    <row r="1432" spans="3:17" x14ac:dyDescent="0.25">
      <c r="C1432" s="191"/>
      <c r="K1432" s="283" t="s">
        <v>1272</v>
      </c>
      <c r="L1432" s="283" t="s">
        <v>670</v>
      </c>
      <c r="M1432" s="283" t="s">
        <v>249</v>
      </c>
      <c r="N1432" s="283" t="s">
        <v>253</v>
      </c>
      <c r="O1432" s="283">
        <v>23</v>
      </c>
      <c r="P1432" s="283">
        <v>432740</v>
      </c>
      <c r="Q1432" s="235">
        <f>(O1432+IF('Scenario Analysis'!$N$23=1,0,0.5))*P1432</f>
        <v>10169390</v>
      </c>
    </row>
    <row r="1433" spans="3:17" x14ac:dyDescent="0.25">
      <c r="C1433" s="191"/>
      <c r="K1433" s="283" t="s">
        <v>1272</v>
      </c>
      <c r="L1433" s="283" t="s">
        <v>670</v>
      </c>
      <c r="M1433" s="283" t="s">
        <v>249</v>
      </c>
      <c r="N1433" s="283" t="s">
        <v>253</v>
      </c>
      <c r="O1433" s="283">
        <v>24</v>
      </c>
      <c r="P1433" s="283">
        <v>434241</v>
      </c>
      <c r="Q1433" s="235">
        <f>(O1433+IF('Scenario Analysis'!$N$23=1,0,0.5))*P1433</f>
        <v>10638904.5</v>
      </c>
    </row>
    <row r="1434" spans="3:17" x14ac:dyDescent="0.25">
      <c r="C1434" s="191"/>
      <c r="K1434" s="283" t="s">
        <v>1272</v>
      </c>
      <c r="L1434" s="283" t="s">
        <v>670</v>
      </c>
      <c r="M1434" s="283" t="s">
        <v>249</v>
      </c>
      <c r="N1434" s="283" t="s">
        <v>253</v>
      </c>
      <c r="O1434" s="283">
        <v>25</v>
      </c>
      <c r="P1434" s="283">
        <v>279472</v>
      </c>
      <c r="Q1434" s="235">
        <f>(O1434+IF('Scenario Analysis'!$N$23=1,0,0.5))*P1434</f>
        <v>7126536</v>
      </c>
    </row>
    <row r="1435" spans="3:17" x14ac:dyDescent="0.25">
      <c r="C1435" s="191"/>
      <c r="K1435" s="283" t="s">
        <v>1272</v>
      </c>
      <c r="L1435" s="283" t="s">
        <v>670</v>
      </c>
      <c r="M1435" s="283" t="s">
        <v>249</v>
      </c>
      <c r="N1435" s="283" t="s">
        <v>253</v>
      </c>
      <c r="O1435" s="283">
        <v>26</v>
      </c>
      <c r="P1435" s="283">
        <v>472161</v>
      </c>
      <c r="Q1435" s="235">
        <f>(O1435+IF('Scenario Analysis'!$N$23=1,0,0.5))*P1435</f>
        <v>12512266.5</v>
      </c>
    </row>
    <row r="1436" spans="3:17" x14ac:dyDescent="0.25">
      <c r="C1436" s="191"/>
      <c r="K1436" s="283" t="s">
        <v>1272</v>
      </c>
      <c r="L1436" s="283" t="s">
        <v>670</v>
      </c>
      <c r="M1436" s="283" t="s">
        <v>249</v>
      </c>
      <c r="N1436" s="283" t="s">
        <v>253</v>
      </c>
      <c r="O1436" s="283">
        <v>27</v>
      </c>
      <c r="P1436" s="283">
        <v>213000</v>
      </c>
      <c r="Q1436" s="235">
        <f>(O1436+IF('Scenario Analysis'!$N$23=1,0,0.5))*P1436</f>
        <v>5857500</v>
      </c>
    </row>
    <row r="1437" spans="3:17" x14ac:dyDescent="0.25">
      <c r="C1437" s="191"/>
      <c r="K1437" s="283" t="s">
        <v>1272</v>
      </c>
      <c r="L1437" s="283" t="s">
        <v>670</v>
      </c>
      <c r="M1437" s="283" t="s">
        <v>249</v>
      </c>
      <c r="N1437" s="283" t="s">
        <v>253</v>
      </c>
      <c r="O1437" s="283">
        <v>28</v>
      </c>
      <c r="P1437" s="283">
        <v>251235</v>
      </c>
      <c r="Q1437" s="235">
        <f>(O1437+IF('Scenario Analysis'!$N$23=1,0,0.5))*P1437</f>
        <v>7160197.5</v>
      </c>
    </row>
    <row r="1438" spans="3:17" x14ac:dyDescent="0.25">
      <c r="C1438" s="191"/>
      <c r="K1438" s="283" t="s">
        <v>1272</v>
      </c>
      <c r="L1438" s="283" t="s">
        <v>670</v>
      </c>
      <c r="M1438" s="283" t="s">
        <v>249</v>
      </c>
      <c r="N1438" s="283" t="s">
        <v>253</v>
      </c>
      <c r="O1438" s="283">
        <v>29</v>
      </c>
      <c r="P1438" s="283">
        <v>200764</v>
      </c>
      <c r="Q1438" s="235">
        <f>(O1438+IF('Scenario Analysis'!$N$23=1,0,0.5))*P1438</f>
        <v>5922538</v>
      </c>
    </row>
    <row r="1439" spans="3:17" x14ac:dyDescent="0.25">
      <c r="C1439" s="191"/>
      <c r="K1439" s="283" t="s">
        <v>1272</v>
      </c>
      <c r="L1439" s="283" t="s">
        <v>670</v>
      </c>
      <c r="M1439" s="283" t="s">
        <v>249</v>
      </c>
      <c r="N1439" s="283" t="s">
        <v>253</v>
      </c>
      <c r="O1439" s="283">
        <v>30</v>
      </c>
      <c r="P1439" s="283">
        <v>157140</v>
      </c>
      <c r="Q1439" s="235">
        <f>(O1439+IF('Scenario Analysis'!$N$23=1,0,0.5))*P1439</f>
        <v>4792770</v>
      </c>
    </row>
    <row r="1440" spans="3:17" x14ac:dyDescent="0.25">
      <c r="C1440" s="191"/>
      <c r="K1440" s="283" t="s">
        <v>1272</v>
      </c>
      <c r="L1440" s="283" t="s">
        <v>670</v>
      </c>
      <c r="M1440" s="283" t="s">
        <v>249</v>
      </c>
      <c r="N1440" s="283" t="s">
        <v>253</v>
      </c>
      <c r="O1440" s="283">
        <v>31</v>
      </c>
      <c r="P1440" s="283">
        <v>239012</v>
      </c>
      <c r="Q1440" s="235">
        <f>(O1440+IF('Scenario Analysis'!$N$23=1,0,0.5))*P1440</f>
        <v>7528878</v>
      </c>
    </row>
    <row r="1441" spans="3:17" x14ac:dyDescent="0.25">
      <c r="C1441" s="191"/>
      <c r="K1441" s="283" t="s">
        <v>1272</v>
      </c>
      <c r="L1441" s="283" t="s">
        <v>670</v>
      </c>
      <c r="M1441" s="283" t="s">
        <v>249</v>
      </c>
      <c r="N1441" s="283" t="s">
        <v>253</v>
      </c>
      <c r="O1441" s="283">
        <v>32</v>
      </c>
      <c r="P1441" s="283">
        <v>202132</v>
      </c>
      <c r="Q1441" s="235">
        <f>(O1441+IF('Scenario Analysis'!$N$23=1,0,0.5))*P1441</f>
        <v>6569290</v>
      </c>
    </row>
    <row r="1442" spans="3:17" x14ac:dyDescent="0.25">
      <c r="C1442" s="191"/>
      <c r="K1442" s="283" t="s">
        <v>1272</v>
      </c>
      <c r="L1442" s="283" t="s">
        <v>670</v>
      </c>
      <c r="M1442" s="283" t="s">
        <v>249</v>
      </c>
      <c r="N1442" s="283" t="s">
        <v>253</v>
      </c>
      <c r="O1442" s="283">
        <v>33</v>
      </c>
      <c r="P1442" s="283">
        <v>163480</v>
      </c>
      <c r="Q1442" s="235">
        <f>(O1442+IF('Scenario Analysis'!$N$23=1,0,0.5))*P1442</f>
        <v>5476580</v>
      </c>
    </row>
    <row r="1443" spans="3:17" x14ac:dyDescent="0.25">
      <c r="C1443" s="191"/>
      <c r="K1443" s="283" t="s">
        <v>1272</v>
      </c>
      <c r="L1443" s="283" t="s">
        <v>670</v>
      </c>
      <c r="M1443" s="283" t="s">
        <v>249</v>
      </c>
      <c r="N1443" s="283" t="s">
        <v>253</v>
      </c>
      <c r="O1443" s="283">
        <v>34</v>
      </c>
      <c r="P1443" s="283">
        <v>142077</v>
      </c>
      <c r="Q1443" s="235">
        <f>(O1443+IF('Scenario Analysis'!$N$23=1,0,0.5))*P1443</f>
        <v>4901656.5</v>
      </c>
    </row>
    <row r="1444" spans="3:17" x14ac:dyDescent="0.25">
      <c r="C1444" s="191"/>
      <c r="K1444" s="283" t="s">
        <v>1272</v>
      </c>
      <c r="L1444" s="283" t="s">
        <v>670</v>
      </c>
      <c r="M1444" s="283" t="s">
        <v>249</v>
      </c>
      <c r="N1444" s="283" t="s">
        <v>253</v>
      </c>
      <c r="O1444" s="283">
        <v>35</v>
      </c>
      <c r="P1444" s="283">
        <v>138233</v>
      </c>
      <c r="Q1444" s="235">
        <f>(O1444+IF('Scenario Analysis'!$N$23=1,0,0.5))*P1444</f>
        <v>4907271.5</v>
      </c>
    </row>
    <row r="1445" spans="3:17" x14ac:dyDescent="0.25">
      <c r="C1445" s="191"/>
      <c r="K1445" s="283" t="s">
        <v>1272</v>
      </c>
      <c r="L1445" s="283" t="s">
        <v>670</v>
      </c>
      <c r="M1445" s="283" t="s">
        <v>249</v>
      </c>
      <c r="N1445" s="283" t="s">
        <v>253</v>
      </c>
      <c r="O1445" s="283">
        <v>36</v>
      </c>
      <c r="P1445" s="283">
        <v>162590</v>
      </c>
      <c r="Q1445" s="235">
        <f>(O1445+IF('Scenario Analysis'!$N$23=1,0,0.5))*P1445</f>
        <v>5934535</v>
      </c>
    </row>
    <row r="1446" spans="3:17" x14ac:dyDescent="0.25">
      <c r="C1446" s="191"/>
      <c r="K1446" s="283" t="s">
        <v>1272</v>
      </c>
      <c r="L1446" s="283" t="s">
        <v>670</v>
      </c>
      <c r="M1446" s="283" t="s">
        <v>249</v>
      </c>
      <c r="N1446" s="283" t="s">
        <v>253</v>
      </c>
      <c r="O1446" s="283">
        <v>37</v>
      </c>
      <c r="P1446" s="283">
        <v>54534</v>
      </c>
      <c r="Q1446" s="235">
        <f>(O1446+IF('Scenario Analysis'!$N$23=1,0,0.5))*P1446</f>
        <v>2045025</v>
      </c>
    </row>
    <row r="1447" spans="3:17" x14ac:dyDescent="0.25">
      <c r="C1447" s="191"/>
      <c r="K1447" s="283" t="s">
        <v>1272</v>
      </c>
      <c r="L1447" s="283" t="s">
        <v>670</v>
      </c>
      <c r="M1447" s="283" t="s">
        <v>249</v>
      </c>
      <c r="N1447" s="283" t="s">
        <v>253</v>
      </c>
      <c r="O1447" s="283">
        <v>38</v>
      </c>
      <c r="P1447" s="283">
        <v>176608</v>
      </c>
      <c r="Q1447" s="235">
        <f>(O1447+IF('Scenario Analysis'!$N$23=1,0,0.5))*P1447</f>
        <v>6799408</v>
      </c>
    </row>
    <row r="1448" spans="3:17" x14ac:dyDescent="0.25">
      <c r="C1448" s="191"/>
      <c r="K1448" s="283" t="s">
        <v>1272</v>
      </c>
      <c r="L1448" s="283" t="s">
        <v>670</v>
      </c>
      <c r="M1448" s="283" t="s">
        <v>249</v>
      </c>
      <c r="N1448" s="283" t="s">
        <v>253</v>
      </c>
      <c r="O1448" s="283">
        <v>39</v>
      </c>
      <c r="P1448" s="283">
        <v>73393</v>
      </c>
      <c r="Q1448" s="235">
        <f>(O1448+IF('Scenario Analysis'!$N$23=1,0,0.5))*P1448</f>
        <v>2899023.5</v>
      </c>
    </row>
    <row r="1449" spans="3:17" x14ac:dyDescent="0.25">
      <c r="C1449" s="191"/>
      <c r="K1449" s="283" t="s">
        <v>1272</v>
      </c>
      <c r="L1449" s="283" t="s">
        <v>670</v>
      </c>
      <c r="M1449" s="283" t="s">
        <v>249</v>
      </c>
      <c r="N1449" s="283" t="s">
        <v>253</v>
      </c>
      <c r="O1449" s="283">
        <v>40</v>
      </c>
      <c r="P1449" s="283">
        <v>86756</v>
      </c>
      <c r="Q1449" s="235">
        <f>(O1449+IF('Scenario Analysis'!$N$23=1,0,0.5))*P1449</f>
        <v>3513618</v>
      </c>
    </row>
    <row r="1450" spans="3:17" x14ac:dyDescent="0.25">
      <c r="C1450" s="191"/>
      <c r="K1450" s="283" t="s">
        <v>1272</v>
      </c>
      <c r="L1450" s="283" t="s">
        <v>670</v>
      </c>
      <c r="M1450" s="283" t="s">
        <v>249</v>
      </c>
      <c r="N1450" s="283" t="s">
        <v>253</v>
      </c>
      <c r="O1450" s="283">
        <v>41</v>
      </c>
      <c r="P1450" s="283">
        <v>70074</v>
      </c>
      <c r="Q1450" s="235">
        <f>(O1450+IF('Scenario Analysis'!$N$23=1,0,0.5))*P1450</f>
        <v>2908071</v>
      </c>
    </row>
    <row r="1451" spans="3:17" x14ac:dyDescent="0.25">
      <c r="C1451" s="191"/>
      <c r="K1451" s="283" t="s">
        <v>1272</v>
      </c>
      <c r="L1451" s="283" t="s">
        <v>670</v>
      </c>
      <c r="M1451" s="283" t="s">
        <v>249</v>
      </c>
      <c r="N1451" s="283" t="s">
        <v>253</v>
      </c>
      <c r="O1451" s="283">
        <v>42</v>
      </c>
      <c r="P1451" s="283">
        <v>40217</v>
      </c>
      <c r="Q1451" s="235">
        <f>(O1451+IF('Scenario Analysis'!$N$23=1,0,0.5))*P1451</f>
        <v>1709222.5</v>
      </c>
    </row>
    <row r="1452" spans="3:17" x14ac:dyDescent="0.25">
      <c r="C1452" s="191"/>
      <c r="K1452" s="283" t="s">
        <v>1272</v>
      </c>
      <c r="L1452" s="283" t="s">
        <v>670</v>
      </c>
      <c r="M1452" s="283" t="s">
        <v>249</v>
      </c>
      <c r="N1452" s="283" t="s">
        <v>253</v>
      </c>
      <c r="O1452" s="283">
        <v>43</v>
      </c>
      <c r="P1452" s="283">
        <v>72350</v>
      </c>
      <c r="Q1452" s="235">
        <f>(O1452+IF('Scenario Analysis'!$N$23=1,0,0.5))*P1452</f>
        <v>3147225</v>
      </c>
    </row>
    <row r="1453" spans="3:17" x14ac:dyDescent="0.25">
      <c r="C1453" s="191"/>
      <c r="K1453" s="283" t="s">
        <v>1272</v>
      </c>
      <c r="L1453" s="283" t="s">
        <v>670</v>
      </c>
      <c r="M1453" s="283" t="s">
        <v>249</v>
      </c>
      <c r="N1453" s="283" t="s">
        <v>253</v>
      </c>
      <c r="O1453" s="283">
        <v>44</v>
      </c>
      <c r="P1453" s="283">
        <v>72355</v>
      </c>
      <c r="Q1453" s="235">
        <f>(O1453+IF('Scenario Analysis'!$N$23=1,0,0.5))*P1453</f>
        <v>3219797.5</v>
      </c>
    </row>
    <row r="1454" spans="3:17" x14ac:dyDescent="0.25">
      <c r="C1454" s="191"/>
      <c r="K1454" s="283" t="s">
        <v>1272</v>
      </c>
      <c r="L1454" s="283" t="s">
        <v>670</v>
      </c>
      <c r="M1454" s="283" t="s">
        <v>249</v>
      </c>
      <c r="N1454" s="283" t="s">
        <v>253</v>
      </c>
      <c r="O1454" s="283">
        <v>45</v>
      </c>
      <c r="P1454" s="283">
        <v>85894</v>
      </c>
      <c r="Q1454" s="235">
        <f>(O1454+IF('Scenario Analysis'!$N$23=1,0,0.5))*P1454</f>
        <v>3908177</v>
      </c>
    </row>
    <row r="1455" spans="3:17" x14ac:dyDescent="0.25">
      <c r="C1455" s="191"/>
      <c r="K1455" s="283" t="s">
        <v>1272</v>
      </c>
      <c r="L1455" s="283" t="s">
        <v>670</v>
      </c>
      <c r="M1455" s="283" t="s">
        <v>249</v>
      </c>
      <c r="N1455" s="283" t="s">
        <v>253</v>
      </c>
      <c r="O1455" s="283">
        <v>46</v>
      </c>
      <c r="P1455" s="283">
        <v>37780</v>
      </c>
      <c r="Q1455" s="235">
        <f>(O1455+IF('Scenario Analysis'!$N$23=1,0,0.5))*P1455</f>
        <v>1756770</v>
      </c>
    </row>
    <row r="1456" spans="3:17" x14ac:dyDescent="0.25">
      <c r="C1456" s="191"/>
      <c r="K1456" s="283" t="s">
        <v>1272</v>
      </c>
      <c r="L1456" s="283" t="s">
        <v>670</v>
      </c>
      <c r="M1456" s="283" t="s">
        <v>249</v>
      </c>
      <c r="N1456" s="283" t="s">
        <v>253</v>
      </c>
      <c r="O1456" s="283">
        <v>47</v>
      </c>
      <c r="P1456" s="283">
        <v>73469</v>
      </c>
      <c r="Q1456" s="235">
        <f>(O1456+IF('Scenario Analysis'!$N$23=1,0,0.5))*P1456</f>
        <v>3489777.5</v>
      </c>
    </row>
    <row r="1457" spans="3:17" x14ac:dyDescent="0.25">
      <c r="C1457" s="191"/>
      <c r="K1457" s="283" t="s">
        <v>1272</v>
      </c>
      <c r="L1457" s="283" t="s">
        <v>670</v>
      </c>
      <c r="M1457" s="283" t="s">
        <v>249</v>
      </c>
      <c r="N1457" s="283" t="s">
        <v>253</v>
      </c>
      <c r="O1457" s="283">
        <v>48</v>
      </c>
      <c r="P1457" s="283">
        <v>11786</v>
      </c>
      <c r="Q1457" s="235">
        <f>(O1457+IF('Scenario Analysis'!$N$23=1,0,0.5))*P1457</f>
        <v>571621</v>
      </c>
    </row>
    <row r="1458" spans="3:17" x14ac:dyDescent="0.25">
      <c r="C1458" s="191"/>
      <c r="K1458" s="283" t="s">
        <v>1272</v>
      </c>
      <c r="L1458" s="283" t="s">
        <v>670</v>
      </c>
      <c r="M1458" s="283" t="s">
        <v>249</v>
      </c>
      <c r="N1458" s="283" t="s">
        <v>253</v>
      </c>
      <c r="O1458" s="283">
        <v>49</v>
      </c>
      <c r="P1458" s="283">
        <v>96227</v>
      </c>
      <c r="Q1458" s="235">
        <f>(O1458+IF('Scenario Analysis'!$N$23=1,0,0.5))*P1458</f>
        <v>4763236.5</v>
      </c>
    </row>
    <row r="1459" spans="3:17" x14ac:dyDescent="0.25">
      <c r="C1459" s="191"/>
      <c r="K1459" s="283" t="s">
        <v>1272</v>
      </c>
      <c r="L1459" s="283" t="s">
        <v>670</v>
      </c>
      <c r="M1459" s="283" t="s">
        <v>249</v>
      </c>
      <c r="N1459" s="283" t="s">
        <v>253</v>
      </c>
      <c r="O1459" s="283">
        <v>50</v>
      </c>
      <c r="P1459" s="283">
        <v>32936</v>
      </c>
      <c r="Q1459" s="235">
        <f>(O1459+IF('Scenario Analysis'!$N$23=1,0,0.5))*P1459</f>
        <v>1663268</v>
      </c>
    </row>
    <row r="1460" spans="3:17" x14ac:dyDescent="0.25">
      <c r="C1460" s="191"/>
      <c r="K1460" s="283" t="s">
        <v>1272</v>
      </c>
      <c r="L1460" s="283" t="s">
        <v>670</v>
      </c>
      <c r="M1460" s="283" t="s">
        <v>249</v>
      </c>
      <c r="N1460" s="283" t="s">
        <v>253</v>
      </c>
      <c r="O1460" s="283">
        <v>51</v>
      </c>
      <c r="P1460" s="283">
        <v>9785</v>
      </c>
      <c r="Q1460" s="235">
        <f>(O1460+IF('Scenario Analysis'!$N$23=1,0,0.5))*P1460</f>
        <v>503927.5</v>
      </c>
    </row>
    <row r="1461" spans="3:17" x14ac:dyDescent="0.25">
      <c r="C1461" s="191"/>
      <c r="K1461" s="283" t="s">
        <v>1272</v>
      </c>
      <c r="L1461" s="283" t="s">
        <v>670</v>
      </c>
      <c r="M1461" s="283" t="s">
        <v>249</v>
      </c>
      <c r="N1461" s="283" t="s">
        <v>253</v>
      </c>
      <c r="O1461" s="283">
        <v>52</v>
      </c>
      <c r="P1461" s="283">
        <v>21350</v>
      </c>
      <c r="Q1461" s="235">
        <f>(O1461+IF('Scenario Analysis'!$N$23=1,0,0.5))*P1461</f>
        <v>1120875</v>
      </c>
    </row>
    <row r="1462" spans="3:17" x14ac:dyDescent="0.25">
      <c r="C1462" s="191"/>
      <c r="K1462" s="283" t="s">
        <v>1272</v>
      </c>
      <c r="L1462" s="283" t="s">
        <v>670</v>
      </c>
      <c r="M1462" s="283" t="s">
        <v>249</v>
      </c>
      <c r="N1462" s="283" t="s">
        <v>253</v>
      </c>
      <c r="O1462" s="283">
        <v>53</v>
      </c>
      <c r="P1462" s="283">
        <v>12398</v>
      </c>
      <c r="Q1462" s="235">
        <f>(O1462+IF('Scenario Analysis'!$N$23=1,0,0.5))*P1462</f>
        <v>663293</v>
      </c>
    </row>
    <row r="1463" spans="3:17" x14ac:dyDescent="0.25">
      <c r="C1463" s="191"/>
      <c r="K1463" s="283" t="s">
        <v>1272</v>
      </c>
      <c r="L1463" s="283" t="s">
        <v>670</v>
      </c>
      <c r="M1463" s="283" t="s">
        <v>249</v>
      </c>
      <c r="N1463" s="283" t="s">
        <v>253</v>
      </c>
      <c r="O1463" s="283">
        <v>54</v>
      </c>
      <c r="P1463" s="283">
        <v>8679</v>
      </c>
      <c r="Q1463" s="235">
        <f>(O1463+IF('Scenario Analysis'!$N$23=1,0,0.5))*P1463</f>
        <v>473005.5</v>
      </c>
    </row>
    <row r="1464" spans="3:17" x14ac:dyDescent="0.25">
      <c r="C1464" s="191"/>
      <c r="K1464" s="283" t="s">
        <v>1272</v>
      </c>
      <c r="L1464" s="283" t="s">
        <v>670</v>
      </c>
      <c r="M1464" s="283" t="s">
        <v>249</v>
      </c>
      <c r="N1464" s="283" t="s">
        <v>253</v>
      </c>
      <c r="O1464" s="283">
        <v>55</v>
      </c>
      <c r="P1464" s="283">
        <v>36938</v>
      </c>
      <c r="Q1464" s="235">
        <f>(O1464+IF('Scenario Analysis'!$N$23=1,0,0.5))*P1464</f>
        <v>2050059</v>
      </c>
    </row>
    <row r="1465" spans="3:17" x14ac:dyDescent="0.25">
      <c r="C1465" s="191"/>
      <c r="K1465" s="283" t="s">
        <v>1272</v>
      </c>
      <c r="L1465" s="283" t="s">
        <v>670</v>
      </c>
      <c r="M1465" s="283" t="s">
        <v>249</v>
      </c>
      <c r="N1465" s="283" t="s">
        <v>253</v>
      </c>
      <c r="O1465" s="283">
        <v>56</v>
      </c>
      <c r="P1465" s="283">
        <v>4985</v>
      </c>
      <c r="Q1465" s="235">
        <f>(O1465+IF('Scenario Analysis'!$N$23=1,0,0.5))*P1465</f>
        <v>281652.5</v>
      </c>
    </row>
    <row r="1466" spans="3:17" x14ac:dyDescent="0.25">
      <c r="C1466" s="191"/>
      <c r="K1466" s="283" t="s">
        <v>1272</v>
      </c>
      <c r="L1466" s="283" t="s">
        <v>670</v>
      </c>
      <c r="M1466" s="283" t="s">
        <v>249</v>
      </c>
      <c r="N1466" s="283" t="s">
        <v>253</v>
      </c>
      <c r="O1466" s="283">
        <v>57</v>
      </c>
      <c r="P1466" s="283">
        <v>6355</v>
      </c>
      <c r="Q1466" s="235">
        <f>(O1466+IF('Scenario Analysis'!$N$23=1,0,0.5))*P1466</f>
        <v>365412.5</v>
      </c>
    </row>
    <row r="1467" spans="3:17" x14ac:dyDescent="0.25">
      <c r="C1467" s="191"/>
      <c r="K1467" s="283" t="s">
        <v>1272</v>
      </c>
      <c r="L1467" s="283" t="s">
        <v>670</v>
      </c>
      <c r="M1467" s="283" t="s">
        <v>249</v>
      </c>
      <c r="N1467" s="283" t="s">
        <v>253</v>
      </c>
      <c r="O1467" s="283">
        <v>58</v>
      </c>
      <c r="P1467" s="283">
        <v>33107</v>
      </c>
      <c r="Q1467" s="235">
        <f>(O1467+IF('Scenario Analysis'!$N$23=1,0,0.5))*P1467</f>
        <v>1936759.5</v>
      </c>
    </row>
    <row r="1468" spans="3:17" x14ac:dyDescent="0.25">
      <c r="C1468" s="191"/>
      <c r="K1468" s="283" t="s">
        <v>1272</v>
      </c>
      <c r="L1468" s="283" t="s">
        <v>670</v>
      </c>
      <c r="M1468" s="283" t="s">
        <v>249</v>
      </c>
      <c r="N1468" s="283" t="s">
        <v>253</v>
      </c>
      <c r="O1468" s="283">
        <v>59</v>
      </c>
      <c r="P1468" s="283">
        <v>4720</v>
      </c>
      <c r="Q1468" s="235">
        <f>(O1468+IF('Scenario Analysis'!$N$23=1,0,0.5))*P1468</f>
        <v>280840</v>
      </c>
    </row>
    <row r="1469" spans="3:17" x14ac:dyDescent="0.25">
      <c r="C1469" s="191"/>
      <c r="K1469" s="283" t="s">
        <v>1272</v>
      </c>
      <c r="L1469" s="283" t="s">
        <v>670</v>
      </c>
      <c r="M1469" s="283" t="s">
        <v>249</v>
      </c>
      <c r="N1469" s="283" t="s">
        <v>253</v>
      </c>
      <c r="O1469" s="283">
        <v>60</v>
      </c>
      <c r="P1469" s="283">
        <v>7255</v>
      </c>
      <c r="Q1469" s="235">
        <f>(O1469+IF('Scenario Analysis'!$N$23=1,0,0.5))*P1469</f>
        <v>438927.5</v>
      </c>
    </row>
    <row r="1470" spans="3:17" x14ac:dyDescent="0.25">
      <c r="C1470" s="191"/>
      <c r="K1470" s="283" t="s">
        <v>1272</v>
      </c>
      <c r="L1470" s="283" t="s">
        <v>670</v>
      </c>
      <c r="M1470" s="283" t="s">
        <v>249</v>
      </c>
      <c r="N1470" s="283" t="s">
        <v>253</v>
      </c>
      <c r="O1470" s="283">
        <v>61</v>
      </c>
      <c r="P1470" s="283">
        <v>8157</v>
      </c>
      <c r="Q1470" s="235">
        <f>(O1470+IF('Scenario Analysis'!$N$23=1,0,0.5))*P1470</f>
        <v>501655.5</v>
      </c>
    </row>
    <row r="1471" spans="3:17" x14ac:dyDescent="0.25">
      <c r="C1471" s="191"/>
      <c r="K1471" s="283" t="s">
        <v>1272</v>
      </c>
      <c r="L1471" s="283" t="s">
        <v>670</v>
      </c>
      <c r="M1471" s="283" t="s">
        <v>249</v>
      </c>
      <c r="N1471" s="283" t="s">
        <v>253</v>
      </c>
      <c r="O1471" s="283">
        <v>62</v>
      </c>
      <c r="P1471" s="283">
        <v>3025</v>
      </c>
      <c r="Q1471" s="235">
        <f>(O1471+IF('Scenario Analysis'!$N$23=1,0,0.5))*P1471</f>
        <v>189062.5</v>
      </c>
    </row>
    <row r="1472" spans="3:17" x14ac:dyDescent="0.25">
      <c r="C1472" s="191"/>
      <c r="K1472" s="283" t="s">
        <v>1272</v>
      </c>
      <c r="L1472" s="283" t="s">
        <v>670</v>
      </c>
      <c r="M1472" s="283" t="s">
        <v>249</v>
      </c>
      <c r="N1472" s="283" t="s">
        <v>253</v>
      </c>
      <c r="O1472" s="283">
        <v>63</v>
      </c>
      <c r="P1472" s="283">
        <v>5899</v>
      </c>
      <c r="Q1472" s="235">
        <f>(O1472+IF('Scenario Analysis'!$N$23=1,0,0.5))*P1472</f>
        <v>374586.5</v>
      </c>
    </row>
    <row r="1473" spans="3:17" x14ac:dyDescent="0.25">
      <c r="C1473" s="191"/>
      <c r="K1473" s="283" t="s">
        <v>1272</v>
      </c>
      <c r="L1473" s="283" t="s">
        <v>670</v>
      </c>
      <c r="M1473" s="283" t="s">
        <v>249</v>
      </c>
      <c r="N1473" s="283" t="s">
        <v>253</v>
      </c>
      <c r="O1473" s="283">
        <v>64</v>
      </c>
      <c r="P1473" s="283">
        <v>3101</v>
      </c>
      <c r="Q1473" s="235">
        <f>(O1473+IF('Scenario Analysis'!$N$23=1,0,0.5))*P1473</f>
        <v>200014.5</v>
      </c>
    </row>
    <row r="1474" spans="3:17" x14ac:dyDescent="0.25">
      <c r="C1474" s="191"/>
      <c r="K1474" s="283" t="s">
        <v>1272</v>
      </c>
      <c r="L1474" s="283" t="s">
        <v>670</v>
      </c>
      <c r="M1474" s="283" t="s">
        <v>249</v>
      </c>
      <c r="N1474" s="283" t="s">
        <v>253</v>
      </c>
      <c r="O1474" s="283">
        <v>65</v>
      </c>
      <c r="P1474" s="283">
        <v>1892</v>
      </c>
      <c r="Q1474" s="235">
        <f>(O1474+IF('Scenario Analysis'!$N$23=1,0,0.5))*P1474</f>
        <v>123926</v>
      </c>
    </row>
    <row r="1475" spans="3:17" x14ac:dyDescent="0.25">
      <c r="C1475" s="191"/>
      <c r="K1475" s="283" t="s">
        <v>1272</v>
      </c>
      <c r="L1475" s="283" t="s">
        <v>670</v>
      </c>
      <c r="M1475" s="283" t="s">
        <v>249</v>
      </c>
      <c r="N1475" s="283" t="s">
        <v>253</v>
      </c>
      <c r="O1475" s="283">
        <v>66</v>
      </c>
      <c r="P1475" s="283">
        <v>1431</v>
      </c>
      <c r="Q1475" s="235">
        <f>(O1475+IF('Scenario Analysis'!$N$23=1,0,0.5))*P1475</f>
        <v>95161.5</v>
      </c>
    </row>
    <row r="1476" spans="3:17" x14ac:dyDescent="0.25">
      <c r="C1476" s="191"/>
      <c r="K1476" s="283" t="s">
        <v>1272</v>
      </c>
      <c r="L1476" s="283" t="s">
        <v>670</v>
      </c>
      <c r="M1476" s="283" t="s">
        <v>249</v>
      </c>
      <c r="N1476" s="283" t="s">
        <v>253</v>
      </c>
      <c r="O1476" s="283">
        <v>67</v>
      </c>
      <c r="P1476" s="283">
        <v>2594</v>
      </c>
      <c r="Q1476" s="235">
        <f>(O1476+IF('Scenario Analysis'!$N$23=1,0,0.5))*P1476</f>
        <v>175095</v>
      </c>
    </row>
    <row r="1477" spans="3:17" x14ac:dyDescent="0.25">
      <c r="C1477" s="191"/>
      <c r="K1477" s="283" t="s">
        <v>1272</v>
      </c>
      <c r="L1477" s="283" t="s">
        <v>670</v>
      </c>
      <c r="M1477" s="283" t="s">
        <v>249</v>
      </c>
      <c r="N1477" s="283" t="s">
        <v>253</v>
      </c>
      <c r="O1477" s="283">
        <v>68</v>
      </c>
      <c r="P1477" s="283">
        <v>981</v>
      </c>
      <c r="Q1477" s="235">
        <f>(O1477+IF('Scenario Analysis'!$N$23=1,0,0.5))*P1477</f>
        <v>67198.5</v>
      </c>
    </row>
    <row r="1478" spans="3:17" x14ac:dyDescent="0.25">
      <c r="C1478" s="191"/>
      <c r="K1478" s="283" t="s">
        <v>1272</v>
      </c>
      <c r="L1478" s="283" t="s">
        <v>670</v>
      </c>
      <c r="M1478" s="283" t="s">
        <v>249</v>
      </c>
      <c r="N1478" s="283" t="s">
        <v>253</v>
      </c>
      <c r="O1478" s="283">
        <v>69</v>
      </c>
      <c r="P1478" s="283">
        <v>1270</v>
      </c>
      <c r="Q1478" s="235">
        <f>(O1478+IF('Scenario Analysis'!$N$23=1,0,0.5))*P1478</f>
        <v>88265</v>
      </c>
    </row>
    <row r="1479" spans="3:17" x14ac:dyDescent="0.25">
      <c r="C1479" s="191"/>
      <c r="K1479" s="283" t="s">
        <v>1272</v>
      </c>
      <c r="L1479" s="283" t="s">
        <v>670</v>
      </c>
      <c r="M1479" s="283" t="s">
        <v>249</v>
      </c>
      <c r="N1479" s="283" t="s">
        <v>253</v>
      </c>
      <c r="O1479" s="283">
        <v>70</v>
      </c>
      <c r="P1479" s="283">
        <v>871</v>
      </c>
      <c r="Q1479" s="235">
        <f>(O1479+IF('Scenario Analysis'!$N$23=1,0,0.5))*P1479</f>
        <v>61405.5</v>
      </c>
    </row>
    <row r="1480" spans="3:17" x14ac:dyDescent="0.25">
      <c r="C1480" s="191"/>
      <c r="K1480" s="283" t="s">
        <v>1272</v>
      </c>
      <c r="L1480" s="283" t="s">
        <v>670</v>
      </c>
      <c r="M1480" s="283" t="s">
        <v>249</v>
      </c>
      <c r="N1480" s="283" t="s">
        <v>253</v>
      </c>
      <c r="O1480" s="283">
        <v>71</v>
      </c>
      <c r="P1480" s="283">
        <v>586</v>
      </c>
      <c r="Q1480" s="235">
        <f>(O1480+IF('Scenario Analysis'!$N$23=1,0,0.5))*P1480</f>
        <v>41899</v>
      </c>
    </row>
    <row r="1481" spans="3:17" x14ac:dyDescent="0.25">
      <c r="C1481" s="191"/>
      <c r="K1481" s="283" t="s">
        <v>1272</v>
      </c>
      <c r="L1481" s="283" t="s">
        <v>670</v>
      </c>
      <c r="M1481" s="283" t="s">
        <v>249</v>
      </c>
      <c r="N1481" s="283" t="s">
        <v>253</v>
      </c>
      <c r="O1481" s="283">
        <v>72</v>
      </c>
      <c r="P1481" s="283">
        <v>874</v>
      </c>
      <c r="Q1481" s="235">
        <f>(O1481+IF('Scenario Analysis'!$N$23=1,0,0.5))*P1481</f>
        <v>63365</v>
      </c>
    </row>
    <row r="1482" spans="3:17" x14ac:dyDescent="0.25">
      <c r="C1482" s="191"/>
      <c r="K1482" s="283" t="s">
        <v>1272</v>
      </c>
      <c r="L1482" s="283" t="s">
        <v>670</v>
      </c>
      <c r="M1482" s="283" t="s">
        <v>249</v>
      </c>
      <c r="N1482" s="283" t="s">
        <v>253</v>
      </c>
      <c r="O1482" s="283">
        <v>73</v>
      </c>
      <c r="P1482" s="283">
        <v>634</v>
      </c>
      <c r="Q1482" s="235">
        <f>(O1482+IF('Scenario Analysis'!$N$23=1,0,0.5))*P1482</f>
        <v>46599</v>
      </c>
    </row>
    <row r="1483" spans="3:17" x14ac:dyDescent="0.25">
      <c r="C1483" s="191"/>
      <c r="K1483" s="283" t="s">
        <v>1272</v>
      </c>
      <c r="L1483" s="283" t="s">
        <v>670</v>
      </c>
      <c r="M1483" s="283" t="s">
        <v>249</v>
      </c>
      <c r="N1483" s="283" t="s">
        <v>253</v>
      </c>
      <c r="O1483" s="283">
        <v>74</v>
      </c>
      <c r="P1483" s="283">
        <v>298</v>
      </c>
      <c r="Q1483" s="235">
        <f>(O1483+IF('Scenario Analysis'!$N$23=1,0,0.5))*P1483</f>
        <v>22201</v>
      </c>
    </row>
    <row r="1484" spans="3:17" x14ac:dyDescent="0.25">
      <c r="C1484" s="191"/>
      <c r="K1484" s="283" t="s">
        <v>1272</v>
      </c>
      <c r="L1484" s="283" t="s">
        <v>670</v>
      </c>
      <c r="M1484" s="283" t="s">
        <v>249</v>
      </c>
      <c r="N1484" s="283" t="s">
        <v>253</v>
      </c>
      <c r="O1484" s="283">
        <v>75</v>
      </c>
      <c r="P1484" s="283">
        <v>378</v>
      </c>
      <c r="Q1484" s="235">
        <f>(O1484+IF('Scenario Analysis'!$N$23=1,0,0.5))*P1484</f>
        <v>28539</v>
      </c>
    </row>
    <row r="1485" spans="3:17" x14ac:dyDescent="0.25">
      <c r="C1485" s="191"/>
      <c r="K1485" s="283" t="s">
        <v>1272</v>
      </c>
      <c r="L1485" s="283" t="s">
        <v>670</v>
      </c>
      <c r="M1485" s="283" t="s">
        <v>249</v>
      </c>
      <c r="N1485" s="283" t="s">
        <v>253</v>
      </c>
      <c r="O1485" s="283">
        <v>76</v>
      </c>
      <c r="P1485" s="283">
        <v>417</v>
      </c>
      <c r="Q1485" s="235">
        <f>(O1485+IF('Scenario Analysis'!$N$23=1,0,0.5))*P1485</f>
        <v>31900.5</v>
      </c>
    </row>
    <row r="1486" spans="3:17" x14ac:dyDescent="0.25">
      <c r="C1486" s="191"/>
      <c r="K1486" s="283" t="s">
        <v>1272</v>
      </c>
      <c r="L1486" s="283" t="s">
        <v>670</v>
      </c>
      <c r="M1486" s="283" t="s">
        <v>249</v>
      </c>
      <c r="N1486" s="283" t="s">
        <v>253</v>
      </c>
      <c r="O1486" s="283">
        <v>77</v>
      </c>
      <c r="P1486" s="283">
        <v>250</v>
      </c>
      <c r="Q1486" s="235">
        <f>(O1486+IF('Scenario Analysis'!$N$23=1,0,0.5))*P1486</f>
        <v>19375</v>
      </c>
    </row>
    <row r="1487" spans="3:17" x14ac:dyDescent="0.25">
      <c r="C1487" s="191"/>
      <c r="K1487" s="283" t="s">
        <v>1272</v>
      </c>
      <c r="L1487" s="283" t="s">
        <v>670</v>
      </c>
      <c r="M1487" s="283" t="s">
        <v>249</v>
      </c>
      <c r="N1487" s="283" t="s">
        <v>253</v>
      </c>
      <c r="O1487" s="283">
        <v>78</v>
      </c>
      <c r="P1487" s="283">
        <v>311</v>
      </c>
      <c r="Q1487" s="235">
        <f>(O1487+IF('Scenario Analysis'!$N$23=1,0,0.5))*P1487</f>
        <v>24413.5</v>
      </c>
    </row>
    <row r="1488" spans="3:17" x14ac:dyDescent="0.25">
      <c r="C1488" s="191"/>
      <c r="K1488" s="283" t="s">
        <v>1272</v>
      </c>
      <c r="L1488" s="283" t="s">
        <v>670</v>
      </c>
      <c r="M1488" s="283" t="s">
        <v>249</v>
      </c>
      <c r="N1488" s="283" t="s">
        <v>253</v>
      </c>
      <c r="O1488" s="283">
        <v>79</v>
      </c>
      <c r="P1488" s="283">
        <v>188</v>
      </c>
      <c r="Q1488" s="235">
        <f>(O1488+IF('Scenario Analysis'!$N$23=1,0,0.5))*P1488</f>
        <v>14946</v>
      </c>
    </row>
    <row r="1489" spans="3:17" x14ac:dyDescent="0.25">
      <c r="C1489" s="191"/>
      <c r="K1489" s="283" t="s">
        <v>1272</v>
      </c>
      <c r="L1489" s="283" t="s">
        <v>670</v>
      </c>
      <c r="M1489" s="283" t="s">
        <v>249</v>
      </c>
      <c r="N1489" s="283" t="s">
        <v>253</v>
      </c>
      <c r="O1489" s="283">
        <v>80</v>
      </c>
      <c r="P1489" s="283">
        <v>249</v>
      </c>
      <c r="Q1489" s="235">
        <f>(O1489+IF('Scenario Analysis'!$N$23=1,0,0.5))*P1489</f>
        <v>20044.5</v>
      </c>
    </row>
    <row r="1490" spans="3:17" x14ac:dyDescent="0.25">
      <c r="C1490" s="191"/>
      <c r="K1490" s="283" t="s">
        <v>1272</v>
      </c>
      <c r="L1490" s="283" t="s">
        <v>670</v>
      </c>
      <c r="M1490" s="283" t="s">
        <v>249</v>
      </c>
      <c r="N1490" s="283" t="s">
        <v>253</v>
      </c>
      <c r="O1490" s="283">
        <v>81</v>
      </c>
      <c r="P1490" s="283">
        <v>203</v>
      </c>
      <c r="Q1490" s="235">
        <f>(O1490+IF('Scenario Analysis'!$N$23=1,0,0.5))*P1490</f>
        <v>16544.5</v>
      </c>
    </row>
    <row r="1491" spans="3:17" x14ac:dyDescent="0.25">
      <c r="C1491" s="191"/>
      <c r="K1491" s="283" t="s">
        <v>1272</v>
      </c>
      <c r="L1491" s="283" t="s">
        <v>670</v>
      </c>
      <c r="M1491" s="283" t="s">
        <v>249</v>
      </c>
      <c r="N1491" s="283" t="s">
        <v>253</v>
      </c>
      <c r="O1491" s="283">
        <v>82</v>
      </c>
      <c r="P1491" s="283">
        <v>132</v>
      </c>
      <c r="Q1491" s="235">
        <f>(O1491+IF('Scenario Analysis'!$N$23=1,0,0.5))*P1491</f>
        <v>10890</v>
      </c>
    </row>
    <row r="1492" spans="3:17" x14ac:dyDescent="0.25">
      <c r="C1492" s="191"/>
      <c r="K1492" s="283" t="s">
        <v>1272</v>
      </c>
      <c r="L1492" s="283" t="s">
        <v>670</v>
      </c>
      <c r="M1492" s="283" t="s">
        <v>249</v>
      </c>
      <c r="N1492" s="283" t="s">
        <v>253</v>
      </c>
      <c r="O1492" s="283">
        <v>83</v>
      </c>
      <c r="P1492" s="283">
        <v>140</v>
      </c>
      <c r="Q1492" s="235">
        <f>(O1492+IF('Scenario Analysis'!$N$23=1,0,0.5))*P1492</f>
        <v>11690</v>
      </c>
    </row>
    <row r="1493" spans="3:17" x14ac:dyDescent="0.25">
      <c r="C1493" s="191"/>
      <c r="K1493" s="283" t="s">
        <v>1272</v>
      </c>
      <c r="L1493" s="283" t="s">
        <v>670</v>
      </c>
      <c r="M1493" s="283" t="s">
        <v>249</v>
      </c>
      <c r="N1493" s="283" t="s">
        <v>253</v>
      </c>
      <c r="O1493" s="283">
        <v>84</v>
      </c>
      <c r="P1493" s="283">
        <v>99</v>
      </c>
      <c r="Q1493" s="235">
        <f>(O1493+IF('Scenario Analysis'!$N$23=1,0,0.5))*P1493</f>
        <v>8365.5</v>
      </c>
    </row>
    <row r="1494" spans="3:17" x14ac:dyDescent="0.25">
      <c r="C1494" s="191"/>
      <c r="K1494" s="283" t="s">
        <v>1272</v>
      </c>
      <c r="L1494" s="283" t="s">
        <v>670</v>
      </c>
      <c r="M1494" s="283" t="s">
        <v>249</v>
      </c>
      <c r="N1494" s="283" t="s">
        <v>253</v>
      </c>
      <c r="O1494" s="283">
        <v>85</v>
      </c>
      <c r="P1494" s="283">
        <v>79</v>
      </c>
      <c r="Q1494" s="235">
        <f>(O1494+IF('Scenario Analysis'!$N$23=1,0,0.5))*P1494</f>
        <v>6754.5</v>
      </c>
    </row>
    <row r="1495" spans="3:17" x14ac:dyDescent="0.25">
      <c r="C1495" s="191"/>
      <c r="K1495" s="283" t="s">
        <v>1272</v>
      </c>
      <c r="L1495" s="283" t="s">
        <v>670</v>
      </c>
      <c r="M1495" s="283" t="s">
        <v>249</v>
      </c>
      <c r="N1495" s="283" t="s">
        <v>253</v>
      </c>
      <c r="O1495" s="283">
        <v>86</v>
      </c>
      <c r="P1495" s="283">
        <v>93</v>
      </c>
      <c r="Q1495" s="235">
        <f>(O1495+IF('Scenario Analysis'!$N$23=1,0,0.5))*P1495</f>
        <v>8044.5</v>
      </c>
    </row>
    <row r="1496" spans="3:17" x14ac:dyDescent="0.25">
      <c r="C1496" s="191"/>
      <c r="K1496" s="283" t="s">
        <v>1272</v>
      </c>
      <c r="L1496" s="283" t="s">
        <v>670</v>
      </c>
      <c r="M1496" s="283" t="s">
        <v>249</v>
      </c>
      <c r="N1496" s="283" t="s">
        <v>253</v>
      </c>
      <c r="O1496" s="283">
        <v>87</v>
      </c>
      <c r="P1496" s="283">
        <v>107</v>
      </c>
      <c r="Q1496" s="235">
        <f>(O1496+IF('Scenario Analysis'!$N$23=1,0,0.5))*P1496</f>
        <v>9362.5</v>
      </c>
    </row>
    <row r="1497" spans="3:17" x14ac:dyDescent="0.25">
      <c r="C1497" s="191"/>
      <c r="K1497" s="283" t="s">
        <v>1272</v>
      </c>
      <c r="L1497" s="283" t="s">
        <v>670</v>
      </c>
      <c r="M1497" s="283" t="s">
        <v>249</v>
      </c>
      <c r="N1497" s="283" t="s">
        <v>253</v>
      </c>
      <c r="O1497" s="283">
        <v>88</v>
      </c>
      <c r="P1497" s="283">
        <v>88</v>
      </c>
      <c r="Q1497" s="235">
        <f>(O1497+IF('Scenario Analysis'!$N$23=1,0,0.5))*P1497</f>
        <v>7788</v>
      </c>
    </row>
    <row r="1498" spans="3:17" x14ac:dyDescent="0.25">
      <c r="C1498" s="191"/>
      <c r="K1498" s="283" t="s">
        <v>1272</v>
      </c>
      <c r="L1498" s="283" t="s">
        <v>670</v>
      </c>
      <c r="M1498" s="283" t="s">
        <v>249</v>
      </c>
      <c r="N1498" s="283" t="s">
        <v>253</v>
      </c>
      <c r="O1498" s="283">
        <v>89</v>
      </c>
      <c r="P1498" s="283">
        <v>92</v>
      </c>
      <c r="Q1498" s="235">
        <f>(O1498+IF('Scenario Analysis'!$N$23=1,0,0.5))*P1498</f>
        <v>8234</v>
      </c>
    </row>
    <row r="1499" spans="3:17" x14ac:dyDescent="0.25">
      <c r="C1499" s="191"/>
      <c r="K1499" s="283" t="s">
        <v>1272</v>
      </c>
      <c r="L1499" s="283" t="s">
        <v>670</v>
      </c>
      <c r="M1499" s="283" t="s">
        <v>249</v>
      </c>
      <c r="N1499" s="283" t="s">
        <v>253</v>
      </c>
      <c r="O1499" s="283">
        <v>90</v>
      </c>
      <c r="P1499" s="283">
        <v>63</v>
      </c>
      <c r="Q1499" s="235">
        <f>(O1499+IF('Scenario Analysis'!$N$23=1,0,0.5))*P1499</f>
        <v>5701.5</v>
      </c>
    </row>
    <row r="1500" spans="3:17" x14ac:dyDescent="0.25">
      <c r="C1500" s="191"/>
      <c r="K1500" s="283" t="s">
        <v>1272</v>
      </c>
      <c r="L1500" s="283" t="s">
        <v>670</v>
      </c>
      <c r="M1500" s="283" t="s">
        <v>249</v>
      </c>
      <c r="N1500" s="283" t="s">
        <v>253</v>
      </c>
      <c r="O1500" s="283">
        <v>91</v>
      </c>
      <c r="P1500" s="283">
        <v>70</v>
      </c>
      <c r="Q1500" s="235">
        <f>(O1500+IF('Scenario Analysis'!$N$23=1,0,0.5))*P1500</f>
        <v>6405</v>
      </c>
    </row>
    <row r="1501" spans="3:17" x14ac:dyDescent="0.25">
      <c r="C1501" s="191"/>
      <c r="K1501" s="283" t="s">
        <v>1272</v>
      </c>
      <c r="L1501" s="283" t="s">
        <v>670</v>
      </c>
      <c r="M1501" s="283" t="s">
        <v>249</v>
      </c>
      <c r="N1501" s="283" t="s">
        <v>253</v>
      </c>
      <c r="O1501" s="283">
        <v>92</v>
      </c>
      <c r="P1501" s="283">
        <v>36</v>
      </c>
      <c r="Q1501" s="235">
        <f>(O1501+IF('Scenario Analysis'!$N$23=1,0,0.5))*P1501</f>
        <v>3330</v>
      </c>
    </row>
    <row r="1502" spans="3:17" x14ac:dyDescent="0.25">
      <c r="C1502" s="191"/>
      <c r="K1502" s="283" t="s">
        <v>1272</v>
      </c>
      <c r="L1502" s="283" t="s">
        <v>670</v>
      </c>
      <c r="M1502" s="283" t="s">
        <v>249</v>
      </c>
      <c r="N1502" s="283" t="s">
        <v>253</v>
      </c>
      <c r="O1502" s="283">
        <v>93</v>
      </c>
      <c r="P1502" s="283">
        <v>68</v>
      </c>
      <c r="Q1502" s="235">
        <f>(O1502+IF('Scenario Analysis'!$N$23=1,0,0.5))*P1502</f>
        <v>6358</v>
      </c>
    </row>
    <row r="1503" spans="3:17" x14ac:dyDescent="0.25">
      <c r="C1503" s="191"/>
      <c r="K1503" s="283" t="s">
        <v>1272</v>
      </c>
      <c r="L1503" s="283" t="s">
        <v>670</v>
      </c>
      <c r="M1503" s="283" t="s">
        <v>249</v>
      </c>
      <c r="N1503" s="283" t="s">
        <v>253</v>
      </c>
      <c r="O1503" s="283">
        <v>94</v>
      </c>
      <c r="P1503" s="283">
        <v>22</v>
      </c>
      <c r="Q1503" s="235">
        <f>(O1503+IF('Scenario Analysis'!$N$23=1,0,0.5))*P1503</f>
        <v>2079</v>
      </c>
    </row>
    <row r="1504" spans="3:17" x14ac:dyDescent="0.25">
      <c r="C1504" s="191"/>
      <c r="K1504" s="283" t="s">
        <v>1272</v>
      </c>
      <c r="L1504" s="283" t="s">
        <v>670</v>
      </c>
      <c r="M1504" s="283" t="s">
        <v>249</v>
      </c>
      <c r="N1504" s="283" t="s">
        <v>253</v>
      </c>
      <c r="O1504" s="283">
        <v>95</v>
      </c>
      <c r="P1504" s="283">
        <v>11</v>
      </c>
      <c r="Q1504" s="235">
        <f>(O1504+IF('Scenario Analysis'!$N$23=1,0,0.5))*P1504</f>
        <v>1050.5</v>
      </c>
    </row>
    <row r="1505" spans="3:17" x14ac:dyDescent="0.25">
      <c r="C1505" s="191"/>
      <c r="K1505" s="283" t="s">
        <v>1272</v>
      </c>
      <c r="L1505" s="283" t="s">
        <v>670</v>
      </c>
      <c r="M1505" s="283" t="s">
        <v>249</v>
      </c>
      <c r="N1505" s="283" t="s">
        <v>253</v>
      </c>
      <c r="O1505" s="283">
        <v>96</v>
      </c>
      <c r="P1505" s="283">
        <v>60</v>
      </c>
      <c r="Q1505" s="235">
        <f>(O1505+IF('Scenario Analysis'!$N$23=1,0,0.5))*P1505</f>
        <v>5790</v>
      </c>
    </row>
    <row r="1506" spans="3:17" x14ac:dyDescent="0.25">
      <c r="C1506" s="191"/>
      <c r="K1506" s="283" t="s">
        <v>1272</v>
      </c>
      <c r="L1506" s="283" t="s">
        <v>670</v>
      </c>
      <c r="M1506" s="283" t="s">
        <v>249</v>
      </c>
      <c r="N1506" s="283" t="s">
        <v>253</v>
      </c>
      <c r="O1506" s="283">
        <v>97</v>
      </c>
      <c r="P1506" s="283">
        <v>11</v>
      </c>
      <c r="Q1506" s="235">
        <f>(O1506+IF('Scenario Analysis'!$N$23=1,0,0.5))*P1506</f>
        <v>1072.5</v>
      </c>
    </row>
    <row r="1507" spans="3:17" x14ac:dyDescent="0.25">
      <c r="C1507" s="191"/>
      <c r="K1507" s="283" t="s">
        <v>1272</v>
      </c>
      <c r="L1507" s="283" t="s">
        <v>670</v>
      </c>
      <c r="M1507" s="283" t="s">
        <v>249</v>
      </c>
      <c r="N1507" s="283" t="s">
        <v>253</v>
      </c>
      <c r="O1507" s="283">
        <v>98</v>
      </c>
      <c r="P1507" s="283">
        <v>23</v>
      </c>
      <c r="Q1507" s="235">
        <f>(O1507+IF('Scenario Analysis'!$N$23=1,0,0.5))*P1507</f>
        <v>2265.5</v>
      </c>
    </row>
    <row r="1508" spans="3:17" x14ac:dyDescent="0.25">
      <c r="C1508" s="191"/>
      <c r="K1508" s="283" t="s">
        <v>1272</v>
      </c>
      <c r="L1508" s="283" t="s">
        <v>670</v>
      </c>
      <c r="M1508" s="283" t="s">
        <v>249</v>
      </c>
      <c r="N1508" s="283" t="s">
        <v>253</v>
      </c>
      <c r="O1508" s="283">
        <v>99</v>
      </c>
      <c r="P1508" s="283">
        <v>5</v>
      </c>
      <c r="Q1508" s="235">
        <f>(O1508+IF('Scenario Analysis'!$N$23=1,0,0.5))*P1508</f>
        <v>497.5</v>
      </c>
    </row>
    <row r="1509" spans="3:17" x14ac:dyDescent="0.25">
      <c r="C1509" s="191"/>
      <c r="K1509" s="283" t="s">
        <v>1272</v>
      </c>
      <c r="L1509" s="283" t="s">
        <v>670</v>
      </c>
      <c r="M1509" s="283" t="s">
        <v>249</v>
      </c>
      <c r="N1509" s="283" t="s">
        <v>253</v>
      </c>
      <c r="O1509" s="283">
        <v>100</v>
      </c>
      <c r="P1509" s="283">
        <v>8</v>
      </c>
      <c r="Q1509" s="235">
        <f>(O1509+IF('Scenario Analysis'!$N$23=1,0,0.5))*P1509</f>
        <v>804</v>
      </c>
    </row>
    <row r="1510" spans="3:17" x14ac:dyDescent="0.25">
      <c r="C1510" s="191"/>
      <c r="K1510" s="283" t="s">
        <v>1272</v>
      </c>
      <c r="L1510" s="283" t="s">
        <v>670</v>
      </c>
      <c r="M1510" s="283" t="s">
        <v>249</v>
      </c>
      <c r="N1510" s="283" t="s">
        <v>253</v>
      </c>
      <c r="O1510" s="283">
        <v>101</v>
      </c>
      <c r="P1510" s="283">
        <v>32</v>
      </c>
      <c r="Q1510" s="235">
        <f>(O1510+IF('Scenario Analysis'!$N$23=1,0,0.5))*P1510</f>
        <v>3248</v>
      </c>
    </row>
    <row r="1511" spans="3:17" x14ac:dyDescent="0.25">
      <c r="C1511" s="191"/>
      <c r="K1511" s="283" t="s">
        <v>1272</v>
      </c>
      <c r="L1511" s="283" t="s">
        <v>670</v>
      </c>
      <c r="M1511" s="283" t="s">
        <v>249</v>
      </c>
      <c r="N1511" s="283" t="s">
        <v>253</v>
      </c>
      <c r="O1511" s="283">
        <v>103</v>
      </c>
      <c r="P1511" s="283">
        <v>10</v>
      </c>
      <c r="Q1511" s="235">
        <f>(O1511+IF('Scenario Analysis'!$N$23=1,0,0.5))*P1511</f>
        <v>1035</v>
      </c>
    </row>
    <row r="1512" spans="3:17" x14ac:dyDescent="0.25">
      <c r="C1512" s="191"/>
      <c r="K1512" s="283" t="s">
        <v>1272</v>
      </c>
      <c r="L1512" s="283" t="s">
        <v>670</v>
      </c>
      <c r="M1512" s="283" t="s">
        <v>249</v>
      </c>
      <c r="N1512" s="283" t="s">
        <v>253</v>
      </c>
      <c r="O1512" s="283">
        <v>104</v>
      </c>
      <c r="P1512" s="283">
        <v>8</v>
      </c>
      <c r="Q1512" s="235">
        <f>(O1512+IF('Scenario Analysis'!$N$23=1,0,0.5))*P1512</f>
        <v>836</v>
      </c>
    </row>
    <row r="1513" spans="3:17" x14ac:dyDescent="0.25">
      <c r="C1513" s="191"/>
      <c r="K1513" s="283" t="s">
        <v>1272</v>
      </c>
      <c r="L1513" s="283" t="s">
        <v>670</v>
      </c>
      <c r="M1513" s="283" t="s">
        <v>249</v>
      </c>
      <c r="N1513" s="283" t="s">
        <v>253</v>
      </c>
      <c r="O1513" s="283">
        <v>105</v>
      </c>
      <c r="P1513" s="283">
        <v>6</v>
      </c>
      <c r="Q1513" s="235">
        <f>(O1513+IF('Scenario Analysis'!$N$23=1,0,0.5))*P1513</f>
        <v>633</v>
      </c>
    </row>
    <row r="1514" spans="3:17" x14ac:dyDescent="0.25">
      <c r="C1514" s="191"/>
      <c r="K1514" s="283" t="s">
        <v>1272</v>
      </c>
      <c r="L1514" s="283" t="s">
        <v>670</v>
      </c>
      <c r="M1514" s="283" t="s">
        <v>249</v>
      </c>
      <c r="N1514" s="283" t="s">
        <v>253</v>
      </c>
      <c r="O1514" s="283">
        <v>106</v>
      </c>
      <c r="P1514" s="283">
        <v>4</v>
      </c>
      <c r="Q1514" s="235">
        <f>(O1514+IF('Scenario Analysis'!$N$23=1,0,0.5))*P1514</f>
        <v>426</v>
      </c>
    </row>
    <row r="1515" spans="3:17" x14ac:dyDescent="0.25">
      <c r="C1515" s="191"/>
      <c r="K1515" s="283" t="s">
        <v>1272</v>
      </c>
      <c r="L1515" s="283" t="s">
        <v>670</v>
      </c>
      <c r="M1515" s="283" t="s">
        <v>249</v>
      </c>
      <c r="N1515" s="283" t="s">
        <v>253</v>
      </c>
      <c r="O1515" s="283">
        <v>107</v>
      </c>
      <c r="P1515" s="283">
        <v>7</v>
      </c>
      <c r="Q1515" s="235">
        <f>(O1515+IF('Scenario Analysis'!$N$23=1,0,0.5))*P1515</f>
        <v>752.5</v>
      </c>
    </row>
    <row r="1516" spans="3:17" x14ac:dyDescent="0.25">
      <c r="C1516" s="191"/>
      <c r="K1516" s="283" t="s">
        <v>1272</v>
      </c>
      <c r="L1516" s="283" t="s">
        <v>670</v>
      </c>
      <c r="M1516" s="283" t="s">
        <v>249</v>
      </c>
      <c r="N1516" s="283" t="s">
        <v>253</v>
      </c>
      <c r="O1516" s="283">
        <v>108</v>
      </c>
      <c r="P1516" s="283">
        <v>2</v>
      </c>
      <c r="Q1516" s="235">
        <f>(O1516+IF('Scenario Analysis'!$N$23=1,0,0.5))*P1516</f>
        <v>217</v>
      </c>
    </row>
    <row r="1517" spans="3:17" x14ac:dyDescent="0.25">
      <c r="C1517" s="191"/>
      <c r="K1517" s="283" t="s">
        <v>1272</v>
      </c>
      <c r="L1517" s="283" t="s">
        <v>670</v>
      </c>
      <c r="M1517" s="283" t="s">
        <v>249</v>
      </c>
      <c r="N1517" s="283" t="s">
        <v>253</v>
      </c>
      <c r="O1517" s="283">
        <v>109</v>
      </c>
      <c r="P1517" s="283">
        <v>6</v>
      </c>
      <c r="Q1517" s="235">
        <f>(O1517+IF('Scenario Analysis'!$N$23=1,0,0.5))*P1517</f>
        <v>657</v>
      </c>
    </row>
    <row r="1518" spans="3:17" x14ac:dyDescent="0.25">
      <c r="C1518" s="191"/>
      <c r="K1518" s="283" t="s">
        <v>1272</v>
      </c>
      <c r="L1518" s="283" t="s">
        <v>670</v>
      </c>
      <c r="M1518" s="283" t="s">
        <v>249</v>
      </c>
      <c r="N1518" s="283" t="s">
        <v>253</v>
      </c>
      <c r="O1518" s="283">
        <v>110</v>
      </c>
      <c r="P1518" s="283">
        <v>5</v>
      </c>
      <c r="Q1518" s="235">
        <f>(O1518+IF('Scenario Analysis'!$N$23=1,0,0.5))*P1518</f>
        <v>552.5</v>
      </c>
    </row>
    <row r="1519" spans="3:17" x14ac:dyDescent="0.25">
      <c r="C1519" s="191"/>
      <c r="K1519" s="283" t="s">
        <v>1272</v>
      </c>
      <c r="L1519" s="283" t="s">
        <v>670</v>
      </c>
      <c r="M1519" s="283" t="s">
        <v>249</v>
      </c>
      <c r="N1519" s="283" t="s">
        <v>253</v>
      </c>
      <c r="O1519" s="283">
        <v>111</v>
      </c>
      <c r="P1519" s="283">
        <v>1</v>
      </c>
      <c r="Q1519" s="235">
        <f>(O1519+IF('Scenario Analysis'!$N$23=1,0,0.5))*P1519</f>
        <v>111.5</v>
      </c>
    </row>
    <row r="1520" spans="3:17" x14ac:dyDescent="0.25">
      <c r="C1520" s="191"/>
      <c r="K1520" s="283" t="s">
        <v>1272</v>
      </c>
      <c r="L1520" s="283" t="s">
        <v>670</v>
      </c>
      <c r="M1520" s="283" t="s">
        <v>249</v>
      </c>
      <c r="N1520" s="283" t="s">
        <v>253</v>
      </c>
      <c r="O1520" s="283">
        <v>112</v>
      </c>
      <c r="P1520" s="283">
        <v>6</v>
      </c>
      <c r="Q1520" s="235">
        <f>(O1520+IF('Scenario Analysis'!$N$23=1,0,0.5))*P1520</f>
        <v>675</v>
      </c>
    </row>
    <row r="1521" spans="3:17" x14ac:dyDescent="0.25">
      <c r="C1521" s="191"/>
      <c r="K1521" s="283" t="s">
        <v>1272</v>
      </c>
      <c r="L1521" s="283" t="s">
        <v>670</v>
      </c>
      <c r="M1521" s="283" t="s">
        <v>249</v>
      </c>
      <c r="N1521" s="283" t="s">
        <v>253</v>
      </c>
      <c r="O1521" s="283">
        <v>114</v>
      </c>
      <c r="P1521" s="283">
        <v>2</v>
      </c>
      <c r="Q1521" s="235">
        <f>(O1521+IF('Scenario Analysis'!$N$23=1,0,0.5))*P1521</f>
        <v>229</v>
      </c>
    </row>
    <row r="1522" spans="3:17" x14ac:dyDescent="0.25">
      <c r="C1522" s="191"/>
      <c r="K1522" s="283" t="s">
        <v>1272</v>
      </c>
      <c r="L1522" s="283" t="s">
        <v>670</v>
      </c>
      <c r="M1522" s="283" t="s">
        <v>249</v>
      </c>
      <c r="N1522" s="283" t="s">
        <v>253</v>
      </c>
      <c r="O1522" s="283">
        <v>116</v>
      </c>
      <c r="P1522" s="283">
        <v>20</v>
      </c>
      <c r="Q1522" s="235">
        <f>(O1522+IF('Scenario Analysis'!$N$23=1,0,0.5))*P1522</f>
        <v>2330</v>
      </c>
    </row>
    <row r="1523" spans="3:17" x14ac:dyDescent="0.25">
      <c r="C1523" s="191"/>
      <c r="K1523" s="283" t="s">
        <v>1272</v>
      </c>
      <c r="L1523" s="283" t="s">
        <v>670</v>
      </c>
      <c r="M1523" s="283" t="s">
        <v>249</v>
      </c>
      <c r="N1523" s="283" t="s">
        <v>253</v>
      </c>
      <c r="O1523" s="283">
        <v>119</v>
      </c>
      <c r="P1523" s="283">
        <v>4</v>
      </c>
      <c r="Q1523" s="235">
        <f>(O1523+IF('Scenario Analysis'!$N$23=1,0,0.5))*P1523</f>
        <v>478</v>
      </c>
    </row>
    <row r="1524" spans="3:17" x14ac:dyDescent="0.25">
      <c r="C1524" s="191"/>
      <c r="K1524" s="283" t="s">
        <v>1272</v>
      </c>
      <c r="L1524" s="283" t="s">
        <v>670</v>
      </c>
      <c r="M1524" s="283" t="s">
        <v>249</v>
      </c>
      <c r="N1524" s="283" t="s">
        <v>253</v>
      </c>
      <c r="O1524" s="283">
        <v>120</v>
      </c>
      <c r="P1524" s="283">
        <v>2</v>
      </c>
      <c r="Q1524" s="235">
        <f>(O1524+IF('Scenario Analysis'!$N$23=1,0,0.5))*P1524</f>
        <v>241</v>
      </c>
    </row>
    <row r="1525" spans="3:17" x14ac:dyDescent="0.25">
      <c r="C1525" s="191"/>
      <c r="K1525" s="283" t="s">
        <v>1272</v>
      </c>
      <c r="L1525" s="283" t="s">
        <v>670</v>
      </c>
      <c r="M1525" s="283" t="s">
        <v>249</v>
      </c>
      <c r="N1525" s="283" t="s">
        <v>253</v>
      </c>
      <c r="O1525" s="283">
        <v>122</v>
      </c>
      <c r="P1525" s="283">
        <v>2</v>
      </c>
      <c r="Q1525" s="235">
        <f>(O1525+IF('Scenario Analysis'!$N$23=1,0,0.5))*P1525</f>
        <v>245</v>
      </c>
    </row>
    <row r="1526" spans="3:17" x14ac:dyDescent="0.25">
      <c r="C1526" s="191"/>
      <c r="K1526" s="283" t="s">
        <v>1272</v>
      </c>
      <c r="L1526" s="283" t="s">
        <v>670</v>
      </c>
      <c r="M1526" s="283" t="s">
        <v>249</v>
      </c>
      <c r="N1526" s="283" t="s">
        <v>253</v>
      </c>
      <c r="O1526" s="283">
        <v>125</v>
      </c>
      <c r="P1526" s="283">
        <v>1</v>
      </c>
      <c r="Q1526" s="235">
        <f>(O1526+IF('Scenario Analysis'!$N$23=1,0,0.5))*P1526</f>
        <v>125.5</v>
      </c>
    </row>
    <row r="1527" spans="3:17" x14ac:dyDescent="0.25">
      <c r="C1527" s="191"/>
      <c r="K1527" s="283" t="s">
        <v>1272</v>
      </c>
      <c r="L1527" s="283" t="s">
        <v>670</v>
      </c>
      <c r="M1527" s="283" t="s">
        <v>249</v>
      </c>
      <c r="N1527" s="283" t="s">
        <v>253</v>
      </c>
      <c r="O1527" s="283">
        <v>131</v>
      </c>
      <c r="P1527" s="283">
        <v>3</v>
      </c>
      <c r="Q1527" s="235">
        <f>(O1527+IF('Scenario Analysis'!$N$23=1,0,0.5))*P1527</f>
        <v>394.5</v>
      </c>
    </row>
    <row r="1528" spans="3:17" x14ac:dyDescent="0.25">
      <c r="C1528" s="191"/>
      <c r="K1528" s="283" t="s">
        <v>1272</v>
      </c>
      <c r="L1528" s="283" t="s">
        <v>670</v>
      </c>
      <c r="M1528" s="283" t="s">
        <v>249</v>
      </c>
      <c r="N1528" s="283" t="s">
        <v>253</v>
      </c>
      <c r="O1528" s="283">
        <v>134</v>
      </c>
      <c r="P1528" s="283">
        <v>1</v>
      </c>
      <c r="Q1528" s="235">
        <f>(O1528+IF('Scenario Analysis'!$N$23=1,0,0.5))*P1528</f>
        <v>134.5</v>
      </c>
    </row>
    <row r="1529" spans="3:17" x14ac:dyDescent="0.25">
      <c r="C1529" s="191"/>
      <c r="K1529" s="283" t="s">
        <v>1272</v>
      </c>
      <c r="L1529" s="283" t="s">
        <v>670</v>
      </c>
      <c r="M1529" s="283" t="s">
        <v>249</v>
      </c>
      <c r="N1529" s="283" t="s">
        <v>253</v>
      </c>
      <c r="O1529" s="283">
        <v>137</v>
      </c>
      <c r="P1529" s="283">
        <v>3</v>
      </c>
      <c r="Q1529" s="235">
        <f>(O1529+IF('Scenario Analysis'!$N$23=1,0,0.5))*P1529</f>
        <v>412.5</v>
      </c>
    </row>
    <row r="1530" spans="3:17" x14ac:dyDescent="0.25">
      <c r="C1530" s="191"/>
      <c r="K1530" s="283" t="s">
        <v>1272</v>
      </c>
      <c r="L1530" s="283" t="s">
        <v>670</v>
      </c>
      <c r="M1530" s="283" t="s">
        <v>249</v>
      </c>
      <c r="N1530" s="283" t="s">
        <v>253</v>
      </c>
      <c r="O1530" s="283">
        <v>138</v>
      </c>
      <c r="P1530" s="283">
        <v>3</v>
      </c>
      <c r="Q1530" s="235">
        <f>(O1530+IF('Scenario Analysis'!$N$23=1,0,0.5))*P1530</f>
        <v>415.5</v>
      </c>
    </row>
    <row r="1531" spans="3:17" x14ac:dyDescent="0.25">
      <c r="C1531" s="191"/>
      <c r="K1531" s="283" t="s">
        <v>1272</v>
      </c>
      <c r="L1531" s="283" t="s">
        <v>670</v>
      </c>
      <c r="M1531" s="283" t="s">
        <v>249</v>
      </c>
      <c r="N1531" s="283" t="s">
        <v>253</v>
      </c>
      <c r="O1531" s="283">
        <v>141</v>
      </c>
      <c r="P1531" s="283">
        <v>4</v>
      </c>
      <c r="Q1531" s="235">
        <f>(O1531+IF('Scenario Analysis'!$N$23=1,0,0.5))*P1531</f>
        <v>566</v>
      </c>
    </row>
    <row r="1532" spans="3:17" x14ac:dyDescent="0.25">
      <c r="C1532" s="191"/>
      <c r="K1532" s="283" t="s">
        <v>1272</v>
      </c>
      <c r="L1532" s="283" t="s">
        <v>670</v>
      </c>
      <c r="M1532" s="283" t="s">
        <v>249</v>
      </c>
      <c r="N1532" s="283" t="s">
        <v>253</v>
      </c>
      <c r="O1532" s="283">
        <v>142</v>
      </c>
      <c r="P1532" s="283">
        <v>4</v>
      </c>
      <c r="Q1532" s="235">
        <f>(O1532+IF('Scenario Analysis'!$N$23=1,0,0.5))*P1532</f>
        <v>570</v>
      </c>
    </row>
    <row r="1533" spans="3:17" x14ac:dyDescent="0.25">
      <c r="C1533" s="191"/>
      <c r="K1533" s="283" t="s">
        <v>1272</v>
      </c>
      <c r="L1533" s="283" t="s">
        <v>670</v>
      </c>
      <c r="M1533" s="283" t="s">
        <v>249</v>
      </c>
      <c r="N1533" s="283" t="s">
        <v>253</v>
      </c>
      <c r="O1533" s="283">
        <v>143</v>
      </c>
      <c r="P1533" s="283">
        <v>4</v>
      </c>
      <c r="Q1533" s="235">
        <f>(O1533+IF('Scenario Analysis'!$N$23=1,0,0.5))*P1533</f>
        <v>574</v>
      </c>
    </row>
    <row r="1534" spans="3:17" x14ac:dyDescent="0.25">
      <c r="C1534" s="191"/>
      <c r="K1534" s="283" t="s">
        <v>1272</v>
      </c>
      <c r="L1534" s="283" t="s">
        <v>670</v>
      </c>
      <c r="M1534" s="283" t="s">
        <v>249</v>
      </c>
      <c r="N1534" s="283" t="s">
        <v>253</v>
      </c>
      <c r="O1534" s="283">
        <v>144</v>
      </c>
      <c r="P1534" s="283">
        <v>7</v>
      </c>
      <c r="Q1534" s="235">
        <f>(O1534+IF('Scenario Analysis'!$N$23=1,0,0.5))*P1534</f>
        <v>1011.5</v>
      </c>
    </row>
    <row r="1535" spans="3:17" x14ac:dyDescent="0.25">
      <c r="C1535" s="191"/>
      <c r="K1535" s="283" t="s">
        <v>1272</v>
      </c>
      <c r="L1535" s="283" t="s">
        <v>670</v>
      </c>
      <c r="M1535" s="283" t="s">
        <v>249</v>
      </c>
      <c r="N1535" s="283" t="s">
        <v>253</v>
      </c>
      <c r="O1535" s="283">
        <v>147</v>
      </c>
      <c r="P1535" s="283">
        <v>8</v>
      </c>
      <c r="Q1535" s="235">
        <f>(O1535+IF('Scenario Analysis'!$N$23=1,0,0.5))*P1535</f>
        <v>1180</v>
      </c>
    </row>
    <row r="1536" spans="3:17" x14ac:dyDescent="0.25">
      <c r="C1536" s="191"/>
      <c r="K1536" s="283" t="s">
        <v>1272</v>
      </c>
      <c r="L1536" s="283" t="s">
        <v>670</v>
      </c>
      <c r="M1536" s="283" t="s">
        <v>249</v>
      </c>
      <c r="N1536" s="283" t="s">
        <v>253</v>
      </c>
      <c r="O1536" s="283">
        <v>149</v>
      </c>
      <c r="P1536" s="283">
        <v>1</v>
      </c>
      <c r="Q1536" s="235">
        <f>(O1536+IF('Scenario Analysis'!$N$23=1,0,0.5))*P1536</f>
        <v>149.5</v>
      </c>
    </row>
    <row r="1537" spans="3:17" x14ac:dyDescent="0.25">
      <c r="C1537" s="191"/>
      <c r="K1537" s="283" t="s">
        <v>1272</v>
      </c>
      <c r="L1537" s="283" t="s">
        <v>670</v>
      </c>
      <c r="M1537" s="283" t="s">
        <v>249</v>
      </c>
      <c r="N1537" s="283" t="s">
        <v>253</v>
      </c>
      <c r="O1537" s="283">
        <v>150</v>
      </c>
      <c r="P1537" s="283">
        <v>126</v>
      </c>
      <c r="Q1537" s="235">
        <f>(O1537+IF('Scenario Analysis'!$N$23=1,0,0.5))*P1537</f>
        <v>18963</v>
      </c>
    </row>
    <row r="1538" spans="3:17" x14ac:dyDescent="0.25">
      <c r="C1538" s="191"/>
      <c r="K1538" s="283" t="s">
        <v>1272</v>
      </c>
      <c r="L1538" s="283" t="s">
        <v>671</v>
      </c>
      <c r="M1538" s="283" t="s">
        <v>250</v>
      </c>
      <c r="N1538" s="283" t="s">
        <v>251</v>
      </c>
      <c r="O1538" s="283">
        <v>1</v>
      </c>
      <c r="P1538" s="283">
        <v>10935</v>
      </c>
      <c r="Q1538" s="235">
        <f>(O1538+IF('Scenario Analysis'!$N$23=1,0,0.5))*P1538</f>
        <v>16402.5</v>
      </c>
    </row>
    <row r="1539" spans="3:17" x14ac:dyDescent="0.25">
      <c r="C1539" s="191"/>
      <c r="K1539" s="283" t="s">
        <v>1272</v>
      </c>
      <c r="L1539" s="283" t="s">
        <v>671</v>
      </c>
      <c r="M1539" s="283" t="s">
        <v>250</v>
      </c>
      <c r="N1539" s="283" t="s">
        <v>251</v>
      </c>
      <c r="O1539" s="283">
        <v>2</v>
      </c>
      <c r="P1539" s="283">
        <v>30739</v>
      </c>
      <c r="Q1539" s="235">
        <f>(O1539+IF('Scenario Analysis'!$N$23=1,0,0.5))*P1539</f>
        <v>76847.5</v>
      </c>
    </row>
    <row r="1540" spans="3:17" x14ac:dyDescent="0.25">
      <c r="C1540" s="191"/>
      <c r="K1540" s="283" t="s">
        <v>1272</v>
      </c>
      <c r="L1540" s="283" t="s">
        <v>671</v>
      </c>
      <c r="M1540" s="283" t="s">
        <v>250</v>
      </c>
      <c r="N1540" s="283" t="s">
        <v>251</v>
      </c>
      <c r="O1540" s="283">
        <v>3</v>
      </c>
      <c r="P1540" s="283">
        <v>92407</v>
      </c>
      <c r="Q1540" s="235">
        <f>(O1540+IF('Scenario Analysis'!$N$23=1,0,0.5))*P1540</f>
        <v>323424.5</v>
      </c>
    </row>
    <row r="1541" spans="3:17" x14ac:dyDescent="0.25">
      <c r="C1541" s="191"/>
      <c r="K1541" s="283" t="s">
        <v>1272</v>
      </c>
      <c r="L1541" s="283" t="s">
        <v>671</v>
      </c>
      <c r="M1541" s="283" t="s">
        <v>250</v>
      </c>
      <c r="N1541" s="283" t="s">
        <v>251</v>
      </c>
      <c r="O1541" s="283">
        <v>4</v>
      </c>
      <c r="P1541" s="283">
        <v>18867</v>
      </c>
      <c r="Q1541" s="235">
        <f>(O1541+IF('Scenario Analysis'!$N$23=1,0,0.5))*P1541</f>
        <v>84901.5</v>
      </c>
    </row>
    <row r="1542" spans="3:17" x14ac:dyDescent="0.25">
      <c r="C1542" s="191"/>
      <c r="K1542" s="283" t="s">
        <v>1272</v>
      </c>
      <c r="L1542" s="283" t="s">
        <v>671</v>
      </c>
      <c r="M1542" s="283" t="s">
        <v>250</v>
      </c>
      <c r="N1542" s="283" t="s">
        <v>251</v>
      </c>
      <c r="O1542" s="283">
        <v>5</v>
      </c>
      <c r="P1542" s="283">
        <v>10744</v>
      </c>
      <c r="Q1542" s="235">
        <f>(O1542+IF('Scenario Analysis'!$N$23=1,0,0.5))*P1542</f>
        <v>59092</v>
      </c>
    </row>
    <row r="1543" spans="3:17" x14ac:dyDescent="0.25">
      <c r="C1543" s="191"/>
      <c r="K1543" s="283" t="s">
        <v>1272</v>
      </c>
      <c r="L1543" s="283" t="s">
        <v>671</v>
      </c>
      <c r="M1543" s="283" t="s">
        <v>250</v>
      </c>
      <c r="N1543" s="283" t="s">
        <v>251</v>
      </c>
      <c r="O1543" s="283">
        <v>6</v>
      </c>
      <c r="P1543" s="283">
        <v>74775</v>
      </c>
      <c r="Q1543" s="235">
        <f>(O1543+IF('Scenario Analysis'!$N$23=1,0,0.5))*P1543</f>
        <v>486037.5</v>
      </c>
    </row>
    <row r="1544" spans="3:17" x14ac:dyDescent="0.25">
      <c r="C1544" s="191"/>
      <c r="K1544" s="283" t="s">
        <v>1272</v>
      </c>
      <c r="L1544" s="283" t="s">
        <v>671</v>
      </c>
      <c r="M1544" s="283" t="s">
        <v>250</v>
      </c>
      <c r="N1544" s="283" t="s">
        <v>251</v>
      </c>
      <c r="O1544" s="283">
        <v>7</v>
      </c>
      <c r="P1544" s="283">
        <v>16255</v>
      </c>
      <c r="Q1544" s="235">
        <f>(O1544+IF('Scenario Analysis'!$N$23=1,0,0.5))*P1544</f>
        <v>121912.5</v>
      </c>
    </row>
    <row r="1545" spans="3:17" x14ac:dyDescent="0.25">
      <c r="C1545" s="191"/>
      <c r="K1545" s="283" t="s">
        <v>1272</v>
      </c>
      <c r="L1545" s="283" t="s">
        <v>671</v>
      </c>
      <c r="M1545" s="283" t="s">
        <v>250</v>
      </c>
      <c r="N1545" s="283" t="s">
        <v>251</v>
      </c>
      <c r="O1545" s="283">
        <v>8</v>
      </c>
      <c r="P1545" s="283">
        <v>48108</v>
      </c>
      <c r="Q1545" s="235">
        <f>(O1545+IF('Scenario Analysis'!$N$23=1,0,0.5))*P1545</f>
        <v>408918</v>
      </c>
    </row>
    <row r="1546" spans="3:17" x14ac:dyDescent="0.25">
      <c r="C1546" s="191"/>
      <c r="K1546" s="283" t="s">
        <v>1272</v>
      </c>
      <c r="L1546" s="283" t="s">
        <v>671</v>
      </c>
      <c r="M1546" s="283" t="s">
        <v>250</v>
      </c>
      <c r="N1546" s="283" t="s">
        <v>251</v>
      </c>
      <c r="O1546" s="283">
        <v>9</v>
      </c>
      <c r="P1546" s="283">
        <v>119349</v>
      </c>
      <c r="Q1546" s="235">
        <f>(O1546+IF('Scenario Analysis'!$N$23=1,0,0.5))*P1546</f>
        <v>1133815.5</v>
      </c>
    </row>
    <row r="1547" spans="3:17" x14ac:dyDescent="0.25">
      <c r="C1547" s="191"/>
      <c r="K1547" s="283" t="s">
        <v>1272</v>
      </c>
      <c r="L1547" s="283" t="s">
        <v>671</v>
      </c>
      <c r="M1547" s="283" t="s">
        <v>250</v>
      </c>
      <c r="N1547" s="283" t="s">
        <v>251</v>
      </c>
      <c r="O1547" s="283">
        <v>10</v>
      </c>
      <c r="P1547" s="283">
        <v>22609</v>
      </c>
      <c r="Q1547" s="235">
        <f>(O1547+IF('Scenario Analysis'!$N$23=1,0,0.5))*P1547</f>
        <v>237394.5</v>
      </c>
    </row>
    <row r="1548" spans="3:17" x14ac:dyDescent="0.25">
      <c r="C1548" s="191"/>
      <c r="K1548" s="283" t="s">
        <v>1272</v>
      </c>
      <c r="L1548" s="283" t="s">
        <v>671</v>
      </c>
      <c r="M1548" s="283" t="s">
        <v>250</v>
      </c>
      <c r="N1548" s="283" t="s">
        <v>251</v>
      </c>
      <c r="O1548" s="283">
        <v>11</v>
      </c>
      <c r="P1548" s="283">
        <v>18963</v>
      </c>
      <c r="Q1548" s="235">
        <f>(O1548+IF('Scenario Analysis'!$N$23=1,0,0.5))*P1548</f>
        <v>218074.5</v>
      </c>
    </row>
    <row r="1549" spans="3:17" x14ac:dyDescent="0.25">
      <c r="C1549" s="191"/>
      <c r="K1549" s="283" t="s">
        <v>1272</v>
      </c>
      <c r="L1549" s="283" t="s">
        <v>671</v>
      </c>
      <c r="M1549" s="283" t="s">
        <v>250</v>
      </c>
      <c r="N1549" s="283" t="s">
        <v>251</v>
      </c>
      <c r="O1549" s="283">
        <v>12</v>
      </c>
      <c r="P1549" s="283">
        <v>15263</v>
      </c>
      <c r="Q1549" s="235">
        <f>(O1549+IF('Scenario Analysis'!$N$23=1,0,0.5))*P1549</f>
        <v>190787.5</v>
      </c>
    </row>
    <row r="1550" spans="3:17" x14ac:dyDescent="0.25">
      <c r="C1550" s="191"/>
      <c r="K1550" s="283" t="s">
        <v>1272</v>
      </c>
      <c r="L1550" s="283" t="s">
        <v>671</v>
      </c>
      <c r="M1550" s="283" t="s">
        <v>250</v>
      </c>
      <c r="N1550" s="283" t="s">
        <v>251</v>
      </c>
      <c r="O1550" s="283">
        <v>13</v>
      </c>
      <c r="P1550" s="283">
        <v>132822</v>
      </c>
      <c r="Q1550" s="235">
        <f>(O1550+IF('Scenario Analysis'!$N$23=1,0,0.5))*P1550</f>
        <v>1793097</v>
      </c>
    </row>
    <row r="1551" spans="3:17" x14ac:dyDescent="0.25">
      <c r="C1551" s="191"/>
      <c r="K1551" s="283" t="s">
        <v>1272</v>
      </c>
      <c r="L1551" s="283" t="s">
        <v>671</v>
      </c>
      <c r="M1551" s="283" t="s">
        <v>250</v>
      </c>
      <c r="N1551" s="283" t="s">
        <v>251</v>
      </c>
      <c r="O1551" s="283">
        <v>14</v>
      </c>
      <c r="P1551" s="283">
        <v>8187</v>
      </c>
      <c r="Q1551" s="235">
        <f>(O1551+IF('Scenario Analysis'!$N$23=1,0,0.5))*P1551</f>
        <v>118711.5</v>
      </c>
    </row>
    <row r="1552" spans="3:17" x14ac:dyDescent="0.25">
      <c r="C1552" s="191"/>
      <c r="K1552" s="283" t="s">
        <v>1272</v>
      </c>
      <c r="L1552" s="283" t="s">
        <v>671</v>
      </c>
      <c r="M1552" s="283" t="s">
        <v>250</v>
      </c>
      <c r="N1552" s="283" t="s">
        <v>251</v>
      </c>
      <c r="O1552" s="283">
        <v>15</v>
      </c>
      <c r="P1552" s="283">
        <v>10451</v>
      </c>
      <c r="Q1552" s="235">
        <f>(O1552+IF('Scenario Analysis'!$N$23=1,0,0.5))*P1552</f>
        <v>161990.5</v>
      </c>
    </row>
    <row r="1553" spans="3:17" x14ac:dyDescent="0.25">
      <c r="C1553" s="191"/>
      <c r="K1553" s="283" t="s">
        <v>1272</v>
      </c>
      <c r="L1553" s="283" t="s">
        <v>671</v>
      </c>
      <c r="M1553" s="283" t="s">
        <v>250</v>
      </c>
      <c r="N1553" s="283" t="s">
        <v>251</v>
      </c>
      <c r="O1553" s="283">
        <v>16</v>
      </c>
      <c r="P1553" s="283">
        <v>946</v>
      </c>
      <c r="Q1553" s="235">
        <f>(O1553+IF('Scenario Analysis'!$N$23=1,0,0.5))*P1553</f>
        <v>15609</v>
      </c>
    </row>
    <row r="1554" spans="3:17" x14ac:dyDescent="0.25">
      <c r="C1554" s="191"/>
      <c r="K1554" s="283" t="s">
        <v>1272</v>
      </c>
      <c r="L1554" s="283" t="s">
        <v>671</v>
      </c>
      <c r="M1554" s="283" t="s">
        <v>250</v>
      </c>
      <c r="N1554" s="283" t="s">
        <v>251</v>
      </c>
      <c r="O1554" s="283">
        <v>17</v>
      </c>
      <c r="P1554" s="283">
        <v>16484</v>
      </c>
      <c r="Q1554" s="235">
        <f>(O1554+IF('Scenario Analysis'!$N$23=1,0,0.5))*P1554</f>
        <v>288470</v>
      </c>
    </row>
    <row r="1555" spans="3:17" x14ac:dyDescent="0.25">
      <c r="C1555" s="191"/>
      <c r="K1555" s="283" t="s">
        <v>1272</v>
      </c>
      <c r="L1555" s="283" t="s">
        <v>671</v>
      </c>
      <c r="M1555" s="283" t="s">
        <v>250</v>
      </c>
      <c r="N1555" s="283" t="s">
        <v>251</v>
      </c>
      <c r="O1555" s="283">
        <v>18</v>
      </c>
      <c r="P1555" s="283">
        <v>733</v>
      </c>
      <c r="Q1555" s="235">
        <f>(O1555+IF('Scenario Analysis'!$N$23=1,0,0.5))*P1555</f>
        <v>13560.5</v>
      </c>
    </row>
    <row r="1556" spans="3:17" x14ac:dyDescent="0.25">
      <c r="C1556" s="191"/>
      <c r="K1556" s="283" t="s">
        <v>1272</v>
      </c>
      <c r="L1556" s="283" t="s">
        <v>671</v>
      </c>
      <c r="M1556" s="283" t="s">
        <v>250</v>
      </c>
      <c r="N1556" s="283" t="s">
        <v>251</v>
      </c>
      <c r="O1556" s="283">
        <v>19</v>
      </c>
      <c r="P1556" s="283">
        <v>49823</v>
      </c>
      <c r="Q1556" s="235">
        <f>(O1556+IF('Scenario Analysis'!$N$23=1,0,0.5))*P1556</f>
        <v>971548.5</v>
      </c>
    </row>
    <row r="1557" spans="3:17" x14ac:dyDescent="0.25">
      <c r="C1557" s="191"/>
      <c r="K1557" s="283" t="s">
        <v>1272</v>
      </c>
      <c r="L1557" s="283" t="s">
        <v>671</v>
      </c>
      <c r="M1557" s="283" t="s">
        <v>250</v>
      </c>
      <c r="N1557" s="283" t="s">
        <v>251</v>
      </c>
      <c r="O1557" s="283">
        <v>20</v>
      </c>
      <c r="P1557" s="283">
        <v>15158</v>
      </c>
      <c r="Q1557" s="235">
        <f>(O1557+IF('Scenario Analysis'!$N$23=1,0,0.5))*P1557</f>
        <v>310739</v>
      </c>
    </row>
    <row r="1558" spans="3:17" x14ac:dyDescent="0.25">
      <c r="C1558" s="191"/>
      <c r="K1558" s="283" t="s">
        <v>1272</v>
      </c>
      <c r="L1558" s="283" t="s">
        <v>671</v>
      </c>
      <c r="M1558" s="283" t="s">
        <v>250</v>
      </c>
      <c r="N1558" s="283" t="s">
        <v>251</v>
      </c>
      <c r="O1558" s="283">
        <v>21</v>
      </c>
      <c r="P1558" s="283">
        <v>40867</v>
      </c>
      <c r="Q1558" s="235">
        <f>(O1558+IF('Scenario Analysis'!$N$23=1,0,0.5))*P1558</f>
        <v>878640.5</v>
      </c>
    </row>
    <row r="1559" spans="3:17" x14ac:dyDescent="0.25">
      <c r="C1559" s="191"/>
      <c r="K1559" s="283" t="s">
        <v>1272</v>
      </c>
      <c r="L1559" s="283" t="s">
        <v>671</v>
      </c>
      <c r="M1559" s="283" t="s">
        <v>250</v>
      </c>
      <c r="N1559" s="283" t="s">
        <v>251</v>
      </c>
      <c r="O1559" s="283">
        <v>22</v>
      </c>
      <c r="P1559" s="283">
        <v>15944</v>
      </c>
      <c r="Q1559" s="235">
        <f>(O1559+IF('Scenario Analysis'!$N$23=1,0,0.5))*P1559</f>
        <v>358740</v>
      </c>
    </row>
    <row r="1560" spans="3:17" x14ac:dyDescent="0.25">
      <c r="C1560" s="191"/>
      <c r="K1560" s="283" t="s">
        <v>1272</v>
      </c>
      <c r="L1560" s="283" t="s">
        <v>671</v>
      </c>
      <c r="M1560" s="283" t="s">
        <v>250</v>
      </c>
      <c r="N1560" s="283" t="s">
        <v>251</v>
      </c>
      <c r="O1560" s="283">
        <v>24</v>
      </c>
      <c r="P1560" s="283">
        <v>34246</v>
      </c>
      <c r="Q1560" s="235">
        <f>(O1560+IF('Scenario Analysis'!$N$23=1,0,0.5))*P1560</f>
        <v>839027</v>
      </c>
    </row>
    <row r="1561" spans="3:17" x14ac:dyDescent="0.25">
      <c r="C1561" s="191"/>
      <c r="K1561" s="283" t="s">
        <v>1272</v>
      </c>
      <c r="L1561" s="283" t="s">
        <v>671</v>
      </c>
      <c r="M1561" s="283" t="s">
        <v>250</v>
      </c>
      <c r="N1561" s="283" t="s">
        <v>251</v>
      </c>
      <c r="O1561" s="283">
        <v>25</v>
      </c>
      <c r="P1561" s="283">
        <v>985</v>
      </c>
      <c r="Q1561" s="235">
        <f>(O1561+IF('Scenario Analysis'!$N$23=1,0,0.5))*P1561</f>
        <v>25117.5</v>
      </c>
    </row>
    <row r="1562" spans="3:17" x14ac:dyDescent="0.25">
      <c r="C1562" s="191"/>
      <c r="K1562" s="283" t="s">
        <v>1272</v>
      </c>
      <c r="L1562" s="283" t="s">
        <v>671</v>
      </c>
      <c r="M1562" s="283" t="s">
        <v>250</v>
      </c>
      <c r="N1562" s="283" t="s">
        <v>251</v>
      </c>
      <c r="O1562" s="283">
        <v>26</v>
      </c>
      <c r="P1562" s="283">
        <v>24230</v>
      </c>
      <c r="Q1562" s="235">
        <f>(O1562+IF('Scenario Analysis'!$N$23=1,0,0.5))*P1562</f>
        <v>642095</v>
      </c>
    </row>
    <row r="1563" spans="3:17" x14ac:dyDescent="0.25">
      <c r="C1563" s="191"/>
      <c r="K1563" s="283" t="s">
        <v>1272</v>
      </c>
      <c r="L1563" s="283" t="s">
        <v>671</v>
      </c>
      <c r="M1563" s="283" t="s">
        <v>250</v>
      </c>
      <c r="N1563" s="283" t="s">
        <v>251</v>
      </c>
      <c r="O1563" s="283">
        <v>27</v>
      </c>
      <c r="P1563" s="283">
        <v>1636</v>
      </c>
      <c r="Q1563" s="235">
        <f>(O1563+IF('Scenario Analysis'!$N$23=1,0,0.5))*P1563</f>
        <v>44990</v>
      </c>
    </row>
    <row r="1564" spans="3:17" x14ac:dyDescent="0.25">
      <c r="C1564" s="191"/>
      <c r="K1564" s="283" t="s">
        <v>1272</v>
      </c>
      <c r="L1564" s="283" t="s">
        <v>671</v>
      </c>
      <c r="M1564" s="283" t="s">
        <v>250</v>
      </c>
      <c r="N1564" s="283" t="s">
        <v>251</v>
      </c>
      <c r="O1564" s="283">
        <v>28</v>
      </c>
      <c r="P1564" s="283">
        <v>17911</v>
      </c>
      <c r="Q1564" s="235">
        <f>(O1564+IF('Scenario Analysis'!$N$23=1,0,0.5))*P1564</f>
        <v>510463.5</v>
      </c>
    </row>
    <row r="1565" spans="3:17" x14ac:dyDescent="0.25">
      <c r="C1565" s="191"/>
      <c r="K1565" s="283" t="s">
        <v>1272</v>
      </c>
      <c r="L1565" s="283" t="s">
        <v>671</v>
      </c>
      <c r="M1565" s="283" t="s">
        <v>250</v>
      </c>
      <c r="N1565" s="283" t="s">
        <v>251</v>
      </c>
      <c r="O1565" s="283">
        <v>30</v>
      </c>
      <c r="P1565" s="283">
        <v>34108</v>
      </c>
      <c r="Q1565" s="235">
        <f>(O1565+IF('Scenario Analysis'!$N$23=1,0,0.5))*P1565</f>
        <v>1040294</v>
      </c>
    </row>
    <row r="1566" spans="3:17" x14ac:dyDescent="0.25">
      <c r="C1566" s="191"/>
      <c r="K1566" s="283" t="s">
        <v>1272</v>
      </c>
      <c r="L1566" s="283" t="s">
        <v>671</v>
      </c>
      <c r="M1566" s="283" t="s">
        <v>250</v>
      </c>
      <c r="N1566" s="283" t="s">
        <v>251</v>
      </c>
      <c r="O1566" s="283">
        <v>33</v>
      </c>
      <c r="P1566" s="283">
        <v>19985</v>
      </c>
      <c r="Q1566" s="235">
        <f>(O1566+IF('Scenario Analysis'!$N$23=1,0,0.5))*P1566</f>
        <v>669497.5</v>
      </c>
    </row>
    <row r="1567" spans="3:17" x14ac:dyDescent="0.25">
      <c r="C1567" s="191"/>
      <c r="K1567" s="283" t="s">
        <v>1272</v>
      </c>
      <c r="L1567" s="283" t="s">
        <v>671</v>
      </c>
      <c r="M1567" s="283" t="s">
        <v>250</v>
      </c>
      <c r="N1567" s="283" t="s">
        <v>251</v>
      </c>
      <c r="O1567" s="283">
        <v>35</v>
      </c>
      <c r="P1567" s="283">
        <v>39571</v>
      </c>
      <c r="Q1567" s="235">
        <f>(O1567+IF('Scenario Analysis'!$N$23=1,0,0.5))*P1567</f>
        <v>1404770.5</v>
      </c>
    </row>
    <row r="1568" spans="3:17" x14ac:dyDescent="0.25">
      <c r="C1568" s="191"/>
      <c r="K1568" s="283" t="s">
        <v>1272</v>
      </c>
      <c r="L1568" s="283" t="s">
        <v>672</v>
      </c>
      <c r="M1568" s="283" t="s">
        <v>250</v>
      </c>
      <c r="N1568" s="283" t="s">
        <v>252</v>
      </c>
      <c r="O1568" s="283">
        <v>0</v>
      </c>
      <c r="P1568" s="283">
        <v>13</v>
      </c>
      <c r="Q1568" s="235">
        <f>(O1568+IF('Scenario Analysis'!$N$23=1,0,0.5))*P1568</f>
        <v>6.5</v>
      </c>
    </row>
    <row r="1569" spans="3:17" x14ac:dyDescent="0.25">
      <c r="C1569" s="191"/>
      <c r="K1569" s="283" t="s">
        <v>1272</v>
      </c>
      <c r="L1569" s="283" t="s">
        <v>672</v>
      </c>
      <c r="M1569" s="283" t="s">
        <v>250</v>
      </c>
      <c r="N1569" s="283" t="s">
        <v>252</v>
      </c>
      <c r="O1569" s="283">
        <v>1</v>
      </c>
      <c r="P1569" s="283">
        <v>9684</v>
      </c>
      <c r="Q1569" s="235">
        <f>(O1569+IF('Scenario Analysis'!$N$23=1,0,0.5))*P1569</f>
        <v>14526</v>
      </c>
    </row>
    <row r="1570" spans="3:17" x14ac:dyDescent="0.25">
      <c r="C1570" s="191"/>
      <c r="K1570" s="283" t="s">
        <v>1272</v>
      </c>
      <c r="L1570" s="283" t="s">
        <v>672</v>
      </c>
      <c r="M1570" s="283" t="s">
        <v>250</v>
      </c>
      <c r="N1570" s="283" t="s">
        <v>252</v>
      </c>
      <c r="O1570" s="283">
        <v>2</v>
      </c>
      <c r="P1570" s="283">
        <v>6225</v>
      </c>
      <c r="Q1570" s="235">
        <f>(O1570+IF('Scenario Analysis'!$N$23=1,0,0.5))*P1570</f>
        <v>15562.5</v>
      </c>
    </row>
    <row r="1571" spans="3:17" x14ac:dyDescent="0.25">
      <c r="C1571" s="191"/>
      <c r="K1571" s="283" t="s">
        <v>1272</v>
      </c>
      <c r="L1571" s="283" t="s">
        <v>672</v>
      </c>
      <c r="M1571" s="283" t="s">
        <v>250</v>
      </c>
      <c r="N1571" s="283" t="s">
        <v>252</v>
      </c>
      <c r="O1571" s="283">
        <v>3</v>
      </c>
      <c r="P1571" s="283">
        <v>37748</v>
      </c>
      <c r="Q1571" s="235">
        <f>(O1571+IF('Scenario Analysis'!$N$23=1,0,0.5))*P1571</f>
        <v>132118</v>
      </c>
    </row>
    <row r="1572" spans="3:17" x14ac:dyDescent="0.25">
      <c r="C1572" s="191"/>
      <c r="K1572" s="283" t="s">
        <v>1272</v>
      </c>
      <c r="L1572" s="283" t="s">
        <v>672</v>
      </c>
      <c r="M1572" s="283" t="s">
        <v>250</v>
      </c>
      <c r="N1572" s="283" t="s">
        <v>252</v>
      </c>
      <c r="O1572" s="283">
        <v>4</v>
      </c>
      <c r="P1572" s="283">
        <v>21813</v>
      </c>
      <c r="Q1572" s="235">
        <f>(O1572+IF('Scenario Analysis'!$N$23=1,0,0.5))*P1572</f>
        <v>98158.5</v>
      </c>
    </row>
    <row r="1573" spans="3:17" x14ac:dyDescent="0.25">
      <c r="C1573" s="191"/>
      <c r="K1573" s="283" t="s">
        <v>1272</v>
      </c>
      <c r="L1573" s="283" t="s">
        <v>672</v>
      </c>
      <c r="M1573" s="283" t="s">
        <v>250</v>
      </c>
      <c r="N1573" s="283" t="s">
        <v>252</v>
      </c>
      <c r="O1573" s="283">
        <v>5</v>
      </c>
      <c r="P1573" s="283">
        <v>5654</v>
      </c>
      <c r="Q1573" s="235">
        <f>(O1573+IF('Scenario Analysis'!$N$23=1,0,0.5))*P1573</f>
        <v>31097</v>
      </c>
    </row>
    <row r="1574" spans="3:17" x14ac:dyDescent="0.25">
      <c r="C1574" s="191"/>
      <c r="K1574" s="283" t="s">
        <v>1272</v>
      </c>
      <c r="L1574" s="283" t="s">
        <v>672</v>
      </c>
      <c r="M1574" s="283" t="s">
        <v>250</v>
      </c>
      <c r="N1574" s="283" t="s">
        <v>252</v>
      </c>
      <c r="O1574" s="283">
        <v>6</v>
      </c>
      <c r="P1574" s="283">
        <v>37389</v>
      </c>
      <c r="Q1574" s="235">
        <f>(O1574+IF('Scenario Analysis'!$N$23=1,0,0.5))*P1574</f>
        <v>243028.5</v>
      </c>
    </row>
    <row r="1575" spans="3:17" x14ac:dyDescent="0.25">
      <c r="C1575" s="191"/>
      <c r="K1575" s="283" t="s">
        <v>1272</v>
      </c>
      <c r="L1575" s="283" t="s">
        <v>672</v>
      </c>
      <c r="M1575" s="283" t="s">
        <v>250</v>
      </c>
      <c r="N1575" s="283" t="s">
        <v>252</v>
      </c>
      <c r="O1575" s="283">
        <v>7</v>
      </c>
      <c r="P1575" s="283">
        <v>17444</v>
      </c>
      <c r="Q1575" s="235">
        <f>(O1575+IF('Scenario Analysis'!$N$23=1,0,0.5))*P1575</f>
        <v>130830</v>
      </c>
    </row>
    <row r="1576" spans="3:17" x14ac:dyDescent="0.25">
      <c r="C1576" s="191"/>
      <c r="K1576" s="283" t="s">
        <v>1272</v>
      </c>
      <c r="L1576" s="283" t="s">
        <v>672</v>
      </c>
      <c r="M1576" s="283" t="s">
        <v>250</v>
      </c>
      <c r="N1576" s="283" t="s">
        <v>252</v>
      </c>
      <c r="O1576" s="283">
        <v>8</v>
      </c>
      <c r="P1576" s="283">
        <v>12967</v>
      </c>
      <c r="Q1576" s="235">
        <f>(O1576+IF('Scenario Analysis'!$N$23=1,0,0.5))*P1576</f>
        <v>110219.5</v>
      </c>
    </row>
    <row r="1577" spans="3:17" x14ac:dyDescent="0.25">
      <c r="C1577" s="191"/>
      <c r="K1577" s="283" t="s">
        <v>1272</v>
      </c>
      <c r="L1577" s="283" t="s">
        <v>672</v>
      </c>
      <c r="M1577" s="283" t="s">
        <v>250</v>
      </c>
      <c r="N1577" s="283" t="s">
        <v>252</v>
      </c>
      <c r="O1577" s="283">
        <v>9</v>
      </c>
      <c r="P1577" s="283">
        <v>3956</v>
      </c>
      <c r="Q1577" s="235">
        <f>(O1577+IF('Scenario Analysis'!$N$23=1,0,0.5))*P1577</f>
        <v>37582</v>
      </c>
    </row>
    <row r="1578" spans="3:17" x14ac:dyDescent="0.25">
      <c r="C1578" s="191"/>
      <c r="K1578" s="283" t="s">
        <v>1272</v>
      </c>
      <c r="L1578" s="283" t="s">
        <v>672</v>
      </c>
      <c r="M1578" s="283" t="s">
        <v>250</v>
      </c>
      <c r="N1578" s="283" t="s">
        <v>252</v>
      </c>
      <c r="O1578" s="283">
        <v>10</v>
      </c>
      <c r="P1578" s="283">
        <v>22042</v>
      </c>
      <c r="Q1578" s="235">
        <f>(O1578+IF('Scenario Analysis'!$N$23=1,0,0.5))*P1578</f>
        <v>231441</v>
      </c>
    </row>
    <row r="1579" spans="3:17" x14ac:dyDescent="0.25">
      <c r="C1579" s="191"/>
      <c r="K1579" s="283" t="s">
        <v>1272</v>
      </c>
      <c r="L1579" s="283" t="s">
        <v>672</v>
      </c>
      <c r="M1579" s="283" t="s">
        <v>250</v>
      </c>
      <c r="N1579" s="283" t="s">
        <v>252</v>
      </c>
      <c r="O1579" s="283">
        <v>11</v>
      </c>
      <c r="P1579" s="283">
        <v>90808</v>
      </c>
      <c r="Q1579" s="235">
        <f>(O1579+IF('Scenario Analysis'!$N$23=1,0,0.5))*P1579</f>
        <v>1044292</v>
      </c>
    </row>
    <row r="1580" spans="3:17" x14ac:dyDescent="0.25">
      <c r="C1580" s="191"/>
      <c r="K1580" s="283" t="s">
        <v>1272</v>
      </c>
      <c r="L1580" s="283" t="s">
        <v>672</v>
      </c>
      <c r="M1580" s="283" t="s">
        <v>250</v>
      </c>
      <c r="N1580" s="283" t="s">
        <v>252</v>
      </c>
      <c r="O1580" s="283">
        <v>12</v>
      </c>
      <c r="P1580" s="283">
        <v>7463</v>
      </c>
      <c r="Q1580" s="235">
        <f>(O1580+IF('Scenario Analysis'!$N$23=1,0,0.5))*P1580</f>
        <v>93287.5</v>
      </c>
    </row>
    <row r="1581" spans="3:17" x14ac:dyDescent="0.25">
      <c r="C1581" s="191"/>
      <c r="K1581" s="283" t="s">
        <v>1272</v>
      </c>
      <c r="L1581" s="283" t="s">
        <v>672</v>
      </c>
      <c r="M1581" s="283" t="s">
        <v>250</v>
      </c>
      <c r="N1581" s="283" t="s">
        <v>252</v>
      </c>
      <c r="O1581" s="283">
        <v>13</v>
      </c>
      <c r="P1581" s="283">
        <v>10483</v>
      </c>
      <c r="Q1581" s="235">
        <f>(O1581+IF('Scenario Analysis'!$N$23=1,0,0.5))*P1581</f>
        <v>141520.5</v>
      </c>
    </row>
    <row r="1582" spans="3:17" x14ac:dyDescent="0.25">
      <c r="C1582" s="191"/>
      <c r="K1582" s="283" t="s">
        <v>1272</v>
      </c>
      <c r="L1582" s="283" t="s">
        <v>672</v>
      </c>
      <c r="M1582" s="283" t="s">
        <v>250</v>
      </c>
      <c r="N1582" s="283" t="s">
        <v>252</v>
      </c>
      <c r="O1582" s="283">
        <v>14</v>
      </c>
      <c r="P1582" s="283">
        <v>12652</v>
      </c>
      <c r="Q1582" s="235">
        <f>(O1582+IF('Scenario Analysis'!$N$23=1,0,0.5))*P1582</f>
        <v>183454</v>
      </c>
    </row>
    <row r="1583" spans="3:17" x14ac:dyDescent="0.25">
      <c r="C1583" s="191"/>
      <c r="K1583" s="283" t="s">
        <v>1272</v>
      </c>
      <c r="L1583" s="283" t="s">
        <v>672</v>
      </c>
      <c r="M1583" s="283" t="s">
        <v>250</v>
      </c>
      <c r="N1583" s="283" t="s">
        <v>252</v>
      </c>
      <c r="O1583" s="283">
        <v>15</v>
      </c>
      <c r="P1583" s="283">
        <v>2319</v>
      </c>
      <c r="Q1583" s="235">
        <f>(O1583+IF('Scenario Analysis'!$N$23=1,0,0.5))*P1583</f>
        <v>35944.5</v>
      </c>
    </row>
    <row r="1584" spans="3:17" x14ac:dyDescent="0.25">
      <c r="C1584" s="191"/>
      <c r="K1584" s="283" t="s">
        <v>1272</v>
      </c>
      <c r="L1584" s="283" t="s">
        <v>672</v>
      </c>
      <c r="M1584" s="283" t="s">
        <v>250</v>
      </c>
      <c r="N1584" s="283" t="s">
        <v>252</v>
      </c>
      <c r="O1584" s="283">
        <v>16</v>
      </c>
      <c r="P1584" s="283">
        <v>5071</v>
      </c>
      <c r="Q1584" s="235">
        <f>(O1584+IF('Scenario Analysis'!$N$23=1,0,0.5))*P1584</f>
        <v>83671.5</v>
      </c>
    </row>
    <row r="1585" spans="3:17" x14ac:dyDescent="0.25">
      <c r="C1585" s="191"/>
      <c r="K1585" s="283" t="s">
        <v>1272</v>
      </c>
      <c r="L1585" s="283" t="s">
        <v>672</v>
      </c>
      <c r="M1585" s="283" t="s">
        <v>250</v>
      </c>
      <c r="N1585" s="283" t="s">
        <v>252</v>
      </c>
      <c r="O1585" s="283">
        <v>17</v>
      </c>
      <c r="P1585" s="283">
        <v>4540</v>
      </c>
      <c r="Q1585" s="235">
        <f>(O1585+IF('Scenario Analysis'!$N$23=1,0,0.5))*P1585</f>
        <v>79450</v>
      </c>
    </row>
    <row r="1586" spans="3:17" x14ac:dyDescent="0.25">
      <c r="C1586" s="191"/>
      <c r="K1586" s="283" t="s">
        <v>1272</v>
      </c>
      <c r="L1586" s="283" t="s">
        <v>672</v>
      </c>
      <c r="M1586" s="283" t="s">
        <v>250</v>
      </c>
      <c r="N1586" s="283" t="s">
        <v>252</v>
      </c>
      <c r="O1586" s="283">
        <v>18</v>
      </c>
      <c r="P1586" s="283">
        <v>13691</v>
      </c>
      <c r="Q1586" s="235">
        <f>(O1586+IF('Scenario Analysis'!$N$23=1,0,0.5))*P1586</f>
        <v>253283.5</v>
      </c>
    </row>
    <row r="1587" spans="3:17" x14ac:dyDescent="0.25">
      <c r="C1587" s="191"/>
      <c r="K1587" s="283" t="s">
        <v>1272</v>
      </c>
      <c r="L1587" s="283" t="s">
        <v>672</v>
      </c>
      <c r="M1587" s="283" t="s">
        <v>250</v>
      </c>
      <c r="N1587" s="283" t="s">
        <v>252</v>
      </c>
      <c r="O1587" s="283">
        <v>19</v>
      </c>
      <c r="P1587" s="283">
        <v>2797</v>
      </c>
      <c r="Q1587" s="235">
        <f>(O1587+IF('Scenario Analysis'!$N$23=1,0,0.5))*P1587</f>
        <v>54541.5</v>
      </c>
    </row>
    <row r="1588" spans="3:17" x14ac:dyDescent="0.25">
      <c r="C1588" s="191"/>
      <c r="K1588" s="283" t="s">
        <v>1272</v>
      </c>
      <c r="L1588" s="283" t="s">
        <v>672</v>
      </c>
      <c r="M1588" s="283" t="s">
        <v>250</v>
      </c>
      <c r="N1588" s="283" t="s">
        <v>252</v>
      </c>
      <c r="O1588" s="283">
        <v>20</v>
      </c>
      <c r="P1588" s="283">
        <v>13945</v>
      </c>
      <c r="Q1588" s="235">
        <f>(O1588+IF('Scenario Analysis'!$N$23=1,0,0.5))*P1588</f>
        <v>285872.5</v>
      </c>
    </row>
    <row r="1589" spans="3:17" x14ac:dyDescent="0.25">
      <c r="C1589" s="191"/>
      <c r="K1589" s="283" t="s">
        <v>1272</v>
      </c>
      <c r="L1589" s="283" t="s">
        <v>672</v>
      </c>
      <c r="M1589" s="283" t="s">
        <v>250</v>
      </c>
      <c r="N1589" s="283" t="s">
        <v>252</v>
      </c>
      <c r="O1589" s="283">
        <v>21</v>
      </c>
      <c r="P1589" s="283">
        <v>4353</v>
      </c>
      <c r="Q1589" s="235">
        <f>(O1589+IF('Scenario Analysis'!$N$23=1,0,0.5))*P1589</f>
        <v>93589.5</v>
      </c>
    </row>
    <row r="1590" spans="3:17" x14ac:dyDescent="0.25">
      <c r="C1590" s="191"/>
      <c r="K1590" s="283" t="s">
        <v>1272</v>
      </c>
      <c r="L1590" s="283" t="s">
        <v>672</v>
      </c>
      <c r="M1590" s="283" t="s">
        <v>250</v>
      </c>
      <c r="N1590" s="283" t="s">
        <v>252</v>
      </c>
      <c r="O1590" s="283">
        <v>22</v>
      </c>
      <c r="P1590" s="283">
        <v>21670</v>
      </c>
      <c r="Q1590" s="235">
        <f>(O1590+IF('Scenario Analysis'!$N$23=1,0,0.5))*P1590</f>
        <v>487575</v>
      </c>
    </row>
    <row r="1591" spans="3:17" x14ac:dyDescent="0.25">
      <c r="C1591" s="191"/>
      <c r="K1591" s="283" t="s">
        <v>1272</v>
      </c>
      <c r="L1591" s="283" t="s">
        <v>672</v>
      </c>
      <c r="M1591" s="283" t="s">
        <v>250</v>
      </c>
      <c r="N1591" s="283" t="s">
        <v>252</v>
      </c>
      <c r="O1591" s="283">
        <v>23</v>
      </c>
      <c r="P1591" s="283">
        <v>94382</v>
      </c>
      <c r="Q1591" s="235">
        <f>(O1591+IF('Scenario Analysis'!$N$23=1,0,0.5))*P1591</f>
        <v>2217977</v>
      </c>
    </row>
    <row r="1592" spans="3:17" x14ac:dyDescent="0.25">
      <c r="C1592" s="191"/>
      <c r="K1592" s="283" t="s">
        <v>1272</v>
      </c>
      <c r="L1592" s="283" t="s">
        <v>672</v>
      </c>
      <c r="M1592" s="283" t="s">
        <v>250</v>
      </c>
      <c r="N1592" s="283" t="s">
        <v>252</v>
      </c>
      <c r="O1592" s="283">
        <v>24</v>
      </c>
      <c r="P1592" s="283">
        <v>10591</v>
      </c>
      <c r="Q1592" s="235">
        <f>(O1592+IF('Scenario Analysis'!$N$23=1,0,0.5))*P1592</f>
        <v>259479.5</v>
      </c>
    </row>
    <row r="1593" spans="3:17" x14ac:dyDescent="0.25">
      <c r="C1593" s="191"/>
      <c r="K1593" s="283" t="s">
        <v>1272</v>
      </c>
      <c r="L1593" s="283" t="s">
        <v>672</v>
      </c>
      <c r="M1593" s="283" t="s">
        <v>250</v>
      </c>
      <c r="N1593" s="283" t="s">
        <v>252</v>
      </c>
      <c r="O1593" s="283">
        <v>25</v>
      </c>
      <c r="P1593" s="283">
        <v>3486</v>
      </c>
      <c r="Q1593" s="235">
        <f>(O1593+IF('Scenario Analysis'!$N$23=1,0,0.5))*P1593</f>
        <v>88893</v>
      </c>
    </row>
    <row r="1594" spans="3:17" x14ac:dyDescent="0.25">
      <c r="C1594" s="191"/>
      <c r="K1594" s="283" t="s">
        <v>1272</v>
      </c>
      <c r="L1594" s="283" t="s">
        <v>672</v>
      </c>
      <c r="M1594" s="283" t="s">
        <v>250</v>
      </c>
      <c r="N1594" s="283" t="s">
        <v>252</v>
      </c>
      <c r="O1594" s="283">
        <v>26</v>
      </c>
      <c r="P1594" s="283">
        <v>21865</v>
      </c>
      <c r="Q1594" s="235">
        <f>(O1594+IF('Scenario Analysis'!$N$23=1,0,0.5))*P1594</f>
        <v>579422.5</v>
      </c>
    </row>
    <row r="1595" spans="3:17" x14ac:dyDescent="0.25">
      <c r="C1595" s="191"/>
      <c r="K1595" s="283" t="s">
        <v>1272</v>
      </c>
      <c r="L1595" s="283" t="s">
        <v>672</v>
      </c>
      <c r="M1595" s="283" t="s">
        <v>250</v>
      </c>
      <c r="N1595" s="283" t="s">
        <v>252</v>
      </c>
      <c r="O1595" s="283">
        <v>27</v>
      </c>
      <c r="P1595" s="283">
        <v>7272</v>
      </c>
      <c r="Q1595" s="235">
        <f>(O1595+IF('Scenario Analysis'!$N$23=1,0,0.5))*P1595</f>
        <v>199980</v>
      </c>
    </row>
    <row r="1596" spans="3:17" x14ac:dyDescent="0.25">
      <c r="C1596" s="191"/>
      <c r="K1596" s="283" t="s">
        <v>1272</v>
      </c>
      <c r="L1596" s="283" t="s">
        <v>672</v>
      </c>
      <c r="M1596" s="283" t="s">
        <v>250</v>
      </c>
      <c r="N1596" s="283" t="s">
        <v>252</v>
      </c>
      <c r="O1596" s="283">
        <v>28</v>
      </c>
      <c r="P1596" s="283">
        <v>1845</v>
      </c>
      <c r="Q1596" s="235">
        <f>(O1596+IF('Scenario Analysis'!$N$23=1,0,0.5))*P1596</f>
        <v>52582.5</v>
      </c>
    </row>
    <row r="1597" spans="3:17" x14ac:dyDescent="0.25">
      <c r="C1597" s="191"/>
      <c r="K1597" s="283" t="s">
        <v>1272</v>
      </c>
      <c r="L1597" s="283" t="s">
        <v>672</v>
      </c>
      <c r="M1597" s="283" t="s">
        <v>250</v>
      </c>
      <c r="N1597" s="283" t="s">
        <v>252</v>
      </c>
      <c r="O1597" s="283">
        <v>29</v>
      </c>
      <c r="P1597" s="283">
        <v>867</v>
      </c>
      <c r="Q1597" s="235">
        <f>(O1597+IF('Scenario Analysis'!$N$23=1,0,0.5))*P1597</f>
        <v>25576.5</v>
      </c>
    </row>
    <row r="1598" spans="3:17" x14ac:dyDescent="0.25">
      <c r="C1598" s="191"/>
      <c r="K1598" s="283" t="s">
        <v>1272</v>
      </c>
      <c r="L1598" s="283" t="s">
        <v>672</v>
      </c>
      <c r="M1598" s="283" t="s">
        <v>250</v>
      </c>
      <c r="N1598" s="283" t="s">
        <v>252</v>
      </c>
      <c r="O1598" s="283">
        <v>30</v>
      </c>
      <c r="P1598" s="283">
        <v>4797</v>
      </c>
      <c r="Q1598" s="235">
        <f>(O1598+IF('Scenario Analysis'!$N$23=1,0,0.5))*P1598</f>
        <v>146308.5</v>
      </c>
    </row>
    <row r="1599" spans="3:17" x14ac:dyDescent="0.25">
      <c r="C1599" s="191"/>
      <c r="K1599" s="283" t="s">
        <v>1272</v>
      </c>
      <c r="L1599" s="283" t="s">
        <v>672</v>
      </c>
      <c r="M1599" s="283" t="s">
        <v>250</v>
      </c>
      <c r="N1599" s="283" t="s">
        <v>252</v>
      </c>
      <c r="O1599" s="283">
        <v>31</v>
      </c>
      <c r="P1599" s="283">
        <v>8600</v>
      </c>
      <c r="Q1599" s="235">
        <f>(O1599+IF('Scenario Analysis'!$N$23=1,0,0.5))*P1599</f>
        <v>270900</v>
      </c>
    </row>
    <row r="1600" spans="3:17" x14ac:dyDescent="0.25">
      <c r="C1600" s="191"/>
      <c r="K1600" s="283" t="s">
        <v>1272</v>
      </c>
      <c r="L1600" s="283" t="s">
        <v>672</v>
      </c>
      <c r="M1600" s="283" t="s">
        <v>250</v>
      </c>
      <c r="N1600" s="283" t="s">
        <v>252</v>
      </c>
      <c r="O1600" s="283">
        <v>32</v>
      </c>
      <c r="P1600" s="283">
        <v>2499</v>
      </c>
      <c r="Q1600" s="235">
        <f>(O1600+IF('Scenario Analysis'!$N$23=1,0,0.5))*P1600</f>
        <v>81217.5</v>
      </c>
    </row>
    <row r="1601" spans="3:17" x14ac:dyDescent="0.25">
      <c r="C1601" s="191"/>
      <c r="K1601" s="283" t="s">
        <v>1272</v>
      </c>
      <c r="L1601" s="283" t="s">
        <v>672</v>
      </c>
      <c r="M1601" s="283" t="s">
        <v>250</v>
      </c>
      <c r="N1601" s="283" t="s">
        <v>252</v>
      </c>
      <c r="O1601" s="283">
        <v>33</v>
      </c>
      <c r="P1601" s="283">
        <v>3909</v>
      </c>
      <c r="Q1601" s="235">
        <f>(O1601+IF('Scenario Analysis'!$N$23=1,0,0.5))*P1601</f>
        <v>130951.5</v>
      </c>
    </row>
    <row r="1602" spans="3:17" x14ac:dyDescent="0.25">
      <c r="C1602" s="191"/>
      <c r="K1602" s="283" t="s">
        <v>1272</v>
      </c>
      <c r="L1602" s="283" t="s">
        <v>672</v>
      </c>
      <c r="M1602" s="283" t="s">
        <v>250</v>
      </c>
      <c r="N1602" s="283" t="s">
        <v>252</v>
      </c>
      <c r="O1602" s="283">
        <v>34</v>
      </c>
      <c r="P1602" s="283">
        <v>19774</v>
      </c>
      <c r="Q1602" s="235">
        <f>(O1602+IF('Scenario Analysis'!$N$23=1,0,0.5))*P1602</f>
        <v>682203</v>
      </c>
    </row>
    <row r="1603" spans="3:17" x14ac:dyDescent="0.25">
      <c r="C1603" s="191"/>
      <c r="K1603" s="283" t="s">
        <v>1272</v>
      </c>
      <c r="L1603" s="283" t="s">
        <v>672</v>
      </c>
      <c r="M1603" s="283" t="s">
        <v>250</v>
      </c>
      <c r="N1603" s="283" t="s">
        <v>252</v>
      </c>
      <c r="O1603" s="283">
        <v>35</v>
      </c>
      <c r="P1603" s="283">
        <v>1059</v>
      </c>
      <c r="Q1603" s="235">
        <f>(O1603+IF('Scenario Analysis'!$N$23=1,0,0.5))*P1603</f>
        <v>37594.5</v>
      </c>
    </row>
    <row r="1604" spans="3:17" x14ac:dyDescent="0.25">
      <c r="C1604" s="191"/>
      <c r="K1604" s="283" t="s">
        <v>1272</v>
      </c>
      <c r="L1604" s="283" t="s">
        <v>672</v>
      </c>
      <c r="M1604" s="283" t="s">
        <v>250</v>
      </c>
      <c r="N1604" s="283" t="s">
        <v>252</v>
      </c>
      <c r="O1604" s="283">
        <v>36</v>
      </c>
      <c r="P1604" s="283">
        <v>5093</v>
      </c>
      <c r="Q1604" s="235">
        <f>(O1604+IF('Scenario Analysis'!$N$23=1,0,0.5))*P1604</f>
        <v>185894.5</v>
      </c>
    </row>
    <row r="1605" spans="3:17" x14ac:dyDescent="0.25">
      <c r="C1605" s="191"/>
      <c r="K1605" s="283" t="s">
        <v>1272</v>
      </c>
      <c r="L1605" s="283" t="s">
        <v>672</v>
      </c>
      <c r="M1605" s="283" t="s">
        <v>250</v>
      </c>
      <c r="N1605" s="283" t="s">
        <v>252</v>
      </c>
      <c r="O1605" s="283">
        <v>37</v>
      </c>
      <c r="P1605" s="283">
        <v>3437</v>
      </c>
      <c r="Q1605" s="235">
        <f>(O1605+IF('Scenario Analysis'!$N$23=1,0,0.5))*P1605</f>
        <v>128887.5</v>
      </c>
    </row>
    <row r="1606" spans="3:17" x14ac:dyDescent="0.25">
      <c r="C1606" s="191"/>
      <c r="K1606" s="283" t="s">
        <v>1272</v>
      </c>
      <c r="L1606" s="283" t="s">
        <v>672</v>
      </c>
      <c r="M1606" s="283" t="s">
        <v>250</v>
      </c>
      <c r="N1606" s="283" t="s">
        <v>252</v>
      </c>
      <c r="O1606" s="283">
        <v>38</v>
      </c>
      <c r="P1606" s="283">
        <v>15364</v>
      </c>
      <c r="Q1606" s="235">
        <f>(O1606+IF('Scenario Analysis'!$N$23=1,0,0.5))*P1606</f>
        <v>591514</v>
      </c>
    </row>
    <row r="1607" spans="3:17" x14ac:dyDescent="0.25">
      <c r="C1607" s="191"/>
      <c r="K1607" s="283" t="s">
        <v>1272</v>
      </c>
      <c r="L1607" s="283" t="s">
        <v>672</v>
      </c>
      <c r="M1607" s="283" t="s">
        <v>250</v>
      </c>
      <c r="N1607" s="283" t="s">
        <v>252</v>
      </c>
      <c r="O1607" s="283">
        <v>39</v>
      </c>
      <c r="P1607" s="283">
        <v>2757</v>
      </c>
      <c r="Q1607" s="235">
        <f>(O1607+IF('Scenario Analysis'!$N$23=1,0,0.5))*P1607</f>
        <v>108901.5</v>
      </c>
    </row>
    <row r="1608" spans="3:17" x14ac:dyDescent="0.25">
      <c r="C1608" s="191"/>
      <c r="K1608" s="283" t="s">
        <v>1272</v>
      </c>
      <c r="L1608" s="283" t="s">
        <v>672</v>
      </c>
      <c r="M1608" s="283" t="s">
        <v>250</v>
      </c>
      <c r="N1608" s="283" t="s">
        <v>252</v>
      </c>
      <c r="O1608" s="283">
        <v>40</v>
      </c>
      <c r="P1608" s="283">
        <v>1378</v>
      </c>
      <c r="Q1608" s="235">
        <f>(O1608+IF('Scenario Analysis'!$N$23=1,0,0.5))*P1608</f>
        <v>55809</v>
      </c>
    </row>
    <row r="1609" spans="3:17" x14ac:dyDescent="0.25">
      <c r="C1609" s="191"/>
      <c r="K1609" s="283" t="s">
        <v>1272</v>
      </c>
      <c r="L1609" s="283" t="s">
        <v>672</v>
      </c>
      <c r="M1609" s="283" t="s">
        <v>250</v>
      </c>
      <c r="N1609" s="283" t="s">
        <v>252</v>
      </c>
      <c r="O1609" s="283">
        <v>41</v>
      </c>
      <c r="P1609" s="283">
        <v>1763</v>
      </c>
      <c r="Q1609" s="235">
        <f>(O1609+IF('Scenario Analysis'!$N$23=1,0,0.5))*P1609</f>
        <v>73164.5</v>
      </c>
    </row>
    <row r="1610" spans="3:17" x14ac:dyDescent="0.25">
      <c r="C1610" s="191"/>
      <c r="K1610" s="283" t="s">
        <v>1272</v>
      </c>
      <c r="L1610" s="283" t="s">
        <v>672</v>
      </c>
      <c r="M1610" s="283" t="s">
        <v>250</v>
      </c>
      <c r="N1610" s="283" t="s">
        <v>252</v>
      </c>
      <c r="O1610" s="283">
        <v>42</v>
      </c>
      <c r="P1610" s="283">
        <v>3959</v>
      </c>
      <c r="Q1610" s="235">
        <f>(O1610+IF('Scenario Analysis'!$N$23=1,0,0.5))*P1610</f>
        <v>168257.5</v>
      </c>
    </row>
    <row r="1611" spans="3:17" x14ac:dyDescent="0.25">
      <c r="C1611" s="191"/>
      <c r="K1611" s="283" t="s">
        <v>1272</v>
      </c>
      <c r="L1611" s="283" t="s">
        <v>672</v>
      </c>
      <c r="M1611" s="283" t="s">
        <v>250</v>
      </c>
      <c r="N1611" s="283" t="s">
        <v>252</v>
      </c>
      <c r="O1611" s="283">
        <v>43</v>
      </c>
      <c r="P1611" s="283">
        <v>7142</v>
      </c>
      <c r="Q1611" s="235">
        <f>(O1611+IF('Scenario Analysis'!$N$23=1,0,0.5))*P1611</f>
        <v>310677</v>
      </c>
    </row>
    <row r="1612" spans="3:17" x14ac:dyDescent="0.25">
      <c r="C1612" s="191"/>
      <c r="K1612" s="283" t="s">
        <v>1272</v>
      </c>
      <c r="L1612" s="283" t="s">
        <v>672</v>
      </c>
      <c r="M1612" s="283" t="s">
        <v>250</v>
      </c>
      <c r="N1612" s="283" t="s">
        <v>252</v>
      </c>
      <c r="O1612" s="283">
        <v>44</v>
      </c>
      <c r="P1612" s="283">
        <v>4903</v>
      </c>
      <c r="Q1612" s="235">
        <f>(O1612+IF('Scenario Analysis'!$N$23=1,0,0.5))*P1612</f>
        <v>218183.5</v>
      </c>
    </row>
    <row r="1613" spans="3:17" x14ac:dyDescent="0.25">
      <c r="C1613" s="191"/>
      <c r="K1613" s="283" t="s">
        <v>1272</v>
      </c>
      <c r="L1613" s="283" t="s">
        <v>672</v>
      </c>
      <c r="M1613" s="283" t="s">
        <v>250</v>
      </c>
      <c r="N1613" s="283" t="s">
        <v>252</v>
      </c>
      <c r="O1613" s="283">
        <v>45</v>
      </c>
      <c r="P1613" s="283">
        <v>8530</v>
      </c>
      <c r="Q1613" s="235">
        <f>(O1613+IF('Scenario Analysis'!$N$23=1,0,0.5))*P1613</f>
        <v>388115</v>
      </c>
    </row>
    <row r="1614" spans="3:17" x14ac:dyDescent="0.25">
      <c r="C1614" s="191"/>
      <c r="K1614" s="283" t="s">
        <v>1272</v>
      </c>
      <c r="L1614" s="283" t="s">
        <v>672</v>
      </c>
      <c r="M1614" s="283" t="s">
        <v>250</v>
      </c>
      <c r="N1614" s="283" t="s">
        <v>252</v>
      </c>
      <c r="O1614" s="283">
        <v>46</v>
      </c>
      <c r="P1614" s="283">
        <v>1840</v>
      </c>
      <c r="Q1614" s="235">
        <f>(O1614+IF('Scenario Analysis'!$N$23=1,0,0.5))*P1614</f>
        <v>85560</v>
      </c>
    </row>
    <row r="1615" spans="3:17" x14ac:dyDescent="0.25">
      <c r="C1615" s="191"/>
      <c r="K1615" s="283" t="s">
        <v>1272</v>
      </c>
      <c r="L1615" s="283" t="s">
        <v>672</v>
      </c>
      <c r="M1615" s="283" t="s">
        <v>250</v>
      </c>
      <c r="N1615" s="283" t="s">
        <v>252</v>
      </c>
      <c r="O1615" s="283">
        <v>47</v>
      </c>
      <c r="P1615" s="283">
        <v>14864</v>
      </c>
      <c r="Q1615" s="235">
        <f>(O1615+IF('Scenario Analysis'!$N$23=1,0,0.5))*P1615</f>
        <v>706040</v>
      </c>
    </row>
    <row r="1616" spans="3:17" x14ac:dyDescent="0.25">
      <c r="C1616" s="191"/>
      <c r="K1616" s="283" t="s">
        <v>1272</v>
      </c>
      <c r="L1616" s="283" t="s">
        <v>672</v>
      </c>
      <c r="M1616" s="283" t="s">
        <v>250</v>
      </c>
      <c r="N1616" s="283" t="s">
        <v>252</v>
      </c>
      <c r="O1616" s="283">
        <v>48</v>
      </c>
      <c r="P1616" s="283">
        <v>1894</v>
      </c>
      <c r="Q1616" s="235">
        <f>(O1616+IF('Scenario Analysis'!$N$23=1,0,0.5))*P1616</f>
        <v>91859</v>
      </c>
    </row>
    <row r="1617" spans="3:17" x14ac:dyDescent="0.25">
      <c r="C1617" s="191"/>
      <c r="K1617" s="283" t="s">
        <v>1272</v>
      </c>
      <c r="L1617" s="283" t="s">
        <v>672</v>
      </c>
      <c r="M1617" s="283" t="s">
        <v>250</v>
      </c>
      <c r="N1617" s="283" t="s">
        <v>252</v>
      </c>
      <c r="O1617" s="283">
        <v>49</v>
      </c>
      <c r="P1617" s="283">
        <v>9193</v>
      </c>
      <c r="Q1617" s="235">
        <f>(O1617+IF('Scenario Analysis'!$N$23=1,0,0.5))*P1617</f>
        <v>455053.5</v>
      </c>
    </row>
    <row r="1618" spans="3:17" x14ac:dyDescent="0.25">
      <c r="C1618" s="191"/>
      <c r="K1618" s="283" t="s">
        <v>1272</v>
      </c>
      <c r="L1618" s="283" t="s">
        <v>672</v>
      </c>
      <c r="M1618" s="283" t="s">
        <v>250</v>
      </c>
      <c r="N1618" s="283" t="s">
        <v>252</v>
      </c>
      <c r="O1618" s="283">
        <v>50</v>
      </c>
      <c r="P1618" s="283">
        <v>1672</v>
      </c>
      <c r="Q1618" s="235">
        <f>(O1618+IF('Scenario Analysis'!$N$23=1,0,0.5))*P1618</f>
        <v>84436</v>
      </c>
    </row>
    <row r="1619" spans="3:17" x14ac:dyDescent="0.25">
      <c r="C1619" s="191"/>
      <c r="K1619" s="283" t="s">
        <v>1272</v>
      </c>
      <c r="L1619" s="283" t="s">
        <v>672</v>
      </c>
      <c r="M1619" s="283" t="s">
        <v>250</v>
      </c>
      <c r="N1619" s="283" t="s">
        <v>252</v>
      </c>
      <c r="O1619" s="283">
        <v>51</v>
      </c>
      <c r="P1619" s="283">
        <v>628</v>
      </c>
      <c r="Q1619" s="235">
        <f>(O1619+IF('Scenario Analysis'!$N$23=1,0,0.5))*P1619</f>
        <v>32342</v>
      </c>
    </row>
    <row r="1620" spans="3:17" x14ac:dyDescent="0.25">
      <c r="C1620" s="191"/>
      <c r="K1620" s="283" t="s">
        <v>1272</v>
      </c>
      <c r="L1620" s="283" t="s">
        <v>672</v>
      </c>
      <c r="M1620" s="283" t="s">
        <v>250</v>
      </c>
      <c r="N1620" s="283" t="s">
        <v>252</v>
      </c>
      <c r="O1620" s="283">
        <v>52</v>
      </c>
      <c r="P1620" s="283">
        <v>2207</v>
      </c>
      <c r="Q1620" s="235">
        <f>(O1620+IF('Scenario Analysis'!$N$23=1,0,0.5))*P1620</f>
        <v>115867.5</v>
      </c>
    </row>
    <row r="1621" spans="3:17" x14ac:dyDescent="0.25">
      <c r="C1621" s="191"/>
      <c r="K1621" s="283" t="s">
        <v>1272</v>
      </c>
      <c r="L1621" s="283" t="s">
        <v>672</v>
      </c>
      <c r="M1621" s="283" t="s">
        <v>250</v>
      </c>
      <c r="N1621" s="283" t="s">
        <v>252</v>
      </c>
      <c r="O1621" s="283">
        <v>53</v>
      </c>
      <c r="P1621" s="283">
        <v>1028</v>
      </c>
      <c r="Q1621" s="235">
        <f>(O1621+IF('Scenario Analysis'!$N$23=1,0,0.5))*P1621</f>
        <v>54998</v>
      </c>
    </row>
    <row r="1622" spans="3:17" x14ac:dyDescent="0.25">
      <c r="C1622" s="191"/>
      <c r="K1622" s="283" t="s">
        <v>1272</v>
      </c>
      <c r="L1622" s="283" t="s">
        <v>672</v>
      </c>
      <c r="M1622" s="283" t="s">
        <v>250</v>
      </c>
      <c r="N1622" s="283" t="s">
        <v>252</v>
      </c>
      <c r="O1622" s="283">
        <v>54</v>
      </c>
      <c r="P1622" s="283">
        <v>5378</v>
      </c>
      <c r="Q1622" s="235">
        <f>(O1622+IF('Scenario Analysis'!$N$23=1,0,0.5))*P1622</f>
        <v>293101</v>
      </c>
    </row>
    <row r="1623" spans="3:17" x14ac:dyDescent="0.25">
      <c r="C1623" s="191"/>
      <c r="K1623" s="283" t="s">
        <v>1272</v>
      </c>
      <c r="L1623" s="283" t="s">
        <v>672</v>
      </c>
      <c r="M1623" s="283" t="s">
        <v>250</v>
      </c>
      <c r="N1623" s="283" t="s">
        <v>252</v>
      </c>
      <c r="O1623" s="283">
        <v>55</v>
      </c>
      <c r="P1623" s="283">
        <v>20440</v>
      </c>
      <c r="Q1623" s="235">
        <f>(O1623+IF('Scenario Analysis'!$N$23=1,0,0.5))*P1623</f>
        <v>1134420</v>
      </c>
    </row>
    <row r="1624" spans="3:17" x14ac:dyDescent="0.25">
      <c r="C1624" s="191"/>
      <c r="K1624" s="283" t="s">
        <v>1272</v>
      </c>
      <c r="L1624" s="283" t="s">
        <v>672</v>
      </c>
      <c r="M1624" s="283" t="s">
        <v>250</v>
      </c>
      <c r="N1624" s="283" t="s">
        <v>252</v>
      </c>
      <c r="O1624" s="283">
        <v>56</v>
      </c>
      <c r="P1624" s="283">
        <v>4258</v>
      </c>
      <c r="Q1624" s="235">
        <f>(O1624+IF('Scenario Analysis'!$N$23=1,0,0.5))*P1624</f>
        <v>240577</v>
      </c>
    </row>
    <row r="1625" spans="3:17" x14ac:dyDescent="0.25">
      <c r="C1625" s="191"/>
      <c r="K1625" s="283" t="s">
        <v>1272</v>
      </c>
      <c r="L1625" s="283" t="s">
        <v>672</v>
      </c>
      <c r="M1625" s="283" t="s">
        <v>250</v>
      </c>
      <c r="N1625" s="283" t="s">
        <v>252</v>
      </c>
      <c r="O1625" s="283">
        <v>57</v>
      </c>
      <c r="P1625" s="283">
        <v>9508</v>
      </c>
      <c r="Q1625" s="235">
        <f>(O1625+IF('Scenario Analysis'!$N$23=1,0,0.5))*P1625</f>
        <v>546710</v>
      </c>
    </row>
    <row r="1626" spans="3:17" x14ac:dyDescent="0.25">
      <c r="C1626" s="191"/>
      <c r="K1626" s="283" t="s">
        <v>1272</v>
      </c>
      <c r="L1626" s="283" t="s">
        <v>672</v>
      </c>
      <c r="M1626" s="283" t="s">
        <v>250</v>
      </c>
      <c r="N1626" s="283" t="s">
        <v>252</v>
      </c>
      <c r="O1626" s="283">
        <v>58</v>
      </c>
      <c r="P1626" s="283">
        <v>3580</v>
      </c>
      <c r="Q1626" s="235">
        <f>(O1626+IF('Scenario Analysis'!$N$23=1,0,0.5))*P1626</f>
        <v>209430</v>
      </c>
    </row>
    <row r="1627" spans="3:17" x14ac:dyDescent="0.25">
      <c r="C1627" s="191"/>
      <c r="K1627" s="283" t="s">
        <v>1272</v>
      </c>
      <c r="L1627" s="283" t="s">
        <v>672</v>
      </c>
      <c r="M1627" s="283" t="s">
        <v>250</v>
      </c>
      <c r="N1627" s="283" t="s">
        <v>252</v>
      </c>
      <c r="O1627" s="283">
        <v>59</v>
      </c>
      <c r="P1627" s="283">
        <v>1542</v>
      </c>
      <c r="Q1627" s="235">
        <f>(O1627+IF('Scenario Analysis'!$N$23=1,0,0.5))*P1627</f>
        <v>91749</v>
      </c>
    </row>
    <row r="1628" spans="3:17" x14ac:dyDescent="0.25">
      <c r="C1628" s="191"/>
      <c r="K1628" s="283" t="s">
        <v>1272</v>
      </c>
      <c r="L1628" s="283" t="s">
        <v>672</v>
      </c>
      <c r="M1628" s="283" t="s">
        <v>250</v>
      </c>
      <c r="N1628" s="283" t="s">
        <v>252</v>
      </c>
      <c r="O1628" s="283">
        <v>60</v>
      </c>
      <c r="P1628" s="283">
        <v>10881</v>
      </c>
      <c r="Q1628" s="235">
        <f>(O1628+IF('Scenario Analysis'!$N$23=1,0,0.5))*P1628</f>
        <v>658300.5</v>
      </c>
    </row>
    <row r="1629" spans="3:17" x14ac:dyDescent="0.25">
      <c r="C1629" s="191"/>
      <c r="K1629" s="283" t="s">
        <v>1272</v>
      </c>
      <c r="L1629" s="283" t="s">
        <v>672</v>
      </c>
      <c r="M1629" s="283" t="s">
        <v>250</v>
      </c>
      <c r="N1629" s="283" t="s">
        <v>252</v>
      </c>
      <c r="O1629" s="283">
        <v>61</v>
      </c>
      <c r="P1629" s="283">
        <v>1508</v>
      </c>
      <c r="Q1629" s="235">
        <f>(O1629+IF('Scenario Analysis'!$N$23=1,0,0.5))*P1629</f>
        <v>92742</v>
      </c>
    </row>
    <row r="1630" spans="3:17" x14ac:dyDescent="0.25">
      <c r="C1630" s="191"/>
      <c r="K1630" s="283" t="s">
        <v>1272</v>
      </c>
      <c r="L1630" s="283" t="s">
        <v>672</v>
      </c>
      <c r="M1630" s="283" t="s">
        <v>250</v>
      </c>
      <c r="N1630" s="283" t="s">
        <v>252</v>
      </c>
      <c r="O1630" s="283">
        <v>62</v>
      </c>
      <c r="P1630" s="283">
        <v>1743</v>
      </c>
      <c r="Q1630" s="235">
        <f>(O1630+IF('Scenario Analysis'!$N$23=1,0,0.5))*P1630</f>
        <v>108937.5</v>
      </c>
    </row>
    <row r="1631" spans="3:17" x14ac:dyDescent="0.25">
      <c r="C1631" s="191"/>
      <c r="K1631" s="283" t="s">
        <v>1272</v>
      </c>
      <c r="L1631" s="283" t="s">
        <v>672</v>
      </c>
      <c r="M1631" s="283" t="s">
        <v>250</v>
      </c>
      <c r="N1631" s="283" t="s">
        <v>252</v>
      </c>
      <c r="O1631" s="283">
        <v>63</v>
      </c>
      <c r="P1631" s="283">
        <v>1150</v>
      </c>
      <c r="Q1631" s="235">
        <f>(O1631+IF('Scenario Analysis'!$N$23=1,0,0.5))*P1631</f>
        <v>73025</v>
      </c>
    </row>
    <row r="1632" spans="3:17" x14ac:dyDescent="0.25">
      <c r="C1632" s="191"/>
      <c r="K1632" s="283" t="s">
        <v>1272</v>
      </c>
      <c r="L1632" s="283" t="s">
        <v>672</v>
      </c>
      <c r="M1632" s="283" t="s">
        <v>250</v>
      </c>
      <c r="N1632" s="283" t="s">
        <v>252</v>
      </c>
      <c r="O1632" s="283">
        <v>64</v>
      </c>
      <c r="P1632" s="283">
        <v>5044</v>
      </c>
      <c r="Q1632" s="235">
        <f>(O1632+IF('Scenario Analysis'!$N$23=1,0,0.5))*P1632</f>
        <v>325338</v>
      </c>
    </row>
    <row r="1633" spans="3:17" x14ac:dyDescent="0.25">
      <c r="C1633" s="191"/>
      <c r="K1633" s="283" t="s">
        <v>1272</v>
      </c>
      <c r="L1633" s="283" t="s">
        <v>672</v>
      </c>
      <c r="M1633" s="283" t="s">
        <v>250</v>
      </c>
      <c r="N1633" s="283" t="s">
        <v>252</v>
      </c>
      <c r="O1633" s="283">
        <v>65</v>
      </c>
      <c r="P1633" s="283">
        <v>23014</v>
      </c>
      <c r="Q1633" s="235">
        <f>(O1633+IF('Scenario Analysis'!$N$23=1,0,0.5))*P1633</f>
        <v>1507417</v>
      </c>
    </row>
    <row r="1634" spans="3:17" x14ac:dyDescent="0.25">
      <c r="C1634" s="191"/>
      <c r="K1634" s="283" t="s">
        <v>1272</v>
      </c>
      <c r="L1634" s="283" t="s">
        <v>672</v>
      </c>
      <c r="M1634" s="283" t="s">
        <v>250</v>
      </c>
      <c r="N1634" s="283" t="s">
        <v>252</v>
      </c>
      <c r="O1634" s="283">
        <v>66</v>
      </c>
      <c r="P1634" s="283">
        <v>2719</v>
      </c>
      <c r="Q1634" s="235">
        <f>(O1634+IF('Scenario Analysis'!$N$23=1,0,0.5))*P1634</f>
        <v>180813.5</v>
      </c>
    </row>
    <row r="1635" spans="3:17" x14ac:dyDescent="0.25">
      <c r="C1635" s="191"/>
      <c r="K1635" s="283" t="s">
        <v>1272</v>
      </c>
      <c r="L1635" s="283" t="s">
        <v>672</v>
      </c>
      <c r="M1635" s="283" t="s">
        <v>250</v>
      </c>
      <c r="N1635" s="283" t="s">
        <v>252</v>
      </c>
      <c r="O1635" s="283">
        <v>67</v>
      </c>
      <c r="P1635" s="283">
        <v>9226</v>
      </c>
      <c r="Q1635" s="235">
        <f>(O1635+IF('Scenario Analysis'!$N$23=1,0,0.5))*P1635</f>
        <v>622755</v>
      </c>
    </row>
    <row r="1636" spans="3:17" x14ac:dyDescent="0.25">
      <c r="C1636" s="191"/>
      <c r="K1636" s="283" t="s">
        <v>1272</v>
      </c>
      <c r="L1636" s="283" t="s">
        <v>672</v>
      </c>
      <c r="M1636" s="283" t="s">
        <v>250</v>
      </c>
      <c r="N1636" s="283" t="s">
        <v>252</v>
      </c>
      <c r="O1636" s="283">
        <v>68</v>
      </c>
      <c r="P1636" s="283">
        <v>5574</v>
      </c>
      <c r="Q1636" s="235">
        <f>(O1636+IF('Scenario Analysis'!$N$23=1,0,0.5))*P1636</f>
        <v>381819</v>
      </c>
    </row>
    <row r="1637" spans="3:17" x14ac:dyDescent="0.25">
      <c r="C1637" s="191"/>
      <c r="K1637" s="283" t="s">
        <v>1272</v>
      </c>
      <c r="L1637" s="283" t="s">
        <v>672</v>
      </c>
      <c r="M1637" s="283" t="s">
        <v>250</v>
      </c>
      <c r="N1637" s="283" t="s">
        <v>252</v>
      </c>
      <c r="O1637" s="283">
        <v>69</v>
      </c>
      <c r="P1637" s="283">
        <v>15316</v>
      </c>
      <c r="Q1637" s="235">
        <f>(O1637+IF('Scenario Analysis'!$N$23=1,0,0.5))*P1637</f>
        <v>1064462</v>
      </c>
    </row>
    <row r="1638" spans="3:17" x14ac:dyDescent="0.25">
      <c r="C1638" s="191"/>
      <c r="K1638" s="283" t="s">
        <v>1272</v>
      </c>
      <c r="L1638" s="283" t="s">
        <v>672</v>
      </c>
      <c r="M1638" s="283" t="s">
        <v>250</v>
      </c>
      <c r="N1638" s="283" t="s">
        <v>252</v>
      </c>
      <c r="O1638" s="283">
        <v>70</v>
      </c>
      <c r="P1638" s="283">
        <v>5845</v>
      </c>
      <c r="Q1638" s="235">
        <f>(O1638+IF('Scenario Analysis'!$N$23=1,0,0.5))*P1638</f>
        <v>412072.5</v>
      </c>
    </row>
    <row r="1639" spans="3:17" x14ac:dyDescent="0.25">
      <c r="C1639" s="191"/>
      <c r="K1639" s="283" t="s">
        <v>1272</v>
      </c>
      <c r="L1639" s="283" t="s">
        <v>672</v>
      </c>
      <c r="M1639" s="283" t="s">
        <v>250</v>
      </c>
      <c r="N1639" s="283" t="s">
        <v>252</v>
      </c>
      <c r="O1639" s="283">
        <v>71</v>
      </c>
      <c r="P1639" s="283">
        <v>2591</v>
      </c>
      <c r="Q1639" s="235">
        <f>(O1639+IF('Scenario Analysis'!$N$23=1,0,0.5))*P1639</f>
        <v>185256.5</v>
      </c>
    </row>
    <row r="1640" spans="3:17" x14ac:dyDescent="0.25">
      <c r="C1640" s="191"/>
      <c r="K1640" s="283" t="s">
        <v>1272</v>
      </c>
      <c r="L1640" s="283" t="s">
        <v>672</v>
      </c>
      <c r="M1640" s="283" t="s">
        <v>250</v>
      </c>
      <c r="N1640" s="283" t="s">
        <v>252</v>
      </c>
      <c r="O1640" s="283">
        <v>72</v>
      </c>
      <c r="P1640" s="283">
        <v>2947</v>
      </c>
      <c r="Q1640" s="235">
        <f>(O1640+IF('Scenario Analysis'!$N$23=1,0,0.5))*P1640</f>
        <v>213657.5</v>
      </c>
    </row>
    <row r="1641" spans="3:17" x14ac:dyDescent="0.25">
      <c r="C1641" s="191"/>
      <c r="K1641" s="283" t="s">
        <v>1272</v>
      </c>
      <c r="L1641" s="283" t="s">
        <v>672</v>
      </c>
      <c r="M1641" s="283" t="s">
        <v>250</v>
      </c>
      <c r="N1641" s="283" t="s">
        <v>252</v>
      </c>
      <c r="O1641" s="283">
        <v>73</v>
      </c>
      <c r="P1641" s="283">
        <v>32841</v>
      </c>
      <c r="Q1641" s="235">
        <f>(O1641+IF('Scenario Analysis'!$N$23=1,0,0.5))*P1641</f>
        <v>2413813.5</v>
      </c>
    </row>
    <row r="1642" spans="3:17" x14ac:dyDescent="0.25">
      <c r="C1642" s="191"/>
      <c r="K1642" s="283" t="s">
        <v>1272</v>
      </c>
      <c r="L1642" s="283" t="s">
        <v>672</v>
      </c>
      <c r="M1642" s="283" t="s">
        <v>250</v>
      </c>
      <c r="N1642" s="283" t="s">
        <v>252</v>
      </c>
      <c r="O1642" s="283">
        <v>74</v>
      </c>
      <c r="P1642" s="283">
        <v>1721</v>
      </c>
      <c r="Q1642" s="235">
        <f>(O1642+IF('Scenario Analysis'!$N$23=1,0,0.5))*P1642</f>
        <v>128214.5</v>
      </c>
    </row>
    <row r="1643" spans="3:17" x14ac:dyDescent="0.25">
      <c r="C1643" s="191"/>
      <c r="K1643" s="283" t="s">
        <v>1272</v>
      </c>
      <c r="L1643" s="283" t="s">
        <v>672</v>
      </c>
      <c r="M1643" s="283" t="s">
        <v>250</v>
      </c>
      <c r="N1643" s="283" t="s">
        <v>252</v>
      </c>
      <c r="O1643" s="283">
        <v>75</v>
      </c>
      <c r="P1643" s="283">
        <v>11971</v>
      </c>
      <c r="Q1643" s="235">
        <f>(O1643+IF('Scenario Analysis'!$N$23=1,0,0.5))*P1643</f>
        <v>903810.5</v>
      </c>
    </row>
    <row r="1644" spans="3:17" x14ac:dyDescent="0.25">
      <c r="C1644" s="191"/>
      <c r="K1644" s="283" t="s">
        <v>1272</v>
      </c>
      <c r="L1644" s="283" t="s">
        <v>672</v>
      </c>
      <c r="M1644" s="283" t="s">
        <v>250</v>
      </c>
      <c r="N1644" s="283" t="s">
        <v>252</v>
      </c>
      <c r="O1644" s="283">
        <v>76</v>
      </c>
      <c r="P1644" s="283">
        <v>1659</v>
      </c>
      <c r="Q1644" s="235">
        <f>(O1644+IF('Scenario Analysis'!$N$23=1,0,0.5))*P1644</f>
        <v>126913.5</v>
      </c>
    </row>
    <row r="1645" spans="3:17" x14ac:dyDescent="0.25">
      <c r="C1645" s="191"/>
      <c r="K1645" s="283" t="s">
        <v>1272</v>
      </c>
      <c r="L1645" s="283" t="s">
        <v>672</v>
      </c>
      <c r="M1645" s="283" t="s">
        <v>250</v>
      </c>
      <c r="N1645" s="283" t="s">
        <v>252</v>
      </c>
      <c r="O1645" s="283">
        <v>77</v>
      </c>
      <c r="P1645" s="283">
        <v>3789</v>
      </c>
      <c r="Q1645" s="235">
        <f>(O1645+IF('Scenario Analysis'!$N$23=1,0,0.5))*P1645</f>
        <v>293647.5</v>
      </c>
    </row>
    <row r="1646" spans="3:17" x14ac:dyDescent="0.25">
      <c r="C1646" s="191"/>
      <c r="K1646" s="283" t="s">
        <v>1272</v>
      </c>
      <c r="L1646" s="283" t="s">
        <v>672</v>
      </c>
      <c r="M1646" s="283" t="s">
        <v>250</v>
      </c>
      <c r="N1646" s="283" t="s">
        <v>252</v>
      </c>
      <c r="O1646" s="283">
        <v>78</v>
      </c>
      <c r="P1646" s="283">
        <v>1524</v>
      </c>
      <c r="Q1646" s="235">
        <f>(O1646+IF('Scenario Analysis'!$N$23=1,0,0.5))*P1646</f>
        <v>119634</v>
      </c>
    </row>
    <row r="1647" spans="3:17" x14ac:dyDescent="0.25">
      <c r="C1647" s="191"/>
      <c r="K1647" s="283" t="s">
        <v>1272</v>
      </c>
      <c r="L1647" s="283" t="s">
        <v>672</v>
      </c>
      <c r="M1647" s="283" t="s">
        <v>250</v>
      </c>
      <c r="N1647" s="283" t="s">
        <v>252</v>
      </c>
      <c r="O1647" s="283">
        <v>79</v>
      </c>
      <c r="P1647" s="283">
        <v>6666</v>
      </c>
      <c r="Q1647" s="235">
        <f>(O1647+IF('Scenario Analysis'!$N$23=1,0,0.5))*P1647</f>
        <v>529947</v>
      </c>
    </row>
    <row r="1648" spans="3:17" x14ac:dyDescent="0.25">
      <c r="C1648" s="191"/>
      <c r="K1648" s="283" t="s">
        <v>1272</v>
      </c>
      <c r="L1648" s="283" t="s">
        <v>672</v>
      </c>
      <c r="M1648" s="283" t="s">
        <v>250</v>
      </c>
      <c r="N1648" s="283" t="s">
        <v>252</v>
      </c>
      <c r="O1648" s="283">
        <v>80</v>
      </c>
      <c r="P1648" s="283">
        <v>4852</v>
      </c>
      <c r="Q1648" s="235">
        <f>(O1648+IF('Scenario Analysis'!$N$23=1,0,0.5))*P1648</f>
        <v>390586</v>
      </c>
    </row>
    <row r="1649" spans="3:17" x14ac:dyDescent="0.25">
      <c r="C1649" s="191"/>
      <c r="K1649" s="283" t="s">
        <v>1272</v>
      </c>
      <c r="L1649" s="283" t="s">
        <v>672</v>
      </c>
      <c r="M1649" s="283" t="s">
        <v>250</v>
      </c>
      <c r="N1649" s="283" t="s">
        <v>252</v>
      </c>
      <c r="O1649" s="283">
        <v>81</v>
      </c>
      <c r="P1649" s="283">
        <v>13256</v>
      </c>
      <c r="Q1649" s="235">
        <f>(O1649+IF('Scenario Analysis'!$N$23=1,0,0.5))*P1649</f>
        <v>1080364</v>
      </c>
    </row>
    <row r="1650" spans="3:17" x14ac:dyDescent="0.25">
      <c r="C1650" s="191"/>
      <c r="K1650" s="283" t="s">
        <v>1272</v>
      </c>
      <c r="L1650" s="283" t="s">
        <v>672</v>
      </c>
      <c r="M1650" s="283" t="s">
        <v>250</v>
      </c>
      <c r="N1650" s="283" t="s">
        <v>252</v>
      </c>
      <c r="O1650" s="283">
        <v>82</v>
      </c>
      <c r="P1650" s="283">
        <v>11997</v>
      </c>
      <c r="Q1650" s="235">
        <f>(O1650+IF('Scenario Analysis'!$N$23=1,0,0.5))*P1650</f>
        <v>989752.5</v>
      </c>
    </row>
    <row r="1651" spans="3:17" x14ac:dyDescent="0.25">
      <c r="C1651" s="191"/>
      <c r="K1651" s="283" t="s">
        <v>1272</v>
      </c>
      <c r="L1651" s="283" t="s">
        <v>672</v>
      </c>
      <c r="M1651" s="283" t="s">
        <v>250</v>
      </c>
      <c r="N1651" s="283" t="s">
        <v>252</v>
      </c>
      <c r="O1651" s="283">
        <v>83</v>
      </c>
      <c r="P1651" s="283">
        <v>1279</v>
      </c>
      <c r="Q1651" s="235">
        <f>(O1651+IF('Scenario Analysis'!$N$23=1,0,0.5))*P1651</f>
        <v>106796.5</v>
      </c>
    </row>
    <row r="1652" spans="3:17" x14ac:dyDescent="0.25">
      <c r="C1652" s="191"/>
      <c r="K1652" s="283" t="s">
        <v>1272</v>
      </c>
      <c r="L1652" s="283" t="s">
        <v>672</v>
      </c>
      <c r="M1652" s="283" t="s">
        <v>250</v>
      </c>
      <c r="N1652" s="283" t="s">
        <v>252</v>
      </c>
      <c r="O1652" s="283">
        <v>84</v>
      </c>
      <c r="P1652" s="283">
        <v>8508</v>
      </c>
      <c r="Q1652" s="235">
        <f>(O1652+IF('Scenario Analysis'!$N$23=1,0,0.5))*P1652</f>
        <v>718926</v>
      </c>
    </row>
    <row r="1653" spans="3:17" x14ac:dyDescent="0.25">
      <c r="C1653" s="191"/>
      <c r="K1653" s="283" t="s">
        <v>1272</v>
      </c>
      <c r="L1653" s="283" t="s">
        <v>672</v>
      </c>
      <c r="M1653" s="283" t="s">
        <v>250</v>
      </c>
      <c r="N1653" s="283" t="s">
        <v>252</v>
      </c>
      <c r="O1653" s="283">
        <v>85</v>
      </c>
      <c r="P1653" s="283">
        <v>1267</v>
      </c>
      <c r="Q1653" s="235">
        <f>(O1653+IF('Scenario Analysis'!$N$23=1,0,0.5))*P1653</f>
        <v>108328.5</v>
      </c>
    </row>
    <row r="1654" spans="3:17" x14ac:dyDescent="0.25">
      <c r="C1654" s="191"/>
      <c r="K1654" s="283" t="s">
        <v>1272</v>
      </c>
      <c r="L1654" s="283" t="s">
        <v>672</v>
      </c>
      <c r="M1654" s="283" t="s">
        <v>250</v>
      </c>
      <c r="N1654" s="283" t="s">
        <v>252</v>
      </c>
      <c r="O1654" s="283">
        <v>86</v>
      </c>
      <c r="P1654" s="283">
        <v>15984</v>
      </c>
      <c r="Q1654" s="235">
        <f>(O1654+IF('Scenario Analysis'!$N$23=1,0,0.5))*P1654</f>
        <v>1382616</v>
      </c>
    </row>
    <row r="1655" spans="3:17" x14ac:dyDescent="0.25">
      <c r="C1655" s="191"/>
      <c r="K1655" s="283" t="s">
        <v>1272</v>
      </c>
      <c r="L1655" s="283" t="s">
        <v>672</v>
      </c>
      <c r="M1655" s="283" t="s">
        <v>250</v>
      </c>
      <c r="N1655" s="283" t="s">
        <v>252</v>
      </c>
      <c r="O1655" s="283">
        <v>87</v>
      </c>
      <c r="P1655" s="283">
        <v>2117</v>
      </c>
      <c r="Q1655" s="235">
        <f>(O1655+IF('Scenario Analysis'!$N$23=1,0,0.5))*P1655</f>
        <v>185237.5</v>
      </c>
    </row>
    <row r="1656" spans="3:17" x14ac:dyDescent="0.25">
      <c r="C1656" s="191"/>
      <c r="K1656" s="283" t="s">
        <v>1272</v>
      </c>
      <c r="L1656" s="283" t="s">
        <v>672</v>
      </c>
      <c r="M1656" s="283" t="s">
        <v>250</v>
      </c>
      <c r="N1656" s="283" t="s">
        <v>252</v>
      </c>
      <c r="O1656" s="283">
        <v>88</v>
      </c>
      <c r="P1656" s="283">
        <v>1780</v>
      </c>
      <c r="Q1656" s="235">
        <f>(O1656+IF('Scenario Analysis'!$N$23=1,0,0.5))*P1656</f>
        <v>157530</v>
      </c>
    </row>
    <row r="1657" spans="3:17" x14ac:dyDescent="0.25">
      <c r="C1657" s="191"/>
      <c r="K1657" s="283" t="s">
        <v>1272</v>
      </c>
      <c r="L1657" s="283" t="s">
        <v>672</v>
      </c>
      <c r="M1657" s="283" t="s">
        <v>250</v>
      </c>
      <c r="N1657" s="283" t="s">
        <v>252</v>
      </c>
      <c r="O1657" s="283">
        <v>89</v>
      </c>
      <c r="P1657" s="283">
        <v>5802</v>
      </c>
      <c r="Q1657" s="235">
        <f>(O1657+IF('Scenario Analysis'!$N$23=1,0,0.5))*P1657</f>
        <v>519279</v>
      </c>
    </row>
    <row r="1658" spans="3:17" x14ac:dyDescent="0.25">
      <c r="C1658" s="191"/>
      <c r="K1658" s="283" t="s">
        <v>1272</v>
      </c>
      <c r="L1658" s="283" t="s">
        <v>672</v>
      </c>
      <c r="M1658" s="283" t="s">
        <v>250</v>
      </c>
      <c r="N1658" s="283" t="s">
        <v>252</v>
      </c>
      <c r="O1658" s="283">
        <v>90</v>
      </c>
      <c r="P1658" s="283">
        <v>1917</v>
      </c>
      <c r="Q1658" s="235">
        <f>(O1658+IF('Scenario Analysis'!$N$23=1,0,0.5))*P1658</f>
        <v>173488.5</v>
      </c>
    </row>
    <row r="1659" spans="3:17" x14ac:dyDescent="0.25">
      <c r="C1659" s="191"/>
      <c r="K1659" s="283" t="s">
        <v>1272</v>
      </c>
      <c r="L1659" s="283" t="s">
        <v>672</v>
      </c>
      <c r="M1659" s="283" t="s">
        <v>250</v>
      </c>
      <c r="N1659" s="283" t="s">
        <v>252</v>
      </c>
      <c r="O1659" s="283">
        <v>91</v>
      </c>
      <c r="P1659" s="283">
        <v>10586</v>
      </c>
      <c r="Q1659" s="235">
        <f>(O1659+IF('Scenario Analysis'!$N$23=1,0,0.5))*P1659</f>
        <v>968619</v>
      </c>
    </row>
    <row r="1660" spans="3:17" x14ac:dyDescent="0.25">
      <c r="C1660" s="191"/>
      <c r="K1660" s="283" t="s">
        <v>1272</v>
      </c>
      <c r="L1660" s="283" t="s">
        <v>672</v>
      </c>
      <c r="M1660" s="283" t="s">
        <v>250</v>
      </c>
      <c r="N1660" s="283" t="s">
        <v>252</v>
      </c>
      <c r="O1660" s="283">
        <v>92</v>
      </c>
      <c r="P1660" s="283">
        <v>358</v>
      </c>
      <c r="Q1660" s="235">
        <f>(O1660+IF('Scenario Analysis'!$N$23=1,0,0.5))*P1660</f>
        <v>33115</v>
      </c>
    </row>
    <row r="1661" spans="3:17" x14ac:dyDescent="0.25">
      <c r="C1661" s="191"/>
      <c r="K1661" s="283" t="s">
        <v>1272</v>
      </c>
      <c r="L1661" s="283" t="s">
        <v>672</v>
      </c>
      <c r="M1661" s="283" t="s">
        <v>250</v>
      </c>
      <c r="N1661" s="283" t="s">
        <v>252</v>
      </c>
      <c r="O1661" s="283">
        <v>93</v>
      </c>
      <c r="P1661" s="283">
        <v>9464</v>
      </c>
      <c r="Q1661" s="235">
        <f>(O1661+IF('Scenario Analysis'!$N$23=1,0,0.5))*P1661</f>
        <v>884884</v>
      </c>
    </row>
    <row r="1662" spans="3:17" x14ac:dyDescent="0.25">
      <c r="C1662" s="191"/>
      <c r="K1662" s="283" t="s">
        <v>1272</v>
      </c>
      <c r="L1662" s="283" t="s">
        <v>672</v>
      </c>
      <c r="M1662" s="283" t="s">
        <v>250</v>
      </c>
      <c r="N1662" s="283" t="s">
        <v>252</v>
      </c>
      <c r="O1662" s="283">
        <v>94</v>
      </c>
      <c r="P1662" s="283">
        <v>1408</v>
      </c>
      <c r="Q1662" s="235">
        <f>(O1662+IF('Scenario Analysis'!$N$23=1,0,0.5))*P1662</f>
        <v>133056</v>
      </c>
    </row>
    <row r="1663" spans="3:17" x14ac:dyDescent="0.25">
      <c r="C1663" s="191"/>
      <c r="K1663" s="283" t="s">
        <v>1272</v>
      </c>
      <c r="L1663" s="283" t="s">
        <v>672</v>
      </c>
      <c r="M1663" s="283" t="s">
        <v>250</v>
      </c>
      <c r="N1663" s="283" t="s">
        <v>252</v>
      </c>
      <c r="O1663" s="283">
        <v>95</v>
      </c>
      <c r="P1663" s="283">
        <v>2829</v>
      </c>
      <c r="Q1663" s="235">
        <f>(O1663+IF('Scenario Analysis'!$N$23=1,0,0.5))*P1663</f>
        <v>270169.5</v>
      </c>
    </row>
    <row r="1664" spans="3:17" x14ac:dyDescent="0.25">
      <c r="C1664" s="191"/>
      <c r="K1664" s="283" t="s">
        <v>1272</v>
      </c>
      <c r="L1664" s="283" t="s">
        <v>672</v>
      </c>
      <c r="M1664" s="283" t="s">
        <v>250</v>
      </c>
      <c r="N1664" s="283" t="s">
        <v>252</v>
      </c>
      <c r="O1664" s="283">
        <v>96</v>
      </c>
      <c r="P1664" s="283">
        <v>577</v>
      </c>
      <c r="Q1664" s="235">
        <f>(O1664+IF('Scenario Analysis'!$N$23=1,0,0.5))*P1664</f>
        <v>55680.5</v>
      </c>
    </row>
    <row r="1665" spans="3:17" x14ac:dyDescent="0.25">
      <c r="C1665" s="191"/>
      <c r="K1665" s="283" t="s">
        <v>1272</v>
      </c>
      <c r="L1665" s="283" t="s">
        <v>672</v>
      </c>
      <c r="M1665" s="283" t="s">
        <v>250</v>
      </c>
      <c r="N1665" s="283" t="s">
        <v>252</v>
      </c>
      <c r="O1665" s="283">
        <v>97</v>
      </c>
      <c r="P1665" s="283">
        <v>711</v>
      </c>
      <c r="Q1665" s="235">
        <f>(O1665+IF('Scenario Analysis'!$N$23=1,0,0.5))*P1665</f>
        <v>69322.5</v>
      </c>
    </row>
    <row r="1666" spans="3:17" x14ac:dyDescent="0.25">
      <c r="C1666" s="191"/>
      <c r="K1666" s="283" t="s">
        <v>1272</v>
      </c>
      <c r="L1666" s="283" t="s">
        <v>672</v>
      </c>
      <c r="M1666" s="283" t="s">
        <v>250</v>
      </c>
      <c r="N1666" s="283" t="s">
        <v>252</v>
      </c>
      <c r="O1666" s="283">
        <v>98</v>
      </c>
      <c r="P1666" s="283">
        <v>6030</v>
      </c>
      <c r="Q1666" s="235">
        <f>(O1666+IF('Scenario Analysis'!$N$23=1,0,0.5))*P1666</f>
        <v>593955</v>
      </c>
    </row>
    <row r="1667" spans="3:17" x14ac:dyDescent="0.25">
      <c r="C1667" s="191"/>
      <c r="K1667" s="283" t="s">
        <v>1272</v>
      </c>
      <c r="L1667" s="283" t="s">
        <v>672</v>
      </c>
      <c r="M1667" s="283" t="s">
        <v>250</v>
      </c>
      <c r="N1667" s="283" t="s">
        <v>252</v>
      </c>
      <c r="O1667" s="283">
        <v>99</v>
      </c>
      <c r="P1667" s="283">
        <v>43</v>
      </c>
      <c r="Q1667" s="235">
        <f>(O1667+IF('Scenario Analysis'!$N$23=1,0,0.5))*P1667</f>
        <v>4278.5</v>
      </c>
    </row>
    <row r="1668" spans="3:17" x14ac:dyDescent="0.25">
      <c r="C1668" s="191"/>
      <c r="K1668" s="283" t="s">
        <v>1272</v>
      </c>
      <c r="L1668" s="283" t="s">
        <v>672</v>
      </c>
      <c r="M1668" s="283" t="s">
        <v>250</v>
      </c>
      <c r="N1668" s="283" t="s">
        <v>252</v>
      </c>
      <c r="O1668" s="283">
        <v>100</v>
      </c>
      <c r="P1668" s="283">
        <v>1354</v>
      </c>
      <c r="Q1668" s="235">
        <f>(O1668+IF('Scenario Analysis'!$N$23=1,0,0.5))*P1668</f>
        <v>136077</v>
      </c>
    </row>
    <row r="1669" spans="3:17" x14ac:dyDescent="0.25">
      <c r="C1669" s="191"/>
      <c r="K1669" s="283" t="s">
        <v>1272</v>
      </c>
      <c r="L1669" s="283" t="s">
        <v>672</v>
      </c>
      <c r="M1669" s="283" t="s">
        <v>250</v>
      </c>
      <c r="N1669" s="283" t="s">
        <v>252</v>
      </c>
      <c r="O1669" s="283">
        <v>101</v>
      </c>
      <c r="P1669" s="283">
        <v>107</v>
      </c>
      <c r="Q1669" s="235">
        <f>(O1669+IF('Scenario Analysis'!$N$23=1,0,0.5))*P1669</f>
        <v>10860.5</v>
      </c>
    </row>
    <row r="1670" spans="3:17" x14ac:dyDescent="0.25">
      <c r="C1670" s="191"/>
      <c r="K1670" s="283" t="s">
        <v>1272</v>
      </c>
      <c r="L1670" s="283" t="s">
        <v>672</v>
      </c>
      <c r="M1670" s="283" t="s">
        <v>250</v>
      </c>
      <c r="N1670" s="283" t="s">
        <v>252</v>
      </c>
      <c r="O1670" s="283">
        <v>102</v>
      </c>
      <c r="P1670" s="283">
        <v>2470</v>
      </c>
      <c r="Q1670" s="235">
        <f>(O1670+IF('Scenario Analysis'!$N$23=1,0,0.5))*P1670</f>
        <v>253175</v>
      </c>
    </row>
    <row r="1671" spans="3:17" x14ac:dyDescent="0.25">
      <c r="C1671" s="191"/>
      <c r="K1671" s="283" t="s">
        <v>1272</v>
      </c>
      <c r="L1671" s="283" t="s">
        <v>672</v>
      </c>
      <c r="M1671" s="283" t="s">
        <v>250</v>
      </c>
      <c r="N1671" s="283" t="s">
        <v>252</v>
      </c>
      <c r="O1671" s="283">
        <v>103</v>
      </c>
      <c r="P1671" s="283">
        <v>2215</v>
      </c>
      <c r="Q1671" s="235">
        <f>(O1671+IF('Scenario Analysis'!$N$23=1,0,0.5))*P1671</f>
        <v>229252.5</v>
      </c>
    </row>
    <row r="1672" spans="3:17" x14ac:dyDescent="0.25">
      <c r="C1672" s="191"/>
      <c r="K1672" s="283" t="s">
        <v>1272</v>
      </c>
      <c r="L1672" s="283" t="s">
        <v>672</v>
      </c>
      <c r="M1672" s="283" t="s">
        <v>250</v>
      </c>
      <c r="N1672" s="283" t="s">
        <v>252</v>
      </c>
      <c r="O1672" s="283">
        <v>104</v>
      </c>
      <c r="P1672" s="283">
        <v>1175</v>
      </c>
      <c r="Q1672" s="235">
        <f>(O1672+IF('Scenario Analysis'!$N$23=1,0,0.5))*P1672</f>
        <v>122787.5</v>
      </c>
    </row>
    <row r="1673" spans="3:17" x14ac:dyDescent="0.25">
      <c r="C1673" s="191"/>
      <c r="K1673" s="283" t="s">
        <v>1272</v>
      </c>
      <c r="L1673" s="283" t="s">
        <v>672</v>
      </c>
      <c r="M1673" s="283" t="s">
        <v>250</v>
      </c>
      <c r="N1673" s="283" t="s">
        <v>252</v>
      </c>
      <c r="O1673" s="283">
        <v>105</v>
      </c>
      <c r="P1673" s="283">
        <v>1161</v>
      </c>
      <c r="Q1673" s="235">
        <f>(O1673+IF('Scenario Analysis'!$N$23=1,0,0.5))*P1673</f>
        <v>122485.5</v>
      </c>
    </row>
    <row r="1674" spans="3:17" x14ac:dyDescent="0.25">
      <c r="C1674" s="191"/>
      <c r="K1674" s="283" t="s">
        <v>1272</v>
      </c>
      <c r="L1674" s="283" t="s">
        <v>672</v>
      </c>
      <c r="M1674" s="283" t="s">
        <v>250</v>
      </c>
      <c r="N1674" s="283" t="s">
        <v>252</v>
      </c>
      <c r="O1674" s="283">
        <v>106</v>
      </c>
      <c r="P1674" s="283">
        <v>769</v>
      </c>
      <c r="Q1674" s="235">
        <f>(O1674+IF('Scenario Analysis'!$N$23=1,0,0.5))*P1674</f>
        <v>81898.5</v>
      </c>
    </row>
    <row r="1675" spans="3:17" x14ac:dyDescent="0.25">
      <c r="C1675" s="191"/>
      <c r="K1675" s="283" t="s">
        <v>1272</v>
      </c>
      <c r="L1675" s="283" t="s">
        <v>672</v>
      </c>
      <c r="M1675" s="283" t="s">
        <v>250</v>
      </c>
      <c r="N1675" s="283" t="s">
        <v>252</v>
      </c>
      <c r="O1675" s="283">
        <v>107</v>
      </c>
      <c r="P1675" s="283">
        <v>5593</v>
      </c>
      <c r="Q1675" s="235">
        <f>(O1675+IF('Scenario Analysis'!$N$23=1,0,0.5))*P1675</f>
        <v>601247.5</v>
      </c>
    </row>
    <row r="1676" spans="3:17" x14ac:dyDescent="0.25">
      <c r="C1676" s="191"/>
      <c r="K1676" s="283" t="s">
        <v>1272</v>
      </c>
      <c r="L1676" s="283" t="s">
        <v>672</v>
      </c>
      <c r="M1676" s="283" t="s">
        <v>250</v>
      </c>
      <c r="N1676" s="283" t="s">
        <v>252</v>
      </c>
      <c r="O1676" s="283">
        <v>108</v>
      </c>
      <c r="P1676" s="283">
        <v>2039</v>
      </c>
      <c r="Q1676" s="235">
        <f>(O1676+IF('Scenario Analysis'!$N$23=1,0,0.5))*P1676</f>
        <v>221231.5</v>
      </c>
    </row>
    <row r="1677" spans="3:17" x14ac:dyDescent="0.25">
      <c r="C1677" s="191"/>
      <c r="K1677" s="283" t="s">
        <v>1272</v>
      </c>
      <c r="L1677" s="283" t="s">
        <v>672</v>
      </c>
      <c r="M1677" s="283" t="s">
        <v>250</v>
      </c>
      <c r="N1677" s="283" t="s">
        <v>252</v>
      </c>
      <c r="O1677" s="283">
        <v>109</v>
      </c>
      <c r="P1677" s="283">
        <v>16421</v>
      </c>
      <c r="Q1677" s="235">
        <f>(O1677+IF('Scenario Analysis'!$N$23=1,0,0.5))*P1677</f>
        <v>1798099.5</v>
      </c>
    </row>
    <row r="1678" spans="3:17" x14ac:dyDescent="0.25">
      <c r="C1678" s="191"/>
      <c r="K1678" s="283" t="s">
        <v>1272</v>
      </c>
      <c r="L1678" s="283" t="s">
        <v>672</v>
      </c>
      <c r="M1678" s="283" t="s">
        <v>250</v>
      </c>
      <c r="N1678" s="283" t="s">
        <v>252</v>
      </c>
      <c r="O1678" s="283">
        <v>110</v>
      </c>
      <c r="P1678" s="283">
        <v>573</v>
      </c>
      <c r="Q1678" s="235">
        <f>(O1678+IF('Scenario Analysis'!$N$23=1,0,0.5))*P1678</f>
        <v>63316.5</v>
      </c>
    </row>
    <row r="1679" spans="3:17" x14ac:dyDescent="0.25">
      <c r="C1679" s="191"/>
      <c r="K1679" s="283" t="s">
        <v>1272</v>
      </c>
      <c r="L1679" s="283" t="s">
        <v>672</v>
      </c>
      <c r="M1679" s="283" t="s">
        <v>250</v>
      </c>
      <c r="N1679" s="283" t="s">
        <v>252</v>
      </c>
      <c r="O1679" s="283">
        <v>111</v>
      </c>
      <c r="P1679" s="283">
        <v>2638</v>
      </c>
      <c r="Q1679" s="235">
        <f>(O1679+IF('Scenario Analysis'!$N$23=1,0,0.5))*P1679</f>
        <v>294137</v>
      </c>
    </row>
    <row r="1680" spans="3:17" x14ac:dyDescent="0.25">
      <c r="C1680" s="191"/>
      <c r="K1680" s="283" t="s">
        <v>1272</v>
      </c>
      <c r="L1680" s="283" t="s">
        <v>672</v>
      </c>
      <c r="M1680" s="283" t="s">
        <v>250</v>
      </c>
      <c r="N1680" s="283" t="s">
        <v>252</v>
      </c>
      <c r="O1680" s="283">
        <v>112</v>
      </c>
      <c r="P1680" s="283">
        <v>226</v>
      </c>
      <c r="Q1680" s="235">
        <f>(O1680+IF('Scenario Analysis'!$N$23=1,0,0.5))*P1680</f>
        <v>25425</v>
      </c>
    </row>
    <row r="1681" spans="3:17" x14ac:dyDescent="0.25">
      <c r="C1681" s="191"/>
      <c r="K1681" s="283" t="s">
        <v>1272</v>
      </c>
      <c r="L1681" s="283" t="s">
        <v>672</v>
      </c>
      <c r="M1681" s="283" t="s">
        <v>250</v>
      </c>
      <c r="N1681" s="283" t="s">
        <v>252</v>
      </c>
      <c r="O1681" s="283">
        <v>113</v>
      </c>
      <c r="P1681" s="283">
        <v>733</v>
      </c>
      <c r="Q1681" s="235">
        <f>(O1681+IF('Scenario Analysis'!$N$23=1,0,0.5))*P1681</f>
        <v>83195.5</v>
      </c>
    </row>
    <row r="1682" spans="3:17" x14ac:dyDescent="0.25">
      <c r="C1682" s="191"/>
      <c r="K1682" s="283" t="s">
        <v>1272</v>
      </c>
      <c r="L1682" s="283" t="s">
        <v>672</v>
      </c>
      <c r="M1682" s="283" t="s">
        <v>250</v>
      </c>
      <c r="N1682" s="283" t="s">
        <v>252</v>
      </c>
      <c r="O1682" s="283">
        <v>114</v>
      </c>
      <c r="P1682" s="283">
        <v>107</v>
      </c>
      <c r="Q1682" s="235">
        <f>(O1682+IF('Scenario Analysis'!$N$23=1,0,0.5))*P1682</f>
        <v>12251.5</v>
      </c>
    </row>
    <row r="1683" spans="3:17" x14ac:dyDescent="0.25">
      <c r="C1683" s="191"/>
      <c r="K1683" s="283" t="s">
        <v>1272</v>
      </c>
      <c r="L1683" s="283" t="s">
        <v>672</v>
      </c>
      <c r="M1683" s="283" t="s">
        <v>250</v>
      </c>
      <c r="N1683" s="283" t="s">
        <v>252</v>
      </c>
      <c r="O1683" s="283">
        <v>115</v>
      </c>
      <c r="P1683" s="283">
        <v>470</v>
      </c>
      <c r="Q1683" s="235">
        <f>(O1683+IF('Scenario Analysis'!$N$23=1,0,0.5))*P1683</f>
        <v>54285</v>
      </c>
    </row>
    <row r="1684" spans="3:17" x14ac:dyDescent="0.25">
      <c r="C1684" s="191"/>
      <c r="K1684" s="283" t="s">
        <v>1272</v>
      </c>
      <c r="L1684" s="283" t="s">
        <v>672</v>
      </c>
      <c r="M1684" s="283" t="s">
        <v>250</v>
      </c>
      <c r="N1684" s="283" t="s">
        <v>252</v>
      </c>
      <c r="O1684" s="283">
        <v>116</v>
      </c>
      <c r="P1684" s="283">
        <v>5300</v>
      </c>
      <c r="Q1684" s="235">
        <f>(O1684+IF('Scenario Analysis'!$N$23=1,0,0.5))*P1684</f>
        <v>617450</v>
      </c>
    </row>
    <row r="1685" spans="3:17" x14ac:dyDescent="0.25">
      <c r="C1685" s="191"/>
      <c r="K1685" s="283" t="s">
        <v>1272</v>
      </c>
      <c r="L1685" s="283" t="s">
        <v>672</v>
      </c>
      <c r="M1685" s="283" t="s">
        <v>250</v>
      </c>
      <c r="N1685" s="283" t="s">
        <v>252</v>
      </c>
      <c r="O1685" s="283">
        <v>117</v>
      </c>
      <c r="P1685" s="283">
        <v>1481</v>
      </c>
      <c r="Q1685" s="235">
        <f>(O1685+IF('Scenario Analysis'!$N$23=1,0,0.5))*P1685</f>
        <v>174017.5</v>
      </c>
    </row>
    <row r="1686" spans="3:17" x14ac:dyDescent="0.25">
      <c r="C1686" s="191"/>
      <c r="K1686" s="283" t="s">
        <v>1272</v>
      </c>
      <c r="L1686" s="283" t="s">
        <v>672</v>
      </c>
      <c r="M1686" s="283" t="s">
        <v>250</v>
      </c>
      <c r="N1686" s="283" t="s">
        <v>252</v>
      </c>
      <c r="O1686" s="283">
        <v>118</v>
      </c>
      <c r="P1686" s="283">
        <v>92</v>
      </c>
      <c r="Q1686" s="235">
        <f>(O1686+IF('Scenario Analysis'!$N$23=1,0,0.5))*P1686</f>
        <v>10902</v>
      </c>
    </row>
    <row r="1687" spans="3:17" x14ac:dyDescent="0.25">
      <c r="C1687" s="191"/>
      <c r="K1687" s="283" t="s">
        <v>1272</v>
      </c>
      <c r="L1687" s="283" t="s">
        <v>672</v>
      </c>
      <c r="M1687" s="283" t="s">
        <v>250</v>
      </c>
      <c r="N1687" s="283" t="s">
        <v>252</v>
      </c>
      <c r="O1687" s="283">
        <v>119</v>
      </c>
      <c r="P1687" s="283">
        <v>2356</v>
      </c>
      <c r="Q1687" s="235">
        <f>(O1687+IF('Scenario Analysis'!$N$23=1,0,0.5))*P1687</f>
        <v>281542</v>
      </c>
    </row>
    <row r="1688" spans="3:17" x14ac:dyDescent="0.25">
      <c r="C1688" s="191"/>
      <c r="K1688" s="283" t="s">
        <v>1272</v>
      </c>
      <c r="L1688" s="283" t="s">
        <v>672</v>
      </c>
      <c r="M1688" s="283" t="s">
        <v>250</v>
      </c>
      <c r="N1688" s="283" t="s">
        <v>252</v>
      </c>
      <c r="O1688" s="283">
        <v>120</v>
      </c>
      <c r="P1688" s="283">
        <v>2395</v>
      </c>
      <c r="Q1688" s="235">
        <f>(O1688+IF('Scenario Analysis'!$N$23=1,0,0.5))*P1688</f>
        <v>288597.5</v>
      </c>
    </row>
    <row r="1689" spans="3:17" x14ac:dyDescent="0.25">
      <c r="C1689" s="191"/>
      <c r="K1689" s="283" t="s">
        <v>1272</v>
      </c>
      <c r="L1689" s="283" t="s">
        <v>672</v>
      </c>
      <c r="M1689" s="283" t="s">
        <v>250</v>
      </c>
      <c r="N1689" s="283" t="s">
        <v>252</v>
      </c>
      <c r="O1689" s="283">
        <v>121</v>
      </c>
      <c r="P1689" s="283">
        <v>1825</v>
      </c>
      <c r="Q1689" s="235">
        <f>(O1689+IF('Scenario Analysis'!$N$23=1,0,0.5))*P1689</f>
        <v>221737.5</v>
      </c>
    </row>
    <row r="1690" spans="3:17" x14ac:dyDescent="0.25">
      <c r="C1690" s="191"/>
      <c r="K1690" s="283" t="s">
        <v>1272</v>
      </c>
      <c r="L1690" s="283" t="s">
        <v>672</v>
      </c>
      <c r="M1690" s="283" t="s">
        <v>250</v>
      </c>
      <c r="N1690" s="283" t="s">
        <v>252</v>
      </c>
      <c r="O1690" s="283">
        <v>122</v>
      </c>
      <c r="P1690" s="283">
        <v>1801</v>
      </c>
      <c r="Q1690" s="235">
        <f>(O1690+IF('Scenario Analysis'!$N$23=1,0,0.5))*P1690</f>
        <v>220622.5</v>
      </c>
    </row>
    <row r="1691" spans="3:17" x14ac:dyDescent="0.25">
      <c r="C1691" s="191"/>
      <c r="K1691" s="283" t="s">
        <v>1272</v>
      </c>
      <c r="L1691" s="283" t="s">
        <v>672</v>
      </c>
      <c r="M1691" s="283" t="s">
        <v>250</v>
      </c>
      <c r="N1691" s="283" t="s">
        <v>252</v>
      </c>
      <c r="O1691" s="283">
        <v>123</v>
      </c>
      <c r="P1691" s="283">
        <v>711</v>
      </c>
      <c r="Q1691" s="235">
        <f>(O1691+IF('Scenario Analysis'!$N$23=1,0,0.5))*P1691</f>
        <v>87808.5</v>
      </c>
    </row>
    <row r="1692" spans="3:17" x14ac:dyDescent="0.25">
      <c r="C1692" s="191"/>
      <c r="K1692" s="283" t="s">
        <v>1272</v>
      </c>
      <c r="L1692" s="283" t="s">
        <v>672</v>
      </c>
      <c r="M1692" s="283" t="s">
        <v>250</v>
      </c>
      <c r="N1692" s="283" t="s">
        <v>252</v>
      </c>
      <c r="O1692" s="283">
        <v>124</v>
      </c>
      <c r="P1692" s="283">
        <v>70</v>
      </c>
      <c r="Q1692" s="235">
        <f>(O1692+IF('Scenario Analysis'!$N$23=1,0,0.5))*P1692</f>
        <v>8715</v>
      </c>
    </row>
    <row r="1693" spans="3:17" x14ac:dyDescent="0.25">
      <c r="C1693" s="191"/>
      <c r="K1693" s="283" t="s">
        <v>1272</v>
      </c>
      <c r="L1693" s="283" t="s">
        <v>672</v>
      </c>
      <c r="M1693" s="283" t="s">
        <v>250</v>
      </c>
      <c r="N1693" s="283" t="s">
        <v>252</v>
      </c>
      <c r="O1693" s="283">
        <v>125</v>
      </c>
      <c r="P1693" s="283">
        <v>279</v>
      </c>
      <c r="Q1693" s="235">
        <f>(O1693+IF('Scenario Analysis'!$N$23=1,0,0.5))*P1693</f>
        <v>35014.5</v>
      </c>
    </row>
    <row r="1694" spans="3:17" x14ac:dyDescent="0.25">
      <c r="C1694" s="191"/>
      <c r="K1694" s="283" t="s">
        <v>1272</v>
      </c>
      <c r="L1694" s="283" t="s">
        <v>672</v>
      </c>
      <c r="M1694" s="283" t="s">
        <v>250</v>
      </c>
      <c r="N1694" s="283" t="s">
        <v>252</v>
      </c>
      <c r="O1694" s="283">
        <v>126</v>
      </c>
      <c r="P1694" s="283">
        <v>679</v>
      </c>
      <c r="Q1694" s="235">
        <f>(O1694+IF('Scenario Analysis'!$N$23=1,0,0.5))*P1694</f>
        <v>85893.5</v>
      </c>
    </row>
    <row r="1695" spans="3:17" x14ac:dyDescent="0.25">
      <c r="C1695" s="191"/>
      <c r="K1695" s="283" t="s">
        <v>1272</v>
      </c>
      <c r="L1695" s="283" t="s">
        <v>672</v>
      </c>
      <c r="M1695" s="283" t="s">
        <v>250</v>
      </c>
      <c r="N1695" s="283" t="s">
        <v>252</v>
      </c>
      <c r="O1695" s="283">
        <v>127</v>
      </c>
      <c r="P1695" s="283">
        <v>795</v>
      </c>
      <c r="Q1695" s="235">
        <f>(O1695+IF('Scenario Analysis'!$N$23=1,0,0.5))*P1695</f>
        <v>101362.5</v>
      </c>
    </row>
    <row r="1696" spans="3:17" x14ac:dyDescent="0.25">
      <c r="C1696" s="191"/>
      <c r="K1696" s="283" t="s">
        <v>1272</v>
      </c>
      <c r="L1696" s="283" t="s">
        <v>672</v>
      </c>
      <c r="M1696" s="283" t="s">
        <v>250</v>
      </c>
      <c r="N1696" s="283" t="s">
        <v>252</v>
      </c>
      <c r="O1696" s="283">
        <v>128</v>
      </c>
      <c r="P1696" s="283">
        <v>187</v>
      </c>
      <c r="Q1696" s="235">
        <f>(O1696+IF('Scenario Analysis'!$N$23=1,0,0.5))*P1696</f>
        <v>24029.5</v>
      </c>
    </row>
    <row r="1697" spans="3:17" x14ac:dyDescent="0.25">
      <c r="C1697" s="191"/>
      <c r="K1697" s="283" t="s">
        <v>1272</v>
      </c>
      <c r="L1697" s="283" t="s">
        <v>672</v>
      </c>
      <c r="M1697" s="283" t="s">
        <v>250</v>
      </c>
      <c r="N1697" s="283" t="s">
        <v>252</v>
      </c>
      <c r="O1697" s="283">
        <v>129</v>
      </c>
      <c r="P1697" s="283">
        <v>2145</v>
      </c>
      <c r="Q1697" s="235">
        <f>(O1697+IF('Scenario Analysis'!$N$23=1,0,0.5))*P1697</f>
        <v>277777.5</v>
      </c>
    </row>
    <row r="1698" spans="3:17" x14ac:dyDescent="0.25">
      <c r="C1698" s="191"/>
      <c r="K1698" s="283" t="s">
        <v>1272</v>
      </c>
      <c r="L1698" s="283" t="s">
        <v>672</v>
      </c>
      <c r="M1698" s="283" t="s">
        <v>250</v>
      </c>
      <c r="N1698" s="283" t="s">
        <v>252</v>
      </c>
      <c r="O1698" s="283">
        <v>130</v>
      </c>
      <c r="P1698" s="283">
        <v>1779</v>
      </c>
      <c r="Q1698" s="235">
        <f>(O1698+IF('Scenario Analysis'!$N$23=1,0,0.5))*P1698</f>
        <v>232159.5</v>
      </c>
    </row>
    <row r="1699" spans="3:17" x14ac:dyDescent="0.25">
      <c r="C1699" s="191"/>
      <c r="K1699" s="283" t="s">
        <v>1272</v>
      </c>
      <c r="L1699" s="283" t="s">
        <v>672</v>
      </c>
      <c r="M1699" s="283" t="s">
        <v>250</v>
      </c>
      <c r="N1699" s="283" t="s">
        <v>252</v>
      </c>
      <c r="O1699" s="283">
        <v>131</v>
      </c>
      <c r="P1699" s="283">
        <v>3155</v>
      </c>
      <c r="Q1699" s="235">
        <f>(O1699+IF('Scenario Analysis'!$N$23=1,0,0.5))*P1699</f>
        <v>414882.5</v>
      </c>
    </row>
    <row r="1700" spans="3:17" x14ac:dyDescent="0.25">
      <c r="C1700" s="191"/>
      <c r="K1700" s="283" t="s">
        <v>1272</v>
      </c>
      <c r="L1700" s="283" t="s">
        <v>672</v>
      </c>
      <c r="M1700" s="283" t="s">
        <v>250</v>
      </c>
      <c r="N1700" s="283" t="s">
        <v>252</v>
      </c>
      <c r="O1700" s="283">
        <v>132</v>
      </c>
      <c r="P1700" s="283">
        <v>411</v>
      </c>
      <c r="Q1700" s="235">
        <f>(O1700+IF('Scenario Analysis'!$N$23=1,0,0.5))*P1700</f>
        <v>54457.5</v>
      </c>
    </row>
    <row r="1701" spans="3:17" x14ac:dyDescent="0.25">
      <c r="C1701" s="191"/>
      <c r="K1701" s="283" t="s">
        <v>1272</v>
      </c>
      <c r="L1701" s="283" t="s">
        <v>672</v>
      </c>
      <c r="M1701" s="283" t="s">
        <v>250</v>
      </c>
      <c r="N1701" s="283" t="s">
        <v>252</v>
      </c>
      <c r="O1701" s="283">
        <v>133</v>
      </c>
      <c r="P1701" s="283">
        <v>44</v>
      </c>
      <c r="Q1701" s="235">
        <f>(O1701+IF('Scenario Analysis'!$N$23=1,0,0.5))*P1701</f>
        <v>5874</v>
      </c>
    </row>
    <row r="1702" spans="3:17" x14ac:dyDescent="0.25">
      <c r="C1702" s="191"/>
      <c r="K1702" s="283" t="s">
        <v>1272</v>
      </c>
      <c r="L1702" s="283" t="s">
        <v>672</v>
      </c>
      <c r="M1702" s="283" t="s">
        <v>250</v>
      </c>
      <c r="N1702" s="283" t="s">
        <v>252</v>
      </c>
      <c r="O1702" s="283">
        <v>134</v>
      </c>
      <c r="P1702" s="283">
        <v>2806</v>
      </c>
      <c r="Q1702" s="235">
        <f>(O1702+IF('Scenario Analysis'!$N$23=1,0,0.5))*P1702</f>
        <v>377407</v>
      </c>
    </row>
    <row r="1703" spans="3:17" x14ac:dyDescent="0.25">
      <c r="C1703" s="191"/>
      <c r="K1703" s="283" t="s">
        <v>1272</v>
      </c>
      <c r="L1703" s="283" t="s">
        <v>672</v>
      </c>
      <c r="M1703" s="283" t="s">
        <v>250</v>
      </c>
      <c r="N1703" s="283" t="s">
        <v>252</v>
      </c>
      <c r="O1703" s="283">
        <v>135</v>
      </c>
      <c r="P1703" s="283">
        <v>108</v>
      </c>
      <c r="Q1703" s="235">
        <f>(O1703+IF('Scenario Analysis'!$N$23=1,0,0.5))*P1703</f>
        <v>14634</v>
      </c>
    </row>
    <row r="1704" spans="3:17" x14ac:dyDescent="0.25">
      <c r="C1704" s="191"/>
      <c r="K1704" s="283" t="s">
        <v>1272</v>
      </c>
      <c r="L1704" s="283" t="s">
        <v>672</v>
      </c>
      <c r="M1704" s="283" t="s">
        <v>250</v>
      </c>
      <c r="N1704" s="283" t="s">
        <v>252</v>
      </c>
      <c r="O1704" s="283">
        <v>136</v>
      </c>
      <c r="P1704" s="283">
        <v>14</v>
      </c>
      <c r="Q1704" s="235">
        <f>(O1704+IF('Scenario Analysis'!$N$23=1,0,0.5))*P1704</f>
        <v>1911</v>
      </c>
    </row>
    <row r="1705" spans="3:17" x14ac:dyDescent="0.25">
      <c r="C1705" s="191"/>
      <c r="K1705" s="283" t="s">
        <v>1272</v>
      </c>
      <c r="L1705" s="283" t="s">
        <v>672</v>
      </c>
      <c r="M1705" s="283" t="s">
        <v>250</v>
      </c>
      <c r="N1705" s="283" t="s">
        <v>252</v>
      </c>
      <c r="O1705" s="283">
        <v>137</v>
      </c>
      <c r="P1705" s="283">
        <v>744</v>
      </c>
      <c r="Q1705" s="235">
        <f>(O1705+IF('Scenario Analysis'!$N$23=1,0,0.5))*P1705</f>
        <v>102300</v>
      </c>
    </row>
    <row r="1706" spans="3:17" x14ac:dyDescent="0.25">
      <c r="C1706" s="191"/>
      <c r="K1706" s="283" t="s">
        <v>1272</v>
      </c>
      <c r="L1706" s="283" t="s">
        <v>672</v>
      </c>
      <c r="M1706" s="283" t="s">
        <v>250</v>
      </c>
      <c r="N1706" s="283" t="s">
        <v>252</v>
      </c>
      <c r="O1706" s="283">
        <v>138</v>
      </c>
      <c r="P1706" s="283">
        <v>245</v>
      </c>
      <c r="Q1706" s="235">
        <f>(O1706+IF('Scenario Analysis'!$N$23=1,0,0.5))*P1706</f>
        <v>33932.5</v>
      </c>
    </row>
    <row r="1707" spans="3:17" x14ac:dyDescent="0.25">
      <c r="C1707" s="191"/>
      <c r="K1707" s="283" t="s">
        <v>1272</v>
      </c>
      <c r="L1707" s="283" t="s">
        <v>672</v>
      </c>
      <c r="M1707" s="283" t="s">
        <v>250</v>
      </c>
      <c r="N1707" s="283" t="s">
        <v>252</v>
      </c>
      <c r="O1707" s="283">
        <v>139</v>
      </c>
      <c r="P1707" s="283">
        <v>1091</v>
      </c>
      <c r="Q1707" s="235">
        <f>(O1707+IF('Scenario Analysis'!$N$23=1,0,0.5))*P1707</f>
        <v>152194.5</v>
      </c>
    </row>
    <row r="1708" spans="3:17" x14ac:dyDescent="0.25">
      <c r="C1708" s="191"/>
      <c r="K1708" s="283" t="s">
        <v>1272</v>
      </c>
      <c r="L1708" s="283" t="s">
        <v>672</v>
      </c>
      <c r="M1708" s="283" t="s">
        <v>250</v>
      </c>
      <c r="N1708" s="283" t="s">
        <v>252</v>
      </c>
      <c r="O1708" s="283">
        <v>140</v>
      </c>
      <c r="P1708" s="283">
        <v>208</v>
      </c>
      <c r="Q1708" s="235">
        <f>(O1708+IF('Scenario Analysis'!$N$23=1,0,0.5))*P1708</f>
        <v>29224</v>
      </c>
    </row>
    <row r="1709" spans="3:17" x14ac:dyDescent="0.25">
      <c r="C1709" s="191"/>
      <c r="K1709" s="283" t="s">
        <v>1272</v>
      </c>
      <c r="L1709" s="283" t="s">
        <v>672</v>
      </c>
      <c r="M1709" s="283" t="s">
        <v>250</v>
      </c>
      <c r="N1709" s="283" t="s">
        <v>252</v>
      </c>
      <c r="O1709" s="283">
        <v>141</v>
      </c>
      <c r="P1709" s="283">
        <v>468</v>
      </c>
      <c r="Q1709" s="235">
        <f>(O1709+IF('Scenario Analysis'!$N$23=1,0,0.5))*P1709</f>
        <v>66222</v>
      </c>
    </row>
    <row r="1710" spans="3:17" x14ac:dyDescent="0.25">
      <c r="C1710" s="191"/>
      <c r="K1710" s="283" t="s">
        <v>1272</v>
      </c>
      <c r="L1710" s="283" t="s">
        <v>672</v>
      </c>
      <c r="M1710" s="283" t="s">
        <v>250</v>
      </c>
      <c r="N1710" s="283" t="s">
        <v>252</v>
      </c>
      <c r="O1710" s="283">
        <v>142</v>
      </c>
      <c r="P1710" s="283">
        <v>1621</v>
      </c>
      <c r="Q1710" s="235">
        <f>(O1710+IF('Scenario Analysis'!$N$23=1,0,0.5))*P1710</f>
        <v>230992.5</v>
      </c>
    </row>
    <row r="1711" spans="3:17" x14ac:dyDescent="0.25">
      <c r="C1711" s="191"/>
      <c r="K1711" s="283" t="s">
        <v>1272</v>
      </c>
      <c r="L1711" s="283" t="s">
        <v>672</v>
      </c>
      <c r="M1711" s="283" t="s">
        <v>250</v>
      </c>
      <c r="N1711" s="283" t="s">
        <v>252</v>
      </c>
      <c r="O1711" s="283">
        <v>143</v>
      </c>
      <c r="P1711" s="283">
        <v>3379</v>
      </c>
      <c r="Q1711" s="235">
        <f>(O1711+IF('Scenario Analysis'!$N$23=1,0,0.5))*P1711</f>
        <v>484886.5</v>
      </c>
    </row>
    <row r="1712" spans="3:17" x14ac:dyDescent="0.25">
      <c r="C1712" s="191"/>
      <c r="K1712" s="283" t="s">
        <v>1272</v>
      </c>
      <c r="L1712" s="283" t="s">
        <v>672</v>
      </c>
      <c r="M1712" s="283" t="s">
        <v>250</v>
      </c>
      <c r="N1712" s="283" t="s">
        <v>252</v>
      </c>
      <c r="O1712" s="283">
        <v>144</v>
      </c>
      <c r="P1712" s="283">
        <v>324</v>
      </c>
      <c r="Q1712" s="235">
        <f>(O1712+IF('Scenario Analysis'!$N$23=1,0,0.5))*P1712</f>
        <v>46818</v>
      </c>
    </row>
    <row r="1713" spans="3:17" x14ac:dyDescent="0.25">
      <c r="C1713" s="191"/>
      <c r="K1713" s="283" t="s">
        <v>1272</v>
      </c>
      <c r="L1713" s="283" t="s">
        <v>672</v>
      </c>
      <c r="M1713" s="283" t="s">
        <v>250</v>
      </c>
      <c r="N1713" s="283" t="s">
        <v>252</v>
      </c>
      <c r="O1713" s="283">
        <v>145</v>
      </c>
      <c r="P1713" s="283">
        <v>123</v>
      </c>
      <c r="Q1713" s="235">
        <f>(O1713+IF('Scenario Analysis'!$N$23=1,0,0.5))*P1713</f>
        <v>17896.5</v>
      </c>
    </row>
    <row r="1714" spans="3:17" x14ac:dyDescent="0.25">
      <c r="C1714" s="191"/>
      <c r="K1714" s="283" t="s">
        <v>1272</v>
      </c>
      <c r="L1714" s="283" t="s">
        <v>672</v>
      </c>
      <c r="M1714" s="283" t="s">
        <v>250</v>
      </c>
      <c r="N1714" s="283" t="s">
        <v>252</v>
      </c>
      <c r="O1714" s="283">
        <v>146</v>
      </c>
      <c r="P1714" s="283">
        <v>28</v>
      </c>
      <c r="Q1714" s="235">
        <f>(O1714+IF('Scenario Analysis'!$N$23=1,0,0.5))*P1714</f>
        <v>4102</v>
      </c>
    </row>
    <row r="1715" spans="3:17" x14ac:dyDescent="0.25">
      <c r="C1715" s="191"/>
      <c r="K1715" s="283" t="s">
        <v>1272</v>
      </c>
      <c r="L1715" s="283" t="s">
        <v>672</v>
      </c>
      <c r="M1715" s="283" t="s">
        <v>250</v>
      </c>
      <c r="N1715" s="283" t="s">
        <v>252</v>
      </c>
      <c r="O1715" s="283">
        <v>147</v>
      </c>
      <c r="P1715" s="283">
        <v>7606</v>
      </c>
      <c r="Q1715" s="235">
        <f>(O1715+IF('Scenario Analysis'!$N$23=1,0,0.5))*P1715</f>
        <v>1121885</v>
      </c>
    </row>
    <row r="1716" spans="3:17" x14ac:dyDescent="0.25">
      <c r="C1716" s="191"/>
      <c r="K1716" s="283" t="s">
        <v>1272</v>
      </c>
      <c r="L1716" s="283" t="s">
        <v>672</v>
      </c>
      <c r="M1716" s="283" t="s">
        <v>250</v>
      </c>
      <c r="N1716" s="283" t="s">
        <v>252</v>
      </c>
      <c r="O1716" s="283">
        <v>148</v>
      </c>
      <c r="P1716" s="283">
        <v>28</v>
      </c>
      <c r="Q1716" s="235">
        <f>(O1716+IF('Scenario Analysis'!$N$23=1,0,0.5))*P1716</f>
        <v>4158</v>
      </c>
    </row>
    <row r="1717" spans="3:17" x14ac:dyDescent="0.25">
      <c r="C1717" s="191"/>
      <c r="K1717" s="283" t="s">
        <v>1272</v>
      </c>
      <c r="L1717" s="283" t="s">
        <v>672</v>
      </c>
      <c r="M1717" s="283" t="s">
        <v>250</v>
      </c>
      <c r="N1717" s="283" t="s">
        <v>252</v>
      </c>
      <c r="O1717" s="283">
        <v>149</v>
      </c>
      <c r="P1717" s="283">
        <v>199</v>
      </c>
      <c r="Q1717" s="235">
        <f>(O1717+IF('Scenario Analysis'!$N$23=1,0,0.5))*P1717</f>
        <v>29750.5</v>
      </c>
    </row>
    <row r="1718" spans="3:17" x14ac:dyDescent="0.25">
      <c r="C1718" s="191"/>
      <c r="K1718" s="283" t="s">
        <v>1272</v>
      </c>
      <c r="L1718" s="283" t="s">
        <v>672</v>
      </c>
      <c r="M1718" s="283" t="s">
        <v>250</v>
      </c>
      <c r="N1718" s="283" t="s">
        <v>252</v>
      </c>
      <c r="O1718" s="283">
        <v>150</v>
      </c>
      <c r="P1718" s="283">
        <v>30864</v>
      </c>
      <c r="Q1718" s="235">
        <f>(O1718+IF('Scenario Analysis'!$N$23=1,0,0.5))*P1718</f>
        <v>4645032</v>
      </c>
    </row>
    <row r="1719" spans="3:17" x14ac:dyDescent="0.25">
      <c r="C1719" s="191"/>
      <c r="K1719" s="283" t="s">
        <v>1272</v>
      </c>
      <c r="L1719" s="283" t="s">
        <v>673</v>
      </c>
      <c r="M1719" s="283" t="s">
        <v>250</v>
      </c>
      <c r="N1719" s="283" t="s">
        <v>253</v>
      </c>
      <c r="O1719" s="283">
        <v>0</v>
      </c>
      <c r="P1719" s="283">
        <v>30187</v>
      </c>
      <c r="Q1719" s="235">
        <f>(O1719+IF('Scenario Analysis'!$N$23=1,0,0.5))*P1719</f>
        <v>15093.5</v>
      </c>
    </row>
    <row r="1720" spans="3:17" x14ac:dyDescent="0.25">
      <c r="C1720" s="191"/>
      <c r="K1720" s="283" t="s">
        <v>1272</v>
      </c>
      <c r="L1720" s="283" t="s">
        <v>673</v>
      </c>
      <c r="M1720" s="283" t="s">
        <v>250</v>
      </c>
      <c r="N1720" s="283" t="s">
        <v>253</v>
      </c>
      <c r="O1720" s="283">
        <v>1</v>
      </c>
      <c r="P1720" s="283">
        <v>505638</v>
      </c>
      <c r="Q1720" s="235">
        <f>(O1720+IF('Scenario Analysis'!$N$23=1,0,0.5))*P1720</f>
        <v>758457</v>
      </c>
    </row>
    <row r="1721" spans="3:17" x14ac:dyDescent="0.25">
      <c r="C1721" s="191"/>
      <c r="K1721" s="283" t="s">
        <v>1272</v>
      </c>
      <c r="L1721" s="283" t="s">
        <v>673</v>
      </c>
      <c r="M1721" s="283" t="s">
        <v>250</v>
      </c>
      <c r="N1721" s="283" t="s">
        <v>253</v>
      </c>
      <c r="O1721" s="283">
        <v>2</v>
      </c>
      <c r="P1721" s="283">
        <v>447699</v>
      </c>
      <c r="Q1721" s="235">
        <f>(O1721+IF('Scenario Analysis'!$N$23=1,0,0.5))*P1721</f>
        <v>1119247.5</v>
      </c>
    </row>
    <row r="1722" spans="3:17" x14ac:dyDescent="0.25">
      <c r="C1722" s="191"/>
      <c r="K1722" s="283" t="s">
        <v>1272</v>
      </c>
      <c r="L1722" s="283" t="s">
        <v>673</v>
      </c>
      <c r="M1722" s="283" t="s">
        <v>250</v>
      </c>
      <c r="N1722" s="283" t="s">
        <v>253</v>
      </c>
      <c r="O1722" s="283">
        <v>3</v>
      </c>
      <c r="P1722" s="283">
        <v>1169044</v>
      </c>
      <c r="Q1722" s="235">
        <f>(O1722+IF('Scenario Analysis'!$N$23=1,0,0.5))*P1722</f>
        <v>4091654</v>
      </c>
    </row>
    <row r="1723" spans="3:17" x14ac:dyDescent="0.25">
      <c r="C1723" s="191"/>
      <c r="K1723" s="283" t="s">
        <v>1272</v>
      </c>
      <c r="L1723" s="283" t="s">
        <v>673</v>
      </c>
      <c r="M1723" s="283" t="s">
        <v>250</v>
      </c>
      <c r="N1723" s="283" t="s">
        <v>253</v>
      </c>
      <c r="O1723" s="283">
        <v>4</v>
      </c>
      <c r="P1723" s="283">
        <v>633277</v>
      </c>
      <c r="Q1723" s="235">
        <f>(O1723+IF('Scenario Analysis'!$N$23=1,0,0.5))*P1723</f>
        <v>2849746.5</v>
      </c>
    </row>
    <row r="1724" spans="3:17" x14ac:dyDescent="0.25">
      <c r="C1724" s="191"/>
      <c r="K1724" s="283" t="s">
        <v>1272</v>
      </c>
      <c r="L1724" s="283" t="s">
        <v>673</v>
      </c>
      <c r="M1724" s="283" t="s">
        <v>250</v>
      </c>
      <c r="N1724" s="283" t="s">
        <v>253</v>
      </c>
      <c r="O1724" s="283">
        <v>5</v>
      </c>
      <c r="P1724" s="283">
        <v>591920</v>
      </c>
      <c r="Q1724" s="235">
        <f>(O1724+IF('Scenario Analysis'!$N$23=1,0,0.5))*P1724</f>
        <v>3255560</v>
      </c>
    </row>
    <row r="1725" spans="3:17" x14ac:dyDescent="0.25">
      <c r="C1725" s="191"/>
      <c r="K1725" s="283" t="s">
        <v>1272</v>
      </c>
      <c r="L1725" s="283" t="s">
        <v>673</v>
      </c>
      <c r="M1725" s="283" t="s">
        <v>250</v>
      </c>
      <c r="N1725" s="283" t="s">
        <v>253</v>
      </c>
      <c r="O1725" s="283">
        <v>6</v>
      </c>
      <c r="P1725" s="283">
        <v>849211</v>
      </c>
      <c r="Q1725" s="235">
        <f>(O1725+IF('Scenario Analysis'!$N$23=1,0,0.5))*P1725</f>
        <v>5519871.5</v>
      </c>
    </row>
    <row r="1726" spans="3:17" x14ac:dyDescent="0.25">
      <c r="C1726" s="191"/>
      <c r="K1726" s="283" t="s">
        <v>1272</v>
      </c>
      <c r="L1726" s="283" t="s">
        <v>673</v>
      </c>
      <c r="M1726" s="283" t="s">
        <v>250</v>
      </c>
      <c r="N1726" s="283" t="s">
        <v>253</v>
      </c>
      <c r="O1726" s="283">
        <v>7</v>
      </c>
      <c r="P1726" s="283">
        <v>336553</v>
      </c>
      <c r="Q1726" s="235">
        <f>(O1726+IF('Scenario Analysis'!$N$23=1,0,0.5))*P1726</f>
        <v>2524147.5</v>
      </c>
    </row>
    <row r="1727" spans="3:17" x14ac:dyDescent="0.25">
      <c r="C1727" s="191"/>
      <c r="K1727" s="283" t="s">
        <v>1272</v>
      </c>
      <c r="L1727" s="283" t="s">
        <v>673</v>
      </c>
      <c r="M1727" s="283" t="s">
        <v>250</v>
      </c>
      <c r="N1727" s="283" t="s">
        <v>253</v>
      </c>
      <c r="O1727" s="283">
        <v>8</v>
      </c>
      <c r="P1727" s="283">
        <v>568970</v>
      </c>
      <c r="Q1727" s="235">
        <f>(O1727+IF('Scenario Analysis'!$N$23=1,0,0.5))*P1727</f>
        <v>4836245</v>
      </c>
    </row>
    <row r="1728" spans="3:17" x14ac:dyDescent="0.25">
      <c r="C1728" s="191"/>
      <c r="K1728" s="283" t="s">
        <v>1272</v>
      </c>
      <c r="L1728" s="283" t="s">
        <v>673</v>
      </c>
      <c r="M1728" s="283" t="s">
        <v>250</v>
      </c>
      <c r="N1728" s="283" t="s">
        <v>253</v>
      </c>
      <c r="O1728" s="283">
        <v>9</v>
      </c>
      <c r="P1728" s="283">
        <v>521271</v>
      </c>
      <c r="Q1728" s="235">
        <f>(O1728+IF('Scenario Analysis'!$N$23=1,0,0.5))*P1728</f>
        <v>4952074.5</v>
      </c>
    </row>
    <row r="1729" spans="3:17" x14ac:dyDescent="0.25">
      <c r="C1729" s="191"/>
      <c r="K1729" s="283" t="s">
        <v>1272</v>
      </c>
      <c r="L1729" s="283" t="s">
        <v>673</v>
      </c>
      <c r="M1729" s="283" t="s">
        <v>250</v>
      </c>
      <c r="N1729" s="283" t="s">
        <v>253</v>
      </c>
      <c r="O1729" s="283">
        <v>10</v>
      </c>
      <c r="P1729" s="283">
        <v>450516</v>
      </c>
      <c r="Q1729" s="235">
        <f>(O1729+IF('Scenario Analysis'!$N$23=1,0,0.5))*P1729</f>
        <v>4730418</v>
      </c>
    </row>
    <row r="1730" spans="3:17" x14ac:dyDescent="0.25">
      <c r="C1730" s="191"/>
      <c r="K1730" s="283" t="s">
        <v>1272</v>
      </c>
      <c r="L1730" s="283" t="s">
        <v>673</v>
      </c>
      <c r="M1730" s="283" t="s">
        <v>250</v>
      </c>
      <c r="N1730" s="283" t="s">
        <v>253</v>
      </c>
      <c r="O1730" s="283">
        <v>11</v>
      </c>
      <c r="P1730" s="283">
        <v>546379</v>
      </c>
      <c r="Q1730" s="235">
        <f>(O1730+IF('Scenario Analysis'!$N$23=1,0,0.5))*P1730</f>
        <v>6283358.5</v>
      </c>
    </row>
    <row r="1731" spans="3:17" x14ac:dyDescent="0.25">
      <c r="C1731" s="191"/>
      <c r="K1731" s="283" t="s">
        <v>1272</v>
      </c>
      <c r="L1731" s="283" t="s">
        <v>673</v>
      </c>
      <c r="M1731" s="283" t="s">
        <v>250</v>
      </c>
      <c r="N1731" s="283" t="s">
        <v>253</v>
      </c>
      <c r="O1731" s="283">
        <v>12</v>
      </c>
      <c r="P1731" s="283">
        <v>483086</v>
      </c>
      <c r="Q1731" s="235">
        <f>(O1731+IF('Scenario Analysis'!$N$23=1,0,0.5))*P1731</f>
        <v>6038575</v>
      </c>
    </row>
    <row r="1732" spans="3:17" x14ac:dyDescent="0.25">
      <c r="C1732" s="191"/>
      <c r="K1732" s="283" t="s">
        <v>1272</v>
      </c>
      <c r="L1732" s="283" t="s">
        <v>673</v>
      </c>
      <c r="M1732" s="283" t="s">
        <v>250</v>
      </c>
      <c r="N1732" s="283" t="s">
        <v>253</v>
      </c>
      <c r="O1732" s="283">
        <v>13</v>
      </c>
      <c r="P1732" s="283">
        <v>422965</v>
      </c>
      <c r="Q1732" s="235">
        <f>(O1732+IF('Scenario Analysis'!$N$23=1,0,0.5))*P1732</f>
        <v>5710027.5</v>
      </c>
    </row>
    <row r="1733" spans="3:17" x14ac:dyDescent="0.25">
      <c r="C1733" s="191"/>
      <c r="K1733" s="283" t="s">
        <v>1272</v>
      </c>
      <c r="L1733" s="283" t="s">
        <v>673</v>
      </c>
      <c r="M1733" s="283" t="s">
        <v>250</v>
      </c>
      <c r="N1733" s="283" t="s">
        <v>253</v>
      </c>
      <c r="O1733" s="283">
        <v>14</v>
      </c>
      <c r="P1733" s="283">
        <v>568806</v>
      </c>
      <c r="Q1733" s="235">
        <f>(O1733+IF('Scenario Analysis'!$N$23=1,0,0.5))*P1733</f>
        <v>8247687</v>
      </c>
    </row>
    <row r="1734" spans="3:17" x14ac:dyDescent="0.25">
      <c r="C1734" s="191"/>
      <c r="K1734" s="283" t="s">
        <v>1272</v>
      </c>
      <c r="L1734" s="283" t="s">
        <v>673</v>
      </c>
      <c r="M1734" s="283" t="s">
        <v>250</v>
      </c>
      <c r="N1734" s="283" t="s">
        <v>253</v>
      </c>
      <c r="O1734" s="283">
        <v>15</v>
      </c>
      <c r="P1734" s="283">
        <v>217751</v>
      </c>
      <c r="Q1734" s="235">
        <f>(O1734+IF('Scenario Analysis'!$N$23=1,0,0.5))*P1734</f>
        <v>3375140.5</v>
      </c>
    </row>
    <row r="1735" spans="3:17" x14ac:dyDescent="0.25">
      <c r="C1735" s="191"/>
      <c r="K1735" s="283" t="s">
        <v>1272</v>
      </c>
      <c r="L1735" s="283" t="s">
        <v>673</v>
      </c>
      <c r="M1735" s="283" t="s">
        <v>250</v>
      </c>
      <c r="N1735" s="283" t="s">
        <v>253</v>
      </c>
      <c r="O1735" s="283">
        <v>16</v>
      </c>
      <c r="P1735" s="283">
        <v>304041</v>
      </c>
      <c r="Q1735" s="235">
        <f>(O1735+IF('Scenario Analysis'!$N$23=1,0,0.5))*P1735</f>
        <v>5016676.5</v>
      </c>
    </row>
    <row r="1736" spans="3:17" x14ac:dyDescent="0.25">
      <c r="C1736" s="191"/>
      <c r="K1736" s="283" t="s">
        <v>1272</v>
      </c>
      <c r="L1736" s="283" t="s">
        <v>673</v>
      </c>
      <c r="M1736" s="283" t="s">
        <v>250</v>
      </c>
      <c r="N1736" s="283" t="s">
        <v>253</v>
      </c>
      <c r="O1736" s="283">
        <v>17</v>
      </c>
      <c r="P1736" s="283">
        <v>242053</v>
      </c>
      <c r="Q1736" s="235">
        <f>(O1736+IF('Scenario Analysis'!$N$23=1,0,0.5))*P1736</f>
        <v>4235927.5</v>
      </c>
    </row>
    <row r="1737" spans="3:17" x14ac:dyDescent="0.25">
      <c r="C1737" s="191"/>
      <c r="K1737" s="283" t="s">
        <v>1272</v>
      </c>
      <c r="L1737" s="283" t="s">
        <v>673</v>
      </c>
      <c r="M1737" s="283" t="s">
        <v>250</v>
      </c>
      <c r="N1737" s="283" t="s">
        <v>253</v>
      </c>
      <c r="O1737" s="283">
        <v>18</v>
      </c>
      <c r="P1737" s="283">
        <v>342121</v>
      </c>
      <c r="Q1737" s="235">
        <f>(O1737+IF('Scenario Analysis'!$N$23=1,0,0.5))*P1737</f>
        <v>6329238.5</v>
      </c>
    </row>
    <row r="1738" spans="3:17" x14ac:dyDescent="0.25">
      <c r="C1738" s="191"/>
      <c r="K1738" s="283" t="s">
        <v>1272</v>
      </c>
      <c r="L1738" s="283" t="s">
        <v>673</v>
      </c>
      <c r="M1738" s="283" t="s">
        <v>250</v>
      </c>
      <c r="N1738" s="283" t="s">
        <v>253</v>
      </c>
      <c r="O1738" s="283">
        <v>19</v>
      </c>
      <c r="P1738" s="283">
        <v>318769</v>
      </c>
      <c r="Q1738" s="235">
        <f>(O1738+IF('Scenario Analysis'!$N$23=1,0,0.5))*P1738</f>
        <v>6215995.5</v>
      </c>
    </row>
    <row r="1739" spans="3:17" x14ac:dyDescent="0.25">
      <c r="C1739" s="191"/>
      <c r="K1739" s="283" t="s">
        <v>1272</v>
      </c>
      <c r="L1739" s="283" t="s">
        <v>673</v>
      </c>
      <c r="M1739" s="283" t="s">
        <v>250</v>
      </c>
      <c r="N1739" s="283" t="s">
        <v>253</v>
      </c>
      <c r="O1739" s="283">
        <v>20</v>
      </c>
      <c r="P1739" s="283">
        <v>210612</v>
      </c>
      <c r="Q1739" s="235">
        <f>(O1739+IF('Scenario Analysis'!$N$23=1,0,0.5))*P1739</f>
        <v>4317546</v>
      </c>
    </row>
    <row r="1740" spans="3:17" x14ac:dyDescent="0.25">
      <c r="C1740" s="191"/>
      <c r="K1740" s="283" t="s">
        <v>1272</v>
      </c>
      <c r="L1740" s="283" t="s">
        <v>673</v>
      </c>
      <c r="M1740" s="283" t="s">
        <v>250</v>
      </c>
      <c r="N1740" s="283" t="s">
        <v>253</v>
      </c>
      <c r="O1740" s="283">
        <v>21</v>
      </c>
      <c r="P1740" s="283">
        <v>329020</v>
      </c>
      <c r="Q1740" s="235">
        <f>(O1740+IF('Scenario Analysis'!$N$23=1,0,0.5))*P1740</f>
        <v>7073930</v>
      </c>
    </row>
    <row r="1741" spans="3:17" x14ac:dyDescent="0.25">
      <c r="C1741" s="191"/>
      <c r="K1741" s="283" t="s">
        <v>1272</v>
      </c>
      <c r="L1741" s="283" t="s">
        <v>673</v>
      </c>
      <c r="M1741" s="283" t="s">
        <v>250</v>
      </c>
      <c r="N1741" s="283" t="s">
        <v>253</v>
      </c>
      <c r="O1741" s="283">
        <v>22</v>
      </c>
      <c r="P1741" s="283">
        <v>157773</v>
      </c>
      <c r="Q1741" s="235">
        <f>(O1741+IF('Scenario Analysis'!$N$23=1,0,0.5))*P1741</f>
        <v>3549892.5</v>
      </c>
    </row>
    <row r="1742" spans="3:17" x14ac:dyDescent="0.25">
      <c r="C1742" s="191"/>
      <c r="K1742" s="283" t="s">
        <v>1272</v>
      </c>
      <c r="L1742" s="283" t="s">
        <v>673</v>
      </c>
      <c r="M1742" s="283" t="s">
        <v>250</v>
      </c>
      <c r="N1742" s="283" t="s">
        <v>253</v>
      </c>
      <c r="O1742" s="283">
        <v>23</v>
      </c>
      <c r="P1742" s="283">
        <v>224252</v>
      </c>
      <c r="Q1742" s="235">
        <f>(O1742+IF('Scenario Analysis'!$N$23=1,0,0.5))*P1742</f>
        <v>5269922</v>
      </c>
    </row>
    <row r="1743" spans="3:17" x14ac:dyDescent="0.25">
      <c r="C1743" s="191"/>
      <c r="K1743" s="283" t="s">
        <v>1272</v>
      </c>
      <c r="L1743" s="283" t="s">
        <v>673</v>
      </c>
      <c r="M1743" s="283" t="s">
        <v>250</v>
      </c>
      <c r="N1743" s="283" t="s">
        <v>253</v>
      </c>
      <c r="O1743" s="283">
        <v>24</v>
      </c>
      <c r="P1743" s="283">
        <v>242586</v>
      </c>
      <c r="Q1743" s="235">
        <f>(O1743+IF('Scenario Analysis'!$N$23=1,0,0.5))*P1743</f>
        <v>5943357</v>
      </c>
    </row>
    <row r="1744" spans="3:17" x14ac:dyDescent="0.25">
      <c r="C1744" s="191"/>
      <c r="K1744" s="283" t="s">
        <v>1272</v>
      </c>
      <c r="L1744" s="283" t="s">
        <v>673</v>
      </c>
      <c r="M1744" s="283" t="s">
        <v>250</v>
      </c>
      <c r="N1744" s="283" t="s">
        <v>253</v>
      </c>
      <c r="O1744" s="283">
        <v>25</v>
      </c>
      <c r="P1744" s="283">
        <v>157282</v>
      </c>
      <c r="Q1744" s="235">
        <f>(O1744+IF('Scenario Analysis'!$N$23=1,0,0.5))*P1744</f>
        <v>4010691</v>
      </c>
    </row>
    <row r="1745" spans="3:17" x14ac:dyDescent="0.25">
      <c r="C1745" s="191"/>
      <c r="K1745" s="283" t="s">
        <v>1272</v>
      </c>
      <c r="L1745" s="283" t="s">
        <v>673</v>
      </c>
      <c r="M1745" s="283" t="s">
        <v>250</v>
      </c>
      <c r="N1745" s="283" t="s">
        <v>253</v>
      </c>
      <c r="O1745" s="283">
        <v>26</v>
      </c>
      <c r="P1745" s="283">
        <v>259246</v>
      </c>
      <c r="Q1745" s="235">
        <f>(O1745+IF('Scenario Analysis'!$N$23=1,0,0.5))*P1745</f>
        <v>6870019</v>
      </c>
    </row>
    <row r="1746" spans="3:17" x14ac:dyDescent="0.25">
      <c r="C1746" s="191"/>
      <c r="K1746" s="283" t="s">
        <v>1272</v>
      </c>
      <c r="L1746" s="283" t="s">
        <v>673</v>
      </c>
      <c r="M1746" s="283" t="s">
        <v>250</v>
      </c>
      <c r="N1746" s="283" t="s">
        <v>253</v>
      </c>
      <c r="O1746" s="283">
        <v>27</v>
      </c>
      <c r="P1746" s="283">
        <v>114092</v>
      </c>
      <c r="Q1746" s="235">
        <f>(O1746+IF('Scenario Analysis'!$N$23=1,0,0.5))*P1746</f>
        <v>3137530</v>
      </c>
    </row>
    <row r="1747" spans="3:17" x14ac:dyDescent="0.25">
      <c r="C1747" s="191"/>
      <c r="K1747" s="283" t="s">
        <v>1272</v>
      </c>
      <c r="L1747" s="283" t="s">
        <v>673</v>
      </c>
      <c r="M1747" s="283" t="s">
        <v>250</v>
      </c>
      <c r="N1747" s="283" t="s">
        <v>253</v>
      </c>
      <c r="O1747" s="283">
        <v>28</v>
      </c>
      <c r="P1747" s="283">
        <v>134526</v>
      </c>
      <c r="Q1747" s="235">
        <f>(O1747+IF('Scenario Analysis'!$N$23=1,0,0.5))*P1747</f>
        <v>3833991</v>
      </c>
    </row>
    <row r="1748" spans="3:17" x14ac:dyDescent="0.25">
      <c r="C1748" s="191"/>
      <c r="K1748" s="283" t="s">
        <v>1272</v>
      </c>
      <c r="L1748" s="283" t="s">
        <v>673</v>
      </c>
      <c r="M1748" s="283" t="s">
        <v>250</v>
      </c>
      <c r="N1748" s="283" t="s">
        <v>253</v>
      </c>
      <c r="O1748" s="283">
        <v>29</v>
      </c>
      <c r="P1748" s="283">
        <v>107259</v>
      </c>
      <c r="Q1748" s="235">
        <f>(O1748+IF('Scenario Analysis'!$N$23=1,0,0.5))*P1748</f>
        <v>3164140.5</v>
      </c>
    </row>
    <row r="1749" spans="3:17" x14ac:dyDescent="0.25">
      <c r="C1749" s="191"/>
      <c r="K1749" s="283" t="s">
        <v>1272</v>
      </c>
      <c r="L1749" s="283" t="s">
        <v>673</v>
      </c>
      <c r="M1749" s="283" t="s">
        <v>250</v>
      </c>
      <c r="N1749" s="283" t="s">
        <v>253</v>
      </c>
      <c r="O1749" s="283">
        <v>30</v>
      </c>
      <c r="P1749" s="283">
        <v>83493</v>
      </c>
      <c r="Q1749" s="235">
        <f>(O1749+IF('Scenario Analysis'!$N$23=1,0,0.5))*P1749</f>
        <v>2546536.5</v>
      </c>
    </row>
    <row r="1750" spans="3:17" x14ac:dyDescent="0.25">
      <c r="C1750" s="191"/>
      <c r="K1750" s="283" t="s">
        <v>1272</v>
      </c>
      <c r="L1750" s="283" t="s">
        <v>673</v>
      </c>
      <c r="M1750" s="283" t="s">
        <v>250</v>
      </c>
      <c r="N1750" s="283" t="s">
        <v>253</v>
      </c>
      <c r="O1750" s="283">
        <v>31</v>
      </c>
      <c r="P1750" s="283">
        <v>131940</v>
      </c>
      <c r="Q1750" s="235">
        <f>(O1750+IF('Scenario Analysis'!$N$23=1,0,0.5))*P1750</f>
        <v>4156110</v>
      </c>
    </row>
    <row r="1751" spans="3:17" x14ac:dyDescent="0.25">
      <c r="C1751" s="191"/>
      <c r="K1751" s="283" t="s">
        <v>1272</v>
      </c>
      <c r="L1751" s="283" t="s">
        <v>673</v>
      </c>
      <c r="M1751" s="283" t="s">
        <v>250</v>
      </c>
      <c r="N1751" s="283" t="s">
        <v>253</v>
      </c>
      <c r="O1751" s="283">
        <v>32</v>
      </c>
      <c r="P1751" s="283">
        <v>113484</v>
      </c>
      <c r="Q1751" s="235">
        <f>(O1751+IF('Scenario Analysis'!$N$23=1,0,0.5))*P1751</f>
        <v>3688230</v>
      </c>
    </row>
    <row r="1752" spans="3:17" x14ac:dyDescent="0.25">
      <c r="C1752" s="191"/>
      <c r="K1752" s="283" t="s">
        <v>1272</v>
      </c>
      <c r="L1752" s="283" t="s">
        <v>673</v>
      </c>
      <c r="M1752" s="283" t="s">
        <v>250</v>
      </c>
      <c r="N1752" s="283" t="s">
        <v>253</v>
      </c>
      <c r="O1752" s="283">
        <v>33</v>
      </c>
      <c r="P1752" s="283">
        <v>87228</v>
      </c>
      <c r="Q1752" s="235">
        <f>(O1752+IF('Scenario Analysis'!$N$23=1,0,0.5))*P1752</f>
        <v>2922138</v>
      </c>
    </row>
    <row r="1753" spans="3:17" x14ac:dyDescent="0.25">
      <c r="C1753" s="191"/>
      <c r="K1753" s="283" t="s">
        <v>1272</v>
      </c>
      <c r="L1753" s="283" t="s">
        <v>673</v>
      </c>
      <c r="M1753" s="283" t="s">
        <v>250</v>
      </c>
      <c r="N1753" s="283" t="s">
        <v>253</v>
      </c>
      <c r="O1753" s="283">
        <v>34</v>
      </c>
      <c r="P1753" s="283">
        <v>75288</v>
      </c>
      <c r="Q1753" s="235">
        <f>(O1753+IF('Scenario Analysis'!$N$23=1,0,0.5))*P1753</f>
        <v>2597436</v>
      </c>
    </row>
    <row r="1754" spans="3:17" x14ac:dyDescent="0.25">
      <c r="C1754" s="191"/>
      <c r="K1754" s="283" t="s">
        <v>1272</v>
      </c>
      <c r="L1754" s="283" t="s">
        <v>673</v>
      </c>
      <c r="M1754" s="283" t="s">
        <v>250</v>
      </c>
      <c r="N1754" s="283" t="s">
        <v>253</v>
      </c>
      <c r="O1754" s="283">
        <v>35</v>
      </c>
      <c r="P1754" s="283">
        <v>77674</v>
      </c>
      <c r="Q1754" s="235">
        <f>(O1754+IF('Scenario Analysis'!$N$23=1,0,0.5))*P1754</f>
        <v>2757427</v>
      </c>
    </row>
    <row r="1755" spans="3:17" x14ac:dyDescent="0.25">
      <c r="C1755" s="191"/>
      <c r="K1755" s="283" t="s">
        <v>1272</v>
      </c>
      <c r="L1755" s="283" t="s">
        <v>673</v>
      </c>
      <c r="M1755" s="283" t="s">
        <v>250</v>
      </c>
      <c r="N1755" s="283" t="s">
        <v>253</v>
      </c>
      <c r="O1755" s="283">
        <v>36</v>
      </c>
      <c r="P1755" s="283">
        <v>88993</v>
      </c>
      <c r="Q1755" s="235">
        <f>(O1755+IF('Scenario Analysis'!$N$23=1,0,0.5))*P1755</f>
        <v>3248244.5</v>
      </c>
    </row>
    <row r="1756" spans="3:17" x14ac:dyDescent="0.25">
      <c r="C1756" s="191"/>
      <c r="K1756" s="283" t="s">
        <v>1272</v>
      </c>
      <c r="L1756" s="283" t="s">
        <v>673</v>
      </c>
      <c r="M1756" s="283" t="s">
        <v>250</v>
      </c>
      <c r="N1756" s="283" t="s">
        <v>253</v>
      </c>
      <c r="O1756" s="283">
        <v>37</v>
      </c>
      <c r="P1756" s="283">
        <v>28086</v>
      </c>
      <c r="Q1756" s="235">
        <f>(O1756+IF('Scenario Analysis'!$N$23=1,0,0.5))*P1756</f>
        <v>1053225</v>
      </c>
    </row>
    <row r="1757" spans="3:17" x14ac:dyDescent="0.25">
      <c r="C1757" s="191"/>
      <c r="K1757" s="283" t="s">
        <v>1272</v>
      </c>
      <c r="L1757" s="283" t="s">
        <v>673</v>
      </c>
      <c r="M1757" s="283" t="s">
        <v>250</v>
      </c>
      <c r="N1757" s="283" t="s">
        <v>253</v>
      </c>
      <c r="O1757" s="283">
        <v>38</v>
      </c>
      <c r="P1757" s="283">
        <v>101346</v>
      </c>
      <c r="Q1757" s="235">
        <f>(O1757+IF('Scenario Analysis'!$N$23=1,0,0.5))*P1757</f>
        <v>3901821</v>
      </c>
    </row>
    <row r="1758" spans="3:17" x14ac:dyDescent="0.25">
      <c r="C1758" s="191"/>
      <c r="K1758" s="283" t="s">
        <v>1272</v>
      </c>
      <c r="L1758" s="283" t="s">
        <v>673</v>
      </c>
      <c r="M1758" s="283" t="s">
        <v>250</v>
      </c>
      <c r="N1758" s="283" t="s">
        <v>253</v>
      </c>
      <c r="O1758" s="283">
        <v>39</v>
      </c>
      <c r="P1758" s="283">
        <v>38665</v>
      </c>
      <c r="Q1758" s="235">
        <f>(O1758+IF('Scenario Analysis'!$N$23=1,0,0.5))*P1758</f>
        <v>1527267.5</v>
      </c>
    </row>
    <row r="1759" spans="3:17" x14ac:dyDescent="0.25">
      <c r="C1759" s="191"/>
      <c r="K1759" s="283" t="s">
        <v>1272</v>
      </c>
      <c r="L1759" s="283" t="s">
        <v>673</v>
      </c>
      <c r="M1759" s="283" t="s">
        <v>250</v>
      </c>
      <c r="N1759" s="283" t="s">
        <v>253</v>
      </c>
      <c r="O1759" s="283">
        <v>40</v>
      </c>
      <c r="P1759" s="283">
        <v>47456</v>
      </c>
      <c r="Q1759" s="235">
        <f>(O1759+IF('Scenario Analysis'!$N$23=1,0,0.5))*P1759</f>
        <v>1921968</v>
      </c>
    </row>
    <row r="1760" spans="3:17" x14ac:dyDescent="0.25">
      <c r="C1760" s="191"/>
      <c r="K1760" s="283" t="s">
        <v>1272</v>
      </c>
      <c r="L1760" s="283" t="s">
        <v>673</v>
      </c>
      <c r="M1760" s="283" t="s">
        <v>250</v>
      </c>
      <c r="N1760" s="283" t="s">
        <v>253</v>
      </c>
      <c r="O1760" s="283">
        <v>41</v>
      </c>
      <c r="P1760" s="283">
        <v>35880</v>
      </c>
      <c r="Q1760" s="235">
        <f>(O1760+IF('Scenario Analysis'!$N$23=1,0,0.5))*P1760</f>
        <v>1489020</v>
      </c>
    </row>
    <row r="1761" spans="3:17" x14ac:dyDescent="0.25">
      <c r="C1761" s="191"/>
      <c r="K1761" s="283" t="s">
        <v>1272</v>
      </c>
      <c r="L1761" s="283" t="s">
        <v>673</v>
      </c>
      <c r="M1761" s="283" t="s">
        <v>250</v>
      </c>
      <c r="N1761" s="283" t="s">
        <v>253</v>
      </c>
      <c r="O1761" s="283">
        <v>42</v>
      </c>
      <c r="P1761" s="283">
        <v>21655</v>
      </c>
      <c r="Q1761" s="235">
        <f>(O1761+IF('Scenario Analysis'!$N$23=1,0,0.5))*P1761</f>
        <v>920337.5</v>
      </c>
    </row>
    <row r="1762" spans="3:17" x14ac:dyDescent="0.25">
      <c r="C1762" s="191"/>
      <c r="K1762" s="283" t="s">
        <v>1272</v>
      </c>
      <c r="L1762" s="283" t="s">
        <v>673</v>
      </c>
      <c r="M1762" s="283" t="s">
        <v>250</v>
      </c>
      <c r="N1762" s="283" t="s">
        <v>253</v>
      </c>
      <c r="O1762" s="283">
        <v>43</v>
      </c>
      <c r="P1762" s="283">
        <v>40639</v>
      </c>
      <c r="Q1762" s="235">
        <f>(O1762+IF('Scenario Analysis'!$N$23=1,0,0.5))*P1762</f>
        <v>1767796.5</v>
      </c>
    </row>
    <row r="1763" spans="3:17" x14ac:dyDescent="0.25">
      <c r="C1763" s="191"/>
      <c r="K1763" s="283" t="s">
        <v>1272</v>
      </c>
      <c r="L1763" s="283" t="s">
        <v>673</v>
      </c>
      <c r="M1763" s="283" t="s">
        <v>250</v>
      </c>
      <c r="N1763" s="283" t="s">
        <v>253</v>
      </c>
      <c r="O1763" s="283">
        <v>44</v>
      </c>
      <c r="P1763" s="283">
        <v>42396</v>
      </c>
      <c r="Q1763" s="235">
        <f>(O1763+IF('Scenario Analysis'!$N$23=1,0,0.5))*P1763</f>
        <v>1886622</v>
      </c>
    </row>
    <row r="1764" spans="3:17" x14ac:dyDescent="0.25">
      <c r="C1764" s="191"/>
      <c r="K1764" s="283" t="s">
        <v>1272</v>
      </c>
      <c r="L1764" s="283" t="s">
        <v>673</v>
      </c>
      <c r="M1764" s="283" t="s">
        <v>250</v>
      </c>
      <c r="N1764" s="283" t="s">
        <v>253</v>
      </c>
      <c r="O1764" s="283">
        <v>45</v>
      </c>
      <c r="P1764" s="283">
        <v>47145</v>
      </c>
      <c r="Q1764" s="235">
        <f>(O1764+IF('Scenario Analysis'!$N$23=1,0,0.5))*P1764</f>
        <v>2145097.5</v>
      </c>
    </row>
    <row r="1765" spans="3:17" x14ac:dyDescent="0.25">
      <c r="C1765" s="191"/>
      <c r="K1765" s="283" t="s">
        <v>1272</v>
      </c>
      <c r="L1765" s="283" t="s">
        <v>673</v>
      </c>
      <c r="M1765" s="283" t="s">
        <v>250</v>
      </c>
      <c r="N1765" s="283" t="s">
        <v>253</v>
      </c>
      <c r="O1765" s="283">
        <v>46</v>
      </c>
      <c r="P1765" s="283">
        <v>23360</v>
      </c>
      <c r="Q1765" s="235">
        <f>(O1765+IF('Scenario Analysis'!$N$23=1,0,0.5))*P1765</f>
        <v>1086240</v>
      </c>
    </row>
    <row r="1766" spans="3:17" x14ac:dyDescent="0.25">
      <c r="C1766" s="191"/>
      <c r="K1766" s="283" t="s">
        <v>1272</v>
      </c>
      <c r="L1766" s="283" t="s">
        <v>673</v>
      </c>
      <c r="M1766" s="283" t="s">
        <v>250</v>
      </c>
      <c r="N1766" s="283" t="s">
        <v>253</v>
      </c>
      <c r="O1766" s="283">
        <v>47</v>
      </c>
      <c r="P1766" s="283">
        <v>41769</v>
      </c>
      <c r="Q1766" s="235">
        <f>(O1766+IF('Scenario Analysis'!$N$23=1,0,0.5))*P1766</f>
        <v>1984027.5</v>
      </c>
    </row>
    <row r="1767" spans="3:17" x14ac:dyDescent="0.25">
      <c r="C1767" s="191"/>
      <c r="K1767" s="283" t="s">
        <v>1272</v>
      </c>
      <c r="L1767" s="283" t="s">
        <v>673</v>
      </c>
      <c r="M1767" s="283" t="s">
        <v>250</v>
      </c>
      <c r="N1767" s="283" t="s">
        <v>253</v>
      </c>
      <c r="O1767" s="283">
        <v>48</v>
      </c>
      <c r="P1767" s="283">
        <v>6717</v>
      </c>
      <c r="Q1767" s="235">
        <f>(O1767+IF('Scenario Analysis'!$N$23=1,0,0.5))*P1767</f>
        <v>325774.5</v>
      </c>
    </row>
    <row r="1768" spans="3:17" x14ac:dyDescent="0.25">
      <c r="C1768" s="191"/>
      <c r="K1768" s="283" t="s">
        <v>1272</v>
      </c>
      <c r="L1768" s="283" t="s">
        <v>673</v>
      </c>
      <c r="M1768" s="283" t="s">
        <v>250</v>
      </c>
      <c r="N1768" s="283" t="s">
        <v>253</v>
      </c>
      <c r="O1768" s="283">
        <v>49</v>
      </c>
      <c r="P1768" s="283">
        <v>54249</v>
      </c>
      <c r="Q1768" s="235">
        <f>(O1768+IF('Scenario Analysis'!$N$23=1,0,0.5))*P1768</f>
        <v>2685325.5</v>
      </c>
    </row>
    <row r="1769" spans="3:17" x14ac:dyDescent="0.25">
      <c r="C1769" s="191"/>
      <c r="K1769" s="283" t="s">
        <v>1272</v>
      </c>
      <c r="L1769" s="283" t="s">
        <v>673</v>
      </c>
      <c r="M1769" s="283" t="s">
        <v>250</v>
      </c>
      <c r="N1769" s="283" t="s">
        <v>253</v>
      </c>
      <c r="O1769" s="283">
        <v>50</v>
      </c>
      <c r="P1769" s="283">
        <v>17494</v>
      </c>
      <c r="Q1769" s="235">
        <f>(O1769+IF('Scenario Analysis'!$N$23=1,0,0.5))*P1769</f>
        <v>883447</v>
      </c>
    </row>
    <row r="1770" spans="3:17" x14ac:dyDescent="0.25">
      <c r="C1770" s="191"/>
      <c r="K1770" s="283" t="s">
        <v>1272</v>
      </c>
      <c r="L1770" s="283" t="s">
        <v>673</v>
      </c>
      <c r="M1770" s="283" t="s">
        <v>250</v>
      </c>
      <c r="N1770" s="283" t="s">
        <v>253</v>
      </c>
      <c r="O1770" s="283">
        <v>51</v>
      </c>
      <c r="P1770" s="283">
        <v>5412</v>
      </c>
      <c r="Q1770" s="235">
        <f>(O1770+IF('Scenario Analysis'!$N$23=1,0,0.5))*P1770</f>
        <v>278718</v>
      </c>
    </row>
    <row r="1771" spans="3:17" x14ac:dyDescent="0.25">
      <c r="C1771" s="191"/>
      <c r="K1771" s="283" t="s">
        <v>1272</v>
      </c>
      <c r="L1771" s="283" t="s">
        <v>673</v>
      </c>
      <c r="M1771" s="283" t="s">
        <v>250</v>
      </c>
      <c r="N1771" s="283" t="s">
        <v>253</v>
      </c>
      <c r="O1771" s="283">
        <v>52</v>
      </c>
      <c r="P1771" s="283">
        <v>11172</v>
      </c>
      <c r="Q1771" s="235">
        <f>(O1771+IF('Scenario Analysis'!$N$23=1,0,0.5))*P1771</f>
        <v>586530</v>
      </c>
    </row>
    <row r="1772" spans="3:17" x14ac:dyDescent="0.25">
      <c r="C1772" s="191"/>
      <c r="K1772" s="283" t="s">
        <v>1272</v>
      </c>
      <c r="L1772" s="283" t="s">
        <v>673</v>
      </c>
      <c r="M1772" s="283" t="s">
        <v>250</v>
      </c>
      <c r="N1772" s="283" t="s">
        <v>253</v>
      </c>
      <c r="O1772" s="283">
        <v>53</v>
      </c>
      <c r="P1772" s="283">
        <v>6350</v>
      </c>
      <c r="Q1772" s="235">
        <f>(O1772+IF('Scenario Analysis'!$N$23=1,0,0.5))*P1772</f>
        <v>339725</v>
      </c>
    </row>
    <row r="1773" spans="3:17" x14ac:dyDescent="0.25">
      <c r="C1773" s="191"/>
      <c r="K1773" s="283" t="s">
        <v>1272</v>
      </c>
      <c r="L1773" s="283" t="s">
        <v>673</v>
      </c>
      <c r="M1773" s="283" t="s">
        <v>250</v>
      </c>
      <c r="N1773" s="283" t="s">
        <v>253</v>
      </c>
      <c r="O1773" s="283">
        <v>54</v>
      </c>
      <c r="P1773" s="283">
        <v>4626</v>
      </c>
      <c r="Q1773" s="235">
        <f>(O1773+IF('Scenario Analysis'!$N$23=1,0,0.5))*P1773</f>
        <v>252117</v>
      </c>
    </row>
    <row r="1774" spans="3:17" x14ac:dyDescent="0.25">
      <c r="C1774" s="191"/>
      <c r="K1774" s="283" t="s">
        <v>1272</v>
      </c>
      <c r="L1774" s="283" t="s">
        <v>673</v>
      </c>
      <c r="M1774" s="283" t="s">
        <v>250</v>
      </c>
      <c r="N1774" s="283" t="s">
        <v>253</v>
      </c>
      <c r="O1774" s="283">
        <v>55</v>
      </c>
      <c r="P1774" s="283">
        <v>17762</v>
      </c>
      <c r="Q1774" s="235">
        <f>(O1774+IF('Scenario Analysis'!$N$23=1,0,0.5))*P1774</f>
        <v>985791</v>
      </c>
    </row>
    <row r="1775" spans="3:17" x14ac:dyDescent="0.25">
      <c r="C1775" s="191"/>
      <c r="K1775" s="283" t="s">
        <v>1272</v>
      </c>
      <c r="L1775" s="283" t="s">
        <v>673</v>
      </c>
      <c r="M1775" s="283" t="s">
        <v>250</v>
      </c>
      <c r="N1775" s="283" t="s">
        <v>253</v>
      </c>
      <c r="O1775" s="283">
        <v>56</v>
      </c>
      <c r="P1775" s="283">
        <v>2534</v>
      </c>
      <c r="Q1775" s="235">
        <f>(O1775+IF('Scenario Analysis'!$N$23=1,0,0.5))*P1775</f>
        <v>143171</v>
      </c>
    </row>
    <row r="1776" spans="3:17" x14ac:dyDescent="0.25">
      <c r="C1776" s="191"/>
      <c r="K1776" s="283" t="s">
        <v>1272</v>
      </c>
      <c r="L1776" s="283" t="s">
        <v>673</v>
      </c>
      <c r="M1776" s="283" t="s">
        <v>250</v>
      </c>
      <c r="N1776" s="283" t="s">
        <v>253</v>
      </c>
      <c r="O1776" s="283">
        <v>57</v>
      </c>
      <c r="P1776" s="283">
        <v>2958</v>
      </c>
      <c r="Q1776" s="235">
        <f>(O1776+IF('Scenario Analysis'!$N$23=1,0,0.5))*P1776</f>
        <v>170085</v>
      </c>
    </row>
    <row r="1777" spans="3:17" x14ac:dyDescent="0.25">
      <c r="C1777" s="191"/>
      <c r="K1777" s="283" t="s">
        <v>1272</v>
      </c>
      <c r="L1777" s="283" t="s">
        <v>673</v>
      </c>
      <c r="M1777" s="283" t="s">
        <v>250</v>
      </c>
      <c r="N1777" s="283" t="s">
        <v>253</v>
      </c>
      <c r="O1777" s="283">
        <v>58</v>
      </c>
      <c r="P1777" s="283">
        <v>17603</v>
      </c>
      <c r="Q1777" s="235">
        <f>(O1777+IF('Scenario Analysis'!$N$23=1,0,0.5))*P1777</f>
        <v>1029775.5</v>
      </c>
    </row>
    <row r="1778" spans="3:17" x14ac:dyDescent="0.25">
      <c r="C1778" s="191"/>
      <c r="K1778" s="283" t="s">
        <v>1272</v>
      </c>
      <c r="L1778" s="283" t="s">
        <v>673</v>
      </c>
      <c r="M1778" s="283" t="s">
        <v>250</v>
      </c>
      <c r="N1778" s="283" t="s">
        <v>253</v>
      </c>
      <c r="O1778" s="283">
        <v>59</v>
      </c>
      <c r="P1778" s="283">
        <v>2344</v>
      </c>
      <c r="Q1778" s="235">
        <f>(O1778+IF('Scenario Analysis'!$N$23=1,0,0.5))*P1778</f>
        <v>139468</v>
      </c>
    </row>
    <row r="1779" spans="3:17" x14ac:dyDescent="0.25">
      <c r="C1779" s="191"/>
      <c r="K1779" s="283" t="s">
        <v>1272</v>
      </c>
      <c r="L1779" s="283" t="s">
        <v>673</v>
      </c>
      <c r="M1779" s="283" t="s">
        <v>250</v>
      </c>
      <c r="N1779" s="283" t="s">
        <v>253</v>
      </c>
      <c r="O1779" s="283">
        <v>60</v>
      </c>
      <c r="P1779" s="283">
        <v>3889</v>
      </c>
      <c r="Q1779" s="235">
        <f>(O1779+IF('Scenario Analysis'!$N$23=1,0,0.5))*P1779</f>
        <v>235284.5</v>
      </c>
    </row>
    <row r="1780" spans="3:17" x14ac:dyDescent="0.25">
      <c r="C1780" s="191"/>
      <c r="K1780" s="283" t="s">
        <v>1272</v>
      </c>
      <c r="L1780" s="283" t="s">
        <v>673</v>
      </c>
      <c r="M1780" s="283" t="s">
        <v>250</v>
      </c>
      <c r="N1780" s="283" t="s">
        <v>253</v>
      </c>
      <c r="O1780" s="283">
        <v>61</v>
      </c>
      <c r="P1780" s="283">
        <v>3595</v>
      </c>
      <c r="Q1780" s="235">
        <f>(O1780+IF('Scenario Analysis'!$N$23=1,0,0.5))*P1780</f>
        <v>221092.5</v>
      </c>
    </row>
    <row r="1781" spans="3:17" x14ac:dyDescent="0.25">
      <c r="C1781" s="191"/>
      <c r="K1781" s="283" t="s">
        <v>1272</v>
      </c>
      <c r="L1781" s="283" t="s">
        <v>673</v>
      </c>
      <c r="M1781" s="283" t="s">
        <v>250</v>
      </c>
      <c r="N1781" s="283" t="s">
        <v>253</v>
      </c>
      <c r="O1781" s="283">
        <v>62</v>
      </c>
      <c r="P1781" s="283">
        <v>1477</v>
      </c>
      <c r="Q1781" s="235">
        <f>(O1781+IF('Scenario Analysis'!$N$23=1,0,0.5))*P1781</f>
        <v>92312.5</v>
      </c>
    </row>
    <row r="1782" spans="3:17" x14ac:dyDescent="0.25">
      <c r="C1782" s="191"/>
      <c r="K1782" s="283" t="s">
        <v>1272</v>
      </c>
      <c r="L1782" s="283" t="s">
        <v>673</v>
      </c>
      <c r="M1782" s="283" t="s">
        <v>250</v>
      </c>
      <c r="N1782" s="283" t="s">
        <v>253</v>
      </c>
      <c r="O1782" s="283">
        <v>63</v>
      </c>
      <c r="P1782" s="283">
        <v>3165</v>
      </c>
      <c r="Q1782" s="235">
        <f>(O1782+IF('Scenario Analysis'!$N$23=1,0,0.5))*P1782</f>
        <v>200977.5</v>
      </c>
    </row>
    <row r="1783" spans="3:17" x14ac:dyDescent="0.25">
      <c r="C1783" s="191"/>
      <c r="K1783" s="283" t="s">
        <v>1272</v>
      </c>
      <c r="L1783" s="283" t="s">
        <v>673</v>
      </c>
      <c r="M1783" s="283" t="s">
        <v>250</v>
      </c>
      <c r="N1783" s="283" t="s">
        <v>253</v>
      </c>
      <c r="O1783" s="283">
        <v>64</v>
      </c>
      <c r="P1783" s="283">
        <v>1567</v>
      </c>
      <c r="Q1783" s="235">
        <f>(O1783+IF('Scenario Analysis'!$N$23=1,0,0.5))*P1783</f>
        <v>101071.5</v>
      </c>
    </row>
    <row r="1784" spans="3:17" x14ac:dyDescent="0.25">
      <c r="C1784" s="191"/>
      <c r="K1784" s="283" t="s">
        <v>1272</v>
      </c>
      <c r="L1784" s="283" t="s">
        <v>673</v>
      </c>
      <c r="M1784" s="283" t="s">
        <v>250</v>
      </c>
      <c r="N1784" s="283" t="s">
        <v>253</v>
      </c>
      <c r="O1784" s="283">
        <v>65</v>
      </c>
      <c r="P1784" s="283">
        <v>1125</v>
      </c>
      <c r="Q1784" s="235">
        <f>(O1784+IF('Scenario Analysis'!$N$23=1,0,0.5))*P1784</f>
        <v>73687.5</v>
      </c>
    </row>
    <row r="1785" spans="3:17" x14ac:dyDescent="0.25">
      <c r="C1785" s="191"/>
      <c r="K1785" s="283" t="s">
        <v>1272</v>
      </c>
      <c r="L1785" s="283" t="s">
        <v>673</v>
      </c>
      <c r="M1785" s="283" t="s">
        <v>250</v>
      </c>
      <c r="N1785" s="283" t="s">
        <v>253</v>
      </c>
      <c r="O1785" s="283">
        <v>66</v>
      </c>
      <c r="P1785" s="283">
        <v>825</v>
      </c>
      <c r="Q1785" s="235">
        <f>(O1785+IF('Scenario Analysis'!$N$23=1,0,0.5))*P1785</f>
        <v>54862.5</v>
      </c>
    </row>
    <row r="1786" spans="3:17" x14ac:dyDescent="0.25">
      <c r="C1786" s="191"/>
      <c r="K1786" s="283" t="s">
        <v>1272</v>
      </c>
      <c r="L1786" s="283" t="s">
        <v>673</v>
      </c>
      <c r="M1786" s="283" t="s">
        <v>250</v>
      </c>
      <c r="N1786" s="283" t="s">
        <v>253</v>
      </c>
      <c r="O1786" s="283">
        <v>67</v>
      </c>
      <c r="P1786" s="283">
        <v>1372</v>
      </c>
      <c r="Q1786" s="235">
        <f>(O1786+IF('Scenario Analysis'!$N$23=1,0,0.5))*P1786</f>
        <v>92610</v>
      </c>
    </row>
    <row r="1787" spans="3:17" x14ac:dyDescent="0.25">
      <c r="C1787" s="191"/>
      <c r="K1787" s="283" t="s">
        <v>1272</v>
      </c>
      <c r="L1787" s="283" t="s">
        <v>673</v>
      </c>
      <c r="M1787" s="283" t="s">
        <v>250</v>
      </c>
      <c r="N1787" s="283" t="s">
        <v>253</v>
      </c>
      <c r="O1787" s="283">
        <v>68</v>
      </c>
      <c r="P1787" s="283">
        <v>528</v>
      </c>
      <c r="Q1787" s="235">
        <f>(O1787+IF('Scenario Analysis'!$N$23=1,0,0.5))*P1787</f>
        <v>36168</v>
      </c>
    </row>
    <row r="1788" spans="3:17" x14ac:dyDescent="0.25">
      <c r="C1788" s="191"/>
      <c r="K1788" s="283" t="s">
        <v>1272</v>
      </c>
      <c r="L1788" s="283" t="s">
        <v>673</v>
      </c>
      <c r="M1788" s="283" t="s">
        <v>250</v>
      </c>
      <c r="N1788" s="283" t="s">
        <v>253</v>
      </c>
      <c r="O1788" s="283">
        <v>69</v>
      </c>
      <c r="P1788" s="283">
        <v>624</v>
      </c>
      <c r="Q1788" s="235">
        <f>(O1788+IF('Scenario Analysis'!$N$23=1,0,0.5))*P1788</f>
        <v>43368</v>
      </c>
    </row>
    <row r="1789" spans="3:17" x14ac:dyDescent="0.25">
      <c r="C1789" s="191"/>
      <c r="K1789" s="283" t="s">
        <v>1272</v>
      </c>
      <c r="L1789" s="283" t="s">
        <v>673</v>
      </c>
      <c r="M1789" s="283" t="s">
        <v>250</v>
      </c>
      <c r="N1789" s="283" t="s">
        <v>253</v>
      </c>
      <c r="O1789" s="283">
        <v>70</v>
      </c>
      <c r="P1789" s="283">
        <v>497</v>
      </c>
      <c r="Q1789" s="235">
        <f>(O1789+IF('Scenario Analysis'!$N$23=1,0,0.5))*P1789</f>
        <v>35038.5</v>
      </c>
    </row>
    <row r="1790" spans="3:17" x14ac:dyDescent="0.25">
      <c r="C1790" s="191"/>
      <c r="K1790" s="283" t="s">
        <v>1272</v>
      </c>
      <c r="L1790" s="283" t="s">
        <v>673</v>
      </c>
      <c r="M1790" s="283" t="s">
        <v>250</v>
      </c>
      <c r="N1790" s="283" t="s">
        <v>253</v>
      </c>
      <c r="O1790" s="283">
        <v>71</v>
      </c>
      <c r="P1790" s="283">
        <v>308</v>
      </c>
      <c r="Q1790" s="235">
        <f>(O1790+IF('Scenario Analysis'!$N$23=1,0,0.5))*P1790</f>
        <v>22022</v>
      </c>
    </row>
    <row r="1791" spans="3:17" x14ac:dyDescent="0.25">
      <c r="C1791" s="191"/>
      <c r="K1791" s="283" t="s">
        <v>1272</v>
      </c>
      <c r="L1791" s="283" t="s">
        <v>673</v>
      </c>
      <c r="M1791" s="283" t="s">
        <v>250</v>
      </c>
      <c r="N1791" s="283" t="s">
        <v>253</v>
      </c>
      <c r="O1791" s="283">
        <v>72</v>
      </c>
      <c r="P1791" s="283">
        <v>390</v>
      </c>
      <c r="Q1791" s="235">
        <f>(O1791+IF('Scenario Analysis'!$N$23=1,0,0.5))*P1791</f>
        <v>28275</v>
      </c>
    </row>
    <row r="1792" spans="3:17" x14ac:dyDescent="0.25">
      <c r="C1792" s="191"/>
      <c r="K1792" s="283" t="s">
        <v>1272</v>
      </c>
      <c r="L1792" s="283" t="s">
        <v>673</v>
      </c>
      <c r="M1792" s="283" t="s">
        <v>250</v>
      </c>
      <c r="N1792" s="283" t="s">
        <v>253</v>
      </c>
      <c r="O1792" s="283">
        <v>73</v>
      </c>
      <c r="P1792" s="283">
        <v>345</v>
      </c>
      <c r="Q1792" s="235">
        <f>(O1792+IF('Scenario Analysis'!$N$23=1,0,0.5))*P1792</f>
        <v>25357.5</v>
      </c>
    </row>
    <row r="1793" spans="3:17" x14ac:dyDescent="0.25">
      <c r="C1793" s="191"/>
      <c r="K1793" s="283" t="s">
        <v>1272</v>
      </c>
      <c r="L1793" s="283" t="s">
        <v>673</v>
      </c>
      <c r="M1793" s="283" t="s">
        <v>250</v>
      </c>
      <c r="N1793" s="283" t="s">
        <v>253</v>
      </c>
      <c r="O1793" s="283">
        <v>74</v>
      </c>
      <c r="P1793" s="283">
        <v>143</v>
      </c>
      <c r="Q1793" s="235">
        <f>(O1793+IF('Scenario Analysis'!$N$23=1,0,0.5))*P1793</f>
        <v>10653.5</v>
      </c>
    </row>
    <row r="1794" spans="3:17" x14ac:dyDescent="0.25">
      <c r="C1794" s="191"/>
      <c r="K1794" s="283" t="s">
        <v>1272</v>
      </c>
      <c r="L1794" s="283" t="s">
        <v>673</v>
      </c>
      <c r="M1794" s="283" t="s">
        <v>250</v>
      </c>
      <c r="N1794" s="283" t="s">
        <v>253</v>
      </c>
      <c r="O1794" s="283">
        <v>75</v>
      </c>
      <c r="P1794" s="283">
        <v>182</v>
      </c>
      <c r="Q1794" s="235">
        <f>(O1794+IF('Scenario Analysis'!$N$23=1,0,0.5))*P1794</f>
        <v>13741</v>
      </c>
    </row>
    <row r="1795" spans="3:17" x14ac:dyDescent="0.25">
      <c r="C1795" s="191"/>
      <c r="K1795" s="283" t="s">
        <v>1272</v>
      </c>
      <c r="L1795" s="283" t="s">
        <v>673</v>
      </c>
      <c r="M1795" s="283" t="s">
        <v>250</v>
      </c>
      <c r="N1795" s="283" t="s">
        <v>253</v>
      </c>
      <c r="O1795" s="283">
        <v>76</v>
      </c>
      <c r="P1795" s="283">
        <v>214</v>
      </c>
      <c r="Q1795" s="235">
        <f>(O1795+IF('Scenario Analysis'!$N$23=1,0,0.5))*P1795</f>
        <v>16371</v>
      </c>
    </row>
    <row r="1796" spans="3:17" x14ac:dyDescent="0.25">
      <c r="C1796" s="191"/>
      <c r="K1796" s="283" t="s">
        <v>1272</v>
      </c>
      <c r="L1796" s="283" t="s">
        <v>673</v>
      </c>
      <c r="M1796" s="283" t="s">
        <v>250</v>
      </c>
      <c r="N1796" s="283" t="s">
        <v>253</v>
      </c>
      <c r="O1796" s="283">
        <v>77</v>
      </c>
      <c r="P1796" s="283">
        <v>125</v>
      </c>
      <c r="Q1796" s="235">
        <f>(O1796+IF('Scenario Analysis'!$N$23=1,0,0.5))*P1796</f>
        <v>9687.5</v>
      </c>
    </row>
    <row r="1797" spans="3:17" x14ac:dyDescent="0.25">
      <c r="C1797" s="191"/>
      <c r="K1797" s="283" t="s">
        <v>1272</v>
      </c>
      <c r="L1797" s="283" t="s">
        <v>673</v>
      </c>
      <c r="M1797" s="283" t="s">
        <v>250</v>
      </c>
      <c r="N1797" s="283" t="s">
        <v>253</v>
      </c>
      <c r="O1797" s="283">
        <v>78</v>
      </c>
      <c r="P1797" s="283">
        <v>151</v>
      </c>
      <c r="Q1797" s="235">
        <f>(O1797+IF('Scenario Analysis'!$N$23=1,0,0.5))*P1797</f>
        <v>11853.5</v>
      </c>
    </row>
    <row r="1798" spans="3:17" x14ac:dyDescent="0.25">
      <c r="C1798" s="191"/>
      <c r="K1798" s="283" t="s">
        <v>1272</v>
      </c>
      <c r="L1798" s="283" t="s">
        <v>673</v>
      </c>
      <c r="M1798" s="283" t="s">
        <v>250</v>
      </c>
      <c r="N1798" s="283" t="s">
        <v>253</v>
      </c>
      <c r="O1798" s="283">
        <v>79</v>
      </c>
      <c r="P1798" s="283">
        <v>84</v>
      </c>
      <c r="Q1798" s="235">
        <f>(O1798+IF('Scenario Analysis'!$N$23=1,0,0.5))*P1798</f>
        <v>6678</v>
      </c>
    </row>
    <row r="1799" spans="3:17" x14ac:dyDescent="0.25">
      <c r="C1799" s="191"/>
      <c r="K1799" s="283" t="s">
        <v>1272</v>
      </c>
      <c r="L1799" s="283" t="s">
        <v>673</v>
      </c>
      <c r="M1799" s="283" t="s">
        <v>250</v>
      </c>
      <c r="N1799" s="283" t="s">
        <v>253</v>
      </c>
      <c r="O1799" s="283">
        <v>80</v>
      </c>
      <c r="P1799" s="283">
        <v>137</v>
      </c>
      <c r="Q1799" s="235">
        <f>(O1799+IF('Scenario Analysis'!$N$23=1,0,0.5))*P1799</f>
        <v>11028.5</v>
      </c>
    </row>
    <row r="1800" spans="3:17" x14ac:dyDescent="0.25">
      <c r="C1800" s="191"/>
      <c r="K1800" s="283" t="s">
        <v>1272</v>
      </c>
      <c r="L1800" s="283" t="s">
        <v>673</v>
      </c>
      <c r="M1800" s="283" t="s">
        <v>250</v>
      </c>
      <c r="N1800" s="283" t="s">
        <v>253</v>
      </c>
      <c r="O1800" s="283">
        <v>81</v>
      </c>
      <c r="P1800" s="283">
        <v>84</v>
      </c>
      <c r="Q1800" s="235">
        <f>(O1800+IF('Scenario Analysis'!$N$23=1,0,0.5))*P1800</f>
        <v>6846</v>
      </c>
    </row>
    <row r="1801" spans="3:17" x14ac:dyDescent="0.25">
      <c r="C1801" s="191"/>
      <c r="K1801" s="283" t="s">
        <v>1272</v>
      </c>
      <c r="L1801" s="283" t="s">
        <v>673</v>
      </c>
      <c r="M1801" s="283" t="s">
        <v>250</v>
      </c>
      <c r="N1801" s="283" t="s">
        <v>253</v>
      </c>
      <c r="O1801" s="283">
        <v>82</v>
      </c>
      <c r="P1801" s="283">
        <v>63</v>
      </c>
      <c r="Q1801" s="235">
        <f>(O1801+IF('Scenario Analysis'!$N$23=1,0,0.5))*P1801</f>
        <v>5197.5</v>
      </c>
    </row>
    <row r="1802" spans="3:17" x14ac:dyDescent="0.25">
      <c r="C1802" s="191"/>
      <c r="K1802" s="283" t="s">
        <v>1272</v>
      </c>
      <c r="L1802" s="283" t="s">
        <v>673</v>
      </c>
      <c r="M1802" s="283" t="s">
        <v>250</v>
      </c>
      <c r="N1802" s="283" t="s">
        <v>253</v>
      </c>
      <c r="O1802" s="283">
        <v>83</v>
      </c>
      <c r="P1802" s="283">
        <v>54</v>
      </c>
      <c r="Q1802" s="235">
        <f>(O1802+IF('Scenario Analysis'!$N$23=1,0,0.5))*P1802</f>
        <v>4509</v>
      </c>
    </row>
    <row r="1803" spans="3:17" x14ac:dyDescent="0.25">
      <c r="C1803" s="191"/>
      <c r="K1803" s="283" t="s">
        <v>1272</v>
      </c>
      <c r="L1803" s="283" t="s">
        <v>673</v>
      </c>
      <c r="M1803" s="283" t="s">
        <v>250</v>
      </c>
      <c r="N1803" s="283" t="s">
        <v>253</v>
      </c>
      <c r="O1803" s="283">
        <v>84</v>
      </c>
      <c r="P1803" s="283">
        <v>71</v>
      </c>
      <c r="Q1803" s="235">
        <f>(O1803+IF('Scenario Analysis'!$N$23=1,0,0.5))*P1803</f>
        <v>5999.5</v>
      </c>
    </row>
    <row r="1804" spans="3:17" x14ac:dyDescent="0.25">
      <c r="C1804" s="191"/>
      <c r="K1804" s="283" t="s">
        <v>1272</v>
      </c>
      <c r="L1804" s="283" t="s">
        <v>673</v>
      </c>
      <c r="M1804" s="283" t="s">
        <v>250</v>
      </c>
      <c r="N1804" s="283" t="s">
        <v>253</v>
      </c>
      <c r="O1804" s="283">
        <v>85</v>
      </c>
      <c r="P1804" s="283">
        <v>34</v>
      </c>
      <c r="Q1804" s="235">
        <f>(O1804+IF('Scenario Analysis'!$N$23=1,0,0.5))*P1804</f>
        <v>2907</v>
      </c>
    </row>
    <row r="1805" spans="3:17" x14ac:dyDescent="0.25">
      <c r="C1805" s="191"/>
      <c r="K1805" s="283" t="s">
        <v>1272</v>
      </c>
      <c r="L1805" s="283" t="s">
        <v>673</v>
      </c>
      <c r="M1805" s="283" t="s">
        <v>250</v>
      </c>
      <c r="N1805" s="283" t="s">
        <v>253</v>
      </c>
      <c r="O1805" s="283">
        <v>86</v>
      </c>
      <c r="P1805" s="283">
        <v>36</v>
      </c>
      <c r="Q1805" s="235">
        <f>(O1805+IF('Scenario Analysis'!$N$23=1,0,0.5))*P1805</f>
        <v>3114</v>
      </c>
    </row>
    <row r="1806" spans="3:17" x14ac:dyDescent="0.25">
      <c r="C1806" s="191"/>
      <c r="K1806" s="283" t="s">
        <v>1272</v>
      </c>
      <c r="L1806" s="283" t="s">
        <v>673</v>
      </c>
      <c r="M1806" s="283" t="s">
        <v>250</v>
      </c>
      <c r="N1806" s="283" t="s">
        <v>253</v>
      </c>
      <c r="O1806" s="283">
        <v>87</v>
      </c>
      <c r="P1806" s="283">
        <v>63</v>
      </c>
      <c r="Q1806" s="235">
        <f>(O1806+IF('Scenario Analysis'!$N$23=1,0,0.5))*P1806</f>
        <v>5512.5</v>
      </c>
    </row>
    <row r="1807" spans="3:17" x14ac:dyDescent="0.25">
      <c r="C1807" s="191"/>
      <c r="K1807" s="283" t="s">
        <v>1272</v>
      </c>
      <c r="L1807" s="283" t="s">
        <v>673</v>
      </c>
      <c r="M1807" s="283" t="s">
        <v>250</v>
      </c>
      <c r="N1807" s="283" t="s">
        <v>253</v>
      </c>
      <c r="O1807" s="283">
        <v>88</v>
      </c>
      <c r="P1807" s="283">
        <v>49</v>
      </c>
      <c r="Q1807" s="235">
        <f>(O1807+IF('Scenario Analysis'!$N$23=1,0,0.5))*P1807</f>
        <v>4336.5</v>
      </c>
    </row>
    <row r="1808" spans="3:17" x14ac:dyDescent="0.25">
      <c r="C1808" s="191"/>
      <c r="K1808" s="283" t="s">
        <v>1272</v>
      </c>
      <c r="L1808" s="283" t="s">
        <v>673</v>
      </c>
      <c r="M1808" s="283" t="s">
        <v>250</v>
      </c>
      <c r="N1808" s="283" t="s">
        <v>253</v>
      </c>
      <c r="O1808" s="283">
        <v>89</v>
      </c>
      <c r="P1808" s="283">
        <v>48</v>
      </c>
      <c r="Q1808" s="235">
        <f>(O1808+IF('Scenario Analysis'!$N$23=1,0,0.5))*P1808</f>
        <v>4296</v>
      </c>
    </row>
    <row r="1809" spans="3:17" x14ac:dyDescent="0.25">
      <c r="C1809" s="191"/>
      <c r="K1809" s="283" t="s">
        <v>1272</v>
      </c>
      <c r="L1809" s="283" t="s">
        <v>673</v>
      </c>
      <c r="M1809" s="283" t="s">
        <v>250</v>
      </c>
      <c r="N1809" s="283" t="s">
        <v>253</v>
      </c>
      <c r="O1809" s="283">
        <v>90</v>
      </c>
      <c r="P1809" s="283">
        <v>29</v>
      </c>
      <c r="Q1809" s="235">
        <f>(O1809+IF('Scenario Analysis'!$N$23=1,0,0.5))*P1809</f>
        <v>2624.5</v>
      </c>
    </row>
    <row r="1810" spans="3:17" x14ac:dyDescent="0.25">
      <c r="C1810" s="191"/>
      <c r="K1810" s="283" t="s">
        <v>1272</v>
      </c>
      <c r="L1810" s="283" t="s">
        <v>673</v>
      </c>
      <c r="M1810" s="283" t="s">
        <v>250</v>
      </c>
      <c r="N1810" s="283" t="s">
        <v>253</v>
      </c>
      <c r="O1810" s="283">
        <v>91</v>
      </c>
      <c r="P1810" s="283">
        <v>36</v>
      </c>
      <c r="Q1810" s="235">
        <f>(O1810+IF('Scenario Analysis'!$N$23=1,0,0.5))*P1810</f>
        <v>3294</v>
      </c>
    </row>
    <row r="1811" spans="3:17" x14ac:dyDescent="0.25">
      <c r="C1811" s="191"/>
      <c r="K1811" s="283" t="s">
        <v>1272</v>
      </c>
      <c r="L1811" s="283" t="s">
        <v>673</v>
      </c>
      <c r="M1811" s="283" t="s">
        <v>250</v>
      </c>
      <c r="N1811" s="283" t="s">
        <v>253</v>
      </c>
      <c r="O1811" s="283">
        <v>92</v>
      </c>
      <c r="P1811" s="283">
        <v>18</v>
      </c>
      <c r="Q1811" s="235">
        <f>(O1811+IF('Scenario Analysis'!$N$23=1,0,0.5))*P1811</f>
        <v>1665</v>
      </c>
    </row>
    <row r="1812" spans="3:17" x14ac:dyDescent="0.25">
      <c r="C1812" s="191"/>
      <c r="K1812" s="283" t="s">
        <v>1272</v>
      </c>
      <c r="L1812" s="283" t="s">
        <v>673</v>
      </c>
      <c r="M1812" s="283" t="s">
        <v>250</v>
      </c>
      <c r="N1812" s="283" t="s">
        <v>253</v>
      </c>
      <c r="O1812" s="283">
        <v>93</v>
      </c>
      <c r="P1812" s="283">
        <v>44</v>
      </c>
      <c r="Q1812" s="235">
        <f>(O1812+IF('Scenario Analysis'!$N$23=1,0,0.5))*P1812</f>
        <v>4114</v>
      </c>
    </row>
    <row r="1813" spans="3:17" x14ac:dyDescent="0.25">
      <c r="C1813" s="191"/>
      <c r="K1813" s="283" t="s">
        <v>1272</v>
      </c>
      <c r="L1813" s="283" t="s">
        <v>673</v>
      </c>
      <c r="M1813" s="283" t="s">
        <v>250</v>
      </c>
      <c r="N1813" s="283" t="s">
        <v>253</v>
      </c>
      <c r="O1813" s="283">
        <v>94</v>
      </c>
      <c r="P1813" s="283">
        <v>12</v>
      </c>
      <c r="Q1813" s="235">
        <f>(O1813+IF('Scenario Analysis'!$N$23=1,0,0.5))*P1813</f>
        <v>1134</v>
      </c>
    </row>
    <row r="1814" spans="3:17" x14ac:dyDescent="0.25">
      <c r="C1814" s="191"/>
      <c r="K1814" s="283" t="s">
        <v>1272</v>
      </c>
      <c r="L1814" s="283" t="s">
        <v>673</v>
      </c>
      <c r="M1814" s="283" t="s">
        <v>250</v>
      </c>
      <c r="N1814" s="283" t="s">
        <v>253</v>
      </c>
      <c r="O1814" s="283">
        <v>95</v>
      </c>
      <c r="P1814" s="283">
        <v>5</v>
      </c>
      <c r="Q1814" s="235">
        <f>(O1814+IF('Scenario Analysis'!$N$23=1,0,0.5))*P1814</f>
        <v>477.5</v>
      </c>
    </row>
    <row r="1815" spans="3:17" x14ac:dyDescent="0.25">
      <c r="C1815" s="191"/>
      <c r="K1815" s="283" t="s">
        <v>1272</v>
      </c>
      <c r="L1815" s="283" t="s">
        <v>673</v>
      </c>
      <c r="M1815" s="283" t="s">
        <v>250</v>
      </c>
      <c r="N1815" s="283" t="s">
        <v>253</v>
      </c>
      <c r="O1815" s="283">
        <v>96</v>
      </c>
      <c r="P1815" s="283">
        <v>29</v>
      </c>
      <c r="Q1815" s="235">
        <f>(O1815+IF('Scenario Analysis'!$N$23=1,0,0.5))*P1815</f>
        <v>2798.5</v>
      </c>
    </row>
    <row r="1816" spans="3:17" x14ac:dyDescent="0.25">
      <c r="C1816" s="191"/>
      <c r="K1816" s="283" t="s">
        <v>1272</v>
      </c>
      <c r="L1816" s="283" t="s">
        <v>673</v>
      </c>
      <c r="M1816" s="283" t="s">
        <v>250</v>
      </c>
      <c r="N1816" s="283" t="s">
        <v>253</v>
      </c>
      <c r="O1816" s="283">
        <v>97</v>
      </c>
      <c r="P1816" s="283">
        <v>4</v>
      </c>
      <c r="Q1816" s="235">
        <f>(O1816+IF('Scenario Analysis'!$N$23=1,0,0.5))*P1816</f>
        <v>390</v>
      </c>
    </row>
    <row r="1817" spans="3:17" x14ac:dyDescent="0.25">
      <c r="C1817" s="191"/>
      <c r="K1817" s="283" t="s">
        <v>1272</v>
      </c>
      <c r="L1817" s="283" t="s">
        <v>673</v>
      </c>
      <c r="M1817" s="283" t="s">
        <v>250</v>
      </c>
      <c r="N1817" s="283" t="s">
        <v>253</v>
      </c>
      <c r="O1817" s="283">
        <v>98</v>
      </c>
      <c r="P1817" s="283">
        <v>12</v>
      </c>
      <c r="Q1817" s="235">
        <f>(O1817+IF('Scenario Analysis'!$N$23=1,0,0.5))*P1817</f>
        <v>1182</v>
      </c>
    </row>
    <row r="1818" spans="3:17" x14ac:dyDescent="0.25">
      <c r="C1818" s="191"/>
      <c r="K1818" s="283" t="s">
        <v>1272</v>
      </c>
      <c r="L1818" s="283" t="s">
        <v>673</v>
      </c>
      <c r="M1818" s="283" t="s">
        <v>250</v>
      </c>
      <c r="N1818" s="283" t="s">
        <v>253</v>
      </c>
      <c r="O1818" s="283">
        <v>99</v>
      </c>
      <c r="P1818" s="283">
        <v>1</v>
      </c>
      <c r="Q1818" s="235">
        <f>(O1818+IF('Scenario Analysis'!$N$23=1,0,0.5))*P1818</f>
        <v>99.5</v>
      </c>
    </row>
    <row r="1819" spans="3:17" x14ac:dyDescent="0.25">
      <c r="C1819" s="191"/>
      <c r="K1819" s="283" t="s">
        <v>1272</v>
      </c>
      <c r="L1819" s="283" t="s">
        <v>673</v>
      </c>
      <c r="M1819" s="283" t="s">
        <v>250</v>
      </c>
      <c r="N1819" s="283" t="s">
        <v>253</v>
      </c>
      <c r="O1819" s="283">
        <v>100</v>
      </c>
      <c r="P1819" s="283">
        <v>5</v>
      </c>
      <c r="Q1819" s="235">
        <f>(O1819+IF('Scenario Analysis'!$N$23=1,0,0.5))*P1819</f>
        <v>502.5</v>
      </c>
    </row>
    <row r="1820" spans="3:17" x14ac:dyDescent="0.25">
      <c r="C1820" s="191"/>
      <c r="K1820" s="283" t="s">
        <v>1272</v>
      </c>
      <c r="L1820" s="283" t="s">
        <v>673</v>
      </c>
      <c r="M1820" s="283" t="s">
        <v>250</v>
      </c>
      <c r="N1820" s="283" t="s">
        <v>253</v>
      </c>
      <c r="O1820" s="283">
        <v>101</v>
      </c>
      <c r="P1820" s="283">
        <v>23</v>
      </c>
      <c r="Q1820" s="235">
        <f>(O1820+IF('Scenario Analysis'!$N$23=1,0,0.5))*P1820</f>
        <v>2334.5</v>
      </c>
    </row>
    <row r="1821" spans="3:17" x14ac:dyDescent="0.25">
      <c r="C1821" s="191"/>
      <c r="K1821" s="283" t="s">
        <v>1272</v>
      </c>
      <c r="L1821" s="283" t="s">
        <v>673</v>
      </c>
      <c r="M1821" s="283" t="s">
        <v>250</v>
      </c>
      <c r="N1821" s="283" t="s">
        <v>253</v>
      </c>
      <c r="O1821" s="283">
        <v>102</v>
      </c>
      <c r="P1821" s="283">
        <v>1</v>
      </c>
      <c r="Q1821" s="235">
        <f>(O1821+IF('Scenario Analysis'!$N$23=1,0,0.5))*P1821</f>
        <v>102.5</v>
      </c>
    </row>
    <row r="1822" spans="3:17" x14ac:dyDescent="0.25">
      <c r="C1822" s="191"/>
      <c r="K1822" s="283" t="s">
        <v>1272</v>
      </c>
      <c r="L1822" s="283" t="s">
        <v>673</v>
      </c>
      <c r="M1822" s="283" t="s">
        <v>250</v>
      </c>
      <c r="N1822" s="283" t="s">
        <v>253</v>
      </c>
      <c r="O1822" s="283">
        <v>103</v>
      </c>
      <c r="P1822" s="283">
        <v>2</v>
      </c>
      <c r="Q1822" s="235">
        <f>(O1822+IF('Scenario Analysis'!$N$23=1,0,0.5))*P1822</f>
        <v>207</v>
      </c>
    </row>
    <row r="1823" spans="3:17" x14ac:dyDescent="0.25">
      <c r="C1823" s="191"/>
      <c r="K1823" s="283" t="s">
        <v>1272</v>
      </c>
      <c r="L1823" s="283" t="s">
        <v>673</v>
      </c>
      <c r="M1823" s="283" t="s">
        <v>250</v>
      </c>
      <c r="N1823" s="283" t="s">
        <v>253</v>
      </c>
      <c r="O1823" s="283">
        <v>104</v>
      </c>
      <c r="P1823" s="283">
        <v>6</v>
      </c>
      <c r="Q1823" s="235">
        <f>(O1823+IF('Scenario Analysis'!$N$23=1,0,0.5))*P1823</f>
        <v>627</v>
      </c>
    </row>
    <row r="1824" spans="3:17" x14ac:dyDescent="0.25">
      <c r="C1824" s="191"/>
      <c r="K1824" s="283" t="s">
        <v>1272</v>
      </c>
      <c r="L1824" s="283" t="s">
        <v>673</v>
      </c>
      <c r="M1824" s="283" t="s">
        <v>250</v>
      </c>
      <c r="N1824" s="283" t="s">
        <v>253</v>
      </c>
      <c r="O1824" s="283">
        <v>105</v>
      </c>
      <c r="P1824" s="283">
        <v>2</v>
      </c>
      <c r="Q1824" s="235">
        <f>(O1824+IF('Scenario Analysis'!$N$23=1,0,0.5))*P1824</f>
        <v>211</v>
      </c>
    </row>
    <row r="1825" spans="3:17" x14ac:dyDescent="0.25">
      <c r="C1825" s="191"/>
      <c r="K1825" s="283" t="s">
        <v>1272</v>
      </c>
      <c r="L1825" s="283" t="s">
        <v>673</v>
      </c>
      <c r="M1825" s="283" t="s">
        <v>250</v>
      </c>
      <c r="N1825" s="283" t="s">
        <v>253</v>
      </c>
      <c r="O1825" s="283">
        <v>106</v>
      </c>
      <c r="P1825" s="283">
        <v>1</v>
      </c>
      <c r="Q1825" s="235">
        <f>(O1825+IF('Scenario Analysis'!$N$23=1,0,0.5))*P1825</f>
        <v>106.5</v>
      </c>
    </row>
    <row r="1826" spans="3:17" x14ac:dyDescent="0.25">
      <c r="C1826" s="191"/>
      <c r="K1826" s="283" t="s">
        <v>1272</v>
      </c>
      <c r="L1826" s="283" t="s">
        <v>673</v>
      </c>
      <c r="M1826" s="283" t="s">
        <v>250</v>
      </c>
      <c r="N1826" s="283" t="s">
        <v>253</v>
      </c>
      <c r="O1826" s="283">
        <v>107</v>
      </c>
      <c r="P1826" s="283">
        <v>2</v>
      </c>
      <c r="Q1826" s="235">
        <f>(O1826+IF('Scenario Analysis'!$N$23=1,0,0.5))*P1826</f>
        <v>215</v>
      </c>
    </row>
    <row r="1827" spans="3:17" x14ac:dyDescent="0.25">
      <c r="C1827" s="191"/>
      <c r="K1827" s="283" t="s">
        <v>1272</v>
      </c>
      <c r="L1827" s="283" t="s">
        <v>673</v>
      </c>
      <c r="M1827" s="283" t="s">
        <v>250</v>
      </c>
      <c r="N1827" s="283" t="s">
        <v>253</v>
      </c>
      <c r="O1827" s="283">
        <v>108</v>
      </c>
      <c r="P1827" s="283">
        <v>4</v>
      </c>
      <c r="Q1827" s="235">
        <f>(O1827+IF('Scenario Analysis'!$N$23=1,0,0.5))*P1827</f>
        <v>434</v>
      </c>
    </row>
    <row r="1828" spans="3:17" x14ac:dyDescent="0.25">
      <c r="C1828" s="191"/>
      <c r="K1828" s="283" t="s">
        <v>1272</v>
      </c>
      <c r="L1828" s="283" t="s">
        <v>673</v>
      </c>
      <c r="M1828" s="283" t="s">
        <v>250</v>
      </c>
      <c r="N1828" s="283" t="s">
        <v>253</v>
      </c>
      <c r="O1828" s="283">
        <v>109</v>
      </c>
      <c r="P1828" s="283">
        <v>10</v>
      </c>
      <c r="Q1828" s="235">
        <f>(O1828+IF('Scenario Analysis'!$N$23=1,0,0.5))*P1828</f>
        <v>1095</v>
      </c>
    </row>
    <row r="1829" spans="3:17" x14ac:dyDescent="0.25">
      <c r="C1829" s="191"/>
      <c r="K1829" s="283" t="s">
        <v>1272</v>
      </c>
      <c r="L1829" s="283" t="s">
        <v>673</v>
      </c>
      <c r="M1829" s="283" t="s">
        <v>250</v>
      </c>
      <c r="N1829" s="283" t="s">
        <v>253</v>
      </c>
      <c r="O1829" s="283">
        <v>110</v>
      </c>
      <c r="P1829" s="283">
        <v>10</v>
      </c>
      <c r="Q1829" s="235">
        <f>(O1829+IF('Scenario Analysis'!$N$23=1,0,0.5))*P1829</f>
        <v>1105</v>
      </c>
    </row>
    <row r="1830" spans="3:17" x14ac:dyDescent="0.25">
      <c r="C1830" s="191"/>
      <c r="K1830" s="283" t="s">
        <v>1272</v>
      </c>
      <c r="L1830" s="283" t="s">
        <v>673</v>
      </c>
      <c r="M1830" s="283" t="s">
        <v>250</v>
      </c>
      <c r="N1830" s="283" t="s">
        <v>253</v>
      </c>
      <c r="O1830" s="283">
        <v>111</v>
      </c>
      <c r="P1830" s="283">
        <v>1</v>
      </c>
      <c r="Q1830" s="235">
        <f>(O1830+IF('Scenario Analysis'!$N$23=1,0,0.5))*P1830</f>
        <v>111.5</v>
      </c>
    </row>
    <row r="1831" spans="3:17" x14ac:dyDescent="0.25">
      <c r="C1831" s="191"/>
      <c r="K1831" s="283" t="s">
        <v>1272</v>
      </c>
      <c r="L1831" s="283" t="s">
        <v>673</v>
      </c>
      <c r="M1831" s="283" t="s">
        <v>250</v>
      </c>
      <c r="N1831" s="283" t="s">
        <v>253</v>
      </c>
      <c r="O1831" s="283">
        <v>112</v>
      </c>
      <c r="P1831" s="283">
        <v>8</v>
      </c>
      <c r="Q1831" s="235">
        <f>(O1831+IF('Scenario Analysis'!$N$23=1,0,0.5))*P1831</f>
        <v>900</v>
      </c>
    </row>
    <row r="1832" spans="3:17" x14ac:dyDescent="0.25">
      <c r="C1832" s="191"/>
      <c r="K1832" s="283" t="s">
        <v>1272</v>
      </c>
      <c r="L1832" s="283" t="s">
        <v>673</v>
      </c>
      <c r="M1832" s="283" t="s">
        <v>250</v>
      </c>
      <c r="N1832" s="283" t="s">
        <v>253</v>
      </c>
      <c r="O1832" s="283">
        <v>113</v>
      </c>
      <c r="P1832" s="283">
        <v>2</v>
      </c>
      <c r="Q1832" s="235">
        <f>(O1832+IF('Scenario Analysis'!$N$23=1,0,0.5))*P1832</f>
        <v>227</v>
      </c>
    </row>
    <row r="1833" spans="3:17" x14ac:dyDescent="0.25">
      <c r="C1833" s="191"/>
      <c r="K1833" s="283" t="s">
        <v>1272</v>
      </c>
      <c r="L1833" s="283" t="s">
        <v>673</v>
      </c>
      <c r="M1833" s="283" t="s">
        <v>250</v>
      </c>
      <c r="N1833" s="283" t="s">
        <v>253</v>
      </c>
      <c r="O1833" s="283">
        <v>115</v>
      </c>
      <c r="P1833" s="283">
        <v>2</v>
      </c>
      <c r="Q1833" s="235">
        <f>(O1833+IF('Scenario Analysis'!$N$23=1,0,0.5))*P1833</f>
        <v>231</v>
      </c>
    </row>
    <row r="1834" spans="3:17" x14ac:dyDescent="0.25">
      <c r="C1834" s="191"/>
      <c r="K1834" s="283" t="s">
        <v>1272</v>
      </c>
      <c r="L1834" s="283" t="s">
        <v>673</v>
      </c>
      <c r="M1834" s="283" t="s">
        <v>250</v>
      </c>
      <c r="N1834" s="283" t="s">
        <v>253</v>
      </c>
      <c r="O1834" s="283">
        <v>116</v>
      </c>
      <c r="P1834" s="283">
        <v>5</v>
      </c>
      <c r="Q1834" s="235">
        <f>(O1834+IF('Scenario Analysis'!$N$23=1,0,0.5))*P1834</f>
        <v>582.5</v>
      </c>
    </row>
    <row r="1835" spans="3:17" x14ac:dyDescent="0.25">
      <c r="C1835" s="191"/>
      <c r="K1835" s="283" t="s">
        <v>1272</v>
      </c>
      <c r="L1835" s="283" t="s">
        <v>673</v>
      </c>
      <c r="M1835" s="283" t="s">
        <v>250</v>
      </c>
      <c r="N1835" s="283" t="s">
        <v>253</v>
      </c>
      <c r="O1835" s="283">
        <v>117</v>
      </c>
      <c r="P1835" s="283">
        <v>1</v>
      </c>
      <c r="Q1835" s="235">
        <f>(O1835+IF('Scenario Analysis'!$N$23=1,0,0.5))*P1835</f>
        <v>117.5</v>
      </c>
    </row>
    <row r="1836" spans="3:17" x14ac:dyDescent="0.25">
      <c r="C1836" s="191"/>
      <c r="K1836" s="283" t="s">
        <v>1272</v>
      </c>
      <c r="L1836" s="283" t="s">
        <v>673</v>
      </c>
      <c r="M1836" s="283" t="s">
        <v>250</v>
      </c>
      <c r="N1836" s="283" t="s">
        <v>253</v>
      </c>
      <c r="O1836" s="283">
        <v>119</v>
      </c>
      <c r="P1836" s="283">
        <v>6</v>
      </c>
      <c r="Q1836" s="235">
        <f>(O1836+IF('Scenario Analysis'!$N$23=1,0,0.5))*P1836</f>
        <v>717</v>
      </c>
    </row>
    <row r="1837" spans="3:17" x14ac:dyDescent="0.25">
      <c r="C1837" s="191"/>
      <c r="K1837" s="283" t="s">
        <v>1272</v>
      </c>
      <c r="L1837" s="283" t="s">
        <v>673</v>
      </c>
      <c r="M1837" s="283" t="s">
        <v>250</v>
      </c>
      <c r="N1837" s="283" t="s">
        <v>253</v>
      </c>
      <c r="O1837" s="283">
        <v>121</v>
      </c>
      <c r="P1837" s="283">
        <v>1</v>
      </c>
      <c r="Q1837" s="235">
        <f>(O1837+IF('Scenario Analysis'!$N$23=1,0,0.5))*P1837</f>
        <v>121.5</v>
      </c>
    </row>
    <row r="1838" spans="3:17" x14ac:dyDescent="0.25">
      <c r="C1838" s="191"/>
      <c r="K1838" s="283" t="s">
        <v>1272</v>
      </c>
      <c r="L1838" s="283" t="s">
        <v>673</v>
      </c>
      <c r="M1838" s="283" t="s">
        <v>250</v>
      </c>
      <c r="N1838" s="283" t="s">
        <v>253</v>
      </c>
      <c r="O1838" s="283">
        <v>122</v>
      </c>
      <c r="P1838" s="283">
        <v>1</v>
      </c>
      <c r="Q1838" s="235">
        <f>(O1838+IF('Scenario Analysis'!$N$23=1,0,0.5))*P1838</f>
        <v>122.5</v>
      </c>
    </row>
    <row r="1839" spans="3:17" x14ac:dyDescent="0.25">
      <c r="C1839" s="191"/>
      <c r="K1839" s="283" t="s">
        <v>1272</v>
      </c>
      <c r="L1839" s="283" t="s">
        <v>673</v>
      </c>
      <c r="M1839" s="283" t="s">
        <v>250</v>
      </c>
      <c r="N1839" s="283" t="s">
        <v>253</v>
      </c>
      <c r="O1839" s="283">
        <v>124</v>
      </c>
      <c r="P1839" s="283">
        <v>1</v>
      </c>
      <c r="Q1839" s="235">
        <f>(O1839+IF('Scenario Analysis'!$N$23=1,0,0.5))*P1839</f>
        <v>124.5</v>
      </c>
    </row>
    <row r="1840" spans="3:17" x14ac:dyDescent="0.25">
      <c r="C1840" s="191"/>
      <c r="K1840" s="283" t="s">
        <v>1272</v>
      </c>
      <c r="L1840" s="283" t="s">
        <v>673</v>
      </c>
      <c r="M1840" s="283" t="s">
        <v>250</v>
      </c>
      <c r="N1840" s="283" t="s">
        <v>253</v>
      </c>
      <c r="O1840" s="283">
        <v>127</v>
      </c>
      <c r="P1840" s="283">
        <v>3</v>
      </c>
      <c r="Q1840" s="235">
        <f>(O1840+IF('Scenario Analysis'!$N$23=1,0,0.5))*P1840</f>
        <v>382.5</v>
      </c>
    </row>
    <row r="1841" spans="3:17" x14ac:dyDescent="0.25">
      <c r="C1841" s="191"/>
      <c r="K1841" s="283" t="s">
        <v>1272</v>
      </c>
      <c r="L1841" s="283" t="s">
        <v>673</v>
      </c>
      <c r="M1841" s="283" t="s">
        <v>250</v>
      </c>
      <c r="N1841" s="283" t="s">
        <v>253</v>
      </c>
      <c r="O1841" s="283">
        <v>129</v>
      </c>
      <c r="P1841" s="283">
        <v>1</v>
      </c>
      <c r="Q1841" s="235">
        <f>(O1841+IF('Scenario Analysis'!$N$23=1,0,0.5))*P1841</f>
        <v>129.5</v>
      </c>
    </row>
    <row r="1842" spans="3:17" x14ac:dyDescent="0.25">
      <c r="C1842" s="191"/>
      <c r="K1842" s="283" t="s">
        <v>1272</v>
      </c>
      <c r="L1842" s="283" t="s">
        <v>673</v>
      </c>
      <c r="M1842" s="283" t="s">
        <v>250</v>
      </c>
      <c r="N1842" s="283" t="s">
        <v>253</v>
      </c>
      <c r="O1842" s="283">
        <v>131</v>
      </c>
      <c r="P1842" s="283">
        <v>2</v>
      </c>
      <c r="Q1842" s="235">
        <f>(O1842+IF('Scenario Analysis'!$N$23=1,0,0.5))*P1842</f>
        <v>263</v>
      </c>
    </row>
    <row r="1843" spans="3:17" x14ac:dyDescent="0.25">
      <c r="C1843" s="191"/>
      <c r="K1843" s="283" t="s">
        <v>1272</v>
      </c>
      <c r="L1843" s="283" t="s">
        <v>673</v>
      </c>
      <c r="M1843" s="283" t="s">
        <v>250</v>
      </c>
      <c r="N1843" s="283" t="s">
        <v>253</v>
      </c>
      <c r="O1843" s="283">
        <v>134</v>
      </c>
      <c r="P1843" s="283">
        <v>4</v>
      </c>
      <c r="Q1843" s="235">
        <f>(O1843+IF('Scenario Analysis'!$N$23=1,0,0.5))*P1843</f>
        <v>538</v>
      </c>
    </row>
    <row r="1844" spans="3:17" x14ac:dyDescent="0.25">
      <c r="C1844" s="191"/>
      <c r="K1844" s="283" t="s">
        <v>1272</v>
      </c>
      <c r="L1844" s="283" t="s">
        <v>673</v>
      </c>
      <c r="M1844" s="283" t="s">
        <v>250</v>
      </c>
      <c r="N1844" s="283" t="s">
        <v>253</v>
      </c>
      <c r="O1844" s="283">
        <v>142</v>
      </c>
      <c r="P1844" s="283">
        <v>8</v>
      </c>
      <c r="Q1844" s="235">
        <f>(O1844+IF('Scenario Analysis'!$N$23=1,0,0.5))*P1844</f>
        <v>1140</v>
      </c>
    </row>
    <row r="1845" spans="3:17" x14ac:dyDescent="0.25">
      <c r="C1845" s="191"/>
      <c r="K1845" s="283" t="s">
        <v>1272</v>
      </c>
      <c r="L1845" s="283" t="s">
        <v>673</v>
      </c>
      <c r="M1845" s="283" t="s">
        <v>250</v>
      </c>
      <c r="N1845" s="283" t="s">
        <v>253</v>
      </c>
      <c r="O1845" s="283">
        <v>144</v>
      </c>
      <c r="P1845" s="283">
        <v>11</v>
      </c>
      <c r="Q1845" s="235">
        <f>(O1845+IF('Scenario Analysis'!$N$23=1,0,0.5))*P1845</f>
        <v>1589.5</v>
      </c>
    </row>
    <row r="1846" spans="3:17" x14ac:dyDescent="0.25">
      <c r="C1846" s="191"/>
      <c r="K1846" s="283" t="s">
        <v>1272</v>
      </c>
      <c r="L1846" s="283" t="s">
        <v>673</v>
      </c>
      <c r="M1846" s="283" t="s">
        <v>250</v>
      </c>
      <c r="N1846" s="283" t="s">
        <v>253</v>
      </c>
      <c r="O1846" s="283">
        <v>146</v>
      </c>
      <c r="P1846" s="283">
        <v>2</v>
      </c>
      <c r="Q1846" s="235">
        <f>(O1846+IF('Scenario Analysis'!$N$23=1,0,0.5))*P1846</f>
        <v>293</v>
      </c>
    </row>
    <row r="1847" spans="3:17" x14ac:dyDescent="0.25">
      <c r="C1847" s="191"/>
      <c r="K1847" s="283" t="s">
        <v>1272</v>
      </c>
      <c r="L1847" s="283" t="s">
        <v>673</v>
      </c>
      <c r="M1847" s="283" t="s">
        <v>250</v>
      </c>
      <c r="N1847" s="283" t="s">
        <v>253</v>
      </c>
      <c r="O1847" s="283">
        <v>147</v>
      </c>
      <c r="P1847" s="283">
        <v>21</v>
      </c>
      <c r="Q1847" s="235">
        <f>(O1847+IF('Scenario Analysis'!$N$23=1,0,0.5))*P1847</f>
        <v>3097.5</v>
      </c>
    </row>
    <row r="1848" spans="3:17" x14ac:dyDescent="0.25">
      <c r="C1848" s="191"/>
      <c r="K1848" s="283" t="s">
        <v>1272</v>
      </c>
      <c r="L1848" s="283" t="s">
        <v>673</v>
      </c>
      <c r="M1848" s="283" t="s">
        <v>250</v>
      </c>
      <c r="N1848" s="283" t="s">
        <v>253</v>
      </c>
      <c r="O1848" s="283">
        <v>149</v>
      </c>
      <c r="P1848" s="283">
        <v>2</v>
      </c>
      <c r="Q1848" s="235">
        <f>(O1848+IF('Scenario Analysis'!$N$23=1,0,0.5))*P1848</f>
        <v>299</v>
      </c>
    </row>
    <row r="1849" spans="3:17" x14ac:dyDescent="0.25">
      <c r="C1849" s="191"/>
      <c r="K1849" s="283" t="s">
        <v>1272</v>
      </c>
      <c r="L1849" s="283" t="s">
        <v>673</v>
      </c>
      <c r="M1849" s="283" t="s">
        <v>250</v>
      </c>
      <c r="N1849" s="283" t="s">
        <v>253</v>
      </c>
      <c r="O1849" s="283">
        <v>150</v>
      </c>
      <c r="P1849" s="283">
        <v>64</v>
      </c>
      <c r="Q1849" s="235">
        <f>(O1849+IF('Scenario Analysis'!$N$23=1,0,0.5))*P1849</f>
        <v>9632</v>
      </c>
    </row>
    <row r="1850" spans="3:17" x14ac:dyDescent="0.25">
      <c r="C1850" s="196"/>
      <c r="D1850" s="197"/>
      <c r="E1850" s="197"/>
      <c r="F1850" s="197"/>
      <c r="G1850" s="197"/>
      <c r="H1850" s="197"/>
      <c r="I1850" s="197"/>
      <c r="J1850" s="197"/>
      <c r="K1850" s="197"/>
      <c r="L1850" s="197"/>
      <c r="M1850" s="197"/>
      <c r="N1850" s="197"/>
      <c r="O1850" s="197"/>
      <c r="P1850" s="197"/>
      <c r="Q1850" s="19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AE46-2636-4090-A01C-1854C6B4BCDE}">
  <sheetPr codeName="Sheet19">
    <tabColor rgb="FF99CCFF"/>
  </sheetPr>
  <dimension ref="B1:J7548"/>
  <sheetViews>
    <sheetView showGridLines="0" workbookViewId="0"/>
  </sheetViews>
  <sheetFormatPr defaultRowHeight="11.5" x14ac:dyDescent="0.25"/>
  <cols>
    <col min="1" max="2" width="3.69921875" customWidth="1"/>
    <col min="3" max="11" width="12.69921875" customWidth="1"/>
  </cols>
  <sheetData>
    <row r="1" spans="2:10" x14ac:dyDescent="0.25">
      <c r="C1" s="42" t="str">
        <f>'Fare optimisation'!$C$1</f>
        <v>Fare Optimisation Model for the 2025 Opal Review - Independent Pricing and Regulatory Tribunal of NSW</v>
      </c>
    </row>
    <row r="2" spans="2:10" x14ac:dyDescent="0.25">
      <c r="C2" s="42"/>
    </row>
    <row r="3" spans="2:10" x14ac:dyDescent="0.25">
      <c r="C3" s="42"/>
    </row>
    <row r="4" spans="2:10" ht="23" x14ac:dyDescent="0.5">
      <c r="C4" s="184" t="s">
        <v>1276</v>
      </c>
    </row>
    <row r="7" spans="2:10" x14ac:dyDescent="0.25">
      <c r="C7" s="209" t="s">
        <v>225</v>
      </c>
      <c r="D7" s="209"/>
      <c r="E7" s="209"/>
      <c r="F7" s="209"/>
      <c r="G7" s="209"/>
      <c r="H7" s="234" t="s">
        <v>226</v>
      </c>
    </row>
    <row r="8" spans="2:10" x14ac:dyDescent="0.25">
      <c r="B8" s="186">
        <v>1</v>
      </c>
      <c r="C8" s="533" t="str">
        <f>"Table "&amp;B8&amp;" - 2020 SGCCSA crashes"</f>
        <v>Table 1 - 2020 SGCCSA crashes</v>
      </c>
      <c r="D8" s="533"/>
      <c r="E8" s="533"/>
      <c r="F8" s="533"/>
      <c r="G8" s="533"/>
      <c r="H8" s="533">
        <f>ROW(C12)</f>
        <v>12</v>
      </c>
    </row>
    <row r="12" spans="2:10" ht="15.5" x14ac:dyDescent="0.35">
      <c r="C12" s="43" t="str">
        <f>C8</f>
        <v>Table 1 - 2020 SGCCSA crashes</v>
      </c>
      <c r="F12" s="162" t="s">
        <v>1233</v>
      </c>
    </row>
    <row r="13" spans="2:10" x14ac:dyDescent="0.25">
      <c r="C13" s="463"/>
      <c r="D13" s="464"/>
      <c r="E13" s="464"/>
      <c r="F13" s="464"/>
      <c r="G13" s="464"/>
      <c r="H13" s="464"/>
      <c r="I13" s="464"/>
      <c r="J13" s="465"/>
    </row>
    <row r="14" spans="2:10" ht="34.5" x14ac:dyDescent="0.25">
      <c r="C14" s="670" t="s">
        <v>1069</v>
      </c>
      <c r="D14" s="671" t="s">
        <v>1070</v>
      </c>
      <c r="E14" s="671" t="s">
        <v>1042</v>
      </c>
      <c r="F14" s="671" t="s">
        <v>1041</v>
      </c>
      <c r="G14" s="668" t="s">
        <v>1045</v>
      </c>
      <c r="H14" s="668" t="s">
        <v>1071</v>
      </c>
      <c r="I14" s="668" t="s">
        <v>1072</v>
      </c>
      <c r="J14" s="669" t="s">
        <v>1073</v>
      </c>
    </row>
    <row r="15" spans="2:10" x14ac:dyDescent="0.25">
      <c r="C15" s="300" t="s">
        <v>1065</v>
      </c>
      <c r="D15" s="283" t="s">
        <v>1074</v>
      </c>
      <c r="E15" s="283" t="s">
        <v>1075</v>
      </c>
      <c r="F15" s="283" t="s">
        <v>1076</v>
      </c>
      <c r="G15" s="283">
        <v>2</v>
      </c>
      <c r="H15" s="283">
        <v>0</v>
      </c>
      <c r="I15" s="283">
        <v>0</v>
      </c>
      <c r="J15" s="284">
        <v>0</v>
      </c>
    </row>
    <row r="16" spans="2:10" x14ac:dyDescent="0.25">
      <c r="C16" s="300" t="s">
        <v>1063</v>
      </c>
      <c r="D16" s="283" t="s">
        <v>1077</v>
      </c>
      <c r="E16" s="283" t="s">
        <v>1075</v>
      </c>
      <c r="F16" s="283" t="s">
        <v>1078</v>
      </c>
      <c r="G16" s="283">
        <v>3</v>
      </c>
      <c r="H16" s="283">
        <v>0</v>
      </c>
      <c r="I16" s="283">
        <v>1</v>
      </c>
      <c r="J16" s="284">
        <v>0</v>
      </c>
    </row>
    <row r="17" spans="3:10" x14ac:dyDescent="0.25">
      <c r="C17" s="300" t="s">
        <v>1060</v>
      </c>
      <c r="D17" s="283" t="s">
        <v>1077</v>
      </c>
      <c r="E17" s="283" t="s">
        <v>1075</v>
      </c>
      <c r="F17" s="283" t="s">
        <v>1075</v>
      </c>
      <c r="G17" s="283">
        <v>2</v>
      </c>
      <c r="H17" s="283">
        <v>0</v>
      </c>
      <c r="I17" s="283">
        <v>0</v>
      </c>
      <c r="J17" s="284">
        <v>0</v>
      </c>
    </row>
    <row r="18" spans="3:10" x14ac:dyDescent="0.25">
      <c r="C18" s="300" t="s">
        <v>1059</v>
      </c>
      <c r="D18" s="283" t="s">
        <v>1079</v>
      </c>
      <c r="E18" s="283" t="s">
        <v>1080</v>
      </c>
      <c r="F18" s="283" t="s">
        <v>1075</v>
      </c>
      <c r="G18" s="283">
        <v>2</v>
      </c>
      <c r="H18" s="283">
        <v>0</v>
      </c>
      <c r="I18" s="283">
        <v>0</v>
      </c>
      <c r="J18" s="284">
        <v>0</v>
      </c>
    </row>
    <row r="19" spans="3:10" x14ac:dyDescent="0.25">
      <c r="C19" s="300" t="s">
        <v>1063</v>
      </c>
      <c r="D19" s="283" t="s">
        <v>1074</v>
      </c>
      <c r="E19" s="283" t="s">
        <v>1075</v>
      </c>
      <c r="F19" s="283" t="s">
        <v>1075</v>
      </c>
      <c r="G19" s="283">
        <v>2</v>
      </c>
      <c r="H19" s="283">
        <v>0</v>
      </c>
      <c r="I19" s="283">
        <v>0</v>
      </c>
      <c r="J19" s="284">
        <v>0</v>
      </c>
    </row>
    <row r="20" spans="3:10" x14ac:dyDescent="0.25">
      <c r="C20" s="300" t="s">
        <v>1062</v>
      </c>
      <c r="D20" s="283" t="s">
        <v>1077</v>
      </c>
      <c r="E20" s="283" t="s">
        <v>1076</v>
      </c>
      <c r="F20" s="283" t="s">
        <v>1081</v>
      </c>
      <c r="G20" s="283">
        <v>2</v>
      </c>
      <c r="H20" s="283">
        <v>0</v>
      </c>
      <c r="I20" s="283">
        <v>0</v>
      </c>
      <c r="J20" s="284">
        <v>0</v>
      </c>
    </row>
    <row r="21" spans="3:10" x14ac:dyDescent="0.25">
      <c r="C21" s="300" t="s">
        <v>1065</v>
      </c>
      <c r="D21" s="283" t="s">
        <v>1082</v>
      </c>
      <c r="E21" s="283" t="s">
        <v>1083</v>
      </c>
      <c r="F21" s="283" t="s">
        <v>1075</v>
      </c>
      <c r="G21" s="283">
        <v>2</v>
      </c>
      <c r="H21" s="283">
        <v>0</v>
      </c>
      <c r="I21" s="283">
        <v>0</v>
      </c>
      <c r="J21" s="284">
        <v>0</v>
      </c>
    </row>
    <row r="22" spans="3:10" x14ac:dyDescent="0.25">
      <c r="C22" s="300" t="s">
        <v>1063</v>
      </c>
      <c r="D22" s="283" t="s">
        <v>1079</v>
      </c>
      <c r="E22" s="283" t="s">
        <v>1078</v>
      </c>
      <c r="F22" s="283" t="s">
        <v>1075</v>
      </c>
      <c r="G22" s="283">
        <v>2</v>
      </c>
      <c r="H22" s="283">
        <v>0</v>
      </c>
      <c r="I22" s="283">
        <v>0</v>
      </c>
      <c r="J22" s="284">
        <v>0</v>
      </c>
    </row>
    <row r="23" spans="3:10" x14ac:dyDescent="0.25">
      <c r="C23" s="300" t="s">
        <v>1063</v>
      </c>
      <c r="D23" s="283" t="s">
        <v>1077</v>
      </c>
      <c r="E23" s="283" t="s">
        <v>1080</v>
      </c>
      <c r="F23" s="283" t="s">
        <v>1084</v>
      </c>
      <c r="G23" s="283">
        <v>3</v>
      </c>
      <c r="H23" s="283">
        <v>0</v>
      </c>
      <c r="I23" s="283">
        <v>0</v>
      </c>
      <c r="J23" s="284">
        <v>0</v>
      </c>
    </row>
    <row r="24" spans="3:10" x14ac:dyDescent="0.25">
      <c r="C24" s="300" t="s">
        <v>1059</v>
      </c>
      <c r="D24" s="283" t="s">
        <v>1079</v>
      </c>
      <c r="E24" s="283" t="s">
        <v>1075</v>
      </c>
      <c r="F24" s="283" t="s">
        <v>1078</v>
      </c>
      <c r="G24" s="283">
        <v>2</v>
      </c>
      <c r="H24" s="283">
        <v>0</v>
      </c>
      <c r="I24" s="283">
        <v>0</v>
      </c>
      <c r="J24" s="284">
        <v>1</v>
      </c>
    </row>
    <row r="25" spans="3:10" x14ac:dyDescent="0.25">
      <c r="C25" s="300" t="s">
        <v>1065</v>
      </c>
      <c r="D25" s="283" t="s">
        <v>1077</v>
      </c>
      <c r="E25" s="283" t="s">
        <v>1076</v>
      </c>
      <c r="F25" s="283" t="s">
        <v>1078</v>
      </c>
      <c r="G25" s="283">
        <v>3</v>
      </c>
      <c r="H25" s="283">
        <v>0</v>
      </c>
      <c r="I25" s="283">
        <v>0</v>
      </c>
      <c r="J25" s="284">
        <v>0</v>
      </c>
    </row>
    <row r="26" spans="3:10" x14ac:dyDescent="0.25">
      <c r="C26" s="300" t="s">
        <v>1065</v>
      </c>
      <c r="D26" s="283" t="s">
        <v>1079</v>
      </c>
      <c r="E26" s="283" t="s">
        <v>1075</v>
      </c>
      <c r="F26" s="283" t="s">
        <v>1075</v>
      </c>
      <c r="G26" s="283">
        <v>2</v>
      </c>
      <c r="H26" s="283">
        <v>0</v>
      </c>
      <c r="I26" s="283">
        <v>0</v>
      </c>
      <c r="J26" s="284">
        <v>0</v>
      </c>
    </row>
    <row r="27" spans="3:10" x14ac:dyDescent="0.25">
      <c r="C27" s="300" t="s">
        <v>1061</v>
      </c>
      <c r="D27" s="283" t="s">
        <v>1079</v>
      </c>
      <c r="E27" s="283" t="s">
        <v>1080</v>
      </c>
      <c r="F27" s="283" t="s">
        <v>1075</v>
      </c>
      <c r="G27" s="283">
        <v>2</v>
      </c>
      <c r="H27" s="283">
        <v>0</v>
      </c>
      <c r="I27" s="283">
        <v>0</v>
      </c>
      <c r="J27" s="284">
        <v>0</v>
      </c>
    </row>
    <row r="28" spans="3:10" x14ac:dyDescent="0.25">
      <c r="C28" s="300" t="s">
        <v>1066</v>
      </c>
      <c r="D28" s="283" t="s">
        <v>1077</v>
      </c>
      <c r="E28" s="283" t="s">
        <v>1085</v>
      </c>
      <c r="F28" s="283" t="s">
        <v>1075</v>
      </c>
      <c r="G28" s="283">
        <v>2</v>
      </c>
      <c r="H28" s="283">
        <v>0</v>
      </c>
      <c r="I28" s="283">
        <v>0</v>
      </c>
      <c r="J28" s="284">
        <v>0</v>
      </c>
    </row>
    <row r="29" spans="3:10" x14ac:dyDescent="0.25">
      <c r="C29" s="300" t="s">
        <v>1064</v>
      </c>
      <c r="D29" s="283" t="s">
        <v>1079</v>
      </c>
      <c r="E29" s="283" t="s">
        <v>1075</v>
      </c>
      <c r="F29" s="283" t="s">
        <v>524</v>
      </c>
      <c r="G29" s="283">
        <v>1</v>
      </c>
      <c r="H29" s="283">
        <v>0</v>
      </c>
      <c r="I29" s="283">
        <v>0</v>
      </c>
      <c r="J29" s="284">
        <v>0</v>
      </c>
    </row>
    <row r="30" spans="3:10" x14ac:dyDescent="0.25">
      <c r="C30" s="300" t="s">
        <v>1063</v>
      </c>
      <c r="D30" s="283" t="s">
        <v>1079</v>
      </c>
      <c r="E30" s="283" t="s">
        <v>1075</v>
      </c>
      <c r="F30" s="283" t="s">
        <v>1086</v>
      </c>
      <c r="G30" s="283">
        <v>2</v>
      </c>
      <c r="H30" s="283">
        <v>0</v>
      </c>
      <c r="I30" s="283">
        <v>0</v>
      </c>
      <c r="J30" s="284">
        <v>0</v>
      </c>
    </row>
    <row r="31" spans="3:10" x14ac:dyDescent="0.25">
      <c r="C31" s="300" t="s">
        <v>1063</v>
      </c>
      <c r="D31" s="283" t="s">
        <v>1087</v>
      </c>
      <c r="E31" s="283" t="s">
        <v>1075</v>
      </c>
      <c r="F31" s="283" t="s">
        <v>524</v>
      </c>
      <c r="G31" s="283">
        <v>1</v>
      </c>
      <c r="H31" s="283">
        <v>0</v>
      </c>
      <c r="I31" s="283">
        <v>0</v>
      </c>
      <c r="J31" s="284">
        <v>0</v>
      </c>
    </row>
    <row r="32" spans="3:10" x14ac:dyDescent="0.25">
      <c r="C32" s="300" t="s">
        <v>1066</v>
      </c>
      <c r="D32" s="283" t="s">
        <v>1079</v>
      </c>
      <c r="E32" s="283" t="s">
        <v>1076</v>
      </c>
      <c r="F32" s="283" t="s">
        <v>1088</v>
      </c>
      <c r="G32" s="283">
        <v>3</v>
      </c>
      <c r="H32" s="283">
        <v>0</v>
      </c>
      <c r="I32" s="283">
        <v>0</v>
      </c>
      <c r="J32" s="284">
        <v>1</v>
      </c>
    </row>
    <row r="33" spans="3:10" x14ac:dyDescent="0.25">
      <c r="C33" s="300" t="s">
        <v>1066</v>
      </c>
      <c r="D33" s="283" t="s">
        <v>1074</v>
      </c>
      <c r="E33" s="283" t="s">
        <v>1089</v>
      </c>
      <c r="F33" s="283" t="s">
        <v>1089</v>
      </c>
      <c r="G33" s="283">
        <v>2</v>
      </c>
      <c r="H33" s="283">
        <v>0</v>
      </c>
      <c r="I33" s="283">
        <v>0</v>
      </c>
      <c r="J33" s="284">
        <v>1</v>
      </c>
    </row>
    <row r="34" spans="3:10" x14ac:dyDescent="0.25">
      <c r="C34" s="300" t="s">
        <v>1062</v>
      </c>
      <c r="D34" s="283" t="s">
        <v>1082</v>
      </c>
      <c r="E34" s="283" t="s">
        <v>1075</v>
      </c>
      <c r="F34" s="283" t="s">
        <v>1075</v>
      </c>
      <c r="G34" s="283">
        <v>2</v>
      </c>
      <c r="H34" s="283">
        <v>0</v>
      </c>
      <c r="I34" s="283">
        <v>0</v>
      </c>
      <c r="J34" s="284">
        <v>0</v>
      </c>
    </row>
    <row r="35" spans="3:10" x14ac:dyDescent="0.25">
      <c r="C35" s="300" t="s">
        <v>1064</v>
      </c>
      <c r="D35" s="283" t="s">
        <v>1077</v>
      </c>
      <c r="E35" s="283" t="s">
        <v>1076</v>
      </c>
      <c r="F35" s="283" t="s">
        <v>1078</v>
      </c>
      <c r="G35" s="283">
        <v>3</v>
      </c>
      <c r="H35" s="283">
        <v>0</v>
      </c>
      <c r="I35" s="283">
        <v>0</v>
      </c>
      <c r="J35" s="284">
        <v>0</v>
      </c>
    </row>
    <row r="36" spans="3:10" x14ac:dyDescent="0.25">
      <c r="C36" s="300" t="s">
        <v>1065</v>
      </c>
      <c r="D36" s="283" t="s">
        <v>1082</v>
      </c>
      <c r="E36" s="283" t="s">
        <v>1075</v>
      </c>
      <c r="F36" s="283" t="s">
        <v>1075</v>
      </c>
      <c r="G36" s="283">
        <v>2</v>
      </c>
      <c r="H36" s="283">
        <v>0</v>
      </c>
      <c r="I36" s="283">
        <v>0</v>
      </c>
      <c r="J36" s="284">
        <v>0</v>
      </c>
    </row>
    <row r="37" spans="3:10" x14ac:dyDescent="0.25">
      <c r="C37" s="300" t="s">
        <v>1065</v>
      </c>
      <c r="D37" s="283" t="s">
        <v>1079</v>
      </c>
      <c r="E37" s="283" t="s">
        <v>1075</v>
      </c>
      <c r="F37" s="283" t="s">
        <v>1089</v>
      </c>
      <c r="G37" s="283">
        <v>2</v>
      </c>
      <c r="H37" s="283">
        <v>0</v>
      </c>
      <c r="I37" s="283">
        <v>0</v>
      </c>
      <c r="J37" s="284">
        <v>0</v>
      </c>
    </row>
    <row r="38" spans="3:10" x14ac:dyDescent="0.25">
      <c r="C38" s="300" t="s">
        <v>1063</v>
      </c>
      <c r="D38" s="283" t="s">
        <v>1074</v>
      </c>
      <c r="E38" s="283" t="s">
        <v>1075</v>
      </c>
      <c r="F38" s="283" t="s">
        <v>1075</v>
      </c>
      <c r="G38" s="283">
        <v>2</v>
      </c>
      <c r="H38" s="283">
        <v>0</v>
      </c>
      <c r="I38" s="283">
        <v>0</v>
      </c>
      <c r="J38" s="284">
        <v>0</v>
      </c>
    </row>
    <row r="39" spans="3:10" x14ac:dyDescent="0.25">
      <c r="C39" s="300" t="s">
        <v>1060</v>
      </c>
      <c r="D39" s="283" t="s">
        <v>1079</v>
      </c>
      <c r="E39" s="283" t="s">
        <v>1084</v>
      </c>
      <c r="F39" s="283" t="s">
        <v>1075</v>
      </c>
      <c r="G39" s="283">
        <v>2</v>
      </c>
      <c r="H39" s="283">
        <v>0</v>
      </c>
      <c r="I39" s="283">
        <v>0</v>
      </c>
      <c r="J39" s="284">
        <v>1</v>
      </c>
    </row>
    <row r="40" spans="3:10" x14ac:dyDescent="0.25">
      <c r="C40" s="300" t="s">
        <v>1061</v>
      </c>
      <c r="D40" s="283" t="s">
        <v>1079</v>
      </c>
      <c r="E40" s="283" t="s">
        <v>1075</v>
      </c>
      <c r="F40" s="283" t="s">
        <v>1089</v>
      </c>
      <c r="G40" s="283">
        <v>2</v>
      </c>
      <c r="H40" s="283">
        <v>0</v>
      </c>
      <c r="I40" s="283">
        <v>0</v>
      </c>
      <c r="J40" s="284">
        <v>1</v>
      </c>
    </row>
    <row r="41" spans="3:10" x14ac:dyDescent="0.25">
      <c r="C41" s="300" t="s">
        <v>1063</v>
      </c>
      <c r="D41" s="283" t="s">
        <v>1079</v>
      </c>
      <c r="E41" s="283" t="s">
        <v>1075</v>
      </c>
      <c r="F41" s="283" t="s">
        <v>1089</v>
      </c>
      <c r="G41" s="283">
        <v>2</v>
      </c>
      <c r="H41" s="283">
        <v>0</v>
      </c>
      <c r="I41" s="283">
        <v>0</v>
      </c>
      <c r="J41" s="284">
        <v>0</v>
      </c>
    </row>
    <row r="42" spans="3:10" x14ac:dyDescent="0.25">
      <c r="C42" s="300" t="s">
        <v>1065</v>
      </c>
      <c r="D42" s="283" t="s">
        <v>1077</v>
      </c>
      <c r="E42" s="283" t="s">
        <v>1075</v>
      </c>
      <c r="F42" s="283" t="s">
        <v>1089</v>
      </c>
      <c r="G42" s="283">
        <v>2</v>
      </c>
      <c r="H42" s="283">
        <v>0</v>
      </c>
      <c r="I42" s="283">
        <v>0</v>
      </c>
      <c r="J42" s="284">
        <v>0</v>
      </c>
    </row>
    <row r="43" spans="3:10" x14ac:dyDescent="0.25">
      <c r="C43" s="300" t="s">
        <v>1067</v>
      </c>
      <c r="D43" s="283" t="s">
        <v>1077</v>
      </c>
      <c r="E43" s="283" t="s">
        <v>1076</v>
      </c>
      <c r="F43" s="283" t="s">
        <v>1075</v>
      </c>
      <c r="G43" s="283">
        <v>4</v>
      </c>
      <c r="H43" s="283">
        <v>0</v>
      </c>
      <c r="I43" s="283">
        <v>0</v>
      </c>
      <c r="J43" s="284">
        <v>0</v>
      </c>
    </row>
    <row r="44" spans="3:10" x14ac:dyDescent="0.25">
      <c r="C44" s="300" t="s">
        <v>1064</v>
      </c>
      <c r="D44" s="283" t="s">
        <v>1074</v>
      </c>
      <c r="E44" s="283" t="s">
        <v>1078</v>
      </c>
      <c r="F44" s="283" t="s">
        <v>1089</v>
      </c>
      <c r="G44" s="283">
        <v>2</v>
      </c>
      <c r="H44" s="283">
        <v>0</v>
      </c>
      <c r="I44" s="283">
        <v>0</v>
      </c>
      <c r="J44" s="284">
        <v>0</v>
      </c>
    </row>
    <row r="45" spans="3:10" x14ac:dyDescent="0.25">
      <c r="C45" s="300" t="s">
        <v>1065</v>
      </c>
      <c r="D45" s="283" t="s">
        <v>1077</v>
      </c>
      <c r="E45" s="283" t="s">
        <v>1076</v>
      </c>
      <c r="F45" s="283" t="s">
        <v>1078</v>
      </c>
      <c r="G45" s="283">
        <v>3</v>
      </c>
      <c r="H45" s="283">
        <v>0</v>
      </c>
      <c r="I45" s="283">
        <v>0</v>
      </c>
      <c r="J45" s="284">
        <v>0</v>
      </c>
    </row>
    <row r="46" spans="3:10" x14ac:dyDescent="0.25">
      <c r="C46" s="300" t="s">
        <v>1068</v>
      </c>
      <c r="D46" s="283" t="s">
        <v>1090</v>
      </c>
      <c r="E46" s="283" t="s">
        <v>1044</v>
      </c>
      <c r="F46" s="283" t="s">
        <v>524</v>
      </c>
      <c r="G46" s="283">
        <v>1</v>
      </c>
      <c r="H46" s="283">
        <v>1</v>
      </c>
      <c r="I46" s="283">
        <v>0</v>
      </c>
      <c r="J46" s="284">
        <v>0</v>
      </c>
    </row>
    <row r="47" spans="3:10" x14ac:dyDescent="0.25">
      <c r="C47" s="300" t="s">
        <v>1059</v>
      </c>
      <c r="D47" s="283" t="s">
        <v>1087</v>
      </c>
      <c r="E47" s="283" t="s">
        <v>1089</v>
      </c>
      <c r="F47" s="283" t="s">
        <v>524</v>
      </c>
      <c r="G47" s="283">
        <v>1</v>
      </c>
      <c r="H47" s="283">
        <v>0</v>
      </c>
      <c r="I47" s="283">
        <v>0</v>
      </c>
      <c r="J47" s="284">
        <v>0</v>
      </c>
    </row>
    <row r="48" spans="3:10" x14ac:dyDescent="0.25">
      <c r="C48" s="300" t="s">
        <v>1065</v>
      </c>
      <c r="D48" s="283" t="s">
        <v>1079</v>
      </c>
      <c r="E48" s="283" t="s">
        <v>1075</v>
      </c>
      <c r="F48" s="283" t="s">
        <v>1083</v>
      </c>
      <c r="G48" s="283">
        <v>2</v>
      </c>
      <c r="H48" s="283">
        <v>0</v>
      </c>
      <c r="I48" s="283">
        <v>1</v>
      </c>
      <c r="J48" s="284">
        <v>0</v>
      </c>
    </row>
    <row r="49" spans="3:10" x14ac:dyDescent="0.25">
      <c r="C49" s="300" t="s">
        <v>1062</v>
      </c>
      <c r="D49" s="283" t="s">
        <v>1082</v>
      </c>
      <c r="E49" s="283" t="s">
        <v>1075</v>
      </c>
      <c r="F49" s="283" t="s">
        <v>1075</v>
      </c>
      <c r="G49" s="283">
        <v>2</v>
      </c>
      <c r="H49" s="283">
        <v>0</v>
      </c>
      <c r="I49" s="283">
        <v>0</v>
      </c>
      <c r="J49" s="284">
        <v>1</v>
      </c>
    </row>
    <row r="50" spans="3:10" x14ac:dyDescent="0.25">
      <c r="C50" s="300" t="s">
        <v>1066</v>
      </c>
      <c r="D50" s="283" t="s">
        <v>1087</v>
      </c>
      <c r="E50" s="283" t="s">
        <v>1089</v>
      </c>
      <c r="F50" s="283" t="s">
        <v>524</v>
      </c>
      <c r="G50" s="283">
        <v>1</v>
      </c>
      <c r="H50" s="283">
        <v>0</v>
      </c>
      <c r="I50" s="283">
        <v>0</v>
      </c>
      <c r="J50" s="284">
        <v>0</v>
      </c>
    </row>
    <row r="51" spans="3:10" x14ac:dyDescent="0.25">
      <c r="C51" s="300" t="s">
        <v>1061</v>
      </c>
      <c r="D51" s="283" t="s">
        <v>1082</v>
      </c>
      <c r="E51" s="283" t="s">
        <v>1089</v>
      </c>
      <c r="F51" s="283" t="s">
        <v>1075</v>
      </c>
      <c r="G51" s="283">
        <v>3</v>
      </c>
      <c r="H51" s="283">
        <v>0</v>
      </c>
      <c r="I51" s="283">
        <v>1</v>
      </c>
      <c r="J51" s="284">
        <v>0</v>
      </c>
    </row>
    <row r="52" spans="3:10" x14ac:dyDescent="0.25">
      <c r="C52" s="300" t="s">
        <v>1060</v>
      </c>
      <c r="D52" s="283" t="s">
        <v>1079</v>
      </c>
      <c r="E52" s="283" t="s">
        <v>1091</v>
      </c>
      <c r="F52" s="283" t="s">
        <v>1075</v>
      </c>
      <c r="G52" s="283">
        <v>2</v>
      </c>
      <c r="H52" s="283">
        <v>0</v>
      </c>
      <c r="I52" s="283">
        <v>0</v>
      </c>
      <c r="J52" s="284">
        <v>0</v>
      </c>
    </row>
    <row r="53" spans="3:10" x14ac:dyDescent="0.25">
      <c r="C53" s="300" t="s">
        <v>1065</v>
      </c>
      <c r="D53" s="283" t="s">
        <v>1043</v>
      </c>
      <c r="E53" s="283" t="s">
        <v>1075</v>
      </c>
      <c r="F53" s="283" t="s">
        <v>1092</v>
      </c>
      <c r="G53" s="283">
        <v>2</v>
      </c>
      <c r="H53" s="283">
        <v>0</v>
      </c>
      <c r="I53" s="283">
        <v>0</v>
      </c>
      <c r="J53" s="284">
        <v>1</v>
      </c>
    </row>
    <row r="54" spans="3:10" x14ac:dyDescent="0.25">
      <c r="C54" s="300" t="s">
        <v>1065</v>
      </c>
      <c r="D54" s="283" t="s">
        <v>1074</v>
      </c>
      <c r="E54" s="283" t="s">
        <v>1075</v>
      </c>
      <c r="F54" s="283" t="s">
        <v>1044</v>
      </c>
      <c r="G54" s="283">
        <v>2</v>
      </c>
      <c r="H54" s="283">
        <v>0</v>
      </c>
      <c r="I54" s="283">
        <v>0</v>
      </c>
      <c r="J54" s="284">
        <v>1</v>
      </c>
    </row>
    <row r="55" spans="3:10" x14ac:dyDescent="0.25">
      <c r="C55" s="300" t="s">
        <v>1057</v>
      </c>
      <c r="D55" s="283" t="s">
        <v>1087</v>
      </c>
      <c r="E55" s="283" t="s">
        <v>1083</v>
      </c>
      <c r="F55" s="283" t="s">
        <v>524</v>
      </c>
      <c r="G55" s="283">
        <v>1</v>
      </c>
      <c r="H55" s="283">
        <v>0</v>
      </c>
      <c r="I55" s="283">
        <v>1</v>
      </c>
      <c r="J55" s="284">
        <v>0</v>
      </c>
    </row>
    <row r="56" spans="3:10" x14ac:dyDescent="0.25">
      <c r="C56" s="300" t="s">
        <v>1066</v>
      </c>
      <c r="D56" s="283" t="s">
        <v>1079</v>
      </c>
      <c r="E56" s="283" t="s">
        <v>1093</v>
      </c>
      <c r="F56" s="283" t="s">
        <v>1075</v>
      </c>
      <c r="G56" s="283">
        <v>2</v>
      </c>
      <c r="H56" s="283">
        <v>0</v>
      </c>
      <c r="I56" s="283">
        <v>0</v>
      </c>
      <c r="J56" s="284">
        <v>0</v>
      </c>
    </row>
    <row r="57" spans="3:10" x14ac:dyDescent="0.25">
      <c r="C57" s="300" t="s">
        <v>1066</v>
      </c>
      <c r="D57" s="283" t="s">
        <v>1079</v>
      </c>
      <c r="E57" s="283" t="s">
        <v>1076</v>
      </c>
      <c r="F57" s="283" t="s">
        <v>1075</v>
      </c>
      <c r="G57" s="283">
        <v>3</v>
      </c>
      <c r="H57" s="283">
        <v>0</v>
      </c>
      <c r="I57" s="283">
        <v>0</v>
      </c>
      <c r="J57" s="284">
        <v>0</v>
      </c>
    </row>
    <row r="58" spans="3:10" x14ac:dyDescent="0.25">
      <c r="C58" s="300" t="s">
        <v>1060</v>
      </c>
      <c r="D58" s="283" t="s">
        <v>1077</v>
      </c>
      <c r="E58" s="283" t="s">
        <v>1089</v>
      </c>
      <c r="F58" s="283" t="s">
        <v>1075</v>
      </c>
      <c r="G58" s="283">
        <v>3</v>
      </c>
      <c r="H58" s="283">
        <v>0</v>
      </c>
      <c r="I58" s="283">
        <v>0</v>
      </c>
      <c r="J58" s="284">
        <v>0</v>
      </c>
    </row>
    <row r="59" spans="3:10" x14ac:dyDescent="0.25">
      <c r="C59" s="300" t="s">
        <v>1062</v>
      </c>
      <c r="D59" s="283" t="s">
        <v>1079</v>
      </c>
      <c r="E59" s="283" t="s">
        <v>1080</v>
      </c>
      <c r="F59" s="283" t="s">
        <v>1075</v>
      </c>
      <c r="G59" s="283">
        <v>2</v>
      </c>
      <c r="H59" s="283">
        <v>0</v>
      </c>
      <c r="I59" s="283">
        <v>0</v>
      </c>
      <c r="J59" s="284">
        <v>0</v>
      </c>
    </row>
    <row r="60" spans="3:10" x14ac:dyDescent="0.25">
      <c r="C60" s="300" t="s">
        <v>1057</v>
      </c>
      <c r="D60" s="283" t="s">
        <v>1074</v>
      </c>
      <c r="E60" s="283" t="s">
        <v>1089</v>
      </c>
      <c r="F60" s="283" t="s">
        <v>1075</v>
      </c>
      <c r="G60" s="283">
        <v>2</v>
      </c>
      <c r="H60" s="283">
        <v>0</v>
      </c>
      <c r="I60" s="283">
        <v>0</v>
      </c>
      <c r="J60" s="284">
        <v>0</v>
      </c>
    </row>
    <row r="61" spans="3:10" x14ac:dyDescent="0.25">
      <c r="C61" s="300" t="s">
        <v>1060</v>
      </c>
      <c r="D61" s="283" t="s">
        <v>1074</v>
      </c>
      <c r="E61" s="283" t="s">
        <v>1075</v>
      </c>
      <c r="F61" s="283" t="s">
        <v>1075</v>
      </c>
      <c r="G61" s="283">
        <v>2</v>
      </c>
      <c r="H61" s="283">
        <v>0</v>
      </c>
      <c r="I61" s="283">
        <v>0</v>
      </c>
      <c r="J61" s="284">
        <v>0</v>
      </c>
    </row>
    <row r="62" spans="3:10" x14ac:dyDescent="0.25">
      <c r="C62" s="300" t="s">
        <v>1067</v>
      </c>
      <c r="D62" s="283" t="s">
        <v>1079</v>
      </c>
      <c r="E62" s="283" t="s">
        <v>1075</v>
      </c>
      <c r="F62" s="283" t="s">
        <v>1075</v>
      </c>
      <c r="G62" s="283">
        <v>2</v>
      </c>
      <c r="H62" s="283">
        <v>0</v>
      </c>
      <c r="I62" s="283">
        <v>0</v>
      </c>
      <c r="J62" s="284">
        <v>0</v>
      </c>
    </row>
    <row r="63" spans="3:10" x14ac:dyDescent="0.25">
      <c r="C63" s="300" t="s">
        <v>1067</v>
      </c>
      <c r="D63" s="283" t="s">
        <v>1079</v>
      </c>
      <c r="E63" s="283" t="s">
        <v>1075</v>
      </c>
      <c r="F63" s="283" t="s">
        <v>1075</v>
      </c>
      <c r="G63" s="283">
        <v>2</v>
      </c>
      <c r="H63" s="283">
        <v>0</v>
      </c>
      <c r="I63" s="283">
        <v>0</v>
      </c>
      <c r="J63" s="284">
        <v>0</v>
      </c>
    </row>
    <row r="64" spans="3:10" x14ac:dyDescent="0.25">
      <c r="C64" s="300" t="s">
        <v>1065</v>
      </c>
      <c r="D64" s="283" t="s">
        <v>1074</v>
      </c>
      <c r="E64" s="283" t="s">
        <v>1075</v>
      </c>
      <c r="F64" s="283" t="s">
        <v>1075</v>
      </c>
      <c r="G64" s="283">
        <v>2</v>
      </c>
      <c r="H64" s="283">
        <v>0</v>
      </c>
      <c r="I64" s="283">
        <v>0</v>
      </c>
      <c r="J64" s="284">
        <v>0</v>
      </c>
    </row>
    <row r="65" spans="3:10" x14ac:dyDescent="0.25">
      <c r="C65" s="300" t="s">
        <v>1064</v>
      </c>
      <c r="D65" s="283" t="s">
        <v>1079</v>
      </c>
      <c r="E65" s="283" t="s">
        <v>1075</v>
      </c>
      <c r="F65" s="283" t="s">
        <v>1075</v>
      </c>
      <c r="G65" s="283">
        <v>2</v>
      </c>
      <c r="H65" s="283">
        <v>0</v>
      </c>
      <c r="I65" s="283">
        <v>0</v>
      </c>
      <c r="J65" s="284">
        <v>0</v>
      </c>
    </row>
    <row r="66" spans="3:10" x14ac:dyDescent="0.25">
      <c r="C66" s="300" t="s">
        <v>1061</v>
      </c>
      <c r="D66" s="283" t="s">
        <v>1079</v>
      </c>
      <c r="E66" s="283" t="s">
        <v>1075</v>
      </c>
      <c r="F66" s="283" t="s">
        <v>1075</v>
      </c>
      <c r="G66" s="283">
        <v>3</v>
      </c>
      <c r="H66" s="283">
        <v>0</v>
      </c>
      <c r="I66" s="283">
        <v>0</v>
      </c>
      <c r="J66" s="284">
        <v>0</v>
      </c>
    </row>
    <row r="67" spans="3:10" x14ac:dyDescent="0.25">
      <c r="C67" s="300" t="s">
        <v>1066</v>
      </c>
      <c r="D67" s="283" t="s">
        <v>1074</v>
      </c>
      <c r="E67" s="283" t="s">
        <v>1075</v>
      </c>
      <c r="F67" s="283" t="s">
        <v>1075</v>
      </c>
      <c r="G67" s="283">
        <v>2</v>
      </c>
      <c r="H67" s="283">
        <v>0</v>
      </c>
      <c r="I67" s="283">
        <v>0</v>
      </c>
      <c r="J67" s="284">
        <v>0</v>
      </c>
    </row>
    <row r="68" spans="3:10" x14ac:dyDescent="0.25">
      <c r="C68" s="300" t="s">
        <v>1064</v>
      </c>
      <c r="D68" s="283" t="s">
        <v>1079</v>
      </c>
      <c r="E68" s="283" t="s">
        <v>1076</v>
      </c>
      <c r="F68" s="283" t="s">
        <v>1075</v>
      </c>
      <c r="G68" s="283">
        <v>2</v>
      </c>
      <c r="H68" s="283">
        <v>0</v>
      </c>
      <c r="I68" s="283">
        <v>0</v>
      </c>
      <c r="J68" s="284">
        <v>0</v>
      </c>
    </row>
    <row r="69" spans="3:10" x14ac:dyDescent="0.25">
      <c r="C69" s="300" t="s">
        <v>1060</v>
      </c>
      <c r="D69" s="283" t="s">
        <v>1077</v>
      </c>
      <c r="E69" s="283" t="s">
        <v>1084</v>
      </c>
      <c r="F69" s="283" t="s">
        <v>1075</v>
      </c>
      <c r="G69" s="283">
        <v>2</v>
      </c>
      <c r="H69" s="283">
        <v>0</v>
      </c>
      <c r="I69" s="283">
        <v>0</v>
      </c>
      <c r="J69" s="284">
        <v>0</v>
      </c>
    </row>
    <row r="70" spans="3:10" x14ac:dyDescent="0.25">
      <c r="C70" s="300" t="s">
        <v>1065</v>
      </c>
      <c r="D70" s="283" t="s">
        <v>1074</v>
      </c>
      <c r="E70" s="283" t="s">
        <v>1089</v>
      </c>
      <c r="F70" s="283" t="s">
        <v>1075</v>
      </c>
      <c r="G70" s="283">
        <v>2</v>
      </c>
      <c r="H70" s="283">
        <v>0</v>
      </c>
      <c r="I70" s="283">
        <v>0</v>
      </c>
      <c r="J70" s="284">
        <v>0</v>
      </c>
    </row>
    <row r="71" spans="3:10" x14ac:dyDescent="0.25">
      <c r="C71" s="300" t="s">
        <v>1060</v>
      </c>
      <c r="D71" s="283" t="s">
        <v>1079</v>
      </c>
      <c r="E71" s="283" t="s">
        <v>1089</v>
      </c>
      <c r="F71" s="283" t="s">
        <v>1089</v>
      </c>
      <c r="G71" s="283">
        <v>2</v>
      </c>
      <c r="H71" s="283">
        <v>0</v>
      </c>
      <c r="I71" s="283">
        <v>0</v>
      </c>
      <c r="J71" s="284">
        <v>0</v>
      </c>
    </row>
    <row r="72" spans="3:10" x14ac:dyDescent="0.25">
      <c r="C72" s="300" t="s">
        <v>1068</v>
      </c>
      <c r="D72" s="283" t="s">
        <v>1082</v>
      </c>
      <c r="E72" s="283" t="s">
        <v>1075</v>
      </c>
      <c r="F72" s="283" t="s">
        <v>1075</v>
      </c>
      <c r="G72" s="283">
        <v>3</v>
      </c>
      <c r="H72" s="283">
        <v>0</v>
      </c>
      <c r="I72" s="283">
        <v>1</v>
      </c>
      <c r="J72" s="284">
        <v>0</v>
      </c>
    </row>
    <row r="73" spans="3:10" x14ac:dyDescent="0.25">
      <c r="C73" s="300" t="s">
        <v>1062</v>
      </c>
      <c r="D73" s="283" t="s">
        <v>1079</v>
      </c>
      <c r="E73" s="283" t="s">
        <v>1075</v>
      </c>
      <c r="F73" s="283" t="s">
        <v>1093</v>
      </c>
      <c r="G73" s="283">
        <v>2</v>
      </c>
      <c r="H73" s="283">
        <v>0</v>
      </c>
      <c r="I73" s="283">
        <v>0</v>
      </c>
      <c r="J73" s="284">
        <v>0</v>
      </c>
    </row>
    <row r="74" spans="3:10" x14ac:dyDescent="0.25">
      <c r="C74" s="300" t="s">
        <v>1064</v>
      </c>
      <c r="D74" s="283" t="s">
        <v>1079</v>
      </c>
      <c r="E74" s="283" t="s">
        <v>1085</v>
      </c>
      <c r="F74" s="283" t="s">
        <v>1089</v>
      </c>
      <c r="G74" s="283">
        <v>2</v>
      </c>
      <c r="H74" s="283">
        <v>0</v>
      </c>
      <c r="I74" s="283">
        <v>0</v>
      </c>
      <c r="J74" s="284">
        <v>1</v>
      </c>
    </row>
    <row r="75" spans="3:10" x14ac:dyDescent="0.25">
      <c r="C75" s="300" t="s">
        <v>1061</v>
      </c>
      <c r="D75" s="283" t="s">
        <v>1079</v>
      </c>
      <c r="E75" s="283" t="s">
        <v>1094</v>
      </c>
      <c r="F75" s="283" t="s">
        <v>1075</v>
      </c>
      <c r="G75" s="283">
        <v>2</v>
      </c>
      <c r="H75" s="283">
        <v>0</v>
      </c>
      <c r="I75" s="283">
        <v>0</v>
      </c>
      <c r="J75" s="284">
        <v>0</v>
      </c>
    </row>
    <row r="76" spans="3:10" x14ac:dyDescent="0.25">
      <c r="C76" s="300" t="s">
        <v>1061</v>
      </c>
      <c r="D76" s="283" t="s">
        <v>1079</v>
      </c>
      <c r="E76" s="283" t="s">
        <v>1075</v>
      </c>
      <c r="F76" s="283" t="s">
        <v>1075</v>
      </c>
      <c r="G76" s="283">
        <v>3</v>
      </c>
      <c r="H76" s="283">
        <v>0</v>
      </c>
      <c r="I76" s="283">
        <v>0</v>
      </c>
      <c r="J76" s="284">
        <v>0</v>
      </c>
    </row>
    <row r="77" spans="3:10" x14ac:dyDescent="0.25">
      <c r="C77" s="300" t="s">
        <v>1062</v>
      </c>
      <c r="D77" s="283" t="s">
        <v>1074</v>
      </c>
      <c r="E77" s="283" t="s">
        <v>1078</v>
      </c>
      <c r="F77" s="283" t="s">
        <v>1075</v>
      </c>
      <c r="G77" s="283">
        <v>2</v>
      </c>
      <c r="H77" s="283">
        <v>0</v>
      </c>
      <c r="I77" s="283">
        <v>0</v>
      </c>
      <c r="J77" s="284">
        <v>0</v>
      </c>
    </row>
    <row r="78" spans="3:10" x14ac:dyDescent="0.25">
      <c r="C78" s="300" t="s">
        <v>1063</v>
      </c>
      <c r="D78" s="283" t="s">
        <v>1077</v>
      </c>
      <c r="E78" s="283" t="s">
        <v>1089</v>
      </c>
      <c r="F78" s="283" t="s">
        <v>1076</v>
      </c>
      <c r="G78" s="283">
        <v>2</v>
      </c>
      <c r="H78" s="283">
        <v>0</v>
      </c>
      <c r="I78" s="283">
        <v>0</v>
      </c>
      <c r="J78" s="284">
        <v>0</v>
      </c>
    </row>
    <row r="79" spans="3:10" x14ac:dyDescent="0.25">
      <c r="C79" s="300" t="s">
        <v>1062</v>
      </c>
      <c r="D79" s="283" t="s">
        <v>1074</v>
      </c>
      <c r="E79" s="283" t="s">
        <v>1089</v>
      </c>
      <c r="F79" s="283" t="s">
        <v>1075</v>
      </c>
      <c r="G79" s="283">
        <v>2</v>
      </c>
      <c r="H79" s="283">
        <v>0</v>
      </c>
      <c r="I79" s="283">
        <v>0</v>
      </c>
      <c r="J79" s="284">
        <v>0</v>
      </c>
    </row>
    <row r="80" spans="3:10" x14ac:dyDescent="0.25">
      <c r="C80" s="300" t="s">
        <v>1062</v>
      </c>
      <c r="D80" s="283" t="s">
        <v>1079</v>
      </c>
      <c r="E80" s="283" t="s">
        <v>1075</v>
      </c>
      <c r="F80" s="283" t="s">
        <v>1081</v>
      </c>
      <c r="G80" s="283">
        <v>2</v>
      </c>
      <c r="H80" s="283">
        <v>0</v>
      </c>
      <c r="I80" s="283">
        <v>0</v>
      </c>
      <c r="J80" s="284">
        <v>1</v>
      </c>
    </row>
    <row r="81" spans="3:10" x14ac:dyDescent="0.25">
      <c r="C81" s="300" t="s">
        <v>1060</v>
      </c>
      <c r="D81" s="283" t="s">
        <v>1077</v>
      </c>
      <c r="E81" s="283" t="s">
        <v>1084</v>
      </c>
      <c r="F81" s="283" t="s">
        <v>1088</v>
      </c>
      <c r="G81" s="283">
        <v>2</v>
      </c>
      <c r="H81" s="283">
        <v>0</v>
      </c>
      <c r="I81" s="283">
        <v>0</v>
      </c>
      <c r="J81" s="284">
        <v>0</v>
      </c>
    </row>
    <row r="82" spans="3:10" x14ac:dyDescent="0.25">
      <c r="C82" s="300" t="s">
        <v>1060</v>
      </c>
      <c r="D82" s="283" t="s">
        <v>1074</v>
      </c>
      <c r="E82" s="283" t="s">
        <v>1075</v>
      </c>
      <c r="F82" s="283" t="s">
        <v>1078</v>
      </c>
      <c r="G82" s="283">
        <v>2</v>
      </c>
      <c r="H82" s="283">
        <v>0</v>
      </c>
      <c r="I82" s="283">
        <v>0</v>
      </c>
      <c r="J82" s="284">
        <v>0</v>
      </c>
    </row>
    <row r="83" spans="3:10" x14ac:dyDescent="0.25">
      <c r="C83" s="300" t="s">
        <v>1065</v>
      </c>
      <c r="D83" s="283" t="s">
        <v>1079</v>
      </c>
      <c r="E83" s="283" t="s">
        <v>1089</v>
      </c>
      <c r="F83" s="283" t="s">
        <v>1075</v>
      </c>
      <c r="G83" s="283">
        <v>2</v>
      </c>
      <c r="H83" s="283">
        <v>0</v>
      </c>
      <c r="I83" s="283">
        <v>0</v>
      </c>
      <c r="J83" s="284">
        <v>0</v>
      </c>
    </row>
    <row r="84" spans="3:10" x14ac:dyDescent="0.25">
      <c r="C84" s="300" t="s">
        <v>1066</v>
      </c>
      <c r="D84" s="283" t="s">
        <v>1079</v>
      </c>
      <c r="E84" s="283" t="s">
        <v>1076</v>
      </c>
      <c r="F84" s="283" t="s">
        <v>1083</v>
      </c>
      <c r="G84" s="283">
        <v>2</v>
      </c>
      <c r="H84" s="283">
        <v>0</v>
      </c>
      <c r="I84" s="283">
        <v>0</v>
      </c>
      <c r="J84" s="284">
        <v>0</v>
      </c>
    </row>
    <row r="85" spans="3:10" x14ac:dyDescent="0.25">
      <c r="C85" s="300" t="s">
        <v>1065</v>
      </c>
      <c r="D85" s="283" t="s">
        <v>1087</v>
      </c>
      <c r="E85" s="283" t="s">
        <v>1094</v>
      </c>
      <c r="F85" s="283" t="s">
        <v>524</v>
      </c>
      <c r="G85" s="283">
        <v>1</v>
      </c>
      <c r="H85" s="283">
        <v>0</v>
      </c>
      <c r="I85" s="283">
        <v>0</v>
      </c>
      <c r="J85" s="284">
        <v>0</v>
      </c>
    </row>
    <row r="86" spans="3:10" x14ac:dyDescent="0.25">
      <c r="C86" s="300" t="s">
        <v>1060</v>
      </c>
      <c r="D86" s="283" t="s">
        <v>1079</v>
      </c>
      <c r="E86" s="283" t="s">
        <v>1078</v>
      </c>
      <c r="F86" s="283" t="s">
        <v>1075</v>
      </c>
      <c r="G86" s="283">
        <v>2</v>
      </c>
      <c r="H86" s="283">
        <v>0</v>
      </c>
      <c r="I86" s="283">
        <v>0</v>
      </c>
      <c r="J86" s="284">
        <v>0</v>
      </c>
    </row>
    <row r="87" spans="3:10" x14ac:dyDescent="0.25">
      <c r="C87" s="300" t="s">
        <v>1065</v>
      </c>
      <c r="D87" s="283" t="s">
        <v>1079</v>
      </c>
      <c r="E87" s="283" t="s">
        <v>1075</v>
      </c>
      <c r="F87" s="283" t="s">
        <v>1089</v>
      </c>
      <c r="G87" s="283">
        <v>2</v>
      </c>
      <c r="H87" s="283">
        <v>0</v>
      </c>
      <c r="I87" s="283">
        <v>1</v>
      </c>
      <c r="J87" s="284">
        <v>0</v>
      </c>
    </row>
    <row r="88" spans="3:10" x14ac:dyDescent="0.25">
      <c r="C88" s="300" t="s">
        <v>1064</v>
      </c>
      <c r="D88" s="283" t="s">
        <v>1074</v>
      </c>
      <c r="E88" s="283" t="s">
        <v>1089</v>
      </c>
      <c r="F88" s="283" t="s">
        <v>1089</v>
      </c>
      <c r="G88" s="283">
        <v>2</v>
      </c>
      <c r="H88" s="283">
        <v>0</v>
      </c>
      <c r="I88" s="283">
        <v>0</v>
      </c>
      <c r="J88" s="284">
        <v>0</v>
      </c>
    </row>
    <row r="89" spans="3:10" x14ac:dyDescent="0.25">
      <c r="C89" s="300" t="s">
        <v>1064</v>
      </c>
      <c r="D89" s="283" t="s">
        <v>1087</v>
      </c>
      <c r="E89" s="283" t="s">
        <v>1075</v>
      </c>
      <c r="F89" s="283" t="s">
        <v>524</v>
      </c>
      <c r="G89" s="283">
        <v>1</v>
      </c>
      <c r="H89" s="283">
        <v>0</v>
      </c>
      <c r="I89" s="283">
        <v>0</v>
      </c>
      <c r="J89" s="284">
        <v>0</v>
      </c>
    </row>
    <row r="90" spans="3:10" x14ac:dyDescent="0.25">
      <c r="C90" s="300" t="s">
        <v>1063</v>
      </c>
      <c r="D90" s="283" t="s">
        <v>1077</v>
      </c>
      <c r="E90" s="283" t="s">
        <v>1076</v>
      </c>
      <c r="F90" s="283" t="s">
        <v>1089</v>
      </c>
      <c r="G90" s="283">
        <v>2</v>
      </c>
      <c r="H90" s="283">
        <v>0</v>
      </c>
      <c r="I90" s="283">
        <v>0</v>
      </c>
      <c r="J90" s="284">
        <v>0</v>
      </c>
    </row>
    <row r="91" spans="3:10" x14ac:dyDescent="0.25">
      <c r="C91" s="300" t="s">
        <v>1060</v>
      </c>
      <c r="D91" s="283" t="s">
        <v>1087</v>
      </c>
      <c r="E91" s="283" t="s">
        <v>1075</v>
      </c>
      <c r="F91" s="283" t="s">
        <v>524</v>
      </c>
      <c r="G91" s="283">
        <v>1</v>
      </c>
      <c r="H91" s="283">
        <v>0</v>
      </c>
      <c r="I91" s="283">
        <v>0</v>
      </c>
      <c r="J91" s="284">
        <v>1</v>
      </c>
    </row>
    <row r="92" spans="3:10" x14ac:dyDescent="0.25">
      <c r="C92" s="300" t="s">
        <v>1060</v>
      </c>
      <c r="D92" s="283" t="s">
        <v>1079</v>
      </c>
      <c r="E92" s="283" t="s">
        <v>1075</v>
      </c>
      <c r="F92" s="283" t="s">
        <v>1075</v>
      </c>
      <c r="G92" s="283">
        <v>2</v>
      </c>
      <c r="H92" s="283">
        <v>0</v>
      </c>
      <c r="I92" s="283">
        <v>0</v>
      </c>
      <c r="J92" s="284">
        <v>0</v>
      </c>
    </row>
    <row r="93" spans="3:10" x14ac:dyDescent="0.25">
      <c r="C93" s="300" t="s">
        <v>1062</v>
      </c>
      <c r="D93" s="283" t="s">
        <v>1077</v>
      </c>
      <c r="E93" s="283" t="s">
        <v>1075</v>
      </c>
      <c r="F93" s="283" t="s">
        <v>1076</v>
      </c>
      <c r="G93" s="283">
        <v>2</v>
      </c>
      <c r="H93" s="283">
        <v>0</v>
      </c>
      <c r="I93" s="283">
        <v>0</v>
      </c>
      <c r="J93" s="284">
        <v>0</v>
      </c>
    </row>
    <row r="94" spans="3:10" x14ac:dyDescent="0.25">
      <c r="C94" s="300" t="s">
        <v>1062</v>
      </c>
      <c r="D94" s="283" t="s">
        <v>1077</v>
      </c>
      <c r="E94" s="283" t="s">
        <v>1089</v>
      </c>
      <c r="F94" s="283" t="s">
        <v>1080</v>
      </c>
      <c r="G94" s="283">
        <v>2</v>
      </c>
      <c r="H94" s="283">
        <v>0</v>
      </c>
      <c r="I94" s="283">
        <v>0</v>
      </c>
      <c r="J94" s="284">
        <v>0</v>
      </c>
    </row>
    <row r="95" spans="3:10" x14ac:dyDescent="0.25">
      <c r="C95" s="300" t="s">
        <v>1066</v>
      </c>
      <c r="D95" s="283" t="s">
        <v>1077</v>
      </c>
      <c r="E95" s="283" t="s">
        <v>1089</v>
      </c>
      <c r="F95" s="283" t="s">
        <v>1075</v>
      </c>
      <c r="G95" s="283">
        <v>4</v>
      </c>
      <c r="H95" s="283">
        <v>0</v>
      </c>
      <c r="I95" s="283">
        <v>0</v>
      </c>
      <c r="J95" s="284">
        <v>1</v>
      </c>
    </row>
    <row r="96" spans="3:10" x14ac:dyDescent="0.25">
      <c r="C96" s="300" t="s">
        <v>1066</v>
      </c>
      <c r="D96" s="283" t="s">
        <v>1079</v>
      </c>
      <c r="E96" s="283" t="s">
        <v>1075</v>
      </c>
      <c r="F96" s="283" t="s">
        <v>1083</v>
      </c>
      <c r="G96" s="283">
        <v>2</v>
      </c>
      <c r="H96" s="283">
        <v>0</v>
      </c>
      <c r="I96" s="283">
        <v>0</v>
      </c>
      <c r="J96" s="284">
        <v>0</v>
      </c>
    </row>
    <row r="97" spans="3:10" x14ac:dyDescent="0.25">
      <c r="C97" s="300" t="s">
        <v>1060</v>
      </c>
      <c r="D97" s="283" t="s">
        <v>1096</v>
      </c>
      <c r="E97" s="283" t="s">
        <v>1076</v>
      </c>
      <c r="F97" s="283" t="s">
        <v>524</v>
      </c>
      <c r="G97" s="283">
        <v>1</v>
      </c>
      <c r="H97" s="283">
        <v>0</v>
      </c>
      <c r="I97" s="283">
        <v>0</v>
      </c>
      <c r="J97" s="284">
        <v>0</v>
      </c>
    </row>
    <row r="98" spans="3:10" x14ac:dyDescent="0.25">
      <c r="C98" s="300" t="s">
        <v>1063</v>
      </c>
      <c r="D98" s="283" t="s">
        <v>1074</v>
      </c>
      <c r="E98" s="283" t="s">
        <v>1075</v>
      </c>
      <c r="F98" s="283" t="s">
        <v>1075</v>
      </c>
      <c r="G98" s="283">
        <v>2</v>
      </c>
      <c r="H98" s="283">
        <v>0</v>
      </c>
      <c r="I98" s="283">
        <v>0</v>
      </c>
      <c r="J98" s="284">
        <v>0</v>
      </c>
    </row>
    <row r="99" spans="3:10" x14ac:dyDescent="0.25">
      <c r="C99" s="300" t="s">
        <v>1068</v>
      </c>
      <c r="D99" s="283" t="s">
        <v>1077</v>
      </c>
      <c r="E99" s="283" t="s">
        <v>1076</v>
      </c>
      <c r="F99" s="283" t="s">
        <v>1075</v>
      </c>
      <c r="G99" s="283">
        <v>2</v>
      </c>
      <c r="H99" s="283">
        <v>0</v>
      </c>
      <c r="I99" s="283">
        <v>0</v>
      </c>
      <c r="J99" s="284">
        <v>0</v>
      </c>
    </row>
    <row r="100" spans="3:10" x14ac:dyDescent="0.25">
      <c r="C100" s="300" t="s">
        <v>1066</v>
      </c>
      <c r="D100" s="283" t="s">
        <v>1079</v>
      </c>
      <c r="E100" s="283" t="s">
        <v>1089</v>
      </c>
      <c r="F100" s="283" t="s">
        <v>1075</v>
      </c>
      <c r="G100" s="283">
        <v>3</v>
      </c>
      <c r="H100" s="283">
        <v>0</v>
      </c>
      <c r="I100" s="283">
        <v>0</v>
      </c>
      <c r="J100" s="284">
        <v>0</v>
      </c>
    </row>
    <row r="101" spans="3:10" x14ac:dyDescent="0.25">
      <c r="C101" s="300" t="s">
        <v>1066</v>
      </c>
      <c r="D101" s="283" t="s">
        <v>1079</v>
      </c>
      <c r="E101" s="283" t="s">
        <v>1075</v>
      </c>
      <c r="F101" s="283" t="s">
        <v>1084</v>
      </c>
      <c r="G101" s="283">
        <v>2</v>
      </c>
      <c r="H101" s="283">
        <v>0</v>
      </c>
      <c r="I101" s="283">
        <v>0</v>
      </c>
      <c r="J101" s="284">
        <v>0</v>
      </c>
    </row>
    <row r="102" spans="3:10" x14ac:dyDescent="0.25">
      <c r="C102" s="300" t="s">
        <v>1064</v>
      </c>
      <c r="D102" s="283" t="s">
        <v>1087</v>
      </c>
      <c r="E102" s="283" t="s">
        <v>1075</v>
      </c>
      <c r="F102" s="283" t="s">
        <v>524</v>
      </c>
      <c r="G102" s="283">
        <v>1</v>
      </c>
      <c r="H102" s="283">
        <v>0</v>
      </c>
      <c r="I102" s="283">
        <v>0</v>
      </c>
      <c r="J102" s="284">
        <v>0</v>
      </c>
    </row>
    <row r="103" spans="3:10" x14ac:dyDescent="0.25">
      <c r="C103" s="300" t="s">
        <v>1068</v>
      </c>
      <c r="D103" s="283" t="s">
        <v>1087</v>
      </c>
      <c r="E103" s="283" t="s">
        <v>1075</v>
      </c>
      <c r="F103" s="283" t="s">
        <v>524</v>
      </c>
      <c r="G103" s="283">
        <v>1</v>
      </c>
      <c r="H103" s="283">
        <v>0</v>
      </c>
      <c r="I103" s="283">
        <v>0</v>
      </c>
      <c r="J103" s="284">
        <v>0</v>
      </c>
    </row>
    <row r="104" spans="3:10" x14ac:dyDescent="0.25">
      <c r="C104" s="300" t="s">
        <v>1062</v>
      </c>
      <c r="D104" s="283" t="s">
        <v>1074</v>
      </c>
      <c r="E104" s="283" t="s">
        <v>1075</v>
      </c>
      <c r="F104" s="283" t="s">
        <v>1075</v>
      </c>
      <c r="G104" s="283">
        <v>2</v>
      </c>
      <c r="H104" s="283">
        <v>0</v>
      </c>
      <c r="I104" s="283">
        <v>0</v>
      </c>
      <c r="J104" s="284">
        <v>0</v>
      </c>
    </row>
    <row r="105" spans="3:10" x14ac:dyDescent="0.25">
      <c r="C105" s="300" t="s">
        <v>1065</v>
      </c>
      <c r="D105" s="283" t="s">
        <v>1079</v>
      </c>
      <c r="E105" s="283" t="s">
        <v>1089</v>
      </c>
      <c r="F105" s="283" t="s">
        <v>1089</v>
      </c>
      <c r="G105" s="283">
        <v>2</v>
      </c>
      <c r="H105" s="283">
        <v>0</v>
      </c>
      <c r="I105" s="283">
        <v>0</v>
      </c>
      <c r="J105" s="284">
        <v>0</v>
      </c>
    </row>
    <row r="106" spans="3:10" x14ac:dyDescent="0.25">
      <c r="C106" s="300" t="s">
        <v>1063</v>
      </c>
      <c r="D106" s="283" t="s">
        <v>1077</v>
      </c>
      <c r="E106" s="283" t="s">
        <v>1088</v>
      </c>
      <c r="F106" s="283" t="s">
        <v>1084</v>
      </c>
      <c r="G106" s="283">
        <v>2</v>
      </c>
      <c r="H106" s="283">
        <v>0</v>
      </c>
      <c r="I106" s="283">
        <v>0</v>
      </c>
      <c r="J106" s="284">
        <v>0</v>
      </c>
    </row>
    <row r="107" spans="3:10" x14ac:dyDescent="0.25">
      <c r="C107" s="300" t="s">
        <v>1060</v>
      </c>
      <c r="D107" s="283" t="s">
        <v>1077</v>
      </c>
      <c r="E107" s="283" t="s">
        <v>1075</v>
      </c>
      <c r="F107" s="283" t="s">
        <v>1075</v>
      </c>
      <c r="G107" s="283">
        <v>4</v>
      </c>
      <c r="H107" s="283">
        <v>0</v>
      </c>
      <c r="I107" s="283">
        <v>0</v>
      </c>
      <c r="J107" s="284">
        <v>0</v>
      </c>
    </row>
    <row r="108" spans="3:10" x14ac:dyDescent="0.25">
      <c r="C108" s="300" t="s">
        <v>1066</v>
      </c>
      <c r="D108" s="283" t="s">
        <v>1077</v>
      </c>
      <c r="E108" s="283" t="s">
        <v>1089</v>
      </c>
      <c r="F108" s="283" t="s">
        <v>1089</v>
      </c>
      <c r="G108" s="283">
        <v>3</v>
      </c>
      <c r="H108" s="283">
        <v>0</v>
      </c>
      <c r="I108" s="283">
        <v>0</v>
      </c>
      <c r="J108" s="284">
        <v>0</v>
      </c>
    </row>
    <row r="109" spans="3:10" x14ac:dyDescent="0.25">
      <c r="C109" s="300" t="s">
        <v>1066</v>
      </c>
      <c r="D109" s="283" t="s">
        <v>1077</v>
      </c>
      <c r="E109" s="283" t="s">
        <v>1075</v>
      </c>
      <c r="F109" s="283" t="s">
        <v>1075</v>
      </c>
      <c r="G109" s="283">
        <v>2</v>
      </c>
      <c r="H109" s="283">
        <v>0</v>
      </c>
      <c r="I109" s="283">
        <v>0</v>
      </c>
      <c r="J109" s="284">
        <v>0</v>
      </c>
    </row>
    <row r="110" spans="3:10" x14ac:dyDescent="0.25">
      <c r="C110" s="300" t="s">
        <v>1065</v>
      </c>
      <c r="D110" s="283" t="s">
        <v>1077</v>
      </c>
      <c r="E110" s="283" t="s">
        <v>1075</v>
      </c>
      <c r="F110" s="283" t="s">
        <v>1075</v>
      </c>
      <c r="G110" s="283">
        <v>2</v>
      </c>
      <c r="H110" s="283">
        <v>0</v>
      </c>
      <c r="I110" s="283">
        <v>0</v>
      </c>
      <c r="J110" s="284">
        <v>0</v>
      </c>
    </row>
    <row r="111" spans="3:10" x14ac:dyDescent="0.25">
      <c r="C111" s="300" t="s">
        <v>1058</v>
      </c>
      <c r="D111" s="283" t="s">
        <v>1090</v>
      </c>
      <c r="E111" s="283" t="s">
        <v>1075</v>
      </c>
      <c r="F111" s="283" t="s">
        <v>524</v>
      </c>
      <c r="G111" s="283">
        <v>1</v>
      </c>
      <c r="H111" s="283">
        <v>0</v>
      </c>
      <c r="I111" s="283">
        <v>0</v>
      </c>
      <c r="J111" s="284">
        <v>0</v>
      </c>
    </row>
    <row r="112" spans="3:10" x14ac:dyDescent="0.25">
      <c r="C112" s="300" t="s">
        <v>1065</v>
      </c>
      <c r="D112" s="283" t="s">
        <v>1079</v>
      </c>
      <c r="E112" s="283" t="s">
        <v>1075</v>
      </c>
      <c r="F112" s="283" t="s">
        <v>1097</v>
      </c>
      <c r="G112" s="283">
        <v>3</v>
      </c>
      <c r="H112" s="283">
        <v>0</v>
      </c>
      <c r="I112" s="283">
        <v>0</v>
      </c>
      <c r="J112" s="284">
        <v>1</v>
      </c>
    </row>
    <row r="113" spans="3:10" x14ac:dyDescent="0.25">
      <c r="C113" s="300" t="s">
        <v>1065</v>
      </c>
      <c r="D113" s="283" t="s">
        <v>1090</v>
      </c>
      <c r="E113" s="283" t="s">
        <v>1076</v>
      </c>
      <c r="F113" s="283" t="s">
        <v>524</v>
      </c>
      <c r="G113" s="283">
        <v>1</v>
      </c>
      <c r="H113" s="283">
        <v>0</v>
      </c>
      <c r="I113" s="283">
        <v>0</v>
      </c>
      <c r="J113" s="284">
        <v>0</v>
      </c>
    </row>
    <row r="114" spans="3:10" x14ac:dyDescent="0.25">
      <c r="C114" s="300" t="s">
        <v>1068</v>
      </c>
      <c r="D114" s="283" t="s">
        <v>1087</v>
      </c>
      <c r="E114" s="283" t="s">
        <v>1075</v>
      </c>
      <c r="F114" s="283" t="s">
        <v>524</v>
      </c>
      <c r="G114" s="283">
        <v>1</v>
      </c>
      <c r="H114" s="283">
        <v>0</v>
      </c>
      <c r="I114" s="283">
        <v>0</v>
      </c>
      <c r="J114" s="284">
        <v>0</v>
      </c>
    </row>
    <row r="115" spans="3:10" x14ac:dyDescent="0.25">
      <c r="C115" s="300" t="s">
        <v>1068</v>
      </c>
      <c r="D115" s="283" t="s">
        <v>1087</v>
      </c>
      <c r="E115" s="283" t="s">
        <v>1075</v>
      </c>
      <c r="F115" s="283" t="s">
        <v>524</v>
      </c>
      <c r="G115" s="283">
        <v>1</v>
      </c>
      <c r="H115" s="283">
        <v>0</v>
      </c>
      <c r="I115" s="283">
        <v>0</v>
      </c>
      <c r="J115" s="284">
        <v>0</v>
      </c>
    </row>
    <row r="116" spans="3:10" x14ac:dyDescent="0.25">
      <c r="C116" s="300" t="s">
        <v>1061</v>
      </c>
      <c r="D116" s="283" t="s">
        <v>1077</v>
      </c>
      <c r="E116" s="283" t="s">
        <v>1093</v>
      </c>
      <c r="F116" s="283" t="s">
        <v>1089</v>
      </c>
      <c r="G116" s="283">
        <v>2</v>
      </c>
      <c r="H116" s="283">
        <v>0</v>
      </c>
      <c r="I116" s="283">
        <v>0</v>
      </c>
      <c r="J116" s="284">
        <v>0</v>
      </c>
    </row>
    <row r="117" spans="3:10" x14ac:dyDescent="0.25">
      <c r="C117" s="300" t="s">
        <v>1064</v>
      </c>
      <c r="D117" s="283" t="s">
        <v>1079</v>
      </c>
      <c r="E117" s="283" t="s">
        <v>1075</v>
      </c>
      <c r="F117" s="283" t="s">
        <v>1084</v>
      </c>
      <c r="G117" s="283">
        <v>2</v>
      </c>
      <c r="H117" s="283">
        <v>0</v>
      </c>
      <c r="I117" s="283">
        <v>0</v>
      </c>
      <c r="J117" s="284">
        <v>0</v>
      </c>
    </row>
    <row r="118" spans="3:10" x14ac:dyDescent="0.25">
      <c r="C118" s="300" t="s">
        <v>1061</v>
      </c>
      <c r="D118" s="283" t="s">
        <v>1077</v>
      </c>
      <c r="E118" s="283" t="s">
        <v>1075</v>
      </c>
      <c r="F118" s="283" t="s">
        <v>1075</v>
      </c>
      <c r="G118" s="283">
        <v>2</v>
      </c>
      <c r="H118" s="283">
        <v>0</v>
      </c>
      <c r="I118" s="283">
        <v>0</v>
      </c>
      <c r="J118" s="284">
        <v>0</v>
      </c>
    </row>
    <row r="119" spans="3:10" x14ac:dyDescent="0.25">
      <c r="C119" s="300" t="s">
        <v>1060</v>
      </c>
      <c r="D119" s="283" t="s">
        <v>1074</v>
      </c>
      <c r="E119" s="283" t="s">
        <v>1076</v>
      </c>
      <c r="F119" s="283" t="s">
        <v>1076</v>
      </c>
      <c r="G119" s="283">
        <v>2</v>
      </c>
      <c r="H119" s="283">
        <v>0</v>
      </c>
      <c r="I119" s="283">
        <v>0</v>
      </c>
      <c r="J119" s="284">
        <v>0</v>
      </c>
    </row>
    <row r="120" spans="3:10" x14ac:dyDescent="0.25">
      <c r="C120" s="300" t="s">
        <v>1064</v>
      </c>
      <c r="D120" s="283" t="s">
        <v>1074</v>
      </c>
      <c r="E120" s="283" t="s">
        <v>1075</v>
      </c>
      <c r="F120" s="283" t="s">
        <v>1098</v>
      </c>
      <c r="G120" s="283">
        <v>2</v>
      </c>
      <c r="H120" s="283">
        <v>0</v>
      </c>
      <c r="I120" s="283">
        <v>0</v>
      </c>
      <c r="J120" s="284">
        <v>0</v>
      </c>
    </row>
    <row r="121" spans="3:10" x14ac:dyDescent="0.25">
      <c r="C121" s="300" t="s">
        <v>1061</v>
      </c>
      <c r="D121" s="283" t="s">
        <v>1079</v>
      </c>
      <c r="E121" s="283" t="s">
        <v>1089</v>
      </c>
      <c r="F121" s="283" t="s">
        <v>1075</v>
      </c>
      <c r="G121" s="283">
        <v>2</v>
      </c>
      <c r="H121" s="283">
        <v>0</v>
      </c>
      <c r="I121" s="283">
        <v>0</v>
      </c>
      <c r="J121" s="284">
        <v>0</v>
      </c>
    </row>
    <row r="122" spans="3:10" x14ac:dyDescent="0.25">
      <c r="C122" s="300" t="s">
        <v>1064</v>
      </c>
      <c r="D122" s="283" t="s">
        <v>1079</v>
      </c>
      <c r="E122" s="283" t="s">
        <v>1089</v>
      </c>
      <c r="F122" s="283" t="s">
        <v>1076</v>
      </c>
      <c r="G122" s="283">
        <v>2</v>
      </c>
      <c r="H122" s="283">
        <v>0</v>
      </c>
      <c r="I122" s="283">
        <v>0</v>
      </c>
      <c r="J122" s="284">
        <v>1</v>
      </c>
    </row>
    <row r="123" spans="3:10" x14ac:dyDescent="0.25">
      <c r="C123" s="300" t="s">
        <v>1061</v>
      </c>
      <c r="D123" s="283" t="s">
        <v>1074</v>
      </c>
      <c r="E123" s="283" t="s">
        <v>1075</v>
      </c>
      <c r="F123" s="283" t="s">
        <v>1075</v>
      </c>
      <c r="G123" s="283">
        <v>2</v>
      </c>
      <c r="H123" s="283">
        <v>0</v>
      </c>
      <c r="I123" s="283">
        <v>0</v>
      </c>
      <c r="J123" s="284">
        <v>0</v>
      </c>
    </row>
    <row r="124" spans="3:10" x14ac:dyDescent="0.25">
      <c r="C124" s="300" t="s">
        <v>1067</v>
      </c>
      <c r="D124" s="283" t="s">
        <v>1079</v>
      </c>
      <c r="E124" s="283" t="s">
        <v>1086</v>
      </c>
      <c r="F124" s="283" t="s">
        <v>1089</v>
      </c>
      <c r="G124" s="283">
        <v>2</v>
      </c>
      <c r="H124" s="283">
        <v>0</v>
      </c>
      <c r="I124" s="283">
        <v>0</v>
      </c>
      <c r="J124" s="284">
        <v>0</v>
      </c>
    </row>
    <row r="125" spans="3:10" x14ac:dyDescent="0.25">
      <c r="C125" s="300" t="s">
        <v>1060</v>
      </c>
      <c r="D125" s="283" t="s">
        <v>1074</v>
      </c>
      <c r="E125" s="283" t="s">
        <v>1089</v>
      </c>
      <c r="F125" s="283" t="s">
        <v>1075</v>
      </c>
      <c r="G125" s="283">
        <v>2</v>
      </c>
      <c r="H125" s="283">
        <v>0</v>
      </c>
      <c r="I125" s="283">
        <v>0</v>
      </c>
      <c r="J125" s="284">
        <v>1</v>
      </c>
    </row>
    <row r="126" spans="3:10" x14ac:dyDescent="0.25">
      <c r="C126" s="300" t="s">
        <v>1066</v>
      </c>
      <c r="D126" s="283" t="s">
        <v>1079</v>
      </c>
      <c r="E126" s="283" t="s">
        <v>1075</v>
      </c>
      <c r="F126" s="283" t="s">
        <v>1089</v>
      </c>
      <c r="G126" s="283">
        <v>3</v>
      </c>
      <c r="H126" s="283">
        <v>0</v>
      </c>
      <c r="I126" s="283">
        <v>0</v>
      </c>
      <c r="J126" s="284">
        <v>0</v>
      </c>
    </row>
    <row r="127" spans="3:10" x14ac:dyDescent="0.25">
      <c r="C127" s="300" t="s">
        <v>1057</v>
      </c>
      <c r="D127" s="283" t="s">
        <v>1043</v>
      </c>
      <c r="E127" s="283" t="s">
        <v>1089</v>
      </c>
      <c r="F127" s="283" t="s">
        <v>1092</v>
      </c>
      <c r="G127" s="283">
        <v>2</v>
      </c>
      <c r="H127" s="283">
        <v>1</v>
      </c>
      <c r="I127" s="283">
        <v>0</v>
      </c>
      <c r="J127" s="284">
        <v>0</v>
      </c>
    </row>
    <row r="128" spans="3:10" x14ac:dyDescent="0.25">
      <c r="C128" s="300" t="s">
        <v>1060</v>
      </c>
      <c r="D128" s="283" t="s">
        <v>1087</v>
      </c>
      <c r="E128" s="283" t="s">
        <v>1089</v>
      </c>
      <c r="F128" s="283" t="s">
        <v>524</v>
      </c>
      <c r="G128" s="283">
        <v>1</v>
      </c>
      <c r="H128" s="283">
        <v>1</v>
      </c>
      <c r="I128" s="283">
        <v>0</v>
      </c>
      <c r="J128" s="284">
        <v>0</v>
      </c>
    </row>
    <row r="129" spans="3:10" x14ac:dyDescent="0.25">
      <c r="C129" s="300" t="s">
        <v>1066</v>
      </c>
      <c r="D129" s="283" t="s">
        <v>1043</v>
      </c>
      <c r="E129" s="283" t="s">
        <v>1099</v>
      </c>
      <c r="F129" s="283" t="s">
        <v>1092</v>
      </c>
      <c r="G129" s="283">
        <v>2</v>
      </c>
      <c r="H129" s="283">
        <v>1</v>
      </c>
      <c r="I129" s="283">
        <v>0</v>
      </c>
      <c r="J129" s="284">
        <v>0</v>
      </c>
    </row>
    <row r="130" spans="3:10" x14ac:dyDescent="0.25">
      <c r="C130" s="300" t="s">
        <v>1065</v>
      </c>
      <c r="D130" s="283" t="s">
        <v>1082</v>
      </c>
      <c r="E130" s="283" t="s">
        <v>1078</v>
      </c>
      <c r="F130" s="283" t="s">
        <v>1089</v>
      </c>
      <c r="G130" s="283">
        <v>2</v>
      </c>
      <c r="H130" s="283">
        <v>0</v>
      </c>
      <c r="I130" s="283">
        <v>0</v>
      </c>
      <c r="J130" s="284">
        <v>2</v>
      </c>
    </row>
    <row r="131" spans="3:10" x14ac:dyDescent="0.25">
      <c r="C131" s="300" t="s">
        <v>1060</v>
      </c>
      <c r="D131" s="283" t="s">
        <v>1082</v>
      </c>
      <c r="E131" s="283" t="s">
        <v>1075</v>
      </c>
      <c r="F131" s="283" t="s">
        <v>1080</v>
      </c>
      <c r="G131" s="283">
        <v>2</v>
      </c>
      <c r="H131" s="283">
        <v>0</v>
      </c>
      <c r="I131" s="283">
        <v>0</v>
      </c>
      <c r="J131" s="284">
        <v>0</v>
      </c>
    </row>
    <row r="132" spans="3:10" x14ac:dyDescent="0.25">
      <c r="C132" s="300" t="s">
        <v>1061</v>
      </c>
      <c r="D132" s="283" t="s">
        <v>1077</v>
      </c>
      <c r="E132" s="283" t="s">
        <v>1075</v>
      </c>
      <c r="F132" s="283" t="s">
        <v>1089</v>
      </c>
      <c r="G132" s="283">
        <v>2</v>
      </c>
      <c r="H132" s="283">
        <v>0</v>
      </c>
      <c r="I132" s="283">
        <v>0</v>
      </c>
      <c r="J132" s="284">
        <v>0</v>
      </c>
    </row>
    <row r="133" spans="3:10" x14ac:dyDescent="0.25">
      <c r="C133" s="300" t="s">
        <v>1065</v>
      </c>
      <c r="D133" s="283" t="s">
        <v>1077</v>
      </c>
      <c r="E133" s="283" t="s">
        <v>1078</v>
      </c>
      <c r="F133" s="283" t="s">
        <v>1084</v>
      </c>
      <c r="G133" s="283">
        <v>4</v>
      </c>
      <c r="H133" s="283">
        <v>0</v>
      </c>
      <c r="I133" s="283">
        <v>0</v>
      </c>
      <c r="J133" s="284">
        <v>0</v>
      </c>
    </row>
    <row r="134" spans="3:10" x14ac:dyDescent="0.25">
      <c r="C134" s="300" t="s">
        <v>1060</v>
      </c>
      <c r="D134" s="283" t="s">
        <v>1077</v>
      </c>
      <c r="E134" s="283" t="s">
        <v>1075</v>
      </c>
      <c r="F134" s="283" t="s">
        <v>1075</v>
      </c>
      <c r="G134" s="283">
        <v>2</v>
      </c>
      <c r="H134" s="283">
        <v>0</v>
      </c>
      <c r="I134" s="283">
        <v>0</v>
      </c>
      <c r="J134" s="284">
        <v>0</v>
      </c>
    </row>
    <row r="135" spans="3:10" x14ac:dyDescent="0.25">
      <c r="C135" s="300" t="s">
        <v>1065</v>
      </c>
      <c r="D135" s="283" t="s">
        <v>1079</v>
      </c>
      <c r="E135" s="283" t="s">
        <v>1075</v>
      </c>
      <c r="F135" s="283" t="s">
        <v>1086</v>
      </c>
      <c r="G135" s="283">
        <v>2</v>
      </c>
      <c r="H135" s="283">
        <v>0</v>
      </c>
      <c r="I135" s="283">
        <v>0</v>
      </c>
      <c r="J135" s="284">
        <v>0</v>
      </c>
    </row>
    <row r="136" spans="3:10" x14ac:dyDescent="0.25">
      <c r="C136" s="300" t="s">
        <v>1061</v>
      </c>
      <c r="D136" s="283" t="s">
        <v>1079</v>
      </c>
      <c r="E136" s="283" t="s">
        <v>1075</v>
      </c>
      <c r="F136" s="283" t="s">
        <v>1075</v>
      </c>
      <c r="G136" s="283">
        <v>2</v>
      </c>
      <c r="H136" s="283">
        <v>0</v>
      </c>
      <c r="I136" s="283">
        <v>0</v>
      </c>
      <c r="J136" s="284">
        <v>0</v>
      </c>
    </row>
    <row r="137" spans="3:10" x14ac:dyDescent="0.25">
      <c r="C137" s="300" t="s">
        <v>1064</v>
      </c>
      <c r="D137" s="283" t="s">
        <v>1074</v>
      </c>
      <c r="E137" s="283" t="s">
        <v>1075</v>
      </c>
      <c r="F137" s="283" t="s">
        <v>1075</v>
      </c>
      <c r="G137" s="283">
        <v>2</v>
      </c>
      <c r="H137" s="283">
        <v>0</v>
      </c>
      <c r="I137" s="283">
        <v>0</v>
      </c>
      <c r="J137" s="284">
        <v>0</v>
      </c>
    </row>
    <row r="138" spans="3:10" x14ac:dyDescent="0.25">
      <c r="C138" s="300" t="s">
        <v>1063</v>
      </c>
      <c r="D138" s="283" t="s">
        <v>1077</v>
      </c>
      <c r="E138" s="283" t="s">
        <v>1088</v>
      </c>
      <c r="F138" s="283" t="s">
        <v>1089</v>
      </c>
      <c r="G138" s="283">
        <v>2</v>
      </c>
      <c r="H138" s="283">
        <v>0</v>
      </c>
      <c r="I138" s="283">
        <v>0</v>
      </c>
      <c r="J138" s="284">
        <v>0</v>
      </c>
    </row>
    <row r="139" spans="3:10" x14ac:dyDescent="0.25">
      <c r="C139" s="300" t="s">
        <v>1063</v>
      </c>
      <c r="D139" s="283" t="s">
        <v>1077</v>
      </c>
      <c r="E139" s="283" t="s">
        <v>1084</v>
      </c>
      <c r="F139" s="283" t="s">
        <v>1075</v>
      </c>
      <c r="G139" s="283">
        <v>4</v>
      </c>
      <c r="H139" s="283">
        <v>0</v>
      </c>
      <c r="I139" s="283">
        <v>0</v>
      </c>
      <c r="J139" s="284">
        <v>0</v>
      </c>
    </row>
    <row r="140" spans="3:10" x14ac:dyDescent="0.25">
      <c r="C140" s="300" t="s">
        <v>1063</v>
      </c>
      <c r="D140" s="283" t="s">
        <v>1090</v>
      </c>
      <c r="E140" s="283" t="s">
        <v>1075</v>
      </c>
      <c r="F140" s="283" t="s">
        <v>524</v>
      </c>
      <c r="G140" s="283">
        <v>1</v>
      </c>
      <c r="H140" s="283">
        <v>0</v>
      </c>
      <c r="I140" s="283">
        <v>0</v>
      </c>
      <c r="J140" s="284">
        <v>1</v>
      </c>
    </row>
    <row r="141" spans="3:10" x14ac:dyDescent="0.25">
      <c r="C141" s="300" t="s">
        <v>1064</v>
      </c>
      <c r="D141" s="283" t="s">
        <v>1077</v>
      </c>
      <c r="E141" s="283" t="s">
        <v>1089</v>
      </c>
      <c r="F141" s="283" t="s">
        <v>1075</v>
      </c>
      <c r="G141" s="283">
        <v>3</v>
      </c>
      <c r="H141" s="283">
        <v>0</v>
      </c>
      <c r="I141" s="283">
        <v>0</v>
      </c>
      <c r="J141" s="284">
        <v>0</v>
      </c>
    </row>
    <row r="142" spans="3:10" x14ac:dyDescent="0.25">
      <c r="C142" s="300" t="s">
        <v>1064</v>
      </c>
      <c r="D142" s="283" t="s">
        <v>1074</v>
      </c>
      <c r="E142" s="283" t="s">
        <v>1089</v>
      </c>
      <c r="F142" s="283" t="s">
        <v>1089</v>
      </c>
      <c r="G142" s="283">
        <v>2</v>
      </c>
      <c r="H142" s="283">
        <v>0</v>
      </c>
      <c r="I142" s="283">
        <v>0</v>
      </c>
      <c r="J142" s="284">
        <v>0</v>
      </c>
    </row>
    <row r="143" spans="3:10" x14ac:dyDescent="0.25">
      <c r="C143" s="300" t="s">
        <v>1065</v>
      </c>
      <c r="D143" s="283" t="s">
        <v>1077</v>
      </c>
      <c r="E143" s="283" t="s">
        <v>1078</v>
      </c>
      <c r="F143" s="283" t="s">
        <v>1075</v>
      </c>
      <c r="G143" s="283">
        <v>2</v>
      </c>
      <c r="H143" s="283">
        <v>0</v>
      </c>
      <c r="I143" s="283">
        <v>0</v>
      </c>
      <c r="J143" s="284">
        <v>1</v>
      </c>
    </row>
    <row r="144" spans="3:10" x14ac:dyDescent="0.25">
      <c r="C144" s="300" t="s">
        <v>1058</v>
      </c>
      <c r="D144" s="283" t="s">
        <v>1087</v>
      </c>
      <c r="E144" s="283" t="s">
        <v>1075</v>
      </c>
      <c r="F144" s="283" t="s">
        <v>524</v>
      </c>
      <c r="G144" s="283">
        <v>1</v>
      </c>
      <c r="H144" s="283">
        <v>0</v>
      </c>
      <c r="I144" s="283">
        <v>0</v>
      </c>
      <c r="J144" s="284">
        <v>0</v>
      </c>
    </row>
    <row r="145" spans="3:10" x14ac:dyDescent="0.25">
      <c r="C145" s="300" t="s">
        <v>1065</v>
      </c>
      <c r="D145" s="283" t="s">
        <v>1087</v>
      </c>
      <c r="E145" s="283" t="s">
        <v>1076</v>
      </c>
      <c r="F145" s="283" t="s">
        <v>524</v>
      </c>
      <c r="G145" s="283">
        <v>1</v>
      </c>
      <c r="H145" s="283">
        <v>0</v>
      </c>
      <c r="I145" s="283">
        <v>0</v>
      </c>
      <c r="J145" s="284">
        <v>0</v>
      </c>
    </row>
    <row r="146" spans="3:10" x14ac:dyDescent="0.25">
      <c r="C146" s="300" t="s">
        <v>1062</v>
      </c>
      <c r="D146" s="283" t="s">
        <v>1074</v>
      </c>
      <c r="E146" s="283" t="s">
        <v>1075</v>
      </c>
      <c r="F146" s="283" t="s">
        <v>1075</v>
      </c>
      <c r="G146" s="283">
        <v>2</v>
      </c>
      <c r="H146" s="283">
        <v>0</v>
      </c>
      <c r="I146" s="283">
        <v>0</v>
      </c>
      <c r="J146" s="284">
        <v>0</v>
      </c>
    </row>
    <row r="147" spans="3:10" x14ac:dyDescent="0.25">
      <c r="C147" s="300" t="s">
        <v>1065</v>
      </c>
      <c r="D147" s="283" t="s">
        <v>1074</v>
      </c>
      <c r="E147" s="283" t="s">
        <v>1075</v>
      </c>
      <c r="F147" s="283" t="s">
        <v>1076</v>
      </c>
      <c r="G147" s="283">
        <v>2</v>
      </c>
      <c r="H147" s="283">
        <v>0</v>
      </c>
      <c r="I147" s="283">
        <v>0</v>
      </c>
      <c r="J147" s="284">
        <v>1</v>
      </c>
    </row>
    <row r="148" spans="3:10" x14ac:dyDescent="0.25">
      <c r="C148" s="300" t="s">
        <v>1066</v>
      </c>
      <c r="D148" s="283" t="s">
        <v>1079</v>
      </c>
      <c r="E148" s="283" t="s">
        <v>1075</v>
      </c>
      <c r="F148" s="283" t="s">
        <v>1075</v>
      </c>
      <c r="G148" s="283">
        <v>2</v>
      </c>
      <c r="H148" s="283">
        <v>0</v>
      </c>
      <c r="I148" s="283">
        <v>0</v>
      </c>
      <c r="J148" s="284">
        <v>0</v>
      </c>
    </row>
    <row r="149" spans="3:10" x14ac:dyDescent="0.25">
      <c r="C149" s="300" t="s">
        <v>1064</v>
      </c>
      <c r="D149" s="283" t="s">
        <v>1077</v>
      </c>
      <c r="E149" s="283" t="s">
        <v>1078</v>
      </c>
      <c r="F149" s="283" t="s">
        <v>1075</v>
      </c>
      <c r="G149" s="283">
        <v>2</v>
      </c>
      <c r="H149" s="283">
        <v>0</v>
      </c>
      <c r="I149" s="283">
        <v>0</v>
      </c>
      <c r="J149" s="284">
        <v>0</v>
      </c>
    </row>
    <row r="150" spans="3:10" x14ac:dyDescent="0.25">
      <c r="C150" s="300" t="s">
        <v>1061</v>
      </c>
      <c r="D150" s="283" t="s">
        <v>1077</v>
      </c>
      <c r="E150" s="283" t="s">
        <v>1075</v>
      </c>
      <c r="F150" s="283" t="s">
        <v>1075</v>
      </c>
      <c r="G150" s="283">
        <v>2</v>
      </c>
      <c r="H150" s="283">
        <v>0</v>
      </c>
      <c r="I150" s="283">
        <v>0</v>
      </c>
      <c r="J150" s="284">
        <v>0</v>
      </c>
    </row>
    <row r="151" spans="3:10" x14ac:dyDescent="0.25">
      <c r="C151" s="300" t="s">
        <v>1068</v>
      </c>
      <c r="D151" s="283" t="s">
        <v>1090</v>
      </c>
      <c r="E151" s="283" t="s">
        <v>1075</v>
      </c>
      <c r="F151" s="283" t="s">
        <v>524</v>
      </c>
      <c r="G151" s="283">
        <v>1</v>
      </c>
      <c r="H151" s="283">
        <v>0</v>
      </c>
      <c r="I151" s="283">
        <v>0</v>
      </c>
      <c r="J151" s="284">
        <v>0</v>
      </c>
    </row>
    <row r="152" spans="3:10" x14ac:dyDescent="0.25">
      <c r="C152" s="300" t="s">
        <v>1065</v>
      </c>
      <c r="D152" s="283" t="s">
        <v>1077</v>
      </c>
      <c r="E152" s="283" t="s">
        <v>1075</v>
      </c>
      <c r="F152" s="283" t="s">
        <v>1094</v>
      </c>
      <c r="G152" s="283">
        <v>3</v>
      </c>
      <c r="H152" s="283">
        <v>0</v>
      </c>
      <c r="I152" s="283">
        <v>0</v>
      </c>
      <c r="J152" s="284">
        <v>0</v>
      </c>
    </row>
    <row r="153" spans="3:10" x14ac:dyDescent="0.25">
      <c r="C153" s="300" t="s">
        <v>1061</v>
      </c>
      <c r="D153" s="283" t="s">
        <v>1077</v>
      </c>
      <c r="E153" s="283" t="s">
        <v>1089</v>
      </c>
      <c r="F153" s="283" t="s">
        <v>1089</v>
      </c>
      <c r="G153" s="283">
        <v>2</v>
      </c>
      <c r="H153" s="283">
        <v>0</v>
      </c>
      <c r="I153" s="283">
        <v>0</v>
      </c>
      <c r="J153" s="284">
        <v>1</v>
      </c>
    </row>
    <row r="154" spans="3:10" x14ac:dyDescent="0.25">
      <c r="C154" s="300" t="s">
        <v>1060</v>
      </c>
      <c r="D154" s="283" t="s">
        <v>1079</v>
      </c>
      <c r="E154" s="283" t="s">
        <v>1075</v>
      </c>
      <c r="F154" s="283" t="s">
        <v>1080</v>
      </c>
      <c r="G154" s="283">
        <v>2</v>
      </c>
      <c r="H154" s="283">
        <v>0</v>
      </c>
      <c r="I154" s="283">
        <v>0</v>
      </c>
      <c r="J154" s="284">
        <v>0</v>
      </c>
    </row>
    <row r="155" spans="3:10" x14ac:dyDescent="0.25">
      <c r="C155" s="300" t="s">
        <v>1062</v>
      </c>
      <c r="D155" s="283" t="s">
        <v>1079</v>
      </c>
      <c r="E155" s="283" t="s">
        <v>1078</v>
      </c>
      <c r="F155" s="283" t="s">
        <v>1075</v>
      </c>
      <c r="G155" s="283">
        <v>2</v>
      </c>
      <c r="H155" s="283">
        <v>0</v>
      </c>
      <c r="I155" s="283">
        <v>0</v>
      </c>
      <c r="J155" s="284">
        <v>0</v>
      </c>
    </row>
    <row r="156" spans="3:10" x14ac:dyDescent="0.25">
      <c r="C156" s="300" t="s">
        <v>1065</v>
      </c>
      <c r="D156" s="283" t="s">
        <v>1077</v>
      </c>
      <c r="E156" s="283" t="s">
        <v>1075</v>
      </c>
      <c r="F156" s="283" t="s">
        <v>1075</v>
      </c>
      <c r="G156" s="283">
        <v>3</v>
      </c>
      <c r="H156" s="283">
        <v>0</v>
      </c>
      <c r="I156" s="283">
        <v>0</v>
      </c>
      <c r="J156" s="284">
        <v>0</v>
      </c>
    </row>
    <row r="157" spans="3:10" x14ac:dyDescent="0.25">
      <c r="C157" s="300" t="s">
        <v>1065</v>
      </c>
      <c r="D157" s="283" t="s">
        <v>1074</v>
      </c>
      <c r="E157" s="283" t="s">
        <v>1075</v>
      </c>
      <c r="F157" s="283" t="s">
        <v>1075</v>
      </c>
      <c r="G157" s="283">
        <v>2</v>
      </c>
      <c r="H157" s="283">
        <v>0</v>
      </c>
      <c r="I157" s="283">
        <v>0</v>
      </c>
      <c r="J157" s="284">
        <v>0</v>
      </c>
    </row>
    <row r="158" spans="3:10" x14ac:dyDescent="0.25">
      <c r="C158" s="300" t="s">
        <v>1057</v>
      </c>
      <c r="D158" s="283" t="s">
        <v>1087</v>
      </c>
      <c r="E158" s="283" t="s">
        <v>1089</v>
      </c>
      <c r="F158" s="283" t="s">
        <v>524</v>
      </c>
      <c r="G158" s="283">
        <v>1</v>
      </c>
      <c r="H158" s="283">
        <v>0</v>
      </c>
      <c r="I158" s="283">
        <v>0</v>
      </c>
      <c r="J158" s="284">
        <v>0</v>
      </c>
    </row>
    <row r="159" spans="3:10" x14ac:dyDescent="0.25">
      <c r="C159" s="300" t="s">
        <v>1060</v>
      </c>
      <c r="D159" s="283" t="s">
        <v>1079</v>
      </c>
      <c r="E159" s="283" t="s">
        <v>1076</v>
      </c>
      <c r="F159" s="283" t="s">
        <v>1075</v>
      </c>
      <c r="G159" s="283">
        <v>2</v>
      </c>
      <c r="H159" s="283">
        <v>0</v>
      </c>
      <c r="I159" s="283">
        <v>0</v>
      </c>
      <c r="J159" s="284">
        <v>0</v>
      </c>
    </row>
    <row r="160" spans="3:10" x14ac:dyDescent="0.25">
      <c r="C160" s="300" t="s">
        <v>1060</v>
      </c>
      <c r="D160" s="283" t="s">
        <v>1090</v>
      </c>
      <c r="E160" s="283" t="s">
        <v>1083</v>
      </c>
      <c r="F160" s="283" t="s">
        <v>524</v>
      </c>
      <c r="G160" s="283">
        <v>2</v>
      </c>
      <c r="H160" s="283">
        <v>0</v>
      </c>
      <c r="I160" s="283">
        <v>1</v>
      </c>
      <c r="J160" s="284">
        <v>0</v>
      </c>
    </row>
    <row r="161" spans="3:10" x14ac:dyDescent="0.25">
      <c r="C161" s="300" t="s">
        <v>1060</v>
      </c>
      <c r="D161" s="283" t="s">
        <v>1079</v>
      </c>
      <c r="E161" s="283" t="s">
        <v>1076</v>
      </c>
      <c r="F161" s="283" t="s">
        <v>1083</v>
      </c>
      <c r="G161" s="283">
        <v>2</v>
      </c>
      <c r="H161" s="283">
        <v>0</v>
      </c>
      <c r="I161" s="283">
        <v>0</v>
      </c>
      <c r="J161" s="284">
        <v>1</v>
      </c>
    </row>
    <row r="162" spans="3:10" x14ac:dyDescent="0.25">
      <c r="C162" s="300" t="s">
        <v>1063</v>
      </c>
      <c r="D162" s="283" t="s">
        <v>1079</v>
      </c>
      <c r="E162" s="283" t="s">
        <v>1099</v>
      </c>
      <c r="F162" s="283" t="s">
        <v>1084</v>
      </c>
      <c r="G162" s="283">
        <v>6</v>
      </c>
      <c r="H162" s="283">
        <v>0</v>
      </c>
      <c r="I162" s="283">
        <v>0</v>
      </c>
      <c r="J162" s="284">
        <v>1</v>
      </c>
    </row>
    <row r="163" spans="3:10" x14ac:dyDescent="0.25">
      <c r="C163" s="300" t="s">
        <v>1061</v>
      </c>
      <c r="D163" s="283" t="s">
        <v>1079</v>
      </c>
      <c r="E163" s="283" t="s">
        <v>1089</v>
      </c>
      <c r="F163" s="283" t="s">
        <v>1075</v>
      </c>
      <c r="G163" s="283">
        <v>2</v>
      </c>
      <c r="H163" s="283">
        <v>0</v>
      </c>
      <c r="I163" s="283">
        <v>0</v>
      </c>
      <c r="J163" s="284">
        <v>0</v>
      </c>
    </row>
    <row r="164" spans="3:10" x14ac:dyDescent="0.25">
      <c r="C164" s="300" t="s">
        <v>1061</v>
      </c>
      <c r="D164" s="283" t="s">
        <v>1077</v>
      </c>
      <c r="E164" s="283" t="s">
        <v>1075</v>
      </c>
      <c r="F164" s="283" t="s">
        <v>1076</v>
      </c>
      <c r="G164" s="283">
        <v>2</v>
      </c>
      <c r="H164" s="283">
        <v>0</v>
      </c>
      <c r="I164" s="283">
        <v>0</v>
      </c>
      <c r="J164" s="284">
        <v>0</v>
      </c>
    </row>
    <row r="165" spans="3:10" x14ac:dyDescent="0.25">
      <c r="C165" s="300" t="s">
        <v>1064</v>
      </c>
      <c r="D165" s="283" t="s">
        <v>1077</v>
      </c>
      <c r="E165" s="283" t="s">
        <v>1075</v>
      </c>
      <c r="F165" s="283" t="s">
        <v>1075</v>
      </c>
      <c r="G165" s="283">
        <v>2</v>
      </c>
      <c r="H165" s="283">
        <v>0</v>
      </c>
      <c r="I165" s="283">
        <v>0</v>
      </c>
      <c r="J165" s="284">
        <v>1</v>
      </c>
    </row>
    <row r="166" spans="3:10" x14ac:dyDescent="0.25">
      <c r="C166" s="300" t="s">
        <v>1065</v>
      </c>
      <c r="D166" s="283" t="s">
        <v>1079</v>
      </c>
      <c r="E166" s="283" t="s">
        <v>1076</v>
      </c>
      <c r="F166" s="283" t="s">
        <v>1075</v>
      </c>
      <c r="G166" s="283">
        <v>2</v>
      </c>
      <c r="H166" s="283">
        <v>0</v>
      </c>
      <c r="I166" s="283">
        <v>0</v>
      </c>
      <c r="J166" s="284">
        <v>0</v>
      </c>
    </row>
    <row r="167" spans="3:10" x14ac:dyDescent="0.25">
      <c r="C167" s="300" t="s">
        <v>1061</v>
      </c>
      <c r="D167" s="283" t="s">
        <v>1079</v>
      </c>
      <c r="E167" s="283" t="s">
        <v>1075</v>
      </c>
      <c r="F167" s="283" t="s">
        <v>1089</v>
      </c>
      <c r="G167" s="283">
        <v>3</v>
      </c>
      <c r="H167" s="283">
        <v>0</v>
      </c>
      <c r="I167" s="283">
        <v>0</v>
      </c>
      <c r="J167" s="284">
        <v>0</v>
      </c>
    </row>
    <row r="168" spans="3:10" x14ac:dyDescent="0.25">
      <c r="C168" s="300" t="s">
        <v>1059</v>
      </c>
      <c r="D168" s="283" t="s">
        <v>1079</v>
      </c>
      <c r="E168" s="283" t="s">
        <v>1075</v>
      </c>
      <c r="F168" s="283" t="s">
        <v>1076</v>
      </c>
      <c r="G168" s="283">
        <v>2</v>
      </c>
      <c r="H168" s="283">
        <v>0</v>
      </c>
      <c r="I168" s="283">
        <v>0</v>
      </c>
      <c r="J168" s="284">
        <v>0</v>
      </c>
    </row>
    <row r="169" spans="3:10" x14ac:dyDescent="0.25">
      <c r="C169" s="300" t="s">
        <v>1065</v>
      </c>
      <c r="D169" s="283" t="s">
        <v>1074</v>
      </c>
      <c r="E169" s="283" t="s">
        <v>1089</v>
      </c>
      <c r="F169" s="283" t="s">
        <v>1075</v>
      </c>
      <c r="G169" s="283">
        <v>2</v>
      </c>
      <c r="H169" s="283">
        <v>0</v>
      </c>
      <c r="I169" s="283">
        <v>0</v>
      </c>
      <c r="J169" s="284">
        <v>0</v>
      </c>
    </row>
    <row r="170" spans="3:10" x14ac:dyDescent="0.25">
      <c r="C170" s="300" t="s">
        <v>1066</v>
      </c>
      <c r="D170" s="283" t="s">
        <v>1079</v>
      </c>
      <c r="E170" s="283" t="s">
        <v>1075</v>
      </c>
      <c r="F170" s="283" t="s">
        <v>1075</v>
      </c>
      <c r="G170" s="283">
        <v>2</v>
      </c>
      <c r="H170" s="283">
        <v>0</v>
      </c>
      <c r="I170" s="283">
        <v>0</v>
      </c>
      <c r="J170" s="284">
        <v>0</v>
      </c>
    </row>
    <row r="171" spans="3:10" x14ac:dyDescent="0.25">
      <c r="C171" s="300" t="s">
        <v>1064</v>
      </c>
      <c r="D171" s="283" t="s">
        <v>1087</v>
      </c>
      <c r="E171" s="283" t="s">
        <v>1075</v>
      </c>
      <c r="F171" s="283" t="s">
        <v>524</v>
      </c>
      <c r="G171" s="283">
        <v>1</v>
      </c>
      <c r="H171" s="283">
        <v>0</v>
      </c>
      <c r="I171" s="283">
        <v>0</v>
      </c>
      <c r="J171" s="284">
        <v>1</v>
      </c>
    </row>
    <row r="172" spans="3:10" x14ac:dyDescent="0.25">
      <c r="C172" s="300" t="s">
        <v>1068</v>
      </c>
      <c r="D172" s="283" t="s">
        <v>1077</v>
      </c>
      <c r="E172" s="283" t="s">
        <v>1086</v>
      </c>
      <c r="F172" s="283" t="s">
        <v>1075</v>
      </c>
      <c r="G172" s="283">
        <v>2</v>
      </c>
      <c r="H172" s="283">
        <v>0</v>
      </c>
      <c r="I172" s="283">
        <v>0</v>
      </c>
      <c r="J172" s="284">
        <v>0</v>
      </c>
    </row>
    <row r="173" spans="3:10" x14ac:dyDescent="0.25">
      <c r="C173" s="300" t="s">
        <v>1064</v>
      </c>
      <c r="D173" s="283" t="s">
        <v>1079</v>
      </c>
      <c r="E173" s="283" t="s">
        <v>1089</v>
      </c>
      <c r="F173" s="283" t="s">
        <v>1089</v>
      </c>
      <c r="G173" s="283">
        <v>2</v>
      </c>
      <c r="H173" s="283">
        <v>0</v>
      </c>
      <c r="I173" s="283">
        <v>0</v>
      </c>
      <c r="J173" s="284">
        <v>0</v>
      </c>
    </row>
    <row r="174" spans="3:10" x14ac:dyDescent="0.25">
      <c r="C174" s="300" t="s">
        <v>1063</v>
      </c>
      <c r="D174" s="283" t="s">
        <v>1087</v>
      </c>
      <c r="E174" s="283" t="s">
        <v>1075</v>
      </c>
      <c r="F174" s="283" t="s">
        <v>524</v>
      </c>
      <c r="G174" s="283">
        <v>1</v>
      </c>
      <c r="H174" s="283">
        <v>0</v>
      </c>
      <c r="I174" s="283">
        <v>0</v>
      </c>
      <c r="J174" s="284">
        <v>0</v>
      </c>
    </row>
    <row r="175" spans="3:10" x14ac:dyDescent="0.25">
      <c r="C175" s="300" t="s">
        <v>1065</v>
      </c>
      <c r="D175" s="283" t="s">
        <v>1074</v>
      </c>
      <c r="E175" s="283" t="s">
        <v>1089</v>
      </c>
      <c r="F175" s="283" t="s">
        <v>1089</v>
      </c>
      <c r="G175" s="283">
        <v>3</v>
      </c>
      <c r="H175" s="283">
        <v>0</v>
      </c>
      <c r="I175" s="283">
        <v>0</v>
      </c>
      <c r="J175" s="284">
        <v>1</v>
      </c>
    </row>
    <row r="176" spans="3:10" x14ac:dyDescent="0.25">
      <c r="C176" s="300" t="s">
        <v>1066</v>
      </c>
      <c r="D176" s="283" t="s">
        <v>1074</v>
      </c>
      <c r="E176" s="283" t="s">
        <v>1086</v>
      </c>
      <c r="F176" s="283" t="s">
        <v>1075</v>
      </c>
      <c r="G176" s="283">
        <v>2</v>
      </c>
      <c r="H176" s="283">
        <v>0</v>
      </c>
      <c r="I176" s="283">
        <v>0</v>
      </c>
      <c r="J176" s="284">
        <v>0</v>
      </c>
    </row>
    <row r="177" spans="3:10" x14ac:dyDescent="0.25">
      <c r="C177" s="300" t="s">
        <v>1067</v>
      </c>
      <c r="D177" s="283" t="s">
        <v>1074</v>
      </c>
      <c r="E177" s="283" t="s">
        <v>1075</v>
      </c>
      <c r="F177" s="283" t="s">
        <v>1075</v>
      </c>
      <c r="G177" s="283">
        <v>2</v>
      </c>
      <c r="H177" s="283">
        <v>0</v>
      </c>
      <c r="I177" s="283">
        <v>0</v>
      </c>
      <c r="J177" s="284">
        <v>1</v>
      </c>
    </row>
    <row r="178" spans="3:10" x14ac:dyDescent="0.25">
      <c r="C178" s="300" t="s">
        <v>1063</v>
      </c>
      <c r="D178" s="283" t="s">
        <v>1079</v>
      </c>
      <c r="E178" s="283" t="s">
        <v>1086</v>
      </c>
      <c r="F178" s="283" t="s">
        <v>1075</v>
      </c>
      <c r="G178" s="283">
        <v>2</v>
      </c>
      <c r="H178" s="283">
        <v>0</v>
      </c>
      <c r="I178" s="283">
        <v>0</v>
      </c>
      <c r="J178" s="284">
        <v>0</v>
      </c>
    </row>
    <row r="179" spans="3:10" x14ac:dyDescent="0.25">
      <c r="C179" s="300" t="s">
        <v>1066</v>
      </c>
      <c r="D179" s="283" t="s">
        <v>1077</v>
      </c>
      <c r="E179" s="283" t="s">
        <v>1089</v>
      </c>
      <c r="F179" s="283" t="s">
        <v>1093</v>
      </c>
      <c r="G179" s="283">
        <v>3</v>
      </c>
      <c r="H179" s="283">
        <v>0</v>
      </c>
      <c r="I179" s="283">
        <v>0</v>
      </c>
      <c r="J179" s="284">
        <v>0</v>
      </c>
    </row>
    <row r="180" spans="3:10" x14ac:dyDescent="0.25">
      <c r="C180" s="300" t="s">
        <v>1064</v>
      </c>
      <c r="D180" s="283" t="s">
        <v>1077</v>
      </c>
      <c r="E180" s="283" t="s">
        <v>1083</v>
      </c>
      <c r="F180" s="283" t="s">
        <v>1089</v>
      </c>
      <c r="G180" s="283">
        <v>2</v>
      </c>
      <c r="H180" s="283">
        <v>0</v>
      </c>
      <c r="I180" s="283">
        <v>1</v>
      </c>
      <c r="J180" s="284">
        <v>0</v>
      </c>
    </row>
    <row r="181" spans="3:10" x14ac:dyDescent="0.25">
      <c r="C181" s="300" t="s">
        <v>1067</v>
      </c>
      <c r="D181" s="283" t="s">
        <v>1079</v>
      </c>
      <c r="E181" s="283" t="s">
        <v>1091</v>
      </c>
      <c r="F181" s="283" t="s">
        <v>1075</v>
      </c>
      <c r="G181" s="283">
        <v>2</v>
      </c>
      <c r="H181" s="283">
        <v>0</v>
      </c>
      <c r="I181" s="283">
        <v>0</v>
      </c>
      <c r="J181" s="284">
        <v>0</v>
      </c>
    </row>
    <row r="182" spans="3:10" x14ac:dyDescent="0.25">
      <c r="C182" s="300" t="s">
        <v>1066</v>
      </c>
      <c r="D182" s="283" t="s">
        <v>1079</v>
      </c>
      <c r="E182" s="283" t="s">
        <v>1075</v>
      </c>
      <c r="F182" s="283" t="s">
        <v>1084</v>
      </c>
      <c r="G182" s="283">
        <v>2</v>
      </c>
      <c r="H182" s="283">
        <v>0</v>
      </c>
      <c r="I182" s="283">
        <v>0</v>
      </c>
      <c r="J182" s="284">
        <v>0</v>
      </c>
    </row>
    <row r="183" spans="3:10" x14ac:dyDescent="0.25">
      <c r="C183" s="300" t="s">
        <v>1064</v>
      </c>
      <c r="D183" s="283" t="s">
        <v>1087</v>
      </c>
      <c r="E183" s="283" t="s">
        <v>1089</v>
      </c>
      <c r="F183" s="283" t="s">
        <v>524</v>
      </c>
      <c r="G183" s="283">
        <v>1</v>
      </c>
      <c r="H183" s="283">
        <v>0</v>
      </c>
      <c r="I183" s="283">
        <v>0</v>
      </c>
      <c r="J183" s="284">
        <v>1</v>
      </c>
    </row>
    <row r="184" spans="3:10" x14ac:dyDescent="0.25">
      <c r="C184" s="300" t="s">
        <v>1062</v>
      </c>
      <c r="D184" s="283" t="s">
        <v>1087</v>
      </c>
      <c r="E184" s="283" t="s">
        <v>1094</v>
      </c>
      <c r="F184" s="283" t="s">
        <v>524</v>
      </c>
      <c r="G184" s="283">
        <v>2</v>
      </c>
      <c r="H184" s="283">
        <v>0</v>
      </c>
      <c r="I184" s="283">
        <v>0</v>
      </c>
      <c r="J184" s="284">
        <v>1</v>
      </c>
    </row>
    <row r="185" spans="3:10" x14ac:dyDescent="0.25">
      <c r="C185" s="300" t="s">
        <v>1065</v>
      </c>
      <c r="D185" s="283" t="s">
        <v>1079</v>
      </c>
      <c r="E185" s="283" t="s">
        <v>1075</v>
      </c>
      <c r="F185" s="283" t="s">
        <v>1083</v>
      </c>
      <c r="G185" s="283">
        <v>2</v>
      </c>
      <c r="H185" s="283">
        <v>0</v>
      </c>
      <c r="I185" s="283">
        <v>1</v>
      </c>
      <c r="J185" s="284">
        <v>0</v>
      </c>
    </row>
    <row r="186" spans="3:10" x14ac:dyDescent="0.25">
      <c r="C186" s="300" t="s">
        <v>1062</v>
      </c>
      <c r="D186" s="283" t="s">
        <v>1079</v>
      </c>
      <c r="E186" s="283" t="s">
        <v>1075</v>
      </c>
      <c r="F186" s="283" t="s">
        <v>1075</v>
      </c>
      <c r="G186" s="283">
        <v>3</v>
      </c>
      <c r="H186" s="283">
        <v>0</v>
      </c>
      <c r="I186" s="283">
        <v>0</v>
      </c>
      <c r="J186" s="284">
        <v>0</v>
      </c>
    </row>
    <row r="187" spans="3:10" x14ac:dyDescent="0.25">
      <c r="C187" s="300" t="s">
        <v>1063</v>
      </c>
      <c r="D187" s="283" t="s">
        <v>1079</v>
      </c>
      <c r="E187" s="283" t="s">
        <v>1075</v>
      </c>
      <c r="F187" s="283" t="s">
        <v>1075</v>
      </c>
      <c r="G187" s="283">
        <v>2</v>
      </c>
      <c r="H187" s="283">
        <v>0</v>
      </c>
      <c r="I187" s="283">
        <v>1</v>
      </c>
      <c r="J187" s="284">
        <v>1</v>
      </c>
    </row>
    <row r="188" spans="3:10" x14ac:dyDescent="0.25">
      <c r="C188" s="300" t="s">
        <v>1066</v>
      </c>
      <c r="D188" s="283" t="s">
        <v>1077</v>
      </c>
      <c r="E188" s="283" t="s">
        <v>1075</v>
      </c>
      <c r="F188" s="283" t="s">
        <v>1078</v>
      </c>
      <c r="G188" s="283">
        <v>3</v>
      </c>
      <c r="H188" s="283">
        <v>0</v>
      </c>
      <c r="I188" s="283">
        <v>0</v>
      </c>
      <c r="J188" s="284">
        <v>0</v>
      </c>
    </row>
    <row r="189" spans="3:10" x14ac:dyDescent="0.25">
      <c r="C189" s="300" t="s">
        <v>1065</v>
      </c>
      <c r="D189" s="283" t="s">
        <v>1082</v>
      </c>
      <c r="E189" s="283" t="s">
        <v>1075</v>
      </c>
      <c r="F189" s="283" t="s">
        <v>1076</v>
      </c>
      <c r="G189" s="283">
        <v>2</v>
      </c>
      <c r="H189" s="283">
        <v>0</v>
      </c>
      <c r="I189" s="283">
        <v>0</v>
      </c>
      <c r="J189" s="284">
        <v>0</v>
      </c>
    </row>
    <row r="190" spans="3:10" x14ac:dyDescent="0.25">
      <c r="C190" s="300" t="s">
        <v>1060</v>
      </c>
      <c r="D190" s="283" t="s">
        <v>1077</v>
      </c>
      <c r="E190" s="283" t="s">
        <v>1075</v>
      </c>
      <c r="F190" s="283" t="s">
        <v>1086</v>
      </c>
      <c r="G190" s="283">
        <v>2</v>
      </c>
      <c r="H190" s="283">
        <v>0</v>
      </c>
      <c r="I190" s="283">
        <v>0</v>
      </c>
      <c r="J190" s="284">
        <v>0</v>
      </c>
    </row>
    <row r="191" spans="3:10" x14ac:dyDescent="0.25">
      <c r="C191" s="300" t="s">
        <v>1063</v>
      </c>
      <c r="D191" s="283" t="s">
        <v>1087</v>
      </c>
      <c r="E191" s="283" t="s">
        <v>1089</v>
      </c>
      <c r="F191" s="283" t="s">
        <v>524</v>
      </c>
      <c r="G191" s="283">
        <v>1</v>
      </c>
      <c r="H191" s="283">
        <v>0</v>
      </c>
      <c r="I191" s="283">
        <v>0</v>
      </c>
      <c r="J191" s="284">
        <v>0</v>
      </c>
    </row>
    <row r="192" spans="3:10" x14ac:dyDescent="0.25">
      <c r="C192" s="300" t="s">
        <v>1066</v>
      </c>
      <c r="D192" s="283" t="s">
        <v>1079</v>
      </c>
      <c r="E192" s="283" t="s">
        <v>1075</v>
      </c>
      <c r="F192" s="283" t="s">
        <v>1075</v>
      </c>
      <c r="G192" s="283">
        <v>4</v>
      </c>
      <c r="H192" s="283">
        <v>0</v>
      </c>
      <c r="I192" s="283">
        <v>0</v>
      </c>
      <c r="J192" s="284">
        <v>0</v>
      </c>
    </row>
    <row r="193" spans="3:10" x14ac:dyDescent="0.25">
      <c r="C193" s="300" t="s">
        <v>1067</v>
      </c>
      <c r="D193" s="283" t="s">
        <v>1087</v>
      </c>
      <c r="E193" s="283" t="s">
        <v>1089</v>
      </c>
      <c r="F193" s="283" t="s">
        <v>524</v>
      </c>
      <c r="G193" s="283">
        <v>1</v>
      </c>
      <c r="H193" s="283">
        <v>0</v>
      </c>
      <c r="I193" s="283">
        <v>0</v>
      </c>
      <c r="J193" s="284">
        <v>0</v>
      </c>
    </row>
    <row r="194" spans="3:10" x14ac:dyDescent="0.25">
      <c r="C194" s="300" t="s">
        <v>1062</v>
      </c>
      <c r="D194" s="283" t="s">
        <v>1043</v>
      </c>
      <c r="E194" s="283" t="s">
        <v>1075</v>
      </c>
      <c r="F194" s="283" t="s">
        <v>1092</v>
      </c>
      <c r="G194" s="283">
        <v>2</v>
      </c>
      <c r="H194" s="283">
        <v>0</v>
      </c>
      <c r="I194" s="283">
        <v>1</v>
      </c>
      <c r="J194" s="284">
        <v>0</v>
      </c>
    </row>
    <row r="195" spans="3:10" x14ac:dyDescent="0.25">
      <c r="C195" s="300" t="s">
        <v>1065</v>
      </c>
      <c r="D195" s="283" t="s">
        <v>1074</v>
      </c>
      <c r="E195" s="283" t="s">
        <v>1075</v>
      </c>
      <c r="F195" s="283" t="s">
        <v>1089</v>
      </c>
      <c r="G195" s="283">
        <v>2</v>
      </c>
      <c r="H195" s="283">
        <v>0</v>
      </c>
      <c r="I195" s="283">
        <v>0</v>
      </c>
      <c r="J195" s="284">
        <v>0</v>
      </c>
    </row>
    <row r="196" spans="3:10" x14ac:dyDescent="0.25">
      <c r="C196" s="300" t="s">
        <v>1066</v>
      </c>
      <c r="D196" s="283" t="s">
        <v>1079</v>
      </c>
      <c r="E196" s="283" t="s">
        <v>1089</v>
      </c>
      <c r="F196" s="283" t="s">
        <v>1075</v>
      </c>
      <c r="G196" s="283">
        <v>4</v>
      </c>
      <c r="H196" s="283">
        <v>1</v>
      </c>
      <c r="I196" s="283">
        <v>0</v>
      </c>
      <c r="J196" s="284">
        <v>2</v>
      </c>
    </row>
    <row r="197" spans="3:10" x14ac:dyDescent="0.25">
      <c r="C197" s="300" t="s">
        <v>1067</v>
      </c>
      <c r="D197" s="283" t="s">
        <v>1077</v>
      </c>
      <c r="E197" s="283" t="s">
        <v>1089</v>
      </c>
      <c r="F197" s="283" t="s">
        <v>1075</v>
      </c>
      <c r="G197" s="283">
        <v>2</v>
      </c>
      <c r="H197" s="283">
        <v>0</v>
      </c>
      <c r="I197" s="283">
        <v>0</v>
      </c>
      <c r="J197" s="284">
        <v>1</v>
      </c>
    </row>
    <row r="198" spans="3:10" x14ac:dyDescent="0.25">
      <c r="C198" s="300" t="s">
        <v>1066</v>
      </c>
      <c r="D198" s="283" t="s">
        <v>1077</v>
      </c>
      <c r="E198" s="283" t="s">
        <v>1075</v>
      </c>
      <c r="F198" s="283" t="s">
        <v>1089</v>
      </c>
      <c r="G198" s="283">
        <v>3</v>
      </c>
      <c r="H198" s="283">
        <v>0</v>
      </c>
      <c r="I198" s="283">
        <v>0</v>
      </c>
      <c r="J198" s="284">
        <v>0</v>
      </c>
    </row>
    <row r="199" spans="3:10" x14ac:dyDescent="0.25">
      <c r="C199" s="300" t="s">
        <v>1060</v>
      </c>
      <c r="D199" s="283" t="s">
        <v>1074</v>
      </c>
      <c r="E199" s="283" t="s">
        <v>1078</v>
      </c>
      <c r="F199" s="283" t="s">
        <v>1075</v>
      </c>
      <c r="G199" s="283">
        <v>2</v>
      </c>
      <c r="H199" s="283">
        <v>0</v>
      </c>
      <c r="I199" s="283">
        <v>0</v>
      </c>
      <c r="J199" s="284">
        <v>2</v>
      </c>
    </row>
    <row r="200" spans="3:10" x14ac:dyDescent="0.25">
      <c r="C200" s="300" t="s">
        <v>1059</v>
      </c>
      <c r="D200" s="283" t="s">
        <v>1079</v>
      </c>
      <c r="E200" s="283" t="s">
        <v>1076</v>
      </c>
      <c r="F200" s="283" t="s">
        <v>1075</v>
      </c>
      <c r="G200" s="283">
        <v>2</v>
      </c>
      <c r="H200" s="283">
        <v>0</v>
      </c>
      <c r="I200" s="283">
        <v>0</v>
      </c>
      <c r="J200" s="284">
        <v>0</v>
      </c>
    </row>
    <row r="201" spans="3:10" x14ac:dyDescent="0.25">
      <c r="C201" s="300" t="s">
        <v>1060</v>
      </c>
      <c r="D201" s="283" t="s">
        <v>1077</v>
      </c>
      <c r="E201" s="283" t="s">
        <v>1089</v>
      </c>
      <c r="F201" s="283" t="s">
        <v>1089</v>
      </c>
      <c r="G201" s="283">
        <v>3</v>
      </c>
      <c r="H201" s="283">
        <v>0</v>
      </c>
      <c r="I201" s="283">
        <v>0</v>
      </c>
      <c r="J201" s="284">
        <v>0</v>
      </c>
    </row>
    <row r="202" spans="3:10" x14ac:dyDescent="0.25">
      <c r="C202" s="300" t="s">
        <v>1060</v>
      </c>
      <c r="D202" s="283" t="s">
        <v>1079</v>
      </c>
      <c r="E202" s="283" t="s">
        <v>1075</v>
      </c>
      <c r="F202" s="283" t="s">
        <v>1075</v>
      </c>
      <c r="G202" s="283">
        <v>2</v>
      </c>
      <c r="H202" s="283">
        <v>0</v>
      </c>
      <c r="I202" s="283">
        <v>0</v>
      </c>
      <c r="J202" s="284">
        <v>0</v>
      </c>
    </row>
    <row r="203" spans="3:10" x14ac:dyDescent="0.25">
      <c r="C203" s="300" t="s">
        <v>1066</v>
      </c>
      <c r="D203" s="283" t="s">
        <v>1077</v>
      </c>
      <c r="E203" s="283" t="s">
        <v>1075</v>
      </c>
      <c r="F203" s="283" t="s">
        <v>1075</v>
      </c>
      <c r="G203" s="283">
        <v>2</v>
      </c>
      <c r="H203" s="283">
        <v>0</v>
      </c>
      <c r="I203" s="283">
        <v>0</v>
      </c>
      <c r="J203" s="284">
        <v>0</v>
      </c>
    </row>
    <row r="204" spans="3:10" x14ac:dyDescent="0.25">
      <c r="C204" s="300" t="s">
        <v>1066</v>
      </c>
      <c r="D204" s="283" t="s">
        <v>1077</v>
      </c>
      <c r="E204" s="283" t="s">
        <v>1081</v>
      </c>
      <c r="F204" s="283" t="s">
        <v>1075</v>
      </c>
      <c r="G204" s="283">
        <v>2</v>
      </c>
      <c r="H204" s="283">
        <v>0</v>
      </c>
      <c r="I204" s="283">
        <v>0</v>
      </c>
      <c r="J204" s="284">
        <v>0</v>
      </c>
    </row>
    <row r="205" spans="3:10" x14ac:dyDescent="0.25">
      <c r="C205" s="300" t="s">
        <v>1061</v>
      </c>
      <c r="D205" s="283" t="s">
        <v>1079</v>
      </c>
      <c r="E205" s="283" t="s">
        <v>1084</v>
      </c>
      <c r="F205" s="283" t="s">
        <v>1075</v>
      </c>
      <c r="G205" s="283">
        <v>2</v>
      </c>
      <c r="H205" s="283">
        <v>0</v>
      </c>
      <c r="I205" s="283">
        <v>0</v>
      </c>
      <c r="J205" s="284">
        <v>0</v>
      </c>
    </row>
    <row r="206" spans="3:10" x14ac:dyDescent="0.25">
      <c r="C206" s="300" t="s">
        <v>1066</v>
      </c>
      <c r="D206" s="283" t="s">
        <v>1074</v>
      </c>
      <c r="E206" s="283" t="s">
        <v>1075</v>
      </c>
      <c r="F206" s="283" t="s">
        <v>1078</v>
      </c>
      <c r="G206" s="283">
        <v>2</v>
      </c>
      <c r="H206" s="283">
        <v>0</v>
      </c>
      <c r="I206" s="283">
        <v>0</v>
      </c>
      <c r="J206" s="284">
        <v>0</v>
      </c>
    </row>
    <row r="207" spans="3:10" x14ac:dyDescent="0.25">
      <c r="C207" s="300" t="s">
        <v>1065</v>
      </c>
      <c r="D207" s="283" t="s">
        <v>1077</v>
      </c>
      <c r="E207" s="283" t="s">
        <v>1075</v>
      </c>
      <c r="F207" s="283" t="s">
        <v>1089</v>
      </c>
      <c r="G207" s="283">
        <v>2</v>
      </c>
      <c r="H207" s="283">
        <v>0</v>
      </c>
      <c r="I207" s="283">
        <v>0</v>
      </c>
      <c r="J207" s="284">
        <v>0</v>
      </c>
    </row>
    <row r="208" spans="3:10" x14ac:dyDescent="0.25">
      <c r="C208" s="300" t="s">
        <v>1063</v>
      </c>
      <c r="D208" s="283" t="s">
        <v>1074</v>
      </c>
      <c r="E208" s="283" t="s">
        <v>1078</v>
      </c>
      <c r="F208" s="283" t="s">
        <v>1080</v>
      </c>
      <c r="G208" s="283">
        <v>2</v>
      </c>
      <c r="H208" s="283">
        <v>0</v>
      </c>
      <c r="I208" s="283">
        <v>0</v>
      </c>
      <c r="J208" s="284">
        <v>0</v>
      </c>
    </row>
    <row r="209" spans="3:10" x14ac:dyDescent="0.25">
      <c r="C209" s="300" t="s">
        <v>1064</v>
      </c>
      <c r="D209" s="283" t="s">
        <v>1079</v>
      </c>
      <c r="E209" s="283" t="s">
        <v>1080</v>
      </c>
      <c r="F209" s="283" t="s">
        <v>1075</v>
      </c>
      <c r="G209" s="283">
        <v>2</v>
      </c>
      <c r="H209" s="283">
        <v>0</v>
      </c>
      <c r="I209" s="283">
        <v>0</v>
      </c>
      <c r="J209" s="284">
        <v>0</v>
      </c>
    </row>
    <row r="210" spans="3:10" x14ac:dyDescent="0.25">
      <c r="C210" s="300" t="s">
        <v>1067</v>
      </c>
      <c r="D210" s="283" t="s">
        <v>1079</v>
      </c>
      <c r="E210" s="283" t="s">
        <v>1075</v>
      </c>
      <c r="F210" s="283" t="s">
        <v>1097</v>
      </c>
      <c r="G210" s="283">
        <v>2</v>
      </c>
      <c r="H210" s="283">
        <v>0</v>
      </c>
      <c r="I210" s="283">
        <v>0</v>
      </c>
      <c r="J210" s="284">
        <v>1</v>
      </c>
    </row>
    <row r="211" spans="3:10" x14ac:dyDescent="0.25">
      <c r="C211" s="300" t="s">
        <v>1062</v>
      </c>
      <c r="D211" s="283" t="s">
        <v>1079</v>
      </c>
      <c r="E211" s="283" t="s">
        <v>1100</v>
      </c>
      <c r="F211" s="283" t="s">
        <v>1089</v>
      </c>
      <c r="G211" s="283">
        <v>2</v>
      </c>
      <c r="H211" s="283">
        <v>0</v>
      </c>
      <c r="I211" s="283">
        <v>0</v>
      </c>
      <c r="J211" s="284">
        <v>0</v>
      </c>
    </row>
    <row r="212" spans="3:10" x14ac:dyDescent="0.25">
      <c r="C212" s="300" t="s">
        <v>1066</v>
      </c>
      <c r="D212" s="283" t="s">
        <v>1090</v>
      </c>
      <c r="E212" s="283" t="s">
        <v>1084</v>
      </c>
      <c r="F212" s="283" t="s">
        <v>524</v>
      </c>
      <c r="G212" s="283">
        <v>1</v>
      </c>
      <c r="H212" s="283">
        <v>0</v>
      </c>
      <c r="I212" s="283">
        <v>0</v>
      </c>
      <c r="J212" s="284">
        <v>0</v>
      </c>
    </row>
    <row r="213" spans="3:10" x14ac:dyDescent="0.25">
      <c r="C213" s="300" t="s">
        <v>1066</v>
      </c>
      <c r="D213" s="283" t="s">
        <v>1079</v>
      </c>
      <c r="E213" s="283" t="s">
        <v>1078</v>
      </c>
      <c r="F213" s="283" t="s">
        <v>1075</v>
      </c>
      <c r="G213" s="283">
        <v>3</v>
      </c>
      <c r="H213" s="283">
        <v>0</v>
      </c>
      <c r="I213" s="283">
        <v>0</v>
      </c>
      <c r="J213" s="284">
        <v>1</v>
      </c>
    </row>
    <row r="214" spans="3:10" x14ac:dyDescent="0.25">
      <c r="C214" s="300" t="s">
        <v>1066</v>
      </c>
      <c r="D214" s="283" t="s">
        <v>1082</v>
      </c>
      <c r="E214" s="283" t="s">
        <v>1075</v>
      </c>
      <c r="F214" s="283" t="s">
        <v>1075</v>
      </c>
      <c r="G214" s="283">
        <v>2</v>
      </c>
      <c r="H214" s="283">
        <v>0</v>
      </c>
      <c r="I214" s="283">
        <v>0</v>
      </c>
      <c r="J214" s="284">
        <v>0</v>
      </c>
    </row>
    <row r="215" spans="3:10" x14ac:dyDescent="0.25">
      <c r="C215" s="300" t="s">
        <v>1057</v>
      </c>
      <c r="D215" s="283" t="s">
        <v>1079</v>
      </c>
      <c r="E215" s="283" t="s">
        <v>1075</v>
      </c>
      <c r="F215" s="283" t="s">
        <v>1075</v>
      </c>
      <c r="G215" s="283">
        <v>2</v>
      </c>
      <c r="H215" s="283">
        <v>0</v>
      </c>
      <c r="I215" s="283">
        <v>0</v>
      </c>
      <c r="J215" s="284">
        <v>0</v>
      </c>
    </row>
    <row r="216" spans="3:10" x14ac:dyDescent="0.25">
      <c r="C216" s="300" t="s">
        <v>1065</v>
      </c>
      <c r="D216" s="283" t="s">
        <v>1087</v>
      </c>
      <c r="E216" s="283" t="s">
        <v>1076</v>
      </c>
      <c r="F216" s="283" t="s">
        <v>524</v>
      </c>
      <c r="G216" s="283">
        <v>1</v>
      </c>
      <c r="H216" s="283">
        <v>0</v>
      </c>
      <c r="I216" s="283">
        <v>0</v>
      </c>
      <c r="J216" s="284">
        <v>1</v>
      </c>
    </row>
    <row r="217" spans="3:10" x14ac:dyDescent="0.25">
      <c r="C217" s="300" t="s">
        <v>1062</v>
      </c>
      <c r="D217" s="283" t="s">
        <v>1087</v>
      </c>
      <c r="E217" s="283" t="s">
        <v>1084</v>
      </c>
      <c r="F217" s="283" t="s">
        <v>524</v>
      </c>
      <c r="G217" s="283">
        <v>1</v>
      </c>
      <c r="H217" s="283">
        <v>0</v>
      </c>
      <c r="I217" s="283">
        <v>0</v>
      </c>
      <c r="J217" s="284">
        <v>1</v>
      </c>
    </row>
    <row r="218" spans="3:10" x14ac:dyDescent="0.25">
      <c r="C218" s="300" t="s">
        <v>1064</v>
      </c>
      <c r="D218" s="283" t="s">
        <v>1079</v>
      </c>
      <c r="E218" s="283" t="s">
        <v>1075</v>
      </c>
      <c r="F218" s="283" t="s">
        <v>1086</v>
      </c>
      <c r="G218" s="283">
        <v>2</v>
      </c>
      <c r="H218" s="283">
        <v>0</v>
      </c>
      <c r="I218" s="283">
        <v>0</v>
      </c>
      <c r="J218" s="284">
        <v>0</v>
      </c>
    </row>
    <row r="219" spans="3:10" x14ac:dyDescent="0.25">
      <c r="C219" s="300" t="s">
        <v>1063</v>
      </c>
      <c r="D219" s="283" t="s">
        <v>1087</v>
      </c>
      <c r="E219" s="283" t="s">
        <v>1076</v>
      </c>
      <c r="F219" s="283" t="s">
        <v>524</v>
      </c>
      <c r="G219" s="283">
        <v>1</v>
      </c>
      <c r="H219" s="283">
        <v>0</v>
      </c>
      <c r="I219" s="283">
        <v>1</v>
      </c>
      <c r="J219" s="284">
        <v>0</v>
      </c>
    </row>
    <row r="220" spans="3:10" x14ac:dyDescent="0.25">
      <c r="C220" s="300" t="s">
        <v>1065</v>
      </c>
      <c r="D220" s="283" t="s">
        <v>1074</v>
      </c>
      <c r="E220" s="283" t="s">
        <v>1089</v>
      </c>
      <c r="F220" s="283" t="s">
        <v>1089</v>
      </c>
      <c r="G220" s="283">
        <v>2</v>
      </c>
      <c r="H220" s="283">
        <v>0</v>
      </c>
      <c r="I220" s="283">
        <v>0</v>
      </c>
      <c r="J220" s="284">
        <v>0</v>
      </c>
    </row>
    <row r="221" spans="3:10" x14ac:dyDescent="0.25">
      <c r="C221" s="300" t="s">
        <v>1060</v>
      </c>
      <c r="D221" s="283" t="s">
        <v>1079</v>
      </c>
      <c r="E221" s="283" t="s">
        <v>1075</v>
      </c>
      <c r="F221" s="283" t="s">
        <v>1076</v>
      </c>
      <c r="G221" s="283">
        <v>2</v>
      </c>
      <c r="H221" s="283">
        <v>0</v>
      </c>
      <c r="I221" s="283">
        <v>0</v>
      </c>
      <c r="J221" s="284">
        <v>0</v>
      </c>
    </row>
    <row r="222" spans="3:10" x14ac:dyDescent="0.25">
      <c r="C222" s="300" t="s">
        <v>1068</v>
      </c>
      <c r="D222" s="283" t="s">
        <v>1079</v>
      </c>
      <c r="E222" s="283" t="s">
        <v>1075</v>
      </c>
      <c r="F222" s="283" t="s">
        <v>1075</v>
      </c>
      <c r="G222" s="283">
        <v>2</v>
      </c>
      <c r="H222" s="283">
        <v>0</v>
      </c>
      <c r="I222" s="283">
        <v>0</v>
      </c>
      <c r="J222" s="284">
        <v>0</v>
      </c>
    </row>
    <row r="223" spans="3:10" x14ac:dyDescent="0.25">
      <c r="C223" s="300" t="s">
        <v>1060</v>
      </c>
      <c r="D223" s="283" t="s">
        <v>1077</v>
      </c>
      <c r="E223" s="283" t="s">
        <v>1075</v>
      </c>
      <c r="F223" s="283" t="s">
        <v>1076</v>
      </c>
      <c r="G223" s="283">
        <v>2</v>
      </c>
      <c r="H223" s="283">
        <v>0</v>
      </c>
      <c r="I223" s="283">
        <v>0</v>
      </c>
      <c r="J223" s="284">
        <v>0</v>
      </c>
    </row>
    <row r="224" spans="3:10" x14ac:dyDescent="0.25">
      <c r="C224" s="300" t="s">
        <v>1065</v>
      </c>
      <c r="D224" s="283" t="s">
        <v>1077</v>
      </c>
      <c r="E224" s="283" t="s">
        <v>1089</v>
      </c>
      <c r="F224" s="283" t="s">
        <v>1075</v>
      </c>
      <c r="G224" s="283">
        <v>2</v>
      </c>
      <c r="H224" s="283">
        <v>0</v>
      </c>
      <c r="I224" s="283">
        <v>0</v>
      </c>
      <c r="J224" s="284">
        <v>0</v>
      </c>
    </row>
    <row r="225" spans="3:10" x14ac:dyDescent="0.25">
      <c r="C225" s="300" t="s">
        <v>1066</v>
      </c>
      <c r="D225" s="283" t="s">
        <v>1074</v>
      </c>
      <c r="E225" s="283" t="s">
        <v>1075</v>
      </c>
      <c r="F225" s="283" t="s">
        <v>1075</v>
      </c>
      <c r="G225" s="283">
        <v>2</v>
      </c>
      <c r="H225" s="283">
        <v>0</v>
      </c>
      <c r="I225" s="283">
        <v>0</v>
      </c>
      <c r="J225" s="284">
        <v>1</v>
      </c>
    </row>
    <row r="226" spans="3:10" x14ac:dyDescent="0.25">
      <c r="C226" s="300" t="s">
        <v>1067</v>
      </c>
      <c r="D226" s="283" t="s">
        <v>1043</v>
      </c>
      <c r="E226" s="283" t="s">
        <v>1075</v>
      </c>
      <c r="F226" s="283" t="s">
        <v>1092</v>
      </c>
      <c r="G226" s="283">
        <v>2</v>
      </c>
      <c r="H226" s="283">
        <v>0</v>
      </c>
      <c r="I226" s="283">
        <v>0</v>
      </c>
      <c r="J226" s="284">
        <v>0</v>
      </c>
    </row>
    <row r="227" spans="3:10" x14ac:dyDescent="0.25">
      <c r="C227" s="300" t="s">
        <v>1062</v>
      </c>
      <c r="D227" s="283" t="s">
        <v>1079</v>
      </c>
      <c r="E227" s="283" t="s">
        <v>1086</v>
      </c>
      <c r="F227" s="283" t="s">
        <v>1089</v>
      </c>
      <c r="G227" s="283">
        <v>2</v>
      </c>
      <c r="H227" s="283">
        <v>0</v>
      </c>
      <c r="I227" s="283">
        <v>0</v>
      </c>
      <c r="J227" s="284">
        <v>0</v>
      </c>
    </row>
    <row r="228" spans="3:10" x14ac:dyDescent="0.25">
      <c r="C228" s="300" t="s">
        <v>1060</v>
      </c>
      <c r="D228" s="283" t="s">
        <v>1090</v>
      </c>
      <c r="E228" s="283" t="s">
        <v>1083</v>
      </c>
      <c r="F228" s="283" t="s">
        <v>524</v>
      </c>
      <c r="G228" s="283">
        <v>2</v>
      </c>
      <c r="H228" s="283">
        <v>0</v>
      </c>
      <c r="I228" s="283">
        <v>0</v>
      </c>
      <c r="J228" s="284">
        <v>1</v>
      </c>
    </row>
    <row r="229" spans="3:10" x14ac:dyDescent="0.25">
      <c r="C229" s="300" t="s">
        <v>1062</v>
      </c>
      <c r="D229" s="283" t="s">
        <v>1077</v>
      </c>
      <c r="E229" s="283" t="s">
        <v>1075</v>
      </c>
      <c r="F229" s="283" t="s">
        <v>1075</v>
      </c>
      <c r="G229" s="283">
        <v>2</v>
      </c>
      <c r="H229" s="283">
        <v>0</v>
      </c>
      <c r="I229" s="283">
        <v>0</v>
      </c>
      <c r="J229" s="284">
        <v>0</v>
      </c>
    </row>
    <row r="230" spans="3:10" x14ac:dyDescent="0.25">
      <c r="C230" s="300" t="s">
        <v>1062</v>
      </c>
      <c r="D230" s="283" t="s">
        <v>1079</v>
      </c>
      <c r="E230" s="283" t="s">
        <v>1086</v>
      </c>
      <c r="F230" s="283" t="s">
        <v>1075</v>
      </c>
      <c r="G230" s="283">
        <v>2</v>
      </c>
      <c r="H230" s="283">
        <v>0</v>
      </c>
      <c r="I230" s="283">
        <v>0</v>
      </c>
      <c r="J230" s="284">
        <v>0</v>
      </c>
    </row>
    <row r="231" spans="3:10" x14ac:dyDescent="0.25">
      <c r="C231" s="300" t="s">
        <v>1066</v>
      </c>
      <c r="D231" s="283" t="s">
        <v>1043</v>
      </c>
      <c r="E231" s="283" t="s">
        <v>1075</v>
      </c>
      <c r="F231" s="283" t="s">
        <v>1092</v>
      </c>
      <c r="G231" s="283">
        <v>2</v>
      </c>
      <c r="H231" s="283">
        <v>1</v>
      </c>
      <c r="I231" s="283">
        <v>0</v>
      </c>
      <c r="J231" s="284">
        <v>1</v>
      </c>
    </row>
    <row r="232" spans="3:10" x14ac:dyDescent="0.25">
      <c r="C232" s="300" t="s">
        <v>1068</v>
      </c>
      <c r="D232" s="283" t="s">
        <v>1087</v>
      </c>
      <c r="E232" s="283" t="s">
        <v>1075</v>
      </c>
      <c r="F232" s="283" t="s">
        <v>524</v>
      </c>
      <c r="G232" s="283">
        <v>1</v>
      </c>
      <c r="H232" s="283">
        <v>0</v>
      </c>
      <c r="I232" s="283">
        <v>0</v>
      </c>
      <c r="J232" s="284">
        <v>0</v>
      </c>
    </row>
    <row r="233" spans="3:10" x14ac:dyDescent="0.25">
      <c r="C233" s="300" t="s">
        <v>1068</v>
      </c>
      <c r="D233" s="283" t="s">
        <v>1074</v>
      </c>
      <c r="E233" s="283" t="s">
        <v>1075</v>
      </c>
      <c r="F233" s="283" t="s">
        <v>1078</v>
      </c>
      <c r="G233" s="283">
        <v>2</v>
      </c>
      <c r="H233" s="283">
        <v>0</v>
      </c>
      <c r="I233" s="283">
        <v>0</v>
      </c>
      <c r="J233" s="284">
        <v>0</v>
      </c>
    </row>
    <row r="234" spans="3:10" x14ac:dyDescent="0.25">
      <c r="C234" s="300" t="s">
        <v>1061</v>
      </c>
      <c r="D234" s="283" t="s">
        <v>1077</v>
      </c>
      <c r="E234" s="283" t="s">
        <v>1075</v>
      </c>
      <c r="F234" s="283" t="s">
        <v>1078</v>
      </c>
      <c r="G234" s="283">
        <v>3</v>
      </c>
      <c r="H234" s="283">
        <v>0</v>
      </c>
      <c r="I234" s="283">
        <v>0</v>
      </c>
      <c r="J234" s="284">
        <v>0</v>
      </c>
    </row>
    <row r="235" spans="3:10" x14ac:dyDescent="0.25">
      <c r="C235" s="300" t="s">
        <v>1061</v>
      </c>
      <c r="D235" s="283" t="s">
        <v>1087</v>
      </c>
      <c r="E235" s="283" t="s">
        <v>1076</v>
      </c>
      <c r="F235" s="283" t="s">
        <v>524</v>
      </c>
      <c r="G235" s="283">
        <v>2</v>
      </c>
      <c r="H235" s="283">
        <v>0</v>
      </c>
      <c r="I235" s="283">
        <v>0</v>
      </c>
      <c r="J235" s="284">
        <v>0</v>
      </c>
    </row>
    <row r="236" spans="3:10" x14ac:dyDescent="0.25">
      <c r="C236" s="300" t="s">
        <v>1060</v>
      </c>
      <c r="D236" s="283" t="s">
        <v>1074</v>
      </c>
      <c r="E236" s="283" t="s">
        <v>1080</v>
      </c>
      <c r="F236" s="283" t="s">
        <v>1089</v>
      </c>
      <c r="G236" s="283">
        <v>2</v>
      </c>
      <c r="H236" s="283">
        <v>0</v>
      </c>
      <c r="I236" s="283">
        <v>0</v>
      </c>
      <c r="J236" s="284">
        <v>0</v>
      </c>
    </row>
    <row r="237" spans="3:10" x14ac:dyDescent="0.25">
      <c r="C237" s="300" t="s">
        <v>1058</v>
      </c>
      <c r="D237" s="283" t="s">
        <v>1074</v>
      </c>
      <c r="E237" s="283" t="s">
        <v>1094</v>
      </c>
      <c r="F237" s="283" t="s">
        <v>1084</v>
      </c>
      <c r="G237" s="283">
        <v>2</v>
      </c>
      <c r="H237" s="283">
        <v>0</v>
      </c>
      <c r="I237" s="283">
        <v>0</v>
      </c>
      <c r="J237" s="284">
        <v>0</v>
      </c>
    </row>
    <row r="238" spans="3:10" x14ac:dyDescent="0.25">
      <c r="C238" s="300" t="s">
        <v>1064</v>
      </c>
      <c r="D238" s="283" t="s">
        <v>1074</v>
      </c>
      <c r="E238" s="283" t="s">
        <v>1075</v>
      </c>
      <c r="F238" s="283" t="s">
        <v>1078</v>
      </c>
      <c r="G238" s="283">
        <v>3</v>
      </c>
      <c r="H238" s="283">
        <v>0</v>
      </c>
      <c r="I238" s="283">
        <v>0</v>
      </c>
      <c r="J238" s="284">
        <v>1</v>
      </c>
    </row>
    <row r="239" spans="3:10" x14ac:dyDescent="0.25">
      <c r="C239" s="300" t="s">
        <v>1062</v>
      </c>
      <c r="D239" s="283" t="s">
        <v>1087</v>
      </c>
      <c r="E239" s="283" t="s">
        <v>1075</v>
      </c>
      <c r="F239" s="283" t="s">
        <v>524</v>
      </c>
      <c r="G239" s="283">
        <v>1</v>
      </c>
      <c r="H239" s="283">
        <v>0</v>
      </c>
      <c r="I239" s="283">
        <v>0</v>
      </c>
      <c r="J239" s="284">
        <v>0</v>
      </c>
    </row>
    <row r="240" spans="3:10" x14ac:dyDescent="0.25">
      <c r="C240" s="300" t="s">
        <v>1067</v>
      </c>
      <c r="D240" s="283" t="s">
        <v>1090</v>
      </c>
      <c r="E240" s="283" t="s">
        <v>1083</v>
      </c>
      <c r="F240" s="283" t="s">
        <v>524</v>
      </c>
      <c r="G240" s="283">
        <v>1</v>
      </c>
      <c r="H240" s="283">
        <v>0</v>
      </c>
      <c r="I240" s="283">
        <v>0</v>
      </c>
      <c r="J240" s="284">
        <v>1</v>
      </c>
    </row>
    <row r="241" spans="3:10" x14ac:dyDescent="0.25">
      <c r="C241" s="300" t="s">
        <v>1065</v>
      </c>
      <c r="D241" s="283" t="s">
        <v>1087</v>
      </c>
      <c r="E241" s="283" t="s">
        <v>1075</v>
      </c>
      <c r="F241" s="283" t="s">
        <v>524</v>
      </c>
      <c r="G241" s="283">
        <v>1</v>
      </c>
      <c r="H241" s="283">
        <v>0</v>
      </c>
      <c r="I241" s="283">
        <v>0</v>
      </c>
      <c r="J241" s="284">
        <v>0</v>
      </c>
    </row>
    <row r="242" spans="3:10" x14ac:dyDescent="0.25">
      <c r="C242" s="300" t="s">
        <v>1062</v>
      </c>
      <c r="D242" s="283" t="s">
        <v>1077</v>
      </c>
      <c r="E242" s="283" t="s">
        <v>1094</v>
      </c>
      <c r="F242" s="283" t="s">
        <v>1075</v>
      </c>
      <c r="G242" s="283">
        <v>2</v>
      </c>
      <c r="H242" s="283">
        <v>0</v>
      </c>
      <c r="I242" s="283">
        <v>0</v>
      </c>
      <c r="J242" s="284">
        <v>0</v>
      </c>
    </row>
    <row r="243" spans="3:10" x14ac:dyDescent="0.25">
      <c r="C243" s="300" t="s">
        <v>1061</v>
      </c>
      <c r="D243" s="283" t="s">
        <v>1074</v>
      </c>
      <c r="E243" s="283" t="s">
        <v>1075</v>
      </c>
      <c r="F243" s="283" t="s">
        <v>1075</v>
      </c>
      <c r="G243" s="283">
        <v>2</v>
      </c>
      <c r="H243" s="283">
        <v>0</v>
      </c>
      <c r="I243" s="283">
        <v>0</v>
      </c>
      <c r="J243" s="284">
        <v>1</v>
      </c>
    </row>
    <row r="244" spans="3:10" x14ac:dyDescent="0.25">
      <c r="C244" s="300" t="s">
        <v>1064</v>
      </c>
      <c r="D244" s="283" t="s">
        <v>1077</v>
      </c>
      <c r="E244" s="283" t="s">
        <v>1075</v>
      </c>
      <c r="F244" s="283" t="s">
        <v>1094</v>
      </c>
      <c r="G244" s="283">
        <v>2</v>
      </c>
      <c r="H244" s="283">
        <v>0</v>
      </c>
      <c r="I244" s="283">
        <v>0</v>
      </c>
      <c r="J244" s="284">
        <v>0</v>
      </c>
    </row>
    <row r="245" spans="3:10" x14ac:dyDescent="0.25">
      <c r="C245" s="300" t="s">
        <v>1064</v>
      </c>
      <c r="D245" s="283" t="s">
        <v>1074</v>
      </c>
      <c r="E245" s="283" t="s">
        <v>1076</v>
      </c>
      <c r="F245" s="283" t="s">
        <v>1076</v>
      </c>
      <c r="G245" s="283">
        <v>2</v>
      </c>
      <c r="H245" s="283">
        <v>0</v>
      </c>
      <c r="I245" s="283">
        <v>0</v>
      </c>
      <c r="J245" s="284">
        <v>0</v>
      </c>
    </row>
    <row r="246" spans="3:10" x14ac:dyDescent="0.25">
      <c r="C246" s="300" t="s">
        <v>1066</v>
      </c>
      <c r="D246" s="283" t="s">
        <v>1074</v>
      </c>
      <c r="E246" s="283" t="s">
        <v>1075</v>
      </c>
      <c r="F246" s="283" t="s">
        <v>1075</v>
      </c>
      <c r="G246" s="283">
        <v>2</v>
      </c>
      <c r="H246" s="283">
        <v>0</v>
      </c>
      <c r="I246" s="283">
        <v>0</v>
      </c>
      <c r="J246" s="284">
        <v>0</v>
      </c>
    </row>
    <row r="247" spans="3:10" x14ac:dyDescent="0.25">
      <c r="C247" s="300" t="s">
        <v>1066</v>
      </c>
      <c r="D247" s="283" t="s">
        <v>1077</v>
      </c>
      <c r="E247" s="283" t="s">
        <v>1080</v>
      </c>
      <c r="F247" s="283" t="s">
        <v>1089</v>
      </c>
      <c r="G247" s="283">
        <v>2</v>
      </c>
      <c r="H247" s="283">
        <v>0</v>
      </c>
      <c r="I247" s="283">
        <v>0</v>
      </c>
      <c r="J247" s="284">
        <v>0</v>
      </c>
    </row>
    <row r="248" spans="3:10" x14ac:dyDescent="0.25">
      <c r="C248" s="300" t="s">
        <v>1061</v>
      </c>
      <c r="D248" s="283" t="s">
        <v>1077</v>
      </c>
      <c r="E248" s="283" t="s">
        <v>1075</v>
      </c>
      <c r="F248" s="283" t="s">
        <v>1075</v>
      </c>
      <c r="G248" s="283">
        <v>3</v>
      </c>
      <c r="H248" s="283">
        <v>0</v>
      </c>
      <c r="I248" s="283">
        <v>0</v>
      </c>
      <c r="J248" s="284">
        <v>0</v>
      </c>
    </row>
    <row r="249" spans="3:10" x14ac:dyDescent="0.25">
      <c r="C249" s="300" t="s">
        <v>1065</v>
      </c>
      <c r="D249" s="283" t="s">
        <v>1079</v>
      </c>
      <c r="E249" s="283" t="s">
        <v>1089</v>
      </c>
      <c r="F249" s="283" t="s">
        <v>1075</v>
      </c>
      <c r="G249" s="283">
        <v>2</v>
      </c>
      <c r="H249" s="283">
        <v>0</v>
      </c>
      <c r="I249" s="283">
        <v>0</v>
      </c>
      <c r="J249" s="284">
        <v>1</v>
      </c>
    </row>
    <row r="250" spans="3:10" x14ac:dyDescent="0.25">
      <c r="C250" s="300" t="s">
        <v>1061</v>
      </c>
      <c r="D250" s="283" t="s">
        <v>1090</v>
      </c>
      <c r="E250" s="283" t="s">
        <v>1088</v>
      </c>
      <c r="F250" s="283" t="s">
        <v>524</v>
      </c>
      <c r="G250" s="283">
        <v>2</v>
      </c>
      <c r="H250" s="283">
        <v>0</v>
      </c>
      <c r="I250" s="283">
        <v>0</v>
      </c>
      <c r="J250" s="284">
        <v>0</v>
      </c>
    </row>
    <row r="251" spans="3:10" x14ac:dyDescent="0.25">
      <c r="C251" s="300" t="s">
        <v>1067</v>
      </c>
      <c r="D251" s="283" t="s">
        <v>1079</v>
      </c>
      <c r="E251" s="283" t="s">
        <v>1083</v>
      </c>
      <c r="F251" s="283" t="s">
        <v>1075</v>
      </c>
      <c r="G251" s="283">
        <v>2</v>
      </c>
      <c r="H251" s="283">
        <v>0</v>
      </c>
      <c r="I251" s="283">
        <v>0</v>
      </c>
      <c r="J251" s="284">
        <v>0</v>
      </c>
    </row>
    <row r="252" spans="3:10" x14ac:dyDescent="0.25">
      <c r="C252" s="300" t="s">
        <v>1066</v>
      </c>
      <c r="D252" s="283" t="s">
        <v>1074</v>
      </c>
      <c r="E252" s="283" t="s">
        <v>1075</v>
      </c>
      <c r="F252" s="283" t="s">
        <v>1089</v>
      </c>
      <c r="G252" s="283">
        <v>3</v>
      </c>
      <c r="H252" s="283">
        <v>0</v>
      </c>
      <c r="I252" s="283">
        <v>0</v>
      </c>
      <c r="J252" s="284">
        <v>1</v>
      </c>
    </row>
    <row r="253" spans="3:10" x14ac:dyDescent="0.25">
      <c r="C253" s="300" t="s">
        <v>1062</v>
      </c>
      <c r="D253" s="283" t="s">
        <v>1087</v>
      </c>
      <c r="E253" s="283" t="s">
        <v>1075</v>
      </c>
      <c r="F253" s="283" t="s">
        <v>524</v>
      </c>
      <c r="G253" s="283">
        <v>1</v>
      </c>
      <c r="H253" s="283">
        <v>0</v>
      </c>
      <c r="I253" s="283">
        <v>0</v>
      </c>
      <c r="J253" s="284">
        <v>0</v>
      </c>
    </row>
    <row r="254" spans="3:10" x14ac:dyDescent="0.25">
      <c r="C254" s="300" t="s">
        <v>1065</v>
      </c>
      <c r="D254" s="283" t="s">
        <v>1087</v>
      </c>
      <c r="E254" s="283" t="s">
        <v>1089</v>
      </c>
      <c r="F254" s="283" t="s">
        <v>524</v>
      </c>
      <c r="G254" s="283">
        <v>1</v>
      </c>
      <c r="H254" s="283">
        <v>0</v>
      </c>
      <c r="I254" s="283">
        <v>0</v>
      </c>
      <c r="J254" s="284">
        <v>0</v>
      </c>
    </row>
    <row r="255" spans="3:10" x14ac:dyDescent="0.25">
      <c r="C255" s="300" t="s">
        <v>1060</v>
      </c>
      <c r="D255" s="283" t="s">
        <v>1074</v>
      </c>
      <c r="E255" s="283" t="s">
        <v>1075</v>
      </c>
      <c r="F255" s="283" t="s">
        <v>1075</v>
      </c>
      <c r="G255" s="283">
        <v>2</v>
      </c>
      <c r="H255" s="283">
        <v>0</v>
      </c>
      <c r="I255" s="283">
        <v>1</v>
      </c>
      <c r="J255" s="284">
        <v>0</v>
      </c>
    </row>
    <row r="256" spans="3:10" x14ac:dyDescent="0.25">
      <c r="C256" s="300" t="s">
        <v>1065</v>
      </c>
      <c r="D256" s="283" t="s">
        <v>1077</v>
      </c>
      <c r="E256" s="283" t="s">
        <v>1083</v>
      </c>
      <c r="F256" s="283" t="s">
        <v>1076</v>
      </c>
      <c r="G256" s="283">
        <v>2</v>
      </c>
      <c r="H256" s="283">
        <v>0</v>
      </c>
      <c r="I256" s="283">
        <v>0</v>
      </c>
      <c r="J256" s="284">
        <v>0</v>
      </c>
    </row>
    <row r="257" spans="3:10" x14ac:dyDescent="0.25">
      <c r="C257" s="300" t="s">
        <v>1059</v>
      </c>
      <c r="D257" s="283" t="s">
        <v>1087</v>
      </c>
      <c r="E257" s="283" t="s">
        <v>1089</v>
      </c>
      <c r="F257" s="283" t="s">
        <v>524</v>
      </c>
      <c r="G257" s="283">
        <v>2</v>
      </c>
      <c r="H257" s="283">
        <v>0</v>
      </c>
      <c r="I257" s="283">
        <v>0</v>
      </c>
      <c r="J257" s="284">
        <v>0</v>
      </c>
    </row>
    <row r="258" spans="3:10" x14ac:dyDescent="0.25">
      <c r="C258" s="300" t="s">
        <v>1064</v>
      </c>
      <c r="D258" s="283" t="s">
        <v>1087</v>
      </c>
      <c r="E258" s="283" t="s">
        <v>1089</v>
      </c>
      <c r="F258" s="283" t="s">
        <v>524</v>
      </c>
      <c r="G258" s="283">
        <v>1</v>
      </c>
      <c r="H258" s="283">
        <v>0</v>
      </c>
      <c r="I258" s="283">
        <v>0</v>
      </c>
      <c r="J258" s="284">
        <v>0</v>
      </c>
    </row>
    <row r="259" spans="3:10" x14ac:dyDescent="0.25">
      <c r="C259" s="300" t="s">
        <v>1062</v>
      </c>
      <c r="D259" s="283" t="s">
        <v>1077</v>
      </c>
      <c r="E259" s="283" t="s">
        <v>1083</v>
      </c>
      <c r="F259" s="283" t="s">
        <v>1075</v>
      </c>
      <c r="G259" s="283">
        <v>2</v>
      </c>
      <c r="H259" s="283">
        <v>0</v>
      </c>
      <c r="I259" s="283">
        <v>1</v>
      </c>
      <c r="J259" s="284">
        <v>0</v>
      </c>
    </row>
    <row r="260" spans="3:10" x14ac:dyDescent="0.25">
      <c r="C260" s="300" t="s">
        <v>1061</v>
      </c>
      <c r="D260" s="283" t="s">
        <v>1090</v>
      </c>
      <c r="E260" s="283" t="s">
        <v>1093</v>
      </c>
      <c r="F260" s="283" t="s">
        <v>524</v>
      </c>
      <c r="G260" s="283">
        <v>1</v>
      </c>
      <c r="H260" s="283">
        <v>0</v>
      </c>
      <c r="I260" s="283">
        <v>0</v>
      </c>
      <c r="J260" s="284">
        <v>0</v>
      </c>
    </row>
    <row r="261" spans="3:10" x14ac:dyDescent="0.25">
      <c r="C261" s="300" t="s">
        <v>1060</v>
      </c>
      <c r="D261" s="283" t="s">
        <v>1079</v>
      </c>
      <c r="E261" s="283" t="s">
        <v>1086</v>
      </c>
      <c r="F261" s="283" t="s">
        <v>1084</v>
      </c>
      <c r="G261" s="283">
        <v>2</v>
      </c>
      <c r="H261" s="283">
        <v>0</v>
      </c>
      <c r="I261" s="283">
        <v>0</v>
      </c>
      <c r="J261" s="284">
        <v>0</v>
      </c>
    </row>
    <row r="262" spans="3:10" x14ac:dyDescent="0.25">
      <c r="C262" s="300" t="s">
        <v>1061</v>
      </c>
      <c r="D262" s="283" t="s">
        <v>1079</v>
      </c>
      <c r="E262" s="283" t="s">
        <v>1085</v>
      </c>
      <c r="F262" s="283" t="s">
        <v>1075</v>
      </c>
      <c r="G262" s="283">
        <v>2</v>
      </c>
      <c r="H262" s="283">
        <v>0</v>
      </c>
      <c r="I262" s="283">
        <v>0</v>
      </c>
      <c r="J262" s="284">
        <v>1</v>
      </c>
    </row>
    <row r="263" spans="3:10" x14ac:dyDescent="0.25">
      <c r="C263" s="300" t="s">
        <v>1066</v>
      </c>
      <c r="D263" s="283" t="s">
        <v>1079</v>
      </c>
      <c r="E263" s="283" t="s">
        <v>1089</v>
      </c>
      <c r="F263" s="283" t="s">
        <v>1083</v>
      </c>
      <c r="G263" s="283">
        <v>2</v>
      </c>
      <c r="H263" s="283">
        <v>0</v>
      </c>
      <c r="I263" s="283">
        <v>0</v>
      </c>
      <c r="J263" s="284">
        <v>1</v>
      </c>
    </row>
    <row r="264" spans="3:10" x14ac:dyDescent="0.25">
      <c r="C264" s="300" t="s">
        <v>1063</v>
      </c>
      <c r="D264" s="283" t="s">
        <v>1079</v>
      </c>
      <c r="E264" s="283" t="s">
        <v>1075</v>
      </c>
      <c r="F264" s="283" t="s">
        <v>1086</v>
      </c>
      <c r="G264" s="283">
        <v>2</v>
      </c>
      <c r="H264" s="283">
        <v>0</v>
      </c>
      <c r="I264" s="283">
        <v>0</v>
      </c>
      <c r="J264" s="284">
        <v>0</v>
      </c>
    </row>
    <row r="265" spans="3:10" x14ac:dyDescent="0.25">
      <c r="C265" s="300" t="s">
        <v>1061</v>
      </c>
      <c r="D265" s="283" t="s">
        <v>1077</v>
      </c>
      <c r="E265" s="283" t="s">
        <v>1080</v>
      </c>
      <c r="F265" s="283" t="s">
        <v>1076</v>
      </c>
      <c r="G265" s="283">
        <v>2</v>
      </c>
      <c r="H265" s="283">
        <v>0</v>
      </c>
      <c r="I265" s="283">
        <v>0</v>
      </c>
      <c r="J265" s="284">
        <v>1</v>
      </c>
    </row>
    <row r="266" spans="3:10" x14ac:dyDescent="0.25">
      <c r="C266" s="300" t="s">
        <v>1065</v>
      </c>
      <c r="D266" s="283" t="s">
        <v>1079</v>
      </c>
      <c r="E266" s="283" t="s">
        <v>1075</v>
      </c>
      <c r="F266" s="283" t="s">
        <v>1078</v>
      </c>
      <c r="G266" s="283">
        <v>2</v>
      </c>
      <c r="H266" s="283">
        <v>0</v>
      </c>
      <c r="I266" s="283">
        <v>0</v>
      </c>
      <c r="J266" s="284">
        <v>1</v>
      </c>
    </row>
    <row r="267" spans="3:10" x14ac:dyDescent="0.25">
      <c r="C267" s="300" t="s">
        <v>1068</v>
      </c>
      <c r="D267" s="283" t="s">
        <v>1087</v>
      </c>
      <c r="E267" s="283" t="s">
        <v>1078</v>
      </c>
      <c r="F267" s="283" t="s">
        <v>524</v>
      </c>
      <c r="G267" s="283">
        <v>1</v>
      </c>
      <c r="H267" s="283">
        <v>0</v>
      </c>
      <c r="I267" s="283">
        <v>0</v>
      </c>
      <c r="J267" s="284">
        <v>0</v>
      </c>
    </row>
    <row r="268" spans="3:10" x14ac:dyDescent="0.25">
      <c r="C268" s="300" t="s">
        <v>1067</v>
      </c>
      <c r="D268" s="283" t="s">
        <v>1079</v>
      </c>
      <c r="E268" s="283" t="s">
        <v>1075</v>
      </c>
      <c r="F268" s="283" t="s">
        <v>1044</v>
      </c>
      <c r="G268" s="283">
        <v>2</v>
      </c>
      <c r="H268" s="283">
        <v>0</v>
      </c>
      <c r="I268" s="283">
        <v>0</v>
      </c>
      <c r="J268" s="284">
        <v>1</v>
      </c>
    </row>
    <row r="269" spans="3:10" x14ac:dyDescent="0.25">
      <c r="C269" s="300" t="s">
        <v>1065</v>
      </c>
      <c r="D269" s="283" t="s">
        <v>1079</v>
      </c>
      <c r="E269" s="283" t="s">
        <v>1075</v>
      </c>
      <c r="F269" s="283" t="s">
        <v>1078</v>
      </c>
      <c r="G269" s="283">
        <v>2</v>
      </c>
      <c r="H269" s="283">
        <v>0</v>
      </c>
      <c r="I269" s="283">
        <v>0</v>
      </c>
      <c r="J269" s="284">
        <v>0</v>
      </c>
    </row>
    <row r="270" spans="3:10" x14ac:dyDescent="0.25">
      <c r="C270" s="300" t="s">
        <v>1062</v>
      </c>
      <c r="D270" s="283" t="s">
        <v>1074</v>
      </c>
      <c r="E270" s="283" t="s">
        <v>1075</v>
      </c>
      <c r="F270" s="283" t="s">
        <v>1089</v>
      </c>
      <c r="G270" s="283">
        <v>2</v>
      </c>
      <c r="H270" s="283">
        <v>0</v>
      </c>
      <c r="I270" s="283">
        <v>0</v>
      </c>
      <c r="J270" s="284">
        <v>0</v>
      </c>
    </row>
    <row r="271" spans="3:10" x14ac:dyDescent="0.25">
      <c r="C271" s="300" t="s">
        <v>1061</v>
      </c>
      <c r="D271" s="283" t="s">
        <v>1079</v>
      </c>
      <c r="E271" s="283" t="s">
        <v>1075</v>
      </c>
      <c r="F271" s="283" t="s">
        <v>1075</v>
      </c>
      <c r="G271" s="283">
        <v>2</v>
      </c>
      <c r="H271" s="283">
        <v>0</v>
      </c>
      <c r="I271" s="283">
        <v>1</v>
      </c>
      <c r="J271" s="284">
        <v>0</v>
      </c>
    </row>
    <row r="272" spans="3:10" x14ac:dyDescent="0.25">
      <c r="C272" s="300" t="s">
        <v>1067</v>
      </c>
      <c r="D272" s="283" t="s">
        <v>1077</v>
      </c>
      <c r="E272" s="283" t="s">
        <v>1075</v>
      </c>
      <c r="F272" s="283" t="s">
        <v>1075</v>
      </c>
      <c r="G272" s="283">
        <v>4</v>
      </c>
      <c r="H272" s="283">
        <v>0</v>
      </c>
      <c r="I272" s="283">
        <v>0</v>
      </c>
      <c r="J272" s="284">
        <v>0</v>
      </c>
    </row>
    <row r="273" spans="3:10" x14ac:dyDescent="0.25">
      <c r="C273" s="300" t="s">
        <v>1062</v>
      </c>
      <c r="D273" s="283" t="s">
        <v>1074</v>
      </c>
      <c r="E273" s="283" t="s">
        <v>1075</v>
      </c>
      <c r="F273" s="283" t="s">
        <v>1076</v>
      </c>
      <c r="G273" s="283">
        <v>2</v>
      </c>
      <c r="H273" s="283">
        <v>0</v>
      </c>
      <c r="I273" s="283">
        <v>0</v>
      </c>
      <c r="J273" s="284">
        <v>0</v>
      </c>
    </row>
    <row r="274" spans="3:10" x14ac:dyDescent="0.25">
      <c r="C274" s="300" t="s">
        <v>1064</v>
      </c>
      <c r="D274" s="283" t="s">
        <v>1077</v>
      </c>
      <c r="E274" s="283" t="s">
        <v>1075</v>
      </c>
      <c r="F274" s="283" t="s">
        <v>1078</v>
      </c>
      <c r="G274" s="283">
        <v>6</v>
      </c>
      <c r="H274" s="283">
        <v>0</v>
      </c>
      <c r="I274" s="283">
        <v>0</v>
      </c>
      <c r="J274" s="284">
        <v>1</v>
      </c>
    </row>
    <row r="275" spans="3:10" x14ac:dyDescent="0.25">
      <c r="C275" s="300" t="s">
        <v>1060</v>
      </c>
      <c r="D275" s="283" t="s">
        <v>1090</v>
      </c>
      <c r="E275" s="283" t="s">
        <v>1083</v>
      </c>
      <c r="F275" s="283" t="s">
        <v>524</v>
      </c>
      <c r="G275" s="283">
        <v>1</v>
      </c>
      <c r="H275" s="283">
        <v>0</v>
      </c>
      <c r="I275" s="283">
        <v>0</v>
      </c>
      <c r="J275" s="284">
        <v>1</v>
      </c>
    </row>
    <row r="276" spans="3:10" x14ac:dyDescent="0.25">
      <c r="C276" s="300" t="s">
        <v>1062</v>
      </c>
      <c r="D276" s="283" t="s">
        <v>1077</v>
      </c>
      <c r="E276" s="283" t="s">
        <v>1075</v>
      </c>
      <c r="F276" s="283" t="s">
        <v>1075</v>
      </c>
      <c r="G276" s="283">
        <v>2</v>
      </c>
      <c r="H276" s="283">
        <v>0</v>
      </c>
      <c r="I276" s="283">
        <v>0</v>
      </c>
      <c r="J276" s="284">
        <v>0</v>
      </c>
    </row>
    <row r="277" spans="3:10" x14ac:dyDescent="0.25">
      <c r="C277" s="300" t="s">
        <v>1059</v>
      </c>
      <c r="D277" s="283" t="s">
        <v>1079</v>
      </c>
      <c r="E277" s="283" t="s">
        <v>1084</v>
      </c>
      <c r="F277" s="283" t="s">
        <v>1076</v>
      </c>
      <c r="G277" s="283">
        <v>2</v>
      </c>
      <c r="H277" s="283">
        <v>0</v>
      </c>
      <c r="I277" s="283">
        <v>1</v>
      </c>
      <c r="J277" s="284">
        <v>0</v>
      </c>
    </row>
    <row r="278" spans="3:10" x14ac:dyDescent="0.25">
      <c r="C278" s="300" t="s">
        <v>1061</v>
      </c>
      <c r="D278" s="283" t="s">
        <v>1079</v>
      </c>
      <c r="E278" s="283" t="s">
        <v>1075</v>
      </c>
      <c r="F278" s="283" t="s">
        <v>1075</v>
      </c>
      <c r="G278" s="283">
        <v>2</v>
      </c>
      <c r="H278" s="283">
        <v>0</v>
      </c>
      <c r="I278" s="283">
        <v>0</v>
      </c>
      <c r="J278" s="284">
        <v>1</v>
      </c>
    </row>
    <row r="279" spans="3:10" x14ac:dyDescent="0.25">
      <c r="C279" s="300" t="s">
        <v>1060</v>
      </c>
      <c r="D279" s="283" t="s">
        <v>1079</v>
      </c>
      <c r="E279" s="283" t="s">
        <v>1091</v>
      </c>
      <c r="F279" s="283" t="s">
        <v>1076</v>
      </c>
      <c r="G279" s="283">
        <v>3</v>
      </c>
      <c r="H279" s="283">
        <v>0</v>
      </c>
      <c r="I279" s="283">
        <v>0</v>
      </c>
      <c r="J279" s="284">
        <v>0</v>
      </c>
    </row>
    <row r="280" spans="3:10" x14ac:dyDescent="0.25">
      <c r="C280" s="300" t="s">
        <v>1059</v>
      </c>
      <c r="D280" s="283" t="s">
        <v>1082</v>
      </c>
      <c r="E280" s="283" t="s">
        <v>1075</v>
      </c>
      <c r="F280" s="283" t="s">
        <v>1076</v>
      </c>
      <c r="G280" s="283">
        <v>2</v>
      </c>
      <c r="H280" s="283">
        <v>0</v>
      </c>
      <c r="I280" s="283">
        <v>0</v>
      </c>
      <c r="J280" s="284">
        <v>1</v>
      </c>
    </row>
    <row r="281" spans="3:10" x14ac:dyDescent="0.25">
      <c r="C281" s="300" t="s">
        <v>1066</v>
      </c>
      <c r="D281" s="283" t="s">
        <v>1079</v>
      </c>
      <c r="E281" s="283" t="s">
        <v>1086</v>
      </c>
      <c r="F281" s="283" t="s">
        <v>1075</v>
      </c>
      <c r="G281" s="283">
        <v>2</v>
      </c>
      <c r="H281" s="283">
        <v>0</v>
      </c>
      <c r="I281" s="283">
        <v>0</v>
      </c>
      <c r="J281" s="284">
        <v>0</v>
      </c>
    </row>
    <row r="282" spans="3:10" x14ac:dyDescent="0.25">
      <c r="C282" s="300" t="s">
        <v>1060</v>
      </c>
      <c r="D282" s="283" t="s">
        <v>1074</v>
      </c>
      <c r="E282" s="283" t="s">
        <v>1084</v>
      </c>
      <c r="F282" s="283" t="s">
        <v>1083</v>
      </c>
      <c r="G282" s="283">
        <v>2</v>
      </c>
      <c r="H282" s="283">
        <v>0</v>
      </c>
      <c r="I282" s="283">
        <v>1</v>
      </c>
      <c r="J282" s="284">
        <v>0</v>
      </c>
    </row>
    <row r="283" spans="3:10" x14ac:dyDescent="0.25">
      <c r="C283" s="300" t="s">
        <v>1066</v>
      </c>
      <c r="D283" s="283" t="s">
        <v>1079</v>
      </c>
      <c r="E283" s="283" t="s">
        <v>1075</v>
      </c>
      <c r="F283" s="283" t="s">
        <v>1093</v>
      </c>
      <c r="G283" s="283">
        <v>2</v>
      </c>
      <c r="H283" s="283">
        <v>0</v>
      </c>
      <c r="I283" s="283">
        <v>0</v>
      </c>
      <c r="J283" s="284">
        <v>1</v>
      </c>
    </row>
    <row r="284" spans="3:10" x14ac:dyDescent="0.25">
      <c r="C284" s="300" t="s">
        <v>1057</v>
      </c>
      <c r="D284" s="283" t="s">
        <v>1087</v>
      </c>
      <c r="E284" s="283" t="s">
        <v>1094</v>
      </c>
      <c r="F284" s="283" t="s">
        <v>524</v>
      </c>
      <c r="G284" s="283">
        <v>1</v>
      </c>
      <c r="H284" s="283">
        <v>0</v>
      </c>
      <c r="I284" s="283">
        <v>1</v>
      </c>
      <c r="J284" s="284">
        <v>0</v>
      </c>
    </row>
    <row r="285" spans="3:10" x14ac:dyDescent="0.25">
      <c r="C285" s="300" t="s">
        <v>1062</v>
      </c>
      <c r="D285" s="283" t="s">
        <v>1087</v>
      </c>
      <c r="E285" s="283" t="s">
        <v>1085</v>
      </c>
      <c r="F285" s="283" t="s">
        <v>524</v>
      </c>
      <c r="G285" s="283">
        <v>1</v>
      </c>
      <c r="H285" s="283">
        <v>0</v>
      </c>
      <c r="I285" s="283">
        <v>0</v>
      </c>
      <c r="J285" s="284">
        <v>0</v>
      </c>
    </row>
    <row r="286" spans="3:10" x14ac:dyDescent="0.25">
      <c r="C286" s="300" t="s">
        <v>1063</v>
      </c>
      <c r="D286" s="283" t="s">
        <v>1043</v>
      </c>
      <c r="E286" s="283" t="s">
        <v>1089</v>
      </c>
      <c r="F286" s="283" t="s">
        <v>1092</v>
      </c>
      <c r="G286" s="283">
        <v>2</v>
      </c>
      <c r="H286" s="283">
        <v>0</v>
      </c>
      <c r="I286" s="283">
        <v>0</v>
      </c>
      <c r="J286" s="284">
        <v>0</v>
      </c>
    </row>
    <row r="287" spans="3:10" x14ac:dyDescent="0.25">
      <c r="C287" s="300" t="s">
        <v>1059</v>
      </c>
      <c r="D287" s="283" t="s">
        <v>1079</v>
      </c>
      <c r="E287" s="283" t="s">
        <v>1076</v>
      </c>
      <c r="F287" s="283" t="s">
        <v>1083</v>
      </c>
      <c r="G287" s="283">
        <v>2</v>
      </c>
      <c r="H287" s="283">
        <v>0</v>
      </c>
      <c r="I287" s="283">
        <v>0</v>
      </c>
      <c r="J287" s="284">
        <v>1</v>
      </c>
    </row>
    <row r="288" spans="3:10" x14ac:dyDescent="0.25">
      <c r="C288" s="300" t="s">
        <v>1065</v>
      </c>
      <c r="D288" s="283" t="s">
        <v>1043</v>
      </c>
      <c r="E288" s="283" t="s">
        <v>1075</v>
      </c>
      <c r="F288" s="283" t="s">
        <v>1092</v>
      </c>
      <c r="G288" s="283">
        <v>2</v>
      </c>
      <c r="H288" s="283">
        <v>0</v>
      </c>
      <c r="I288" s="283">
        <v>0</v>
      </c>
      <c r="J288" s="284">
        <v>1</v>
      </c>
    </row>
    <row r="289" spans="3:10" x14ac:dyDescent="0.25">
      <c r="C289" s="300" t="s">
        <v>1066</v>
      </c>
      <c r="D289" s="283" t="s">
        <v>1074</v>
      </c>
      <c r="E289" s="283" t="s">
        <v>1078</v>
      </c>
      <c r="F289" s="283" t="s">
        <v>1083</v>
      </c>
      <c r="G289" s="283">
        <v>2</v>
      </c>
      <c r="H289" s="283">
        <v>0</v>
      </c>
      <c r="I289" s="283">
        <v>1</v>
      </c>
      <c r="J289" s="284">
        <v>0</v>
      </c>
    </row>
    <row r="290" spans="3:10" x14ac:dyDescent="0.25">
      <c r="C290" s="300" t="s">
        <v>1065</v>
      </c>
      <c r="D290" s="283" t="s">
        <v>1074</v>
      </c>
      <c r="E290" s="283" t="s">
        <v>1075</v>
      </c>
      <c r="F290" s="283" t="s">
        <v>1075</v>
      </c>
      <c r="G290" s="283">
        <v>2</v>
      </c>
      <c r="H290" s="283">
        <v>0</v>
      </c>
      <c r="I290" s="283">
        <v>0</v>
      </c>
      <c r="J290" s="284">
        <v>1</v>
      </c>
    </row>
    <row r="291" spans="3:10" x14ac:dyDescent="0.25">
      <c r="C291" s="300" t="s">
        <v>1062</v>
      </c>
      <c r="D291" s="283" t="s">
        <v>1079</v>
      </c>
      <c r="E291" s="283" t="s">
        <v>1084</v>
      </c>
      <c r="F291" s="283" t="s">
        <v>1075</v>
      </c>
      <c r="G291" s="283">
        <v>3</v>
      </c>
      <c r="H291" s="283">
        <v>0</v>
      </c>
      <c r="I291" s="283">
        <v>0</v>
      </c>
      <c r="J291" s="284">
        <v>0</v>
      </c>
    </row>
    <row r="292" spans="3:10" x14ac:dyDescent="0.25">
      <c r="C292" s="300" t="s">
        <v>1065</v>
      </c>
      <c r="D292" s="283" t="s">
        <v>1079</v>
      </c>
      <c r="E292" s="283" t="s">
        <v>1078</v>
      </c>
      <c r="F292" s="283" t="s">
        <v>1083</v>
      </c>
      <c r="G292" s="283">
        <v>2</v>
      </c>
      <c r="H292" s="283">
        <v>0</v>
      </c>
      <c r="I292" s="283">
        <v>1</v>
      </c>
      <c r="J292" s="284">
        <v>0</v>
      </c>
    </row>
    <row r="293" spans="3:10" x14ac:dyDescent="0.25">
      <c r="C293" s="300" t="s">
        <v>1065</v>
      </c>
      <c r="D293" s="283" t="s">
        <v>1077</v>
      </c>
      <c r="E293" s="283" t="s">
        <v>1081</v>
      </c>
      <c r="F293" s="283" t="s">
        <v>1075</v>
      </c>
      <c r="G293" s="283">
        <v>2</v>
      </c>
      <c r="H293" s="283">
        <v>0</v>
      </c>
      <c r="I293" s="283">
        <v>0</v>
      </c>
      <c r="J293" s="284">
        <v>0</v>
      </c>
    </row>
    <row r="294" spans="3:10" x14ac:dyDescent="0.25">
      <c r="C294" s="300" t="s">
        <v>1064</v>
      </c>
      <c r="D294" s="283" t="s">
        <v>1077</v>
      </c>
      <c r="E294" s="283" t="s">
        <v>1089</v>
      </c>
      <c r="F294" s="283" t="s">
        <v>1076</v>
      </c>
      <c r="G294" s="283">
        <v>2</v>
      </c>
      <c r="H294" s="283">
        <v>0</v>
      </c>
      <c r="I294" s="283">
        <v>0</v>
      </c>
      <c r="J294" s="284">
        <v>0</v>
      </c>
    </row>
    <row r="295" spans="3:10" x14ac:dyDescent="0.25">
      <c r="C295" s="300" t="s">
        <v>1065</v>
      </c>
      <c r="D295" s="283" t="s">
        <v>1079</v>
      </c>
      <c r="E295" s="283" t="s">
        <v>1076</v>
      </c>
      <c r="F295" s="283" t="s">
        <v>1075</v>
      </c>
      <c r="G295" s="283">
        <v>2</v>
      </c>
      <c r="H295" s="283">
        <v>0</v>
      </c>
      <c r="I295" s="283">
        <v>0</v>
      </c>
      <c r="J295" s="284">
        <v>0</v>
      </c>
    </row>
    <row r="296" spans="3:10" x14ac:dyDescent="0.25">
      <c r="C296" s="300" t="s">
        <v>1065</v>
      </c>
      <c r="D296" s="283" t="s">
        <v>1079</v>
      </c>
      <c r="E296" s="283" t="s">
        <v>1075</v>
      </c>
      <c r="F296" s="283" t="s">
        <v>1080</v>
      </c>
      <c r="G296" s="283">
        <v>2</v>
      </c>
      <c r="H296" s="283">
        <v>0</v>
      </c>
      <c r="I296" s="283">
        <v>0</v>
      </c>
      <c r="J296" s="284">
        <v>1</v>
      </c>
    </row>
    <row r="297" spans="3:10" x14ac:dyDescent="0.25">
      <c r="C297" s="300" t="s">
        <v>1064</v>
      </c>
      <c r="D297" s="283" t="s">
        <v>1074</v>
      </c>
      <c r="E297" s="283" t="s">
        <v>1075</v>
      </c>
      <c r="F297" s="283" t="s">
        <v>1075</v>
      </c>
      <c r="G297" s="283">
        <v>2</v>
      </c>
      <c r="H297" s="283">
        <v>0</v>
      </c>
      <c r="I297" s="283">
        <v>0</v>
      </c>
      <c r="J297" s="284">
        <v>0</v>
      </c>
    </row>
    <row r="298" spans="3:10" x14ac:dyDescent="0.25">
      <c r="C298" s="300" t="s">
        <v>1058</v>
      </c>
      <c r="D298" s="283" t="s">
        <v>1087</v>
      </c>
      <c r="E298" s="283" t="s">
        <v>1100</v>
      </c>
      <c r="F298" s="283" t="s">
        <v>524</v>
      </c>
      <c r="G298" s="283">
        <v>1</v>
      </c>
      <c r="H298" s="283">
        <v>0</v>
      </c>
      <c r="I298" s="283">
        <v>0</v>
      </c>
      <c r="J298" s="284">
        <v>0</v>
      </c>
    </row>
    <row r="299" spans="3:10" x14ac:dyDescent="0.25">
      <c r="C299" s="300" t="s">
        <v>1060</v>
      </c>
      <c r="D299" s="283" t="s">
        <v>1087</v>
      </c>
      <c r="E299" s="283" t="s">
        <v>1076</v>
      </c>
      <c r="F299" s="283" t="s">
        <v>524</v>
      </c>
      <c r="G299" s="283">
        <v>1</v>
      </c>
      <c r="H299" s="283">
        <v>0</v>
      </c>
      <c r="I299" s="283">
        <v>0</v>
      </c>
      <c r="J299" s="284">
        <v>0</v>
      </c>
    </row>
    <row r="300" spans="3:10" x14ac:dyDescent="0.25">
      <c r="C300" s="300" t="s">
        <v>1062</v>
      </c>
      <c r="D300" s="283" t="s">
        <v>1079</v>
      </c>
      <c r="E300" s="283" t="s">
        <v>1075</v>
      </c>
      <c r="F300" s="283" t="s">
        <v>1089</v>
      </c>
      <c r="G300" s="283">
        <v>2</v>
      </c>
      <c r="H300" s="283">
        <v>0</v>
      </c>
      <c r="I300" s="283">
        <v>0</v>
      </c>
      <c r="J300" s="284">
        <v>0</v>
      </c>
    </row>
    <row r="301" spans="3:10" x14ac:dyDescent="0.25">
      <c r="C301" s="300" t="s">
        <v>1065</v>
      </c>
      <c r="D301" s="283" t="s">
        <v>1074</v>
      </c>
      <c r="E301" s="283" t="s">
        <v>1075</v>
      </c>
      <c r="F301" s="283" t="s">
        <v>1084</v>
      </c>
      <c r="G301" s="283">
        <v>2</v>
      </c>
      <c r="H301" s="283">
        <v>0</v>
      </c>
      <c r="I301" s="283">
        <v>0</v>
      </c>
      <c r="J301" s="284">
        <v>0</v>
      </c>
    </row>
    <row r="302" spans="3:10" x14ac:dyDescent="0.25">
      <c r="C302" s="300" t="s">
        <v>1068</v>
      </c>
      <c r="D302" s="283" t="s">
        <v>1074</v>
      </c>
      <c r="E302" s="283" t="s">
        <v>1075</v>
      </c>
      <c r="F302" s="283" t="s">
        <v>1075</v>
      </c>
      <c r="G302" s="283">
        <v>2</v>
      </c>
      <c r="H302" s="283">
        <v>0</v>
      </c>
      <c r="I302" s="283">
        <v>0</v>
      </c>
      <c r="J302" s="284">
        <v>0</v>
      </c>
    </row>
    <row r="303" spans="3:10" x14ac:dyDescent="0.25">
      <c r="C303" s="300" t="s">
        <v>1064</v>
      </c>
      <c r="D303" s="283" t="s">
        <v>1079</v>
      </c>
      <c r="E303" s="283" t="s">
        <v>1076</v>
      </c>
      <c r="F303" s="283" t="s">
        <v>1081</v>
      </c>
      <c r="G303" s="283">
        <v>2</v>
      </c>
      <c r="H303" s="283">
        <v>0</v>
      </c>
      <c r="I303" s="283">
        <v>0</v>
      </c>
      <c r="J303" s="284">
        <v>0</v>
      </c>
    </row>
    <row r="304" spans="3:10" x14ac:dyDescent="0.25">
      <c r="C304" s="300" t="s">
        <v>1066</v>
      </c>
      <c r="D304" s="283" t="s">
        <v>1079</v>
      </c>
      <c r="E304" s="283" t="s">
        <v>1075</v>
      </c>
      <c r="F304" s="283" t="s">
        <v>1078</v>
      </c>
      <c r="G304" s="283">
        <v>2</v>
      </c>
      <c r="H304" s="283">
        <v>0</v>
      </c>
      <c r="I304" s="283">
        <v>0</v>
      </c>
      <c r="J304" s="284">
        <v>1</v>
      </c>
    </row>
    <row r="305" spans="3:10" x14ac:dyDescent="0.25">
      <c r="C305" s="300" t="s">
        <v>1060</v>
      </c>
      <c r="D305" s="283" t="s">
        <v>1079</v>
      </c>
      <c r="E305" s="283" t="s">
        <v>1075</v>
      </c>
      <c r="F305" s="283" t="s">
        <v>1078</v>
      </c>
      <c r="G305" s="283">
        <v>3</v>
      </c>
      <c r="H305" s="283">
        <v>0</v>
      </c>
      <c r="I305" s="283">
        <v>0</v>
      </c>
      <c r="J305" s="284">
        <v>0</v>
      </c>
    </row>
    <row r="306" spans="3:10" x14ac:dyDescent="0.25">
      <c r="C306" s="300" t="s">
        <v>1060</v>
      </c>
      <c r="D306" s="283" t="s">
        <v>1077</v>
      </c>
      <c r="E306" s="283" t="s">
        <v>1075</v>
      </c>
      <c r="F306" s="283" t="s">
        <v>1075</v>
      </c>
      <c r="G306" s="283">
        <v>2</v>
      </c>
      <c r="H306" s="283">
        <v>0</v>
      </c>
      <c r="I306" s="283">
        <v>0</v>
      </c>
      <c r="J306" s="284">
        <v>0</v>
      </c>
    </row>
    <row r="307" spans="3:10" x14ac:dyDescent="0.25">
      <c r="C307" s="300" t="s">
        <v>1067</v>
      </c>
      <c r="D307" s="283" t="s">
        <v>1079</v>
      </c>
      <c r="E307" s="283" t="s">
        <v>1089</v>
      </c>
      <c r="F307" s="283" t="s">
        <v>1089</v>
      </c>
      <c r="G307" s="283">
        <v>2</v>
      </c>
      <c r="H307" s="283">
        <v>0</v>
      </c>
      <c r="I307" s="283">
        <v>0</v>
      </c>
      <c r="J307" s="284">
        <v>0</v>
      </c>
    </row>
    <row r="308" spans="3:10" x14ac:dyDescent="0.25">
      <c r="C308" s="300" t="s">
        <v>1062</v>
      </c>
      <c r="D308" s="283" t="s">
        <v>1074</v>
      </c>
      <c r="E308" s="283" t="s">
        <v>1075</v>
      </c>
      <c r="F308" s="283" t="s">
        <v>1075</v>
      </c>
      <c r="G308" s="283">
        <v>2</v>
      </c>
      <c r="H308" s="283">
        <v>0</v>
      </c>
      <c r="I308" s="283">
        <v>0</v>
      </c>
      <c r="J308" s="284">
        <v>0</v>
      </c>
    </row>
    <row r="309" spans="3:10" x14ac:dyDescent="0.25">
      <c r="C309" s="300" t="s">
        <v>1062</v>
      </c>
      <c r="D309" s="283" t="s">
        <v>1077</v>
      </c>
      <c r="E309" s="283" t="s">
        <v>1075</v>
      </c>
      <c r="F309" s="283" t="s">
        <v>1075</v>
      </c>
      <c r="G309" s="283">
        <v>2</v>
      </c>
      <c r="H309" s="283">
        <v>0</v>
      </c>
      <c r="I309" s="283">
        <v>0</v>
      </c>
      <c r="J309" s="284">
        <v>0</v>
      </c>
    </row>
    <row r="310" spans="3:10" x14ac:dyDescent="0.25">
      <c r="C310" s="300" t="s">
        <v>1067</v>
      </c>
      <c r="D310" s="283" t="s">
        <v>1074</v>
      </c>
      <c r="E310" s="283" t="s">
        <v>1075</v>
      </c>
      <c r="F310" s="283" t="s">
        <v>1078</v>
      </c>
      <c r="G310" s="283">
        <v>2</v>
      </c>
      <c r="H310" s="283">
        <v>0</v>
      </c>
      <c r="I310" s="283">
        <v>0</v>
      </c>
      <c r="J310" s="284">
        <v>0</v>
      </c>
    </row>
    <row r="311" spans="3:10" x14ac:dyDescent="0.25">
      <c r="C311" s="300" t="s">
        <v>1061</v>
      </c>
      <c r="D311" s="283" t="s">
        <v>1077</v>
      </c>
      <c r="E311" s="283" t="s">
        <v>1075</v>
      </c>
      <c r="F311" s="283" t="s">
        <v>1089</v>
      </c>
      <c r="G311" s="283">
        <v>4</v>
      </c>
      <c r="H311" s="283">
        <v>0</v>
      </c>
      <c r="I311" s="283">
        <v>0</v>
      </c>
      <c r="J311" s="284">
        <v>0</v>
      </c>
    </row>
    <row r="312" spans="3:10" x14ac:dyDescent="0.25">
      <c r="C312" s="300" t="s">
        <v>1060</v>
      </c>
      <c r="D312" s="283" t="s">
        <v>1077</v>
      </c>
      <c r="E312" s="283" t="s">
        <v>1075</v>
      </c>
      <c r="F312" s="283" t="s">
        <v>1076</v>
      </c>
      <c r="G312" s="283">
        <v>2</v>
      </c>
      <c r="H312" s="283">
        <v>0</v>
      </c>
      <c r="I312" s="283">
        <v>0</v>
      </c>
      <c r="J312" s="284">
        <v>0</v>
      </c>
    </row>
    <row r="313" spans="3:10" x14ac:dyDescent="0.25">
      <c r="C313" s="300" t="s">
        <v>1064</v>
      </c>
      <c r="D313" s="283" t="s">
        <v>1074</v>
      </c>
      <c r="E313" s="283" t="s">
        <v>1075</v>
      </c>
      <c r="F313" s="283" t="s">
        <v>1075</v>
      </c>
      <c r="G313" s="283">
        <v>3</v>
      </c>
      <c r="H313" s="283">
        <v>0</v>
      </c>
      <c r="I313" s="283">
        <v>0</v>
      </c>
      <c r="J313" s="284">
        <v>0</v>
      </c>
    </row>
    <row r="314" spans="3:10" x14ac:dyDescent="0.25">
      <c r="C314" s="300" t="s">
        <v>1064</v>
      </c>
      <c r="D314" s="283" t="s">
        <v>1079</v>
      </c>
      <c r="E314" s="283" t="s">
        <v>1078</v>
      </c>
      <c r="F314" s="283" t="s">
        <v>1075</v>
      </c>
      <c r="G314" s="283">
        <v>2</v>
      </c>
      <c r="H314" s="283">
        <v>0</v>
      </c>
      <c r="I314" s="283">
        <v>0</v>
      </c>
      <c r="J314" s="284">
        <v>0</v>
      </c>
    </row>
    <row r="315" spans="3:10" x14ac:dyDescent="0.25">
      <c r="C315" s="300" t="s">
        <v>1061</v>
      </c>
      <c r="D315" s="283" t="s">
        <v>1074</v>
      </c>
      <c r="E315" s="283" t="s">
        <v>1075</v>
      </c>
      <c r="F315" s="283" t="s">
        <v>1075</v>
      </c>
      <c r="G315" s="283">
        <v>2</v>
      </c>
      <c r="H315" s="283">
        <v>0</v>
      </c>
      <c r="I315" s="283">
        <v>1</v>
      </c>
      <c r="J315" s="284">
        <v>0</v>
      </c>
    </row>
    <row r="316" spans="3:10" x14ac:dyDescent="0.25">
      <c r="C316" s="300" t="s">
        <v>1064</v>
      </c>
      <c r="D316" s="283" t="s">
        <v>1079</v>
      </c>
      <c r="E316" s="283" t="s">
        <v>1075</v>
      </c>
      <c r="F316" s="283" t="s">
        <v>1075</v>
      </c>
      <c r="G316" s="283">
        <v>2</v>
      </c>
      <c r="H316" s="283">
        <v>0</v>
      </c>
      <c r="I316" s="283">
        <v>0</v>
      </c>
      <c r="J316" s="284">
        <v>0</v>
      </c>
    </row>
    <row r="317" spans="3:10" x14ac:dyDescent="0.25">
      <c r="C317" s="300" t="s">
        <v>1066</v>
      </c>
      <c r="D317" s="283" t="s">
        <v>1079</v>
      </c>
      <c r="E317" s="283" t="s">
        <v>1075</v>
      </c>
      <c r="F317" s="283" t="s">
        <v>1083</v>
      </c>
      <c r="G317" s="283">
        <v>2</v>
      </c>
      <c r="H317" s="283">
        <v>0</v>
      </c>
      <c r="I317" s="283">
        <v>1</v>
      </c>
      <c r="J317" s="284">
        <v>0</v>
      </c>
    </row>
    <row r="318" spans="3:10" x14ac:dyDescent="0.25">
      <c r="C318" s="300" t="s">
        <v>1064</v>
      </c>
      <c r="D318" s="283" t="s">
        <v>1074</v>
      </c>
      <c r="E318" s="283" t="s">
        <v>1089</v>
      </c>
      <c r="F318" s="283" t="s">
        <v>1075</v>
      </c>
      <c r="G318" s="283">
        <v>2</v>
      </c>
      <c r="H318" s="283">
        <v>0</v>
      </c>
      <c r="I318" s="283">
        <v>0</v>
      </c>
      <c r="J318" s="284">
        <v>0</v>
      </c>
    </row>
    <row r="319" spans="3:10" x14ac:dyDescent="0.25">
      <c r="C319" s="300" t="s">
        <v>1068</v>
      </c>
      <c r="D319" s="283" t="s">
        <v>1074</v>
      </c>
      <c r="E319" s="283" t="s">
        <v>1075</v>
      </c>
      <c r="F319" s="283" t="s">
        <v>1076</v>
      </c>
      <c r="G319" s="283">
        <v>2</v>
      </c>
      <c r="H319" s="283">
        <v>0</v>
      </c>
      <c r="I319" s="283">
        <v>1</v>
      </c>
      <c r="J319" s="284">
        <v>0</v>
      </c>
    </row>
    <row r="320" spans="3:10" x14ac:dyDescent="0.25">
      <c r="C320" s="300" t="s">
        <v>1068</v>
      </c>
      <c r="D320" s="283" t="s">
        <v>1087</v>
      </c>
      <c r="E320" s="283" t="s">
        <v>1075</v>
      </c>
      <c r="F320" s="283" t="s">
        <v>524</v>
      </c>
      <c r="G320" s="283">
        <v>1</v>
      </c>
      <c r="H320" s="283">
        <v>0</v>
      </c>
      <c r="I320" s="283">
        <v>0</v>
      </c>
      <c r="J320" s="284">
        <v>0</v>
      </c>
    </row>
    <row r="321" spans="3:10" x14ac:dyDescent="0.25">
      <c r="C321" s="300" t="s">
        <v>1061</v>
      </c>
      <c r="D321" s="283" t="s">
        <v>1079</v>
      </c>
      <c r="E321" s="283" t="s">
        <v>1075</v>
      </c>
      <c r="F321" s="283" t="s">
        <v>1089</v>
      </c>
      <c r="G321" s="283">
        <v>2</v>
      </c>
      <c r="H321" s="283">
        <v>0</v>
      </c>
      <c r="I321" s="283">
        <v>1</v>
      </c>
      <c r="J321" s="284">
        <v>0</v>
      </c>
    </row>
    <row r="322" spans="3:10" x14ac:dyDescent="0.25">
      <c r="C322" s="300" t="s">
        <v>1063</v>
      </c>
      <c r="D322" s="283" t="s">
        <v>1087</v>
      </c>
      <c r="E322" s="283" t="s">
        <v>1075</v>
      </c>
      <c r="F322" s="283" t="s">
        <v>524</v>
      </c>
      <c r="G322" s="283">
        <v>1</v>
      </c>
      <c r="H322" s="283">
        <v>0</v>
      </c>
      <c r="I322" s="283">
        <v>0</v>
      </c>
      <c r="J322" s="284">
        <v>1</v>
      </c>
    </row>
    <row r="323" spans="3:10" x14ac:dyDescent="0.25">
      <c r="C323" s="300" t="s">
        <v>1065</v>
      </c>
      <c r="D323" s="283" t="s">
        <v>1079</v>
      </c>
      <c r="E323" s="283" t="s">
        <v>1075</v>
      </c>
      <c r="F323" s="283" t="s">
        <v>1089</v>
      </c>
      <c r="G323" s="283">
        <v>2</v>
      </c>
      <c r="H323" s="283">
        <v>0</v>
      </c>
      <c r="I323" s="283">
        <v>0</v>
      </c>
      <c r="J323" s="284">
        <v>0</v>
      </c>
    </row>
    <row r="324" spans="3:10" x14ac:dyDescent="0.25">
      <c r="C324" s="300" t="s">
        <v>1062</v>
      </c>
      <c r="D324" s="283" t="s">
        <v>1043</v>
      </c>
      <c r="E324" s="283" t="s">
        <v>1081</v>
      </c>
      <c r="F324" s="283" t="s">
        <v>1092</v>
      </c>
      <c r="G324" s="283">
        <v>2</v>
      </c>
      <c r="H324" s="283">
        <v>0</v>
      </c>
      <c r="I324" s="283">
        <v>1</v>
      </c>
      <c r="J324" s="284">
        <v>0</v>
      </c>
    </row>
    <row r="325" spans="3:10" x14ac:dyDescent="0.25">
      <c r="C325" s="300" t="s">
        <v>1063</v>
      </c>
      <c r="D325" s="283" t="s">
        <v>1077</v>
      </c>
      <c r="E325" s="283" t="s">
        <v>1089</v>
      </c>
      <c r="F325" s="283" t="s">
        <v>1089</v>
      </c>
      <c r="G325" s="283">
        <v>3</v>
      </c>
      <c r="H325" s="283">
        <v>0</v>
      </c>
      <c r="I325" s="283">
        <v>0</v>
      </c>
      <c r="J325" s="284">
        <v>1</v>
      </c>
    </row>
    <row r="326" spans="3:10" x14ac:dyDescent="0.25">
      <c r="C326" s="300" t="s">
        <v>1062</v>
      </c>
      <c r="D326" s="283" t="s">
        <v>1074</v>
      </c>
      <c r="E326" s="283" t="s">
        <v>1075</v>
      </c>
      <c r="F326" s="283" t="s">
        <v>1075</v>
      </c>
      <c r="G326" s="283">
        <v>3</v>
      </c>
      <c r="H326" s="283">
        <v>0</v>
      </c>
      <c r="I326" s="283">
        <v>0</v>
      </c>
      <c r="J326" s="284">
        <v>0</v>
      </c>
    </row>
    <row r="327" spans="3:10" x14ac:dyDescent="0.25">
      <c r="C327" s="300" t="s">
        <v>1066</v>
      </c>
      <c r="D327" s="283" t="s">
        <v>1074</v>
      </c>
      <c r="E327" s="283" t="s">
        <v>1083</v>
      </c>
      <c r="F327" s="283" t="s">
        <v>1075</v>
      </c>
      <c r="G327" s="283">
        <v>2</v>
      </c>
      <c r="H327" s="283">
        <v>0</v>
      </c>
      <c r="I327" s="283">
        <v>1</v>
      </c>
      <c r="J327" s="284">
        <v>0</v>
      </c>
    </row>
    <row r="328" spans="3:10" x14ac:dyDescent="0.25">
      <c r="C328" s="300" t="s">
        <v>1061</v>
      </c>
      <c r="D328" s="283" t="s">
        <v>1082</v>
      </c>
      <c r="E328" s="283" t="s">
        <v>1075</v>
      </c>
      <c r="F328" s="283" t="s">
        <v>1075</v>
      </c>
      <c r="G328" s="283">
        <v>2</v>
      </c>
      <c r="H328" s="283">
        <v>0</v>
      </c>
      <c r="I328" s="283">
        <v>0</v>
      </c>
      <c r="J328" s="284">
        <v>1</v>
      </c>
    </row>
    <row r="329" spans="3:10" x14ac:dyDescent="0.25">
      <c r="C329" s="300" t="s">
        <v>1064</v>
      </c>
      <c r="D329" s="283" t="s">
        <v>1077</v>
      </c>
      <c r="E329" s="283" t="s">
        <v>1080</v>
      </c>
      <c r="F329" s="283" t="s">
        <v>1075</v>
      </c>
      <c r="G329" s="283">
        <v>4</v>
      </c>
      <c r="H329" s="283">
        <v>0</v>
      </c>
      <c r="I329" s="283">
        <v>1</v>
      </c>
      <c r="J329" s="284">
        <v>1</v>
      </c>
    </row>
    <row r="330" spans="3:10" x14ac:dyDescent="0.25">
      <c r="C330" s="300" t="s">
        <v>1068</v>
      </c>
      <c r="D330" s="283" t="s">
        <v>1074</v>
      </c>
      <c r="E330" s="283" t="s">
        <v>1089</v>
      </c>
      <c r="F330" s="283" t="s">
        <v>1076</v>
      </c>
      <c r="G330" s="283">
        <v>2</v>
      </c>
      <c r="H330" s="283">
        <v>0</v>
      </c>
      <c r="I330" s="283">
        <v>0</v>
      </c>
      <c r="J330" s="284">
        <v>0</v>
      </c>
    </row>
    <row r="331" spans="3:10" x14ac:dyDescent="0.25">
      <c r="C331" s="300" t="s">
        <v>1059</v>
      </c>
      <c r="D331" s="283" t="s">
        <v>1087</v>
      </c>
      <c r="E331" s="283" t="s">
        <v>1075</v>
      </c>
      <c r="F331" s="283" t="s">
        <v>524</v>
      </c>
      <c r="G331" s="283">
        <v>1</v>
      </c>
      <c r="H331" s="283">
        <v>0</v>
      </c>
      <c r="I331" s="283">
        <v>0</v>
      </c>
      <c r="J331" s="284">
        <v>0</v>
      </c>
    </row>
    <row r="332" spans="3:10" x14ac:dyDescent="0.25">
      <c r="C332" s="300" t="s">
        <v>1068</v>
      </c>
      <c r="D332" s="283" t="s">
        <v>1079</v>
      </c>
      <c r="E332" s="283" t="s">
        <v>1075</v>
      </c>
      <c r="F332" s="283" t="s">
        <v>1075</v>
      </c>
      <c r="G332" s="283">
        <v>2</v>
      </c>
      <c r="H332" s="283">
        <v>0</v>
      </c>
      <c r="I332" s="283">
        <v>0</v>
      </c>
      <c r="J332" s="284">
        <v>0</v>
      </c>
    </row>
    <row r="333" spans="3:10" x14ac:dyDescent="0.25">
      <c r="C333" s="300" t="s">
        <v>1065</v>
      </c>
      <c r="D333" s="283" t="s">
        <v>1079</v>
      </c>
      <c r="E333" s="283" t="s">
        <v>1075</v>
      </c>
      <c r="F333" s="283" t="s">
        <v>1075</v>
      </c>
      <c r="G333" s="283">
        <v>2</v>
      </c>
      <c r="H333" s="283">
        <v>1</v>
      </c>
      <c r="I333" s="283">
        <v>0</v>
      </c>
      <c r="J333" s="284">
        <v>0</v>
      </c>
    </row>
    <row r="334" spans="3:10" x14ac:dyDescent="0.25">
      <c r="C334" s="300" t="s">
        <v>1061</v>
      </c>
      <c r="D334" s="283" t="s">
        <v>1079</v>
      </c>
      <c r="E334" s="283" t="s">
        <v>1083</v>
      </c>
      <c r="F334" s="283" t="s">
        <v>1088</v>
      </c>
      <c r="G334" s="283">
        <v>2</v>
      </c>
      <c r="H334" s="283">
        <v>1</v>
      </c>
      <c r="I334" s="283">
        <v>0</v>
      </c>
      <c r="J334" s="284">
        <v>1</v>
      </c>
    </row>
    <row r="335" spans="3:10" x14ac:dyDescent="0.25">
      <c r="C335" s="300" t="s">
        <v>1067</v>
      </c>
      <c r="D335" s="283" t="s">
        <v>1079</v>
      </c>
      <c r="E335" s="283" t="s">
        <v>1089</v>
      </c>
      <c r="F335" s="283" t="s">
        <v>1075</v>
      </c>
      <c r="G335" s="283">
        <v>2</v>
      </c>
      <c r="H335" s="283">
        <v>1</v>
      </c>
      <c r="I335" s="283">
        <v>0</v>
      </c>
      <c r="J335" s="284">
        <v>2</v>
      </c>
    </row>
    <row r="336" spans="3:10" x14ac:dyDescent="0.25">
      <c r="C336" s="300" t="s">
        <v>1061</v>
      </c>
      <c r="D336" s="283" t="s">
        <v>1087</v>
      </c>
      <c r="E336" s="283" t="s">
        <v>1080</v>
      </c>
      <c r="F336" s="283" t="s">
        <v>524</v>
      </c>
      <c r="G336" s="283">
        <v>1</v>
      </c>
      <c r="H336" s="283">
        <v>0</v>
      </c>
      <c r="I336" s="283">
        <v>1</v>
      </c>
      <c r="J336" s="284">
        <v>0</v>
      </c>
    </row>
    <row r="337" spans="3:10" x14ac:dyDescent="0.25">
      <c r="C337" s="300" t="s">
        <v>1064</v>
      </c>
      <c r="D337" s="283" t="s">
        <v>1043</v>
      </c>
      <c r="E337" s="283" t="s">
        <v>1089</v>
      </c>
      <c r="F337" s="283" t="s">
        <v>1092</v>
      </c>
      <c r="G337" s="283">
        <v>2</v>
      </c>
      <c r="H337" s="283">
        <v>0</v>
      </c>
      <c r="I337" s="283">
        <v>1</v>
      </c>
      <c r="J337" s="284">
        <v>0</v>
      </c>
    </row>
    <row r="338" spans="3:10" x14ac:dyDescent="0.25">
      <c r="C338" s="300" t="s">
        <v>1066</v>
      </c>
      <c r="D338" s="283" t="s">
        <v>1077</v>
      </c>
      <c r="E338" s="283" t="s">
        <v>1078</v>
      </c>
      <c r="F338" s="283" t="s">
        <v>1089</v>
      </c>
      <c r="G338" s="283">
        <v>2</v>
      </c>
      <c r="H338" s="283">
        <v>0</v>
      </c>
      <c r="I338" s="283">
        <v>0</v>
      </c>
      <c r="J338" s="284">
        <v>0</v>
      </c>
    </row>
    <row r="339" spans="3:10" x14ac:dyDescent="0.25">
      <c r="C339" s="300" t="s">
        <v>1061</v>
      </c>
      <c r="D339" s="283" t="s">
        <v>1077</v>
      </c>
      <c r="E339" s="283" t="s">
        <v>1089</v>
      </c>
      <c r="F339" s="283" t="s">
        <v>1078</v>
      </c>
      <c r="G339" s="283">
        <v>2</v>
      </c>
      <c r="H339" s="283">
        <v>0</v>
      </c>
      <c r="I339" s="283">
        <v>0</v>
      </c>
      <c r="J339" s="284">
        <v>1</v>
      </c>
    </row>
    <row r="340" spans="3:10" x14ac:dyDescent="0.25">
      <c r="C340" s="300" t="s">
        <v>1066</v>
      </c>
      <c r="D340" s="283" t="s">
        <v>1077</v>
      </c>
      <c r="E340" s="283" t="s">
        <v>1086</v>
      </c>
      <c r="F340" s="283" t="s">
        <v>1083</v>
      </c>
      <c r="G340" s="283">
        <v>2</v>
      </c>
      <c r="H340" s="283">
        <v>0</v>
      </c>
      <c r="I340" s="283">
        <v>1</v>
      </c>
      <c r="J340" s="284">
        <v>0</v>
      </c>
    </row>
    <row r="341" spans="3:10" x14ac:dyDescent="0.25">
      <c r="C341" s="300" t="s">
        <v>1062</v>
      </c>
      <c r="D341" s="283" t="s">
        <v>1043</v>
      </c>
      <c r="E341" s="283" t="s">
        <v>1086</v>
      </c>
      <c r="F341" s="283" t="s">
        <v>1092</v>
      </c>
      <c r="G341" s="283">
        <v>2</v>
      </c>
      <c r="H341" s="283">
        <v>0</v>
      </c>
      <c r="I341" s="283">
        <v>0</v>
      </c>
      <c r="J341" s="284">
        <v>1</v>
      </c>
    </row>
    <row r="342" spans="3:10" x14ac:dyDescent="0.25">
      <c r="C342" s="300" t="s">
        <v>1066</v>
      </c>
      <c r="D342" s="283" t="s">
        <v>1043</v>
      </c>
      <c r="E342" s="283" t="s">
        <v>1075</v>
      </c>
      <c r="F342" s="283" t="s">
        <v>1092</v>
      </c>
      <c r="G342" s="283">
        <v>2</v>
      </c>
      <c r="H342" s="283">
        <v>0</v>
      </c>
      <c r="I342" s="283">
        <v>1</v>
      </c>
      <c r="J342" s="284">
        <v>0</v>
      </c>
    </row>
    <row r="343" spans="3:10" x14ac:dyDescent="0.25">
      <c r="C343" s="300" t="s">
        <v>1059</v>
      </c>
      <c r="D343" s="283" t="s">
        <v>1087</v>
      </c>
      <c r="E343" s="283" t="s">
        <v>1089</v>
      </c>
      <c r="F343" s="283" t="s">
        <v>524</v>
      </c>
      <c r="G343" s="283">
        <v>1</v>
      </c>
      <c r="H343" s="283">
        <v>0</v>
      </c>
      <c r="I343" s="283">
        <v>0</v>
      </c>
      <c r="J343" s="284">
        <v>0</v>
      </c>
    </row>
    <row r="344" spans="3:10" x14ac:dyDescent="0.25">
      <c r="C344" s="300" t="s">
        <v>1066</v>
      </c>
      <c r="D344" s="283" t="s">
        <v>1090</v>
      </c>
      <c r="E344" s="283" t="s">
        <v>1093</v>
      </c>
      <c r="F344" s="283" t="s">
        <v>524</v>
      </c>
      <c r="G344" s="283">
        <v>2</v>
      </c>
      <c r="H344" s="283">
        <v>0</v>
      </c>
      <c r="I344" s="283">
        <v>0</v>
      </c>
      <c r="J344" s="284">
        <v>0</v>
      </c>
    </row>
    <row r="345" spans="3:10" x14ac:dyDescent="0.25">
      <c r="C345" s="300" t="s">
        <v>1058</v>
      </c>
      <c r="D345" s="283" t="s">
        <v>1087</v>
      </c>
      <c r="E345" s="283" t="s">
        <v>1075</v>
      </c>
      <c r="F345" s="283" t="s">
        <v>524</v>
      </c>
      <c r="G345" s="283">
        <v>1</v>
      </c>
      <c r="H345" s="283">
        <v>0</v>
      </c>
      <c r="I345" s="283">
        <v>0</v>
      </c>
      <c r="J345" s="284">
        <v>1</v>
      </c>
    </row>
    <row r="346" spans="3:10" x14ac:dyDescent="0.25">
      <c r="C346" s="300" t="s">
        <v>1061</v>
      </c>
      <c r="D346" s="283" t="s">
        <v>1077</v>
      </c>
      <c r="E346" s="283" t="s">
        <v>1075</v>
      </c>
      <c r="F346" s="283" t="s">
        <v>1075</v>
      </c>
      <c r="G346" s="283">
        <v>3</v>
      </c>
      <c r="H346" s="283">
        <v>0</v>
      </c>
      <c r="I346" s="283">
        <v>1</v>
      </c>
      <c r="J346" s="284">
        <v>0</v>
      </c>
    </row>
    <row r="347" spans="3:10" x14ac:dyDescent="0.25">
      <c r="C347" s="300" t="s">
        <v>1068</v>
      </c>
      <c r="D347" s="283" t="s">
        <v>1077</v>
      </c>
      <c r="E347" s="283" t="s">
        <v>1075</v>
      </c>
      <c r="F347" s="283" t="s">
        <v>1083</v>
      </c>
      <c r="G347" s="283">
        <v>2</v>
      </c>
      <c r="H347" s="283">
        <v>0</v>
      </c>
      <c r="I347" s="283">
        <v>1</v>
      </c>
      <c r="J347" s="284">
        <v>0</v>
      </c>
    </row>
    <row r="348" spans="3:10" x14ac:dyDescent="0.25">
      <c r="C348" s="300" t="s">
        <v>1064</v>
      </c>
      <c r="D348" s="283" t="s">
        <v>1079</v>
      </c>
      <c r="E348" s="283" t="s">
        <v>1089</v>
      </c>
      <c r="F348" s="283" t="s">
        <v>1075</v>
      </c>
      <c r="G348" s="283">
        <v>3</v>
      </c>
      <c r="H348" s="283">
        <v>0</v>
      </c>
      <c r="I348" s="283">
        <v>0</v>
      </c>
      <c r="J348" s="284">
        <v>1</v>
      </c>
    </row>
    <row r="349" spans="3:10" x14ac:dyDescent="0.25">
      <c r="C349" s="300" t="s">
        <v>1065</v>
      </c>
      <c r="D349" s="283" t="s">
        <v>1079</v>
      </c>
      <c r="E349" s="283" t="s">
        <v>1078</v>
      </c>
      <c r="F349" s="283" t="s">
        <v>1075</v>
      </c>
      <c r="G349" s="283">
        <v>2</v>
      </c>
      <c r="H349" s="283">
        <v>0</v>
      </c>
      <c r="I349" s="283">
        <v>0</v>
      </c>
      <c r="J349" s="284">
        <v>0</v>
      </c>
    </row>
    <row r="350" spans="3:10" x14ac:dyDescent="0.25">
      <c r="C350" s="300" t="s">
        <v>1065</v>
      </c>
      <c r="D350" s="283" t="s">
        <v>1079</v>
      </c>
      <c r="E350" s="283" t="s">
        <v>1075</v>
      </c>
      <c r="F350" s="283" t="s">
        <v>1075</v>
      </c>
      <c r="G350" s="283">
        <v>2</v>
      </c>
      <c r="H350" s="283">
        <v>0</v>
      </c>
      <c r="I350" s="283">
        <v>0</v>
      </c>
      <c r="J350" s="284">
        <v>0</v>
      </c>
    </row>
    <row r="351" spans="3:10" x14ac:dyDescent="0.25">
      <c r="C351" s="300" t="s">
        <v>1063</v>
      </c>
      <c r="D351" s="283" t="s">
        <v>1079</v>
      </c>
      <c r="E351" s="283" t="s">
        <v>1075</v>
      </c>
      <c r="F351" s="283" t="s">
        <v>1084</v>
      </c>
      <c r="G351" s="283">
        <v>2</v>
      </c>
      <c r="H351" s="283">
        <v>0</v>
      </c>
      <c r="I351" s="283">
        <v>0</v>
      </c>
      <c r="J351" s="284">
        <v>0</v>
      </c>
    </row>
    <row r="352" spans="3:10" x14ac:dyDescent="0.25">
      <c r="C352" s="300" t="s">
        <v>1057</v>
      </c>
      <c r="D352" s="283" t="s">
        <v>1087</v>
      </c>
      <c r="E352" s="283" t="s">
        <v>1075</v>
      </c>
      <c r="F352" s="283" t="s">
        <v>524</v>
      </c>
      <c r="G352" s="283">
        <v>1</v>
      </c>
      <c r="H352" s="283">
        <v>0</v>
      </c>
      <c r="I352" s="283">
        <v>0</v>
      </c>
      <c r="J352" s="284">
        <v>0</v>
      </c>
    </row>
    <row r="353" spans="3:10" x14ac:dyDescent="0.25">
      <c r="C353" s="300" t="s">
        <v>1064</v>
      </c>
      <c r="D353" s="283" t="s">
        <v>1079</v>
      </c>
      <c r="E353" s="283" t="s">
        <v>1076</v>
      </c>
      <c r="F353" s="283" t="s">
        <v>1075</v>
      </c>
      <c r="G353" s="283">
        <v>2</v>
      </c>
      <c r="H353" s="283">
        <v>0</v>
      </c>
      <c r="I353" s="283">
        <v>0</v>
      </c>
      <c r="J353" s="284">
        <v>0</v>
      </c>
    </row>
    <row r="354" spans="3:10" x14ac:dyDescent="0.25">
      <c r="C354" s="300" t="s">
        <v>1065</v>
      </c>
      <c r="D354" s="283" t="s">
        <v>1077</v>
      </c>
      <c r="E354" s="283" t="s">
        <v>1089</v>
      </c>
      <c r="F354" s="283" t="s">
        <v>1078</v>
      </c>
      <c r="G354" s="283">
        <v>2</v>
      </c>
      <c r="H354" s="283">
        <v>0</v>
      </c>
      <c r="I354" s="283">
        <v>0</v>
      </c>
      <c r="J354" s="284">
        <v>0</v>
      </c>
    </row>
    <row r="355" spans="3:10" x14ac:dyDescent="0.25">
      <c r="C355" s="300" t="s">
        <v>1059</v>
      </c>
      <c r="D355" s="283" t="s">
        <v>1090</v>
      </c>
      <c r="E355" s="283" t="s">
        <v>1088</v>
      </c>
      <c r="F355" s="283" t="s">
        <v>524</v>
      </c>
      <c r="G355" s="283">
        <v>1</v>
      </c>
      <c r="H355" s="283">
        <v>0</v>
      </c>
      <c r="I355" s="283">
        <v>0</v>
      </c>
      <c r="J355" s="284">
        <v>0</v>
      </c>
    </row>
    <row r="356" spans="3:10" x14ac:dyDescent="0.25">
      <c r="C356" s="300" t="s">
        <v>1057</v>
      </c>
      <c r="D356" s="283" t="s">
        <v>1087</v>
      </c>
      <c r="E356" s="283" t="s">
        <v>1075</v>
      </c>
      <c r="F356" s="283" t="s">
        <v>524</v>
      </c>
      <c r="G356" s="283">
        <v>1</v>
      </c>
      <c r="H356" s="283">
        <v>0</v>
      </c>
      <c r="I356" s="283">
        <v>0</v>
      </c>
      <c r="J356" s="284">
        <v>0</v>
      </c>
    </row>
    <row r="357" spans="3:10" x14ac:dyDescent="0.25">
      <c r="C357" s="300" t="s">
        <v>1065</v>
      </c>
      <c r="D357" s="283" t="s">
        <v>1079</v>
      </c>
      <c r="E357" s="283" t="s">
        <v>1078</v>
      </c>
      <c r="F357" s="283" t="s">
        <v>1083</v>
      </c>
      <c r="G357" s="283">
        <v>2</v>
      </c>
      <c r="H357" s="283">
        <v>0</v>
      </c>
      <c r="I357" s="283">
        <v>0</v>
      </c>
      <c r="J357" s="284">
        <v>0</v>
      </c>
    </row>
    <row r="358" spans="3:10" x14ac:dyDescent="0.25">
      <c r="C358" s="300" t="s">
        <v>1064</v>
      </c>
      <c r="D358" s="283" t="s">
        <v>1082</v>
      </c>
      <c r="E358" s="283" t="s">
        <v>1089</v>
      </c>
      <c r="F358" s="283" t="s">
        <v>1089</v>
      </c>
      <c r="G358" s="283">
        <v>2</v>
      </c>
      <c r="H358" s="283">
        <v>0</v>
      </c>
      <c r="I358" s="283">
        <v>0</v>
      </c>
      <c r="J358" s="284">
        <v>1</v>
      </c>
    </row>
    <row r="359" spans="3:10" x14ac:dyDescent="0.25">
      <c r="C359" s="300" t="s">
        <v>1063</v>
      </c>
      <c r="D359" s="283" t="s">
        <v>1074</v>
      </c>
      <c r="E359" s="283" t="s">
        <v>1101</v>
      </c>
      <c r="F359" s="283" t="s">
        <v>1075</v>
      </c>
      <c r="G359" s="283">
        <v>2</v>
      </c>
      <c r="H359" s="283">
        <v>0</v>
      </c>
      <c r="I359" s="283">
        <v>0</v>
      </c>
      <c r="J359" s="284">
        <v>1</v>
      </c>
    </row>
    <row r="360" spans="3:10" x14ac:dyDescent="0.25">
      <c r="C360" s="300" t="s">
        <v>1061</v>
      </c>
      <c r="D360" s="283" t="s">
        <v>1077</v>
      </c>
      <c r="E360" s="283" t="s">
        <v>1075</v>
      </c>
      <c r="F360" s="283" t="s">
        <v>1089</v>
      </c>
      <c r="G360" s="283">
        <v>2</v>
      </c>
      <c r="H360" s="283">
        <v>0</v>
      </c>
      <c r="I360" s="283">
        <v>0</v>
      </c>
      <c r="J360" s="284">
        <v>0</v>
      </c>
    </row>
    <row r="361" spans="3:10" x14ac:dyDescent="0.25">
      <c r="C361" s="300" t="s">
        <v>1061</v>
      </c>
      <c r="D361" s="283" t="s">
        <v>1077</v>
      </c>
      <c r="E361" s="283" t="s">
        <v>1075</v>
      </c>
      <c r="F361" s="283" t="s">
        <v>1075</v>
      </c>
      <c r="G361" s="283">
        <v>3</v>
      </c>
      <c r="H361" s="283">
        <v>0</v>
      </c>
      <c r="I361" s="283">
        <v>0</v>
      </c>
      <c r="J361" s="284">
        <v>0</v>
      </c>
    </row>
    <row r="362" spans="3:10" x14ac:dyDescent="0.25">
      <c r="C362" s="300" t="s">
        <v>1068</v>
      </c>
      <c r="D362" s="283" t="s">
        <v>1079</v>
      </c>
      <c r="E362" s="283" t="s">
        <v>1075</v>
      </c>
      <c r="F362" s="283" t="s">
        <v>1089</v>
      </c>
      <c r="G362" s="283">
        <v>2</v>
      </c>
      <c r="H362" s="283">
        <v>0</v>
      </c>
      <c r="I362" s="283">
        <v>0</v>
      </c>
      <c r="J362" s="284">
        <v>0</v>
      </c>
    </row>
    <row r="363" spans="3:10" x14ac:dyDescent="0.25">
      <c r="C363" s="300" t="s">
        <v>1062</v>
      </c>
      <c r="D363" s="283" t="s">
        <v>1087</v>
      </c>
      <c r="E363" s="283" t="s">
        <v>1084</v>
      </c>
      <c r="F363" s="283" t="s">
        <v>524</v>
      </c>
      <c r="G363" s="283">
        <v>1</v>
      </c>
      <c r="H363" s="283">
        <v>0</v>
      </c>
      <c r="I363" s="283">
        <v>0</v>
      </c>
      <c r="J363" s="284">
        <v>0</v>
      </c>
    </row>
    <row r="364" spans="3:10" x14ac:dyDescent="0.25">
      <c r="C364" s="300" t="s">
        <v>1062</v>
      </c>
      <c r="D364" s="283" t="s">
        <v>1079</v>
      </c>
      <c r="E364" s="283" t="s">
        <v>1086</v>
      </c>
      <c r="F364" s="283" t="s">
        <v>1089</v>
      </c>
      <c r="G364" s="283">
        <v>2</v>
      </c>
      <c r="H364" s="283">
        <v>0</v>
      </c>
      <c r="I364" s="283">
        <v>0</v>
      </c>
      <c r="J364" s="284">
        <v>0</v>
      </c>
    </row>
    <row r="365" spans="3:10" x14ac:dyDescent="0.25">
      <c r="C365" s="300" t="s">
        <v>1060</v>
      </c>
      <c r="D365" s="283" t="s">
        <v>1079</v>
      </c>
      <c r="E365" s="283" t="s">
        <v>1075</v>
      </c>
      <c r="F365" s="283" t="s">
        <v>1075</v>
      </c>
      <c r="G365" s="283">
        <v>2</v>
      </c>
      <c r="H365" s="283">
        <v>0</v>
      </c>
      <c r="I365" s="283">
        <v>1</v>
      </c>
      <c r="J365" s="284">
        <v>1</v>
      </c>
    </row>
    <row r="366" spans="3:10" x14ac:dyDescent="0.25">
      <c r="C366" s="300" t="s">
        <v>1066</v>
      </c>
      <c r="D366" s="283" t="s">
        <v>1087</v>
      </c>
      <c r="E366" s="283" t="s">
        <v>1075</v>
      </c>
      <c r="F366" s="283" t="s">
        <v>524</v>
      </c>
      <c r="G366" s="283">
        <v>1</v>
      </c>
      <c r="H366" s="283">
        <v>0</v>
      </c>
      <c r="I366" s="283">
        <v>0</v>
      </c>
      <c r="J366" s="284">
        <v>0</v>
      </c>
    </row>
    <row r="367" spans="3:10" x14ac:dyDescent="0.25">
      <c r="C367" s="300" t="s">
        <v>1061</v>
      </c>
      <c r="D367" s="283" t="s">
        <v>1077</v>
      </c>
      <c r="E367" s="283" t="s">
        <v>1081</v>
      </c>
      <c r="F367" s="283" t="s">
        <v>1078</v>
      </c>
      <c r="G367" s="283">
        <v>2</v>
      </c>
      <c r="H367" s="283">
        <v>0</v>
      </c>
      <c r="I367" s="283">
        <v>0</v>
      </c>
      <c r="J367" s="284">
        <v>1</v>
      </c>
    </row>
    <row r="368" spans="3:10" x14ac:dyDescent="0.25">
      <c r="C368" s="300" t="s">
        <v>1064</v>
      </c>
      <c r="D368" s="283" t="s">
        <v>1077</v>
      </c>
      <c r="E368" s="283" t="s">
        <v>1084</v>
      </c>
      <c r="F368" s="283" t="s">
        <v>1075</v>
      </c>
      <c r="G368" s="283">
        <v>3</v>
      </c>
      <c r="H368" s="283">
        <v>0</v>
      </c>
      <c r="I368" s="283">
        <v>0</v>
      </c>
      <c r="J368" s="284">
        <v>0</v>
      </c>
    </row>
    <row r="369" spans="3:10" x14ac:dyDescent="0.25">
      <c r="C369" s="300" t="s">
        <v>1063</v>
      </c>
      <c r="D369" s="283" t="s">
        <v>1079</v>
      </c>
      <c r="E369" s="283" t="s">
        <v>1089</v>
      </c>
      <c r="F369" s="283" t="s">
        <v>1078</v>
      </c>
      <c r="G369" s="283">
        <v>2</v>
      </c>
      <c r="H369" s="283">
        <v>0</v>
      </c>
      <c r="I369" s="283">
        <v>0</v>
      </c>
      <c r="J369" s="284">
        <v>0</v>
      </c>
    </row>
    <row r="370" spans="3:10" x14ac:dyDescent="0.25">
      <c r="C370" s="300" t="s">
        <v>1061</v>
      </c>
      <c r="D370" s="283" t="s">
        <v>1077</v>
      </c>
      <c r="E370" s="283" t="s">
        <v>1089</v>
      </c>
      <c r="F370" s="283" t="s">
        <v>1075</v>
      </c>
      <c r="G370" s="283">
        <v>2</v>
      </c>
      <c r="H370" s="283">
        <v>0</v>
      </c>
      <c r="I370" s="283">
        <v>0</v>
      </c>
      <c r="J370" s="284">
        <v>0</v>
      </c>
    </row>
    <row r="371" spans="3:10" x14ac:dyDescent="0.25">
      <c r="C371" s="300" t="s">
        <v>1060</v>
      </c>
      <c r="D371" s="283" t="s">
        <v>1077</v>
      </c>
      <c r="E371" s="283" t="s">
        <v>1075</v>
      </c>
      <c r="F371" s="283" t="s">
        <v>1075</v>
      </c>
      <c r="G371" s="283">
        <v>3</v>
      </c>
      <c r="H371" s="283">
        <v>0</v>
      </c>
      <c r="I371" s="283">
        <v>1</v>
      </c>
      <c r="J371" s="284">
        <v>0</v>
      </c>
    </row>
    <row r="372" spans="3:10" x14ac:dyDescent="0.25">
      <c r="C372" s="300" t="s">
        <v>1061</v>
      </c>
      <c r="D372" s="283" t="s">
        <v>1079</v>
      </c>
      <c r="E372" s="283" t="s">
        <v>1089</v>
      </c>
      <c r="F372" s="283" t="s">
        <v>1078</v>
      </c>
      <c r="G372" s="283">
        <v>2</v>
      </c>
      <c r="H372" s="283">
        <v>0</v>
      </c>
      <c r="I372" s="283">
        <v>0</v>
      </c>
      <c r="J372" s="284">
        <v>0</v>
      </c>
    </row>
    <row r="373" spans="3:10" x14ac:dyDescent="0.25">
      <c r="C373" s="300" t="s">
        <v>1064</v>
      </c>
      <c r="D373" s="283" t="s">
        <v>1074</v>
      </c>
      <c r="E373" s="283" t="s">
        <v>1075</v>
      </c>
      <c r="F373" s="283" t="s">
        <v>1076</v>
      </c>
      <c r="G373" s="283">
        <v>2</v>
      </c>
      <c r="H373" s="283">
        <v>0</v>
      </c>
      <c r="I373" s="283">
        <v>0</v>
      </c>
      <c r="J373" s="284">
        <v>0</v>
      </c>
    </row>
    <row r="374" spans="3:10" x14ac:dyDescent="0.25">
      <c r="C374" s="300" t="s">
        <v>1061</v>
      </c>
      <c r="D374" s="283" t="s">
        <v>1077</v>
      </c>
      <c r="E374" s="283" t="s">
        <v>1089</v>
      </c>
      <c r="F374" s="283" t="s">
        <v>1076</v>
      </c>
      <c r="G374" s="283">
        <v>2</v>
      </c>
      <c r="H374" s="283">
        <v>0</v>
      </c>
      <c r="I374" s="283">
        <v>0</v>
      </c>
      <c r="J374" s="284">
        <v>0</v>
      </c>
    </row>
    <row r="375" spans="3:10" x14ac:dyDescent="0.25">
      <c r="C375" s="300" t="s">
        <v>1060</v>
      </c>
      <c r="D375" s="283" t="s">
        <v>1074</v>
      </c>
      <c r="E375" s="283" t="s">
        <v>1084</v>
      </c>
      <c r="F375" s="283" t="s">
        <v>1089</v>
      </c>
      <c r="G375" s="283">
        <v>2</v>
      </c>
      <c r="H375" s="283">
        <v>0</v>
      </c>
      <c r="I375" s="283">
        <v>0</v>
      </c>
      <c r="J375" s="284">
        <v>0</v>
      </c>
    </row>
    <row r="376" spans="3:10" x14ac:dyDescent="0.25">
      <c r="C376" s="300" t="s">
        <v>1060</v>
      </c>
      <c r="D376" s="283" t="s">
        <v>1079</v>
      </c>
      <c r="E376" s="283" t="s">
        <v>1075</v>
      </c>
      <c r="F376" s="283" t="s">
        <v>1076</v>
      </c>
      <c r="G376" s="283">
        <v>2</v>
      </c>
      <c r="H376" s="283">
        <v>0</v>
      </c>
      <c r="I376" s="283">
        <v>0</v>
      </c>
      <c r="J376" s="284">
        <v>1</v>
      </c>
    </row>
    <row r="377" spans="3:10" x14ac:dyDescent="0.25">
      <c r="C377" s="300" t="s">
        <v>1061</v>
      </c>
      <c r="D377" s="283" t="s">
        <v>1074</v>
      </c>
      <c r="E377" s="283" t="s">
        <v>1075</v>
      </c>
      <c r="F377" s="283" t="s">
        <v>1075</v>
      </c>
      <c r="G377" s="283">
        <v>2</v>
      </c>
      <c r="H377" s="283">
        <v>0</v>
      </c>
      <c r="I377" s="283">
        <v>1</v>
      </c>
      <c r="J377" s="284">
        <v>1</v>
      </c>
    </row>
    <row r="378" spans="3:10" x14ac:dyDescent="0.25">
      <c r="C378" s="300" t="s">
        <v>1063</v>
      </c>
      <c r="D378" s="283" t="s">
        <v>1079</v>
      </c>
      <c r="E378" s="283" t="s">
        <v>1086</v>
      </c>
      <c r="F378" s="283" t="s">
        <v>1075</v>
      </c>
      <c r="G378" s="283">
        <v>2</v>
      </c>
      <c r="H378" s="283">
        <v>0</v>
      </c>
      <c r="I378" s="283">
        <v>0</v>
      </c>
      <c r="J378" s="284">
        <v>0</v>
      </c>
    </row>
    <row r="379" spans="3:10" x14ac:dyDescent="0.25">
      <c r="C379" s="300" t="s">
        <v>1068</v>
      </c>
      <c r="D379" s="283" t="s">
        <v>1082</v>
      </c>
      <c r="E379" s="283" t="s">
        <v>1075</v>
      </c>
      <c r="F379" s="283" t="s">
        <v>1089</v>
      </c>
      <c r="G379" s="283">
        <v>2</v>
      </c>
      <c r="H379" s="283">
        <v>0</v>
      </c>
      <c r="I379" s="283">
        <v>0</v>
      </c>
      <c r="J379" s="284">
        <v>2</v>
      </c>
    </row>
    <row r="380" spans="3:10" x14ac:dyDescent="0.25">
      <c r="C380" s="300" t="s">
        <v>1066</v>
      </c>
      <c r="D380" s="283" t="s">
        <v>1074</v>
      </c>
      <c r="E380" s="283" t="s">
        <v>1089</v>
      </c>
      <c r="F380" s="283" t="s">
        <v>1088</v>
      </c>
      <c r="G380" s="283">
        <v>2</v>
      </c>
      <c r="H380" s="283">
        <v>0</v>
      </c>
      <c r="I380" s="283">
        <v>1</v>
      </c>
      <c r="J380" s="284">
        <v>0</v>
      </c>
    </row>
    <row r="381" spans="3:10" x14ac:dyDescent="0.25">
      <c r="C381" s="300" t="s">
        <v>1065</v>
      </c>
      <c r="D381" s="283" t="s">
        <v>1074</v>
      </c>
      <c r="E381" s="283" t="s">
        <v>1075</v>
      </c>
      <c r="F381" s="283" t="s">
        <v>1099</v>
      </c>
      <c r="G381" s="283">
        <v>2</v>
      </c>
      <c r="H381" s="283">
        <v>0</v>
      </c>
      <c r="I381" s="283">
        <v>0</v>
      </c>
      <c r="J381" s="284">
        <v>1</v>
      </c>
    </row>
    <row r="382" spans="3:10" x14ac:dyDescent="0.25">
      <c r="C382" s="300" t="s">
        <v>1060</v>
      </c>
      <c r="D382" s="283" t="s">
        <v>1079</v>
      </c>
      <c r="E382" s="283" t="s">
        <v>1076</v>
      </c>
      <c r="F382" s="283" t="s">
        <v>1075</v>
      </c>
      <c r="G382" s="283">
        <v>3</v>
      </c>
      <c r="H382" s="283">
        <v>0</v>
      </c>
      <c r="I382" s="283">
        <v>0</v>
      </c>
      <c r="J382" s="284">
        <v>0</v>
      </c>
    </row>
    <row r="383" spans="3:10" x14ac:dyDescent="0.25">
      <c r="C383" s="300" t="s">
        <v>1061</v>
      </c>
      <c r="D383" s="283" t="s">
        <v>1079</v>
      </c>
      <c r="E383" s="283" t="s">
        <v>1081</v>
      </c>
      <c r="F383" s="283" t="s">
        <v>1075</v>
      </c>
      <c r="G383" s="283">
        <v>2</v>
      </c>
      <c r="H383" s="283">
        <v>0</v>
      </c>
      <c r="I383" s="283">
        <v>0</v>
      </c>
      <c r="J383" s="284">
        <v>0</v>
      </c>
    </row>
    <row r="384" spans="3:10" x14ac:dyDescent="0.25">
      <c r="C384" s="300" t="s">
        <v>1060</v>
      </c>
      <c r="D384" s="283" t="s">
        <v>1077</v>
      </c>
      <c r="E384" s="283" t="s">
        <v>1075</v>
      </c>
      <c r="F384" s="283" t="s">
        <v>1076</v>
      </c>
      <c r="G384" s="283">
        <v>2</v>
      </c>
      <c r="H384" s="283">
        <v>0</v>
      </c>
      <c r="I384" s="283">
        <v>0</v>
      </c>
      <c r="J384" s="284">
        <v>0</v>
      </c>
    </row>
    <row r="385" spans="3:10" x14ac:dyDescent="0.25">
      <c r="C385" s="300" t="s">
        <v>1064</v>
      </c>
      <c r="D385" s="283" t="s">
        <v>1079</v>
      </c>
      <c r="E385" s="283" t="s">
        <v>1078</v>
      </c>
      <c r="F385" s="283" t="s">
        <v>1086</v>
      </c>
      <c r="G385" s="283">
        <v>2</v>
      </c>
      <c r="H385" s="283">
        <v>0</v>
      </c>
      <c r="I385" s="283">
        <v>0</v>
      </c>
      <c r="J385" s="284">
        <v>0</v>
      </c>
    </row>
    <row r="386" spans="3:10" x14ac:dyDescent="0.25">
      <c r="C386" s="300" t="s">
        <v>1065</v>
      </c>
      <c r="D386" s="283" t="s">
        <v>1077</v>
      </c>
      <c r="E386" s="283" t="s">
        <v>1075</v>
      </c>
      <c r="F386" s="283" t="s">
        <v>1083</v>
      </c>
      <c r="G386" s="283">
        <v>2</v>
      </c>
      <c r="H386" s="283">
        <v>0</v>
      </c>
      <c r="I386" s="283">
        <v>0</v>
      </c>
      <c r="J386" s="284">
        <v>0</v>
      </c>
    </row>
    <row r="387" spans="3:10" x14ac:dyDescent="0.25">
      <c r="C387" s="300" t="s">
        <v>1062</v>
      </c>
      <c r="D387" s="283" t="s">
        <v>1077</v>
      </c>
      <c r="E387" s="283" t="s">
        <v>1075</v>
      </c>
      <c r="F387" s="283" t="s">
        <v>1078</v>
      </c>
      <c r="G387" s="283">
        <v>2</v>
      </c>
      <c r="H387" s="283">
        <v>0</v>
      </c>
      <c r="I387" s="283">
        <v>0</v>
      </c>
      <c r="J387" s="284">
        <v>0</v>
      </c>
    </row>
    <row r="388" spans="3:10" x14ac:dyDescent="0.25">
      <c r="C388" s="300" t="s">
        <v>1057</v>
      </c>
      <c r="D388" s="283" t="s">
        <v>1087</v>
      </c>
      <c r="E388" s="283" t="s">
        <v>1094</v>
      </c>
      <c r="F388" s="283" t="s">
        <v>524</v>
      </c>
      <c r="G388" s="283">
        <v>1</v>
      </c>
      <c r="H388" s="283">
        <v>0</v>
      </c>
      <c r="I388" s="283">
        <v>0</v>
      </c>
      <c r="J388" s="284">
        <v>0</v>
      </c>
    </row>
    <row r="389" spans="3:10" x14ac:dyDescent="0.25">
      <c r="C389" s="300" t="s">
        <v>1064</v>
      </c>
      <c r="D389" s="283" t="s">
        <v>1077</v>
      </c>
      <c r="E389" s="283" t="s">
        <v>1086</v>
      </c>
      <c r="F389" s="283" t="s">
        <v>1075</v>
      </c>
      <c r="G389" s="283">
        <v>2</v>
      </c>
      <c r="H389" s="283">
        <v>0</v>
      </c>
      <c r="I389" s="283">
        <v>0</v>
      </c>
      <c r="J389" s="284">
        <v>0</v>
      </c>
    </row>
    <row r="390" spans="3:10" x14ac:dyDescent="0.25">
      <c r="C390" s="300" t="s">
        <v>1060</v>
      </c>
      <c r="D390" s="283" t="s">
        <v>1074</v>
      </c>
      <c r="E390" s="283" t="s">
        <v>1075</v>
      </c>
      <c r="F390" s="283" t="s">
        <v>1075</v>
      </c>
      <c r="G390" s="283">
        <v>2</v>
      </c>
      <c r="H390" s="283">
        <v>0</v>
      </c>
      <c r="I390" s="283">
        <v>0</v>
      </c>
      <c r="J390" s="284">
        <v>0</v>
      </c>
    </row>
    <row r="391" spans="3:10" x14ac:dyDescent="0.25">
      <c r="C391" s="300" t="s">
        <v>1067</v>
      </c>
      <c r="D391" s="283" t="s">
        <v>1077</v>
      </c>
      <c r="E391" s="283" t="s">
        <v>1075</v>
      </c>
      <c r="F391" s="283" t="s">
        <v>1078</v>
      </c>
      <c r="G391" s="283">
        <v>2</v>
      </c>
      <c r="H391" s="283">
        <v>0</v>
      </c>
      <c r="I391" s="283">
        <v>0</v>
      </c>
      <c r="J391" s="284">
        <v>0</v>
      </c>
    </row>
    <row r="392" spans="3:10" x14ac:dyDescent="0.25">
      <c r="C392" s="300" t="s">
        <v>1067</v>
      </c>
      <c r="D392" s="283" t="s">
        <v>1043</v>
      </c>
      <c r="E392" s="283" t="s">
        <v>1089</v>
      </c>
      <c r="F392" s="283" t="s">
        <v>1092</v>
      </c>
      <c r="G392" s="283">
        <v>2</v>
      </c>
      <c r="H392" s="283">
        <v>0</v>
      </c>
      <c r="I392" s="283">
        <v>0</v>
      </c>
      <c r="J392" s="284">
        <v>1</v>
      </c>
    </row>
    <row r="393" spans="3:10" x14ac:dyDescent="0.25">
      <c r="C393" s="300" t="s">
        <v>1064</v>
      </c>
      <c r="D393" s="283" t="s">
        <v>1079</v>
      </c>
      <c r="E393" s="283" t="s">
        <v>1075</v>
      </c>
      <c r="F393" s="283" t="s">
        <v>1089</v>
      </c>
      <c r="G393" s="283">
        <v>2</v>
      </c>
      <c r="H393" s="283">
        <v>0</v>
      </c>
      <c r="I393" s="283">
        <v>0</v>
      </c>
      <c r="J393" s="284">
        <v>0</v>
      </c>
    </row>
    <row r="394" spans="3:10" x14ac:dyDescent="0.25">
      <c r="C394" s="300" t="s">
        <v>1068</v>
      </c>
      <c r="D394" s="283" t="s">
        <v>1090</v>
      </c>
      <c r="E394" s="283" t="s">
        <v>1093</v>
      </c>
      <c r="F394" s="283" t="s">
        <v>524</v>
      </c>
      <c r="G394" s="283">
        <v>1</v>
      </c>
      <c r="H394" s="283">
        <v>0</v>
      </c>
      <c r="I394" s="283">
        <v>0</v>
      </c>
      <c r="J394" s="284">
        <v>1</v>
      </c>
    </row>
    <row r="395" spans="3:10" x14ac:dyDescent="0.25">
      <c r="C395" s="300" t="s">
        <v>1066</v>
      </c>
      <c r="D395" s="283" t="s">
        <v>1043</v>
      </c>
      <c r="E395" s="283" t="s">
        <v>1076</v>
      </c>
      <c r="F395" s="283" t="s">
        <v>1092</v>
      </c>
      <c r="G395" s="283">
        <v>2</v>
      </c>
      <c r="H395" s="283">
        <v>0</v>
      </c>
      <c r="I395" s="283">
        <v>1</v>
      </c>
      <c r="J395" s="284">
        <v>0</v>
      </c>
    </row>
    <row r="396" spans="3:10" x14ac:dyDescent="0.25">
      <c r="C396" s="300" t="s">
        <v>1065</v>
      </c>
      <c r="D396" s="283" t="s">
        <v>1079</v>
      </c>
      <c r="E396" s="283" t="s">
        <v>1075</v>
      </c>
      <c r="F396" s="283" t="s">
        <v>1075</v>
      </c>
      <c r="G396" s="283">
        <v>2</v>
      </c>
      <c r="H396" s="283">
        <v>0</v>
      </c>
      <c r="I396" s="283">
        <v>0</v>
      </c>
      <c r="J396" s="284">
        <v>1</v>
      </c>
    </row>
    <row r="397" spans="3:10" x14ac:dyDescent="0.25">
      <c r="C397" s="300" t="s">
        <v>1060</v>
      </c>
      <c r="D397" s="283" t="s">
        <v>1077</v>
      </c>
      <c r="E397" s="283" t="s">
        <v>1075</v>
      </c>
      <c r="F397" s="283" t="s">
        <v>1083</v>
      </c>
      <c r="G397" s="283">
        <v>2</v>
      </c>
      <c r="H397" s="283">
        <v>0</v>
      </c>
      <c r="I397" s="283">
        <v>0</v>
      </c>
      <c r="J397" s="284">
        <v>1</v>
      </c>
    </row>
    <row r="398" spans="3:10" x14ac:dyDescent="0.25">
      <c r="C398" s="300" t="s">
        <v>1066</v>
      </c>
      <c r="D398" s="283" t="s">
        <v>1079</v>
      </c>
      <c r="E398" s="283" t="s">
        <v>1075</v>
      </c>
      <c r="F398" s="283" t="s">
        <v>1075</v>
      </c>
      <c r="G398" s="283">
        <v>2</v>
      </c>
      <c r="H398" s="283">
        <v>0</v>
      </c>
      <c r="I398" s="283">
        <v>0</v>
      </c>
      <c r="J398" s="284">
        <v>1</v>
      </c>
    </row>
    <row r="399" spans="3:10" x14ac:dyDescent="0.25">
      <c r="C399" s="300" t="s">
        <v>1065</v>
      </c>
      <c r="D399" s="283" t="s">
        <v>1079</v>
      </c>
      <c r="E399" s="283" t="s">
        <v>1076</v>
      </c>
      <c r="F399" s="283" t="s">
        <v>1078</v>
      </c>
      <c r="G399" s="283">
        <v>2</v>
      </c>
      <c r="H399" s="283">
        <v>0</v>
      </c>
      <c r="I399" s="283">
        <v>0</v>
      </c>
      <c r="J399" s="284">
        <v>1</v>
      </c>
    </row>
    <row r="400" spans="3:10" x14ac:dyDescent="0.25">
      <c r="C400" s="300" t="s">
        <v>1063</v>
      </c>
      <c r="D400" s="283" t="s">
        <v>1079</v>
      </c>
      <c r="E400" s="283" t="s">
        <v>1075</v>
      </c>
      <c r="F400" s="283" t="s">
        <v>1089</v>
      </c>
      <c r="G400" s="283">
        <v>2</v>
      </c>
      <c r="H400" s="283">
        <v>0</v>
      </c>
      <c r="I400" s="283">
        <v>0</v>
      </c>
      <c r="J400" s="284">
        <v>2</v>
      </c>
    </row>
    <row r="401" spans="3:10" x14ac:dyDescent="0.25">
      <c r="C401" s="300" t="s">
        <v>1066</v>
      </c>
      <c r="D401" s="283" t="s">
        <v>1090</v>
      </c>
      <c r="E401" s="283" t="s">
        <v>1076</v>
      </c>
      <c r="F401" s="283" t="s">
        <v>524</v>
      </c>
      <c r="G401" s="283">
        <v>1</v>
      </c>
      <c r="H401" s="283">
        <v>0</v>
      </c>
      <c r="I401" s="283">
        <v>0</v>
      </c>
      <c r="J401" s="284">
        <v>0</v>
      </c>
    </row>
    <row r="402" spans="3:10" x14ac:dyDescent="0.25">
      <c r="C402" s="300" t="s">
        <v>1066</v>
      </c>
      <c r="D402" s="283" t="s">
        <v>1079</v>
      </c>
      <c r="E402" s="283" t="s">
        <v>1078</v>
      </c>
      <c r="F402" s="283" t="s">
        <v>1075</v>
      </c>
      <c r="G402" s="283">
        <v>3</v>
      </c>
      <c r="H402" s="283">
        <v>0</v>
      </c>
      <c r="I402" s="283">
        <v>0</v>
      </c>
      <c r="J402" s="284">
        <v>0</v>
      </c>
    </row>
    <row r="403" spans="3:10" x14ac:dyDescent="0.25">
      <c r="C403" s="300" t="s">
        <v>1061</v>
      </c>
      <c r="D403" s="283" t="s">
        <v>1077</v>
      </c>
      <c r="E403" s="283" t="s">
        <v>1076</v>
      </c>
      <c r="F403" s="283" t="s">
        <v>1075</v>
      </c>
      <c r="G403" s="283">
        <v>2</v>
      </c>
      <c r="H403" s="283">
        <v>0</v>
      </c>
      <c r="I403" s="283">
        <v>0</v>
      </c>
      <c r="J403" s="284">
        <v>0</v>
      </c>
    </row>
    <row r="404" spans="3:10" x14ac:dyDescent="0.25">
      <c r="C404" s="300" t="s">
        <v>1061</v>
      </c>
      <c r="D404" s="283" t="s">
        <v>1077</v>
      </c>
      <c r="E404" s="283" t="s">
        <v>1075</v>
      </c>
      <c r="F404" s="283" t="s">
        <v>1089</v>
      </c>
      <c r="G404" s="283">
        <v>3</v>
      </c>
      <c r="H404" s="283">
        <v>0</v>
      </c>
      <c r="I404" s="283">
        <v>0</v>
      </c>
      <c r="J404" s="284">
        <v>0</v>
      </c>
    </row>
    <row r="405" spans="3:10" x14ac:dyDescent="0.25">
      <c r="C405" s="300" t="s">
        <v>1062</v>
      </c>
      <c r="D405" s="283" t="s">
        <v>1087</v>
      </c>
      <c r="E405" s="283" t="s">
        <v>1075</v>
      </c>
      <c r="F405" s="283" t="s">
        <v>524</v>
      </c>
      <c r="G405" s="283">
        <v>1</v>
      </c>
      <c r="H405" s="283">
        <v>0</v>
      </c>
      <c r="I405" s="283">
        <v>0</v>
      </c>
      <c r="J405" s="284">
        <v>0</v>
      </c>
    </row>
    <row r="406" spans="3:10" x14ac:dyDescent="0.25">
      <c r="C406" s="300" t="s">
        <v>1066</v>
      </c>
      <c r="D406" s="283" t="s">
        <v>1074</v>
      </c>
      <c r="E406" s="283" t="s">
        <v>1075</v>
      </c>
      <c r="F406" s="283" t="s">
        <v>1075</v>
      </c>
      <c r="G406" s="283">
        <v>2</v>
      </c>
      <c r="H406" s="283">
        <v>0</v>
      </c>
      <c r="I406" s="283">
        <v>0</v>
      </c>
      <c r="J406" s="284">
        <v>0</v>
      </c>
    </row>
    <row r="407" spans="3:10" x14ac:dyDescent="0.25">
      <c r="C407" s="300" t="s">
        <v>1066</v>
      </c>
      <c r="D407" s="283" t="s">
        <v>1077</v>
      </c>
      <c r="E407" s="283" t="s">
        <v>1076</v>
      </c>
      <c r="F407" s="283" t="s">
        <v>1083</v>
      </c>
      <c r="G407" s="283">
        <v>2</v>
      </c>
      <c r="H407" s="283">
        <v>0</v>
      </c>
      <c r="I407" s="283">
        <v>0</v>
      </c>
      <c r="J407" s="284">
        <v>0</v>
      </c>
    </row>
    <row r="408" spans="3:10" x14ac:dyDescent="0.25">
      <c r="C408" s="300" t="s">
        <v>1058</v>
      </c>
      <c r="D408" s="283" t="s">
        <v>1087</v>
      </c>
      <c r="E408" s="283" t="s">
        <v>1076</v>
      </c>
      <c r="F408" s="283" t="s">
        <v>524</v>
      </c>
      <c r="G408" s="283">
        <v>1</v>
      </c>
      <c r="H408" s="283">
        <v>0</v>
      </c>
      <c r="I408" s="283">
        <v>0</v>
      </c>
      <c r="J408" s="284">
        <v>0</v>
      </c>
    </row>
    <row r="409" spans="3:10" x14ac:dyDescent="0.25">
      <c r="C409" s="300" t="s">
        <v>1066</v>
      </c>
      <c r="D409" s="283" t="s">
        <v>1079</v>
      </c>
      <c r="E409" s="283" t="s">
        <v>1078</v>
      </c>
      <c r="F409" s="283" t="s">
        <v>1089</v>
      </c>
      <c r="G409" s="283">
        <v>2</v>
      </c>
      <c r="H409" s="283">
        <v>0</v>
      </c>
      <c r="I409" s="283">
        <v>0</v>
      </c>
      <c r="J409" s="284">
        <v>0</v>
      </c>
    </row>
    <row r="410" spans="3:10" x14ac:dyDescent="0.25">
      <c r="C410" s="300" t="s">
        <v>1063</v>
      </c>
      <c r="D410" s="283" t="s">
        <v>1074</v>
      </c>
      <c r="E410" s="283" t="s">
        <v>1099</v>
      </c>
      <c r="F410" s="283" t="s">
        <v>1075</v>
      </c>
      <c r="G410" s="283">
        <v>3</v>
      </c>
      <c r="H410" s="283">
        <v>0</v>
      </c>
      <c r="I410" s="283">
        <v>0</v>
      </c>
      <c r="J410" s="284">
        <v>0</v>
      </c>
    </row>
    <row r="411" spans="3:10" x14ac:dyDescent="0.25">
      <c r="C411" s="300" t="s">
        <v>1067</v>
      </c>
      <c r="D411" s="283" t="s">
        <v>1087</v>
      </c>
      <c r="E411" s="283" t="s">
        <v>1075</v>
      </c>
      <c r="F411" s="283" t="s">
        <v>524</v>
      </c>
      <c r="G411" s="283">
        <v>1</v>
      </c>
      <c r="H411" s="283">
        <v>0</v>
      </c>
      <c r="I411" s="283">
        <v>0</v>
      </c>
      <c r="J411" s="284">
        <v>0</v>
      </c>
    </row>
    <row r="412" spans="3:10" x14ac:dyDescent="0.25">
      <c r="C412" s="300" t="s">
        <v>1064</v>
      </c>
      <c r="D412" s="283" t="s">
        <v>1077</v>
      </c>
      <c r="E412" s="283" t="s">
        <v>1075</v>
      </c>
      <c r="F412" s="283" t="s">
        <v>1093</v>
      </c>
      <c r="G412" s="283">
        <v>2</v>
      </c>
      <c r="H412" s="283">
        <v>0</v>
      </c>
      <c r="I412" s="283">
        <v>0</v>
      </c>
      <c r="J412" s="284">
        <v>1</v>
      </c>
    </row>
    <row r="413" spans="3:10" x14ac:dyDescent="0.25">
      <c r="C413" s="300" t="s">
        <v>1061</v>
      </c>
      <c r="D413" s="283" t="s">
        <v>1079</v>
      </c>
      <c r="E413" s="283" t="s">
        <v>1089</v>
      </c>
      <c r="F413" s="283" t="s">
        <v>1075</v>
      </c>
      <c r="G413" s="283">
        <v>2</v>
      </c>
      <c r="H413" s="283">
        <v>0</v>
      </c>
      <c r="I413" s="283">
        <v>0</v>
      </c>
      <c r="J413" s="284">
        <v>0</v>
      </c>
    </row>
    <row r="414" spans="3:10" x14ac:dyDescent="0.25">
      <c r="C414" s="300" t="s">
        <v>1065</v>
      </c>
      <c r="D414" s="283" t="s">
        <v>1074</v>
      </c>
      <c r="E414" s="283" t="s">
        <v>1075</v>
      </c>
      <c r="F414" s="283" t="s">
        <v>1078</v>
      </c>
      <c r="G414" s="283">
        <v>2</v>
      </c>
      <c r="H414" s="283">
        <v>0</v>
      </c>
      <c r="I414" s="283">
        <v>0</v>
      </c>
      <c r="J414" s="284">
        <v>1</v>
      </c>
    </row>
    <row r="415" spans="3:10" x14ac:dyDescent="0.25">
      <c r="C415" s="300" t="s">
        <v>1067</v>
      </c>
      <c r="D415" s="283" t="s">
        <v>1077</v>
      </c>
      <c r="E415" s="283" t="s">
        <v>1075</v>
      </c>
      <c r="F415" s="283" t="s">
        <v>1075</v>
      </c>
      <c r="G415" s="283">
        <v>2</v>
      </c>
      <c r="H415" s="283">
        <v>0</v>
      </c>
      <c r="I415" s="283">
        <v>0</v>
      </c>
      <c r="J415" s="284">
        <v>0</v>
      </c>
    </row>
    <row r="416" spans="3:10" x14ac:dyDescent="0.25">
      <c r="C416" s="300" t="s">
        <v>1064</v>
      </c>
      <c r="D416" s="283" t="s">
        <v>1087</v>
      </c>
      <c r="E416" s="283" t="s">
        <v>1094</v>
      </c>
      <c r="F416" s="283" t="s">
        <v>524</v>
      </c>
      <c r="G416" s="283">
        <v>1</v>
      </c>
      <c r="H416" s="283">
        <v>0</v>
      </c>
      <c r="I416" s="283">
        <v>0</v>
      </c>
      <c r="J416" s="284">
        <v>0</v>
      </c>
    </row>
    <row r="417" spans="3:10" x14ac:dyDescent="0.25">
      <c r="C417" s="300" t="s">
        <v>1067</v>
      </c>
      <c r="D417" s="283" t="s">
        <v>1079</v>
      </c>
      <c r="E417" s="283" t="s">
        <v>1075</v>
      </c>
      <c r="F417" s="283" t="s">
        <v>1089</v>
      </c>
      <c r="G417" s="283">
        <v>2</v>
      </c>
      <c r="H417" s="283">
        <v>0</v>
      </c>
      <c r="I417" s="283">
        <v>0</v>
      </c>
      <c r="J417" s="284">
        <v>0</v>
      </c>
    </row>
    <row r="418" spans="3:10" x14ac:dyDescent="0.25">
      <c r="C418" s="300" t="s">
        <v>1068</v>
      </c>
      <c r="D418" s="283" t="s">
        <v>1077</v>
      </c>
      <c r="E418" s="283" t="s">
        <v>1075</v>
      </c>
      <c r="F418" s="283" t="s">
        <v>1075</v>
      </c>
      <c r="G418" s="283">
        <v>3</v>
      </c>
      <c r="H418" s="283">
        <v>0</v>
      </c>
      <c r="I418" s="283">
        <v>0</v>
      </c>
      <c r="J418" s="284">
        <v>0</v>
      </c>
    </row>
    <row r="419" spans="3:10" x14ac:dyDescent="0.25">
      <c r="C419" s="300" t="s">
        <v>1068</v>
      </c>
      <c r="D419" s="283" t="s">
        <v>1079</v>
      </c>
      <c r="E419" s="283" t="s">
        <v>1089</v>
      </c>
      <c r="F419" s="283" t="s">
        <v>1075</v>
      </c>
      <c r="G419" s="283">
        <v>2</v>
      </c>
      <c r="H419" s="283">
        <v>0</v>
      </c>
      <c r="I419" s="283">
        <v>0</v>
      </c>
      <c r="J419" s="284">
        <v>0</v>
      </c>
    </row>
    <row r="420" spans="3:10" x14ac:dyDescent="0.25">
      <c r="C420" s="300" t="s">
        <v>1060</v>
      </c>
      <c r="D420" s="283" t="s">
        <v>1077</v>
      </c>
      <c r="E420" s="283" t="s">
        <v>1075</v>
      </c>
      <c r="F420" s="283" t="s">
        <v>1080</v>
      </c>
      <c r="G420" s="283">
        <v>2</v>
      </c>
      <c r="H420" s="283">
        <v>0</v>
      </c>
      <c r="I420" s="283">
        <v>0</v>
      </c>
      <c r="J420" s="284">
        <v>0</v>
      </c>
    </row>
    <row r="421" spans="3:10" x14ac:dyDescent="0.25">
      <c r="C421" s="300" t="s">
        <v>1065</v>
      </c>
      <c r="D421" s="283" t="s">
        <v>1079</v>
      </c>
      <c r="E421" s="283" t="s">
        <v>1075</v>
      </c>
      <c r="F421" s="283" t="s">
        <v>1075</v>
      </c>
      <c r="G421" s="283">
        <v>2</v>
      </c>
      <c r="H421" s="283">
        <v>0</v>
      </c>
      <c r="I421" s="283">
        <v>0</v>
      </c>
      <c r="J421" s="284">
        <v>0</v>
      </c>
    </row>
    <row r="422" spans="3:10" x14ac:dyDescent="0.25">
      <c r="C422" s="300" t="s">
        <v>1064</v>
      </c>
      <c r="D422" s="283" t="s">
        <v>1079</v>
      </c>
      <c r="E422" s="283" t="s">
        <v>1089</v>
      </c>
      <c r="F422" s="283" t="s">
        <v>1075</v>
      </c>
      <c r="G422" s="283">
        <v>2</v>
      </c>
      <c r="H422" s="283">
        <v>0</v>
      </c>
      <c r="I422" s="283">
        <v>0</v>
      </c>
      <c r="J422" s="284">
        <v>0</v>
      </c>
    </row>
    <row r="423" spans="3:10" x14ac:dyDescent="0.25">
      <c r="C423" s="300" t="s">
        <v>1060</v>
      </c>
      <c r="D423" s="283" t="s">
        <v>1074</v>
      </c>
      <c r="E423" s="283" t="s">
        <v>1089</v>
      </c>
      <c r="F423" s="283" t="s">
        <v>1075</v>
      </c>
      <c r="G423" s="283">
        <v>2</v>
      </c>
      <c r="H423" s="283">
        <v>0</v>
      </c>
      <c r="I423" s="283">
        <v>0</v>
      </c>
      <c r="J423" s="284">
        <v>0</v>
      </c>
    </row>
    <row r="424" spans="3:10" x14ac:dyDescent="0.25">
      <c r="C424" s="300" t="s">
        <v>1063</v>
      </c>
      <c r="D424" s="283" t="s">
        <v>1079</v>
      </c>
      <c r="E424" s="283" t="s">
        <v>1100</v>
      </c>
      <c r="F424" s="283" t="s">
        <v>1084</v>
      </c>
      <c r="G424" s="283">
        <v>2</v>
      </c>
      <c r="H424" s="283">
        <v>0</v>
      </c>
      <c r="I424" s="283">
        <v>0</v>
      </c>
      <c r="J424" s="284">
        <v>0</v>
      </c>
    </row>
    <row r="425" spans="3:10" x14ac:dyDescent="0.25">
      <c r="C425" s="300" t="s">
        <v>1064</v>
      </c>
      <c r="D425" s="283" t="s">
        <v>1079</v>
      </c>
      <c r="E425" s="283" t="s">
        <v>1094</v>
      </c>
      <c r="F425" s="283" t="s">
        <v>1089</v>
      </c>
      <c r="G425" s="283">
        <v>2</v>
      </c>
      <c r="H425" s="283">
        <v>0</v>
      </c>
      <c r="I425" s="283">
        <v>0</v>
      </c>
      <c r="J425" s="284">
        <v>0</v>
      </c>
    </row>
    <row r="426" spans="3:10" x14ac:dyDescent="0.25">
      <c r="C426" s="300" t="s">
        <v>1066</v>
      </c>
      <c r="D426" s="283" t="s">
        <v>1077</v>
      </c>
      <c r="E426" s="283" t="s">
        <v>1075</v>
      </c>
      <c r="F426" s="283" t="s">
        <v>1075</v>
      </c>
      <c r="G426" s="283">
        <v>2</v>
      </c>
      <c r="H426" s="283">
        <v>0</v>
      </c>
      <c r="I426" s="283">
        <v>0</v>
      </c>
      <c r="J426" s="284">
        <v>0</v>
      </c>
    </row>
    <row r="427" spans="3:10" x14ac:dyDescent="0.25">
      <c r="C427" s="300" t="s">
        <v>1061</v>
      </c>
      <c r="D427" s="283" t="s">
        <v>1074</v>
      </c>
      <c r="E427" s="283" t="s">
        <v>1075</v>
      </c>
      <c r="F427" s="283" t="s">
        <v>1075</v>
      </c>
      <c r="G427" s="283">
        <v>2</v>
      </c>
      <c r="H427" s="283">
        <v>0</v>
      </c>
      <c r="I427" s="283">
        <v>0</v>
      </c>
      <c r="J427" s="284">
        <v>0</v>
      </c>
    </row>
    <row r="428" spans="3:10" x14ac:dyDescent="0.25">
      <c r="C428" s="300" t="s">
        <v>1067</v>
      </c>
      <c r="D428" s="283" t="s">
        <v>1077</v>
      </c>
      <c r="E428" s="283" t="s">
        <v>1093</v>
      </c>
      <c r="F428" s="283" t="s">
        <v>1089</v>
      </c>
      <c r="G428" s="283">
        <v>2</v>
      </c>
      <c r="H428" s="283">
        <v>0</v>
      </c>
      <c r="I428" s="283">
        <v>0</v>
      </c>
      <c r="J428" s="284">
        <v>1</v>
      </c>
    </row>
    <row r="429" spans="3:10" x14ac:dyDescent="0.25">
      <c r="C429" s="300" t="s">
        <v>1064</v>
      </c>
      <c r="D429" s="283" t="s">
        <v>1074</v>
      </c>
      <c r="E429" s="283" t="s">
        <v>1089</v>
      </c>
      <c r="F429" s="283" t="s">
        <v>1083</v>
      </c>
      <c r="G429" s="283">
        <v>2</v>
      </c>
      <c r="H429" s="283">
        <v>0</v>
      </c>
      <c r="I429" s="283">
        <v>0</v>
      </c>
      <c r="J429" s="284">
        <v>0</v>
      </c>
    </row>
    <row r="430" spans="3:10" x14ac:dyDescent="0.25">
      <c r="C430" s="300" t="s">
        <v>1066</v>
      </c>
      <c r="D430" s="283" t="s">
        <v>1079</v>
      </c>
      <c r="E430" s="283" t="s">
        <v>1075</v>
      </c>
      <c r="F430" s="283" t="s">
        <v>1075</v>
      </c>
      <c r="G430" s="283">
        <v>2</v>
      </c>
      <c r="H430" s="283">
        <v>0</v>
      </c>
      <c r="I430" s="283">
        <v>0</v>
      </c>
      <c r="J430" s="284">
        <v>1</v>
      </c>
    </row>
    <row r="431" spans="3:10" x14ac:dyDescent="0.25">
      <c r="C431" s="300" t="s">
        <v>1059</v>
      </c>
      <c r="D431" s="283" t="s">
        <v>1079</v>
      </c>
      <c r="E431" s="283" t="s">
        <v>1089</v>
      </c>
      <c r="F431" s="283" t="s">
        <v>1075</v>
      </c>
      <c r="G431" s="283">
        <v>2</v>
      </c>
      <c r="H431" s="283">
        <v>0</v>
      </c>
      <c r="I431" s="283">
        <v>0</v>
      </c>
      <c r="J431" s="284">
        <v>1</v>
      </c>
    </row>
    <row r="432" spans="3:10" x14ac:dyDescent="0.25">
      <c r="C432" s="300" t="s">
        <v>1065</v>
      </c>
      <c r="D432" s="283" t="s">
        <v>1096</v>
      </c>
      <c r="E432" s="283" t="s">
        <v>1083</v>
      </c>
      <c r="F432" s="283" t="s">
        <v>524</v>
      </c>
      <c r="G432" s="283">
        <v>1</v>
      </c>
      <c r="H432" s="283">
        <v>0</v>
      </c>
      <c r="I432" s="283">
        <v>1</v>
      </c>
      <c r="J432" s="284">
        <v>0</v>
      </c>
    </row>
    <row r="433" spans="3:10" x14ac:dyDescent="0.25">
      <c r="C433" s="300" t="s">
        <v>1060</v>
      </c>
      <c r="D433" s="283" t="s">
        <v>1074</v>
      </c>
      <c r="E433" s="283" t="s">
        <v>1075</v>
      </c>
      <c r="F433" s="283" t="s">
        <v>1075</v>
      </c>
      <c r="G433" s="283">
        <v>2</v>
      </c>
      <c r="H433" s="283">
        <v>0</v>
      </c>
      <c r="I433" s="283">
        <v>0</v>
      </c>
      <c r="J433" s="284">
        <v>0</v>
      </c>
    </row>
    <row r="434" spans="3:10" x14ac:dyDescent="0.25">
      <c r="C434" s="300" t="s">
        <v>1060</v>
      </c>
      <c r="D434" s="283" t="s">
        <v>1074</v>
      </c>
      <c r="E434" s="283" t="s">
        <v>1044</v>
      </c>
      <c r="F434" s="283" t="s">
        <v>1089</v>
      </c>
      <c r="G434" s="283">
        <v>2</v>
      </c>
      <c r="H434" s="283">
        <v>0</v>
      </c>
      <c r="I434" s="283">
        <v>0</v>
      </c>
      <c r="J434" s="284">
        <v>1</v>
      </c>
    </row>
    <row r="435" spans="3:10" x14ac:dyDescent="0.25">
      <c r="C435" s="300" t="s">
        <v>1061</v>
      </c>
      <c r="D435" s="283" t="s">
        <v>1043</v>
      </c>
      <c r="E435" s="283" t="s">
        <v>1089</v>
      </c>
      <c r="F435" s="283" t="s">
        <v>1092</v>
      </c>
      <c r="G435" s="283">
        <v>2</v>
      </c>
      <c r="H435" s="283">
        <v>0</v>
      </c>
      <c r="I435" s="283">
        <v>0</v>
      </c>
      <c r="J435" s="284">
        <v>0</v>
      </c>
    </row>
    <row r="436" spans="3:10" x14ac:dyDescent="0.25">
      <c r="C436" s="300" t="s">
        <v>1061</v>
      </c>
      <c r="D436" s="283" t="s">
        <v>1082</v>
      </c>
      <c r="E436" s="283" t="s">
        <v>1075</v>
      </c>
      <c r="F436" s="283" t="s">
        <v>1075</v>
      </c>
      <c r="G436" s="283">
        <v>3</v>
      </c>
      <c r="H436" s="283">
        <v>0</v>
      </c>
      <c r="I436" s="283">
        <v>1</v>
      </c>
      <c r="J436" s="284">
        <v>0</v>
      </c>
    </row>
    <row r="437" spans="3:10" x14ac:dyDescent="0.25">
      <c r="C437" s="300" t="s">
        <v>1060</v>
      </c>
      <c r="D437" s="283" t="s">
        <v>1077</v>
      </c>
      <c r="E437" s="283" t="s">
        <v>1075</v>
      </c>
      <c r="F437" s="283" t="s">
        <v>1075</v>
      </c>
      <c r="G437" s="283">
        <v>3</v>
      </c>
      <c r="H437" s="283">
        <v>0</v>
      </c>
      <c r="I437" s="283">
        <v>0</v>
      </c>
      <c r="J437" s="284">
        <v>0</v>
      </c>
    </row>
    <row r="438" spans="3:10" x14ac:dyDescent="0.25">
      <c r="C438" s="300" t="s">
        <v>1060</v>
      </c>
      <c r="D438" s="283" t="s">
        <v>1077</v>
      </c>
      <c r="E438" s="283" t="s">
        <v>1080</v>
      </c>
      <c r="F438" s="283" t="s">
        <v>1089</v>
      </c>
      <c r="G438" s="283">
        <v>2</v>
      </c>
      <c r="H438" s="283">
        <v>0</v>
      </c>
      <c r="I438" s="283">
        <v>0</v>
      </c>
      <c r="J438" s="284">
        <v>0</v>
      </c>
    </row>
    <row r="439" spans="3:10" x14ac:dyDescent="0.25">
      <c r="C439" s="300" t="s">
        <v>1065</v>
      </c>
      <c r="D439" s="283" t="s">
        <v>1079</v>
      </c>
      <c r="E439" s="283" t="s">
        <v>1075</v>
      </c>
      <c r="F439" s="283" t="s">
        <v>1089</v>
      </c>
      <c r="G439" s="283">
        <v>2</v>
      </c>
      <c r="H439" s="283">
        <v>0</v>
      </c>
      <c r="I439" s="283">
        <v>0</v>
      </c>
      <c r="J439" s="284">
        <v>0</v>
      </c>
    </row>
    <row r="440" spans="3:10" x14ac:dyDescent="0.25">
      <c r="C440" s="300" t="s">
        <v>1064</v>
      </c>
      <c r="D440" s="283" t="s">
        <v>1077</v>
      </c>
      <c r="E440" s="283" t="s">
        <v>1075</v>
      </c>
      <c r="F440" s="283" t="s">
        <v>1075</v>
      </c>
      <c r="G440" s="283">
        <v>2</v>
      </c>
      <c r="H440" s="283">
        <v>0</v>
      </c>
      <c r="I440" s="283">
        <v>0</v>
      </c>
      <c r="J440" s="284">
        <v>0</v>
      </c>
    </row>
    <row r="441" spans="3:10" x14ac:dyDescent="0.25">
      <c r="C441" s="300" t="s">
        <v>1060</v>
      </c>
      <c r="D441" s="283" t="s">
        <v>1079</v>
      </c>
      <c r="E441" s="283" t="s">
        <v>1075</v>
      </c>
      <c r="F441" s="283" t="s">
        <v>1075</v>
      </c>
      <c r="G441" s="283">
        <v>3</v>
      </c>
      <c r="H441" s="283">
        <v>0</v>
      </c>
      <c r="I441" s="283">
        <v>0</v>
      </c>
      <c r="J441" s="284">
        <v>0</v>
      </c>
    </row>
    <row r="442" spans="3:10" x14ac:dyDescent="0.25">
      <c r="C442" s="300" t="s">
        <v>1063</v>
      </c>
      <c r="D442" s="283" t="s">
        <v>1087</v>
      </c>
      <c r="E442" s="283" t="s">
        <v>1078</v>
      </c>
      <c r="F442" s="283" t="s">
        <v>524</v>
      </c>
      <c r="G442" s="283">
        <v>1</v>
      </c>
      <c r="H442" s="283">
        <v>0</v>
      </c>
      <c r="I442" s="283">
        <v>0</v>
      </c>
      <c r="J442" s="284">
        <v>0</v>
      </c>
    </row>
    <row r="443" spans="3:10" x14ac:dyDescent="0.25">
      <c r="C443" s="300" t="s">
        <v>1063</v>
      </c>
      <c r="D443" s="283" t="s">
        <v>1077</v>
      </c>
      <c r="E443" s="283" t="s">
        <v>1089</v>
      </c>
      <c r="F443" s="283" t="s">
        <v>1075</v>
      </c>
      <c r="G443" s="283">
        <v>2</v>
      </c>
      <c r="H443" s="283">
        <v>0</v>
      </c>
      <c r="I443" s="283">
        <v>0</v>
      </c>
      <c r="J443" s="284">
        <v>0</v>
      </c>
    </row>
    <row r="444" spans="3:10" x14ac:dyDescent="0.25">
      <c r="C444" s="300" t="s">
        <v>1060</v>
      </c>
      <c r="D444" s="283" t="s">
        <v>1079</v>
      </c>
      <c r="E444" s="283" t="s">
        <v>1075</v>
      </c>
      <c r="F444" s="283" t="s">
        <v>1075</v>
      </c>
      <c r="G444" s="283">
        <v>2</v>
      </c>
      <c r="H444" s="283">
        <v>0</v>
      </c>
      <c r="I444" s="283">
        <v>0</v>
      </c>
      <c r="J444" s="284">
        <v>0</v>
      </c>
    </row>
    <row r="445" spans="3:10" x14ac:dyDescent="0.25">
      <c r="C445" s="300" t="s">
        <v>1066</v>
      </c>
      <c r="D445" s="283" t="s">
        <v>1077</v>
      </c>
      <c r="E445" s="283" t="s">
        <v>1084</v>
      </c>
      <c r="F445" s="283" t="s">
        <v>1076</v>
      </c>
      <c r="G445" s="283">
        <v>3</v>
      </c>
      <c r="H445" s="283">
        <v>0</v>
      </c>
      <c r="I445" s="283">
        <v>0</v>
      </c>
      <c r="J445" s="284">
        <v>0</v>
      </c>
    </row>
    <row r="446" spans="3:10" x14ac:dyDescent="0.25">
      <c r="C446" s="300" t="s">
        <v>1060</v>
      </c>
      <c r="D446" s="283" t="s">
        <v>1074</v>
      </c>
      <c r="E446" s="283" t="s">
        <v>1078</v>
      </c>
      <c r="F446" s="283" t="s">
        <v>1075</v>
      </c>
      <c r="G446" s="283">
        <v>2</v>
      </c>
      <c r="H446" s="283">
        <v>0</v>
      </c>
      <c r="I446" s="283">
        <v>0</v>
      </c>
      <c r="J446" s="284">
        <v>0</v>
      </c>
    </row>
    <row r="447" spans="3:10" x14ac:dyDescent="0.25">
      <c r="C447" s="300" t="s">
        <v>1066</v>
      </c>
      <c r="D447" s="283" t="s">
        <v>1079</v>
      </c>
      <c r="E447" s="283" t="s">
        <v>1078</v>
      </c>
      <c r="F447" s="283" t="s">
        <v>1089</v>
      </c>
      <c r="G447" s="283">
        <v>2</v>
      </c>
      <c r="H447" s="283">
        <v>0</v>
      </c>
      <c r="I447" s="283">
        <v>0</v>
      </c>
      <c r="J447" s="284">
        <v>0</v>
      </c>
    </row>
    <row r="448" spans="3:10" x14ac:dyDescent="0.25">
      <c r="C448" s="300" t="s">
        <v>1066</v>
      </c>
      <c r="D448" s="283" t="s">
        <v>1079</v>
      </c>
      <c r="E448" s="283" t="s">
        <v>1075</v>
      </c>
      <c r="F448" s="283" t="s">
        <v>1076</v>
      </c>
      <c r="G448" s="283">
        <v>3</v>
      </c>
      <c r="H448" s="283">
        <v>0</v>
      </c>
      <c r="I448" s="283">
        <v>0</v>
      </c>
      <c r="J448" s="284">
        <v>0</v>
      </c>
    </row>
    <row r="449" spans="3:10" x14ac:dyDescent="0.25">
      <c r="C449" s="300" t="s">
        <v>1065</v>
      </c>
      <c r="D449" s="283" t="s">
        <v>1077</v>
      </c>
      <c r="E449" s="283" t="s">
        <v>1089</v>
      </c>
      <c r="F449" s="283" t="s">
        <v>1075</v>
      </c>
      <c r="G449" s="283">
        <v>3</v>
      </c>
      <c r="H449" s="283">
        <v>0</v>
      </c>
      <c r="I449" s="283">
        <v>0</v>
      </c>
      <c r="J449" s="284">
        <v>1</v>
      </c>
    </row>
    <row r="450" spans="3:10" x14ac:dyDescent="0.25">
      <c r="C450" s="300" t="s">
        <v>1063</v>
      </c>
      <c r="D450" s="283" t="s">
        <v>1079</v>
      </c>
      <c r="E450" s="283" t="s">
        <v>1081</v>
      </c>
      <c r="F450" s="283" t="s">
        <v>1075</v>
      </c>
      <c r="G450" s="283">
        <v>2</v>
      </c>
      <c r="H450" s="283">
        <v>0</v>
      </c>
      <c r="I450" s="283">
        <v>0</v>
      </c>
      <c r="J450" s="284">
        <v>0</v>
      </c>
    </row>
    <row r="451" spans="3:10" x14ac:dyDescent="0.25">
      <c r="C451" s="300" t="s">
        <v>1066</v>
      </c>
      <c r="D451" s="283" t="s">
        <v>1079</v>
      </c>
      <c r="E451" s="283" t="s">
        <v>1089</v>
      </c>
      <c r="F451" s="283" t="s">
        <v>1089</v>
      </c>
      <c r="G451" s="283">
        <v>2</v>
      </c>
      <c r="H451" s="283">
        <v>0</v>
      </c>
      <c r="I451" s="283">
        <v>0</v>
      </c>
      <c r="J451" s="284">
        <v>0</v>
      </c>
    </row>
    <row r="452" spans="3:10" x14ac:dyDescent="0.25">
      <c r="C452" s="300" t="s">
        <v>1064</v>
      </c>
      <c r="D452" s="283" t="s">
        <v>1079</v>
      </c>
      <c r="E452" s="283" t="s">
        <v>1075</v>
      </c>
      <c r="F452" s="283" t="s">
        <v>1075</v>
      </c>
      <c r="G452" s="283">
        <v>2</v>
      </c>
      <c r="H452" s="283">
        <v>0</v>
      </c>
      <c r="I452" s="283">
        <v>1</v>
      </c>
      <c r="J452" s="284">
        <v>0</v>
      </c>
    </row>
    <row r="453" spans="3:10" x14ac:dyDescent="0.25">
      <c r="C453" s="300" t="s">
        <v>1064</v>
      </c>
      <c r="D453" s="283" t="s">
        <v>1087</v>
      </c>
      <c r="E453" s="283" t="s">
        <v>1089</v>
      </c>
      <c r="F453" s="283" t="s">
        <v>524</v>
      </c>
      <c r="G453" s="283">
        <v>1</v>
      </c>
      <c r="H453" s="283">
        <v>0</v>
      </c>
      <c r="I453" s="283">
        <v>0</v>
      </c>
      <c r="J453" s="284">
        <v>0</v>
      </c>
    </row>
    <row r="454" spans="3:10" x14ac:dyDescent="0.25">
      <c r="C454" s="300" t="s">
        <v>1064</v>
      </c>
      <c r="D454" s="283" t="s">
        <v>1074</v>
      </c>
      <c r="E454" s="283" t="s">
        <v>1075</v>
      </c>
      <c r="F454" s="283" t="s">
        <v>1078</v>
      </c>
      <c r="G454" s="283">
        <v>2</v>
      </c>
      <c r="H454" s="283">
        <v>0</v>
      </c>
      <c r="I454" s="283">
        <v>1</v>
      </c>
      <c r="J454" s="284">
        <v>0</v>
      </c>
    </row>
    <row r="455" spans="3:10" x14ac:dyDescent="0.25">
      <c r="C455" s="300" t="s">
        <v>1067</v>
      </c>
      <c r="D455" s="283" t="s">
        <v>1043</v>
      </c>
      <c r="E455" s="283" t="s">
        <v>1075</v>
      </c>
      <c r="F455" s="283" t="s">
        <v>1092</v>
      </c>
      <c r="G455" s="283">
        <v>2</v>
      </c>
      <c r="H455" s="283">
        <v>0</v>
      </c>
      <c r="I455" s="283">
        <v>0</v>
      </c>
      <c r="J455" s="284">
        <v>1</v>
      </c>
    </row>
    <row r="456" spans="3:10" x14ac:dyDescent="0.25">
      <c r="C456" s="300" t="s">
        <v>1061</v>
      </c>
      <c r="D456" s="283" t="s">
        <v>1079</v>
      </c>
      <c r="E456" s="283" t="s">
        <v>1075</v>
      </c>
      <c r="F456" s="283" t="s">
        <v>1089</v>
      </c>
      <c r="G456" s="283">
        <v>2</v>
      </c>
      <c r="H456" s="283">
        <v>0</v>
      </c>
      <c r="I456" s="283">
        <v>0</v>
      </c>
      <c r="J456" s="284">
        <v>0</v>
      </c>
    </row>
    <row r="457" spans="3:10" x14ac:dyDescent="0.25">
      <c r="C457" s="300" t="s">
        <v>1060</v>
      </c>
      <c r="D457" s="283" t="s">
        <v>1079</v>
      </c>
      <c r="E457" s="283" t="s">
        <v>1075</v>
      </c>
      <c r="F457" s="283" t="s">
        <v>1075</v>
      </c>
      <c r="G457" s="283">
        <v>2</v>
      </c>
      <c r="H457" s="283">
        <v>0</v>
      </c>
      <c r="I457" s="283">
        <v>0</v>
      </c>
      <c r="J457" s="284">
        <v>0</v>
      </c>
    </row>
    <row r="458" spans="3:10" x14ac:dyDescent="0.25">
      <c r="C458" s="300" t="s">
        <v>1060</v>
      </c>
      <c r="D458" s="283" t="s">
        <v>1074</v>
      </c>
      <c r="E458" s="283" t="s">
        <v>1078</v>
      </c>
      <c r="F458" s="283" t="s">
        <v>1094</v>
      </c>
      <c r="G458" s="283">
        <v>2</v>
      </c>
      <c r="H458" s="283">
        <v>0</v>
      </c>
      <c r="I458" s="283">
        <v>0</v>
      </c>
      <c r="J458" s="284">
        <v>1</v>
      </c>
    </row>
    <row r="459" spans="3:10" x14ac:dyDescent="0.25">
      <c r="C459" s="300" t="s">
        <v>1058</v>
      </c>
      <c r="D459" s="283" t="s">
        <v>1087</v>
      </c>
      <c r="E459" s="283" t="s">
        <v>1094</v>
      </c>
      <c r="F459" s="283" t="s">
        <v>524</v>
      </c>
      <c r="G459" s="283">
        <v>1</v>
      </c>
      <c r="H459" s="283">
        <v>0</v>
      </c>
      <c r="I459" s="283">
        <v>0</v>
      </c>
      <c r="J459" s="284">
        <v>0</v>
      </c>
    </row>
    <row r="460" spans="3:10" x14ac:dyDescent="0.25">
      <c r="C460" s="300" t="s">
        <v>1061</v>
      </c>
      <c r="D460" s="283" t="s">
        <v>1079</v>
      </c>
      <c r="E460" s="283" t="s">
        <v>1089</v>
      </c>
      <c r="F460" s="283" t="s">
        <v>1075</v>
      </c>
      <c r="G460" s="283">
        <v>3</v>
      </c>
      <c r="H460" s="283">
        <v>0</v>
      </c>
      <c r="I460" s="283">
        <v>0</v>
      </c>
      <c r="J460" s="284">
        <v>1</v>
      </c>
    </row>
    <row r="461" spans="3:10" x14ac:dyDescent="0.25">
      <c r="C461" s="300" t="s">
        <v>1067</v>
      </c>
      <c r="D461" s="283" t="s">
        <v>1079</v>
      </c>
      <c r="E461" s="283" t="s">
        <v>1084</v>
      </c>
      <c r="F461" s="283" t="s">
        <v>1075</v>
      </c>
      <c r="G461" s="283">
        <v>2</v>
      </c>
      <c r="H461" s="283">
        <v>0</v>
      </c>
      <c r="I461" s="283">
        <v>0</v>
      </c>
      <c r="J461" s="284">
        <v>1</v>
      </c>
    </row>
    <row r="462" spans="3:10" x14ac:dyDescent="0.25">
      <c r="C462" s="300" t="s">
        <v>1067</v>
      </c>
      <c r="D462" s="283" t="s">
        <v>1079</v>
      </c>
      <c r="E462" s="283" t="s">
        <v>1075</v>
      </c>
      <c r="F462" s="283" t="s">
        <v>1075</v>
      </c>
      <c r="G462" s="283">
        <v>2</v>
      </c>
      <c r="H462" s="283">
        <v>0</v>
      </c>
      <c r="I462" s="283">
        <v>0</v>
      </c>
      <c r="J462" s="284">
        <v>0</v>
      </c>
    </row>
    <row r="463" spans="3:10" x14ac:dyDescent="0.25">
      <c r="C463" s="300" t="s">
        <v>1065</v>
      </c>
      <c r="D463" s="283" t="s">
        <v>1077</v>
      </c>
      <c r="E463" s="283" t="s">
        <v>1089</v>
      </c>
      <c r="F463" s="283" t="s">
        <v>1089</v>
      </c>
      <c r="G463" s="283">
        <v>2</v>
      </c>
      <c r="H463" s="283">
        <v>0</v>
      </c>
      <c r="I463" s="283">
        <v>0</v>
      </c>
      <c r="J463" s="284">
        <v>0</v>
      </c>
    </row>
    <row r="464" spans="3:10" x14ac:dyDescent="0.25">
      <c r="C464" s="300" t="s">
        <v>1066</v>
      </c>
      <c r="D464" s="283" t="s">
        <v>1079</v>
      </c>
      <c r="E464" s="283" t="s">
        <v>1075</v>
      </c>
      <c r="F464" s="283" t="s">
        <v>1089</v>
      </c>
      <c r="G464" s="283">
        <v>2</v>
      </c>
      <c r="H464" s="283">
        <v>0</v>
      </c>
      <c r="I464" s="283">
        <v>0</v>
      </c>
      <c r="J464" s="284">
        <v>0</v>
      </c>
    </row>
    <row r="465" spans="3:10" x14ac:dyDescent="0.25">
      <c r="C465" s="300" t="s">
        <v>1061</v>
      </c>
      <c r="D465" s="283" t="s">
        <v>1074</v>
      </c>
      <c r="E465" s="283" t="s">
        <v>1075</v>
      </c>
      <c r="F465" s="283" t="s">
        <v>1083</v>
      </c>
      <c r="G465" s="283">
        <v>2</v>
      </c>
      <c r="H465" s="283">
        <v>0</v>
      </c>
      <c r="I465" s="283">
        <v>0</v>
      </c>
      <c r="J465" s="284">
        <v>0</v>
      </c>
    </row>
    <row r="466" spans="3:10" x14ac:dyDescent="0.25">
      <c r="C466" s="300" t="s">
        <v>1061</v>
      </c>
      <c r="D466" s="283" t="s">
        <v>1079</v>
      </c>
      <c r="E466" s="283" t="s">
        <v>1076</v>
      </c>
      <c r="F466" s="283" t="s">
        <v>1075</v>
      </c>
      <c r="G466" s="283">
        <v>2</v>
      </c>
      <c r="H466" s="283">
        <v>0</v>
      </c>
      <c r="I466" s="283">
        <v>0</v>
      </c>
      <c r="J466" s="284">
        <v>0</v>
      </c>
    </row>
    <row r="467" spans="3:10" x14ac:dyDescent="0.25">
      <c r="C467" s="300" t="s">
        <v>1063</v>
      </c>
      <c r="D467" s="283" t="s">
        <v>1077</v>
      </c>
      <c r="E467" s="283" t="s">
        <v>1083</v>
      </c>
      <c r="F467" s="283" t="s">
        <v>1084</v>
      </c>
      <c r="G467" s="283">
        <v>2</v>
      </c>
      <c r="H467" s="283">
        <v>0</v>
      </c>
      <c r="I467" s="283">
        <v>0</v>
      </c>
      <c r="J467" s="284">
        <v>0</v>
      </c>
    </row>
    <row r="468" spans="3:10" x14ac:dyDescent="0.25">
      <c r="C468" s="300" t="s">
        <v>1063</v>
      </c>
      <c r="D468" s="283" t="s">
        <v>1079</v>
      </c>
      <c r="E468" s="283" t="s">
        <v>1075</v>
      </c>
      <c r="F468" s="283" t="s">
        <v>1089</v>
      </c>
      <c r="G468" s="283">
        <v>2</v>
      </c>
      <c r="H468" s="283">
        <v>0</v>
      </c>
      <c r="I468" s="283">
        <v>0</v>
      </c>
      <c r="J468" s="284">
        <v>0</v>
      </c>
    </row>
    <row r="469" spans="3:10" x14ac:dyDescent="0.25">
      <c r="C469" s="300" t="s">
        <v>1066</v>
      </c>
      <c r="D469" s="283" t="s">
        <v>1090</v>
      </c>
      <c r="E469" s="283" t="s">
        <v>1075</v>
      </c>
      <c r="F469" s="283" t="s">
        <v>524</v>
      </c>
      <c r="G469" s="283">
        <v>1</v>
      </c>
      <c r="H469" s="283">
        <v>0</v>
      </c>
      <c r="I469" s="283">
        <v>0</v>
      </c>
      <c r="J469" s="284">
        <v>0</v>
      </c>
    </row>
    <row r="470" spans="3:10" x14ac:dyDescent="0.25">
      <c r="C470" s="300" t="s">
        <v>1064</v>
      </c>
      <c r="D470" s="283" t="s">
        <v>1090</v>
      </c>
      <c r="E470" s="283" t="s">
        <v>1075</v>
      </c>
      <c r="F470" s="283" t="s">
        <v>524</v>
      </c>
      <c r="G470" s="283">
        <v>1</v>
      </c>
      <c r="H470" s="283">
        <v>0</v>
      </c>
      <c r="I470" s="283">
        <v>0</v>
      </c>
      <c r="J470" s="284">
        <v>0</v>
      </c>
    </row>
    <row r="471" spans="3:10" x14ac:dyDescent="0.25">
      <c r="C471" s="300" t="s">
        <v>1065</v>
      </c>
      <c r="D471" s="283" t="s">
        <v>1087</v>
      </c>
      <c r="E471" s="283" t="s">
        <v>1075</v>
      </c>
      <c r="F471" s="283" t="s">
        <v>524</v>
      </c>
      <c r="G471" s="283">
        <v>1</v>
      </c>
      <c r="H471" s="283">
        <v>0</v>
      </c>
      <c r="I471" s="283">
        <v>1</v>
      </c>
      <c r="J471" s="284">
        <v>0</v>
      </c>
    </row>
    <row r="472" spans="3:10" x14ac:dyDescent="0.25">
      <c r="C472" s="300" t="s">
        <v>1067</v>
      </c>
      <c r="D472" s="283" t="s">
        <v>1079</v>
      </c>
      <c r="E472" s="283" t="s">
        <v>1075</v>
      </c>
      <c r="F472" s="283" t="s">
        <v>1083</v>
      </c>
      <c r="G472" s="283">
        <v>2</v>
      </c>
      <c r="H472" s="283">
        <v>0</v>
      </c>
      <c r="I472" s="283">
        <v>0</v>
      </c>
      <c r="J472" s="284">
        <v>1</v>
      </c>
    </row>
    <row r="473" spans="3:10" x14ac:dyDescent="0.25">
      <c r="C473" s="300" t="s">
        <v>1064</v>
      </c>
      <c r="D473" s="283" t="s">
        <v>1079</v>
      </c>
      <c r="E473" s="283" t="s">
        <v>1083</v>
      </c>
      <c r="F473" s="283" t="s">
        <v>1084</v>
      </c>
      <c r="G473" s="283">
        <v>2</v>
      </c>
      <c r="H473" s="283">
        <v>0</v>
      </c>
      <c r="I473" s="283">
        <v>0</v>
      </c>
      <c r="J473" s="284">
        <v>0</v>
      </c>
    </row>
    <row r="474" spans="3:10" x14ac:dyDescent="0.25">
      <c r="C474" s="300" t="s">
        <v>1068</v>
      </c>
      <c r="D474" s="283" t="s">
        <v>1079</v>
      </c>
      <c r="E474" s="283" t="s">
        <v>1089</v>
      </c>
      <c r="F474" s="283" t="s">
        <v>1075</v>
      </c>
      <c r="G474" s="283">
        <v>3</v>
      </c>
      <c r="H474" s="283">
        <v>0</v>
      </c>
      <c r="I474" s="283">
        <v>1</v>
      </c>
      <c r="J474" s="284">
        <v>1</v>
      </c>
    </row>
    <row r="475" spans="3:10" x14ac:dyDescent="0.25">
      <c r="C475" s="300" t="s">
        <v>1064</v>
      </c>
      <c r="D475" s="283" t="s">
        <v>1079</v>
      </c>
      <c r="E475" s="283" t="s">
        <v>1075</v>
      </c>
      <c r="F475" s="283" t="s">
        <v>1075</v>
      </c>
      <c r="G475" s="283">
        <v>2</v>
      </c>
      <c r="H475" s="283">
        <v>0</v>
      </c>
      <c r="I475" s="283">
        <v>0</v>
      </c>
      <c r="J475" s="284">
        <v>0</v>
      </c>
    </row>
    <row r="476" spans="3:10" x14ac:dyDescent="0.25">
      <c r="C476" s="300" t="s">
        <v>1065</v>
      </c>
      <c r="D476" s="283" t="s">
        <v>1077</v>
      </c>
      <c r="E476" s="283" t="s">
        <v>1088</v>
      </c>
      <c r="F476" s="283" t="s">
        <v>1075</v>
      </c>
      <c r="G476" s="283">
        <v>2</v>
      </c>
      <c r="H476" s="283">
        <v>0</v>
      </c>
      <c r="I476" s="283">
        <v>0</v>
      </c>
      <c r="J476" s="284">
        <v>1</v>
      </c>
    </row>
    <row r="477" spans="3:10" x14ac:dyDescent="0.25">
      <c r="C477" s="300" t="s">
        <v>1066</v>
      </c>
      <c r="D477" s="283" t="s">
        <v>1074</v>
      </c>
      <c r="E477" s="283" t="s">
        <v>1075</v>
      </c>
      <c r="F477" s="283" t="s">
        <v>1075</v>
      </c>
      <c r="G477" s="283">
        <v>3</v>
      </c>
      <c r="H477" s="283">
        <v>0</v>
      </c>
      <c r="I477" s="283">
        <v>0</v>
      </c>
      <c r="J477" s="284">
        <v>0</v>
      </c>
    </row>
    <row r="478" spans="3:10" x14ac:dyDescent="0.25">
      <c r="C478" s="300" t="s">
        <v>1065</v>
      </c>
      <c r="D478" s="283" t="s">
        <v>1077</v>
      </c>
      <c r="E478" s="283" t="s">
        <v>1089</v>
      </c>
      <c r="F478" s="283" t="s">
        <v>1089</v>
      </c>
      <c r="G478" s="283">
        <v>2</v>
      </c>
      <c r="H478" s="283">
        <v>0</v>
      </c>
      <c r="I478" s="283">
        <v>0</v>
      </c>
      <c r="J478" s="284">
        <v>0</v>
      </c>
    </row>
    <row r="479" spans="3:10" x14ac:dyDescent="0.25">
      <c r="C479" s="300" t="s">
        <v>1064</v>
      </c>
      <c r="D479" s="283" t="s">
        <v>1074</v>
      </c>
      <c r="E479" s="283" t="s">
        <v>1075</v>
      </c>
      <c r="F479" s="283" t="s">
        <v>1089</v>
      </c>
      <c r="G479" s="283">
        <v>2</v>
      </c>
      <c r="H479" s="283">
        <v>0</v>
      </c>
      <c r="I479" s="283">
        <v>0</v>
      </c>
      <c r="J479" s="284">
        <v>0</v>
      </c>
    </row>
    <row r="480" spans="3:10" x14ac:dyDescent="0.25">
      <c r="C480" s="300" t="s">
        <v>1061</v>
      </c>
      <c r="D480" s="283" t="s">
        <v>1074</v>
      </c>
      <c r="E480" s="283" t="s">
        <v>1075</v>
      </c>
      <c r="F480" s="283" t="s">
        <v>1075</v>
      </c>
      <c r="G480" s="283">
        <v>2</v>
      </c>
      <c r="H480" s="283">
        <v>0</v>
      </c>
      <c r="I480" s="283">
        <v>0</v>
      </c>
      <c r="J480" s="284">
        <v>1</v>
      </c>
    </row>
    <row r="481" spans="3:10" x14ac:dyDescent="0.25">
      <c r="C481" s="300" t="s">
        <v>1066</v>
      </c>
      <c r="D481" s="283" t="s">
        <v>1077</v>
      </c>
      <c r="E481" s="283" t="s">
        <v>1075</v>
      </c>
      <c r="F481" s="283" t="s">
        <v>1075</v>
      </c>
      <c r="G481" s="283">
        <v>4</v>
      </c>
      <c r="H481" s="283">
        <v>0</v>
      </c>
      <c r="I481" s="283">
        <v>0</v>
      </c>
      <c r="J481" s="284">
        <v>0</v>
      </c>
    </row>
    <row r="482" spans="3:10" x14ac:dyDescent="0.25">
      <c r="C482" s="300" t="s">
        <v>1061</v>
      </c>
      <c r="D482" s="283" t="s">
        <v>1079</v>
      </c>
      <c r="E482" s="283" t="s">
        <v>1076</v>
      </c>
      <c r="F482" s="283" t="s">
        <v>1089</v>
      </c>
      <c r="G482" s="283">
        <v>3</v>
      </c>
      <c r="H482" s="283">
        <v>0</v>
      </c>
      <c r="I482" s="283">
        <v>1</v>
      </c>
      <c r="J482" s="284">
        <v>0</v>
      </c>
    </row>
    <row r="483" spans="3:10" x14ac:dyDescent="0.25">
      <c r="C483" s="300" t="s">
        <v>1063</v>
      </c>
      <c r="D483" s="283" t="s">
        <v>1043</v>
      </c>
      <c r="E483" s="283" t="s">
        <v>1078</v>
      </c>
      <c r="F483" s="283" t="s">
        <v>1092</v>
      </c>
      <c r="G483" s="283">
        <v>2</v>
      </c>
      <c r="H483" s="283">
        <v>0</v>
      </c>
      <c r="I483" s="283">
        <v>0</v>
      </c>
      <c r="J483" s="284">
        <v>1</v>
      </c>
    </row>
    <row r="484" spans="3:10" x14ac:dyDescent="0.25">
      <c r="C484" s="300" t="s">
        <v>1068</v>
      </c>
      <c r="D484" s="283" t="s">
        <v>1087</v>
      </c>
      <c r="E484" s="283" t="s">
        <v>1094</v>
      </c>
      <c r="F484" s="283" t="s">
        <v>524</v>
      </c>
      <c r="G484" s="283">
        <v>1</v>
      </c>
      <c r="H484" s="283">
        <v>0</v>
      </c>
      <c r="I484" s="283">
        <v>0</v>
      </c>
      <c r="J484" s="284">
        <v>0</v>
      </c>
    </row>
    <row r="485" spans="3:10" x14ac:dyDescent="0.25">
      <c r="C485" s="300" t="s">
        <v>1061</v>
      </c>
      <c r="D485" s="283" t="s">
        <v>1090</v>
      </c>
      <c r="E485" s="283" t="s">
        <v>1083</v>
      </c>
      <c r="F485" s="283" t="s">
        <v>524</v>
      </c>
      <c r="G485" s="283">
        <v>1</v>
      </c>
      <c r="H485" s="283">
        <v>0</v>
      </c>
      <c r="I485" s="283">
        <v>0</v>
      </c>
      <c r="J485" s="284">
        <v>0</v>
      </c>
    </row>
    <row r="486" spans="3:10" x14ac:dyDescent="0.25">
      <c r="C486" s="300" t="s">
        <v>1066</v>
      </c>
      <c r="D486" s="283" t="s">
        <v>1074</v>
      </c>
      <c r="E486" s="283" t="s">
        <v>1076</v>
      </c>
      <c r="F486" s="283" t="s">
        <v>1075</v>
      </c>
      <c r="G486" s="283">
        <v>2</v>
      </c>
      <c r="H486" s="283">
        <v>0</v>
      </c>
      <c r="I486" s="283">
        <v>0</v>
      </c>
      <c r="J486" s="284">
        <v>1</v>
      </c>
    </row>
    <row r="487" spans="3:10" x14ac:dyDescent="0.25">
      <c r="C487" s="300" t="s">
        <v>1059</v>
      </c>
      <c r="D487" s="283" t="s">
        <v>1079</v>
      </c>
      <c r="E487" s="283" t="s">
        <v>1075</v>
      </c>
      <c r="F487" s="283" t="s">
        <v>1075</v>
      </c>
      <c r="G487" s="283">
        <v>2</v>
      </c>
      <c r="H487" s="283">
        <v>0</v>
      </c>
      <c r="I487" s="283">
        <v>0</v>
      </c>
      <c r="J487" s="284">
        <v>1</v>
      </c>
    </row>
    <row r="488" spans="3:10" x14ac:dyDescent="0.25">
      <c r="C488" s="300" t="s">
        <v>1065</v>
      </c>
      <c r="D488" s="283" t="s">
        <v>1077</v>
      </c>
      <c r="E488" s="283" t="s">
        <v>1078</v>
      </c>
      <c r="F488" s="283" t="s">
        <v>1075</v>
      </c>
      <c r="G488" s="283">
        <v>3</v>
      </c>
      <c r="H488" s="283">
        <v>0</v>
      </c>
      <c r="I488" s="283">
        <v>0</v>
      </c>
      <c r="J488" s="284">
        <v>2</v>
      </c>
    </row>
    <row r="489" spans="3:10" x14ac:dyDescent="0.25">
      <c r="C489" s="300" t="s">
        <v>1065</v>
      </c>
      <c r="D489" s="283" t="s">
        <v>1079</v>
      </c>
      <c r="E489" s="283" t="s">
        <v>1075</v>
      </c>
      <c r="F489" s="283" t="s">
        <v>1044</v>
      </c>
      <c r="G489" s="283">
        <v>2</v>
      </c>
      <c r="H489" s="283">
        <v>0</v>
      </c>
      <c r="I489" s="283">
        <v>0</v>
      </c>
      <c r="J489" s="284">
        <v>1</v>
      </c>
    </row>
    <row r="490" spans="3:10" x14ac:dyDescent="0.25">
      <c r="C490" s="300" t="s">
        <v>1058</v>
      </c>
      <c r="D490" s="283" t="s">
        <v>1087</v>
      </c>
      <c r="E490" s="283" t="s">
        <v>1075</v>
      </c>
      <c r="F490" s="283" t="s">
        <v>524</v>
      </c>
      <c r="G490" s="283">
        <v>1</v>
      </c>
      <c r="H490" s="283">
        <v>0</v>
      </c>
      <c r="I490" s="283">
        <v>0</v>
      </c>
      <c r="J490" s="284">
        <v>0</v>
      </c>
    </row>
    <row r="491" spans="3:10" x14ac:dyDescent="0.25">
      <c r="C491" s="300" t="s">
        <v>1061</v>
      </c>
      <c r="D491" s="283" t="s">
        <v>1079</v>
      </c>
      <c r="E491" s="283" t="s">
        <v>1089</v>
      </c>
      <c r="F491" s="283" t="s">
        <v>1075</v>
      </c>
      <c r="G491" s="283">
        <v>5</v>
      </c>
      <c r="H491" s="283">
        <v>0</v>
      </c>
      <c r="I491" s="283">
        <v>1</v>
      </c>
      <c r="J491" s="284">
        <v>0</v>
      </c>
    </row>
    <row r="492" spans="3:10" x14ac:dyDescent="0.25">
      <c r="C492" s="300" t="s">
        <v>1060</v>
      </c>
      <c r="D492" s="283" t="s">
        <v>1074</v>
      </c>
      <c r="E492" s="283" t="s">
        <v>1102</v>
      </c>
      <c r="F492" s="283" t="s">
        <v>1075</v>
      </c>
      <c r="G492" s="283">
        <v>2</v>
      </c>
      <c r="H492" s="283">
        <v>1</v>
      </c>
      <c r="I492" s="283">
        <v>0</v>
      </c>
      <c r="J492" s="284">
        <v>1</v>
      </c>
    </row>
    <row r="493" spans="3:10" x14ac:dyDescent="0.25">
      <c r="C493" s="300" t="s">
        <v>1065</v>
      </c>
      <c r="D493" s="283" t="s">
        <v>1074</v>
      </c>
      <c r="E493" s="283" t="s">
        <v>1075</v>
      </c>
      <c r="F493" s="283" t="s">
        <v>1089</v>
      </c>
      <c r="G493" s="283">
        <v>2</v>
      </c>
      <c r="H493" s="283">
        <v>0</v>
      </c>
      <c r="I493" s="283">
        <v>0</v>
      </c>
      <c r="J493" s="284">
        <v>1</v>
      </c>
    </row>
    <row r="494" spans="3:10" x14ac:dyDescent="0.25">
      <c r="C494" s="300" t="s">
        <v>1065</v>
      </c>
      <c r="D494" s="283" t="s">
        <v>1077</v>
      </c>
      <c r="E494" s="283" t="s">
        <v>1086</v>
      </c>
      <c r="F494" s="283" t="s">
        <v>1078</v>
      </c>
      <c r="G494" s="283">
        <v>2</v>
      </c>
      <c r="H494" s="283">
        <v>0</v>
      </c>
      <c r="I494" s="283">
        <v>0</v>
      </c>
      <c r="J494" s="284">
        <v>0</v>
      </c>
    </row>
    <row r="495" spans="3:10" x14ac:dyDescent="0.25">
      <c r="C495" s="300" t="s">
        <v>1060</v>
      </c>
      <c r="D495" s="283" t="s">
        <v>1074</v>
      </c>
      <c r="E495" s="283" t="s">
        <v>1075</v>
      </c>
      <c r="F495" s="283" t="s">
        <v>1089</v>
      </c>
      <c r="G495" s="283">
        <v>2</v>
      </c>
      <c r="H495" s="283">
        <v>0</v>
      </c>
      <c r="I495" s="283">
        <v>1</v>
      </c>
      <c r="J495" s="284">
        <v>0</v>
      </c>
    </row>
    <row r="496" spans="3:10" x14ac:dyDescent="0.25">
      <c r="C496" s="300" t="s">
        <v>1066</v>
      </c>
      <c r="D496" s="283" t="s">
        <v>1074</v>
      </c>
      <c r="E496" s="283" t="s">
        <v>1075</v>
      </c>
      <c r="F496" s="283" t="s">
        <v>1083</v>
      </c>
      <c r="G496" s="283">
        <v>2</v>
      </c>
      <c r="H496" s="283">
        <v>0</v>
      </c>
      <c r="I496" s="283">
        <v>0</v>
      </c>
      <c r="J496" s="284">
        <v>1</v>
      </c>
    </row>
    <row r="497" spans="3:10" x14ac:dyDescent="0.25">
      <c r="C497" s="300" t="s">
        <v>1060</v>
      </c>
      <c r="D497" s="283" t="s">
        <v>1077</v>
      </c>
      <c r="E497" s="283" t="s">
        <v>1075</v>
      </c>
      <c r="F497" s="283" t="s">
        <v>1083</v>
      </c>
      <c r="G497" s="283">
        <v>2</v>
      </c>
      <c r="H497" s="283">
        <v>0</v>
      </c>
      <c r="I497" s="283">
        <v>1</v>
      </c>
      <c r="J497" s="284">
        <v>0</v>
      </c>
    </row>
    <row r="498" spans="3:10" x14ac:dyDescent="0.25">
      <c r="C498" s="300" t="s">
        <v>1062</v>
      </c>
      <c r="D498" s="283" t="s">
        <v>1074</v>
      </c>
      <c r="E498" s="283" t="s">
        <v>1075</v>
      </c>
      <c r="F498" s="283" t="s">
        <v>1075</v>
      </c>
      <c r="G498" s="283">
        <v>2</v>
      </c>
      <c r="H498" s="283">
        <v>0</v>
      </c>
      <c r="I498" s="283">
        <v>0</v>
      </c>
      <c r="J498" s="284">
        <v>1</v>
      </c>
    </row>
    <row r="499" spans="3:10" x14ac:dyDescent="0.25">
      <c r="C499" s="300" t="s">
        <v>1066</v>
      </c>
      <c r="D499" s="283" t="s">
        <v>1077</v>
      </c>
      <c r="E499" s="283" t="s">
        <v>1075</v>
      </c>
      <c r="F499" s="283" t="s">
        <v>1076</v>
      </c>
      <c r="G499" s="283">
        <v>4</v>
      </c>
      <c r="H499" s="283">
        <v>0</v>
      </c>
      <c r="I499" s="283">
        <v>0</v>
      </c>
      <c r="J499" s="284">
        <v>0</v>
      </c>
    </row>
    <row r="500" spans="3:10" x14ac:dyDescent="0.25">
      <c r="C500" s="300" t="s">
        <v>1066</v>
      </c>
      <c r="D500" s="283" t="s">
        <v>1079</v>
      </c>
      <c r="E500" s="283" t="s">
        <v>1075</v>
      </c>
      <c r="F500" s="283" t="s">
        <v>1083</v>
      </c>
      <c r="G500" s="283">
        <v>2</v>
      </c>
      <c r="H500" s="283">
        <v>0</v>
      </c>
      <c r="I500" s="283">
        <v>0</v>
      </c>
      <c r="J500" s="284">
        <v>0</v>
      </c>
    </row>
    <row r="501" spans="3:10" x14ac:dyDescent="0.25">
      <c r="C501" s="300" t="s">
        <v>1064</v>
      </c>
      <c r="D501" s="283" t="s">
        <v>1074</v>
      </c>
      <c r="E501" s="283" t="s">
        <v>1075</v>
      </c>
      <c r="F501" s="283" t="s">
        <v>1089</v>
      </c>
      <c r="G501" s="283">
        <v>2</v>
      </c>
      <c r="H501" s="283">
        <v>0</v>
      </c>
      <c r="I501" s="283">
        <v>0</v>
      </c>
      <c r="J501" s="284">
        <v>2</v>
      </c>
    </row>
    <row r="502" spans="3:10" x14ac:dyDescent="0.25">
      <c r="C502" s="300" t="s">
        <v>1062</v>
      </c>
      <c r="D502" s="283" t="s">
        <v>1079</v>
      </c>
      <c r="E502" s="283" t="s">
        <v>1081</v>
      </c>
      <c r="F502" s="283" t="s">
        <v>1075</v>
      </c>
      <c r="G502" s="283">
        <v>2</v>
      </c>
      <c r="H502" s="283">
        <v>0</v>
      </c>
      <c r="I502" s="283">
        <v>0</v>
      </c>
      <c r="J502" s="284">
        <v>1</v>
      </c>
    </row>
    <row r="503" spans="3:10" x14ac:dyDescent="0.25">
      <c r="C503" s="300" t="s">
        <v>1060</v>
      </c>
      <c r="D503" s="283" t="s">
        <v>1079</v>
      </c>
      <c r="E503" s="283" t="s">
        <v>1084</v>
      </c>
      <c r="F503" s="283" t="s">
        <v>1089</v>
      </c>
      <c r="G503" s="283">
        <v>2</v>
      </c>
      <c r="H503" s="283">
        <v>0</v>
      </c>
      <c r="I503" s="283">
        <v>0</v>
      </c>
      <c r="J503" s="284">
        <v>1</v>
      </c>
    </row>
    <row r="504" spans="3:10" x14ac:dyDescent="0.25">
      <c r="C504" s="300" t="s">
        <v>1062</v>
      </c>
      <c r="D504" s="283" t="s">
        <v>1087</v>
      </c>
      <c r="E504" s="283" t="s">
        <v>1083</v>
      </c>
      <c r="F504" s="283" t="s">
        <v>524</v>
      </c>
      <c r="G504" s="283">
        <v>1</v>
      </c>
      <c r="H504" s="283">
        <v>0</v>
      </c>
      <c r="I504" s="283">
        <v>1</v>
      </c>
      <c r="J504" s="284">
        <v>0</v>
      </c>
    </row>
    <row r="505" spans="3:10" x14ac:dyDescent="0.25">
      <c r="C505" s="300" t="s">
        <v>1063</v>
      </c>
      <c r="D505" s="283" t="s">
        <v>1087</v>
      </c>
      <c r="E505" s="283" t="s">
        <v>1075</v>
      </c>
      <c r="F505" s="283" t="s">
        <v>524</v>
      </c>
      <c r="G505" s="283">
        <v>1</v>
      </c>
      <c r="H505" s="283">
        <v>0</v>
      </c>
      <c r="I505" s="283">
        <v>0</v>
      </c>
      <c r="J505" s="284">
        <v>0</v>
      </c>
    </row>
    <row r="506" spans="3:10" x14ac:dyDescent="0.25">
      <c r="C506" s="300" t="s">
        <v>1066</v>
      </c>
      <c r="D506" s="283" t="s">
        <v>1079</v>
      </c>
      <c r="E506" s="283" t="s">
        <v>1086</v>
      </c>
      <c r="F506" s="283" t="s">
        <v>1075</v>
      </c>
      <c r="G506" s="283">
        <v>2</v>
      </c>
      <c r="H506" s="283">
        <v>0</v>
      </c>
      <c r="I506" s="283">
        <v>0</v>
      </c>
      <c r="J506" s="284">
        <v>0</v>
      </c>
    </row>
    <row r="507" spans="3:10" x14ac:dyDescent="0.25">
      <c r="C507" s="300" t="s">
        <v>1065</v>
      </c>
      <c r="D507" s="283" t="s">
        <v>1079</v>
      </c>
      <c r="E507" s="283" t="s">
        <v>1075</v>
      </c>
      <c r="F507" s="283" t="s">
        <v>1075</v>
      </c>
      <c r="G507" s="283">
        <v>4</v>
      </c>
      <c r="H507" s="283">
        <v>0</v>
      </c>
      <c r="I507" s="283">
        <v>0</v>
      </c>
      <c r="J507" s="284">
        <v>0</v>
      </c>
    </row>
    <row r="508" spans="3:10" x14ac:dyDescent="0.25">
      <c r="C508" s="300" t="s">
        <v>1061</v>
      </c>
      <c r="D508" s="283" t="s">
        <v>1079</v>
      </c>
      <c r="E508" s="283" t="s">
        <v>1075</v>
      </c>
      <c r="F508" s="283" t="s">
        <v>1084</v>
      </c>
      <c r="G508" s="283">
        <v>2</v>
      </c>
      <c r="H508" s="283">
        <v>0</v>
      </c>
      <c r="I508" s="283">
        <v>0</v>
      </c>
      <c r="J508" s="284">
        <v>0</v>
      </c>
    </row>
    <row r="509" spans="3:10" x14ac:dyDescent="0.25">
      <c r="C509" s="300" t="s">
        <v>1065</v>
      </c>
      <c r="D509" s="283" t="s">
        <v>1079</v>
      </c>
      <c r="E509" s="283" t="s">
        <v>1075</v>
      </c>
      <c r="F509" s="283" t="s">
        <v>1075</v>
      </c>
      <c r="G509" s="283">
        <v>2</v>
      </c>
      <c r="H509" s="283">
        <v>0</v>
      </c>
      <c r="I509" s="283">
        <v>0</v>
      </c>
      <c r="J509" s="284">
        <v>0</v>
      </c>
    </row>
    <row r="510" spans="3:10" x14ac:dyDescent="0.25">
      <c r="C510" s="300" t="s">
        <v>1064</v>
      </c>
      <c r="D510" s="283" t="s">
        <v>1079</v>
      </c>
      <c r="E510" s="283" t="s">
        <v>1075</v>
      </c>
      <c r="F510" s="283" t="s">
        <v>1078</v>
      </c>
      <c r="G510" s="283">
        <v>2</v>
      </c>
      <c r="H510" s="283">
        <v>0</v>
      </c>
      <c r="I510" s="283">
        <v>0</v>
      </c>
      <c r="J510" s="284">
        <v>0</v>
      </c>
    </row>
    <row r="511" spans="3:10" x14ac:dyDescent="0.25">
      <c r="C511" s="300" t="s">
        <v>1068</v>
      </c>
      <c r="D511" s="283" t="s">
        <v>1087</v>
      </c>
      <c r="E511" s="283" t="s">
        <v>1094</v>
      </c>
      <c r="F511" s="283" t="s">
        <v>524</v>
      </c>
      <c r="G511" s="283">
        <v>1</v>
      </c>
      <c r="H511" s="283">
        <v>0</v>
      </c>
      <c r="I511" s="283">
        <v>0</v>
      </c>
      <c r="J511" s="284">
        <v>0</v>
      </c>
    </row>
    <row r="512" spans="3:10" x14ac:dyDescent="0.25">
      <c r="C512" s="300" t="s">
        <v>1061</v>
      </c>
      <c r="D512" s="283" t="s">
        <v>1079</v>
      </c>
      <c r="E512" s="283" t="s">
        <v>1083</v>
      </c>
      <c r="F512" s="283" t="s">
        <v>1099</v>
      </c>
      <c r="G512" s="283">
        <v>2</v>
      </c>
      <c r="H512" s="283">
        <v>0</v>
      </c>
      <c r="I512" s="283">
        <v>0</v>
      </c>
      <c r="J512" s="284">
        <v>0</v>
      </c>
    </row>
    <row r="513" spans="3:10" x14ac:dyDescent="0.25">
      <c r="C513" s="300" t="s">
        <v>1063</v>
      </c>
      <c r="D513" s="283" t="s">
        <v>1077</v>
      </c>
      <c r="E513" s="283" t="s">
        <v>1089</v>
      </c>
      <c r="F513" s="283" t="s">
        <v>1089</v>
      </c>
      <c r="G513" s="283">
        <v>2</v>
      </c>
      <c r="H513" s="283">
        <v>0</v>
      </c>
      <c r="I513" s="283">
        <v>0</v>
      </c>
      <c r="J513" s="284">
        <v>0</v>
      </c>
    </row>
    <row r="514" spans="3:10" x14ac:dyDescent="0.25">
      <c r="C514" s="300" t="s">
        <v>1058</v>
      </c>
      <c r="D514" s="283" t="s">
        <v>1079</v>
      </c>
      <c r="E514" s="283" t="s">
        <v>1078</v>
      </c>
      <c r="F514" s="283" t="s">
        <v>1089</v>
      </c>
      <c r="G514" s="283">
        <v>2</v>
      </c>
      <c r="H514" s="283">
        <v>0</v>
      </c>
      <c r="I514" s="283">
        <v>0</v>
      </c>
      <c r="J514" s="284">
        <v>0</v>
      </c>
    </row>
    <row r="515" spans="3:10" x14ac:dyDescent="0.25">
      <c r="C515" s="300" t="s">
        <v>1065</v>
      </c>
      <c r="D515" s="283" t="s">
        <v>1077</v>
      </c>
      <c r="E515" s="283" t="s">
        <v>1075</v>
      </c>
      <c r="F515" s="283" t="s">
        <v>1075</v>
      </c>
      <c r="G515" s="283">
        <v>2</v>
      </c>
      <c r="H515" s="283">
        <v>0</v>
      </c>
      <c r="I515" s="283">
        <v>0</v>
      </c>
      <c r="J515" s="284">
        <v>0</v>
      </c>
    </row>
    <row r="516" spans="3:10" x14ac:dyDescent="0.25">
      <c r="C516" s="300" t="s">
        <v>1061</v>
      </c>
      <c r="D516" s="283" t="s">
        <v>1079</v>
      </c>
      <c r="E516" s="283" t="s">
        <v>1044</v>
      </c>
      <c r="F516" s="283" t="s">
        <v>1089</v>
      </c>
      <c r="G516" s="283">
        <v>2</v>
      </c>
      <c r="H516" s="283">
        <v>0</v>
      </c>
      <c r="I516" s="283">
        <v>1</v>
      </c>
      <c r="J516" s="284">
        <v>0</v>
      </c>
    </row>
    <row r="517" spans="3:10" x14ac:dyDescent="0.25">
      <c r="C517" s="300" t="s">
        <v>1060</v>
      </c>
      <c r="D517" s="283" t="s">
        <v>1079</v>
      </c>
      <c r="E517" s="283" t="s">
        <v>1076</v>
      </c>
      <c r="F517" s="283" t="s">
        <v>1089</v>
      </c>
      <c r="G517" s="283">
        <v>2</v>
      </c>
      <c r="H517" s="283">
        <v>0</v>
      </c>
      <c r="I517" s="283">
        <v>1</v>
      </c>
      <c r="J517" s="284">
        <v>0</v>
      </c>
    </row>
    <row r="518" spans="3:10" x14ac:dyDescent="0.25">
      <c r="C518" s="300" t="s">
        <v>1064</v>
      </c>
      <c r="D518" s="283" t="s">
        <v>1079</v>
      </c>
      <c r="E518" s="283" t="s">
        <v>1075</v>
      </c>
      <c r="F518" s="283" t="s">
        <v>1075</v>
      </c>
      <c r="G518" s="283">
        <v>2</v>
      </c>
      <c r="H518" s="283">
        <v>0</v>
      </c>
      <c r="I518" s="283">
        <v>0</v>
      </c>
      <c r="J518" s="284">
        <v>1</v>
      </c>
    </row>
    <row r="519" spans="3:10" x14ac:dyDescent="0.25">
      <c r="C519" s="300" t="s">
        <v>1068</v>
      </c>
      <c r="D519" s="283" t="s">
        <v>1079</v>
      </c>
      <c r="E519" s="283" t="s">
        <v>1086</v>
      </c>
      <c r="F519" s="283" t="s">
        <v>1075</v>
      </c>
      <c r="G519" s="283">
        <v>2</v>
      </c>
      <c r="H519" s="283">
        <v>0</v>
      </c>
      <c r="I519" s="283">
        <v>0</v>
      </c>
      <c r="J519" s="284">
        <v>0</v>
      </c>
    </row>
    <row r="520" spans="3:10" x14ac:dyDescent="0.25">
      <c r="C520" s="300" t="s">
        <v>1065</v>
      </c>
      <c r="D520" s="283" t="s">
        <v>1090</v>
      </c>
      <c r="E520" s="283" t="s">
        <v>1083</v>
      </c>
      <c r="F520" s="283" t="s">
        <v>524</v>
      </c>
      <c r="G520" s="283">
        <v>1</v>
      </c>
      <c r="H520" s="283">
        <v>0</v>
      </c>
      <c r="I520" s="283">
        <v>1</v>
      </c>
      <c r="J520" s="284">
        <v>0</v>
      </c>
    </row>
    <row r="521" spans="3:10" x14ac:dyDescent="0.25">
      <c r="C521" s="300" t="s">
        <v>1064</v>
      </c>
      <c r="D521" s="283" t="s">
        <v>1043</v>
      </c>
      <c r="E521" s="283" t="s">
        <v>1084</v>
      </c>
      <c r="F521" s="283" t="s">
        <v>1092</v>
      </c>
      <c r="G521" s="283">
        <v>2</v>
      </c>
      <c r="H521" s="283">
        <v>0</v>
      </c>
      <c r="I521" s="283">
        <v>1</v>
      </c>
      <c r="J521" s="284">
        <v>0</v>
      </c>
    </row>
    <row r="522" spans="3:10" x14ac:dyDescent="0.25">
      <c r="C522" s="300" t="s">
        <v>1064</v>
      </c>
      <c r="D522" s="283" t="s">
        <v>1077</v>
      </c>
      <c r="E522" s="283" t="s">
        <v>1100</v>
      </c>
      <c r="F522" s="283" t="s">
        <v>1075</v>
      </c>
      <c r="G522" s="283">
        <v>3</v>
      </c>
      <c r="H522" s="283">
        <v>0</v>
      </c>
      <c r="I522" s="283">
        <v>1</v>
      </c>
      <c r="J522" s="284">
        <v>0</v>
      </c>
    </row>
    <row r="523" spans="3:10" x14ac:dyDescent="0.25">
      <c r="C523" s="300" t="s">
        <v>1060</v>
      </c>
      <c r="D523" s="283" t="s">
        <v>1090</v>
      </c>
      <c r="E523" s="283" t="s">
        <v>1044</v>
      </c>
      <c r="F523" s="283" t="s">
        <v>524</v>
      </c>
      <c r="G523" s="283">
        <v>1</v>
      </c>
      <c r="H523" s="283">
        <v>0</v>
      </c>
      <c r="I523" s="283">
        <v>0</v>
      </c>
      <c r="J523" s="284">
        <v>1</v>
      </c>
    </row>
    <row r="524" spans="3:10" x14ac:dyDescent="0.25">
      <c r="C524" s="300" t="s">
        <v>1064</v>
      </c>
      <c r="D524" s="283" t="s">
        <v>1074</v>
      </c>
      <c r="E524" s="283" t="s">
        <v>1089</v>
      </c>
      <c r="F524" s="283" t="s">
        <v>1076</v>
      </c>
      <c r="G524" s="283">
        <v>2</v>
      </c>
      <c r="H524" s="283">
        <v>0</v>
      </c>
      <c r="I524" s="283">
        <v>1</v>
      </c>
      <c r="J524" s="284">
        <v>0</v>
      </c>
    </row>
    <row r="525" spans="3:10" x14ac:dyDescent="0.25">
      <c r="C525" s="300" t="s">
        <v>1057</v>
      </c>
      <c r="D525" s="283" t="s">
        <v>1087</v>
      </c>
      <c r="E525" s="283" t="s">
        <v>1075</v>
      </c>
      <c r="F525" s="283" t="s">
        <v>524</v>
      </c>
      <c r="G525" s="283">
        <v>1</v>
      </c>
      <c r="H525" s="283">
        <v>0</v>
      </c>
      <c r="I525" s="283">
        <v>0</v>
      </c>
      <c r="J525" s="284">
        <v>1</v>
      </c>
    </row>
    <row r="526" spans="3:10" x14ac:dyDescent="0.25">
      <c r="C526" s="300" t="s">
        <v>1064</v>
      </c>
      <c r="D526" s="283" t="s">
        <v>1079</v>
      </c>
      <c r="E526" s="283" t="s">
        <v>1086</v>
      </c>
      <c r="F526" s="283" t="s">
        <v>1084</v>
      </c>
      <c r="G526" s="283">
        <v>2</v>
      </c>
      <c r="H526" s="283">
        <v>0</v>
      </c>
      <c r="I526" s="283">
        <v>0</v>
      </c>
      <c r="J526" s="284">
        <v>0</v>
      </c>
    </row>
    <row r="527" spans="3:10" x14ac:dyDescent="0.25">
      <c r="C527" s="300" t="s">
        <v>1061</v>
      </c>
      <c r="D527" s="283" t="s">
        <v>1074</v>
      </c>
      <c r="E527" s="283" t="s">
        <v>1075</v>
      </c>
      <c r="F527" s="283" t="s">
        <v>1075</v>
      </c>
      <c r="G527" s="283">
        <v>2</v>
      </c>
      <c r="H527" s="283">
        <v>0</v>
      </c>
      <c r="I527" s="283">
        <v>1</v>
      </c>
      <c r="J527" s="284">
        <v>0</v>
      </c>
    </row>
    <row r="528" spans="3:10" x14ac:dyDescent="0.25">
      <c r="C528" s="300" t="s">
        <v>1064</v>
      </c>
      <c r="D528" s="283" t="s">
        <v>1079</v>
      </c>
      <c r="E528" s="283" t="s">
        <v>1044</v>
      </c>
      <c r="F528" s="283" t="s">
        <v>1075</v>
      </c>
      <c r="G528" s="283">
        <v>2</v>
      </c>
      <c r="H528" s="283">
        <v>0</v>
      </c>
      <c r="I528" s="283">
        <v>0</v>
      </c>
      <c r="J528" s="284">
        <v>1</v>
      </c>
    </row>
    <row r="529" spans="3:10" x14ac:dyDescent="0.25">
      <c r="C529" s="300" t="s">
        <v>1066</v>
      </c>
      <c r="D529" s="283" t="s">
        <v>1079</v>
      </c>
      <c r="E529" s="283" t="s">
        <v>1075</v>
      </c>
      <c r="F529" s="283" t="s">
        <v>1089</v>
      </c>
      <c r="G529" s="283">
        <v>2</v>
      </c>
      <c r="H529" s="283">
        <v>0</v>
      </c>
      <c r="I529" s="283">
        <v>0</v>
      </c>
      <c r="J529" s="284">
        <v>0</v>
      </c>
    </row>
    <row r="530" spans="3:10" x14ac:dyDescent="0.25">
      <c r="C530" s="300" t="s">
        <v>1060</v>
      </c>
      <c r="D530" s="283" t="s">
        <v>1090</v>
      </c>
      <c r="E530" s="283" t="s">
        <v>1083</v>
      </c>
      <c r="F530" s="283" t="s">
        <v>524</v>
      </c>
      <c r="G530" s="283">
        <v>1</v>
      </c>
      <c r="H530" s="283">
        <v>0</v>
      </c>
      <c r="I530" s="283">
        <v>0</v>
      </c>
      <c r="J530" s="284">
        <v>1</v>
      </c>
    </row>
    <row r="531" spans="3:10" x14ac:dyDescent="0.25">
      <c r="C531" s="300" t="s">
        <v>1060</v>
      </c>
      <c r="D531" s="283" t="s">
        <v>1074</v>
      </c>
      <c r="E531" s="283" t="s">
        <v>1084</v>
      </c>
      <c r="F531" s="283" t="s">
        <v>1044</v>
      </c>
      <c r="G531" s="283">
        <v>2</v>
      </c>
      <c r="H531" s="283">
        <v>0</v>
      </c>
      <c r="I531" s="283">
        <v>1</v>
      </c>
      <c r="J531" s="284">
        <v>0</v>
      </c>
    </row>
    <row r="532" spans="3:10" x14ac:dyDescent="0.25">
      <c r="C532" s="300" t="s">
        <v>1068</v>
      </c>
      <c r="D532" s="283" t="s">
        <v>1087</v>
      </c>
      <c r="E532" s="283" t="s">
        <v>1078</v>
      </c>
      <c r="F532" s="283" t="s">
        <v>524</v>
      </c>
      <c r="G532" s="283">
        <v>1</v>
      </c>
      <c r="H532" s="283">
        <v>0</v>
      </c>
      <c r="I532" s="283">
        <v>0</v>
      </c>
      <c r="J532" s="284">
        <v>0</v>
      </c>
    </row>
    <row r="533" spans="3:10" x14ac:dyDescent="0.25">
      <c r="C533" s="300" t="s">
        <v>1065</v>
      </c>
      <c r="D533" s="283" t="s">
        <v>1043</v>
      </c>
      <c r="E533" s="283" t="s">
        <v>1086</v>
      </c>
      <c r="F533" s="283" t="s">
        <v>1092</v>
      </c>
      <c r="G533" s="283">
        <v>2</v>
      </c>
      <c r="H533" s="283">
        <v>0</v>
      </c>
      <c r="I533" s="283">
        <v>0</v>
      </c>
      <c r="J533" s="284">
        <v>0</v>
      </c>
    </row>
    <row r="534" spans="3:10" x14ac:dyDescent="0.25">
      <c r="C534" s="300" t="s">
        <v>1063</v>
      </c>
      <c r="D534" s="283" t="s">
        <v>1079</v>
      </c>
      <c r="E534" s="283" t="s">
        <v>1075</v>
      </c>
      <c r="F534" s="283" t="s">
        <v>1084</v>
      </c>
      <c r="G534" s="283">
        <v>2</v>
      </c>
      <c r="H534" s="283">
        <v>0</v>
      </c>
      <c r="I534" s="283">
        <v>1</v>
      </c>
      <c r="J534" s="284">
        <v>0</v>
      </c>
    </row>
    <row r="535" spans="3:10" x14ac:dyDescent="0.25">
      <c r="C535" s="300" t="s">
        <v>1067</v>
      </c>
      <c r="D535" s="283" t="s">
        <v>1043</v>
      </c>
      <c r="E535" s="283" t="s">
        <v>1089</v>
      </c>
      <c r="F535" s="283" t="s">
        <v>1092</v>
      </c>
      <c r="G535" s="283">
        <v>2</v>
      </c>
      <c r="H535" s="283">
        <v>0</v>
      </c>
      <c r="I535" s="283">
        <v>0</v>
      </c>
      <c r="J535" s="284">
        <v>1</v>
      </c>
    </row>
    <row r="536" spans="3:10" x14ac:dyDescent="0.25">
      <c r="C536" s="300" t="s">
        <v>1060</v>
      </c>
      <c r="D536" s="283" t="s">
        <v>1074</v>
      </c>
      <c r="E536" s="283" t="s">
        <v>1084</v>
      </c>
      <c r="F536" s="283" t="s">
        <v>1075</v>
      </c>
      <c r="G536" s="283">
        <v>2</v>
      </c>
      <c r="H536" s="283">
        <v>0</v>
      </c>
      <c r="I536" s="283">
        <v>0</v>
      </c>
      <c r="J536" s="284">
        <v>1</v>
      </c>
    </row>
    <row r="537" spans="3:10" x14ac:dyDescent="0.25">
      <c r="C537" s="300" t="s">
        <v>1061</v>
      </c>
      <c r="D537" s="283" t="s">
        <v>1077</v>
      </c>
      <c r="E537" s="283" t="s">
        <v>1084</v>
      </c>
      <c r="F537" s="283" t="s">
        <v>1075</v>
      </c>
      <c r="G537" s="283">
        <v>2</v>
      </c>
      <c r="H537" s="283">
        <v>0</v>
      </c>
      <c r="I537" s="283">
        <v>1</v>
      </c>
      <c r="J537" s="284">
        <v>0</v>
      </c>
    </row>
    <row r="538" spans="3:10" x14ac:dyDescent="0.25">
      <c r="C538" s="300" t="s">
        <v>1065</v>
      </c>
      <c r="D538" s="283" t="s">
        <v>1079</v>
      </c>
      <c r="E538" s="283" t="s">
        <v>1086</v>
      </c>
      <c r="F538" s="283" t="s">
        <v>1075</v>
      </c>
      <c r="G538" s="283">
        <v>3</v>
      </c>
      <c r="H538" s="283">
        <v>0</v>
      </c>
      <c r="I538" s="283">
        <v>0</v>
      </c>
      <c r="J538" s="284">
        <v>0</v>
      </c>
    </row>
    <row r="539" spans="3:10" x14ac:dyDescent="0.25">
      <c r="C539" s="300" t="s">
        <v>1066</v>
      </c>
      <c r="D539" s="283" t="s">
        <v>1079</v>
      </c>
      <c r="E539" s="283" t="s">
        <v>1075</v>
      </c>
      <c r="F539" s="283" t="s">
        <v>1075</v>
      </c>
      <c r="G539" s="283">
        <v>2</v>
      </c>
      <c r="H539" s="283">
        <v>0</v>
      </c>
      <c r="I539" s="283">
        <v>0</v>
      </c>
      <c r="J539" s="284">
        <v>0</v>
      </c>
    </row>
    <row r="540" spans="3:10" x14ac:dyDescent="0.25">
      <c r="C540" s="300" t="s">
        <v>1067</v>
      </c>
      <c r="D540" s="283" t="s">
        <v>1087</v>
      </c>
      <c r="E540" s="283" t="s">
        <v>1076</v>
      </c>
      <c r="F540" s="283" t="s">
        <v>524</v>
      </c>
      <c r="G540" s="283">
        <v>1</v>
      </c>
      <c r="H540" s="283">
        <v>0</v>
      </c>
      <c r="I540" s="283">
        <v>0</v>
      </c>
      <c r="J540" s="284">
        <v>1</v>
      </c>
    </row>
    <row r="541" spans="3:10" x14ac:dyDescent="0.25">
      <c r="C541" s="300" t="s">
        <v>1068</v>
      </c>
      <c r="D541" s="283" t="s">
        <v>1079</v>
      </c>
      <c r="E541" s="283" t="s">
        <v>1084</v>
      </c>
      <c r="F541" s="283" t="s">
        <v>1075</v>
      </c>
      <c r="G541" s="283">
        <v>4</v>
      </c>
      <c r="H541" s="283">
        <v>0</v>
      </c>
      <c r="I541" s="283">
        <v>0</v>
      </c>
      <c r="J541" s="284">
        <v>0</v>
      </c>
    </row>
    <row r="542" spans="3:10" x14ac:dyDescent="0.25">
      <c r="C542" s="300" t="s">
        <v>1064</v>
      </c>
      <c r="D542" s="283" t="s">
        <v>1079</v>
      </c>
      <c r="E542" s="283" t="s">
        <v>1089</v>
      </c>
      <c r="F542" s="283" t="s">
        <v>1083</v>
      </c>
      <c r="G542" s="283">
        <v>2</v>
      </c>
      <c r="H542" s="283">
        <v>0</v>
      </c>
      <c r="I542" s="283">
        <v>0</v>
      </c>
      <c r="J542" s="284">
        <v>0</v>
      </c>
    </row>
    <row r="543" spans="3:10" x14ac:dyDescent="0.25">
      <c r="C543" s="300" t="s">
        <v>1065</v>
      </c>
      <c r="D543" s="283" t="s">
        <v>1079</v>
      </c>
      <c r="E543" s="283" t="s">
        <v>1075</v>
      </c>
      <c r="F543" s="283" t="s">
        <v>1088</v>
      </c>
      <c r="G543" s="283">
        <v>2</v>
      </c>
      <c r="H543" s="283">
        <v>0</v>
      </c>
      <c r="I543" s="283">
        <v>0</v>
      </c>
      <c r="J543" s="284">
        <v>0</v>
      </c>
    </row>
    <row r="544" spans="3:10" x14ac:dyDescent="0.25">
      <c r="C544" s="300" t="s">
        <v>1062</v>
      </c>
      <c r="D544" s="283" t="s">
        <v>1074</v>
      </c>
      <c r="E544" s="283" t="s">
        <v>1083</v>
      </c>
      <c r="F544" s="283" t="s">
        <v>1075</v>
      </c>
      <c r="G544" s="283">
        <v>2</v>
      </c>
      <c r="H544" s="283">
        <v>0</v>
      </c>
      <c r="I544" s="283">
        <v>0</v>
      </c>
      <c r="J544" s="284">
        <v>0</v>
      </c>
    </row>
    <row r="545" spans="3:10" x14ac:dyDescent="0.25">
      <c r="C545" s="300" t="s">
        <v>1064</v>
      </c>
      <c r="D545" s="283" t="s">
        <v>1079</v>
      </c>
      <c r="E545" s="283" t="s">
        <v>1084</v>
      </c>
      <c r="F545" s="283" t="s">
        <v>1076</v>
      </c>
      <c r="G545" s="283">
        <v>2</v>
      </c>
      <c r="H545" s="283">
        <v>0</v>
      </c>
      <c r="I545" s="283">
        <v>0</v>
      </c>
      <c r="J545" s="284">
        <v>0</v>
      </c>
    </row>
    <row r="546" spans="3:10" x14ac:dyDescent="0.25">
      <c r="C546" s="300" t="s">
        <v>1057</v>
      </c>
      <c r="D546" s="283" t="s">
        <v>1074</v>
      </c>
      <c r="E546" s="283" t="s">
        <v>1075</v>
      </c>
      <c r="F546" s="283" t="s">
        <v>1075</v>
      </c>
      <c r="G546" s="283">
        <v>2</v>
      </c>
      <c r="H546" s="283">
        <v>0</v>
      </c>
      <c r="I546" s="283">
        <v>0</v>
      </c>
      <c r="J546" s="284">
        <v>2</v>
      </c>
    </row>
    <row r="547" spans="3:10" x14ac:dyDescent="0.25">
      <c r="C547" s="300" t="s">
        <v>1057</v>
      </c>
      <c r="D547" s="283" t="s">
        <v>1079</v>
      </c>
      <c r="E547" s="283" t="s">
        <v>1089</v>
      </c>
      <c r="F547" s="283" t="s">
        <v>1089</v>
      </c>
      <c r="G547" s="283">
        <v>3</v>
      </c>
      <c r="H547" s="283">
        <v>0</v>
      </c>
      <c r="I547" s="283">
        <v>0</v>
      </c>
      <c r="J547" s="284">
        <v>0</v>
      </c>
    </row>
    <row r="548" spans="3:10" x14ac:dyDescent="0.25">
      <c r="C548" s="300" t="s">
        <v>1065</v>
      </c>
      <c r="D548" s="283" t="s">
        <v>1077</v>
      </c>
      <c r="E548" s="283" t="s">
        <v>1076</v>
      </c>
      <c r="F548" s="283" t="s">
        <v>1078</v>
      </c>
      <c r="G548" s="283">
        <v>2</v>
      </c>
      <c r="H548" s="283">
        <v>0</v>
      </c>
      <c r="I548" s="283">
        <v>0</v>
      </c>
      <c r="J548" s="284">
        <v>0</v>
      </c>
    </row>
    <row r="549" spans="3:10" x14ac:dyDescent="0.25">
      <c r="C549" s="300" t="s">
        <v>1065</v>
      </c>
      <c r="D549" s="283" t="s">
        <v>1074</v>
      </c>
      <c r="E549" s="283" t="s">
        <v>1089</v>
      </c>
      <c r="F549" s="283" t="s">
        <v>1075</v>
      </c>
      <c r="G549" s="283">
        <v>2</v>
      </c>
      <c r="H549" s="283">
        <v>0</v>
      </c>
      <c r="I549" s="283">
        <v>0</v>
      </c>
      <c r="J549" s="284">
        <v>0</v>
      </c>
    </row>
    <row r="550" spans="3:10" x14ac:dyDescent="0.25">
      <c r="C550" s="300" t="s">
        <v>1064</v>
      </c>
      <c r="D550" s="283" t="s">
        <v>1079</v>
      </c>
      <c r="E550" s="283" t="s">
        <v>1075</v>
      </c>
      <c r="F550" s="283" t="s">
        <v>1075</v>
      </c>
      <c r="G550" s="283">
        <v>2</v>
      </c>
      <c r="H550" s="283">
        <v>0</v>
      </c>
      <c r="I550" s="283">
        <v>0</v>
      </c>
      <c r="J550" s="284">
        <v>0</v>
      </c>
    </row>
    <row r="551" spans="3:10" x14ac:dyDescent="0.25">
      <c r="C551" s="300" t="s">
        <v>1067</v>
      </c>
      <c r="D551" s="283" t="s">
        <v>1079</v>
      </c>
      <c r="E551" s="283" t="s">
        <v>1076</v>
      </c>
      <c r="F551" s="283" t="s">
        <v>1075</v>
      </c>
      <c r="G551" s="283">
        <v>2</v>
      </c>
      <c r="H551" s="283">
        <v>0</v>
      </c>
      <c r="I551" s="283">
        <v>0</v>
      </c>
      <c r="J551" s="284">
        <v>0</v>
      </c>
    </row>
    <row r="552" spans="3:10" x14ac:dyDescent="0.25">
      <c r="C552" s="300" t="s">
        <v>1061</v>
      </c>
      <c r="D552" s="283" t="s">
        <v>1079</v>
      </c>
      <c r="E552" s="283" t="s">
        <v>1075</v>
      </c>
      <c r="F552" s="283" t="s">
        <v>1075</v>
      </c>
      <c r="G552" s="283">
        <v>2</v>
      </c>
      <c r="H552" s="283">
        <v>0</v>
      </c>
      <c r="I552" s="283">
        <v>0</v>
      </c>
      <c r="J552" s="284">
        <v>0</v>
      </c>
    </row>
    <row r="553" spans="3:10" x14ac:dyDescent="0.25">
      <c r="C553" s="300" t="s">
        <v>1066</v>
      </c>
      <c r="D553" s="283" t="s">
        <v>1079</v>
      </c>
      <c r="E553" s="283" t="s">
        <v>1089</v>
      </c>
      <c r="F553" s="283" t="s">
        <v>1083</v>
      </c>
      <c r="G553" s="283">
        <v>2</v>
      </c>
      <c r="H553" s="283">
        <v>0</v>
      </c>
      <c r="I553" s="283">
        <v>0</v>
      </c>
      <c r="J553" s="284">
        <v>1</v>
      </c>
    </row>
    <row r="554" spans="3:10" x14ac:dyDescent="0.25">
      <c r="C554" s="300" t="s">
        <v>1066</v>
      </c>
      <c r="D554" s="283" t="s">
        <v>1079</v>
      </c>
      <c r="E554" s="283" t="s">
        <v>1075</v>
      </c>
      <c r="F554" s="283" t="s">
        <v>1089</v>
      </c>
      <c r="G554" s="283">
        <v>2</v>
      </c>
      <c r="H554" s="283">
        <v>0</v>
      </c>
      <c r="I554" s="283">
        <v>0</v>
      </c>
      <c r="J554" s="284">
        <v>0</v>
      </c>
    </row>
    <row r="555" spans="3:10" x14ac:dyDescent="0.25">
      <c r="C555" s="300" t="s">
        <v>1063</v>
      </c>
      <c r="D555" s="283" t="s">
        <v>1074</v>
      </c>
      <c r="E555" s="283" t="s">
        <v>1089</v>
      </c>
      <c r="F555" s="283" t="s">
        <v>1084</v>
      </c>
      <c r="G555" s="283">
        <v>2</v>
      </c>
      <c r="H555" s="283">
        <v>0</v>
      </c>
      <c r="I555" s="283">
        <v>0</v>
      </c>
      <c r="J555" s="284">
        <v>0</v>
      </c>
    </row>
    <row r="556" spans="3:10" x14ac:dyDescent="0.25">
      <c r="C556" s="300" t="s">
        <v>1061</v>
      </c>
      <c r="D556" s="283" t="s">
        <v>1077</v>
      </c>
      <c r="E556" s="283" t="s">
        <v>1078</v>
      </c>
      <c r="F556" s="283" t="s">
        <v>1075</v>
      </c>
      <c r="G556" s="283">
        <v>2</v>
      </c>
      <c r="H556" s="283">
        <v>0</v>
      </c>
      <c r="I556" s="283">
        <v>0</v>
      </c>
      <c r="J556" s="284">
        <v>0</v>
      </c>
    </row>
    <row r="557" spans="3:10" x14ac:dyDescent="0.25">
      <c r="C557" s="300" t="s">
        <v>1061</v>
      </c>
      <c r="D557" s="283" t="s">
        <v>1079</v>
      </c>
      <c r="E557" s="283" t="s">
        <v>1091</v>
      </c>
      <c r="F557" s="283" t="s">
        <v>1075</v>
      </c>
      <c r="G557" s="283">
        <v>2</v>
      </c>
      <c r="H557" s="283">
        <v>0</v>
      </c>
      <c r="I557" s="283">
        <v>0</v>
      </c>
      <c r="J557" s="284">
        <v>0</v>
      </c>
    </row>
    <row r="558" spans="3:10" x14ac:dyDescent="0.25">
      <c r="C558" s="300" t="s">
        <v>1066</v>
      </c>
      <c r="D558" s="283" t="s">
        <v>1077</v>
      </c>
      <c r="E558" s="283" t="s">
        <v>1075</v>
      </c>
      <c r="F558" s="283" t="s">
        <v>1076</v>
      </c>
      <c r="G558" s="283">
        <v>2</v>
      </c>
      <c r="H558" s="283">
        <v>0</v>
      </c>
      <c r="I558" s="283">
        <v>0</v>
      </c>
      <c r="J558" s="284">
        <v>0</v>
      </c>
    </row>
    <row r="559" spans="3:10" x14ac:dyDescent="0.25">
      <c r="C559" s="300" t="s">
        <v>1061</v>
      </c>
      <c r="D559" s="283" t="s">
        <v>1077</v>
      </c>
      <c r="E559" s="283" t="s">
        <v>1075</v>
      </c>
      <c r="F559" s="283" t="s">
        <v>1075</v>
      </c>
      <c r="G559" s="283">
        <v>2</v>
      </c>
      <c r="H559" s="283">
        <v>0</v>
      </c>
      <c r="I559" s="283">
        <v>0</v>
      </c>
      <c r="J559" s="284">
        <v>0</v>
      </c>
    </row>
    <row r="560" spans="3:10" x14ac:dyDescent="0.25">
      <c r="C560" s="300" t="s">
        <v>1067</v>
      </c>
      <c r="D560" s="283" t="s">
        <v>1087</v>
      </c>
      <c r="E560" s="283" t="s">
        <v>1089</v>
      </c>
      <c r="F560" s="283" t="s">
        <v>524</v>
      </c>
      <c r="G560" s="283">
        <v>1</v>
      </c>
      <c r="H560" s="283">
        <v>0</v>
      </c>
      <c r="I560" s="283">
        <v>0</v>
      </c>
      <c r="J560" s="284">
        <v>0</v>
      </c>
    </row>
    <row r="561" spans="3:10" x14ac:dyDescent="0.25">
      <c r="C561" s="300" t="s">
        <v>1061</v>
      </c>
      <c r="D561" s="283" t="s">
        <v>1079</v>
      </c>
      <c r="E561" s="283" t="s">
        <v>1089</v>
      </c>
      <c r="F561" s="283" t="s">
        <v>1078</v>
      </c>
      <c r="G561" s="283">
        <v>2</v>
      </c>
      <c r="H561" s="283">
        <v>0</v>
      </c>
      <c r="I561" s="283">
        <v>0</v>
      </c>
      <c r="J561" s="284">
        <v>0</v>
      </c>
    </row>
    <row r="562" spans="3:10" x14ac:dyDescent="0.25">
      <c r="C562" s="300" t="s">
        <v>1065</v>
      </c>
      <c r="D562" s="283" t="s">
        <v>1079</v>
      </c>
      <c r="E562" s="283" t="s">
        <v>1089</v>
      </c>
      <c r="F562" s="283" t="s">
        <v>1075</v>
      </c>
      <c r="G562" s="283">
        <v>3</v>
      </c>
      <c r="H562" s="283">
        <v>0</v>
      </c>
      <c r="I562" s="283">
        <v>0</v>
      </c>
      <c r="J562" s="284">
        <v>0</v>
      </c>
    </row>
    <row r="563" spans="3:10" x14ac:dyDescent="0.25">
      <c r="C563" s="300" t="s">
        <v>1061</v>
      </c>
      <c r="D563" s="283" t="s">
        <v>1079</v>
      </c>
      <c r="E563" s="283" t="s">
        <v>1075</v>
      </c>
      <c r="F563" s="283" t="s">
        <v>1075</v>
      </c>
      <c r="G563" s="283">
        <v>2</v>
      </c>
      <c r="H563" s="283">
        <v>0</v>
      </c>
      <c r="I563" s="283">
        <v>0</v>
      </c>
      <c r="J563" s="284">
        <v>0</v>
      </c>
    </row>
    <row r="564" spans="3:10" x14ac:dyDescent="0.25">
      <c r="C564" s="300" t="s">
        <v>1061</v>
      </c>
      <c r="D564" s="283" t="s">
        <v>1074</v>
      </c>
      <c r="E564" s="283" t="s">
        <v>1089</v>
      </c>
      <c r="F564" s="283" t="s">
        <v>1075</v>
      </c>
      <c r="G564" s="283">
        <v>2</v>
      </c>
      <c r="H564" s="283">
        <v>0</v>
      </c>
      <c r="I564" s="283">
        <v>0</v>
      </c>
      <c r="J564" s="284">
        <v>0</v>
      </c>
    </row>
    <row r="565" spans="3:10" x14ac:dyDescent="0.25">
      <c r="C565" s="300" t="s">
        <v>1066</v>
      </c>
      <c r="D565" s="283" t="s">
        <v>1090</v>
      </c>
      <c r="E565" s="283" t="s">
        <v>1083</v>
      </c>
      <c r="F565" s="283" t="s">
        <v>524</v>
      </c>
      <c r="G565" s="283">
        <v>2</v>
      </c>
      <c r="H565" s="283">
        <v>0</v>
      </c>
      <c r="I565" s="283">
        <v>0</v>
      </c>
      <c r="J565" s="284">
        <v>1</v>
      </c>
    </row>
    <row r="566" spans="3:10" x14ac:dyDescent="0.25">
      <c r="C566" s="300" t="s">
        <v>1068</v>
      </c>
      <c r="D566" s="283" t="s">
        <v>1074</v>
      </c>
      <c r="E566" s="283" t="s">
        <v>1075</v>
      </c>
      <c r="F566" s="283" t="s">
        <v>1085</v>
      </c>
      <c r="G566" s="283">
        <v>2</v>
      </c>
      <c r="H566" s="283">
        <v>0</v>
      </c>
      <c r="I566" s="283">
        <v>0</v>
      </c>
      <c r="J566" s="284">
        <v>0</v>
      </c>
    </row>
    <row r="567" spans="3:10" x14ac:dyDescent="0.25">
      <c r="C567" s="300" t="s">
        <v>1064</v>
      </c>
      <c r="D567" s="283" t="s">
        <v>1077</v>
      </c>
      <c r="E567" s="283" t="s">
        <v>1076</v>
      </c>
      <c r="F567" s="283" t="s">
        <v>1089</v>
      </c>
      <c r="G567" s="283">
        <v>2</v>
      </c>
      <c r="H567" s="283">
        <v>0</v>
      </c>
      <c r="I567" s="283">
        <v>0</v>
      </c>
      <c r="J567" s="284">
        <v>0</v>
      </c>
    </row>
    <row r="568" spans="3:10" x14ac:dyDescent="0.25">
      <c r="C568" s="300" t="s">
        <v>1060</v>
      </c>
      <c r="D568" s="283" t="s">
        <v>1079</v>
      </c>
      <c r="E568" s="283" t="s">
        <v>1076</v>
      </c>
      <c r="F568" s="283" t="s">
        <v>1084</v>
      </c>
      <c r="G568" s="283">
        <v>2</v>
      </c>
      <c r="H568" s="283">
        <v>0</v>
      </c>
      <c r="I568" s="283">
        <v>0</v>
      </c>
      <c r="J568" s="284">
        <v>0</v>
      </c>
    </row>
    <row r="569" spans="3:10" x14ac:dyDescent="0.25">
      <c r="C569" s="300" t="s">
        <v>1065</v>
      </c>
      <c r="D569" s="283" t="s">
        <v>1077</v>
      </c>
      <c r="E569" s="283" t="s">
        <v>1089</v>
      </c>
      <c r="F569" s="283" t="s">
        <v>1089</v>
      </c>
      <c r="G569" s="283">
        <v>3</v>
      </c>
      <c r="H569" s="283">
        <v>0</v>
      </c>
      <c r="I569" s="283">
        <v>0</v>
      </c>
      <c r="J569" s="284">
        <v>0</v>
      </c>
    </row>
    <row r="570" spans="3:10" x14ac:dyDescent="0.25">
      <c r="C570" s="300" t="s">
        <v>1059</v>
      </c>
      <c r="D570" s="283" t="s">
        <v>1087</v>
      </c>
      <c r="E570" s="283" t="s">
        <v>1075</v>
      </c>
      <c r="F570" s="283" t="s">
        <v>524</v>
      </c>
      <c r="G570" s="283">
        <v>1</v>
      </c>
      <c r="H570" s="283">
        <v>0</v>
      </c>
      <c r="I570" s="283">
        <v>0</v>
      </c>
      <c r="J570" s="284">
        <v>0</v>
      </c>
    </row>
    <row r="571" spans="3:10" x14ac:dyDescent="0.25">
      <c r="C571" s="300" t="s">
        <v>1060</v>
      </c>
      <c r="D571" s="283" t="s">
        <v>1079</v>
      </c>
      <c r="E571" s="283" t="s">
        <v>1089</v>
      </c>
      <c r="F571" s="283" t="s">
        <v>1075</v>
      </c>
      <c r="G571" s="283">
        <v>2</v>
      </c>
      <c r="H571" s="283">
        <v>0</v>
      </c>
      <c r="I571" s="283">
        <v>0</v>
      </c>
      <c r="J571" s="284">
        <v>0</v>
      </c>
    </row>
    <row r="572" spans="3:10" x14ac:dyDescent="0.25">
      <c r="C572" s="300" t="s">
        <v>1066</v>
      </c>
      <c r="D572" s="283" t="s">
        <v>1079</v>
      </c>
      <c r="E572" s="283" t="s">
        <v>1089</v>
      </c>
      <c r="F572" s="283" t="s">
        <v>1081</v>
      </c>
      <c r="G572" s="283">
        <v>2</v>
      </c>
      <c r="H572" s="283">
        <v>0</v>
      </c>
      <c r="I572" s="283">
        <v>0</v>
      </c>
      <c r="J572" s="284">
        <v>0</v>
      </c>
    </row>
    <row r="573" spans="3:10" x14ac:dyDescent="0.25">
      <c r="C573" s="300" t="s">
        <v>1061</v>
      </c>
      <c r="D573" s="283" t="s">
        <v>1090</v>
      </c>
      <c r="E573" s="283" t="s">
        <v>1093</v>
      </c>
      <c r="F573" s="283" t="s">
        <v>524</v>
      </c>
      <c r="G573" s="283">
        <v>1</v>
      </c>
      <c r="H573" s="283">
        <v>0</v>
      </c>
      <c r="I573" s="283">
        <v>1</v>
      </c>
      <c r="J573" s="284">
        <v>0</v>
      </c>
    </row>
    <row r="574" spans="3:10" x14ac:dyDescent="0.25">
      <c r="C574" s="300" t="s">
        <v>1064</v>
      </c>
      <c r="D574" s="283" t="s">
        <v>1079</v>
      </c>
      <c r="E574" s="283" t="s">
        <v>1075</v>
      </c>
      <c r="F574" s="283" t="s">
        <v>1094</v>
      </c>
      <c r="G574" s="283">
        <v>2</v>
      </c>
      <c r="H574" s="283">
        <v>0</v>
      </c>
      <c r="I574" s="283">
        <v>0</v>
      </c>
      <c r="J574" s="284">
        <v>0</v>
      </c>
    </row>
    <row r="575" spans="3:10" x14ac:dyDescent="0.25">
      <c r="C575" s="300" t="s">
        <v>1065</v>
      </c>
      <c r="D575" s="283" t="s">
        <v>1079</v>
      </c>
      <c r="E575" s="283" t="s">
        <v>1075</v>
      </c>
      <c r="F575" s="283" t="s">
        <v>1075</v>
      </c>
      <c r="G575" s="283">
        <v>2</v>
      </c>
      <c r="H575" s="283">
        <v>0</v>
      </c>
      <c r="I575" s="283">
        <v>0</v>
      </c>
      <c r="J575" s="284">
        <v>0</v>
      </c>
    </row>
    <row r="576" spans="3:10" x14ac:dyDescent="0.25">
      <c r="C576" s="300" t="s">
        <v>1061</v>
      </c>
      <c r="D576" s="283" t="s">
        <v>1074</v>
      </c>
      <c r="E576" s="283" t="s">
        <v>1075</v>
      </c>
      <c r="F576" s="283" t="s">
        <v>1078</v>
      </c>
      <c r="G576" s="283">
        <v>2</v>
      </c>
      <c r="H576" s="283">
        <v>0</v>
      </c>
      <c r="I576" s="283">
        <v>0</v>
      </c>
      <c r="J576" s="284">
        <v>0</v>
      </c>
    </row>
    <row r="577" spans="3:10" x14ac:dyDescent="0.25">
      <c r="C577" s="300" t="s">
        <v>1065</v>
      </c>
      <c r="D577" s="283" t="s">
        <v>1079</v>
      </c>
      <c r="E577" s="283" t="s">
        <v>1089</v>
      </c>
      <c r="F577" s="283" t="s">
        <v>1084</v>
      </c>
      <c r="G577" s="283">
        <v>2</v>
      </c>
      <c r="H577" s="283">
        <v>0</v>
      </c>
      <c r="I577" s="283">
        <v>0</v>
      </c>
      <c r="J577" s="284">
        <v>0</v>
      </c>
    </row>
    <row r="578" spans="3:10" x14ac:dyDescent="0.25">
      <c r="C578" s="300" t="s">
        <v>1064</v>
      </c>
      <c r="D578" s="283" t="s">
        <v>1077</v>
      </c>
      <c r="E578" s="283" t="s">
        <v>1076</v>
      </c>
      <c r="F578" s="283" t="s">
        <v>1078</v>
      </c>
      <c r="G578" s="283">
        <v>2</v>
      </c>
      <c r="H578" s="283">
        <v>0</v>
      </c>
      <c r="I578" s="283">
        <v>1</v>
      </c>
      <c r="J578" s="284">
        <v>0</v>
      </c>
    </row>
    <row r="579" spans="3:10" x14ac:dyDescent="0.25">
      <c r="C579" s="300" t="s">
        <v>1061</v>
      </c>
      <c r="D579" s="283" t="s">
        <v>1079</v>
      </c>
      <c r="E579" s="283" t="s">
        <v>1089</v>
      </c>
      <c r="F579" s="283" t="s">
        <v>1075</v>
      </c>
      <c r="G579" s="283">
        <v>2</v>
      </c>
      <c r="H579" s="283">
        <v>0</v>
      </c>
      <c r="I579" s="283">
        <v>0</v>
      </c>
      <c r="J579" s="284">
        <v>0</v>
      </c>
    </row>
    <row r="580" spans="3:10" x14ac:dyDescent="0.25">
      <c r="C580" s="300" t="s">
        <v>1063</v>
      </c>
      <c r="D580" s="283" t="s">
        <v>1077</v>
      </c>
      <c r="E580" s="283" t="s">
        <v>1075</v>
      </c>
      <c r="F580" s="283" t="s">
        <v>1076</v>
      </c>
      <c r="G580" s="283">
        <v>2</v>
      </c>
      <c r="H580" s="283">
        <v>0</v>
      </c>
      <c r="I580" s="283">
        <v>0</v>
      </c>
      <c r="J580" s="284">
        <v>0</v>
      </c>
    </row>
    <row r="581" spans="3:10" x14ac:dyDescent="0.25">
      <c r="C581" s="300" t="s">
        <v>1061</v>
      </c>
      <c r="D581" s="283" t="s">
        <v>1079</v>
      </c>
      <c r="E581" s="283" t="s">
        <v>1075</v>
      </c>
      <c r="F581" s="283" t="s">
        <v>1075</v>
      </c>
      <c r="G581" s="283">
        <v>2</v>
      </c>
      <c r="H581" s="283">
        <v>0</v>
      </c>
      <c r="I581" s="283">
        <v>0</v>
      </c>
      <c r="J581" s="284">
        <v>1</v>
      </c>
    </row>
    <row r="582" spans="3:10" x14ac:dyDescent="0.25">
      <c r="C582" s="300" t="s">
        <v>1065</v>
      </c>
      <c r="D582" s="283" t="s">
        <v>1077</v>
      </c>
      <c r="E582" s="283" t="s">
        <v>1084</v>
      </c>
      <c r="F582" s="283" t="s">
        <v>1075</v>
      </c>
      <c r="G582" s="283">
        <v>3</v>
      </c>
      <c r="H582" s="283">
        <v>0</v>
      </c>
      <c r="I582" s="283">
        <v>0</v>
      </c>
      <c r="J582" s="284">
        <v>0</v>
      </c>
    </row>
    <row r="583" spans="3:10" x14ac:dyDescent="0.25">
      <c r="C583" s="300" t="s">
        <v>1066</v>
      </c>
      <c r="D583" s="283" t="s">
        <v>1077</v>
      </c>
      <c r="E583" s="283" t="s">
        <v>1075</v>
      </c>
      <c r="F583" s="283" t="s">
        <v>1084</v>
      </c>
      <c r="G583" s="283">
        <v>4</v>
      </c>
      <c r="H583" s="283">
        <v>0</v>
      </c>
      <c r="I583" s="283">
        <v>0</v>
      </c>
      <c r="J583" s="284">
        <v>0</v>
      </c>
    </row>
    <row r="584" spans="3:10" x14ac:dyDescent="0.25">
      <c r="C584" s="300" t="s">
        <v>1064</v>
      </c>
      <c r="D584" s="283" t="s">
        <v>1079</v>
      </c>
      <c r="E584" s="283" t="s">
        <v>1075</v>
      </c>
      <c r="F584" s="283" t="s">
        <v>1075</v>
      </c>
      <c r="G584" s="283">
        <v>2</v>
      </c>
      <c r="H584" s="283">
        <v>0</v>
      </c>
      <c r="I584" s="283">
        <v>0</v>
      </c>
      <c r="J584" s="284">
        <v>0</v>
      </c>
    </row>
    <row r="585" spans="3:10" x14ac:dyDescent="0.25">
      <c r="C585" s="300" t="s">
        <v>1062</v>
      </c>
      <c r="D585" s="283" t="s">
        <v>1077</v>
      </c>
      <c r="E585" s="283" t="s">
        <v>1076</v>
      </c>
      <c r="F585" s="283" t="s">
        <v>1075</v>
      </c>
      <c r="G585" s="283">
        <v>2</v>
      </c>
      <c r="H585" s="283">
        <v>0</v>
      </c>
      <c r="I585" s="283">
        <v>0</v>
      </c>
      <c r="J585" s="284">
        <v>0</v>
      </c>
    </row>
    <row r="586" spans="3:10" x14ac:dyDescent="0.25">
      <c r="C586" s="300" t="s">
        <v>1063</v>
      </c>
      <c r="D586" s="283" t="s">
        <v>1079</v>
      </c>
      <c r="E586" s="283" t="s">
        <v>1089</v>
      </c>
      <c r="F586" s="283" t="s">
        <v>1075</v>
      </c>
      <c r="G586" s="283">
        <v>3</v>
      </c>
      <c r="H586" s="283">
        <v>0</v>
      </c>
      <c r="I586" s="283">
        <v>0</v>
      </c>
      <c r="J586" s="284">
        <v>1</v>
      </c>
    </row>
    <row r="587" spans="3:10" x14ac:dyDescent="0.25">
      <c r="C587" s="300" t="s">
        <v>1067</v>
      </c>
      <c r="D587" s="283" t="s">
        <v>1077</v>
      </c>
      <c r="E587" s="283" t="s">
        <v>1081</v>
      </c>
      <c r="F587" s="283" t="s">
        <v>1075</v>
      </c>
      <c r="G587" s="283">
        <v>2</v>
      </c>
      <c r="H587" s="283">
        <v>0</v>
      </c>
      <c r="I587" s="283">
        <v>0</v>
      </c>
      <c r="J587" s="284">
        <v>0</v>
      </c>
    </row>
    <row r="588" spans="3:10" x14ac:dyDescent="0.25">
      <c r="C588" s="300" t="s">
        <v>1065</v>
      </c>
      <c r="D588" s="283" t="s">
        <v>1074</v>
      </c>
      <c r="E588" s="283" t="s">
        <v>1089</v>
      </c>
      <c r="F588" s="283" t="s">
        <v>1075</v>
      </c>
      <c r="G588" s="283">
        <v>2</v>
      </c>
      <c r="H588" s="283">
        <v>0</v>
      </c>
      <c r="I588" s="283">
        <v>0</v>
      </c>
      <c r="J588" s="284">
        <v>0</v>
      </c>
    </row>
    <row r="589" spans="3:10" x14ac:dyDescent="0.25">
      <c r="C589" s="300" t="s">
        <v>1061</v>
      </c>
      <c r="D589" s="283" t="s">
        <v>1077</v>
      </c>
      <c r="E589" s="283" t="s">
        <v>1075</v>
      </c>
      <c r="F589" s="283" t="s">
        <v>1075</v>
      </c>
      <c r="G589" s="283">
        <v>3</v>
      </c>
      <c r="H589" s="283">
        <v>0</v>
      </c>
      <c r="I589" s="283">
        <v>0</v>
      </c>
      <c r="J589" s="284">
        <v>0</v>
      </c>
    </row>
    <row r="590" spans="3:10" x14ac:dyDescent="0.25">
      <c r="C590" s="300" t="s">
        <v>1068</v>
      </c>
      <c r="D590" s="283" t="s">
        <v>1079</v>
      </c>
      <c r="E590" s="283" t="s">
        <v>1076</v>
      </c>
      <c r="F590" s="283" t="s">
        <v>1076</v>
      </c>
      <c r="G590" s="283">
        <v>2</v>
      </c>
      <c r="H590" s="283">
        <v>0</v>
      </c>
      <c r="I590" s="283">
        <v>0</v>
      </c>
      <c r="J590" s="284">
        <v>0</v>
      </c>
    </row>
    <row r="591" spans="3:10" x14ac:dyDescent="0.25">
      <c r="C591" s="300" t="s">
        <v>1062</v>
      </c>
      <c r="D591" s="283" t="s">
        <v>1079</v>
      </c>
      <c r="E591" s="283" t="s">
        <v>1089</v>
      </c>
      <c r="F591" s="283" t="s">
        <v>1075</v>
      </c>
      <c r="G591" s="283">
        <v>2</v>
      </c>
      <c r="H591" s="283">
        <v>0</v>
      </c>
      <c r="I591" s="283">
        <v>0</v>
      </c>
      <c r="J591" s="284">
        <v>0</v>
      </c>
    </row>
    <row r="592" spans="3:10" x14ac:dyDescent="0.25">
      <c r="C592" s="300" t="s">
        <v>1064</v>
      </c>
      <c r="D592" s="283" t="s">
        <v>1079</v>
      </c>
      <c r="E592" s="283" t="s">
        <v>1075</v>
      </c>
      <c r="F592" s="283" t="s">
        <v>1078</v>
      </c>
      <c r="G592" s="283">
        <v>2</v>
      </c>
      <c r="H592" s="283">
        <v>0</v>
      </c>
      <c r="I592" s="283">
        <v>0</v>
      </c>
      <c r="J592" s="284">
        <v>0</v>
      </c>
    </row>
    <row r="593" spans="3:10" x14ac:dyDescent="0.25">
      <c r="C593" s="300" t="s">
        <v>1060</v>
      </c>
      <c r="D593" s="283" t="s">
        <v>1079</v>
      </c>
      <c r="E593" s="283" t="s">
        <v>1075</v>
      </c>
      <c r="F593" s="283" t="s">
        <v>1089</v>
      </c>
      <c r="G593" s="283">
        <v>2</v>
      </c>
      <c r="H593" s="283">
        <v>0</v>
      </c>
      <c r="I593" s="283">
        <v>0</v>
      </c>
      <c r="J593" s="284">
        <v>0</v>
      </c>
    </row>
    <row r="594" spans="3:10" x14ac:dyDescent="0.25">
      <c r="C594" s="300" t="s">
        <v>1065</v>
      </c>
      <c r="D594" s="283" t="s">
        <v>1077</v>
      </c>
      <c r="E594" s="283" t="s">
        <v>1084</v>
      </c>
      <c r="F594" s="283" t="s">
        <v>1081</v>
      </c>
      <c r="G594" s="283">
        <v>2</v>
      </c>
      <c r="H594" s="283">
        <v>0</v>
      </c>
      <c r="I594" s="283">
        <v>0</v>
      </c>
      <c r="J594" s="284">
        <v>0</v>
      </c>
    </row>
    <row r="595" spans="3:10" x14ac:dyDescent="0.25">
      <c r="C595" s="300" t="s">
        <v>1066</v>
      </c>
      <c r="D595" s="283" t="s">
        <v>1074</v>
      </c>
      <c r="E595" s="283" t="s">
        <v>1075</v>
      </c>
      <c r="F595" s="283" t="s">
        <v>1075</v>
      </c>
      <c r="G595" s="283">
        <v>2</v>
      </c>
      <c r="H595" s="283">
        <v>0</v>
      </c>
      <c r="I595" s="283">
        <v>0</v>
      </c>
      <c r="J595" s="284">
        <v>1</v>
      </c>
    </row>
    <row r="596" spans="3:10" x14ac:dyDescent="0.25">
      <c r="C596" s="300" t="s">
        <v>1064</v>
      </c>
      <c r="D596" s="283" t="s">
        <v>1074</v>
      </c>
      <c r="E596" s="283" t="s">
        <v>1075</v>
      </c>
      <c r="F596" s="283" t="s">
        <v>1089</v>
      </c>
      <c r="G596" s="283">
        <v>2</v>
      </c>
      <c r="H596" s="283">
        <v>0</v>
      </c>
      <c r="I596" s="283">
        <v>0</v>
      </c>
      <c r="J596" s="284">
        <v>0</v>
      </c>
    </row>
    <row r="597" spans="3:10" x14ac:dyDescent="0.25">
      <c r="C597" s="300" t="s">
        <v>1066</v>
      </c>
      <c r="D597" s="283" t="s">
        <v>1077</v>
      </c>
      <c r="E597" s="283" t="s">
        <v>1089</v>
      </c>
      <c r="F597" s="283" t="s">
        <v>1080</v>
      </c>
      <c r="G597" s="283">
        <v>2</v>
      </c>
      <c r="H597" s="283">
        <v>0</v>
      </c>
      <c r="I597" s="283">
        <v>0</v>
      </c>
      <c r="J597" s="284">
        <v>0</v>
      </c>
    </row>
    <row r="598" spans="3:10" x14ac:dyDescent="0.25">
      <c r="C598" s="300" t="s">
        <v>1061</v>
      </c>
      <c r="D598" s="283" t="s">
        <v>1074</v>
      </c>
      <c r="E598" s="283" t="s">
        <v>1075</v>
      </c>
      <c r="F598" s="283" t="s">
        <v>1089</v>
      </c>
      <c r="G598" s="283">
        <v>2</v>
      </c>
      <c r="H598" s="283">
        <v>0</v>
      </c>
      <c r="I598" s="283">
        <v>0</v>
      </c>
      <c r="J598" s="284">
        <v>0</v>
      </c>
    </row>
    <row r="599" spans="3:10" x14ac:dyDescent="0.25">
      <c r="C599" s="300" t="s">
        <v>1059</v>
      </c>
      <c r="D599" s="283" t="s">
        <v>1043</v>
      </c>
      <c r="E599" s="283" t="s">
        <v>1094</v>
      </c>
      <c r="F599" s="283" t="s">
        <v>1092</v>
      </c>
      <c r="G599" s="283">
        <v>2</v>
      </c>
      <c r="H599" s="283">
        <v>0</v>
      </c>
      <c r="I599" s="283">
        <v>0</v>
      </c>
      <c r="J599" s="284">
        <v>1</v>
      </c>
    </row>
    <row r="600" spans="3:10" x14ac:dyDescent="0.25">
      <c r="C600" s="300" t="s">
        <v>1064</v>
      </c>
      <c r="D600" s="283" t="s">
        <v>1074</v>
      </c>
      <c r="E600" s="283" t="s">
        <v>1075</v>
      </c>
      <c r="F600" s="283" t="s">
        <v>1075</v>
      </c>
      <c r="G600" s="283">
        <v>2</v>
      </c>
      <c r="H600" s="283">
        <v>0</v>
      </c>
      <c r="I600" s="283">
        <v>0</v>
      </c>
      <c r="J600" s="284">
        <v>0</v>
      </c>
    </row>
    <row r="601" spans="3:10" x14ac:dyDescent="0.25">
      <c r="C601" s="300" t="s">
        <v>1063</v>
      </c>
      <c r="D601" s="283" t="s">
        <v>1074</v>
      </c>
      <c r="E601" s="283" t="s">
        <v>1075</v>
      </c>
      <c r="F601" s="283" t="s">
        <v>1075</v>
      </c>
      <c r="G601" s="283">
        <v>2</v>
      </c>
      <c r="H601" s="283">
        <v>0</v>
      </c>
      <c r="I601" s="283">
        <v>0</v>
      </c>
      <c r="J601" s="284">
        <v>0</v>
      </c>
    </row>
    <row r="602" spans="3:10" x14ac:dyDescent="0.25">
      <c r="C602" s="300" t="s">
        <v>1065</v>
      </c>
      <c r="D602" s="283" t="s">
        <v>1077</v>
      </c>
      <c r="E602" s="283" t="s">
        <v>1076</v>
      </c>
      <c r="F602" s="283" t="s">
        <v>1080</v>
      </c>
      <c r="G602" s="283">
        <v>2</v>
      </c>
      <c r="H602" s="283">
        <v>0</v>
      </c>
      <c r="I602" s="283">
        <v>0</v>
      </c>
      <c r="J602" s="284">
        <v>0</v>
      </c>
    </row>
    <row r="603" spans="3:10" x14ac:dyDescent="0.25">
      <c r="C603" s="300" t="s">
        <v>1062</v>
      </c>
      <c r="D603" s="283" t="s">
        <v>1077</v>
      </c>
      <c r="E603" s="283" t="s">
        <v>1076</v>
      </c>
      <c r="F603" s="283" t="s">
        <v>1089</v>
      </c>
      <c r="G603" s="283">
        <v>2</v>
      </c>
      <c r="H603" s="283">
        <v>0</v>
      </c>
      <c r="I603" s="283">
        <v>0</v>
      </c>
      <c r="J603" s="284">
        <v>0</v>
      </c>
    </row>
    <row r="604" spans="3:10" x14ac:dyDescent="0.25">
      <c r="C604" s="300" t="s">
        <v>1064</v>
      </c>
      <c r="D604" s="283" t="s">
        <v>1077</v>
      </c>
      <c r="E604" s="283" t="s">
        <v>1089</v>
      </c>
      <c r="F604" s="283" t="s">
        <v>1075</v>
      </c>
      <c r="G604" s="283">
        <v>4</v>
      </c>
      <c r="H604" s="283">
        <v>0</v>
      </c>
      <c r="I604" s="283">
        <v>0</v>
      </c>
      <c r="J604" s="284">
        <v>0</v>
      </c>
    </row>
    <row r="605" spans="3:10" x14ac:dyDescent="0.25">
      <c r="C605" s="300" t="s">
        <v>1064</v>
      </c>
      <c r="D605" s="283" t="s">
        <v>1079</v>
      </c>
      <c r="E605" s="283" t="s">
        <v>1075</v>
      </c>
      <c r="F605" s="283" t="s">
        <v>1075</v>
      </c>
      <c r="G605" s="283">
        <v>2</v>
      </c>
      <c r="H605" s="283">
        <v>0</v>
      </c>
      <c r="I605" s="283">
        <v>1</v>
      </c>
      <c r="J605" s="284">
        <v>0</v>
      </c>
    </row>
    <row r="606" spans="3:10" x14ac:dyDescent="0.25">
      <c r="C606" s="300" t="s">
        <v>1060</v>
      </c>
      <c r="D606" s="283" t="s">
        <v>1087</v>
      </c>
      <c r="E606" s="283" t="s">
        <v>1078</v>
      </c>
      <c r="F606" s="283" t="s">
        <v>524</v>
      </c>
      <c r="G606" s="283">
        <v>1</v>
      </c>
      <c r="H606" s="283">
        <v>0</v>
      </c>
      <c r="I606" s="283">
        <v>0</v>
      </c>
      <c r="J606" s="284">
        <v>0</v>
      </c>
    </row>
    <row r="607" spans="3:10" x14ac:dyDescent="0.25">
      <c r="C607" s="300" t="s">
        <v>1065</v>
      </c>
      <c r="D607" s="283" t="s">
        <v>1077</v>
      </c>
      <c r="E607" s="283" t="s">
        <v>1076</v>
      </c>
      <c r="F607" s="283" t="s">
        <v>1076</v>
      </c>
      <c r="G607" s="283">
        <v>2</v>
      </c>
      <c r="H607" s="283">
        <v>0</v>
      </c>
      <c r="I607" s="283">
        <v>0</v>
      </c>
      <c r="J607" s="284">
        <v>0</v>
      </c>
    </row>
    <row r="608" spans="3:10" x14ac:dyDescent="0.25">
      <c r="C608" s="300" t="s">
        <v>1061</v>
      </c>
      <c r="D608" s="283" t="s">
        <v>1087</v>
      </c>
      <c r="E608" s="283" t="s">
        <v>1080</v>
      </c>
      <c r="F608" s="283" t="s">
        <v>524</v>
      </c>
      <c r="G608" s="283">
        <v>1</v>
      </c>
      <c r="H608" s="283">
        <v>0</v>
      </c>
      <c r="I608" s="283">
        <v>0</v>
      </c>
      <c r="J608" s="284">
        <v>0</v>
      </c>
    </row>
    <row r="609" spans="3:10" x14ac:dyDescent="0.25">
      <c r="C609" s="300" t="s">
        <v>1062</v>
      </c>
      <c r="D609" s="283" t="s">
        <v>1087</v>
      </c>
      <c r="E609" s="283" t="s">
        <v>1075</v>
      </c>
      <c r="F609" s="283" t="s">
        <v>524</v>
      </c>
      <c r="G609" s="283">
        <v>2</v>
      </c>
      <c r="H609" s="283">
        <v>0</v>
      </c>
      <c r="I609" s="283">
        <v>1</v>
      </c>
      <c r="J609" s="284">
        <v>0</v>
      </c>
    </row>
    <row r="610" spans="3:10" x14ac:dyDescent="0.25">
      <c r="C610" s="300" t="s">
        <v>1060</v>
      </c>
      <c r="D610" s="283" t="s">
        <v>1087</v>
      </c>
      <c r="E610" s="283" t="s">
        <v>1075</v>
      </c>
      <c r="F610" s="283" t="s">
        <v>524</v>
      </c>
      <c r="G610" s="283">
        <v>1</v>
      </c>
      <c r="H610" s="283">
        <v>0</v>
      </c>
      <c r="I610" s="283">
        <v>0</v>
      </c>
      <c r="J610" s="284">
        <v>0</v>
      </c>
    </row>
    <row r="611" spans="3:10" x14ac:dyDescent="0.25">
      <c r="C611" s="300" t="s">
        <v>1064</v>
      </c>
      <c r="D611" s="283" t="s">
        <v>1077</v>
      </c>
      <c r="E611" s="283" t="s">
        <v>1075</v>
      </c>
      <c r="F611" s="283" t="s">
        <v>1094</v>
      </c>
      <c r="G611" s="283">
        <v>2</v>
      </c>
      <c r="H611" s="283">
        <v>0</v>
      </c>
      <c r="I611" s="283">
        <v>1</v>
      </c>
      <c r="J611" s="284">
        <v>0</v>
      </c>
    </row>
    <row r="612" spans="3:10" x14ac:dyDescent="0.25">
      <c r="C612" s="300" t="s">
        <v>1062</v>
      </c>
      <c r="D612" s="283" t="s">
        <v>1079</v>
      </c>
      <c r="E612" s="283" t="s">
        <v>1075</v>
      </c>
      <c r="F612" s="283" t="s">
        <v>1080</v>
      </c>
      <c r="G612" s="283">
        <v>2</v>
      </c>
      <c r="H612" s="283">
        <v>0</v>
      </c>
      <c r="I612" s="283">
        <v>0</v>
      </c>
      <c r="J612" s="284">
        <v>1</v>
      </c>
    </row>
    <row r="613" spans="3:10" x14ac:dyDescent="0.25">
      <c r="C613" s="300" t="s">
        <v>1066</v>
      </c>
      <c r="D613" s="283" t="s">
        <v>1077</v>
      </c>
      <c r="E613" s="283" t="s">
        <v>1076</v>
      </c>
      <c r="F613" s="283" t="s">
        <v>1075</v>
      </c>
      <c r="G613" s="283">
        <v>2</v>
      </c>
      <c r="H613" s="283">
        <v>0</v>
      </c>
      <c r="I613" s="283">
        <v>0</v>
      </c>
      <c r="J613" s="284">
        <v>0</v>
      </c>
    </row>
    <row r="614" spans="3:10" x14ac:dyDescent="0.25">
      <c r="C614" s="300" t="s">
        <v>1066</v>
      </c>
      <c r="D614" s="283" t="s">
        <v>1074</v>
      </c>
      <c r="E614" s="283" t="s">
        <v>1075</v>
      </c>
      <c r="F614" s="283" t="s">
        <v>1075</v>
      </c>
      <c r="G614" s="283">
        <v>2</v>
      </c>
      <c r="H614" s="283">
        <v>0</v>
      </c>
      <c r="I614" s="283">
        <v>0</v>
      </c>
      <c r="J614" s="284">
        <v>1</v>
      </c>
    </row>
    <row r="615" spans="3:10" x14ac:dyDescent="0.25">
      <c r="C615" s="300" t="s">
        <v>1062</v>
      </c>
      <c r="D615" s="283" t="s">
        <v>1077</v>
      </c>
      <c r="E615" s="283" t="s">
        <v>1080</v>
      </c>
      <c r="F615" s="283" t="s">
        <v>1075</v>
      </c>
      <c r="G615" s="283">
        <v>2</v>
      </c>
      <c r="H615" s="283">
        <v>0</v>
      </c>
      <c r="I615" s="283">
        <v>0</v>
      </c>
      <c r="J615" s="284">
        <v>1</v>
      </c>
    </row>
    <row r="616" spans="3:10" x14ac:dyDescent="0.25">
      <c r="C616" s="300" t="s">
        <v>1065</v>
      </c>
      <c r="D616" s="283" t="s">
        <v>1077</v>
      </c>
      <c r="E616" s="283" t="s">
        <v>1075</v>
      </c>
      <c r="F616" s="283" t="s">
        <v>1078</v>
      </c>
      <c r="G616" s="283">
        <v>2</v>
      </c>
      <c r="H616" s="283">
        <v>0</v>
      </c>
      <c r="I616" s="283">
        <v>0</v>
      </c>
      <c r="J616" s="284">
        <v>0</v>
      </c>
    </row>
    <row r="617" spans="3:10" x14ac:dyDescent="0.25">
      <c r="C617" s="300" t="s">
        <v>1061</v>
      </c>
      <c r="D617" s="283" t="s">
        <v>1079</v>
      </c>
      <c r="E617" s="283" t="s">
        <v>1075</v>
      </c>
      <c r="F617" s="283" t="s">
        <v>1088</v>
      </c>
      <c r="G617" s="283">
        <v>6</v>
      </c>
      <c r="H617" s="283">
        <v>0</v>
      </c>
      <c r="I617" s="283">
        <v>1</v>
      </c>
      <c r="J617" s="284">
        <v>0</v>
      </c>
    </row>
    <row r="618" spans="3:10" x14ac:dyDescent="0.25">
      <c r="C618" s="300" t="s">
        <v>1061</v>
      </c>
      <c r="D618" s="283" t="s">
        <v>1079</v>
      </c>
      <c r="E618" s="283" t="s">
        <v>1083</v>
      </c>
      <c r="F618" s="283" t="s">
        <v>1075</v>
      </c>
      <c r="G618" s="283">
        <v>3</v>
      </c>
      <c r="H618" s="283">
        <v>0</v>
      </c>
      <c r="I618" s="283">
        <v>1</v>
      </c>
      <c r="J618" s="284">
        <v>0</v>
      </c>
    </row>
    <row r="619" spans="3:10" x14ac:dyDescent="0.25">
      <c r="C619" s="300" t="s">
        <v>1066</v>
      </c>
      <c r="D619" s="283" t="s">
        <v>1077</v>
      </c>
      <c r="E619" s="283" t="s">
        <v>1075</v>
      </c>
      <c r="F619" s="283" t="s">
        <v>1089</v>
      </c>
      <c r="G619" s="283">
        <v>2</v>
      </c>
      <c r="H619" s="283">
        <v>0</v>
      </c>
      <c r="I619" s="283">
        <v>0</v>
      </c>
      <c r="J619" s="284">
        <v>0</v>
      </c>
    </row>
    <row r="620" spans="3:10" x14ac:dyDescent="0.25">
      <c r="C620" s="300" t="s">
        <v>1063</v>
      </c>
      <c r="D620" s="283" t="s">
        <v>1079</v>
      </c>
      <c r="E620" s="283" t="s">
        <v>1088</v>
      </c>
      <c r="F620" s="283" t="s">
        <v>1075</v>
      </c>
      <c r="G620" s="283">
        <v>2</v>
      </c>
      <c r="H620" s="283">
        <v>0</v>
      </c>
      <c r="I620" s="283">
        <v>0</v>
      </c>
      <c r="J620" s="284">
        <v>0</v>
      </c>
    </row>
    <row r="621" spans="3:10" x14ac:dyDescent="0.25">
      <c r="C621" s="300" t="s">
        <v>1057</v>
      </c>
      <c r="D621" s="283" t="s">
        <v>1087</v>
      </c>
      <c r="E621" s="283" t="s">
        <v>1075</v>
      </c>
      <c r="F621" s="283" t="s">
        <v>524</v>
      </c>
      <c r="G621" s="283">
        <v>1</v>
      </c>
      <c r="H621" s="283">
        <v>0</v>
      </c>
      <c r="I621" s="283">
        <v>0</v>
      </c>
      <c r="J621" s="284">
        <v>0</v>
      </c>
    </row>
    <row r="622" spans="3:10" x14ac:dyDescent="0.25">
      <c r="C622" s="300" t="s">
        <v>1060</v>
      </c>
      <c r="D622" s="283" t="s">
        <v>1077</v>
      </c>
      <c r="E622" s="283" t="s">
        <v>1084</v>
      </c>
      <c r="F622" s="283" t="s">
        <v>1075</v>
      </c>
      <c r="G622" s="283">
        <v>2</v>
      </c>
      <c r="H622" s="283">
        <v>0</v>
      </c>
      <c r="I622" s="283">
        <v>0</v>
      </c>
      <c r="J622" s="284">
        <v>1</v>
      </c>
    </row>
    <row r="623" spans="3:10" x14ac:dyDescent="0.25">
      <c r="C623" s="300" t="s">
        <v>1066</v>
      </c>
      <c r="D623" s="283" t="s">
        <v>1077</v>
      </c>
      <c r="E623" s="283" t="s">
        <v>1075</v>
      </c>
      <c r="F623" s="283" t="s">
        <v>1075</v>
      </c>
      <c r="G623" s="283">
        <v>4</v>
      </c>
      <c r="H623" s="283">
        <v>0</v>
      </c>
      <c r="I623" s="283">
        <v>0</v>
      </c>
      <c r="J623" s="284">
        <v>0</v>
      </c>
    </row>
    <row r="624" spans="3:10" x14ac:dyDescent="0.25">
      <c r="C624" s="300" t="s">
        <v>1065</v>
      </c>
      <c r="D624" s="283" t="s">
        <v>1074</v>
      </c>
      <c r="E624" s="283" t="s">
        <v>1089</v>
      </c>
      <c r="F624" s="283" t="s">
        <v>1044</v>
      </c>
      <c r="G624" s="283">
        <v>2</v>
      </c>
      <c r="H624" s="283">
        <v>0</v>
      </c>
      <c r="I624" s="283">
        <v>0</v>
      </c>
      <c r="J624" s="284">
        <v>0</v>
      </c>
    </row>
    <row r="625" spans="3:10" x14ac:dyDescent="0.25">
      <c r="C625" s="300" t="s">
        <v>1059</v>
      </c>
      <c r="D625" s="283" t="s">
        <v>1079</v>
      </c>
      <c r="E625" s="283" t="s">
        <v>1075</v>
      </c>
      <c r="F625" s="283" t="s">
        <v>1084</v>
      </c>
      <c r="G625" s="283">
        <v>2</v>
      </c>
      <c r="H625" s="283">
        <v>0</v>
      </c>
      <c r="I625" s="283">
        <v>0</v>
      </c>
      <c r="J625" s="284">
        <v>0</v>
      </c>
    </row>
    <row r="626" spans="3:10" x14ac:dyDescent="0.25">
      <c r="C626" s="300" t="s">
        <v>1068</v>
      </c>
      <c r="D626" s="283" t="s">
        <v>1079</v>
      </c>
      <c r="E626" s="283" t="s">
        <v>1075</v>
      </c>
      <c r="F626" s="283" t="s">
        <v>1089</v>
      </c>
      <c r="G626" s="283">
        <v>2</v>
      </c>
      <c r="H626" s="283">
        <v>0</v>
      </c>
      <c r="I626" s="283">
        <v>0</v>
      </c>
      <c r="J626" s="284">
        <v>1</v>
      </c>
    </row>
    <row r="627" spans="3:10" x14ac:dyDescent="0.25">
      <c r="C627" s="300" t="s">
        <v>1068</v>
      </c>
      <c r="D627" s="283" t="s">
        <v>1079</v>
      </c>
      <c r="E627" s="283" t="s">
        <v>1089</v>
      </c>
      <c r="F627" s="283" t="s">
        <v>1075</v>
      </c>
      <c r="G627" s="283">
        <v>2</v>
      </c>
      <c r="H627" s="283">
        <v>0</v>
      </c>
      <c r="I627" s="283">
        <v>0</v>
      </c>
      <c r="J627" s="284">
        <v>0</v>
      </c>
    </row>
    <row r="628" spans="3:10" x14ac:dyDescent="0.25">
      <c r="C628" s="300" t="s">
        <v>1065</v>
      </c>
      <c r="D628" s="283" t="s">
        <v>1074</v>
      </c>
      <c r="E628" s="283" t="s">
        <v>1075</v>
      </c>
      <c r="F628" s="283" t="s">
        <v>1075</v>
      </c>
      <c r="G628" s="283">
        <v>2</v>
      </c>
      <c r="H628" s="283">
        <v>0</v>
      </c>
      <c r="I628" s="283">
        <v>0</v>
      </c>
      <c r="J628" s="284">
        <v>0</v>
      </c>
    </row>
    <row r="629" spans="3:10" x14ac:dyDescent="0.25">
      <c r="C629" s="300" t="s">
        <v>1057</v>
      </c>
      <c r="D629" s="283" t="s">
        <v>1079</v>
      </c>
      <c r="E629" s="283" t="s">
        <v>1075</v>
      </c>
      <c r="F629" s="283" t="s">
        <v>1075</v>
      </c>
      <c r="G629" s="283">
        <v>2</v>
      </c>
      <c r="H629" s="283">
        <v>0</v>
      </c>
      <c r="I629" s="283">
        <v>0</v>
      </c>
      <c r="J629" s="284">
        <v>1</v>
      </c>
    </row>
    <row r="630" spans="3:10" x14ac:dyDescent="0.25">
      <c r="C630" s="300" t="s">
        <v>1065</v>
      </c>
      <c r="D630" s="283" t="s">
        <v>1043</v>
      </c>
      <c r="E630" s="283" t="s">
        <v>1075</v>
      </c>
      <c r="F630" s="283" t="s">
        <v>1092</v>
      </c>
      <c r="G630" s="283">
        <v>2</v>
      </c>
      <c r="H630" s="283">
        <v>0</v>
      </c>
      <c r="I630" s="283">
        <v>0</v>
      </c>
      <c r="J630" s="284">
        <v>1</v>
      </c>
    </row>
    <row r="631" spans="3:10" x14ac:dyDescent="0.25">
      <c r="C631" s="300" t="s">
        <v>1067</v>
      </c>
      <c r="D631" s="283" t="s">
        <v>1074</v>
      </c>
      <c r="E631" s="283" t="s">
        <v>1075</v>
      </c>
      <c r="F631" s="283" t="s">
        <v>1075</v>
      </c>
      <c r="G631" s="283">
        <v>2</v>
      </c>
      <c r="H631" s="283">
        <v>0</v>
      </c>
      <c r="I631" s="283">
        <v>0</v>
      </c>
      <c r="J631" s="284">
        <v>0</v>
      </c>
    </row>
    <row r="632" spans="3:10" x14ac:dyDescent="0.25">
      <c r="C632" s="300" t="s">
        <v>1061</v>
      </c>
      <c r="D632" s="283" t="s">
        <v>1077</v>
      </c>
      <c r="E632" s="283" t="s">
        <v>1089</v>
      </c>
      <c r="F632" s="283" t="s">
        <v>1075</v>
      </c>
      <c r="G632" s="283">
        <v>3</v>
      </c>
      <c r="H632" s="283">
        <v>0</v>
      </c>
      <c r="I632" s="283">
        <v>0</v>
      </c>
      <c r="J632" s="284">
        <v>0</v>
      </c>
    </row>
    <row r="633" spans="3:10" x14ac:dyDescent="0.25">
      <c r="C633" s="300" t="s">
        <v>1064</v>
      </c>
      <c r="D633" s="283" t="s">
        <v>1077</v>
      </c>
      <c r="E633" s="283" t="s">
        <v>1075</v>
      </c>
      <c r="F633" s="283" t="s">
        <v>1089</v>
      </c>
      <c r="G633" s="283">
        <v>3</v>
      </c>
      <c r="H633" s="283">
        <v>0</v>
      </c>
      <c r="I633" s="283">
        <v>0</v>
      </c>
      <c r="J633" s="284">
        <v>0</v>
      </c>
    </row>
    <row r="634" spans="3:10" x14ac:dyDescent="0.25">
      <c r="C634" s="300" t="s">
        <v>1067</v>
      </c>
      <c r="D634" s="283" t="s">
        <v>1079</v>
      </c>
      <c r="E634" s="283" t="s">
        <v>1075</v>
      </c>
      <c r="F634" s="283" t="s">
        <v>1075</v>
      </c>
      <c r="G634" s="283">
        <v>2</v>
      </c>
      <c r="H634" s="283">
        <v>0</v>
      </c>
      <c r="I634" s="283">
        <v>0</v>
      </c>
      <c r="J634" s="284">
        <v>0</v>
      </c>
    </row>
    <row r="635" spans="3:10" x14ac:dyDescent="0.25">
      <c r="C635" s="300" t="s">
        <v>1059</v>
      </c>
      <c r="D635" s="283" t="s">
        <v>1087</v>
      </c>
      <c r="E635" s="283" t="s">
        <v>1076</v>
      </c>
      <c r="F635" s="283" t="s">
        <v>524</v>
      </c>
      <c r="G635" s="283">
        <v>1</v>
      </c>
      <c r="H635" s="283">
        <v>0</v>
      </c>
      <c r="I635" s="283">
        <v>0</v>
      </c>
      <c r="J635" s="284">
        <v>0</v>
      </c>
    </row>
    <row r="636" spans="3:10" x14ac:dyDescent="0.25">
      <c r="C636" s="300" t="s">
        <v>1068</v>
      </c>
      <c r="D636" s="283" t="s">
        <v>1079</v>
      </c>
      <c r="E636" s="283" t="s">
        <v>1075</v>
      </c>
      <c r="F636" s="283" t="s">
        <v>1089</v>
      </c>
      <c r="G636" s="283">
        <v>2</v>
      </c>
      <c r="H636" s="283">
        <v>0</v>
      </c>
      <c r="I636" s="283">
        <v>0</v>
      </c>
      <c r="J636" s="284">
        <v>0</v>
      </c>
    </row>
    <row r="637" spans="3:10" x14ac:dyDescent="0.25">
      <c r="C637" s="300" t="s">
        <v>1060</v>
      </c>
      <c r="D637" s="283" t="s">
        <v>1074</v>
      </c>
      <c r="E637" s="283" t="s">
        <v>1075</v>
      </c>
      <c r="F637" s="283" t="s">
        <v>1075</v>
      </c>
      <c r="G637" s="283">
        <v>2</v>
      </c>
      <c r="H637" s="283">
        <v>1</v>
      </c>
      <c r="I637" s="283">
        <v>4</v>
      </c>
      <c r="J637" s="284">
        <v>0</v>
      </c>
    </row>
    <row r="638" spans="3:10" x14ac:dyDescent="0.25">
      <c r="C638" s="300" t="s">
        <v>1063</v>
      </c>
      <c r="D638" s="283" t="s">
        <v>1087</v>
      </c>
      <c r="E638" s="283" t="s">
        <v>1075</v>
      </c>
      <c r="F638" s="283" t="s">
        <v>524</v>
      </c>
      <c r="G638" s="283">
        <v>1</v>
      </c>
      <c r="H638" s="283">
        <v>1</v>
      </c>
      <c r="I638" s="283">
        <v>1</v>
      </c>
      <c r="J638" s="284">
        <v>1</v>
      </c>
    </row>
    <row r="639" spans="3:10" x14ac:dyDescent="0.25">
      <c r="C639" s="300" t="s">
        <v>1067</v>
      </c>
      <c r="D639" s="283" t="s">
        <v>1087</v>
      </c>
      <c r="E639" s="283" t="s">
        <v>1075</v>
      </c>
      <c r="F639" s="283" t="s">
        <v>524</v>
      </c>
      <c r="G639" s="283">
        <v>1</v>
      </c>
      <c r="H639" s="283">
        <v>1</v>
      </c>
      <c r="I639" s="283">
        <v>2</v>
      </c>
      <c r="J639" s="284">
        <v>0</v>
      </c>
    </row>
    <row r="640" spans="3:10" x14ac:dyDescent="0.25">
      <c r="C640" s="300" t="s">
        <v>1061</v>
      </c>
      <c r="D640" s="283" t="s">
        <v>1079</v>
      </c>
      <c r="E640" s="283" t="s">
        <v>1084</v>
      </c>
      <c r="F640" s="283" t="s">
        <v>1076</v>
      </c>
      <c r="G640" s="283">
        <v>2</v>
      </c>
      <c r="H640" s="283">
        <v>0</v>
      </c>
      <c r="I640" s="283">
        <v>0</v>
      </c>
      <c r="J640" s="284">
        <v>1</v>
      </c>
    </row>
    <row r="641" spans="3:10" x14ac:dyDescent="0.25">
      <c r="C641" s="300" t="s">
        <v>1066</v>
      </c>
      <c r="D641" s="283" t="s">
        <v>1079</v>
      </c>
      <c r="E641" s="283" t="s">
        <v>1075</v>
      </c>
      <c r="F641" s="283" t="s">
        <v>1075</v>
      </c>
      <c r="G641" s="283">
        <v>2</v>
      </c>
      <c r="H641" s="283">
        <v>0</v>
      </c>
      <c r="I641" s="283">
        <v>0</v>
      </c>
      <c r="J641" s="284">
        <v>1</v>
      </c>
    </row>
    <row r="642" spans="3:10" x14ac:dyDescent="0.25">
      <c r="C642" s="300" t="s">
        <v>1061</v>
      </c>
      <c r="D642" s="283" t="s">
        <v>1079</v>
      </c>
      <c r="E642" s="283" t="s">
        <v>1086</v>
      </c>
      <c r="F642" s="283" t="s">
        <v>1075</v>
      </c>
      <c r="G642" s="283">
        <v>3</v>
      </c>
      <c r="H642" s="283">
        <v>0</v>
      </c>
      <c r="I642" s="283">
        <v>0</v>
      </c>
      <c r="J642" s="284">
        <v>1</v>
      </c>
    </row>
    <row r="643" spans="3:10" x14ac:dyDescent="0.25">
      <c r="C643" s="300" t="s">
        <v>1063</v>
      </c>
      <c r="D643" s="283" t="s">
        <v>1077</v>
      </c>
      <c r="E643" s="283" t="s">
        <v>1075</v>
      </c>
      <c r="F643" s="283" t="s">
        <v>1089</v>
      </c>
      <c r="G643" s="283">
        <v>2</v>
      </c>
      <c r="H643" s="283">
        <v>0</v>
      </c>
      <c r="I643" s="283">
        <v>0</v>
      </c>
      <c r="J643" s="284">
        <v>1</v>
      </c>
    </row>
    <row r="644" spans="3:10" x14ac:dyDescent="0.25">
      <c r="C644" s="300" t="s">
        <v>1060</v>
      </c>
      <c r="D644" s="283" t="s">
        <v>1043</v>
      </c>
      <c r="E644" s="283" t="s">
        <v>1075</v>
      </c>
      <c r="F644" s="283" t="s">
        <v>1092</v>
      </c>
      <c r="G644" s="283">
        <v>2</v>
      </c>
      <c r="H644" s="283">
        <v>0</v>
      </c>
      <c r="I644" s="283">
        <v>1</v>
      </c>
      <c r="J644" s="284">
        <v>0</v>
      </c>
    </row>
    <row r="645" spans="3:10" x14ac:dyDescent="0.25">
      <c r="C645" s="300" t="s">
        <v>1063</v>
      </c>
      <c r="D645" s="283" t="s">
        <v>1087</v>
      </c>
      <c r="E645" s="283" t="s">
        <v>1075</v>
      </c>
      <c r="F645" s="283" t="s">
        <v>524</v>
      </c>
      <c r="G645" s="283">
        <v>1</v>
      </c>
      <c r="H645" s="283">
        <v>0</v>
      </c>
      <c r="I645" s="283">
        <v>0</v>
      </c>
      <c r="J645" s="284">
        <v>0</v>
      </c>
    </row>
    <row r="646" spans="3:10" x14ac:dyDescent="0.25">
      <c r="C646" s="300" t="s">
        <v>1066</v>
      </c>
      <c r="D646" s="283" t="s">
        <v>1082</v>
      </c>
      <c r="E646" s="283" t="s">
        <v>1075</v>
      </c>
      <c r="F646" s="283" t="s">
        <v>1089</v>
      </c>
      <c r="G646" s="283">
        <v>2</v>
      </c>
      <c r="H646" s="283">
        <v>0</v>
      </c>
      <c r="I646" s="283">
        <v>0</v>
      </c>
      <c r="J646" s="284">
        <v>1</v>
      </c>
    </row>
    <row r="647" spans="3:10" x14ac:dyDescent="0.25">
      <c r="C647" s="300" t="s">
        <v>1067</v>
      </c>
      <c r="D647" s="283" t="s">
        <v>1077</v>
      </c>
      <c r="E647" s="283" t="s">
        <v>1075</v>
      </c>
      <c r="F647" s="283" t="s">
        <v>1075</v>
      </c>
      <c r="G647" s="283">
        <v>3</v>
      </c>
      <c r="H647" s="283">
        <v>0</v>
      </c>
      <c r="I647" s="283">
        <v>1</v>
      </c>
      <c r="J647" s="284">
        <v>1</v>
      </c>
    </row>
    <row r="648" spans="3:10" x14ac:dyDescent="0.25">
      <c r="C648" s="300" t="s">
        <v>1060</v>
      </c>
      <c r="D648" s="283" t="s">
        <v>1077</v>
      </c>
      <c r="E648" s="283" t="s">
        <v>1075</v>
      </c>
      <c r="F648" s="283" t="s">
        <v>1075</v>
      </c>
      <c r="G648" s="283">
        <v>3</v>
      </c>
      <c r="H648" s="283">
        <v>0</v>
      </c>
      <c r="I648" s="283">
        <v>0</v>
      </c>
      <c r="J648" s="284">
        <v>0</v>
      </c>
    </row>
    <row r="649" spans="3:10" x14ac:dyDescent="0.25">
      <c r="C649" s="300" t="s">
        <v>1060</v>
      </c>
      <c r="D649" s="283" t="s">
        <v>1079</v>
      </c>
      <c r="E649" s="283" t="s">
        <v>1076</v>
      </c>
      <c r="F649" s="283" t="s">
        <v>1083</v>
      </c>
      <c r="G649" s="283">
        <v>2</v>
      </c>
      <c r="H649" s="283">
        <v>0</v>
      </c>
      <c r="I649" s="283">
        <v>1</v>
      </c>
      <c r="J649" s="284">
        <v>0</v>
      </c>
    </row>
    <row r="650" spans="3:10" x14ac:dyDescent="0.25">
      <c r="C650" s="300" t="s">
        <v>1063</v>
      </c>
      <c r="D650" s="283" t="s">
        <v>1079</v>
      </c>
      <c r="E650" s="283" t="s">
        <v>1089</v>
      </c>
      <c r="F650" s="283" t="s">
        <v>1103</v>
      </c>
      <c r="G650" s="283">
        <v>2</v>
      </c>
      <c r="H650" s="283">
        <v>0</v>
      </c>
      <c r="I650" s="283">
        <v>1</v>
      </c>
      <c r="J650" s="284">
        <v>0</v>
      </c>
    </row>
    <row r="651" spans="3:10" x14ac:dyDescent="0.25">
      <c r="C651" s="300" t="s">
        <v>1067</v>
      </c>
      <c r="D651" s="283" t="s">
        <v>1079</v>
      </c>
      <c r="E651" s="283" t="s">
        <v>1075</v>
      </c>
      <c r="F651" s="283" t="s">
        <v>1083</v>
      </c>
      <c r="G651" s="283">
        <v>2</v>
      </c>
      <c r="H651" s="283">
        <v>0</v>
      </c>
      <c r="I651" s="283">
        <v>1</v>
      </c>
      <c r="J651" s="284">
        <v>0</v>
      </c>
    </row>
    <row r="652" spans="3:10" x14ac:dyDescent="0.25">
      <c r="C652" s="300" t="s">
        <v>1060</v>
      </c>
      <c r="D652" s="283" t="s">
        <v>1077</v>
      </c>
      <c r="E652" s="283" t="s">
        <v>1083</v>
      </c>
      <c r="F652" s="283" t="s">
        <v>1080</v>
      </c>
      <c r="G652" s="283">
        <v>2</v>
      </c>
      <c r="H652" s="283">
        <v>0</v>
      </c>
      <c r="I652" s="283">
        <v>1</v>
      </c>
      <c r="J652" s="284">
        <v>0</v>
      </c>
    </row>
    <row r="653" spans="3:10" x14ac:dyDescent="0.25">
      <c r="C653" s="300" t="s">
        <v>1063</v>
      </c>
      <c r="D653" s="283" t="s">
        <v>1087</v>
      </c>
      <c r="E653" s="283" t="s">
        <v>1076</v>
      </c>
      <c r="F653" s="283" t="s">
        <v>524</v>
      </c>
      <c r="G653" s="283">
        <v>1</v>
      </c>
      <c r="H653" s="283">
        <v>0</v>
      </c>
      <c r="I653" s="283">
        <v>0</v>
      </c>
      <c r="J653" s="284">
        <v>0</v>
      </c>
    </row>
    <row r="654" spans="3:10" x14ac:dyDescent="0.25">
      <c r="C654" s="300" t="s">
        <v>1064</v>
      </c>
      <c r="D654" s="283" t="s">
        <v>1079</v>
      </c>
      <c r="E654" s="283" t="s">
        <v>1089</v>
      </c>
      <c r="F654" s="283" t="s">
        <v>1075</v>
      </c>
      <c r="G654" s="283">
        <v>4</v>
      </c>
      <c r="H654" s="283">
        <v>0</v>
      </c>
      <c r="I654" s="283">
        <v>1</v>
      </c>
      <c r="J654" s="284">
        <v>0</v>
      </c>
    </row>
    <row r="655" spans="3:10" x14ac:dyDescent="0.25">
      <c r="C655" s="300" t="s">
        <v>1063</v>
      </c>
      <c r="D655" s="283" t="s">
        <v>1077</v>
      </c>
      <c r="E655" s="283" t="s">
        <v>1083</v>
      </c>
      <c r="F655" s="283" t="s">
        <v>1075</v>
      </c>
      <c r="G655" s="283">
        <v>2</v>
      </c>
      <c r="H655" s="283">
        <v>0</v>
      </c>
      <c r="I655" s="283">
        <v>1</v>
      </c>
      <c r="J655" s="284">
        <v>0</v>
      </c>
    </row>
    <row r="656" spans="3:10" x14ac:dyDescent="0.25">
      <c r="C656" s="300" t="s">
        <v>1067</v>
      </c>
      <c r="D656" s="283" t="s">
        <v>1082</v>
      </c>
      <c r="E656" s="283" t="s">
        <v>1075</v>
      </c>
      <c r="F656" s="283" t="s">
        <v>1075</v>
      </c>
      <c r="G656" s="283">
        <v>3</v>
      </c>
      <c r="H656" s="283">
        <v>0</v>
      </c>
      <c r="I656" s="283">
        <v>0</v>
      </c>
      <c r="J656" s="284">
        <v>2</v>
      </c>
    </row>
    <row r="657" spans="3:10" x14ac:dyDescent="0.25">
      <c r="C657" s="300" t="s">
        <v>1063</v>
      </c>
      <c r="D657" s="283" t="s">
        <v>1043</v>
      </c>
      <c r="E657" s="283" t="s">
        <v>1075</v>
      </c>
      <c r="F657" s="283" t="s">
        <v>1092</v>
      </c>
      <c r="G657" s="283">
        <v>2</v>
      </c>
      <c r="H657" s="283">
        <v>0</v>
      </c>
      <c r="I657" s="283">
        <v>1</v>
      </c>
      <c r="J657" s="284">
        <v>1</v>
      </c>
    </row>
    <row r="658" spans="3:10" x14ac:dyDescent="0.25">
      <c r="C658" s="300" t="s">
        <v>1064</v>
      </c>
      <c r="D658" s="283" t="s">
        <v>1082</v>
      </c>
      <c r="E658" s="283" t="s">
        <v>1078</v>
      </c>
      <c r="F658" s="283" t="s">
        <v>1081</v>
      </c>
      <c r="G658" s="283">
        <v>3</v>
      </c>
      <c r="H658" s="283">
        <v>0</v>
      </c>
      <c r="I658" s="283">
        <v>1</v>
      </c>
      <c r="J658" s="284">
        <v>1</v>
      </c>
    </row>
    <row r="659" spans="3:10" x14ac:dyDescent="0.25">
      <c r="C659" s="300" t="s">
        <v>1066</v>
      </c>
      <c r="D659" s="283" t="s">
        <v>1079</v>
      </c>
      <c r="E659" s="283" t="s">
        <v>1075</v>
      </c>
      <c r="F659" s="283" t="s">
        <v>1075</v>
      </c>
      <c r="G659" s="283">
        <v>2</v>
      </c>
      <c r="H659" s="283">
        <v>0</v>
      </c>
      <c r="I659" s="283">
        <v>0</v>
      </c>
      <c r="J659" s="284">
        <v>0</v>
      </c>
    </row>
    <row r="660" spans="3:10" x14ac:dyDescent="0.25">
      <c r="C660" s="300" t="s">
        <v>1060</v>
      </c>
      <c r="D660" s="283" t="s">
        <v>1087</v>
      </c>
      <c r="E660" s="283" t="s">
        <v>1075</v>
      </c>
      <c r="F660" s="283" t="s">
        <v>524</v>
      </c>
      <c r="G660" s="283">
        <v>3</v>
      </c>
      <c r="H660" s="283">
        <v>0</v>
      </c>
      <c r="I660" s="283">
        <v>0</v>
      </c>
      <c r="J660" s="284">
        <v>0</v>
      </c>
    </row>
    <row r="661" spans="3:10" x14ac:dyDescent="0.25">
      <c r="C661" s="300" t="s">
        <v>1063</v>
      </c>
      <c r="D661" s="283" t="s">
        <v>1077</v>
      </c>
      <c r="E661" s="283" t="s">
        <v>1075</v>
      </c>
      <c r="F661" s="283" t="s">
        <v>1076</v>
      </c>
      <c r="G661" s="283">
        <v>3</v>
      </c>
      <c r="H661" s="283">
        <v>0</v>
      </c>
      <c r="I661" s="283">
        <v>1</v>
      </c>
      <c r="J661" s="284">
        <v>1</v>
      </c>
    </row>
    <row r="662" spans="3:10" x14ac:dyDescent="0.25">
      <c r="C662" s="300" t="s">
        <v>1060</v>
      </c>
      <c r="D662" s="283" t="s">
        <v>1043</v>
      </c>
      <c r="E662" s="283" t="s">
        <v>1075</v>
      </c>
      <c r="F662" s="283" t="s">
        <v>1092</v>
      </c>
      <c r="G662" s="283">
        <v>2</v>
      </c>
      <c r="H662" s="283">
        <v>0</v>
      </c>
      <c r="I662" s="283">
        <v>0</v>
      </c>
      <c r="J662" s="284">
        <v>1</v>
      </c>
    </row>
    <row r="663" spans="3:10" x14ac:dyDescent="0.25">
      <c r="C663" s="300" t="s">
        <v>1065</v>
      </c>
      <c r="D663" s="283" t="s">
        <v>1082</v>
      </c>
      <c r="E663" s="283" t="s">
        <v>1078</v>
      </c>
      <c r="F663" s="283" t="s">
        <v>1078</v>
      </c>
      <c r="G663" s="283">
        <v>2</v>
      </c>
      <c r="H663" s="283">
        <v>0</v>
      </c>
      <c r="I663" s="283">
        <v>0</v>
      </c>
      <c r="J663" s="284">
        <v>0</v>
      </c>
    </row>
    <row r="664" spans="3:10" x14ac:dyDescent="0.25">
      <c r="C664" s="300" t="s">
        <v>1065</v>
      </c>
      <c r="D664" s="283" t="s">
        <v>1043</v>
      </c>
      <c r="E664" s="283" t="s">
        <v>1075</v>
      </c>
      <c r="F664" s="283" t="s">
        <v>1092</v>
      </c>
      <c r="G664" s="283">
        <v>2</v>
      </c>
      <c r="H664" s="283">
        <v>0</v>
      </c>
      <c r="I664" s="283">
        <v>0</v>
      </c>
      <c r="J664" s="284">
        <v>0</v>
      </c>
    </row>
    <row r="665" spans="3:10" x14ac:dyDescent="0.25">
      <c r="C665" s="300" t="s">
        <v>1062</v>
      </c>
      <c r="D665" s="283" t="s">
        <v>1079</v>
      </c>
      <c r="E665" s="283" t="s">
        <v>1075</v>
      </c>
      <c r="F665" s="283" t="s">
        <v>1075</v>
      </c>
      <c r="G665" s="283">
        <v>2</v>
      </c>
      <c r="H665" s="283">
        <v>0</v>
      </c>
      <c r="I665" s="283">
        <v>0</v>
      </c>
      <c r="J665" s="284">
        <v>1</v>
      </c>
    </row>
    <row r="666" spans="3:10" x14ac:dyDescent="0.25">
      <c r="C666" s="300" t="s">
        <v>1059</v>
      </c>
      <c r="D666" s="283" t="s">
        <v>1077</v>
      </c>
      <c r="E666" s="283" t="s">
        <v>1076</v>
      </c>
      <c r="F666" s="283" t="s">
        <v>1078</v>
      </c>
      <c r="G666" s="283">
        <v>3</v>
      </c>
      <c r="H666" s="283">
        <v>0</v>
      </c>
      <c r="I666" s="283">
        <v>0</v>
      </c>
      <c r="J666" s="284">
        <v>0</v>
      </c>
    </row>
    <row r="667" spans="3:10" x14ac:dyDescent="0.25">
      <c r="C667" s="300" t="s">
        <v>1065</v>
      </c>
      <c r="D667" s="283" t="s">
        <v>1079</v>
      </c>
      <c r="E667" s="283" t="s">
        <v>1076</v>
      </c>
      <c r="F667" s="283" t="s">
        <v>1084</v>
      </c>
      <c r="G667" s="283">
        <v>2</v>
      </c>
      <c r="H667" s="283">
        <v>0</v>
      </c>
      <c r="I667" s="283">
        <v>0</v>
      </c>
      <c r="J667" s="284">
        <v>0</v>
      </c>
    </row>
    <row r="668" spans="3:10" x14ac:dyDescent="0.25">
      <c r="C668" s="300" t="s">
        <v>1064</v>
      </c>
      <c r="D668" s="283" t="s">
        <v>1074</v>
      </c>
      <c r="E668" s="283" t="s">
        <v>1076</v>
      </c>
      <c r="F668" s="283" t="s">
        <v>1075</v>
      </c>
      <c r="G668" s="283">
        <v>2</v>
      </c>
      <c r="H668" s="283">
        <v>0</v>
      </c>
      <c r="I668" s="283">
        <v>0</v>
      </c>
      <c r="J668" s="284">
        <v>0</v>
      </c>
    </row>
    <row r="669" spans="3:10" x14ac:dyDescent="0.25">
      <c r="C669" s="300" t="s">
        <v>1059</v>
      </c>
      <c r="D669" s="283" t="s">
        <v>1079</v>
      </c>
      <c r="E669" s="283" t="s">
        <v>1075</v>
      </c>
      <c r="F669" s="283" t="s">
        <v>1075</v>
      </c>
      <c r="G669" s="283">
        <v>2</v>
      </c>
      <c r="H669" s="283">
        <v>0</v>
      </c>
      <c r="I669" s="283">
        <v>0</v>
      </c>
      <c r="J669" s="284">
        <v>0</v>
      </c>
    </row>
    <row r="670" spans="3:10" x14ac:dyDescent="0.25">
      <c r="C670" s="300" t="s">
        <v>1065</v>
      </c>
      <c r="D670" s="283" t="s">
        <v>1079</v>
      </c>
      <c r="E670" s="283" t="s">
        <v>1078</v>
      </c>
      <c r="F670" s="283" t="s">
        <v>1075</v>
      </c>
      <c r="G670" s="283">
        <v>2</v>
      </c>
      <c r="H670" s="283">
        <v>0</v>
      </c>
      <c r="I670" s="283">
        <v>0</v>
      </c>
      <c r="J670" s="284">
        <v>0</v>
      </c>
    </row>
    <row r="671" spans="3:10" x14ac:dyDescent="0.25">
      <c r="C671" s="300" t="s">
        <v>1065</v>
      </c>
      <c r="D671" s="283" t="s">
        <v>1096</v>
      </c>
      <c r="E671" s="283" t="s">
        <v>1075</v>
      </c>
      <c r="F671" s="283" t="s">
        <v>524</v>
      </c>
      <c r="G671" s="283">
        <v>1</v>
      </c>
      <c r="H671" s="283">
        <v>0</v>
      </c>
      <c r="I671" s="283">
        <v>0</v>
      </c>
      <c r="J671" s="284">
        <v>0</v>
      </c>
    </row>
    <row r="672" spans="3:10" x14ac:dyDescent="0.25">
      <c r="C672" s="300" t="s">
        <v>1060</v>
      </c>
      <c r="D672" s="283" t="s">
        <v>1079</v>
      </c>
      <c r="E672" s="283" t="s">
        <v>1075</v>
      </c>
      <c r="F672" s="283" t="s">
        <v>1089</v>
      </c>
      <c r="G672" s="283">
        <v>2</v>
      </c>
      <c r="H672" s="283">
        <v>0</v>
      </c>
      <c r="I672" s="283">
        <v>0</v>
      </c>
      <c r="J672" s="284">
        <v>0</v>
      </c>
    </row>
    <row r="673" spans="3:10" x14ac:dyDescent="0.25">
      <c r="C673" s="300" t="s">
        <v>1066</v>
      </c>
      <c r="D673" s="283" t="s">
        <v>1079</v>
      </c>
      <c r="E673" s="283" t="s">
        <v>1075</v>
      </c>
      <c r="F673" s="283" t="s">
        <v>1078</v>
      </c>
      <c r="G673" s="283">
        <v>2</v>
      </c>
      <c r="H673" s="283">
        <v>0</v>
      </c>
      <c r="I673" s="283">
        <v>0</v>
      </c>
      <c r="J673" s="284">
        <v>0</v>
      </c>
    </row>
    <row r="674" spans="3:10" x14ac:dyDescent="0.25">
      <c r="C674" s="300" t="s">
        <v>1061</v>
      </c>
      <c r="D674" s="283" t="s">
        <v>1079</v>
      </c>
      <c r="E674" s="283" t="s">
        <v>1076</v>
      </c>
      <c r="F674" s="283" t="s">
        <v>1075</v>
      </c>
      <c r="G674" s="283">
        <v>2</v>
      </c>
      <c r="H674" s="283">
        <v>0</v>
      </c>
      <c r="I674" s="283">
        <v>0</v>
      </c>
      <c r="J674" s="284">
        <v>0</v>
      </c>
    </row>
    <row r="675" spans="3:10" x14ac:dyDescent="0.25">
      <c r="C675" s="300" t="s">
        <v>1061</v>
      </c>
      <c r="D675" s="283" t="s">
        <v>1077</v>
      </c>
      <c r="E675" s="283" t="s">
        <v>1093</v>
      </c>
      <c r="F675" s="283" t="s">
        <v>1078</v>
      </c>
      <c r="G675" s="283">
        <v>2</v>
      </c>
      <c r="H675" s="283">
        <v>0</v>
      </c>
      <c r="I675" s="283">
        <v>0</v>
      </c>
      <c r="J675" s="284">
        <v>0</v>
      </c>
    </row>
    <row r="676" spans="3:10" x14ac:dyDescent="0.25">
      <c r="C676" s="300" t="s">
        <v>1063</v>
      </c>
      <c r="D676" s="283" t="s">
        <v>1077</v>
      </c>
      <c r="E676" s="283" t="s">
        <v>1089</v>
      </c>
      <c r="F676" s="283" t="s">
        <v>1089</v>
      </c>
      <c r="G676" s="283">
        <v>2</v>
      </c>
      <c r="H676" s="283">
        <v>0</v>
      </c>
      <c r="I676" s="283">
        <v>0</v>
      </c>
      <c r="J676" s="284">
        <v>0</v>
      </c>
    </row>
    <row r="677" spans="3:10" x14ac:dyDescent="0.25">
      <c r="C677" s="300" t="s">
        <v>1061</v>
      </c>
      <c r="D677" s="283" t="s">
        <v>1079</v>
      </c>
      <c r="E677" s="283" t="s">
        <v>1089</v>
      </c>
      <c r="F677" s="283" t="s">
        <v>1075</v>
      </c>
      <c r="G677" s="283">
        <v>2</v>
      </c>
      <c r="H677" s="283">
        <v>0</v>
      </c>
      <c r="I677" s="283">
        <v>0</v>
      </c>
      <c r="J677" s="284">
        <v>0</v>
      </c>
    </row>
    <row r="678" spans="3:10" x14ac:dyDescent="0.25">
      <c r="C678" s="300" t="s">
        <v>1065</v>
      </c>
      <c r="D678" s="283" t="s">
        <v>1077</v>
      </c>
      <c r="E678" s="283" t="s">
        <v>1089</v>
      </c>
      <c r="F678" s="283" t="s">
        <v>1089</v>
      </c>
      <c r="G678" s="283">
        <v>2</v>
      </c>
      <c r="H678" s="283">
        <v>0</v>
      </c>
      <c r="I678" s="283">
        <v>0</v>
      </c>
      <c r="J678" s="284">
        <v>0</v>
      </c>
    </row>
    <row r="679" spans="3:10" x14ac:dyDescent="0.25">
      <c r="C679" s="300" t="s">
        <v>1064</v>
      </c>
      <c r="D679" s="283" t="s">
        <v>1079</v>
      </c>
      <c r="E679" s="283" t="s">
        <v>1084</v>
      </c>
      <c r="F679" s="283" t="s">
        <v>1089</v>
      </c>
      <c r="G679" s="283">
        <v>2</v>
      </c>
      <c r="H679" s="283">
        <v>0</v>
      </c>
      <c r="I679" s="283">
        <v>0</v>
      </c>
      <c r="J679" s="284">
        <v>1</v>
      </c>
    </row>
    <row r="680" spans="3:10" x14ac:dyDescent="0.25">
      <c r="C680" s="300" t="s">
        <v>1068</v>
      </c>
      <c r="D680" s="283" t="s">
        <v>1043</v>
      </c>
      <c r="E680" s="283" t="s">
        <v>1075</v>
      </c>
      <c r="F680" s="283" t="s">
        <v>1092</v>
      </c>
      <c r="G680" s="283">
        <v>2</v>
      </c>
      <c r="H680" s="283">
        <v>0</v>
      </c>
      <c r="I680" s="283">
        <v>1</v>
      </c>
      <c r="J680" s="284">
        <v>0</v>
      </c>
    </row>
    <row r="681" spans="3:10" x14ac:dyDescent="0.25">
      <c r="C681" s="300" t="s">
        <v>1068</v>
      </c>
      <c r="D681" s="283" t="s">
        <v>1077</v>
      </c>
      <c r="E681" s="283" t="s">
        <v>1075</v>
      </c>
      <c r="F681" s="283" t="s">
        <v>1076</v>
      </c>
      <c r="G681" s="283">
        <v>3</v>
      </c>
      <c r="H681" s="283">
        <v>0</v>
      </c>
      <c r="I681" s="283">
        <v>0</v>
      </c>
      <c r="J681" s="284">
        <v>0</v>
      </c>
    </row>
    <row r="682" spans="3:10" x14ac:dyDescent="0.25">
      <c r="C682" s="300" t="s">
        <v>1062</v>
      </c>
      <c r="D682" s="283" t="s">
        <v>1043</v>
      </c>
      <c r="E682" s="283" t="s">
        <v>1075</v>
      </c>
      <c r="F682" s="283" t="s">
        <v>1092</v>
      </c>
      <c r="G682" s="283">
        <v>2</v>
      </c>
      <c r="H682" s="283">
        <v>0</v>
      </c>
      <c r="I682" s="283">
        <v>0</v>
      </c>
      <c r="J682" s="284">
        <v>0</v>
      </c>
    </row>
    <row r="683" spans="3:10" x14ac:dyDescent="0.25">
      <c r="C683" s="300" t="s">
        <v>1065</v>
      </c>
      <c r="D683" s="283" t="s">
        <v>1043</v>
      </c>
      <c r="E683" s="283" t="s">
        <v>1075</v>
      </c>
      <c r="F683" s="283" t="s">
        <v>1092</v>
      </c>
      <c r="G683" s="283">
        <v>2</v>
      </c>
      <c r="H683" s="283">
        <v>0</v>
      </c>
      <c r="I683" s="283">
        <v>1</v>
      </c>
      <c r="J683" s="284">
        <v>1</v>
      </c>
    </row>
    <row r="684" spans="3:10" x14ac:dyDescent="0.25">
      <c r="C684" s="300" t="s">
        <v>1060</v>
      </c>
      <c r="D684" s="283" t="s">
        <v>1079</v>
      </c>
      <c r="E684" s="283" t="s">
        <v>1044</v>
      </c>
      <c r="F684" s="283" t="s">
        <v>1075</v>
      </c>
      <c r="G684" s="283">
        <v>2</v>
      </c>
      <c r="H684" s="283">
        <v>0</v>
      </c>
      <c r="I684" s="283">
        <v>1</v>
      </c>
      <c r="J684" s="284">
        <v>0</v>
      </c>
    </row>
    <row r="685" spans="3:10" x14ac:dyDescent="0.25">
      <c r="C685" s="300" t="s">
        <v>1064</v>
      </c>
      <c r="D685" s="283" t="s">
        <v>1079</v>
      </c>
      <c r="E685" s="283" t="s">
        <v>1078</v>
      </c>
      <c r="F685" s="283" t="s">
        <v>1089</v>
      </c>
      <c r="G685" s="283">
        <v>2</v>
      </c>
      <c r="H685" s="283">
        <v>0</v>
      </c>
      <c r="I685" s="283">
        <v>0</v>
      </c>
      <c r="J685" s="284">
        <v>0</v>
      </c>
    </row>
    <row r="686" spans="3:10" x14ac:dyDescent="0.25">
      <c r="C686" s="300" t="s">
        <v>1066</v>
      </c>
      <c r="D686" s="283" t="s">
        <v>1077</v>
      </c>
      <c r="E686" s="283" t="s">
        <v>1075</v>
      </c>
      <c r="F686" s="283" t="s">
        <v>1078</v>
      </c>
      <c r="G686" s="283">
        <v>2</v>
      </c>
      <c r="H686" s="283">
        <v>0</v>
      </c>
      <c r="I686" s="283">
        <v>0</v>
      </c>
      <c r="J686" s="284">
        <v>0</v>
      </c>
    </row>
    <row r="687" spans="3:10" x14ac:dyDescent="0.25">
      <c r="C687" s="300" t="s">
        <v>1062</v>
      </c>
      <c r="D687" s="283" t="s">
        <v>1079</v>
      </c>
      <c r="E687" s="283" t="s">
        <v>1084</v>
      </c>
      <c r="F687" s="283" t="s">
        <v>1075</v>
      </c>
      <c r="G687" s="283">
        <v>2</v>
      </c>
      <c r="H687" s="283">
        <v>0</v>
      </c>
      <c r="I687" s="283">
        <v>0</v>
      </c>
      <c r="J687" s="284">
        <v>0</v>
      </c>
    </row>
    <row r="688" spans="3:10" x14ac:dyDescent="0.25">
      <c r="C688" s="300" t="s">
        <v>1063</v>
      </c>
      <c r="D688" s="283" t="s">
        <v>1079</v>
      </c>
      <c r="E688" s="283" t="s">
        <v>1081</v>
      </c>
      <c r="F688" s="283" t="s">
        <v>1075</v>
      </c>
      <c r="G688" s="283">
        <v>3</v>
      </c>
      <c r="H688" s="283">
        <v>0</v>
      </c>
      <c r="I688" s="283">
        <v>0</v>
      </c>
      <c r="J688" s="284">
        <v>0</v>
      </c>
    </row>
    <row r="689" spans="3:10" x14ac:dyDescent="0.25">
      <c r="C689" s="300" t="s">
        <v>1066</v>
      </c>
      <c r="D689" s="283" t="s">
        <v>1079</v>
      </c>
      <c r="E689" s="283" t="s">
        <v>1075</v>
      </c>
      <c r="F689" s="283" t="s">
        <v>1078</v>
      </c>
      <c r="G689" s="283">
        <v>2</v>
      </c>
      <c r="H689" s="283">
        <v>0</v>
      </c>
      <c r="I689" s="283">
        <v>0</v>
      </c>
      <c r="J689" s="284">
        <v>0</v>
      </c>
    </row>
    <row r="690" spans="3:10" x14ac:dyDescent="0.25">
      <c r="C690" s="300" t="s">
        <v>1061</v>
      </c>
      <c r="D690" s="283" t="s">
        <v>1082</v>
      </c>
      <c r="E690" s="283" t="s">
        <v>1076</v>
      </c>
      <c r="F690" s="283" t="s">
        <v>1089</v>
      </c>
      <c r="G690" s="283">
        <v>2</v>
      </c>
      <c r="H690" s="283">
        <v>0</v>
      </c>
      <c r="I690" s="283">
        <v>0</v>
      </c>
      <c r="J690" s="284">
        <v>1</v>
      </c>
    </row>
    <row r="691" spans="3:10" x14ac:dyDescent="0.25">
      <c r="C691" s="300" t="s">
        <v>1061</v>
      </c>
      <c r="D691" s="283" t="s">
        <v>1079</v>
      </c>
      <c r="E691" s="283" t="s">
        <v>1075</v>
      </c>
      <c r="F691" s="283" t="s">
        <v>1075</v>
      </c>
      <c r="G691" s="283">
        <v>2</v>
      </c>
      <c r="H691" s="283">
        <v>0</v>
      </c>
      <c r="I691" s="283">
        <v>0</v>
      </c>
      <c r="J691" s="284">
        <v>0</v>
      </c>
    </row>
    <row r="692" spans="3:10" x14ac:dyDescent="0.25">
      <c r="C692" s="300" t="s">
        <v>1068</v>
      </c>
      <c r="D692" s="283" t="s">
        <v>1079</v>
      </c>
      <c r="E692" s="283" t="s">
        <v>1075</v>
      </c>
      <c r="F692" s="283" t="s">
        <v>1076</v>
      </c>
      <c r="G692" s="283">
        <v>3</v>
      </c>
      <c r="H692" s="283">
        <v>0</v>
      </c>
      <c r="I692" s="283">
        <v>0</v>
      </c>
      <c r="J692" s="284">
        <v>0</v>
      </c>
    </row>
    <row r="693" spans="3:10" x14ac:dyDescent="0.25">
      <c r="C693" s="300" t="s">
        <v>1065</v>
      </c>
      <c r="D693" s="283" t="s">
        <v>1077</v>
      </c>
      <c r="E693" s="283" t="s">
        <v>1075</v>
      </c>
      <c r="F693" s="283" t="s">
        <v>1089</v>
      </c>
      <c r="G693" s="283">
        <v>3</v>
      </c>
      <c r="H693" s="283">
        <v>0</v>
      </c>
      <c r="I693" s="283">
        <v>0</v>
      </c>
      <c r="J693" s="284">
        <v>0</v>
      </c>
    </row>
    <row r="694" spans="3:10" x14ac:dyDescent="0.25">
      <c r="C694" s="300" t="s">
        <v>1065</v>
      </c>
      <c r="D694" s="283" t="s">
        <v>1079</v>
      </c>
      <c r="E694" s="283" t="s">
        <v>1075</v>
      </c>
      <c r="F694" s="283" t="s">
        <v>1075</v>
      </c>
      <c r="G694" s="283">
        <v>2</v>
      </c>
      <c r="H694" s="283">
        <v>0</v>
      </c>
      <c r="I694" s="283">
        <v>0</v>
      </c>
      <c r="J694" s="284">
        <v>0</v>
      </c>
    </row>
    <row r="695" spans="3:10" x14ac:dyDescent="0.25">
      <c r="C695" s="300" t="s">
        <v>1061</v>
      </c>
      <c r="D695" s="283" t="s">
        <v>1077</v>
      </c>
      <c r="E695" s="283" t="s">
        <v>1075</v>
      </c>
      <c r="F695" s="283" t="s">
        <v>1078</v>
      </c>
      <c r="G695" s="283">
        <v>3</v>
      </c>
      <c r="H695" s="283">
        <v>0</v>
      </c>
      <c r="I695" s="283">
        <v>0</v>
      </c>
      <c r="J695" s="284">
        <v>1</v>
      </c>
    </row>
    <row r="696" spans="3:10" x14ac:dyDescent="0.25">
      <c r="C696" s="300" t="s">
        <v>1065</v>
      </c>
      <c r="D696" s="283" t="s">
        <v>1077</v>
      </c>
      <c r="E696" s="283" t="s">
        <v>1075</v>
      </c>
      <c r="F696" s="283" t="s">
        <v>1076</v>
      </c>
      <c r="G696" s="283">
        <v>2</v>
      </c>
      <c r="H696" s="283">
        <v>0</v>
      </c>
      <c r="I696" s="283">
        <v>0</v>
      </c>
      <c r="J696" s="284">
        <v>1</v>
      </c>
    </row>
    <row r="697" spans="3:10" x14ac:dyDescent="0.25">
      <c r="C697" s="300" t="s">
        <v>1061</v>
      </c>
      <c r="D697" s="283" t="s">
        <v>1095</v>
      </c>
      <c r="E697" s="283" t="s">
        <v>1075</v>
      </c>
      <c r="F697" s="283" t="s">
        <v>524</v>
      </c>
      <c r="G697" s="283">
        <v>1</v>
      </c>
      <c r="H697" s="283">
        <v>0</v>
      </c>
      <c r="I697" s="283">
        <v>0</v>
      </c>
      <c r="J697" s="284">
        <v>0</v>
      </c>
    </row>
    <row r="698" spans="3:10" x14ac:dyDescent="0.25">
      <c r="C698" s="300" t="s">
        <v>1062</v>
      </c>
      <c r="D698" s="283" t="s">
        <v>1090</v>
      </c>
      <c r="E698" s="283" t="s">
        <v>1080</v>
      </c>
      <c r="F698" s="283" t="s">
        <v>524</v>
      </c>
      <c r="G698" s="283">
        <v>1</v>
      </c>
      <c r="H698" s="283">
        <v>0</v>
      </c>
      <c r="I698" s="283">
        <v>0</v>
      </c>
      <c r="J698" s="284">
        <v>0</v>
      </c>
    </row>
    <row r="699" spans="3:10" x14ac:dyDescent="0.25">
      <c r="C699" s="300" t="s">
        <v>1061</v>
      </c>
      <c r="D699" s="283" t="s">
        <v>1043</v>
      </c>
      <c r="E699" s="283" t="s">
        <v>1075</v>
      </c>
      <c r="F699" s="283" t="s">
        <v>1092</v>
      </c>
      <c r="G699" s="283">
        <v>2</v>
      </c>
      <c r="H699" s="283">
        <v>0</v>
      </c>
      <c r="I699" s="283">
        <v>1</v>
      </c>
      <c r="J699" s="284">
        <v>0</v>
      </c>
    </row>
    <row r="700" spans="3:10" x14ac:dyDescent="0.25">
      <c r="C700" s="300" t="s">
        <v>1065</v>
      </c>
      <c r="D700" s="283" t="s">
        <v>1077</v>
      </c>
      <c r="E700" s="283" t="s">
        <v>1075</v>
      </c>
      <c r="F700" s="283" t="s">
        <v>1075</v>
      </c>
      <c r="G700" s="283">
        <v>2</v>
      </c>
      <c r="H700" s="283">
        <v>0</v>
      </c>
      <c r="I700" s="283">
        <v>0</v>
      </c>
      <c r="J700" s="284">
        <v>0</v>
      </c>
    </row>
    <row r="701" spans="3:10" x14ac:dyDescent="0.25">
      <c r="C701" s="300" t="s">
        <v>1061</v>
      </c>
      <c r="D701" s="283" t="s">
        <v>1043</v>
      </c>
      <c r="E701" s="283" t="s">
        <v>1089</v>
      </c>
      <c r="F701" s="283" t="s">
        <v>1092</v>
      </c>
      <c r="G701" s="283">
        <v>2</v>
      </c>
      <c r="H701" s="283">
        <v>0</v>
      </c>
      <c r="I701" s="283">
        <v>1</v>
      </c>
      <c r="J701" s="284">
        <v>0</v>
      </c>
    </row>
    <row r="702" spans="3:10" x14ac:dyDescent="0.25">
      <c r="C702" s="300" t="s">
        <v>1067</v>
      </c>
      <c r="D702" s="283" t="s">
        <v>1079</v>
      </c>
      <c r="E702" s="283" t="s">
        <v>1075</v>
      </c>
      <c r="F702" s="283" t="s">
        <v>1084</v>
      </c>
      <c r="G702" s="283">
        <v>2</v>
      </c>
      <c r="H702" s="283">
        <v>0</v>
      </c>
      <c r="I702" s="283">
        <v>0</v>
      </c>
      <c r="J702" s="284">
        <v>1</v>
      </c>
    </row>
    <row r="703" spans="3:10" x14ac:dyDescent="0.25">
      <c r="C703" s="300" t="s">
        <v>1065</v>
      </c>
      <c r="D703" s="283" t="s">
        <v>1087</v>
      </c>
      <c r="E703" s="283" t="s">
        <v>1083</v>
      </c>
      <c r="F703" s="283" t="s">
        <v>524</v>
      </c>
      <c r="G703" s="283">
        <v>1</v>
      </c>
      <c r="H703" s="283">
        <v>0</v>
      </c>
      <c r="I703" s="283">
        <v>0</v>
      </c>
      <c r="J703" s="284">
        <v>0</v>
      </c>
    </row>
    <row r="704" spans="3:10" x14ac:dyDescent="0.25">
      <c r="C704" s="300" t="s">
        <v>1065</v>
      </c>
      <c r="D704" s="283" t="s">
        <v>1043</v>
      </c>
      <c r="E704" s="283" t="s">
        <v>1075</v>
      </c>
      <c r="F704" s="283" t="s">
        <v>1092</v>
      </c>
      <c r="G704" s="283">
        <v>2</v>
      </c>
      <c r="H704" s="283">
        <v>0</v>
      </c>
      <c r="I704" s="283">
        <v>1</v>
      </c>
      <c r="J704" s="284">
        <v>0</v>
      </c>
    </row>
    <row r="705" spans="3:10" x14ac:dyDescent="0.25">
      <c r="C705" s="300" t="s">
        <v>1061</v>
      </c>
      <c r="D705" s="283" t="s">
        <v>1077</v>
      </c>
      <c r="E705" s="283" t="s">
        <v>1088</v>
      </c>
      <c r="F705" s="283" t="s">
        <v>1075</v>
      </c>
      <c r="G705" s="283">
        <v>3</v>
      </c>
      <c r="H705" s="283">
        <v>0</v>
      </c>
      <c r="I705" s="283">
        <v>0</v>
      </c>
      <c r="J705" s="284">
        <v>0</v>
      </c>
    </row>
    <row r="706" spans="3:10" x14ac:dyDescent="0.25">
      <c r="C706" s="300" t="s">
        <v>1068</v>
      </c>
      <c r="D706" s="283" t="s">
        <v>1087</v>
      </c>
      <c r="E706" s="283" t="s">
        <v>1075</v>
      </c>
      <c r="F706" s="283" t="s">
        <v>524</v>
      </c>
      <c r="G706" s="283">
        <v>1</v>
      </c>
      <c r="H706" s="283">
        <v>0</v>
      </c>
      <c r="I706" s="283">
        <v>0</v>
      </c>
      <c r="J706" s="284">
        <v>0</v>
      </c>
    </row>
    <row r="707" spans="3:10" x14ac:dyDescent="0.25">
      <c r="C707" s="300" t="s">
        <v>1062</v>
      </c>
      <c r="D707" s="283" t="s">
        <v>1087</v>
      </c>
      <c r="E707" s="283" t="s">
        <v>1075</v>
      </c>
      <c r="F707" s="283" t="s">
        <v>524</v>
      </c>
      <c r="G707" s="283">
        <v>1</v>
      </c>
      <c r="H707" s="283">
        <v>0</v>
      </c>
      <c r="I707" s="283">
        <v>1</v>
      </c>
      <c r="J707" s="284">
        <v>0</v>
      </c>
    </row>
    <row r="708" spans="3:10" x14ac:dyDescent="0.25">
      <c r="C708" s="300" t="s">
        <v>1064</v>
      </c>
      <c r="D708" s="283" t="s">
        <v>1079</v>
      </c>
      <c r="E708" s="283" t="s">
        <v>1075</v>
      </c>
      <c r="F708" s="283" t="s">
        <v>1080</v>
      </c>
      <c r="G708" s="283">
        <v>2</v>
      </c>
      <c r="H708" s="283">
        <v>0</v>
      </c>
      <c r="I708" s="283">
        <v>0</v>
      </c>
      <c r="J708" s="284">
        <v>0</v>
      </c>
    </row>
    <row r="709" spans="3:10" x14ac:dyDescent="0.25">
      <c r="C709" s="300" t="s">
        <v>1059</v>
      </c>
      <c r="D709" s="283" t="s">
        <v>1077</v>
      </c>
      <c r="E709" s="283" t="s">
        <v>1075</v>
      </c>
      <c r="F709" s="283" t="s">
        <v>1084</v>
      </c>
      <c r="G709" s="283">
        <v>2</v>
      </c>
      <c r="H709" s="283">
        <v>0</v>
      </c>
      <c r="I709" s="283">
        <v>0</v>
      </c>
      <c r="J709" s="284">
        <v>0</v>
      </c>
    </row>
    <row r="710" spans="3:10" x14ac:dyDescent="0.25">
      <c r="C710" s="300" t="s">
        <v>1064</v>
      </c>
      <c r="D710" s="283" t="s">
        <v>1077</v>
      </c>
      <c r="E710" s="283" t="s">
        <v>1081</v>
      </c>
      <c r="F710" s="283" t="s">
        <v>1080</v>
      </c>
      <c r="G710" s="283">
        <v>2</v>
      </c>
      <c r="H710" s="283">
        <v>0</v>
      </c>
      <c r="I710" s="283">
        <v>0</v>
      </c>
      <c r="J710" s="284">
        <v>0</v>
      </c>
    </row>
    <row r="711" spans="3:10" x14ac:dyDescent="0.25">
      <c r="C711" s="300" t="s">
        <v>1065</v>
      </c>
      <c r="D711" s="283" t="s">
        <v>1079</v>
      </c>
      <c r="E711" s="283" t="s">
        <v>1075</v>
      </c>
      <c r="F711" s="283" t="s">
        <v>1089</v>
      </c>
      <c r="G711" s="283">
        <v>2</v>
      </c>
      <c r="H711" s="283">
        <v>0</v>
      </c>
      <c r="I711" s="283">
        <v>0</v>
      </c>
      <c r="J711" s="284">
        <v>0</v>
      </c>
    </row>
    <row r="712" spans="3:10" x14ac:dyDescent="0.25">
      <c r="C712" s="300" t="s">
        <v>1066</v>
      </c>
      <c r="D712" s="283" t="s">
        <v>1074</v>
      </c>
      <c r="E712" s="283" t="s">
        <v>1075</v>
      </c>
      <c r="F712" s="283" t="s">
        <v>1075</v>
      </c>
      <c r="G712" s="283">
        <v>2</v>
      </c>
      <c r="H712" s="283">
        <v>0</v>
      </c>
      <c r="I712" s="283">
        <v>0</v>
      </c>
      <c r="J712" s="284">
        <v>1</v>
      </c>
    </row>
    <row r="713" spans="3:10" x14ac:dyDescent="0.25">
      <c r="C713" s="300" t="s">
        <v>1066</v>
      </c>
      <c r="D713" s="283" t="s">
        <v>1077</v>
      </c>
      <c r="E713" s="283" t="s">
        <v>1080</v>
      </c>
      <c r="F713" s="283" t="s">
        <v>1080</v>
      </c>
      <c r="G713" s="283">
        <v>2</v>
      </c>
      <c r="H713" s="283">
        <v>0</v>
      </c>
      <c r="I713" s="283">
        <v>0</v>
      </c>
      <c r="J713" s="284">
        <v>0</v>
      </c>
    </row>
    <row r="714" spans="3:10" x14ac:dyDescent="0.25">
      <c r="C714" s="300" t="s">
        <v>1066</v>
      </c>
      <c r="D714" s="283" t="s">
        <v>1077</v>
      </c>
      <c r="E714" s="283" t="s">
        <v>1075</v>
      </c>
      <c r="F714" s="283" t="s">
        <v>1075</v>
      </c>
      <c r="G714" s="283">
        <v>3</v>
      </c>
      <c r="H714" s="283">
        <v>0</v>
      </c>
      <c r="I714" s="283">
        <v>0</v>
      </c>
      <c r="J714" s="284">
        <v>1</v>
      </c>
    </row>
    <row r="715" spans="3:10" x14ac:dyDescent="0.25">
      <c r="C715" s="300" t="s">
        <v>1067</v>
      </c>
      <c r="D715" s="283" t="s">
        <v>1079</v>
      </c>
      <c r="E715" s="283" t="s">
        <v>1075</v>
      </c>
      <c r="F715" s="283" t="s">
        <v>1076</v>
      </c>
      <c r="G715" s="283">
        <v>2</v>
      </c>
      <c r="H715" s="283">
        <v>0</v>
      </c>
      <c r="I715" s="283">
        <v>0</v>
      </c>
      <c r="J715" s="284">
        <v>1</v>
      </c>
    </row>
    <row r="716" spans="3:10" x14ac:dyDescent="0.25">
      <c r="C716" s="300" t="s">
        <v>1064</v>
      </c>
      <c r="D716" s="283" t="s">
        <v>1077</v>
      </c>
      <c r="E716" s="283" t="s">
        <v>1094</v>
      </c>
      <c r="F716" s="283" t="s">
        <v>1089</v>
      </c>
      <c r="G716" s="283">
        <v>2</v>
      </c>
      <c r="H716" s="283">
        <v>0</v>
      </c>
      <c r="I716" s="283">
        <v>0</v>
      </c>
      <c r="J716" s="284">
        <v>0</v>
      </c>
    </row>
    <row r="717" spans="3:10" x14ac:dyDescent="0.25">
      <c r="C717" s="300" t="s">
        <v>1063</v>
      </c>
      <c r="D717" s="283" t="s">
        <v>1077</v>
      </c>
      <c r="E717" s="283" t="s">
        <v>1084</v>
      </c>
      <c r="F717" s="283" t="s">
        <v>1089</v>
      </c>
      <c r="G717" s="283">
        <v>2</v>
      </c>
      <c r="H717" s="283">
        <v>0</v>
      </c>
      <c r="I717" s="283">
        <v>0</v>
      </c>
      <c r="J717" s="284">
        <v>0</v>
      </c>
    </row>
    <row r="718" spans="3:10" x14ac:dyDescent="0.25">
      <c r="C718" s="300" t="s">
        <v>1064</v>
      </c>
      <c r="D718" s="283" t="s">
        <v>1079</v>
      </c>
      <c r="E718" s="283" t="s">
        <v>1088</v>
      </c>
      <c r="F718" s="283" t="s">
        <v>1075</v>
      </c>
      <c r="G718" s="283">
        <v>2</v>
      </c>
      <c r="H718" s="283">
        <v>0</v>
      </c>
      <c r="I718" s="283">
        <v>0</v>
      </c>
      <c r="J718" s="284">
        <v>0</v>
      </c>
    </row>
    <row r="719" spans="3:10" x14ac:dyDescent="0.25">
      <c r="C719" s="300" t="s">
        <v>1061</v>
      </c>
      <c r="D719" s="283" t="s">
        <v>1090</v>
      </c>
      <c r="E719" s="283" t="s">
        <v>1083</v>
      </c>
      <c r="F719" s="283" t="s">
        <v>524</v>
      </c>
      <c r="G719" s="283">
        <v>1</v>
      </c>
      <c r="H719" s="283">
        <v>0</v>
      </c>
      <c r="I719" s="283">
        <v>0</v>
      </c>
      <c r="J719" s="284">
        <v>0</v>
      </c>
    </row>
    <row r="720" spans="3:10" x14ac:dyDescent="0.25">
      <c r="C720" s="300" t="s">
        <v>1060</v>
      </c>
      <c r="D720" s="283" t="s">
        <v>1077</v>
      </c>
      <c r="E720" s="283" t="s">
        <v>1089</v>
      </c>
      <c r="F720" s="283" t="s">
        <v>1089</v>
      </c>
      <c r="G720" s="283">
        <v>3</v>
      </c>
      <c r="H720" s="283">
        <v>0</v>
      </c>
      <c r="I720" s="283">
        <v>0</v>
      </c>
      <c r="J720" s="284">
        <v>0</v>
      </c>
    </row>
    <row r="721" spans="3:10" x14ac:dyDescent="0.25">
      <c r="C721" s="300" t="s">
        <v>1063</v>
      </c>
      <c r="D721" s="283" t="s">
        <v>1077</v>
      </c>
      <c r="E721" s="283" t="s">
        <v>1080</v>
      </c>
      <c r="F721" s="283" t="s">
        <v>1075</v>
      </c>
      <c r="G721" s="283">
        <v>4</v>
      </c>
      <c r="H721" s="283">
        <v>0</v>
      </c>
      <c r="I721" s="283">
        <v>2</v>
      </c>
      <c r="J721" s="284">
        <v>0</v>
      </c>
    </row>
    <row r="722" spans="3:10" x14ac:dyDescent="0.25">
      <c r="C722" s="300" t="s">
        <v>1065</v>
      </c>
      <c r="D722" s="283" t="s">
        <v>1079</v>
      </c>
      <c r="E722" s="283" t="s">
        <v>1091</v>
      </c>
      <c r="F722" s="283" t="s">
        <v>1075</v>
      </c>
      <c r="G722" s="283">
        <v>2</v>
      </c>
      <c r="H722" s="283">
        <v>0</v>
      </c>
      <c r="I722" s="283">
        <v>0</v>
      </c>
      <c r="J722" s="284">
        <v>0</v>
      </c>
    </row>
    <row r="723" spans="3:10" x14ac:dyDescent="0.25">
      <c r="C723" s="300" t="s">
        <v>1060</v>
      </c>
      <c r="D723" s="283" t="s">
        <v>1087</v>
      </c>
      <c r="E723" s="283" t="s">
        <v>1089</v>
      </c>
      <c r="F723" s="283" t="s">
        <v>524</v>
      </c>
      <c r="G723" s="283">
        <v>1</v>
      </c>
      <c r="H723" s="283">
        <v>0</v>
      </c>
      <c r="I723" s="283">
        <v>0</v>
      </c>
      <c r="J723" s="284">
        <v>0</v>
      </c>
    </row>
    <row r="724" spans="3:10" x14ac:dyDescent="0.25">
      <c r="C724" s="300" t="s">
        <v>1066</v>
      </c>
      <c r="D724" s="283" t="s">
        <v>1079</v>
      </c>
      <c r="E724" s="283" t="s">
        <v>1075</v>
      </c>
      <c r="F724" s="283" t="s">
        <v>1078</v>
      </c>
      <c r="G724" s="283">
        <v>2</v>
      </c>
      <c r="H724" s="283">
        <v>0</v>
      </c>
      <c r="I724" s="283">
        <v>0</v>
      </c>
      <c r="J724" s="284">
        <v>0</v>
      </c>
    </row>
    <row r="725" spans="3:10" x14ac:dyDescent="0.25">
      <c r="C725" s="300" t="s">
        <v>1060</v>
      </c>
      <c r="D725" s="283" t="s">
        <v>1077</v>
      </c>
      <c r="E725" s="283" t="s">
        <v>1075</v>
      </c>
      <c r="F725" s="283" t="s">
        <v>1089</v>
      </c>
      <c r="G725" s="283">
        <v>2</v>
      </c>
      <c r="H725" s="283">
        <v>0</v>
      </c>
      <c r="I725" s="283">
        <v>0</v>
      </c>
      <c r="J725" s="284">
        <v>1</v>
      </c>
    </row>
    <row r="726" spans="3:10" x14ac:dyDescent="0.25">
      <c r="C726" s="300" t="s">
        <v>1059</v>
      </c>
      <c r="D726" s="283" t="s">
        <v>1079</v>
      </c>
      <c r="E726" s="283" t="s">
        <v>1075</v>
      </c>
      <c r="F726" s="283" t="s">
        <v>1075</v>
      </c>
      <c r="G726" s="283">
        <v>3</v>
      </c>
      <c r="H726" s="283">
        <v>0</v>
      </c>
      <c r="I726" s="283">
        <v>0</v>
      </c>
      <c r="J726" s="284">
        <v>0</v>
      </c>
    </row>
    <row r="727" spans="3:10" x14ac:dyDescent="0.25">
      <c r="C727" s="300" t="s">
        <v>1066</v>
      </c>
      <c r="D727" s="283" t="s">
        <v>1043</v>
      </c>
      <c r="E727" s="283" t="s">
        <v>1044</v>
      </c>
      <c r="F727" s="283" t="s">
        <v>1092</v>
      </c>
      <c r="G727" s="283">
        <v>2</v>
      </c>
      <c r="H727" s="283">
        <v>0</v>
      </c>
      <c r="I727" s="283">
        <v>1</v>
      </c>
      <c r="J727" s="284">
        <v>0</v>
      </c>
    </row>
    <row r="728" spans="3:10" x14ac:dyDescent="0.25">
      <c r="C728" s="300" t="s">
        <v>1063</v>
      </c>
      <c r="D728" s="283" t="s">
        <v>1087</v>
      </c>
      <c r="E728" s="283" t="s">
        <v>1083</v>
      </c>
      <c r="F728" s="283" t="s">
        <v>524</v>
      </c>
      <c r="G728" s="283">
        <v>1</v>
      </c>
      <c r="H728" s="283">
        <v>0</v>
      </c>
      <c r="I728" s="283">
        <v>1</v>
      </c>
      <c r="J728" s="284">
        <v>0</v>
      </c>
    </row>
    <row r="729" spans="3:10" x14ac:dyDescent="0.25">
      <c r="C729" s="300" t="s">
        <v>1063</v>
      </c>
      <c r="D729" s="283" t="s">
        <v>1043</v>
      </c>
      <c r="E729" s="283" t="s">
        <v>1089</v>
      </c>
      <c r="F729" s="283" t="s">
        <v>1104</v>
      </c>
      <c r="G729" s="283">
        <v>2</v>
      </c>
      <c r="H729" s="283">
        <v>0</v>
      </c>
      <c r="I729" s="283">
        <v>0</v>
      </c>
      <c r="J729" s="284">
        <v>1</v>
      </c>
    </row>
    <row r="730" spans="3:10" x14ac:dyDescent="0.25">
      <c r="C730" s="300" t="s">
        <v>1066</v>
      </c>
      <c r="D730" s="283" t="s">
        <v>1079</v>
      </c>
      <c r="E730" s="283" t="s">
        <v>1086</v>
      </c>
      <c r="F730" s="283" t="s">
        <v>1075</v>
      </c>
      <c r="G730" s="283">
        <v>4</v>
      </c>
      <c r="H730" s="283">
        <v>0</v>
      </c>
      <c r="I730" s="283">
        <v>0</v>
      </c>
      <c r="J730" s="284">
        <v>0</v>
      </c>
    </row>
    <row r="731" spans="3:10" x14ac:dyDescent="0.25">
      <c r="C731" s="300" t="s">
        <v>1064</v>
      </c>
      <c r="D731" s="283" t="s">
        <v>1043</v>
      </c>
      <c r="E731" s="283" t="s">
        <v>1076</v>
      </c>
      <c r="F731" s="283" t="s">
        <v>1092</v>
      </c>
      <c r="G731" s="283">
        <v>2</v>
      </c>
      <c r="H731" s="283">
        <v>0</v>
      </c>
      <c r="I731" s="283">
        <v>1</v>
      </c>
      <c r="J731" s="284">
        <v>0</v>
      </c>
    </row>
    <row r="732" spans="3:10" x14ac:dyDescent="0.25">
      <c r="C732" s="300" t="s">
        <v>1058</v>
      </c>
      <c r="D732" s="283" t="s">
        <v>1087</v>
      </c>
      <c r="E732" s="283" t="s">
        <v>1076</v>
      </c>
      <c r="F732" s="283" t="s">
        <v>524</v>
      </c>
      <c r="G732" s="283">
        <v>1</v>
      </c>
      <c r="H732" s="283">
        <v>0</v>
      </c>
      <c r="I732" s="283">
        <v>0</v>
      </c>
      <c r="J732" s="284">
        <v>0</v>
      </c>
    </row>
    <row r="733" spans="3:10" x14ac:dyDescent="0.25">
      <c r="C733" s="300" t="s">
        <v>1063</v>
      </c>
      <c r="D733" s="283" t="s">
        <v>1079</v>
      </c>
      <c r="E733" s="283" t="s">
        <v>1076</v>
      </c>
      <c r="F733" s="283" t="s">
        <v>1089</v>
      </c>
      <c r="G733" s="283">
        <v>2</v>
      </c>
      <c r="H733" s="283">
        <v>0</v>
      </c>
      <c r="I733" s="283">
        <v>0</v>
      </c>
      <c r="J733" s="284">
        <v>2</v>
      </c>
    </row>
    <row r="734" spans="3:10" x14ac:dyDescent="0.25">
      <c r="C734" s="300" t="s">
        <v>1061</v>
      </c>
      <c r="D734" s="283" t="s">
        <v>1082</v>
      </c>
      <c r="E734" s="283" t="s">
        <v>1075</v>
      </c>
      <c r="F734" s="283" t="s">
        <v>1076</v>
      </c>
      <c r="G734" s="283">
        <v>2</v>
      </c>
      <c r="H734" s="283">
        <v>0</v>
      </c>
      <c r="I734" s="283">
        <v>0</v>
      </c>
      <c r="J734" s="284">
        <v>1</v>
      </c>
    </row>
    <row r="735" spans="3:10" x14ac:dyDescent="0.25">
      <c r="C735" s="300" t="s">
        <v>1066</v>
      </c>
      <c r="D735" s="283" t="s">
        <v>1079</v>
      </c>
      <c r="E735" s="283" t="s">
        <v>1075</v>
      </c>
      <c r="F735" s="283" t="s">
        <v>1089</v>
      </c>
      <c r="G735" s="283">
        <v>3</v>
      </c>
      <c r="H735" s="283">
        <v>0</v>
      </c>
      <c r="I735" s="283">
        <v>0</v>
      </c>
      <c r="J735" s="284">
        <v>0</v>
      </c>
    </row>
    <row r="736" spans="3:10" x14ac:dyDescent="0.25">
      <c r="C736" s="300" t="s">
        <v>1063</v>
      </c>
      <c r="D736" s="283" t="s">
        <v>1079</v>
      </c>
      <c r="E736" s="283" t="s">
        <v>1100</v>
      </c>
      <c r="F736" s="283" t="s">
        <v>1078</v>
      </c>
      <c r="G736" s="283">
        <v>2</v>
      </c>
      <c r="H736" s="283">
        <v>0</v>
      </c>
      <c r="I736" s="283">
        <v>0</v>
      </c>
      <c r="J736" s="284">
        <v>0</v>
      </c>
    </row>
    <row r="737" spans="3:10" x14ac:dyDescent="0.25">
      <c r="C737" s="300" t="s">
        <v>1063</v>
      </c>
      <c r="D737" s="283" t="s">
        <v>1043</v>
      </c>
      <c r="E737" s="283" t="s">
        <v>1076</v>
      </c>
      <c r="F737" s="283" t="s">
        <v>1092</v>
      </c>
      <c r="G737" s="283">
        <v>2</v>
      </c>
      <c r="H737" s="283">
        <v>0</v>
      </c>
      <c r="I737" s="283">
        <v>1</v>
      </c>
      <c r="J737" s="284">
        <v>0</v>
      </c>
    </row>
    <row r="738" spans="3:10" x14ac:dyDescent="0.25">
      <c r="C738" s="300" t="s">
        <v>1064</v>
      </c>
      <c r="D738" s="283" t="s">
        <v>1079</v>
      </c>
      <c r="E738" s="283" t="s">
        <v>1089</v>
      </c>
      <c r="F738" s="283" t="s">
        <v>1085</v>
      </c>
      <c r="G738" s="283">
        <v>2</v>
      </c>
      <c r="H738" s="283">
        <v>0</v>
      </c>
      <c r="I738" s="283">
        <v>0</v>
      </c>
      <c r="J738" s="284">
        <v>0</v>
      </c>
    </row>
    <row r="739" spans="3:10" x14ac:dyDescent="0.25">
      <c r="C739" s="300" t="s">
        <v>1068</v>
      </c>
      <c r="D739" s="283" t="s">
        <v>1087</v>
      </c>
      <c r="E739" s="283" t="s">
        <v>1075</v>
      </c>
      <c r="F739" s="283" t="s">
        <v>524</v>
      </c>
      <c r="G739" s="283">
        <v>1</v>
      </c>
      <c r="H739" s="283">
        <v>0</v>
      </c>
      <c r="I739" s="283">
        <v>0</v>
      </c>
      <c r="J739" s="284">
        <v>0</v>
      </c>
    </row>
    <row r="740" spans="3:10" x14ac:dyDescent="0.25">
      <c r="C740" s="300" t="s">
        <v>1060</v>
      </c>
      <c r="D740" s="283" t="s">
        <v>1074</v>
      </c>
      <c r="E740" s="283" t="s">
        <v>1075</v>
      </c>
      <c r="F740" s="283" t="s">
        <v>1075</v>
      </c>
      <c r="G740" s="283">
        <v>2</v>
      </c>
      <c r="H740" s="283">
        <v>0</v>
      </c>
      <c r="I740" s="283">
        <v>0</v>
      </c>
      <c r="J740" s="284">
        <v>1</v>
      </c>
    </row>
    <row r="741" spans="3:10" x14ac:dyDescent="0.25">
      <c r="C741" s="300" t="s">
        <v>1065</v>
      </c>
      <c r="D741" s="283" t="s">
        <v>1074</v>
      </c>
      <c r="E741" s="283" t="s">
        <v>1075</v>
      </c>
      <c r="F741" s="283" t="s">
        <v>1089</v>
      </c>
      <c r="G741" s="283">
        <v>2</v>
      </c>
      <c r="H741" s="283">
        <v>0</v>
      </c>
      <c r="I741" s="283">
        <v>0</v>
      </c>
      <c r="J741" s="284">
        <v>1</v>
      </c>
    </row>
    <row r="742" spans="3:10" x14ac:dyDescent="0.25">
      <c r="C742" s="300" t="s">
        <v>1061</v>
      </c>
      <c r="D742" s="283" t="s">
        <v>1074</v>
      </c>
      <c r="E742" s="283" t="s">
        <v>1075</v>
      </c>
      <c r="F742" s="283" t="s">
        <v>1075</v>
      </c>
      <c r="G742" s="283">
        <v>2</v>
      </c>
      <c r="H742" s="283">
        <v>0</v>
      </c>
      <c r="I742" s="283">
        <v>0</v>
      </c>
      <c r="J742" s="284">
        <v>0</v>
      </c>
    </row>
    <row r="743" spans="3:10" x14ac:dyDescent="0.25">
      <c r="C743" s="300" t="s">
        <v>1064</v>
      </c>
      <c r="D743" s="283" t="s">
        <v>1079</v>
      </c>
      <c r="E743" s="283" t="s">
        <v>1084</v>
      </c>
      <c r="F743" s="283" t="s">
        <v>1075</v>
      </c>
      <c r="G743" s="283">
        <v>2</v>
      </c>
      <c r="H743" s="283">
        <v>0</v>
      </c>
      <c r="I743" s="283">
        <v>0</v>
      </c>
      <c r="J743" s="284">
        <v>0</v>
      </c>
    </row>
    <row r="744" spans="3:10" x14ac:dyDescent="0.25">
      <c r="C744" s="300" t="s">
        <v>1065</v>
      </c>
      <c r="D744" s="283" t="s">
        <v>1077</v>
      </c>
      <c r="E744" s="283" t="s">
        <v>1089</v>
      </c>
      <c r="F744" s="283" t="s">
        <v>1089</v>
      </c>
      <c r="G744" s="283">
        <v>2</v>
      </c>
      <c r="H744" s="283">
        <v>0</v>
      </c>
      <c r="I744" s="283">
        <v>0</v>
      </c>
      <c r="J744" s="284">
        <v>0</v>
      </c>
    </row>
    <row r="745" spans="3:10" x14ac:dyDescent="0.25">
      <c r="C745" s="300" t="s">
        <v>1063</v>
      </c>
      <c r="D745" s="283" t="s">
        <v>1079</v>
      </c>
      <c r="E745" s="283" t="s">
        <v>1075</v>
      </c>
      <c r="F745" s="283" t="s">
        <v>1075</v>
      </c>
      <c r="G745" s="283">
        <v>2</v>
      </c>
      <c r="H745" s="283">
        <v>0</v>
      </c>
      <c r="I745" s="283">
        <v>0</v>
      </c>
      <c r="J745" s="284">
        <v>0</v>
      </c>
    </row>
    <row r="746" spans="3:10" x14ac:dyDescent="0.25">
      <c r="C746" s="300" t="s">
        <v>1061</v>
      </c>
      <c r="D746" s="283" t="s">
        <v>1077</v>
      </c>
      <c r="E746" s="283" t="s">
        <v>1075</v>
      </c>
      <c r="F746" s="283" t="s">
        <v>1075</v>
      </c>
      <c r="G746" s="283">
        <v>2</v>
      </c>
      <c r="H746" s="283">
        <v>0</v>
      </c>
      <c r="I746" s="283">
        <v>0</v>
      </c>
      <c r="J746" s="284">
        <v>1</v>
      </c>
    </row>
    <row r="747" spans="3:10" x14ac:dyDescent="0.25">
      <c r="C747" s="300" t="s">
        <v>1060</v>
      </c>
      <c r="D747" s="283" t="s">
        <v>1090</v>
      </c>
      <c r="E747" s="283" t="s">
        <v>1088</v>
      </c>
      <c r="F747" s="283" t="s">
        <v>524</v>
      </c>
      <c r="G747" s="283">
        <v>1</v>
      </c>
      <c r="H747" s="283">
        <v>0</v>
      </c>
      <c r="I747" s="283">
        <v>0</v>
      </c>
      <c r="J747" s="284">
        <v>0</v>
      </c>
    </row>
    <row r="748" spans="3:10" x14ac:dyDescent="0.25">
      <c r="C748" s="300" t="s">
        <v>1063</v>
      </c>
      <c r="D748" s="283" t="s">
        <v>1074</v>
      </c>
      <c r="E748" s="283" t="s">
        <v>1089</v>
      </c>
      <c r="F748" s="283" t="s">
        <v>1075</v>
      </c>
      <c r="G748" s="283">
        <v>2</v>
      </c>
      <c r="H748" s="283">
        <v>0</v>
      </c>
      <c r="I748" s="283">
        <v>0</v>
      </c>
      <c r="J748" s="284">
        <v>1</v>
      </c>
    </row>
    <row r="749" spans="3:10" x14ac:dyDescent="0.25">
      <c r="C749" s="300" t="s">
        <v>1064</v>
      </c>
      <c r="D749" s="283" t="s">
        <v>1074</v>
      </c>
      <c r="E749" s="283" t="s">
        <v>1075</v>
      </c>
      <c r="F749" s="283" t="s">
        <v>1075</v>
      </c>
      <c r="G749" s="283">
        <v>2</v>
      </c>
      <c r="H749" s="283">
        <v>0</v>
      </c>
      <c r="I749" s="283">
        <v>0</v>
      </c>
      <c r="J749" s="284">
        <v>0</v>
      </c>
    </row>
    <row r="750" spans="3:10" x14ac:dyDescent="0.25">
      <c r="C750" s="300" t="s">
        <v>1060</v>
      </c>
      <c r="D750" s="283" t="s">
        <v>1074</v>
      </c>
      <c r="E750" s="283" t="s">
        <v>1075</v>
      </c>
      <c r="F750" s="283" t="s">
        <v>1078</v>
      </c>
      <c r="G750" s="283">
        <v>3</v>
      </c>
      <c r="H750" s="283">
        <v>0</v>
      </c>
      <c r="I750" s="283">
        <v>0</v>
      </c>
      <c r="J750" s="284">
        <v>0</v>
      </c>
    </row>
    <row r="751" spans="3:10" x14ac:dyDescent="0.25">
      <c r="C751" s="300" t="s">
        <v>1061</v>
      </c>
      <c r="D751" s="283" t="s">
        <v>1077</v>
      </c>
      <c r="E751" s="283" t="s">
        <v>1078</v>
      </c>
      <c r="F751" s="283" t="s">
        <v>1081</v>
      </c>
      <c r="G751" s="283">
        <v>2</v>
      </c>
      <c r="H751" s="283">
        <v>0</v>
      </c>
      <c r="I751" s="283">
        <v>0</v>
      </c>
      <c r="J751" s="284">
        <v>0</v>
      </c>
    </row>
    <row r="752" spans="3:10" x14ac:dyDescent="0.25">
      <c r="C752" s="300" t="s">
        <v>1065</v>
      </c>
      <c r="D752" s="283" t="s">
        <v>1082</v>
      </c>
      <c r="E752" s="283" t="s">
        <v>1075</v>
      </c>
      <c r="F752" s="283" t="s">
        <v>1089</v>
      </c>
      <c r="G752" s="283">
        <v>2</v>
      </c>
      <c r="H752" s="283">
        <v>0</v>
      </c>
      <c r="I752" s="283">
        <v>0</v>
      </c>
      <c r="J752" s="284">
        <v>0</v>
      </c>
    </row>
    <row r="753" spans="3:10" x14ac:dyDescent="0.25">
      <c r="C753" s="300" t="s">
        <v>1065</v>
      </c>
      <c r="D753" s="283" t="s">
        <v>1043</v>
      </c>
      <c r="E753" s="283" t="s">
        <v>1089</v>
      </c>
      <c r="F753" s="283" t="s">
        <v>1092</v>
      </c>
      <c r="G753" s="283">
        <v>2</v>
      </c>
      <c r="H753" s="283">
        <v>0</v>
      </c>
      <c r="I753" s="283">
        <v>0</v>
      </c>
      <c r="J753" s="284">
        <v>0</v>
      </c>
    </row>
    <row r="754" spans="3:10" x14ac:dyDescent="0.25">
      <c r="C754" s="300" t="s">
        <v>1065</v>
      </c>
      <c r="D754" s="283" t="s">
        <v>1077</v>
      </c>
      <c r="E754" s="283" t="s">
        <v>1075</v>
      </c>
      <c r="F754" s="283" t="s">
        <v>1076</v>
      </c>
      <c r="G754" s="283">
        <v>2</v>
      </c>
      <c r="H754" s="283">
        <v>0</v>
      </c>
      <c r="I754" s="283">
        <v>0</v>
      </c>
      <c r="J754" s="284">
        <v>0</v>
      </c>
    </row>
    <row r="755" spans="3:10" x14ac:dyDescent="0.25">
      <c r="C755" s="300" t="s">
        <v>1065</v>
      </c>
      <c r="D755" s="283" t="s">
        <v>1077</v>
      </c>
      <c r="E755" s="283" t="s">
        <v>1076</v>
      </c>
      <c r="F755" s="283" t="s">
        <v>1075</v>
      </c>
      <c r="G755" s="283">
        <v>3</v>
      </c>
      <c r="H755" s="283">
        <v>0</v>
      </c>
      <c r="I755" s="283">
        <v>0</v>
      </c>
      <c r="J755" s="284">
        <v>0</v>
      </c>
    </row>
    <row r="756" spans="3:10" x14ac:dyDescent="0.25">
      <c r="C756" s="300" t="s">
        <v>1067</v>
      </c>
      <c r="D756" s="283" t="s">
        <v>1077</v>
      </c>
      <c r="E756" s="283" t="s">
        <v>1075</v>
      </c>
      <c r="F756" s="283" t="s">
        <v>1044</v>
      </c>
      <c r="G756" s="283">
        <v>2</v>
      </c>
      <c r="H756" s="283">
        <v>0</v>
      </c>
      <c r="I756" s="283">
        <v>0</v>
      </c>
      <c r="J756" s="284">
        <v>0</v>
      </c>
    </row>
    <row r="757" spans="3:10" x14ac:dyDescent="0.25">
      <c r="C757" s="300" t="s">
        <v>1065</v>
      </c>
      <c r="D757" s="283" t="s">
        <v>1043</v>
      </c>
      <c r="E757" s="283" t="s">
        <v>1086</v>
      </c>
      <c r="F757" s="283" t="s">
        <v>1092</v>
      </c>
      <c r="G757" s="283">
        <v>2</v>
      </c>
      <c r="H757" s="283">
        <v>0</v>
      </c>
      <c r="I757" s="283">
        <v>0</v>
      </c>
      <c r="J757" s="284">
        <v>0</v>
      </c>
    </row>
    <row r="758" spans="3:10" x14ac:dyDescent="0.25">
      <c r="C758" s="300" t="s">
        <v>1063</v>
      </c>
      <c r="D758" s="283" t="s">
        <v>1079</v>
      </c>
      <c r="E758" s="283" t="s">
        <v>1075</v>
      </c>
      <c r="F758" s="283" t="s">
        <v>1083</v>
      </c>
      <c r="G758" s="283">
        <v>2</v>
      </c>
      <c r="H758" s="283">
        <v>0</v>
      </c>
      <c r="I758" s="283">
        <v>0</v>
      </c>
      <c r="J758" s="284">
        <v>1</v>
      </c>
    </row>
    <row r="759" spans="3:10" x14ac:dyDescent="0.25">
      <c r="C759" s="300" t="s">
        <v>1062</v>
      </c>
      <c r="D759" s="283" t="s">
        <v>1077</v>
      </c>
      <c r="E759" s="283" t="s">
        <v>1076</v>
      </c>
      <c r="F759" s="283" t="s">
        <v>1075</v>
      </c>
      <c r="G759" s="283">
        <v>3</v>
      </c>
      <c r="H759" s="283">
        <v>0</v>
      </c>
      <c r="I759" s="283">
        <v>0</v>
      </c>
      <c r="J759" s="284">
        <v>1</v>
      </c>
    </row>
    <row r="760" spans="3:10" x14ac:dyDescent="0.25">
      <c r="C760" s="300" t="s">
        <v>1061</v>
      </c>
      <c r="D760" s="283" t="s">
        <v>1079</v>
      </c>
      <c r="E760" s="283" t="s">
        <v>1075</v>
      </c>
      <c r="F760" s="283" t="s">
        <v>1075</v>
      </c>
      <c r="G760" s="283">
        <v>2</v>
      </c>
      <c r="H760" s="283">
        <v>0</v>
      </c>
      <c r="I760" s="283">
        <v>0</v>
      </c>
      <c r="J760" s="284">
        <v>0</v>
      </c>
    </row>
    <row r="761" spans="3:10" x14ac:dyDescent="0.25">
      <c r="C761" s="300" t="s">
        <v>1065</v>
      </c>
      <c r="D761" s="283" t="s">
        <v>1087</v>
      </c>
      <c r="E761" s="283" t="s">
        <v>1075</v>
      </c>
      <c r="F761" s="283" t="s">
        <v>524</v>
      </c>
      <c r="G761" s="283">
        <v>1</v>
      </c>
      <c r="H761" s="283">
        <v>0</v>
      </c>
      <c r="I761" s="283">
        <v>1</v>
      </c>
      <c r="J761" s="284">
        <v>0</v>
      </c>
    </row>
    <row r="762" spans="3:10" x14ac:dyDescent="0.25">
      <c r="C762" s="300" t="s">
        <v>1066</v>
      </c>
      <c r="D762" s="283" t="s">
        <v>1043</v>
      </c>
      <c r="E762" s="283" t="s">
        <v>1081</v>
      </c>
      <c r="F762" s="283" t="s">
        <v>1092</v>
      </c>
      <c r="G762" s="283">
        <v>2</v>
      </c>
      <c r="H762" s="283">
        <v>0</v>
      </c>
      <c r="I762" s="283">
        <v>1</v>
      </c>
      <c r="J762" s="284">
        <v>0</v>
      </c>
    </row>
    <row r="763" spans="3:10" x14ac:dyDescent="0.25">
      <c r="C763" s="300" t="s">
        <v>1057</v>
      </c>
      <c r="D763" s="283" t="s">
        <v>1087</v>
      </c>
      <c r="E763" s="283" t="s">
        <v>1089</v>
      </c>
      <c r="F763" s="283" t="s">
        <v>524</v>
      </c>
      <c r="G763" s="283">
        <v>1</v>
      </c>
      <c r="H763" s="283">
        <v>0</v>
      </c>
      <c r="I763" s="283">
        <v>0</v>
      </c>
      <c r="J763" s="284">
        <v>0</v>
      </c>
    </row>
    <row r="764" spans="3:10" x14ac:dyDescent="0.25">
      <c r="C764" s="300" t="s">
        <v>1057</v>
      </c>
      <c r="D764" s="283" t="s">
        <v>1079</v>
      </c>
      <c r="E764" s="283" t="s">
        <v>1075</v>
      </c>
      <c r="F764" s="283" t="s">
        <v>1075</v>
      </c>
      <c r="G764" s="283">
        <v>2</v>
      </c>
      <c r="H764" s="283">
        <v>0</v>
      </c>
      <c r="I764" s="283">
        <v>0</v>
      </c>
      <c r="J764" s="284">
        <v>0</v>
      </c>
    </row>
    <row r="765" spans="3:10" x14ac:dyDescent="0.25">
      <c r="C765" s="300" t="s">
        <v>1064</v>
      </c>
      <c r="D765" s="283" t="s">
        <v>1087</v>
      </c>
      <c r="E765" s="283" t="s">
        <v>1076</v>
      </c>
      <c r="F765" s="283" t="s">
        <v>524</v>
      </c>
      <c r="G765" s="283">
        <v>1</v>
      </c>
      <c r="H765" s="283">
        <v>0</v>
      </c>
      <c r="I765" s="283">
        <v>0</v>
      </c>
      <c r="J765" s="284">
        <v>1</v>
      </c>
    </row>
    <row r="766" spans="3:10" x14ac:dyDescent="0.25">
      <c r="C766" s="300" t="s">
        <v>1059</v>
      </c>
      <c r="D766" s="283" t="s">
        <v>1079</v>
      </c>
      <c r="E766" s="283" t="s">
        <v>1075</v>
      </c>
      <c r="F766" s="283" t="s">
        <v>1075</v>
      </c>
      <c r="G766" s="283">
        <v>2</v>
      </c>
      <c r="H766" s="283">
        <v>0</v>
      </c>
      <c r="I766" s="283">
        <v>0</v>
      </c>
      <c r="J766" s="284">
        <v>1</v>
      </c>
    </row>
    <row r="767" spans="3:10" x14ac:dyDescent="0.25">
      <c r="C767" s="300" t="s">
        <v>1060</v>
      </c>
      <c r="D767" s="283" t="s">
        <v>1077</v>
      </c>
      <c r="E767" s="283" t="s">
        <v>1075</v>
      </c>
      <c r="F767" s="283" t="s">
        <v>1075</v>
      </c>
      <c r="G767" s="283">
        <v>4</v>
      </c>
      <c r="H767" s="283">
        <v>0</v>
      </c>
      <c r="I767" s="283">
        <v>0</v>
      </c>
      <c r="J767" s="284">
        <v>1</v>
      </c>
    </row>
    <row r="768" spans="3:10" x14ac:dyDescent="0.25">
      <c r="C768" s="300" t="s">
        <v>1065</v>
      </c>
      <c r="D768" s="283" t="s">
        <v>1079</v>
      </c>
      <c r="E768" s="283" t="s">
        <v>1080</v>
      </c>
      <c r="F768" s="283" t="s">
        <v>1089</v>
      </c>
      <c r="G768" s="283">
        <v>2</v>
      </c>
      <c r="H768" s="283">
        <v>0</v>
      </c>
      <c r="I768" s="283">
        <v>0</v>
      </c>
      <c r="J768" s="284">
        <v>1</v>
      </c>
    </row>
    <row r="769" spans="3:10" x14ac:dyDescent="0.25">
      <c r="C769" s="300" t="s">
        <v>1060</v>
      </c>
      <c r="D769" s="283" t="s">
        <v>1077</v>
      </c>
      <c r="E769" s="283" t="s">
        <v>1075</v>
      </c>
      <c r="F769" s="283" t="s">
        <v>1084</v>
      </c>
      <c r="G769" s="283">
        <v>2</v>
      </c>
      <c r="H769" s="283">
        <v>0</v>
      </c>
      <c r="I769" s="283">
        <v>0</v>
      </c>
      <c r="J769" s="284">
        <v>0</v>
      </c>
    </row>
    <row r="770" spans="3:10" x14ac:dyDescent="0.25">
      <c r="C770" s="300" t="s">
        <v>1062</v>
      </c>
      <c r="D770" s="283" t="s">
        <v>1077</v>
      </c>
      <c r="E770" s="283" t="s">
        <v>1075</v>
      </c>
      <c r="F770" s="283" t="s">
        <v>1089</v>
      </c>
      <c r="G770" s="283">
        <v>2</v>
      </c>
      <c r="H770" s="283">
        <v>0</v>
      </c>
      <c r="I770" s="283">
        <v>0</v>
      </c>
      <c r="J770" s="284">
        <v>0</v>
      </c>
    </row>
    <row r="771" spans="3:10" x14ac:dyDescent="0.25">
      <c r="C771" s="300" t="s">
        <v>1061</v>
      </c>
      <c r="D771" s="283" t="s">
        <v>1077</v>
      </c>
      <c r="E771" s="283" t="s">
        <v>1084</v>
      </c>
      <c r="F771" s="283" t="s">
        <v>1075</v>
      </c>
      <c r="G771" s="283">
        <v>2</v>
      </c>
      <c r="H771" s="283">
        <v>0</v>
      </c>
      <c r="I771" s="283">
        <v>0</v>
      </c>
      <c r="J771" s="284">
        <v>0</v>
      </c>
    </row>
    <row r="772" spans="3:10" x14ac:dyDescent="0.25">
      <c r="C772" s="300" t="s">
        <v>1065</v>
      </c>
      <c r="D772" s="283" t="s">
        <v>1079</v>
      </c>
      <c r="E772" s="283" t="s">
        <v>1075</v>
      </c>
      <c r="F772" s="283" t="s">
        <v>1089</v>
      </c>
      <c r="G772" s="283">
        <v>2</v>
      </c>
      <c r="H772" s="283">
        <v>0</v>
      </c>
      <c r="I772" s="283">
        <v>0</v>
      </c>
      <c r="J772" s="284">
        <v>0</v>
      </c>
    </row>
    <row r="773" spans="3:10" x14ac:dyDescent="0.25">
      <c r="C773" s="300" t="s">
        <v>1068</v>
      </c>
      <c r="D773" s="283" t="s">
        <v>1079</v>
      </c>
      <c r="E773" s="283" t="s">
        <v>1075</v>
      </c>
      <c r="F773" s="283" t="s">
        <v>1089</v>
      </c>
      <c r="G773" s="283">
        <v>4</v>
      </c>
      <c r="H773" s="283">
        <v>0</v>
      </c>
      <c r="I773" s="283">
        <v>0</v>
      </c>
      <c r="J773" s="284">
        <v>1</v>
      </c>
    </row>
    <row r="774" spans="3:10" x14ac:dyDescent="0.25">
      <c r="C774" s="300" t="s">
        <v>1067</v>
      </c>
      <c r="D774" s="283" t="s">
        <v>1079</v>
      </c>
      <c r="E774" s="283" t="s">
        <v>1075</v>
      </c>
      <c r="F774" s="283" t="s">
        <v>1075</v>
      </c>
      <c r="G774" s="283">
        <v>2</v>
      </c>
      <c r="H774" s="283">
        <v>0</v>
      </c>
      <c r="I774" s="283">
        <v>0</v>
      </c>
      <c r="J774" s="284">
        <v>0</v>
      </c>
    </row>
    <row r="775" spans="3:10" x14ac:dyDescent="0.25">
      <c r="C775" s="300" t="s">
        <v>1065</v>
      </c>
      <c r="D775" s="283" t="s">
        <v>1077</v>
      </c>
      <c r="E775" s="283" t="s">
        <v>1078</v>
      </c>
      <c r="F775" s="283" t="s">
        <v>1075</v>
      </c>
      <c r="G775" s="283">
        <v>2</v>
      </c>
      <c r="H775" s="283">
        <v>0</v>
      </c>
      <c r="I775" s="283">
        <v>0</v>
      </c>
      <c r="J775" s="284">
        <v>0</v>
      </c>
    </row>
    <row r="776" spans="3:10" x14ac:dyDescent="0.25">
      <c r="C776" s="300" t="s">
        <v>1062</v>
      </c>
      <c r="D776" s="283" t="s">
        <v>1079</v>
      </c>
      <c r="E776" s="283" t="s">
        <v>1075</v>
      </c>
      <c r="F776" s="283" t="s">
        <v>1080</v>
      </c>
      <c r="G776" s="283">
        <v>2</v>
      </c>
      <c r="H776" s="283">
        <v>0</v>
      </c>
      <c r="I776" s="283">
        <v>0</v>
      </c>
      <c r="J776" s="284">
        <v>0</v>
      </c>
    </row>
    <row r="777" spans="3:10" x14ac:dyDescent="0.25">
      <c r="C777" s="300" t="s">
        <v>1062</v>
      </c>
      <c r="D777" s="283" t="s">
        <v>1077</v>
      </c>
      <c r="E777" s="283" t="s">
        <v>1075</v>
      </c>
      <c r="F777" s="283" t="s">
        <v>1075</v>
      </c>
      <c r="G777" s="283">
        <v>3</v>
      </c>
      <c r="H777" s="283">
        <v>0</v>
      </c>
      <c r="I777" s="283">
        <v>0</v>
      </c>
      <c r="J777" s="284">
        <v>0</v>
      </c>
    </row>
    <row r="778" spans="3:10" x14ac:dyDescent="0.25">
      <c r="C778" s="300" t="s">
        <v>1068</v>
      </c>
      <c r="D778" s="283" t="s">
        <v>1079</v>
      </c>
      <c r="E778" s="283" t="s">
        <v>1075</v>
      </c>
      <c r="F778" s="283" t="s">
        <v>1075</v>
      </c>
      <c r="G778" s="283">
        <v>2</v>
      </c>
      <c r="H778" s="283">
        <v>0</v>
      </c>
      <c r="I778" s="283">
        <v>0</v>
      </c>
      <c r="J778" s="284">
        <v>0</v>
      </c>
    </row>
    <row r="779" spans="3:10" x14ac:dyDescent="0.25">
      <c r="C779" s="300" t="s">
        <v>1059</v>
      </c>
      <c r="D779" s="283" t="s">
        <v>1079</v>
      </c>
      <c r="E779" s="283" t="s">
        <v>1075</v>
      </c>
      <c r="F779" s="283" t="s">
        <v>1075</v>
      </c>
      <c r="G779" s="283">
        <v>2</v>
      </c>
      <c r="H779" s="283">
        <v>0</v>
      </c>
      <c r="I779" s="283">
        <v>0</v>
      </c>
      <c r="J779" s="284">
        <v>0</v>
      </c>
    </row>
    <row r="780" spans="3:10" x14ac:dyDescent="0.25">
      <c r="C780" s="300" t="s">
        <v>1065</v>
      </c>
      <c r="D780" s="283" t="s">
        <v>1079</v>
      </c>
      <c r="E780" s="283" t="s">
        <v>1044</v>
      </c>
      <c r="F780" s="283" t="s">
        <v>1089</v>
      </c>
      <c r="G780" s="283">
        <v>2</v>
      </c>
      <c r="H780" s="283">
        <v>0</v>
      </c>
      <c r="I780" s="283">
        <v>0</v>
      </c>
      <c r="J780" s="284">
        <v>0</v>
      </c>
    </row>
    <row r="781" spans="3:10" x14ac:dyDescent="0.25">
      <c r="C781" s="300" t="s">
        <v>1065</v>
      </c>
      <c r="D781" s="283" t="s">
        <v>1077</v>
      </c>
      <c r="E781" s="283" t="s">
        <v>1089</v>
      </c>
      <c r="F781" s="283" t="s">
        <v>1075</v>
      </c>
      <c r="G781" s="283">
        <v>2</v>
      </c>
      <c r="H781" s="283">
        <v>0</v>
      </c>
      <c r="I781" s="283">
        <v>0</v>
      </c>
      <c r="J781" s="284">
        <v>0</v>
      </c>
    </row>
    <row r="782" spans="3:10" x14ac:dyDescent="0.25">
      <c r="C782" s="300" t="s">
        <v>1066</v>
      </c>
      <c r="D782" s="283" t="s">
        <v>1079</v>
      </c>
      <c r="E782" s="283" t="s">
        <v>1075</v>
      </c>
      <c r="F782" s="283" t="s">
        <v>1075</v>
      </c>
      <c r="G782" s="283">
        <v>2</v>
      </c>
      <c r="H782" s="283">
        <v>0</v>
      </c>
      <c r="I782" s="283">
        <v>0</v>
      </c>
      <c r="J782" s="284">
        <v>2</v>
      </c>
    </row>
    <row r="783" spans="3:10" x14ac:dyDescent="0.25">
      <c r="C783" s="300" t="s">
        <v>1065</v>
      </c>
      <c r="D783" s="283" t="s">
        <v>1079</v>
      </c>
      <c r="E783" s="283" t="s">
        <v>1084</v>
      </c>
      <c r="F783" s="283" t="s">
        <v>1085</v>
      </c>
      <c r="G783" s="283">
        <v>2</v>
      </c>
      <c r="H783" s="283">
        <v>0</v>
      </c>
      <c r="I783" s="283">
        <v>0</v>
      </c>
      <c r="J783" s="284">
        <v>0</v>
      </c>
    </row>
    <row r="784" spans="3:10" x14ac:dyDescent="0.25">
      <c r="C784" s="300" t="s">
        <v>1061</v>
      </c>
      <c r="D784" s="283" t="s">
        <v>1074</v>
      </c>
      <c r="E784" s="283" t="s">
        <v>1075</v>
      </c>
      <c r="F784" s="283" t="s">
        <v>1076</v>
      </c>
      <c r="G784" s="283">
        <v>2</v>
      </c>
      <c r="H784" s="283">
        <v>0</v>
      </c>
      <c r="I784" s="283">
        <v>0</v>
      </c>
      <c r="J784" s="284">
        <v>0</v>
      </c>
    </row>
    <row r="785" spans="3:10" x14ac:dyDescent="0.25">
      <c r="C785" s="300" t="s">
        <v>1061</v>
      </c>
      <c r="D785" s="283" t="s">
        <v>1077</v>
      </c>
      <c r="E785" s="283" t="s">
        <v>1075</v>
      </c>
      <c r="F785" s="283" t="s">
        <v>1088</v>
      </c>
      <c r="G785" s="283">
        <v>2</v>
      </c>
      <c r="H785" s="283">
        <v>0</v>
      </c>
      <c r="I785" s="283">
        <v>0</v>
      </c>
      <c r="J785" s="284">
        <v>0</v>
      </c>
    </row>
    <row r="786" spans="3:10" x14ac:dyDescent="0.25">
      <c r="C786" s="300" t="s">
        <v>1065</v>
      </c>
      <c r="D786" s="283" t="s">
        <v>1074</v>
      </c>
      <c r="E786" s="283" t="s">
        <v>1075</v>
      </c>
      <c r="F786" s="283" t="s">
        <v>1075</v>
      </c>
      <c r="G786" s="283">
        <v>2</v>
      </c>
      <c r="H786" s="283">
        <v>0</v>
      </c>
      <c r="I786" s="283">
        <v>0</v>
      </c>
      <c r="J786" s="284">
        <v>0</v>
      </c>
    </row>
    <row r="787" spans="3:10" x14ac:dyDescent="0.25">
      <c r="C787" s="300" t="s">
        <v>1066</v>
      </c>
      <c r="D787" s="283" t="s">
        <v>1077</v>
      </c>
      <c r="E787" s="283" t="s">
        <v>1075</v>
      </c>
      <c r="F787" s="283" t="s">
        <v>1089</v>
      </c>
      <c r="G787" s="283">
        <v>2</v>
      </c>
      <c r="H787" s="283">
        <v>0</v>
      </c>
      <c r="I787" s="283">
        <v>0</v>
      </c>
      <c r="J787" s="284">
        <v>0</v>
      </c>
    </row>
    <row r="788" spans="3:10" x14ac:dyDescent="0.25">
      <c r="C788" s="300" t="s">
        <v>1060</v>
      </c>
      <c r="D788" s="283" t="s">
        <v>1077</v>
      </c>
      <c r="E788" s="283" t="s">
        <v>1089</v>
      </c>
      <c r="F788" s="283" t="s">
        <v>1078</v>
      </c>
      <c r="G788" s="283">
        <v>2</v>
      </c>
      <c r="H788" s="283">
        <v>0</v>
      </c>
      <c r="I788" s="283">
        <v>0</v>
      </c>
      <c r="J788" s="284">
        <v>0</v>
      </c>
    </row>
    <row r="789" spans="3:10" x14ac:dyDescent="0.25">
      <c r="C789" s="300" t="s">
        <v>1061</v>
      </c>
      <c r="D789" s="283" t="s">
        <v>1079</v>
      </c>
      <c r="E789" s="283" t="s">
        <v>1089</v>
      </c>
      <c r="F789" s="283" t="s">
        <v>1081</v>
      </c>
      <c r="G789" s="283">
        <v>2</v>
      </c>
      <c r="H789" s="283">
        <v>0</v>
      </c>
      <c r="I789" s="283">
        <v>0</v>
      </c>
      <c r="J789" s="284">
        <v>0</v>
      </c>
    </row>
    <row r="790" spans="3:10" x14ac:dyDescent="0.25">
      <c r="C790" s="300" t="s">
        <v>1064</v>
      </c>
      <c r="D790" s="283" t="s">
        <v>1074</v>
      </c>
      <c r="E790" s="283" t="s">
        <v>1078</v>
      </c>
      <c r="F790" s="283" t="s">
        <v>1089</v>
      </c>
      <c r="G790" s="283">
        <v>2</v>
      </c>
      <c r="H790" s="283">
        <v>0</v>
      </c>
      <c r="I790" s="283">
        <v>0</v>
      </c>
      <c r="J790" s="284">
        <v>0</v>
      </c>
    </row>
    <row r="791" spans="3:10" x14ac:dyDescent="0.25">
      <c r="C791" s="300" t="s">
        <v>1067</v>
      </c>
      <c r="D791" s="283" t="s">
        <v>1074</v>
      </c>
      <c r="E791" s="283" t="s">
        <v>1086</v>
      </c>
      <c r="F791" s="283" t="s">
        <v>1078</v>
      </c>
      <c r="G791" s="283">
        <v>2</v>
      </c>
      <c r="H791" s="283">
        <v>0</v>
      </c>
      <c r="I791" s="283">
        <v>0</v>
      </c>
      <c r="J791" s="284">
        <v>1</v>
      </c>
    </row>
    <row r="792" spans="3:10" x14ac:dyDescent="0.25">
      <c r="C792" s="300" t="s">
        <v>1065</v>
      </c>
      <c r="D792" s="283" t="s">
        <v>1079</v>
      </c>
      <c r="E792" s="283" t="s">
        <v>1075</v>
      </c>
      <c r="F792" s="283" t="s">
        <v>1089</v>
      </c>
      <c r="G792" s="283">
        <v>2</v>
      </c>
      <c r="H792" s="283">
        <v>0</v>
      </c>
      <c r="I792" s="283">
        <v>0</v>
      </c>
      <c r="J792" s="284">
        <v>0</v>
      </c>
    </row>
    <row r="793" spans="3:10" x14ac:dyDescent="0.25">
      <c r="C793" s="300" t="s">
        <v>1066</v>
      </c>
      <c r="D793" s="283" t="s">
        <v>1079</v>
      </c>
      <c r="E793" s="283" t="s">
        <v>1075</v>
      </c>
      <c r="F793" s="283" t="s">
        <v>1076</v>
      </c>
      <c r="G793" s="283">
        <v>2</v>
      </c>
      <c r="H793" s="283">
        <v>0</v>
      </c>
      <c r="I793" s="283">
        <v>1</v>
      </c>
      <c r="J793" s="284">
        <v>0</v>
      </c>
    </row>
    <row r="794" spans="3:10" x14ac:dyDescent="0.25">
      <c r="C794" s="300" t="s">
        <v>1061</v>
      </c>
      <c r="D794" s="283" t="s">
        <v>1077</v>
      </c>
      <c r="E794" s="283" t="s">
        <v>1075</v>
      </c>
      <c r="F794" s="283" t="s">
        <v>1078</v>
      </c>
      <c r="G794" s="283">
        <v>2</v>
      </c>
      <c r="H794" s="283">
        <v>0</v>
      </c>
      <c r="I794" s="283">
        <v>0</v>
      </c>
      <c r="J794" s="284">
        <v>0</v>
      </c>
    </row>
    <row r="795" spans="3:10" x14ac:dyDescent="0.25">
      <c r="C795" s="300" t="s">
        <v>1066</v>
      </c>
      <c r="D795" s="283" t="s">
        <v>1079</v>
      </c>
      <c r="E795" s="283" t="s">
        <v>1075</v>
      </c>
      <c r="F795" s="283" t="s">
        <v>1075</v>
      </c>
      <c r="G795" s="283">
        <v>2</v>
      </c>
      <c r="H795" s="283">
        <v>0</v>
      </c>
      <c r="I795" s="283">
        <v>2</v>
      </c>
      <c r="J795" s="284">
        <v>2</v>
      </c>
    </row>
    <row r="796" spans="3:10" x14ac:dyDescent="0.25">
      <c r="C796" s="300" t="s">
        <v>1061</v>
      </c>
      <c r="D796" s="283" t="s">
        <v>1074</v>
      </c>
      <c r="E796" s="283" t="s">
        <v>1075</v>
      </c>
      <c r="F796" s="283" t="s">
        <v>1083</v>
      </c>
      <c r="G796" s="283">
        <v>2</v>
      </c>
      <c r="H796" s="283">
        <v>0</v>
      </c>
      <c r="I796" s="283">
        <v>0</v>
      </c>
      <c r="J796" s="284">
        <v>1</v>
      </c>
    </row>
    <row r="797" spans="3:10" x14ac:dyDescent="0.25">
      <c r="C797" s="300" t="s">
        <v>1063</v>
      </c>
      <c r="D797" s="283" t="s">
        <v>1074</v>
      </c>
      <c r="E797" s="283" t="s">
        <v>1078</v>
      </c>
      <c r="F797" s="283" t="s">
        <v>1102</v>
      </c>
      <c r="G797" s="283">
        <v>2</v>
      </c>
      <c r="H797" s="283">
        <v>0</v>
      </c>
      <c r="I797" s="283">
        <v>0</v>
      </c>
      <c r="J797" s="284">
        <v>1</v>
      </c>
    </row>
    <row r="798" spans="3:10" x14ac:dyDescent="0.25">
      <c r="C798" s="300" t="s">
        <v>1068</v>
      </c>
      <c r="D798" s="283" t="s">
        <v>1090</v>
      </c>
      <c r="E798" s="283" t="s">
        <v>1083</v>
      </c>
      <c r="F798" s="283" t="s">
        <v>524</v>
      </c>
      <c r="G798" s="283">
        <v>1</v>
      </c>
      <c r="H798" s="283">
        <v>0</v>
      </c>
      <c r="I798" s="283">
        <v>1</v>
      </c>
      <c r="J798" s="284">
        <v>0</v>
      </c>
    </row>
    <row r="799" spans="3:10" x14ac:dyDescent="0.25">
      <c r="C799" s="300" t="s">
        <v>1063</v>
      </c>
      <c r="D799" s="283" t="s">
        <v>1043</v>
      </c>
      <c r="E799" s="283" t="s">
        <v>1075</v>
      </c>
      <c r="F799" s="283" t="s">
        <v>1104</v>
      </c>
      <c r="G799" s="283">
        <v>2</v>
      </c>
      <c r="H799" s="283">
        <v>0</v>
      </c>
      <c r="I799" s="283">
        <v>0</v>
      </c>
      <c r="J799" s="284">
        <v>0</v>
      </c>
    </row>
    <row r="800" spans="3:10" x14ac:dyDescent="0.25">
      <c r="C800" s="300" t="s">
        <v>1061</v>
      </c>
      <c r="D800" s="283" t="s">
        <v>1077</v>
      </c>
      <c r="E800" s="283" t="s">
        <v>1075</v>
      </c>
      <c r="F800" s="283" t="s">
        <v>1089</v>
      </c>
      <c r="G800" s="283">
        <v>3</v>
      </c>
      <c r="H800" s="283">
        <v>0</v>
      </c>
      <c r="I800" s="283">
        <v>0</v>
      </c>
      <c r="J800" s="284">
        <v>1</v>
      </c>
    </row>
    <row r="801" spans="3:10" x14ac:dyDescent="0.25">
      <c r="C801" s="300" t="s">
        <v>1063</v>
      </c>
      <c r="D801" s="283" t="s">
        <v>1043</v>
      </c>
      <c r="E801" s="283" t="s">
        <v>1078</v>
      </c>
      <c r="F801" s="283" t="s">
        <v>1092</v>
      </c>
      <c r="G801" s="283">
        <v>2</v>
      </c>
      <c r="H801" s="283">
        <v>0</v>
      </c>
      <c r="I801" s="283">
        <v>0</v>
      </c>
      <c r="J801" s="284">
        <v>1</v>
      </c>
    </row>
    <row r="802" spans="3:10" x14ac:dyDescent="0.25">
      <c r="C802" s="300" t="s">
        <v>1067</v>
      </c>
      <c r="D802" s="283" t="s">
        <v>1079</v>
      </c>
      <c r="E802" s="283" t="s">
        <v>1076</v>
      </c>
      <c r="F802" s="283" t="s">
        <v>1076</v>
      </c>
      <c r="G802" s="283">
        <v>2</v>
      </c>
      <c r="H802" s="283">
        <v>0</v>
      </c>
      <c r="I802" s="283">
        <v>0</v>
      </c>
      <c r="J802" s="284">
        <v>1</v>
      </c>
    </row>
    <row r="803" spans="3:10" x14ac:dyDescent="0.25">
      <c r="C803" s="300" t="s">
        <v>1063</v>
      </c>
      <c r="D803" s="283" t="s">
        <v>1077</v>
      </c>
      <c r="E803" s="283" t="s">
        <v>1076</v>
      </c>
      <c r="F803" s="283" t="s">
        <v>1075</v>
      </c>
      <c r="G803" s="283">
        <v>2</v>
      </c>
      <c r="H803" s="283">
        <v>0</v>
      </c>
      <c r="I803" s="283">
        <v>0</v>
      </c>
      <c r="J803" s="284">
        <v>0</v>
      </c>
    </row>
    <row r="804" spans="3:10" x14ac:dyDescent="0.25">
      <c r="C804" s="300" t="s">
        <v>1067</v>
      </c>
      <c r="D804" s="283" t="s">
        <v>1043</v>
      </c>
      <c r="E804" s="283" t="s">
        <v>1076</v>
      </c>
      <c r="F804" s="283" t="s">
        <v>1092</v>
      </c>
      <c r="G804" s="283">
        <v>2</v>
      </c>
      <c r="H804" s="283">
        <v>0</v>
      </c>
      <c r="I804" s="283">
        <v>1</v>
      </c>
      <c r="J804" s="284">
        <v>0</v>
      </c>
    </row>
    <row r="805" spans="3:10" x14ac:dyDescent="0.25">
      <c r="C805" s="300" t="s">
        <v>1067</v>
      </c>
      <c r="D805" s="283" t="s">
        <v>1079</v>
      </c>
      <c r="E805" s="283" t="s">
        <v>1089</v>
      </c>
      <c r="F805" s="283" t="s">
        <v>1075</v>
      </c>
      <c r="G805" s="283">
        <v>2</v>
      </c>
      <c r="H805" s="283">
        <v>0</v>
      </c>
      <c r="I805" s="283">
        <v>0</v>
      </c>
      <c r="J805" s="284">
        <v>0</v>
      </c>
    </row>
    <row r="806" spans="3:10" x14ac:dyDescent="0.25">
      <c r="C806" s="300" t="s">
        <v>1068</v>
      </c>
      <c r="D806" s="283" t="s">
        <v>1079</v>
      </c>
      <c r="E806" s="283" t="s">
        <v>1094</v>
      </c>
      <c r="F806" s="283" t="s">
        <v>1078</v>
      </c>
      <c r="G806" s="283">
        <v>2</v>
      </c>
      <c r="H806" s="283">
        <v>0</v>
      </c>
      <c r="I806" s="283">
        <v>0</v>
      </c>
      <c r="J806" s="284">
        <v>0</v>
      </c>
    </row>
    <row r="807" spans="3:10" x14ac:dyDescent="0.25">
      <c r="C807" s="300" t="s">
        <v>1061</v>
      </c>
      <c r="D807" s="283" t="s">
        <v>1077</v>
      </c>
      <c r="E807" s="283" t="s">
        <v>1075</v>
      </c>
      <c r="F807" s="283" t="s">
        <v>1076</v>
      </c>
      <c r="G807" s="283">
        <v>4</v>
      </c>
      <c r="H807" s="283">
        <v>0</v>
      </c>
      <c r="I807" s="283">
        <v>0</v>
      </c>
      <c r="J807" s="284">
        <v>0</v>
      </c>
    </row>
    <row r="808" spans="3:10" x14ac:dyDescent="0.25">
      <c r="C808" s="300" t="s">
        <v>1064</v>
      </c>
      <c r="D808" s="283" t="s">
        <v>1074</v>
      </c>
      <c r="E808" s="283" t="s">
        <v>1075</v>
      </c>
      <c r="F808" s="283" t="s">
        <v>1075</v>
      </c>
      <c r="G808" s="283">
        <v>2</v>
      </c>
      <c r="H808" s="283">
        <v>0</v>
      </c>
      <c r="I808" s="283">
        <v>0</v>
      </c>
      <c r="J808" s="284">
        <v>0</v>
      </c>
    </row>
    <row r="809" spans="3:10" x14ac:dyDescent="0.25">
      <c r="C809" s="300" t="s">
        <v>1061</v>
      </c>
      <c r="D809" s="283" t="s">
        <v>1077</v>
      </c>
      <c r="E809" s="283" t="s">
        <v>1078</v>
      </c>
      <c r="F809" s="283" t="s">
        <v>1089</v>
      </c>
      <c r="G809" s="283">
        <v>2</v>
      </c>
      <c r="H809" s="283">
        <v>0</v>
      </c>
      <c r="I809" s="283">
        <v>0</v>
      </c>
      <c r="J809" s="284">
        <v>0</v>
      </c>
    </row>
    <row r="810" spans="3:10" x14ac:dyDescent="0.25">
      <c r="C810" s="300" t="s">
        <v>1058</v>
      </c>
      <c r="D810" s="283" t="s">
        <v>1079</v>
      </c>
      <c r="E810" s="283" t="s">
        <v>1080</v>
      </c>
      <c r="F810" s="283" t="s">
        <v>1075</v>
      </c>
      <c r="G810" s="283">
        <v>2</v>
      </c>
      <c r="H810" s="283">
        <v>0</v>
      </c>
      <c r="I810" s="283">
        <v>0</v>
      </c>
      <c r="J810" s="284">
        <v>0</v>
      </c>
    </row>
    <row r="811" spans="3:10" x14ac:dyDescent="0.25">
      <c r="C811" s="300" t="s">
        <v>1065</v>
      </c>
      <c r="D811" s="283" t="s">
        <v>1074</v>
      </c>
      <c r="E811" s="283" t="s">
        <v>1075</v>
      </c>
      <c r="F811" s="283" t="s">
        <v>1089</v>
      </c>
      <c r="G811" s="283">
        <v>2</v>
      </c>
      <c r="H811" s="283">
        <v>0</v>
      </c>
      <c r="I811" s="283">
        <v>0</v>
      </c>
      <c r="J811" s="284">
        <v>0</v>
      </c>
    </row>
    <row r="812" spans="3:10" x14ac:dyDescent="0.25">
      <c r="C812" s="300" t="s">
        <v>1060</v>
      </c>
      <c r="D812" s="283" t="s">
        <v>1079</v>
      </c>
      <c r="E812" s="283" t="s">
        <v>1088</v>
      </c>
      <c r="F812" s="283" t="s">
        <v>1089</v>
      </c>
      <c r="G812" s="283">
        <v>2</v>
      </c>
      <c r="H812" s="283">
        <v>0</v>
      </c>
      <c r="I812" s="283">
        <v>0</v>
      </c>
      <c r="J812" s="284">
        <v>0</v>
      </c>
    </row>
    <row r="813" spans="3:10" x14ac:dyDescent="0.25">
      <c r="C813" s="300" t="s">
        <v>1064</v>
      </c>
      <c r="D813" s="283" t="s">
        <v>1077</v>
      </c>
      <c r="E813" s="283" t="s">
        <v>1080</v>
      </c>
      <c r="F813" s="283" t="s">
        <v>1089</v>
      </c>
      <c r="G813" s="283">
        <v>2</v>
      </c>
      <c r="H813" s="283">
        <v>0</v>
      </c>
      <c r="I813" s="283">
        <v>0</v>
      </c>
      <c r="J813" s="284">
        <v>0</v>
      </c>
    </row>
    <row r="814" spans="3:10" x14ac:dyDescent="0.25">
      <c r="C814" s="300" t="s">
        <v>1061</v>
      </c>
      <c r="D814" s="283" t="s">
        <v>1079</v>
      </c>
      <c r="E814" s="283" t="s">
        <v>1076</v>
      </c>
      <c r="F814" s="283" t="s">
        <v>1075</v>
      </c>
      <c r="G814" s="283">
        <v>2</v>
      </c>
      <c r="H814" s="283">
        <v>0</v>
      </c>
      <c r="I814" s="283">
        <v>0</v>
      </c>
      <c r="J814" s="284">
        <v>0</v>
      </c>
    </row>
    <row r="815" spans="3:10" x14ac:dyDescent="0.25">
      <c r="C815" s="300" t="s">
        <v>1063</v>
      </c>
      <c r="D815" s="283" t="s">
        <v>1079</v>
      </c>
      <c r="E815" s="283" t="s">
        <v>1075</v>
      </c>
      <c r="F815" s="283" t="s">
        <v>1075</v>
      </c>
      <c r="G815" s="283">
        <v>2</v>
      </c>
      <c r="H815" s="283">
        <v>0</v>
      </c>
      <c r="I815" s="283">
        <v>0</v>
      </c>
      <c r="J815" s="284">
        <v>0</v>
      </c>
    </row>
    <row r="816" spans="3:10" x14ac:dyDescent="0.25">
      <c r="C816" s="300" t="s">
        <v>1061</v>
      </c>
      <c r="D816" s="283" t="s">
        <v>1074</v>
      </c>
      <c r="E816" s="283" t="s">
        <v>1089</v>
      </c>
      <c r="F816" s="283" t="s">
        <v>1089</v>
      </c>
      <c r="G816" s="283">
        <v>2</v>
      </c>
      <c r="H816" s="283">
        <v>0</v>
      </c>
      <c r="I816" s="283">
        <v>0</v>
      </c>
      <c r="J816" s="284">
        <v>1</v>
      </c>
    </row>
    <row r="817" spans="3:10" x14ac:dyDescent="0.25">
      <c r="C817" s="300" t="s">
        <v>1060</v>
      </c>
      <c r="D817" s="283" t="s">
        <v>1077</v>
      </c>
      <c r="E817" s="283" t="s">
        <v>1075</v>
      </c>
      <c r="F817" s="283" t="s">
        <v>1075</v>
      </c>
      <c r="G817" s="283">
        <v>3</v>
      </c>
      <c r="H817" s="283">
        <v>0</v>
      </c>
      <c r="I817" s="283">
        <v>0</v>
      </c>
      <c r="J817" s="284">
        <v>0</v>
      </c>
    </row>
    <row r="818" spans="3:10" x14ac:dyDescent="0.25">
      <c r="C818" s="300" t="s">
        <v>1060</v>
      </c>
      <c r="D818" s="283" t="s">
        <v>1077</v>
      </c>
      <c r="E818" s="283" t="s">
        <v>1083</v>
      </c>
      <c r="F818" s="283" t="s">
        <v>1075</v>
      </c>
      <c r="G818" s="283">
        <v>2</v>
      </c>
      <c r="H818" s="283">
        <v>0</v>
      </c>
      <c r="I818" s="283">
        <v>1</v>
      </c>
      <c r="J818" s="284">
        <v>0</v>
      </c>
    </row>
    <row r="819" spans="3:10" x14ac:dyDescent="0.25">
      <c r="C819" s="300" t="s">
        <v>1065</v>
      </c>
      <c r="D819" s="283" t="s">
        <v>1079</v>
      </c>
      <c r="E819" s="283" t="s">
        <v>1076</v>
      </c>
      <c r="F819" s="283" t="s">
        <v>1083</v>
      </c>
      <c r="G819" s="283">
        <v>2</v>
      </c>
      <c r="H819" s="283">
        <v>0</v>
      </c>
      <c r="I819" s="283">
        <v>0</v>
      </c>
      <c r="J819" s="284">
        <v>1</v>
      </c>
    </row>
    <row r="820" spans="3:10" x14ac:dyDescent="0.25">
      <c r="C820" s="300" t="s">
        <v>1067</v>
      </c>
      <c r="D820" s="283" t="s">
        <v>1079</v>
      </c>
      <c r="E820" s="283" t="s">
        <v>1076</v>
      </c>
      <c r="F820" s="283" t="s">
        <v>1075</v>
      </c>
      <c r="G820" s="283">
        <v>2</v>
      </c>
      <c r="H820" s="283">
        <v>0</v>
      </c>
      <c r="I820" s="283">
        <v>0</v>
      </c>
      <c r="J820" s="284">
        <v>0</v>
      </c>
    </row>
    <row r="821" spans="3:10" x14ac:dyDescent="0.25">
      <c r="C821" s="300" t="s">
        <v>1063</v>
      </c>
      <c r="D821" s="283" t="s">
        <v>1079</v>
      </c>
      <c r="E821" s="283" t="s">
        <v>1080</v>
      </c>
      <c r="F821" s="283" t="s">
        <v>1075</v>
      </c>
      <c r="G821" s="283">
        <v>2</v>
      </c>
      <c r="H821" s="283">
        <v>0</v>
      </c>
      <c r="I821" s="283">
        <v>0</v>
      </c>
      <c r="J821" s="284">
        <v>0</v>
      </c>
    </row>
    <row r="822" spans="3:10" x14ac:dyDescent="0.25">
      <c r="C822" s="300" t="s">
        <v>1065</v>
      </c>
      <c r="D822" s="283" t="s">
        <v>1077</v>
      </c>
      <c r="E822" s="283" t="s">
        <v>1089</v>
      </c>
      <c r="F822" s="283" t="s">
        <v>1076</v>
      </c>
      <c r="G822" s="283">
        <v>3</v>
      </c>
      <c r="H822" s="283">
        <v>0</v>
      </c>
      <c r="I822" s="283">
        <v>0</v>
      </c>
      <c r="J822" s="284">
        <v>0</v>
      </c>
    </row>
    <row r="823" spans="3:10" x14ac:dyDescent="0.25">
      <c r="C823" s="300" t="s">
        <v>1068</v>
      </c>
      <c r="D823" s="283" t="s">
        <v>1079</v>
      </c>
      <c r="E823" s="283" t="s">
        <v>1075</v>
      </c>
      <c r="F823" s="283" t="s">
        <v>1094</v>
      </c>
      <c r="G823" s="283">
        <v>2</v>
      </c>
      <c r="H823" s="283">
        <v>0</v>
      </c>
      <c r="I823" s="283">
        <v>0</v>
      </c>
      <c r="J823" s="284">
        <v>0</v>
      </c>
    </row>
    <row r="824" spans="3:10" x14ac:dyDescent="0.25">
      <c r="C824" s="300" t="s">
        <v>1063</v>
      </c>
      <c r="D824" s="283" t="s">
        <v>1077</v>
      </c>
      <c r="E824" s="283" t="s">
        <v>1083</v>
      </c>
      <c r="F824" s="283" t="s">
        <v>1075</v>
      </c>
      <c r="G824" s="283">
        <v>2</v>
      </c>
      <c r="H824" s="283">
        <v>0</v>
      </c>
      <c r="I824" s="283">
        <v>0</v>
      </c>
      <c r="J824" s="284">
        <v>1</v>
      </c>
    </row>
    <row r="825" spans="3:10" x14ac:dyDescent="0.25">
      <c r="C825" s="300" t="s">
        <v>1065</v>
      </c>
      <c r="D825" s="283" t="s">
        <v>1079</v>
      </c>
      <c r="E825" s="283" t="s">
        <v>1075</v>
      </c>
      <c r="F825" s="283" t="s">
        <v>1075</v>
      </c>
      <c r="G825" s="283">
        <v>4</v>
      </c>
      <c r="H825" s="283">
        <v>0</v>
      </c>
      <c r="I825" s="283">
        <v>0</v>
      </c>
      <c r="J825" s="284">
        <v>0</v>
      </c>
    </row>
    <row r="826" spans="3:10" x14ac:dyDescent="0.25">
      <c r="C826" s="300" t="s">
        <v>1060</v>
      </c>
      <c r="D826" s="283" t="s">
        <v>1077</v>
      </c>
      <c r="E826" s="283" t="s">
        <v>1084</v>
      </c>
      <c r="F826" s="283" t="s">
        <v>1084</v>
      </c>
      <c r="G826" s="283">
        <v>4</v>
      </c>
      <c r="H826" s="283">
        <v>0</v>
      </c>
      <c r="I826" s="283">
        <v>1</v>
      </c>
      <c r="J826" s="284">
        <v>2</v>
      </c>
    </row>
    <row r="827" spans="3:10" x14ac:dyDescent="0.25">
      <c r="C827" s="300" t="s">
        <v>1065</v>
      </c>
      <c r="D827" s="283" t="s">
        <v>1079</v>
      </c>
      <c r="E827" s="283" t="s">
        <v>1076</v>
      </c>
      <c r="F827" s="283" t="s">
        <v>1083</v>
      </c>
      <c r="G827" s="283">
        <v>3</v>
      </c>
      <c r="H827" s="283">
        <v>0</v>
      </c>
      <c r="I827" s="283">
        <v>0</v>
      </c>
      <c r="J827" s="284">
        <v>2</v>
      </c>
    </row>
    <row r="828" spans="3:10" x14ac:dyDescent="0.25">
      <c r="C828" s="300" t="s">
        <v>1062</v>
      </c>
      <c r="D828" s="283" t="s">
        <v>1090</v>
      </c>
      <c r="E828" s="283" t="s">
        <v>1083</v>
      </c>
      <c r="F828" s="283" t="s">
        <v>524</v>
      </c>
      <c r="G828" s="283">
        <v>1</v>
      </c>
      <c r="H828" s="283">
        <v>0</v>
      </c>
      <c r="I828" s="283">
        <v>0</v>
      </c>
      <c r="J828" s="284">
        <v>0</v>
      </c>
    </row>
    <row r="829" spans="3:10" x14ac:dyDescent="0.25">
      <c r="C829" s="300" t="s">
        <v>1065</v>
      </c>
      <c r="D829" s="283" t="s">
        <v>1043</v>
      </c>
      <c r="E829" s="283" t="s">
        <v>1075</v>
      </c>
      <c r="F829" s="283" t="s">
        <v>1092</v>
      </c>
      <c r="G829" s="283">
        <v>2</v>
      </c>
      <c r="H829" s="283">
        <v>0</v>
      </c>
      <c r="I829" s="283">
        <v>1</v>
      </c>
      <c r="J829" s="284">
        <v>0</v>
      </c>
    </row>
    <row r="830" spans="3:10" x14ac:dyDescent="0.25">
      <c r="C830" s="300" t="s">
        <v>1068</v>
      </c>
      <c r="D830" s="283" t="s">
        <v>1087</v>
      </c>
      <c r="E830" s="283" t="s">
        <v>1075</v>
      </c>
      <c r="F830" s="283" t="s">
        <v>524</v>
      </c>
      <c r="G830" s="283">
        <v>1</v>
      </c>
      <c r="H830" s="283">
        <v>0</v>
      </c>
      <c r="I830" s="283">
        <v>0</v>
      </c>
      <c r="J830" s="284">
        <v>0</v>
      </c>
    </row>
    <row r="831" spans="3:10" x14ac:dyDescent="0.25">
      <c r="C831" s="300" t="s">
        <v>1061</v>
      </c>
      <c r="D831" s="283" t="s">
        <v>1077</v>
      </c>
      <c r="E831" s="283" t="s">
        <v>1075</v>
      </c>
      <c r="F831" s="283" t="s">
        <v>1075</v>
      </c>
      <c r="G831" s="283">
        <v>2</v>
      </c>
      <c r="H831" s="283">
        <v>0</v>
      </c>
      <c r="I831" s="283">
        <v>0</v>
      </c>
      <c r="J831" s="284">
        <v>1</v>
      </c>
    </row>
    <row r="832" spans="3:10" x14ac:dyDescent="0.25">
      <c r="C832" s="300" t="s">
        <v>1068</v>
      </c>
      <c r="D832" s="283" t="s">
        <v>1043</v>
      </c>
      <c r="E832" s="283" t="s">
        <v>1075</v>
      </c>
      <c r="F832" s="283" t="s">
        <v>1092</v>
      </c>
      <c r="G832" s="283">
        <v>2</v>
      </c>
      <c r="H832" s="283">
        <v>0</v>
      </c>
      <c r="I832" s="283">
        <v>0</v>
      </c>
      <c r="J832" s="284">
        <v>1</v>
      </c>
    </row>
    <row r="833" spans="3:10" x14ac:dyDescent="0.25">
      <c r="C833" s="300" t="s">
        <v>1062</v>
      </c>
      <c r="D833" s="283" t="s">
        <v>1043</v>
      </c>
      <c r="E833" s="283" t="s">
        <v>1075</v>
      </c>
      <c r="F833" s="283" t="s">
        <v>1092</v>
      </c>
      <c r="G833" s="283">
        <v>2</v>
      </c>
      <c r="H833" s="283">
        <v>0</v>
      </c>
      <c r="I833" s="283">
        <v>0</v>
      </c>
      <c r="J833" s="284">
        <v>0</v>
      </c>
    </row>
    <row r="834" spans="3:10" x14ac:dyDescent="0.25">
      <c r="C834" s="300" t="s">
        <v>1068</v>
      </c>
      <c r="D834" s="283" t="s">
        <v>1087</v>
      </c>
      <c r="E834" s="283" t="s">
        <v>1075</v>
      </c>
      <c r="F834" s="283" t="s">
        <v>524</v>
      </c>
      <c r="G834" s="283">
        <v>1</v>
      </c>
      <c r="H834" s="283">
        <v>0</v>
      </c>
      <c r="I834" s="283">
        <v>0</v>
      </c>
      <c r="J834" s="284">
        <v>0</v>
      </c>
    </row>
    <row r="835" spans="3:10" x14ac:dyDescent="0.25">
      <c r="C835" s="300" t="s">
        <v>1065</v>
      </c>
      <c r="D835" s="283" t="s">
        <v>1077</v>
      </c>
      <c r="E835" s="283" t="s">
        <v>1076</v>
      </c>
      <c r="F835" s="283" t="s">
        <v>1075</v>
      </c>
      <c r="G835" s="283">
        <v>2</v>
      </c>
      <c r="H835" s="283">
        <v>0</v>
      </c>
      <c r="I835" s="283">
        <v>0</v>
      </c>
      <c r="J835" s="284">
        <v>0</v>
      </c>
    </row>
    <row r="836" spans="3:10" x14ac:dyDescent="0.25">
      <c r="C836" s="300" t="s">
        <v>1062</v>
      </c>
      <c r="D836" s="283" t="s">
        <v>1087</v>
      </c>
      <c r="E836" s="283" t="s">
        <v>1075</v>
      </c>
      <c r="F836" s="283" t="s">
        <v>524</v>
      </c>
      <c r="G836" s="283">
        <v>1</v>
      </c>
      <c r="H836" s="283">
        <v>0</v>
      </c>
      <c r="I836" s="283">
        <v>0</v>
      </c>
      <c r="J836" s="284">
        <v>1</v>
      </c>
    </row>
    <row r="837" spans="3:10" x14ac:dyDescent="0.25">
      <c r="C837" s="300" t="s">
        <v>1060</v>
      </c>
      <c r="D837" s="283" t="s">
        <v>1079</v>
      </c>
      <c r="E837" s="283" t="s">
        <v>1085</v>
      </c>
      <c r="F837" s="283" t="s">
        <v>1075</v>
      </c>
      <c r="G837" s="283">
        <v>2</v>
      </c>
      <c r="H837" s="283">
        <v>0</v>
      </c>
      <c r="I837" s="283">
        <v>0</v>
      </c>
      <c r="J837" s="284">
        <v>0</v>
      </c>
    </row>
    <row r="838" spans="3:10" x14ac:dyDescent="0.25">
      <c r="C838" s="300" t="s">
        <v>1066</v>
      </c>
      <c r="D838" s="283" t="s">
        <v>1079</v>
      </c>
      <c r="E838" s="283" t="s">
        <v>1089</v>
      </c>
      <c r="F838" s="283" t="s">
        <v>1076</v>
      </c>
      <c r="G838" s="283">
        <v>2</v>
      </c>
      <c r="H838" s="283">
        <v>0</v>
      </c>
      <c r="I838" s="283">
        <v>0</v>
      </c>
      <c r="J838" s="284">
        <v>1</v>
      </c>
    </row>
    <row r="839" spans="3:10" x14ac:dyDescent="0.25">
      <c r="C839" s="300" t="s">
        <v>1062</v>
      </c>
      <c r="D839" s="283" t="s">
        <v>1043</v>
      </c>
      <c r="E839" s="283" t="s">
        <v>1078</v>
      </c>
      <c r="F839" s="283" t="s">
        <v>1092</v>
      </c>
      <c r="G839" s="283">
        <v>2</v>
      </c>
      <c r="H839" s="283">
        <v>0</v>
      </c>
      <c r="I839" s="283">
        <v>0</v>
      </c>
      <c r="J839" s="284">
        <v>0</v>
      </c>
    </row>
    <row r="840" spans="3:10" x14ac:dyDescent="0.25">
      <c r="C840" s="300" t="s">
        <v>1060</v>
      </c>
      <c r="D840" s="283" t="s">
        <v>1087</v>
      </c>
      <c r="E840" s="283" t="s">
        <v>1089</v>
      </c>
      <c r="F840" s="283" t="s">
        <v>524</v>
      </c>
      <c r="G840" s="283">
        <v>1</v>
      </c>
      <c r="H840" s="283">
        <v>0</v>
      </c>
      <c r="I840" s="283">
        <v>1</v>
      </c>
      <c r="J840" s="284">
        <v>0</v>
      </c>
    </row>
    <row r="841" spans="3:10" x14ac:dyDescent="0.25">
      <c r="C841" s="300" t="s">
        <v>1057</v>
      </c>
      <c r="D841" s="283" t="s">
        <v>1087</v>
      </c>
      <c r="E841" s="283" t="s">
        <v>1075</v>
      </c>
      <c r="F841" s="283" t="s">
        <v>524</v>
      </c>
      <c r="G841" s="283">
        <v>1</v>
      </c>
      <c r="H841" s="283">
        <v>0</v>
      </c>
      <c r="I841" s="283">
        <v>0</v>
      </c>
      <c r="J841" s="284">
        <v>0</v>
      </c>
    </row>
    <row r="842" spans="3:10" x14ac:dyDescent="0.25">
      <c r="C842" s="300" t="s">
        <v>1064</v>
      </c>
      <c r="D842" s="283" t="s">
        <v>1043</v>
      </c>
      <c r="E842" s="283" t="s">
        <v>1075</v>
      </c>
      <c r="F842" s="283" t="s">
        <v>1092</v>
      </c>
      <c r="G842" s="283">
        <v>2</v>
      </c>
      <c r="H842" s="283">
        <v>0</v>
      </c>
      <c r="I842" s="283">
        <v>1</v>
      </c>
      <c r="J842" s="284">
        <v>0</v>
      </c>
    </row>
    <row r="843" spans="3:10" x14ac:dyDescent="0.25">
      <c r="C843" s="300" t="s">
        <v>1066</v>
      </c>
      <c r="D843" s="283" t="s">
        <v>1077</v>
      </c>
      <c r="E843" s="283" t="s">
        <v>1076</v>
      </c>
      <c r="F843" s="283" t="s">
        <v>1089</v>
      </c>
      <c r="G843" s="283">
        <v>2</v>
      </c>
      <c r="H843" s="283">
        <v>0</v>
      </c>
      <c r="I843" s="283">
        <v>0</v>
      </c>
      <c r="J843" s="284">
        <v>0</v>
      </c>
    </row>
    <row r="844" spans="3:10" x14ac:dyDescent="0.25">
      <c r="C844" s="300" t="s">
        <v>1065</v>
      </c>
      <c r="D844" s="283" t="s">
        <v>1043</v>
      </c>
      <c r="E844" s="283" t="s">
        <v>1075</v>
      </c>
      <c r="F844" s="283" t="s">
        <v>1092</v>
      </c>
      <c r="G844" s="283">
        <v>2</v>
      </c>
      <c r="H844" s="283">
        <v>0</v>
      </c>
      <c r="I844" s="283">
        <v>0</v>
      </c>
      <c r="J844" s="284">
        <v>1</v>
      </c>
    </row>
    <row r="845" spans="3:10" x14ac:dyDescent="0.25">
      <c r="C845" s="300" t="s">
        <v>1063</v>
      </c>
      <c r="D845" s="283" t="s">
        <v>1079</v>
      </c>
      <c r="E845" s="283" t="s">
        <v>1075</v>
      </c>
      <c r="F845" s="283" t="s">
        <v>1083</v>
      </c>
      <c r="G845" s="283">
        <v>2</v>
      </c>
      <c r="H845" s="283">
        <v>0</v>
      </c>
      <c r="I845" s="283">
        <v>0</v>
      </c>
      <c r="J845" s="284">
        <v>0</v>
      </c>
    </row>
    <row r="846" spans="3:10" x14ac:dyDescent="0.25">
      <c r="C846" s="300" t="s">
        <v>1064</v>
      </c>
      <c r="D846" s="283" t="s">
        <v>1079</v>
      </c>
      <c r="E846" s="283" t="s">
        <v>1075</v>
      </c>
      <c r="F846" s="283" t="s">
        <v>1075</v>
      </c>
      <c r="G846" s="283">
        <v>2</v>
      </c>
      <c r="H846" s="283">
        <v>0</v>
      </c>
      <c r="I846" s="283">
        <v>0</v>
      </c>
      <c r="J846" s="284">
        <v>0</v>
      </c>
    </row>
    <row r="847" spans="3:10" x14ac:dyDescent="0.25">
      <c r="C847" s="300" t="s">
        <v>1062</v>
      </c>
      <c r="D847" s="283" t="s">
        <v>1077</v>
      </c>
      <c r="E847" s="283" t="s">
        <v>1075</v>
      </c>
      <c r="F847" s="283" t="s">
        <v>1075</v>
      </c>
      <c r="G847" s="283">
        <v>2</v>
      </c>
      <c r="H847" s="283">
        <v>0</v>
      </c>
      <c r="I847" s="283">
        <v>0</v>
      </c>
      <c r="J847" s="284">
        <v>0</v>
      </c>
    </row>
    <row r="848" spans="3:10" x14ac:dyDescent="0.25">
      <c r="C848" s="300" t="s">
        <v>1066</v>
      </c>
      <c r="D848" s="283" t="s">
        <v>1079</v>
      </c>
      <c r="E848" s="283" t="s">
        <v>1075</v>
      </c>
      <c r="F848" s="283" t="s">
        <v>1083</v>
      </c>
      <c r="G848" s="283">
        <v>2</v>
      </c>
      <c r="H848" s="283">
        <v>0</v>
      </c>
      <c r="I848" s="283">
        <v>0</v>
      </c>
      <c r="J848" s="284">
        <v>0</v>
      </c>
    </row>
    <row r="849" spans="3:10" x14ac:dyDescent="0.25">
      <c r="C849" s="300" t="s">
        <v>1061</v>
      </c>
      <c r="D849" s="283" t="s">
        <v>1074</v>
      </c>
      <c r="E849" s="283" t="s">
        <v>1075</v>
      </c>
      <c r="F849" s="283" t="s">
        <v>1075</v>
      </c>
      <c r="G849" s="283">
        <v>2</v>
      </c>
      <c r="H849" s="283">
        <v>0</v>
      </c>
      <c r="I849" s="283">
        <v>0</v>
      </c>
      <c r="J849" s="284">
        <v>0</v>
      </c>
    </row>
    <row r="850" spans="3:10" x14ac:dyDescent="0.25">
      <c r="C850" s="300" t="s">
        <v>1062</v>
      </c>
      <c r="D850" s="283" t="s">
        <v>1077</v>
      </c>
      <c r="E850" s="283" t="s">
        <v>1080</v>
      </c>
      <c r="F850" s="283" t="s">
        <v>1076</v>
      </c>
      <c r="G850" s="283">
        <v>2</v>
      </c>
      <c r="H850" s="283">
        <v>0</v>
      </c>
      <c r="I850" s="283">
        <v>1</v>
      </c>
      <c r="J850" s="284">
        <v>0</v>
      </c>
    </row>
    <row r="851" spans="3:10" x14ac:dyDescent="0.25">
      <c r="C851" s="300" t="s">
        <v>1065</v>
      </c>
      <c r="D851" s="283" t="s">
        <v>1087</v>
      </c>
      <c r="E851" s="283" t="s">
        <v>1083</v>
      </c>
      <c r="F851" s="283" t="s">
        <v>524</v>
      </c>
      <c r="G851" s="283">
        <v>2</v>
      </c>
      <c r="H851" s="283">
        <v>0</v>
      </c>
      <c r="I851" s="283">
        <v>1</v>
      </c>
      <c r="J851" s="284">
        <v>0</v>
      </c>
    </row>
    <row r="852" spans="3:10" x14ac:dyDescent="0.25">
      <c r="C852" s="300" t="s">
        <v>1059</v>
      </c>
      <c r="D852" s="283" t="s">
        <v>1079</v>
      </c>
      <c r="E852" s="283" t="s">
        <v>1088</v>
      </c>
      <c r="F852" s="283" t="s">
        <v>1075</v>
      </c>
      <c r="G852" s="283">
        <v>3</v>
      </c>
      <c r="H852" s="283">
        <v>0</v>
      </c>
      <c r="I852" s="283">
        <v>1</v>
      </c>
      <c r="J852" s="284">
        <v>0</v>
      </c>
    </row>
    <row r="853" spans="3:10" x14ac:dyDescent="0.25">
      <c r="C853" s="300" t="s">
        <v>1064</v>
      </c>
      <c r="D853" s="283" t="s">
        <v>1077</v>
      </c>
      <c r="E853" s="283" t="s">
        <v>1075</v>
      </c>
      <c r="F853" s="283" t="s">
        <v>1089</v>
      </c>
      <c r="G853" s="283">
        <v>3</v>
      </c>
      <c r="H853" s="283">
        <v>0</v>
      </c>
      <c r="I853" s="283">
        <v>0</v>
      </c>
      <c r="J853" s="284">
        <v>0</v>
      </c>
    </row>
    <row r="854" spans="3:10" x14ac:dyDescent="0.25">
      <c r="C854" s="300" t="s">
        <v>1061</v>
      </c>
      <c r="D854" s="283" t="s">
        <v>1079</v>
      </c>
      <c r="E854" s="283" t="s">
        <v>1086</v>
      </c>
      <c r="F854" s="283" t="s">
        <v>1084</v>
      </c>
      <c r="G854" s="283">
        <v>2</v>
      </c>
      <c r="H854" s="283">
        <v>0</v>
      </c>
      <c r="I854" s="283">
        <v>0</v>
      </c>
      <c r="J854" s="284">
        <v>0</v>
      </c>
    </row>
    <row r="855" spans="3:10" x14ac:dyDescent="0.25">
      <c r="C855" s="300" t="s">
        <v>1064</v>
      </c>
      <c r="D855" s="283" t="s">
        <v>1077</v>
      </c>
      <c r="E855" s="283" t="s">
        <v>1089</v>
      </c>
      <c r="F855" s="283" t="s">
        <v>1075</v>
      </c>
      <c r="G855" s="283">
        <v>4</v>
      </c>
      <c r="H855" s="283">
        <v>0</v>
      </c>
      <c r="I855" s="283">
        <v>0</v>
      </c>
      <c r="J855" s="284">
        <v>0</v>
      </c>
    </row>
    <row r="856" spans="3:10" x14ac:dyDescent="0.25">
      <c r="C856" s="300" t="s">
        <v>1064</v>
      </c>
      <c r="D856" s="283" t="s">
        <v>1043</v>
      </c>
      <c r="E856" s="283" t="s">
        <v>1076</v>
      </c>
      <c r="F856" s="283" t="s">
        <v>1092</v>
      </c>
      <c r="G856" s="283">
        <v>2</v>
      </c>
      <c r="H856" s="283">
        <v>0</v>
      </c>
      <c r="I856" s="283">
        <v>0</v>
      </c>
      <c r="J856" s="284">
        <v>1</v>
      </c>
    </row>
    <row r="857" spans="3:10" x14ac:dyDescent="0.25">
      <c r="C857" s="300" t="s">
        <v>1061</v>
      </c>
      <c r="D857" s="283" t="s">
        <v>1077</v>
      </c>
      <c r="E857" s="283" t="s">
        <v>1075</v>
      </c>
      <c r="F857" s="283" t="s">
        <v>1089</v>
      </c>
      <c r="G857" s="283">
        <v>4</v>
      </c>
      <c r="H857" s="283">
        <v>0</v>
      </c>
      <c r="I857" s="283">
        <v>0</v>
      </c>
      <c r="J857" s="284">
        <v>0</v>
      </c>
    </row>
    <row r="858" spans="3:10" x14ac:dyDescent="0.25">
      <c r="C858" s="300" t="s">
        <v>1064</v>
      </c>
      <c r="D858" s="283" t="s">
        <v>1079</v>
      </c>
      <c r="E858" s="283" t="s">
        <v>1088</v>
      </c>
      <c r="F858" s="283" t="s">
        <v>1075</v>
      </c>
      <c r="G858" s="283">
        <v>2</v>
      </c>
      <c r="H858" s="283">
        <v>0</v>
      </c>
      <c r="I858" s="283">
        <v>0</v>
      </c>
      <c r="J858" s="284">
        <v>0</v>
      </c>
    </row>
    <row r="859" spans="3:10" x14ac:dyDescent="0.25">
      <c r="C859" s="300" t="s">
        <v>1060</v>
      </c>
      <c r="D859" s="283" t="s">
        <v>1087</v>
      </c>
      <c r="E859" s="283" t="s">
        <v>1084</v>
      </c>
      <c r="F859" s="283" t="s">
        <v>524</v>
      </c>
      <c r="G859" s="283">
        <v>1</v>
      </c>
      <c r="H859" s="283">
        <v>0</v>
      </c>
      <c r="I859" s="283">
        <v>0</v>
      </c>
      <c r="J859" s="284">
        <v>0</v>
      </c>
    </row>
    <row r="860" spans="3:10" x14ac:dyDescent="0.25">
      <c r="C860" s="300" t="s">
        <v>1068</v>
      </c>
      <c r="D860" s="283" t="s">
        <v>1087</v>
      </c>
      <c r="E860" s="283" t="s">
        <v>1094</v>
      </c>
      <c r="F860" s="283" t="s">
        <v>524</v>
      </c>
      <c r="G860" s="283">
        <v>1</v>
      </c>
      <c r="H860" s="283">
        <v>0</v>
      </c>
      <c r="I860" s="283">
        <v>0</v>
      </c>
      <c r="J860" s="284">
        <v>0</v>
      </c>
    </row>
    <row r="861" spans="3:10" x14ac:dyDescent="0.25">
      <c r="C861" s="300" t="s">
        <v>1068</v>
      </c>
      <c r="D861" s="283" t="s">
        <v>1079</v>
      </c>
      <c r="E861" s="283" t="s">
        <v>1088</v>
      </c>
      <c r="F861" s="283" t="s">
        <v>1075</v>
      </c>
      <c r="G861" s="283">
        <v>2</v>
      </c>
      <c r="H861" s="283">
        <v>0</v>
      </c>
      <c r="I861" s="283">
        <v>0</v>
      </c>
      <c r="J861" s="284">
        <v>0</v>
      </c>
    </row>
    <row r="862" spans="3:10" x14ac:dyDescent="0.25">
      <c r="C862" s="300" t="s">
        <v>1061</v>
      </c>
      <c r="D862" s="283" t="s">
        <v>1077</v>
      </c>
      <c r="E862" s="283" t="s">
        <v>1076</v>
      </c>
      <c r="F862" s="283" t="s">
        <v>1075</v>
      </c>
      <c r="G862" s="283">
        <v>2</v>
      </c>
      <c r="H862" s="283">
        <v>0</v>
      </c>
      <c r="I862" s="283">
        <v>0</v>
      </c>
      <c r="J862" s="284">
        <v>0</v>
      </c>
    </row>
    <row r="863" spans="3:10" x14ac:dyDescent="0.25">
      <c r="C863" s="300" t="s">
        <v>1061</v>
      </c>
      <c r="D863" s="283" t="s">
        <v>1079</v>
      </c>
      <c r="E863" s="283" t="s">
        <v>1089</v>
      </c>
      <c r="F863" s="283" t="s">
        <v>1089</v>
      </c>
      <c r="G863" s="283">
        <v>2</v>
      </c>
      <c r="H863" s="283">
        <v>0</v>
      </c>
      <c r="I863" s="283">
        <v>0</v>
      </c>
      <c r="J863" s="284">
        <v>0</v>
      </c>
    </row>
    <row r="864" spans="3:10" x14ac:dyDescent="0.25">
      <c r="C864" s="300" t="s">
        <v>1059</v>
      </c>
      <c r="D864" s="283" t="s">
        <v>1077</v>
      </c>
      <c r="E864" s="283" t="s">
        <v>1076</v>
      </c>
      <c r="F864" s="283" t="s">
        <v>1075</v>
      </c>
      <c r="G864" s="283">
        <v>2</v>
      </c>
      <c r="H864" s="283">
        <v>0</v>
      </c>
      <c r="I864" s="283">
        <v>0</v>
      </c>
      <c r="J864" s="284">
        <v>0</v>
      </c>
    </row>
    <row r="865" spans="3:10" x14ac:dyDescent="0.25">
      <c r="C865" s="300" t="s">
        <v>1060</v>
      </c>
      <c r="D865" s="283" t="s">
        <v>1077</v>
      </c>
      <c r="E865" s="283" t="s">
        <v>1075</v>
      </c>
      <c r="F865" s="283" t="s">
        <v>1083</v>
      </c>
      <c r="G865" s="283">
        <v>2</v>
      </c>
      <c r="H865" s="283">
        <v>0</v>
      </c>
      <c r="I865" s="283">
        <v>0</v>
      </c>
      <c r="J865" s="284">
        <v>0</v>
      </c>
    </row>
    <row r="866" spans="3:10" x14ac:dyDescent="0.25">
      <c r="C866" s="300" t="s">
        <v>1065</v>
      </c>
      <c r="D866" s="283" t="s">
        <v>1079</v>
      </c>
      <c r="E866" s="283" t="s">
        <v>1089</v>
      </c>
      <c r="F866" s="283" t="s">
        <v>1078</v>
      </c>
      <c r="G866" s="283">
        <v>2</v>
      </c>
      <c r="H866" s="283">
        <v>0</v>
      </c>
      <c r="I866" s="283">
        <v>0</v>
      </c>
      <c r="J866" s="284">
        <v>0</v>
      </c>
    </row>
    <row r="867" spans="3:10" x14ac:dyDescent="0.25">
      <c r="C867" s="300" t="s">
        <v>1061</v>
      </c>
      <c r="D867" s="283" t="s">
        <v>1077</v>
      </c>
      <c r="E867" s="283" t="s">
        <v>1075</v>
      </c>
      <c r="F867" s="283" t="s">
        <v>1076</v>
      </c>
      <c r="G867" s="283">
        <v>2</v>
      </c>
      <c r="H867" s="283">
        <v>0</v>
      </c>
      <c r="I867" s="283">
        <v>0</v>
      </c>
      <c r="J867" s="284">
        <v>0</v>
      </c>
    </row>
    <row r="868" spans="3:10" x14ac:dyDescent="0.25">
      <c r="C868" s="300" t="s">
        <v>1062</v>
      </c>
      <c r="D868" s="283" t="s">
        <v>1079</v>
      </c>
      <c r="E868" s="283" t="s">
        <v>1076</v>
      </c>
      <c r="F868" s="283" t="s">
        <v>1078</v>
      </c>
      <c r="G868" s="283">
        <v>2</v>
      </c>
      <c r="H868" s="283">
        <v>0</v>
      </c>
      <c r="I868" s="283">
        <v>0</v>
      </c>
      <c r="J868" s="284">
        <v>0</v>
      </c>
    </row>
    <row r="869" spans="3:10" x14ac:dyDescent="0.25">
      <c r="C869" s="300" t="s">
        <v>1064</v>
      </c>
      <c r="D869" s="283" t="s">
        <v>1077</v>
      </c>
      <c r="E869" s="283" t="s">
        <v>1075</v>
      </c>
      <c r="F869" s="283" t="s">
        <v>1089</v>
      </c>
      <c r="G869" s="283">
        <v>2</v>
      </c>
      <c r="H869" s="283">
        <v>0</v>
      </c>
      <c r="I869" s="283">
        <v>0</v>
      </c>
      <c r="J869" s="284">
        <v>0</v>
      </c>
    </row>
    <row r="870" spans="3:10" x14ac:dyDescent="0.25">
      <c r="C870" s="300" t="s">
        <v>1063</v>
      </c>
      <c r="D870" s="283" t="s">
        <v>1079</v>
      </c>
      <c r="E870" s="283" t="s">
        <v>1075</v>
      </c>
      <c r="F870" s="283" t="s">
        <v>1084</v>
      </c>
      <c r="G870" s="283">
        <v>2</v>
      </c>
      <c r="H870" s="283">
        <v>0</v>
      </c>
      <c r="I870" s="283">
        <v>0</v>
      </c>
      <c r="J870" s="284">
        <v>1</v>
      </c>
    </row>
    <row r="871" spans="3:10" x14ac:dyDescent="0.25">
      <c r="C871" s="300" t="s">
        <v>1063</v>
      </c>
      <c r="D871" s="283" t="s">
        <v>1087</v>
      </c>
      <c r="E871" s="283" t="s">
        <v>1075</v>
      </c>
      <c r="F871" s="283" t="s">
        <v>524</v>
      </c>
      <c r="G871" s="283">
        <v>1</v>
      </c>
      <c r="H871" s="283">
        <v>0</v>
      </c>
      <c r="I871" s="283">
        <v>0</v>
      </c>
      <c r="J871" s="284">
        <v>0</v>
      </c>
    </row>
    <row r="872" spans="3:10" x14ac:dyDescent="0.25">
      <c r="C872" s="300" t="s">
        <v>1060</v>
      </c>
      <c r="D872" s="283" t="s">
        <v>1079</v>
      </c>
      <c r="E872" s="283" t="s">
        <v>1089</v>
      </c>
      <c r="F872" s="283" t="s">
        <v>1075</v>
      </c>
      <c r="G872" s="283">
        <v>3</v>
      </c>
      <c r="H872" s="283">
        <v>0</v>
      </c>
      <c r="I872" s="283">
        <v>0</v>
      </c>
      <c r="J872" s="284">
        <v>0</v>
      </c>
    </row>
    <row r="873" spans="3:10" x14ac:dyDescent="0.25">
      <c r="C873" s="300" t="s">
        <v>1064</v>
      </c>
      <c r="D873" s="283" t="s">
        <v>1074</v>
      </c>
      <c r="E873" s="283" t="s">
        <v>1075</v>
      </c>
      <c r="F873" s="283" t="s">
        <v>1089</v>
      </c>
      <c r="G873" s="283">
        <v>2</v>
      </c>
      <c r="H873" s="283">
        <v>0</v>
      </c>
      <c r="I873" s="283">
        <v>0</v>
      </c>
      <c r="J873" s="284">
        <v>0</v>
      </c>
    </row>
    <row r="874" spans="3:10" x14ac:dyDescent="0.25">
      <c r="C874" s="300" t="s">
        <v>1065</v>
      </c>
      <c r="D874" s="283" t="s">
        <v>1079</v>
      </c>
      <c r="E874" s="283" t="s">
        <v>1075</v>
      </c>
      <c r="F874" s="283" t="s">
        <v>1075</v>
      </c>
      <c r="G874" s="283">
        <v>2</v>
      </c>
      <c r="H874" s="283">
        <v>0</v>
      </c>
      <c r="I874" s="283">
        <v>0</v>
      </c>
      <c r="J874" s="284">
        <v>0</v>
      </c>
    </row>
    <row r="875" spans="3:10" x14ac:dyDescent="0.25">
      <c r="C875" s="300" t="s">
        <v>1067</v>
      </c>
      <c r="D875" s="283" t="s">
        <v>1077</v>
      </c>
      <c r="E875" s="283" t="s">
        <v>1089</v>
      </c>
      <c r="F875" s="283" t="s">
        <v>1089</v>
      </c>
      <c r="G875" s="283">
        <v>3</v>
      </c>
      <c r="H875" s="283">
        <v>0</v>
      </c>
      <c r="I875" s="283">
        <v>0</v>
      </c>
      <c r="J875" s="284">
        <v>0</v>
      </c>
    </row>
    <row r="876" spans="3:10" x14ac:dyDescent="0.25">
      <c r="C876" s="300" t="s">
        <v>1061</v>
      </c>
      <c r="D876" s="283" t="s">
        <v>1079</v>
      </c>
      <c r="E876" s="283" t="s">
        <v>1089</v>
      </c>
      <c r="F876" s="283" t="s">
        <v>1076</v>
      </c>
      <c r="G876" s="283">
        <v>2</v>
      </c>
      <c r="H876" s="283">
        <v>0</v>
      </c>
      <c r="I876" s="283">
        <v>0</v>
      </c>
      <c r="J876" s="284">
        <v>0</v>
      </c>
    </row>
    <row r="877" spans="3:10" x14ac:dyDescent="0.25">
      <c r="C877" s="300" t="s">
        <v>1064</v>
      </c>
      <c r="D877" s="283" t="s">
        <v>1074</v>
      </c>
      <c r="E877" s="283" t="s">
        <v>1078</v>
      </c>
      <c r="F877" s="283" t="s">
        <v>1076</v>
      </c>
      <c r="G877" s="283">
        <v>2</v>
      </c>
      <c r="H877" s="283">
        <v>0</v>
      </c>
      <c r="I877" s="283">
        <v>0</v>
      </c>
      <c r="J877" s="284">
        <v>0</v>
      </c>
    </row>
    <row r="878" spans="3:10" x14ac:dyDescent="0.25">
      <c r="C878" s="300" t="s">
        <v>1059</v>
      </c>
      <c r="D878" s="283" t="s">
        <v>1082</v>
      </c>
      <c r="E878" s="283" t="s">
        <v>1076</v>
      </c>
      <c r="F878" s="283" t="s">
        <v>1076</v>
      </c>
      <c r="G878" s="283">
        <v>2</v>
      </c>
      <c r="H878" s="283">
        <v>0</v>
      </c>
      <c r="I878" s="283">
        <v>0</v>
      </c>
      <c r="J878" s="284">
        <v>0</v>
      </c>
    </row>
    <row r="879" spans="3:10" x14ac:dyDescent="0.25">
      <c r="C879" s="300" t="s">
        <v>1062</v>
      </c>
      <c r="D879" s="283" t="s">
        <v>1079</v>
      </c>
      <c r="E879" s="283" t="s">
        <v>1075</v>
      </c>
      <c r="F879" s="283" t="s">
        <v>1075</v>
      </c>
      <c r="G879" s="283">
        <v>2</v>
      </c>
      <c r="H879" s="283">
        <v>0</v>
      </c>
      <c r="I879" s="283">
        <v>0</v>
      </c>
      <c r="J879" s="284">
        <v>0</v>
      </c>
    </row>
    <row r="880" spans="3:10" x14ac:dyDescent="0.25">
      <c r="C880" s="300" t="s">
        <v>1066</v>
      </c>
      <c r="D880" s="283" t="s">
        <v>1087</v>
      </c>
      <c r="E880" s="283" t="s">
        <v>1075</v>
      </c>
      <c r="F880" s="283" t="s">
        <v>524</v>
      </c>
      <c r="G880" s="283">
        <v>1</v>
      </c>
      <c r="H880" s="283">
        <v>0</v>
      </c>
      <c r="I880" s="283">
        <v>0</v>
      </c>
      <c r="J880" s="284">
        <v>0</v>
      </c>
    </row>
    <row r="881" spans="3:10" x14ac:dyDescent="0.25">
      <c r="C881" s="300" t="s">
        <v>1065</v>
      </c>
      <c r="D881" s="283" t="s">
        <v>1096</v>
      </c>
      <c r="E881" s="283" t="s">
        <v>1083</v>
      </c>
      <c r="F881" s="283" t="s">
        <v>524</v>
      </c>
      <c r="G881" s="283">
        <v>1</v>
      </c>
      <c r="H881" s="283">
        <v>0</v>
      </c>
      <c r="I881" s="283">
        <v>0</v>
      </c>
      <c r="J881" s="284">
        <v>0</v>
      </c>
    </row>
    <row r="882" spans="3:10" x14ac:dyDescent="0.25">
      <c r="C882" s="300" t="s">
        <v>1066</v>
      </c>
      <c r="D882" s="283" t="s">
        <v>1074</v>
      </c>
      <c r="E882" s="283" t="s">
        <v>1075</v>
      </c>
      <c r="F882" s="283" t="s">
        <v>1076</v>
      </c>
      <c r="G882" s="283">
        <v>2</v>
      </c>
      <c r="H882" s="283">
        <v>0</v>
      </c>
      <c r="I882" s="283">
        <v>0</v>
      </c>
      <c r="J882" s="284">
        <v>0</v>
      </c>
    </row>
    <row r="883" spans="3:10" x14ac:dyDescent="0.25">
      <c r="C883" s="300" t="s">
        <v>1064</v>
      </c>
      <c r="D883" s="283" t="s">
        <v>1077</v>
      </c>
      <c r="E883" s="283" t="s">
        <v>1084</v>
      </c>
      <c r="F883" s="283" t="s">
        <v>1075</v>
      </c>
      <c r="G883" s="283">
        <v>3</v>
      </c>
      <c r="H883" s="283">
        <v>0</v>
      </c>
      <c r="I883" s="283">
        <v>0</v>
      </c>
      <c r="J883" s="284">
        <v>0</v>
      </c>
    </row>
    <row r="884" spans="3:10" x14ac:dyDescent="0.25">
      <c r="C884" s="300" t="s">
        <v>1064</v>
      </c>
      <c r="D884" s="283" t="s">
        <v>1077</v>
      </c>
      <c r="E884" s="283" t="s">
        <v>1075</v>
      </c>
      <c r="F884" s="283" t="s">
        <v>1076</v>
      </c>
      <c r="G884" s="283">
        <v>2</v>
      </c>
      <c r="H884" s="283">
        <v>0</v>
      </c>
      <c r="I884" s="283">
        <v>0</v>
      </c>
      <c r="J884" s="284">
        <v>0</v>
      </c>
    </row>
    <row r="885" spans="3:10" x14ac:dyDescent="0.25">
      <c r="C885" s="300" t="s">
        <v>1065</v>
      </c>
      <c r="D885" s="283" t="s">
        <v>1077</v>
      </c>
      <c r="E885" s="283" t="s">
        <v>1075</v>
      </c>
      <c r="F885" s="283" t="s">
        <v>1075</v>
      </c>
      <c r="G885" s="283">
        <v>3</v>
      </c>
      <c r="H885" s="283">
        <v>0</v>
      </c>
      <c r="I885" s="283">
        <v>0</v>
      </c>
      <c r="J885" s="284">
        <v>1</v>
      </c>
    </row>
    <row r="886" spans="3:10" x14ac:dyDescent="0.25">
      <c r="C886" s="300" t="s">
        <v>1065</v>
      </c>
      <c r="D886" s="283" t="s">
        <v>1077</v>
      </c>
      <c r="E886" s="283" t="s">
        <v>1075</v>
      </c>
      <c r="F886" s="283" t="s">
        <v>1075</v>
      </c>
      <c r="G886" s="283">
        <v>2</v>
      </c>
      <c r="H886" s="283">
        <v>0</v>
      </c>
      <c r="I886" s="283">
        <v>0</v>
      </c>
      <c r="J886" s="284">
        <v>0</v>
      </c>
    </row>
    <row r="887" spans="3:10" x14ac:dyDescent="0.25">
      <c r="C887" s="300" t="s">
        <v>1062</v>
      </c>
      <c r="D887" s="283" t="s">
        <v>1074</v>
      </c>
      <c r="E887" s="283" t="s">
        <v>1089</v>
      </c>
      <c r="F887" s="283" t="s">
        <v>1093</v>
      </c>
      <c r="G887" s="283">
        <v>2</v>
      </c>
      <c r="H887" s="283">
        <v>0</v>
      </c>
      <c r="I887" s="283">
        <v>0</v>
      </c>
      <c r="J887" s="284">
        <v>0</v>
      </c>
    </row>
    <row r="888" spans="3:10" x14ac:dyDescent="0.25">
      <c r="C888" s="300" t="s">
        <v>1063</v>
      </c>
      <c r="D888" s="283" t="s">
        <v>1079</v>
      </c>
      <c r="E888" s="283" t="s">
        <v>1075</v>
      </c>
      <c r="F888" s="283" t="s">
        <v>1089</v>
      </c>
      <c r="G888" s="283">
        <v>2</v>
      </c>
      <c r="H888" s="283">
        <v>0</v>
      </c>
      <c r="I888" s="283">
        <v>0</v>
      </c>
      <c r="J888" s="284">
        <v>1</v>
      </c>
    </row>
    <row r="889" spans="3:10" x14ac:dyDescent="0.25">
      <c r="C889" s="300" t="s">
        <v>1065</v>
      </c>
      <c r="D889" s="283" t="s">
        <v>1087</v>
      </c>
      <c r="E889" s="283" t="s">
        <v>1075</v>
      </c>
      <c r="F889" s="283" t="s">
        <v>524</v>
      </c>
      <c r="G889" s="283">
        <v>1</v>
      </c>
      <c r="H889" s="283">
        <v>0</v>
      </c>
      <c r="I889" s="283">
        <v>0</v>
      </c>
      <c r="J889" s="284">
        <v>0</v>
      </c>
    </row>
    <row r="890" spans="3:10" x14ac:dyDescent="0.25">
      <c r="C890" s="300" t="s">
        <v>1063</v>
      </c>
      <c r="D890" s="283" t="s">
        <v>1087</v>
      </c>
      <c r="E890" s="283" t="s">
        <v>1080</v>
      </c>
      <c r="F890" s="283" t="s">
        <v>524</v>
      </c>
      <c r="G890" s="283">
        <v>1</v>
      </c>
      <c r="H890" s="283">
        <v>0</v>
      </c>
      <c r="I890" s="283">
        <v>0</v>
      </c>
      <c r="J890" s="284">
        <v>0</v>
      </c>
    </row>
    <row r="891" spans="3:10" x14ac:dyDescent="0.25">
      <c r="C891" s="300" t="s">
        <v>1061</v>
      </c>
      <c r="D891" s="283" t="s">
        <v>1077</v>
      </c>
      <c r="E891" s="283" t="s">
        <v>1089</v>
      </c>
      <c r="F891" s="283" t="s">
        <v>1075</v>
      </c>
      <c r="G891" s="283">
        <v>2</v>
      </c>
      <c r="H891" s="283">
        <v>0</v>
      </c>
      <c r="I891" s="283">
        <v>0</v>
      </c>
      <c r="J891" s="284">
        <v>0</v>
      </c>
    </row>
    <row r="892" spans="3:10" x14ac:dyDescent="0.25">
      <c r="C892" s="300" t="s">
        <v>1059</v>
      </c>
      <c r="D892" s="283" t="s">
        <v>1074</v>
      </c>
      <c r="E892" s="283" t="s">
        <v>1076</v>
      </c>
      <c r="F892" s="283" t="s">
        <v>1075</v>
      </c>
      <c r="G892" s="283">
        <v>2</v>
      </c>
      <c r="H892" s="283">
        <v>0</v>
      </c>
      <c r="I892" s="283">
        <v>0</v>
      </c>
      <c r="J892" s="284">
        <v>0</v>
      </c>
    </row>
    <row r="893" spans="3:10" x14ac:dyDescent="0.25">
      <c r="C893" s="300" t="s">
        <v>1061</v>
      </c>
      <c r="D893" s="283" t="s">
        <v>1077</v>
      </c>
      <c r="E893" s="283" t="s">
        <v>1076</v>
      </c>
      <c r="F893" s="283" t="s">
        <v>1075</v>
      </c>
      <c r="G893" s="283">
        <v>2</v>
      </c>
      <c r="H893" s="283">
        <v>0</v>
      </c>
      <c r="I893" s="283">
        <v>0</v>
      </c>
      <c r="J893" s="284">
        <v>0</v>
      </c>
    </row>
    <row r="894" spans="3:10" x14ac:dyDescent="0.25">
      <c r="C894" s="300" t="s">
        <v>1067</v>
      </c>
      <c r="D894" s="283" t="s">
        <v>1087</v>
      </c>
      <c r="E894" s="283" t="s">
        <v>1075</v>
      </c>
      <c r="F894" s="283" t="s">
        <v>524</v>
      </c>
      <c r="G894" s="283">
        <v>1</v>
      </c>
      <c r="H894" s="283">
        <v>0</v>
      </c>
      <c r="I894" s="283">
        <v>0</v>
      </c>
      <c r="J894" s="284">
        <v>0</v>
      </c>
    </row>
    <row r="895" spans="3:10" x14ac:dyDescent="0.25">
      <c r="C895" s="300" t="s">
        <v>1066</v>
      </c>
      <c r="D895" s="283" t="s">
        <v>1087</v>
      </c>
      <c r="E895" s="283" t="s">
        <v>1084</v>
      </c>
      <c r="F895" s="283" t="s">
        <v>524</v>
      </c>
      <c r="G895" s="283">
        <v>1</v>
      </c>
      <c r="H895" s="283">
        <v>0</v>
      </c>
      <c r="I895" s="283">
        <v>0</v>
      </c>
      <c r="J895" s="284">
        <v>0</v>
      </c>
    </row>
    <row r="896" spans="3:10" x14ac:dyDescent="0.25">
      <c r="C896" s="300" t="s">
        <v>1066</v>
      </c>
      <c r="D896" s="283" t="s">
        <v>1077</v>
      </c>
      <c r="E896" s="283" t="s">
        <v>1075</v>
      </c>
      <c r="F896" s="283" t="s">
        <v>1089</v>
      </c>
      <c r="G896" s="283">
        <v>2</v>
      </c>
      <c r="H896" s="283">
        <v>0</v>
      </c>
      <c r="I896" s="283">
        <v>0</v>
      </c>
      <c r="J896" s="284">
        <v>0</v>
      </c>
    </row>
    <row r="897" spans="3:10" x14ac:dyDescent="0.25">
      <c r="C897" s="300" t="s">
        <v>1065</v>
      </c>
      <c r="D897" s="283" t="s">
        <v>1079</v>
      </c>
      <c r="E897" s="283" t="s">
        <v>1089</v>
      </c>
      <c r="F897" s="283" t="s">
        <v>1089</v>
      </c>
      <c r="G897" s="283">
        <v>2</v>
      </c>
      <c r="H897" s="283">
        <v>0</v>
      </c>
      <c r="I897" s="283">
        <v>0</v>
      </c>
      <c r="J897" s="284">
        <v>0</v>
      </c>
    </row>
    <row r="898" spans="3:10" x14ac:dyDescent="0.25">
      <c r="C898" s="300" t="s">
        <v>1065</v>
      </c>
      <c r="D898" s="283" t="s">
        <v>1079</v>
      </c>
      <c r="E898" s="283" t="s">
        <v>1075</v>
      </c>
      <c r="F898" s="283" t="s">
        <v>1078</v>
      </c>
      <c r="G898" s="283">
        <v>3</v>
      </c>
      <c r="H898" s="283">
        <v>0</v>
      </c>
      <c r="I898" s="283">
        <v>0</v>
      </c>
      <c r="J898" s="284">
        <v>0</v>
      </c>
    </row>
    <row r="899" spans="3:10" x14ac:dyDescent="0.25">
      <c r="C899" s="300" t="s">
        <v>1064</v>
      </c>
      <c r="D899" s="283" t="s">
        <v>1074</v>
      </c>
      <c r="E899" s="283" t="s">
        <v>1089</v>
      </c>
      <c r="F899" s="283" t="s">
        <v>1089</v>
      </c>
      <c r="G899" s="283">
        <v>2</v>
      </c>
      <c r="H899" s="283">
        <v>0</v>
      </c>
      <c r="I899" s="283">
        <v>0</v>
      </c>
      <c r="J899" s="284">
        <v>0</v>
      </c>
    </row>
    <row r="900" spans="3:10" x14ac:dyDescent="0.25">
      <c r="C900" s="300" t="s">
        <v>1061</v>
      </c>
      <c r="D900" s="283" t="s">
        <v>1074</v>
      </c>
      <c r="E900" s="283" t="s">
        <v>1075</v>
      </c>
      <c r="F900" s="283" t="s">
        <v>1075</v>
      </c>
      <c r="G900" s="283">
        <v>2</v>
      </c>
      <c r="H900" s="283">
        <v>0</v>
      </c>
      <c r="I900" s="283">
        <v>0</v>
      </c>
      <c r="J900" s="284">
        <v>0</v>
      </c>
    </row>
    <row r="901" spans="3:10" x14ac:dyDescent="0.25">
      <c r="C901" s="300" t="s">
        <v>1065</v>
      </c>
      <c r="D901" s="283" t="s">
        <v>1077</v>
      </c>
      <c r="E901" s="283" t="s">
        <v>1075</v>
      </c>
      <c r="F901" s="283" t="s">
        <v>1089</v>
      </c>
      <c r="G901" s="283">
        <v>2</v>
      </c>
      <c r="H901" s="283">
        <v>0</v>
      </c>
      <c r="I901" s="283">
        <v>0</v>
      </c>
      <c r="J901" s="284">
        <v>1</v>
      </c>
    </row>
    <row r="902" spans="3:10" x14ac:dyDescent="0.25">
      <c r="C902" s="300" t="s">
        <v>1061</v>
      </c>
      <c r="D902" s="283" t="s">
        <v>1077</v>
      </c>
      <c r="E902" s="283" t="s">
        <v>1075</v>
      </c>
      <c r="F902" s="283" t="s">
        <v>1044</v>
      </c>
      <c r="G902" s="283">
        <v>2</v>
      </c>
      <c r="H902" s="283">
        <v>0</v>
      </c>
      <c r="I902" s="283">
        <v>0</v>
      </c>
      <c r="J902" s="284">
        <v>0</v>
      </c>
    </row>
    <row r="903" spans="3:10" x14ac:dyDescent="0.25">
      <c r="C903" s="300" t="s">
        <v>1066</v>
      </c>
      <c r="D903" s="283" t="s">
        <v>1077</v>
      </c>
      <c r="E903" s="283" t="s">
        <v>1075</v>
      </c>
      <c r="F903" s="283" t="s">
        <v>1075</v>
      </c>
      <c r="G903" s="283">
        <v>4</v>
      </c>
      <c r="H903" s="283">
        <v>0</v>
      </c>
      <c r="I903" s="283">
        <v>0</v>
      </c>
      <c r="J903" s="284">
        <v>0</v>
      </c>
    </row>
    <row r="904" spans="3:10" x14ac:dyDescent="0.25">
      <c r="C904" s="300" t="s">
        <v>1066</v>
      </c>
      <c r="D904" s="283" t="s">
        <v>1087</v>
      </c>
      <c r="E904" s="283" t="s">
        <v>1076</v>
      </c>
      <c r="F904" s="283" t="s">
        <v>524</v>
      </c>
      <c r="G904" s="283">
        <v>1</v>
      </c>
      <c r="H904" s="283">
        <v>0</v>
      </c>
      <c r="I904" s="283">
        <v>0</v>
      </c>
      <c r="J904" s="284">
        <v>0</v>
      </c>
    </row>
    <row r="905" spans="3:10" x14ac:dyDescent="0.25">
      <c r="C905" s="300" t="s">
        <v>1068</v>
      </c>
      <c r="D905" s="283" t="s">
        <v>1079</v>
      </c>
      <c r="E905" s="283" t="s">
        <v>1075</v>
      </c>
      <c r="F905" s="283" t="s">
        <v>1089</v>
      </c>
      <c r="G905" s="283">
        <v>2</v>
      </c>
      <c r="H905" s="283">
        <v>0</v>
      </c>
      <c r="I905" s="283">
        <v>0</v>
      </c>
      <c r="J905" s="284">
        <v>0</v>
      </c>
    </row>
    <row r="906" spans="3:10" x14ac:dyDescent="0.25">
      <c r="C906" s="300" t="s">
        <v>1068</v>
      </c>
      <c r="D906" s="283" t="s">
        <v>1079</v>
      </c>
      <c r="E906" s="283" t="s">
        <v>1083</v>
      </c>
      <c r="F906" s="283" t="s">
        <v>1093</v>
      </c>
      <c r="G906" s="283">
        <v>2</v>
      </c>
      <c r="H906" s="283">
        <v>0</v>
      </c>
      <c r="I906" s="283">
        <v>1</v>
      </c>
      <c r="J906" s="284">
        <v>0</v>
      </c>
    </row>
    <row r="907" spans="3:10" x14ac:dyDescent="0.25">
      <c r="C907" s="300" t="s">
        <v>1063</v>
      </c>
      <c r="D907" s="283" t="s">
        <v>1087</v>
      </c>
      <c r="E907" s="283" t="s">
        <v>1089</v>
      </c>
      <c r="F907" s="283" t="s">
        <v>524</v>
      </c>
      <c r="G907" s="283">
        <v>1</v>
      </c>
      <c r="H907" s="283">
        <v>0</v>
      </c>
      <c r="I907" s="283">
        <v>0</v>
      </c>
      <c r="J907" s="284">
        <v>0</v>
      </c>
    </row>
    <row r="908" spans="3:10" x14ac:dyDescent="0.25">
      <c r="C908" s="300" t="s">
        <v>1067</v>
      </c>
      <c r="D908" s="283" t="s">
        <v>1087</v>
      </c>
      <c r="E908" s="283" t="s">
        <v>1075</v>
      </c>
      <c r="F908" s="283" t="s">
        <v>524</v>
      </c>
      <c r="G908" s="283">
        <v>1</v>
      </c>
      <c r="H908" s="283">
        <v>0</v>
      </c>
      <c r="I908" s="283">
        <v>0</v>
      </c>
      <c r="J908" s="284">
        <v>0</v>
      </c>
    </row>
    <row r="909" spans="3:10" x14ac:dyDescent="0.25">
      <c r="C909" s="300" t="s">
        <v>1060</v>
      </c>
      <c r="D909" s="283" t="s">
        <v>1087</v>
      </c>
      <c r="E909" s="283" t="s">
        <v>1075</v>
      </c>
      <c r="F909" s="283" t="s">
        <v>524</v>
      </c>
      <c r="G909" s="283">
        <v>1</v>
      </c>
      <c r="H909" s="283">
        <v>0</v>
      </c>
      <c r="I909" s="283">
        <v>1</v>
      </c>
      <c r="J909" s="284">
        <v>0</v>
      </c>
    </row>
    <row r="910" spans="3:10" x14ac:dyDescent="0.25">
      <c r="C910" s="300" t="s">
        <v>1062</v>
      </c>
      <c r="D910" s="283" t="s">
        <v>1079</v>
      </c>
      <c r="E910" s="283" t="s">
        <v>1086</v>
      </c>
      <c r="F910" s="283" t="s">
        <v>1075</v>
      </c>
      <c r="G910" s="283">
        <v>2</v>
      </c>
      <c r="H910" s="283">
        <v>0</v>
      </c>
      <c r="I910" s="283">
        <v>0</v>
      </c>
      <c r="J910" s="284">
        <v>0</v>
      </c>
    </row>
    <row r="911" spans="3:10" x14ac:dyDescent="0.25">
      <c r="C911" s="300" t="s">
        <v>1060</v>
      </c>
      <c r="D911" s="283" t="s">
        <v>1043</v>
      </c>
      <c r="E911" s="283" t="s">
        <v>1076</v>
      </c>
      <c r="F911" s="283" t="s">
        <v>1092</v>
      </c>
      <c r="G911" s="283">
        <v>2</v>
      </c>
      <c r="H911" s="283">
        <v>0</v>
      </c>
      <c r="I911" s="283">
        <v>1</v>
      </c>
      <c r="J911" s="284">
        <v>0</v>
      </c>
    </row>
    <row r="912" spans="3:10" x14ac:dyDescent="0.25">
      <c r="C912" s="300" t="s">
        <v>1065</v>
      </c>
      <c r="D912" s="283" t="s">
        <v>1043</v>
      </c>
      <c r="E912" s="283" t="s">
        <v>1075</v>
      </c>
      <c r="F912" s="283" t="s">
        <v>1092</v>
      </c>
      <c r="G912" s="283">
        <v>2</v>
      </c>
      <c r="H912" s="283">
        <v>0</v>
      </c>
      <c r="I912" s="283">
        <v>0</v>
      </c>
      <c r="J912" s="284">
        <v>1</v>
      </c>
    </row>
    <row r="913" spans="3:10" x14ac:dyDescent="0.25">
      <c r="C913" s="300" t="s">
        <v>1063</v>
      </c>
      <c r="D913" s="283" t="s">
        <v>1079</v>
      </c>
      <c r="E913" s="283" t="s">
        <v>1075</v>
      </c>
      <c r="F913" s="283" t="s">
        <v>1078</v>
      </c>
      <c r="G913" s="283">
        <v>2</v>
      </c>
      <c r="H913" s="283">
        <v>0</v>
      </c>
      <c r="I913" s="283">
        <v>0</v>
      </c>
      <c r="J913" s="284">
        <v>1</v>
      </c>
    </row>
    <row r="914" spans="3:10" x14ac:dyDescent="0.25">
      <c r="C914" s="300" t="s">
        <v>1065</v>
      </c>
      <c r="D914" s="283" t="s">
        <v>1077</v>
      </c>
      <c r="E914" s="283" t="s">
        <v>1078</v>
      </c>
      <c r="F914" s="283" t="s">
        <v>1076</v>
      </c>
      <c r="G914" s="283">
        <v>2</v>
      </c>
      <c r="H914" s="283">
        <v>0</v>
      </c>
      <c r="I914" s="283">
        <v>0</v>
      </c>
      <c r="J914" s="284">
        <v>0</v>
      </c>
    </row>
    <row r="915" spans="3:10" x14ac:dyDescent="0.25">
      <c r="C915" s="300" t="s">
        <v>1064</v>
      </c>
      <c r="D915" s="283" t="s">
        <v>1079</v>
      </c>
      <c r="E915" s="283" t="s">
        <v>1083</v>
      </c>
      <c r="F915" s="283" t="s">
        <v>1078</v>
      </c>
      <c r="G915" s="283">
        <v>4</v>
      </c>
      <c r="H915" s="283">
        <v>0</v>
      </c>
      <c r="I915" s="283">
        <v>1</v>
      </c>
      <c r="J915" s="284">
        <v>0</v>
      </c>
    </row>
    <row r="916" spans="3:10" x14ac:dyDescent="0.25">
      <c r="C916" s="300" t="s">
        <v>1068</v>
      </c>
      <c r="D916" s="283" t="s">
        <v>1087</v>
      </c>
      <c r="E916" s="283" t="s">
        <v>1075</v>
      </c>
      <c r="F916" s="283" t="s">
        <v>524</v>
      </c>
      <c r="G916" s="283">
        <v>1</v>
      </c>
      <c r="H916" s="283">
        <v>0</v>
      </c>
      <c r="I916" s="283">
        <v>0</v>
      </c>
      <c r="J916" s="284">
        <v>0</v>
      </c>
    </row>
    <row r="917" spans="3:10" x14ac:dyDescent="0.25">
      <c r="C917" s="300" t="s">
        <v>1064</v>
      </c>
      <c r="D917" s="283" t="s">
        <v>1043</v>
      </c>
      <c r="E917" s="283" t="s">
        <v>1089</v>
      </c>
      <c r="F917" s="283" t="s">
        <v>1092</v>
      </c>
      <c r="G917" s="283">
        <v>2</v>
      </c>
      <c r="H917" s="283">
        <v>0</v>
      </c>
      <c r="I917" s="283">
        <v>1</v>
      </c>
      <c r="J917" s="284">
        <v>0</v>
      </c>
    </row>
    <row r="918" spans="3:10" x14ac:dyDescent="0.25">
      <c r="C918" s="300" t="s">
        <v>1065</v>
      </c>
      <c r="D918" s="283" t="s">
        <v>1079</v>
      </c>
      <c r="E918" s="283" t="s">
        <v>1086</v>
      </c>
      <c r="F918" s="283" t="s">
        <v>1075</v>
      </c>
      <c r="G918" s="283">
        <v>2</v>
      </c>
      <c r="H918" s="283">
        <v>0</v>
      </c>
      <c r="I918" s="283">
        <v>0</v>
      </c>
      <c r="J918" s="284">
        <v>0</v>
      </c>
    </row>
    <row r="919" spans="3:10" x14ac:dyDescent="0.25">
      <c r="C919" s="300" t="s">
        <v>1066</v>
      </c>
      <c r="D919" s="283" t="s">
        <v>1090</v>
      </c>
      <c r="E919" s="283" t="s">
        <v>1075</v>
      </c>
      <c r="F919" s="283" t="s">
        <v>524</v>
      </c>
      <c r="G919" s="283">
        <v>1</v>
      </c>
      <c r="H919" s="283">
        <v>0</v>
      </c>
      <c r="I919" s="283">
        <v>0</v>
      </c>
      <c r="J919" s="284">
        <v>0</v>
      </c>
    </row>
    <row r="920" spans="3:10" x14ac:dyDescent="0.25">
      <c r="C920" s="300" t="s">
        <v>1063</v>
      </c>
      <c r="D920" s="283" t="s">
        <v>1043</v>
      </c>
      <c r="E920" s="283" t="s">
        <v>1078</v>
      </c>
      <c r="F920" s="283" t="s">
        <v>1092</v>
      </c>
      <c r="G920" s="283">
        <v>2</v>
      </c>
      <c r="H920" s="283">
        <v>0</v>
      </c>
      <c r="I920" s="283">
        <v>1</v>
      </c>
      <c r="J920" s="284">
        <v>0</v>
      </c>
    </row>
    <row r="921" spans="3:10" x14ac:dyDescent="0.25">
      <c r="C921" s="300" t="s">
        <v>1061</v>
      </c>
      <c r="D921" s="283" t="s">
        <v>1079</v>
      </c>
      <c r="E921" s="283" t="s">
        <v>1086</v>
      </c>
      <c r="F921" s="283" t="s">
        <v>1075</v>
      </c>
      <c r="G921" s="283">
        <v>2</v>
      </c>
      <c r="H921" s="283">
        <v>0</v>
      </c>
      <c r="I921" s="283">
        <v>0</v>
      </c>
      <c r="J921" s="284">
        <v>0</v>
      </c>
    </row>
    <row r="922" spans="3:10" x14ac:dyDescent="0.25">
      <c r="C922" s="300" t="s">
        <v>1062</v>
      </c>
      <c r="D922" s="283" t="s">
        <v>1087</v>
      </c>
      <c r="E922" s="283" t="s">
        <v>1075</v>
      </c>
      <c r="F922" s="283" t="s">
        <v>524</v>
      </c>
      <c r="G922" s="283">
        <v>1</v>
      </c>
      <c r="H922" s="283">
        <v>0</v>
      </c>
      <c r="I922" s="283">
        <v>0</v>
      </c>
      <c r="J922" s="284">
        <v>1</v>
      </c>
    </row>
    <row r="923" spans="3:10" x14ac:dyDescent="0.25">
      <c r="C923" s="300" t="s">
        <v>1066</v>
      </c>
      <c r="D923" s="283" t="s">
        <v>1074</v>
      </c>
      <c r="E923" s="283" t="s">
        <v>1089</v>
      </c>
      <c r="F923" s="283" t="s">
        <v>1044</v>
      </c>
      <c r="G923" s="283">
        <v>2</v>
      </c>
      <c r="H923" s="283">
        <v>0</v>
      </c>
      <c r="I923" s="283">
        <v>0</v>
      </c>
      <c r="J923" s="284">
        <v>1</v>
      </c>
    </row>
    <row r="924" spans="3:10" x14ac:dyDescent="0.25">
      <c r="C924" s="300" t="s">
        <v>1064</v>
      </c>
      <c r="D924" s="283" t="s">
        <v>1043</v>
      </c>
      <c r="E924" s="283" t="s">
        <v>1075</v>
      </c>
      <c r="F924" s="283" t="s">
        <v>1092</v>
      </c>
      <c r="G924" s="283">
        <v>2</v>
      </c>
      <c r="H924" s="283">
        <v>0</v>
      </c>
      <c r="I924" s="283">
        <v>0</v>
      </c>
      <c r="J924" s="284">
        <v>1</v>
      </c>
    </row>
    <row r="925" spans="3:10" x14ac:dyDescent="0.25">
      <c r="C925" s="300" t="s">
        <v>1063</v>
      </c>
      <c r="D925" s="283" t="s">
        <v>1074</v>
      </c>
      <c r="E925" s="283" t="s">
        <v>1075</v>
      </c>
      <c r="F925" s="283" t="s">
        <v>1075</v>
      </c>
      <c r="G925" s="283">
        <v>3</v>
      </c>
      <c r="H925" s="283">
        <v>0</v>
      </c>
      <c r="I925" s="283">
        <v>0</v>
      </c>
      <c r="J925" s="284">
        <v>1</v>
      </c>
    </row>
    <row r="926" spans="3:10" x14ac:dyDescent="0.25">
      <c r="C926" s="300" t="s">
        <v>1067</v>
      </c>
      <c r="D926" s="283" t="s">
        <v>1087</v>
      </c>
      <c r="E926" s="283" t="s">
        <v>1075</v>
      </c>
      <c r="F926" s="283" t="s">
        <v>524</v>
      </c>
      <c r="G926" s="283">
        <v>1</v>
      </c>
      <c r="H926" s="283">
        <v>0</v>
      </c>
      <c r="I926" s="283">
        <v>1</v>
      </c>
      <c r="J926" s="284">
        <v>0</v>
      </c>
    </row>
    <row r="927" spans="3:10" x14ac:dyDescent="0.25">
      <c r="C927" s="300" t="s">
        <v>1065</v>
      </c>
      <c r="D927" s="283" t="s">
        <v>1079</v>
      </c>
      <c r="E927" s="283" t="s">
        <v>1078</v>
      </c>
      <c r="F927" s="283" t="s">
        <v>1093</v>
      </c>
      <c r="G927" s="283">
        <v>2</v>
      </c>
      <c r="H927" s="283">
        <v>0</v>
      </c>
      <c r="I927" s="283">
        <v>1</v>
      </c>
      <c r="J927" s="284">
        <v>0</v>
      </c>
    </row>
    <row r="928" spans="3:10" x14ac:dyDescent="0.25">
      <c r="C928" s="300" t="s">
        <v>1061</v>
      </c>
      <c r="D928" s="283" t="s">
        <v>1074</v>
      </c>
      <c r="E928" s="283" t="s">
        <v>1078</v>
      </c>
      <c r="F928" s="283" t="s">
        <v>1044</v>
      </c>
      <c r="G928" s="283">
        <v>2</v>
      </c>
      <c r="H928" s="283">
        <v>0</v>
      </c>
      <c r="I928" s="283">
        <v>0</v>
      </c>
      <c r="J928" s="284">
        <v>1</v>
      </c>
    </row>
    <row r="929" spans="3:10" x14ac:dyDescent="0.25">
      <c r="C929" s="300" t="s">
        <v>1057</v>
      </c>
      <c r="D929" s="283" t="s">
        <v>1079</v>
      </c>
      <c r="E929" s="283" t="s">
        <v>1075</v>
      </c>
      <c r="F929" s="283" t="s">
        <v>1076</v>
      </c>
      <c r="G929" s="283">
        <v>2</v>
      </c>
      <c r="H929" s="283">
        <v>0</v>
      </c>
      <c r="I929" s="283">
        <v>0</v>
      </c>
      <c r="J929" s="284">
        <v>0</v>
      </c>
    </row>
    <row r="930" spans="3:10" x14ac:dyDescent="0.25">
      <c r="C930" s="300" t="s">
        <v>1067</v>
      </c>
      <c r="D930" s="283" t="s">
        <v>1079</v>
      </c>
      <c r="E930" s="283" t="s">
        <v>1075</v>
      </c>
      <c r="F930" s="283" t="s">
        <v>1078</v>
      </c>
      <c r="G930" s="283">
        <v>2</v>
      </c>
      <c r="H930" s="283">
        <v>0</v>
      </c>
      <c r="I930" s="283">
        <v>0</v>
      </c>
      <c r="J930" s="284">
        <v>0</v>
      </c>
    </row>
    <row r="931" spans="3:10" x14ac:dyDescent="0.25">
      <c r="C931" s="300" t="s">
        <v>1066</v>
      </c>
      <c r="D931" s="283" t="s">
        <v>1082</v>
      </c>
      <c r="E931" s="283" t="s">
        <v>1075</v>
      </c>
      <c r="F931" s="283" t="s">
        <v>1089</v>
      </c>
      <c r="G931" s="283">
        <v>2</v>
      </c>
      <c r="H931" s="283">
        <v>0</v>
      </c>
      <c r="I931" s="283">
        <v>0</v>
      </c>
      <c r="J931" s="284">
        <v>1</v>
      </c>
    </row>
    <row r="932" spans="3:10" x14ac:dyDescent="0.25">
      <c r="C932" s="300" t="s">
        <v>1068</v>
      </c>
      <c r="D932" s="283" t="s">
        <v>1079</v>
      </c>
      <c r="E932" s="283" t="s">
        <v>1075</v>
      </c>
      <c r="F932" s="283" t="s">
        <v>1078</v>
      </c>
      <c r="G932" s="283">
        <v>2</v>
      </c>
      <c r="H932" s="283">
        <v>0</v>
      </c>
      <c r="I932" s="283">
        <v>0</v>
      </c>
      <c r="J932" s="284">
        <v>0</v>
      </c>
    </row>
    <row r="933" spans="3:10" x14ac:dyDescent="0.25">
      <c r="C933" s="300" t="s">
        <v>1065</v>
      </c>
      <c r="D933" s="283" t="s">
        <v>1077</v>
      </c>
      <c r="E933" s="283" t="s">
        <v>1089</v>
      </c>
      <c r="F933" s="283" t="s">
        <v>1075</v>
      </c>
      <c r="G933" s="283">
        <v>2</v>
      </c>
      <c r="H933" s="283">
        <v>0</v>
      </c>
      <c r="I933" s="283">
        <v>0</v>
      </c>
      <c r="J933" s="284">
        <v>1</v>
      </c>
    </row>
    <row r="934" spans="3:10" x14ac:dyDescent="0.25">
      <c r="C934" s="300" t="s">
        <v>1066</v>
      </c>
      <c r="D934" s="283" t="s">
        <v>1079</v>
      </c>
      <c r="E934" s="283" t="s">
        <v>1076</v>
      </c>
      <c r="F934" s="283" t="s">
        <v>1075</v>
      </c>
      <c r="G934" s="283">
        <v>2</v>
      </c>
      <c r="H934" s="283">
        <v>0</v>
      </c>
      <c r="I934" s="283">
        <v>0</v>
      </c>
      <c r="J934" s="284">
        <v>2</v>
      </c>
    </row>
    <row r="935" spans="3:10" x14ac:dyDescent="0.25">
      <c r="C935" s="300" t="s">
        <v>1063</v>
      </c>
      <c r="D935" s="283" t="s">
        <v>1079</v>
      </c>
      <c r="E935" s="283" t="s">
        <v>1088</v>
      </c>
      <c r="F935" s="283" t="s">
        <v>1075</v>
      </c>
      <c r="G935" s="283">
        <v>3</v>
      </c>
      <c r="H935" s="283">
        <v>0</v>
      </c>
      <c r="I935" s="283">
        <v>0</v>
      </c>
      <c r="J935" s="284">
        <v>1</v>
      </c>
    </row>
    <row r="936" spans="3:10" x14ac:dyDescent="0.25">
      <c r="C936" s="300" t="s">
        <v>1058</v>
      </c>
      <c r="D936" s="283" t="s">
        <v>1087</v>
      </c>
      <c r="E936" s="283" t="s">
        <v>1075</v>
      </c>
      <c r="F936" s="283" t="s">
        <v>524</v>
      </c>
      <c r="G936" s="283">
        <v>1</v>
      </c>
      <c r="H936" s="283">
        <v>0</v>
      </c>
      <c r="I936" s="283">
        <v>0</v>
      </c>
      <c r="J936" s="284">
        <v>1</v>
      </c>
    </row>
    <row r="937" spans="3:10" x14ac:dyDescent="0.25">
      <c r="C937" s="300" t="s">
        <v>1065</v>
      </c>
      <c r="D937" s="283" t="s">
        <v>1074</v>
      </c>
      <c r="E937" s="283" t="s">
        <v>1075</v>
      </c>
      <c r="F937" s="283" t="s">
        <v>1044</v>
      </c>
      <c r="G937" s="283">
        <v>2</v>
      </c>
      <c r="H937" s="283">
        <v>0</v>
      </c>
      <c r="I937" s="283">
        <v>0</v>
      </c>
      <c r="J937" s="284">
        <v>1</v>
      </c>
    </row>
    <row r="938" spans="3:10" x14ac:dyDescent="0.25">
      <c r="C938" s="300" t="s">
        <v>1062</v>
      </c>
      <c r="D938" s="283" t="s">
        <v>1043</v>
      </c>
      <c r="E938" s="283" t="s">
        <v>1075</v>
      </c>
      <c r="F938" s="283" t="s">
        <v>1092</v>
      </c>
      <c r="G938" s="283">
        <v>2</v>
      </c>
      <c r="H938" s="283">
        <v>0</v>
      </c>
      <c r="I938" s="283">
        <v>1</v>
      </c>
      <c r="J938" s="284">
        <v>0</v>
      </c>
    </row>
    <row r="939" spans="3:10" x14ac:dyDescent="0.25">
      <c r="C939" s="300" t="s">
        <v>1066</v>
      </c>
      <c r="D939" s="283" t="s">
        <v>1079</v>
      </c>
      <c r="E939" s="283" t="s">
        <v>1075</v>
      </c>
      <c r="F939" s="283" t="s">
        <v>1084</v>
      </c>
      <c r="G939" s="283">
        <v>2</v>
      </c>
      <c r="H939" s="283">
        <v>0</v>
      </c>
      <c r="I939" s="283">
        <v>0</v>
      </c>
      <c r="J939" s="284">
        <v>1</v>
      </c>
    </row>
    <row r="940" spans="3:10" x14ac:dyDescent="0.25">
      <c r="C940" s="300" t="s">
        <v>1067</v>
      </c>
      <c r="D940" s="283" t="s">
        <v>1079</v>
      </c>
      <c r="E940" s="283" t="s">
        <v>1075</v>
      </c>
      <c r="F940" s="283" t="s">
        <v>1075</v>
      </c>
      <c r="G940" s="283">
        <v>2</v>
      </c>
      <c r="H940" s="283">
        <v>0</v>
      </c>
      <c r="I940" s="283">
        <v>0</v>
      </c>
      <c r="J940" s="284">
        <v>0</v>
      </c>
    </row>
    <row r="941" spans="3:10" x14ac:dyDescent="0.25">
      <c r="C941" s="300" t="s">
        <v>1060</v>
      </c>
      <c r="D941" s="283" t="s">
        <v>1087</v>
      </c>
      <c r="E941" s="283" t="s">
        <v>1075</v>
      </c>
      <c r="F941" s="283" t="s">
        <v>524</v>
      </c>
      <c r="G941" s="283">
        <v>1</v>
      </c>
      <c r="H941" s="283">
        <v>0</v>
      </c>
      <c r="I941" s="283">
        <v>1</v>
      </c>
      <c r="J941" s="284">
        <v>0</v>
      </c>
    </row>
    <row r="942" spans="3:10" x14ac:dyDescent="0.25">
      <c r="C942" s="300" t="s">
        <v>1066</v>
      </c>
      <c r="D942" s="283" t="s">
        <v>1079</v>
      </c>
      <c r="E942" s="283" t="s">
        <v>1076</v>
      </c>
      <c r="F942" s="283" t="s">
        <v>1078</v>
      </c>
      <c r="G942" s="283">
        <v>4</v>
      </c>
      <c r="H942" s="283">
        <v>0</v>
      </c>
      <c r="I942" s="283">
        <v>0</v>
      </c>
      <c r="J942" s="284">
        <v>0</v>
      </c>
    </row>
    <row r="943" spans="3:10" x14ac:dyDescent="0.25">
      <c r="C943" s="300" t="s">
        <v>1065</v>
      </c>
      <c r="D943" s="283" t="s">
        <v>1077</v>
      </c>
      <c r="E943" s="283" t="s">
        <v>1075</v>
      </c>
      <c r="F943" s="283" t="s">
        <v>1089</v>
      </c>
      <c r="G943" s="283">
        <v>2</v>
      </c>
      <c r="H943" s="283">
        <v>0</v>
      </c>
      <c r="I943" s="283">
        <v>0</v>
      </c>
      <c r="J943" s="284">
        <v>0</v>
      </c>
    </row>
    <row r="944" spans="3:10" x14ac:dyDescent="0.25">
      <c r="C944" s="300" t="s">
        <v>1065</v>
      </c>
      <c r="D944" s="283" t="s">
        <v>1077</v>
      </c>
      <c r="E944" s="283" t="s">
        <v>1075</v>
      </c>
      <c r="F944" s="283" t="s">
        <v>1075</v>
      </c>
      <c r="G944" s="283">
        <v>3</v>
      </c>
      <c r="H944" s="283">
        <v>0</v>
      </c>
      <c r="I944" s="283">
        <v>0</v>
      </c>
      <c r="J944" s="284">
        <v>0</v>
      </c>
    </row>
    <row r="945" spans="3:10" x14ac:dyDescent="0.25">
      <c r="C945" s="300" t="s">
        <v>1064</v>
      </c>
      <c r="D945" s="283" t="s">
        <v>1074</v>
      </c>
      <c r="E945" s="283" t="s">
        <v>1084</v>
      </c>
      <c r="F945" s="283" t="s">
        <v>1075</v>
      </c>
      <c r="G945" s="283">
        <v>2</v>
      </c>
      <c r="H945" s="283">
        <v>0</v>
      </c>
      <c r="I945" s="283">
        <v>0</v>
      </c>
      <c r="J945" s="284">
        <v>1</v>
      </c>
    </row>
    <row r="946" spans="3:10" x14ac:dyDescent="0.25">
      <c r="C946" s="300" t="s">
        <v>1065</v>
      </c>
      <c r="D946" s="283" t="s">
        <v>1077</v>
      </c>
      <c r="E946" s="283" t="s">
        <v>1075</v>
      </c>
      <c r="F946" s="283" t="s">
        <v>1075</v>
      </c>
      <c r="G946" s="283">
        <v>3</v>
      </c>
      <c r="H946" s="283">
        <v>0</v>
      </c>
      <c r="I946" s="283">
        <v>0</v>
      </c>
      <c r="J946" s="284">
        <v>1</v>
      </c>
    </row>
    <row r="947" spans="3:10" x14ac:dyDescent="0.25">
      <c r="C947" s="300" t="s">
        <v>1065</v>
      </c>
      <c r="D947" s="283" t="s">
        <v>1079</v>
      </c>
      <c r="E947" s="283" t="s">
        <v>1075</v>
      </c>
      <c r="F947" s="283" t="s">
        <v>1075</v>
      </c>
      <c r="G947" s="283">
        <v>2</v>
      </c>
      <c r="H947" s="283">
        <v>0</v>
      </c>
      <c r="I947" s="283">
        <v>0</v>
      </c>
      <c r="J947" s="284">
        <v>1</v>
      </c>
    </row>
    <row r="948" spans="3:10" x14ac:dyDescent="0.25">
      <c r="C948" s="300" t="s">
        <v>1064</v>
      </c>
      <c r="D948" s="283" t="s">
        <v>1082</v>
      </c>
      <c r="E948" s="283" t="s">
        <v>1078</v>
      </c>
      <c r="F948" s="283" t="s">
        <v>1075</v>
      </c>
      <c r="G948" s="283">
        <v>2</v>
      </c>
      <c r="H948" s="283">
        <v>0</v>
      </c>
      <c r="I948" s="283">
        <v>0</v>
      </c>
      <c r="J948" s="284">
        <v>0</v>
      </c>
    </row>
    <row r="949" spans="3:10" x14ac:dyDescent="0.25">
      <c r="C949" s="300" t="s">
        <v>1065</v>
      </c>
      <c r="D949" s="283" t="s">
        <v>1077</v>
      </c>
      <c r="E949" s="283" t="s">
        <v>1076</v>
      </c>
      <c r="F949" s="283" t="s">
        <v>1084</v>
      </c>
      <c r="G949" s="283">
        <v>2</v>
      </c>
      <c r="H949" s="283">
        <v>0</v>
      </c>
      <c r="I949" s="283">
        <v>0</v>
      </c>
      <c r="J949" s="284">
        <v>0</v>
      </c>
    </row>
    <row r="950" spans="3:10" x14ac:dyDescent="0.25">
      <c r="C950" s="300" t="s">
        <v>1061</v>
      </c>
      <c r="D950" s="283" t="s">
        <v>1079</v>
      </c>
      <c r="E950" s="283" t="s">
        <v>1088</v>
      </c>
      <c r="F950" s="283" t="s">
        <v>1075</v>
      </c>
      <c r="G950" s="283">
        <v>2</v>
      </c>
      <c r="H950" s="283">
        <v>0</v>
      </c>
      <c r="I950" s="283">
        <v>0</v>
      </c>
      <c r="J950" s="284">
        <v>1</v>
      </c>
    </row>
    <row r="951" spans="3:10" x14ac:dyDescent="0.25">
      <c r="C951" s="300" t="s">
        <v>1061</v>
      </c>
      <c r="D951" s="283" t="s">
        <v>1079</v>
      </c>
      <c r="E951" s="283" t="s">
        <v>1075</v>
      </c>
      <c r="F951" s="283" t="s">
        <v>1080</v>
      </c>
      <c r="G951" s="283">
        <v>2</v>
      </c>
      <c r="H951" s="283">
        <v>0</v>
      </c>
      <c r="I951" s="283">
        <v>0</v>
      </c>
      <c r="J951" s="284">
        <v>0</v>
      </c>
    </row>
    <row r="952" spans="3:10" x14ac:dyDescent="0.25">
      <c r="C952" s="300" t="s">
        <v>1063</v>
      </c>
      <c r="D952" s="283" t="s">
        <v>1077</v>
      </c>
      <c r="E952" s="283" t="s">
        <v>1076</v>
      </c>
      <c r="F952" s="283" t="s">
        <v>1078</v>
      </c>
      <c r="G952" s="283">
        <v>3</v>
      </c>
      <c r="H952" s="283">
        <v>0</v>
      </c>
      <c r="I952" s="283">
        <v>0</v>
      </c>
      <c r="J952" s="284">
        <v>0</v>
      </c>
    </row>
    <row r="953" spans="3:10" x14ac:dyDescent="0.25">
      <c r="C953" s="300" t="s">
        <v>1062</v>
      </c>
      <c r="D953" s="283" t="s">
        <v>1079</v>
      </c>
      <c r="E953" s="283" t="s">
        <v>1075</v>
      </c>
      <c r="F953" s="283" t="s">
        <v>1078</v>
      </c>
      <c r="G953" s="283">
        <v>3</v>
      </c>
      <c r="H953" s="283">
        <v>0</v>
      </c>
      <c r="I953" s="283">
        <v>0</v>
      </c>
      <c r="J953" s="284">
        <v>1</v>
      </c>
    </row>
    <row r="954" spans="3:10" x14ac:dyDescent="0.25">
      <c r="C954" s="300" t="s">
        <v>1063</v>
      </c>
      <c r="D954" s="283" t="s">
        <v>1087</v>
      </c>
      <c r="E954" s="283" t="s">
        <v>1076</v>
      </c>
      <c r="F954" s="283" t="s">
        <v>524</v>
      </c>
      <c r="G954" s="283">
        <v>1</v>
      </c>
      <c r="H954" s="283">
        <v>0</v>
      </c>
      <c r="I954" s="283">
        <v>0</v>
      </c>
      <c r="J954" s="284">
        <v>0</v>
      </c>
    </row>
    <row r="955" spans="3:10" x14ac:dyDescent="0.25">
      <c r="C955" s="300" t="s">
        <v>1061</v>
      </c>
      <c r="D955" s="283" t="s">
        <v>1079</v>
      </c>
      <c r="E955" s="283" t="s">
        <v>1075</v>
      </c>
      <c r="F955" s="283" t="s">
        <v>1089</v>
      </c>
      <c r="G955" s="283">
        <v>2</v>
      </c>
      <c r="H955" s="283">
        <v>0</v>
      </c>
      <c r="I955" s="283">
        <v>0</v>
      </c>
      <c r="J955" s="284">
        <v>0</v>
      </c>
    </row>
    <row r="956" spans="3:10" x14ac:dyDescent="0.25">
      <c r="C956" s="300" t="s">
        <v>1057</v>
      </c>
      <c r="D956" s="283" t="s">
        <v>1087</v>
      </c>
      <c r="E956" s="283" t="s">
        <v>1089</v>
      </c>
      <c r="F956" s="283" t="s">
        <v>524</v>
      </c>
      <c r="G956" s="283">
        <v>1</v>
      </c>
      <c r="H956" s="283">
        <v>0</v>
      </c>
      <c r="I956" s="283">
        <v>0</v>
      </c>
      <c r="J956" s="284">
        <v>0</v>
      </c>
    </row>
    <row r="957" spans="3:10" x14ac:dyDescent="0.25">
      <c r="C957" s="300" t="s">
        <v>1065</v>
      </c>
      <c r="D957" s="283" t="s">
        <v>1077</v>
      </c>
      <c r="E957" s="283" t="s">
        <v>1075</v>
      </c>
      <c r="F957" s="283" t="s">
        <v>1075</v>
      </c>
      <c r="G957" s="283">
        <v>2</v>
      </c>
      <c r="H957" s="283">
        <v>0</v>
      </c>
      <c r="I957" s="283">
        <v>0</v>
      </c>
      <c r="J957" s="284">
        <v>0</v>
      </c>
    </row>
    <row r="958" spans="3:10" x14ac:dyDescent="0.25">
      <c r="C958" s="300" t="s">
        <v>1060</v>
      </c>
      <c r="D958" s="283" t="s">
        <v>1074</v>
      </c>
      <c r="E958" s="283" t="s">
        <v>1076</v>
      </c>
      <c r="F958" s="283" t="s">
        <v>1075</v>
      </c>
      <c r="G958" s="283">
        <v>2</v>
      </c>
      <c r="H958" s="283">
        <v>0</v>
      </c>
      <c r="I958" s="283">
        <v>0</v>
      </c>
      <c r="J958" s="284">
        <v>1</v>
      </c>
    </row>
    <row r="959" spans="3:10" x14ac:dyDescent="0.25">
      <c r="C959" s="300" t="s">
        <v>1062</v>
      </c>
      <c r="D959" s="283" t="s">
        <v>1079</v>
      </c>
      <c r="E959" s="283" t="s">
        <v>1075</v>
      </c>
      <c r="F959" s="283" t="s">
        <v>1088</v>
      </c>
      <c r="G959" s="283">
        <v>2</v>
      </c>
      <c r="H959" s="283">
        <v>0</v>
      </c>
      <c r="I959" s="283">
        <v>0</v>
      </c>
      <c r="J959" s="284">
        <v>1</v>
      </c>
    </row>
    <row r="960" spans="3:10" x14ac:dyDescent="0.25">
      <c r="C960" s="300" t="s">
        <v>1064</v>
      </c>
      <c r="D960" s="283" t="s">
        <v>1077</v>
      </c>
      <c r="E960" s="283" t="s">
        <v>1075</v>
      </c>
      <c r="F960" s="283" t="s">
        <v>1075</v>
      </c>
      <c r="G960" s="283">
        <v>2</v>
      </c>
      <c r="H960" s="283">
        <v>0</v>
      </c>
      <c r="I960" s="283">
        <v>0</v>
      </c>
      <c r="J960" s="284">
        <v>1</v>
      </c>
    </row>
    <row r="961" spans="3:10" x14ac:dyDescent="0.25">
      <c r="C961" s="300" t="s">
        <v>1060</v>
      </c>
      <c r="D961" s="283" t="s">
        <v>1077</v>
      </c>
      <c r="E961" s="283" t="s">
        <v>1075</v>
      </c>
      <c r="F961" s="283" t="s">
        <v>1075</v>
      </c>
      <c r="G961" s="283">
        <v>2</v>
      </c>
      <c r="H961" s="283">
        <v>0</v>
      </c>
      <c r="I961" s="283">
        <v>0</v>
      </c>
      <c r="J961" s="284">
        <v>0</v>
      </c>
    </row>
    <row r="962" spans="3:10" x14ac:dyDescent="0.25">
      <c r="C962" s="300" t="s">
        <v>1064</v>
      </c>
      <c r="D962" s="283" t="s">
        <v>1079</v>
      </c>
      <c r="E962" s="283" t="s">
        <v>1075</v>
      </c>
      <c r="F962" s="283" t="s">
        <v>1075</v>
      </c>
      <c r="G962" s="283">
        <v>2</v>
      </c>
      <c r="H962" s="283">
        <v>0</v>
      </c>
      <c r="I962" s="283">
        <v>0</v>
      </c>
      <c r="J962" s="284">
        <v>0</v>
      </c>
    </row>
    <row r="963" spans="3:10" x14ac:dyDescent="0.25">
      <c r="C963" s="300" t="s">
        <v>1063</v>
      </c>
      <c r="D963" s="283" t="s">
        <v>1087</v>
      </c>
      <c r="E963" s="283" t="s">
        <v>1075</v>
      </c>
      <c r="F963" s="283" t="s">
        <v>524</v>
      </c>
      <c r="G963" s="283">
        <v>1</v>
      </c>
      <c r="H963" s="283">
        <v>0</v>
      </c>
      <c r="I963" s="283">
        <v>0</v>
      </c>
      <c r="J963" s="284">
        <v>2</v>
      </c>
    </row>
    <row r="964" spans="3:10" x14ac:dyDescent="0.25">
      <c r="C964" s="300" t="s">
        <v>1065</v>
      </c>
      <c r="D964" s="283" t="s">
        <v>1077</v>
      </c>
      <c r="E964" s="283" t="s">
        <v>1075</v>
      </c>
      <c r="F964" s="283" t="s">
        <v>1076</v>
      </c>
      <c r="G964" s="283">
        <v>3</v>
      </c>
      <c r="H964" s="283">
        <v>0</v>
      </c>
      <c r="I964" s="283">
        <v>0</v>
      </c>
      <c r="J964" s="284">
        <v>1</v>
      </c>
    </row>
    <row r="965" spans="3:10" x14ac:dyDescent="0.25">
      <c r="C965" s="300" t="s">
        <v>1065</v>
      </c>
      <c r="D965" s="283" t="s">
        <v>1074</v>
      </c>
      <c r="E965" s="283" t="s">
        <v>1075</v>
      </c>
      <c r="F965" s="283" t="s">
        <v>1076</v>
      </c>
      <c r="G965" s="283">
        <v>2</v>
      </c>
      <c r="H965" s="283">
        <v>0</v>
      </c>
      <c r="I965" s="283">
        <v>0</v>
      </c>
      <c r="J965" s="284">
        <v>0</v>
      </c>
    </row>
    <row r="966" spans="3:10" x14ac:dyDescent="0.25">
      <c r="C966" s="300" t="s">
        <v>1066</v>
      </c>
      <c r="D966" s="283" t="s">
        <v>1079</v>
      </c>
      <c r="E966" s="283" t="s">
        <v>1086</v>
      </c>
      <c r="F966" s="283" t="s">
        <v>1075</v>
      </c>
      <c r="G966" s="283">
        <v>2</v>
      </c>
      <c r="H966" s="283">
        <v>0</v>
      </c>
      <c r="I966" s="283">
        <v>0</v>
      </c>
      <c r="J966" s="284">
        <v>0</v>
      </c>
    </row>
    <row r="967" spans="3:10" x14ac:dyDescent="0.25">
      <c r="C967" s="300" t="s">
        <v>1061</v>
      </c>
      <c r="D967" s="283" t="s">
        <v>1074</v>
      </c>
      <c r="E967" s="283" t="s">
        <v>1075</v>
      </c>
      <c r="F967" s="283" t="s">
        <v>1089</v>
      </c>
      <c r="G967" s="283">
        <v>3</v>
      </c>
      <c r="H967" s="283">
        <v>0</v>
      </c>
      <c r="I967" s="283">
        <v>1</v>
      </c>
      <c r="J967" s="284">
        <v>0</v>
      </c>
    </row>
    <row r="968" spans="3:10" x14ac:dyDescent="0.25">
      <c r="C968" s="300" t="s">
        <v>1063</v>
      </c>
      <c r="D968" s="283" t="s">
        <v>1082</v>
      </c>
      <c r="E968" s="283" t="s">
        <v>1075</v>
      </c>
      <c r="F968" s="283" t="s">
        <v>1084</v>
      </c>
      <c r="G968" s="283">
        <v>3</v>
      </c>
      <c r="H968" s="283">
        <v>0</v>
      </c>
      <c r="I968" s="283">
        <v>1</v>
      </c>
      <c r="J968" s="284">
        <v>2</v>
      </c>
    </row>
    <row r="969" spans="3:10" x14ac:dyDescent="0.25">
      <c r="C969" s="300" t="s">
        <v>1060</v>
      </c>
      <c r="D969" s="283" t="s">
        <v>1087</v>
      </c>
      <c r="E969" s="283" t="s">
        <v>1044</v>
      </c>
      <c r="F969" s="283" t="s">
        <v>524</v>
      </c>
      <c r="G969" s="283">
        <v>1</v>
      </c>
      <c r="H969" s="283">
        <v>0</v>
      </c>
      <c r="I969" s="283">
        <v>0</v>
      </c>
      <c r="J969" s="284">
        <v>0</v>
      </c>
    </row>
    <row r="970" spans="3:10" x14ac:dyDescent="0.25">
      <c r="C970" s="300" t="s">
        <v>1068</v>
      </c>
      <c r="D970" s="283" t="s">
        <v>1079</v>
      </c>
      <c r="E970" s="283" t="s">
        <v>1075</v>
      </c>
      <c r="F970" s="283" t="s">
        <v>1076</v>
      </c>
      <c r="G970" s="283">
        <v>2</v>
      </c>
      <c r="H970" s="283">
        <v>0</v>
      </c>
      <c r="I970" s="283">
        <v>0</v>
      </c>
      <c r="J970" s="284">
        <v>1</v>
      </c>
    </row>
    <row r="971" spans="3:10" x14ac:dyDescent="0.25">
      <c r="C971" s="300" t="s">
        <v>1063</v>
      </c>
      <c r="D971" s="283" t="s">
        <v>1074</v>
      </c>
      <c r="E971" s="283" t="s">
        <v>1044</v>
      </c>
      <c r="F971" s="283" t="s">
        <v>1089</v>
      </c>
      <c r="G971" s="283">
        <v>2</v>
      </c>
      <c r="H971" s="283">
        <v>0</v>
      </c>
      <c r="I971" s="283">
        <v>0</v>
      </c>
      <c r="J971" s="284">
        <v>1</v>
      </c>
    </row>
    <row r="972" spans="3:10" x14ac:dyDescent="0.25">
      <c r="C972" s="300" t="s">
        <v>1065</v>
      </c>
      <c r="D972" s="283" t="s">
        <v>1079</v>
      </c>
      <c r="E972" s="283" t="s">
        <v>1086</v>
      </c>
      <c r="F972" s="283" t="s">
        <v>1075</v>
      </c>
      <c r="G972" s="283">
        <v>2</v>
      </c>
      <c r="H972" s="283">
        <v>0</v>
      </c>
      <c r="I972" s="283">
        <v>0</v>
      </c>
      <c r="J972" s="284">
        <v>0</v>
      </c>
    </row>
    <row r="973" spans="3:10" x14ac:dyDescent="0.25">
      <c r="C973" s="300" t="s">
        <v>1064</v>
      </c>
      <c r="D973" s="283" t="s">
        <v>1079</v>
      </c>
      <c r="E973" s="283" t="s">
        <v>1100</v>
      </c>
      <c r="F973" s="283" t="s">
        <v>1075</v>
      </c>
      <c r="G973" s="283">
        <v>2</v>
      </c>
      <c r="H973" s="283">
        <v>0</v>
      </c>
      <c r="I973" s="283">
        <v>0</v>
      </c>
      <c r="J973" s="284">
        <v>1</v>
      </c>
    </row>
    <row r="974" spans="3:10" x14ac:dyDescent="0.25">
      <c r="C974" s="300" t="s">
        <v>1064</v>
      </c>
      <c r="D974" s="283" t="s">
        <v>1077</v>
      </c>
      <c r="E974" s="283" t="s">
        <v>1080</v>
      </c>
      <c r="F974" s="283" t="s">
        <v>1078</v>
      </c>
      <c r="G974" s="283">
        <v>2</v>
      </c>
      <c r="H974" s="283">
        <v>0</v>
      </c>
      <c r="I974" s="283">
        <v>0</v>
      </c>
      <c r="J974" s="284">
        <v>0</v>
      </c>
    </row>
    <row r="975" spans="3:10" x14ac:dyDescent="0.25">
      <c r="C975" s="300" t="s">
        <v>1063</v>
      </c>
      <c r="D975" s="283" t="s">
        <v>1077</v>
      </c>
      <c r="E975" s="283" t="s">
        <v>1086</v>
      </c>
      <c r="F975" s="283" t="s">
        <v>1075</v>
      </c>
      <c r="G975" s="283">
        <v>2</v>
      </c>
      <c r="H975" s="283">
        <v>0</v>
      </c>
      <c r="I975" s="283">
        <v>0</v>
      </c>
      <c r="J975" s="284">
        <v>0</v>
      </c>
    </row>
    <row r="976" spans="3:10" x14ac:dyDescent="0.25">
      <c r="C976" s="300" t="s">
        <v>1062</v>
      </c>
      <c r="D976" s="283" t="s">
        <v>1079</v>
      </c>
      <c r="E976" s="283" t="s">
        <v>1075</v>
      </c>
      <c r="F976" s="283" t="s">
        <v>1089</v>
      </c>
      <c r="G976" s="283">
        <v>2</v>
      </c>
      <c r="H976" s="283">
        <v>0</v>
      </c>
      <c r="I976" s="283">
        <v>1</v>
      </c>
      <c r="J976" s="284">
        <v>0</v>
      </c>
    </row>
    <row r="977" spans="3:10" x14ac:dyDescent="0.25">
      <c r="C977" s="300" t="s">
        <v>1066</v>
      </c>
      <c r="D977" s="283" t="s">
        <v>1079</v>
      </c>
      <c r="E977" s="283" t="s">
        <v>1075</v>
      </c>
      <c r="F977" s="283" t="s">
        <v>1089</v>
      </c>
      <c r="G977" s="283">
        <v>4</v>
      </c>
      <c r="H977" s="283">
        <v>0</v>
      </c>
      <c r="I977" s="283">
        <v>0</v>
      </c>
      <c r="J977" s="284">
        <v>0</v>
      </c>
    </row>
    <row r="978" spans="3:10" x14ac:dyDescent="0.25">
      <c r="C978" s="300" t="s">
        <v>1060</v>
      </c>
      <c r="D978" s="283" t="s">
        <v>1077</v>
      </c>
      <c r="E978" s="283" t="s">
        <v>1075</v>
      </c>
      <c r="F978" s="283" t="s">
        <v>1044</v>
      </c>
      <c r="G978" s="283">
        <v>2</v>
      </c>
      <c r="H978" s="283">
        <v>0</v>
      </c>
      <c r="I978" s="283">
        <v>0</v>
      </c>
      <c r="J978" s="284">
        <v>1</v>
      </c>
    </row>
    <row r="979" spans="3:10" x14ac:dyDescent="0.25">
      <c r="C979" s="300" t="s">
        <v>1068</v>
      </c>
      <c r="D979" s="283" t="s">
        <v>1082</v>
      </c>
      <c r="E979" s="283" t="s">
        <v>1081</v>
      </c>
      <c r="F979" s="283" t="s">
        <v>1078</v>
      </c>
      <c r="G979" s="283">
        <v>2</v>
      </c>
      <c r="H979" s="283">
        <v>0</v>
      </c>
      <c r="I979" s="283">
        <v>0</v>
      </c>
      <c r="J979" s="284">
        <v>0</v>
      </c>
    </row>
    <row r="980" spans="3:10" x14ac:dyDescent="0.25">
      <c r="C980" s="300" t="s">
        <v>1064</v>
      </c>
      <c r="D980" s="283" t="s">
        <v>1079</v>
      </c>
      <c r="E980" s="283" t="s">
        <v>1086</v>
      </c>
      <c r="F980" s="283" t="s">
        <v>1044</v>
      </c>
      <c r="G980" s="283">
        <v>2</v>
      </c>
      <c r="H980" s="283">
        <v>0</v>
      </c>
      <c r="I980" s="283">
        <v>0</v>
      </c>
      <c r="J980" s="284">
        <v>0</v>
      </c>
    </row>
    <row r="981" spans="3:10" x14ac:dyDescent="0.25">
      <c r="C981" s="300" t="s">
        <v>1063</v>
      </c>
      <c r="D981" s="283" t="s">
        <v>1090</v>
      </c>
      <c r="E981" s="283" t="s">
        <v>1083</v>
      </c>
      <c r="F981" s="283" t="s">
        <v>524</v>
      </c>
      <c r="G981" s="283">
        <v>1</v>
      </c>
      <c r="H981" s="283">
        <v>0</v>
      </c>
      <c r="I981" s="283">
        <v>0</v>
      </c>
      <c r="J981" s="284">
        <v>1</v>
      </c>
    </row>
    <row r="982" spans="3:10" x14ac:dyDescent="0.25">
      <c r="C982" s="300" t="s">
        <v>1065</v>
      </c>
      <c r="D982" s="283" t="s">
        <v>1077</v>
      </c>
      <c r="E982" s="283" t="s">
        <v>1089</v>
      </c>
      <c r="F982" s="283" t="s">
        <v>1076</v>
      </c>
      <c r="G982" s="283">
        <v>2</v>
      </c>
      <c r="H982" s="283">
        <v>0</v>
      </c>
      <c r="I982" s="283">
        <v>0</v>
      </c>
      <c r="J982" s="284">
        <v>0</v>
      </c>
    </row>
    <row r="983" spans="3:10" x14ac:dyDescent="0.25">
      <c r="C983" s="300" t="s">
        <v>1065</v>
      </c>
      <c r="D983" s="283" t="s">
        <v>1090</v>
      </c>
      <c r="E983" s="283" t="s">
        <v>1083</v>
      </c>
      <c r="F983" s="283" t="s">
        <v>524</v>
      </c>
      <c r="G983" s="283">
        <v>1</v>
      </c>
      <c r="H983" s="283">
        <v>0</v>
      </c>
      <c r="I983" s="283">
        <v>0</v>
      </c>
      <c r="J983" s="284">
        <v>0</v>
      </c>
    </row>
    <row r="984" spans="3:10" x14ac:dyDescent="0.25">
      <c r="C984" s="300" t="s">
        <v>1065</v>
      </c>
      <c r="D984" s="283" t="s">
        <v>1077</v>
      </c>
      <c r="E984" s="283" t="s">
        <v>1076</v>
      </c>
      <c r="F984" s="283" t="s">
        <v>1083</v>
      </c>
      <c r="G984" s="283">
        <v>2</v>
      </c>
      <c r="H984" s="283">
        <v>0</v>
      </c>
      <c r="I984" s="283">
        <v>0</v>
      </c>
      <c r="J984" s="284">
        <v>0</v>
      </c>
    </row>
    <row r="985" spans="3:10" x14ac:dyDescent="0.25">
      <c r="C985" s="300" t="s">
        <v>1066</v>
      </c>
      <c r="D985" s="283" t="s">
        <v>1077</v>
      </c>
      <c r="E985" s="283" t="s">
        <v>1089</v>
      </c>
      <c r="F985" s="283" t="s">
        <v>1075</v>
      </c>
      <c r="G985" s="283">
        <v>2</v>
      </c>
      <c r="H985" s="283">
        <v>0</v>
      </c>
      <c r="I985" s="283">
        <v>0</v>
      </c>
      <c r="J985" s="284">
        <v>0</v>
      </c>
    </row>
    <row r="986" spans="3:10" x14ac:dyDescent="0.25">
      <c r="C986" s="300" t="s">
        <v>1068</v>
      </c>
      <c r="D986" s="283" t="s">
        <v>1079</v>
      </c>
      <c r="E986" s="283" t="s">
        <v>1075</v>
      </c>
      <c r="F986" s="283" t="s">
        <v>1078</v>
      </c>
      <c r="G986" s="283">
        <v>2</v>
      </c>
      <c r="H986" s="283">
        <v>0</v>
      </c>
      <c r="I986" s="283">
        <v>0</v>
      </c>
      <c r="J986" s="284">
        <v>0</v>
      </c>
    </row>
    <row r="987" spans="3:10" x14ac:dyDescent="0.25">
      <c r="C987" s="300" t="s">
        <v>1063</v>
      </c>
      <c r="D987" s="283" t="s">
        <v>1087</v>
      </c>
      <c r="E987" s="283" t="s">
        <v>1089</v>
      </c>
      <c r="F987" s="283" t="s">
        <v>524</v>
      </c>
      <c r="G987" s="283">
        <v>1</v>
      </c>
      <c r="H987" s="283">
        <v>0</v>
      </c>
      <c r="I987" s="283">
        <v>0</v>
      </c>
      <c r="J987" s="284">
        <v>0</v>
      </c>
    </row>
    <row r="988" spans="3:10" x14ac:dyDescent="0.25">
      <c r="C988" s="300" t="s">
        <v>1061</v>
      </c>
      <c r="D988" s="283" t="s">
        <v>1077</v>
      </c>
      <c r="E988" s="283" t="s">
        <v>1089</v>
      </c>
      <c r="F988" s="283" t="s">
        <v>1075</v>
      </c>
      <c r="G988" s="283">
        <v>2</v>
      </c>
      <c r="H988" s="283">
        <v>0</v>
      </c>
      <c r="I988" s="283">
        <v>0</v>
      </c>
      <c r="J988" s="284">
        <v>0</v>
      </c>
    </row>
    <row r="989" spans="3:10" x14ac:dyDescent="0.25">
      <c r="C989" s="300" t="s">
        <v>1061</v>
      </c>
      <c r="D989" s="283" t="s">
        <v>1074</v>
      </c>
      <c r="E989" s="283" t="s">
        <v>1075</v>
      </c>
      <c r="F989" s="283" t="s">
        <v>1075</v>
      </c>
      <c r="G989" s="283">
        <v>2</v>
      </c>
      <c r="H989" s="283">
        <v>0</v>
      </c>
      <c r="I989" s="283">
        <v>0</v>
      </c>
      <c r="J989" s="284">
        <v>0</v>
      </c>
    </row>
    <row r="990" spans="3:10" x14ac:dyDescent="0.25">
      <c r="C990" s="300" t="s">
        <v>1063</v>
      </c>
      <c r="D990" s="283" t="s">
        <v>1082</v>
      </c>
      <c r="E990" s="283" t="s">
        <v>1078</v>
      </c>
      <c r="F990" s="283" t="s">
        <v>1075</v>
      </c>
      <c r="G990" s="283">
        <v>2</v>
      </c>
      <c r="H990" s="283">
        <v>0</v>
      </c>
      <c r="I990" s="283">
        <v>0</v>
      </c>
      <c r="J990" s="284">
        <v>1</v>
      </c>
    </row>
    <row r="991" spans="3:10" x14ac:dyDescent="0.25">
      <c r="C991" s="300" t="s">
        <v>1065</v>
      </c>
      <c r="D991" s="283" t="s">
        <v>1077</v>
      </c>
      <c r="E991" s="283" t="s">
        <v>1089</v>
      </c>
      <c r="F991" s="283" t="s">
        <v>1075</v>
      </c>
      <c r="G991" s="283">
        <v>8</v>
      </c>
      <c r="H991" s="283">
        <v>0</v>
      </c>
      <c r="I991" s="283">
        <v>0</v>
      </c>
      <c r="J991" s="284">
        <v>1</v>
      </c>
    </row>
    <row r="992" spans="3:10" x14ac:dyDescent="0.25">
      <c r="C992" s="300" t="s">
        <v>1065</v>
      </c>
      <c r="D992" s="283" t="s">
        <v>1074</v>
      </c>
      <c r="E992" s="283" t="s">
        <v>1075</v>
      </c>
      <c r="F992" s="283" t="s">
        <v>1075</v>
      </c>
      <c r="G992" s="283">
        <v>2</v>
      </c>
      <c r="H992" s="283">
        <v>0</v>
      </c>
      <c r="I992" s="283">
        <v>0</v>
      </c>
      <c r="J992" s="284">
        <v>0</v>
      </c>
    </row>
    <row r="993" spans="3:10" x14ac:dyDescent="0.25">
      <c r="C993" s="300" t="s">
        <v>1065</v>
      </c>
      <c r="D993" s="283" t="s">
        <v>1077</v>
      </c>
      <c r="E993" s="283" t="s">
        <v>1075</v>
      </c>
      <c r="F993" s="283" t="s">
        <v>1089</v>
      </c>
      <c r="G993" s="283">
        <v>2</v>
      </c>
      <c r="H993" s="283">
        <v>0</v>
      </c>
      <c r="I993" s="283">
        <v>0</v>
      </c>
      <c r="J993" s="284">
        <v>0</v>
      </c>
    </row>
    <row r="994" spans="3:10" x14ac:dyDescent="0.25">
      <c r="C994" s="300" t="s">
        <v>1067</v>
      </c>
      <c r="D994" s="283" t="s">
        <v>1087</v>
      </c>
      <c r="E994" s="283" t="s">
        <v>1075</v>
      </c>
      <c r="F994" s="283" t="s">
        <v>524</v>
      </c>
      <c r="G994" s="283">
        <v>2</v>
      </c>
      <c r="H994" s="283">
        <v>0</v>
      </c>
      <c r="I994" s="283">
        <v>0</v>
      </c>
      <c r="J994" s="284">
        <v>1</v>
      </c>
    </row>
    <row r="995" spans="3:10" x14ac:dyDescent="0.25">
      <c r="C995" s="300" t="s">
        <v>1061</v>
      </c>
      <c r="D995" s="283" t="s">
        <v>1077</v>
      </c>
      <c r="E995" s="283" t="s">
        <v>1075</v>
      </c>
      <c r="F995" s="283" t="s">
        <v>1089</v>
      </c>
      <c r="G995" s="283">
        <v>2</v>
      </c>
      <c r="H995" s="283">
        <v>0</v>
      </c>
      <c r="I995" s="283">
        <v>0</v>
      </c>
      <c r="J995" s="284">
        <v>0</v>
      </c>
    </row>
    <row r="996" spans="3:10" x14ac:dyDescent="0.25">
      <c r="C996" s="300" t="s">
        <v>1065</v>
      </c>
      <c r="D996" s="283" t="s">
        <v>1079</v>
      </c>
      <c r="E996" s="283" t="s">
        <v>1085</v>
      </c>
      <c r="F996" s="283" t="s">
        <v>1089</v>
      </c>
      <c r="G996" s="283">
        <v>2</v>
      </c>
      <c r="H996" s="283">
        <v>0</v>
      </c>
      <c r="I996" s="283">
        <v>0</v>
      </c>
      <c r="J996" s="284">
        <v>0</v>
      </c>
    </row>
    <row r="997" spans="3:10" x14ac:dyDescent="0.25">
      <c r="C997" s="300" t="s">
        <v>1068</v>
      </c>
      <c r="D997" s="283" t="s">
        <v>1079</v>
      </c>
      <c r="E997" s="283" t="s">
        <v>1075</v>
      </c>
      <c r="F997" s="283" t="s">
        <v>1075</v>
      </c>
      <c r="G997" s="283">
        <v>2</v>
      </c>
      <c r="H997" s="283">
        <v>0</v>
      </c>
      <c r="I997" s="283">
        <v>0</v>
      </c>
      <c r="J997" s="284">
        <v>0</v>
      </c>
    </row>
    <row r="998" spans="3:10" x14ac:dyDescent="0.25">
      <c r="C998" s="300" t="s">
        <v>1061</v>
      </c>
      <c r="D998" s="283" t="s">
        <v>1079</v>
      </c>
      <c r="E998" s="283" t="s">
        <v>1075</v>
      </c>
      <c r="F998" s="283" t="s">
        <v>1075</v>
      </c>
      <c r="G998" s="283">
        <v>2</v>
      </c>
      <c r="H998" s="283">
        <v>0</v>
      </c>
      <c r="I998" s="283">
        <v>0</v>
      </c>
      <c r="J998" s="284">
        <v>0</v>
      </c>
    </row>
    <row r="999" spans="3:10" x14ac:dyDescent="0.25">
      <c r="C999" s="300" t="s">
        <v>1065</v>
      </c>
      <c r="D999" s="283" t="s">
        <v>1079</v>
      </c>
      <c r="E999" s="283" t="s">
        <v>1089</v>
      </c>
      <c r="F999" s="283" t="s">
        <v>1075</v>
      </c>
      <c r="G999" s="283">
        <v>3</v>
      </c>
      <c r="H999" s="283">
        <v>0</v>
      </c>
      <c r="I999" s="283">
        <v>0</v>
      </c>
      <c r="J999" s="284">
        <v>1</v>
      </c>
    </row>
    <row r="1000" spans="3:10" x14ac:dyDescent="0.25">
      <c r="C1000" s="300" t="s">
        <v>1060</v>
      </c>
      <c r="D1000" s="283" t="s">
        <v>1077</v>
      </c>
      <c r="E1000" s="283" t="s">
        <v>1076</v>
      </c>
      <c r="F1000" s="283" t="s">
        <v>1075</v>
      </c>
      <c r="G1000" s="283">
        <v>2</v>
      </c>
      <c r="H1000" s="283">
        <v>0</v>
      </c>
      <c r="I1000" s="283">
        <v>0</v>
      </c>
      <c r="J1000" s="284">
        <v>0</v>
      </c>
    </row>
    <row r="1001" spans="3:10" x14ac:dyDescent="0.25">
      <c r="C1001" s="300" t="s">
        <v>1061</v>
      </c>
      <c r="D1001" s="283" t="s">
        <v>1077</v>
      </c>
      <c r="E1001" s="283" t="s">
        <v>1075</v>
      </c>
      <c r="F1001" s="283" t="s">
        <v>1075</v>
      </c>
      <c r="G1001" s="283">
        <v>2</v>
      </c>
      <c r="H1001" s="283">
        <v>0</v>
      </c>
      <c r="I1001" s="283">
        <v>0</v>
      </c>
      <c r="J1001" s="284">
        <v>1</v>
      </c>
    </row>
    <row r="1002" spans="3:10" x14ac:dyDescent="0.25">
      <c r="C1002" s="300" t="s">
        <v>1064</v>
      </c>
      <c r="D1002" s="283" t="s">
        <v>1074</v>
      </c>
      <c r="E1002" s="283" t="s">
        <v>1075</v>
      </c>
      <c r="F1002" s="283" t="s">
        <v>1075</v>
      </c>
      <c r="G1002" s="283">
        <v>2</v>
      </c>
      <c r="H1002" s="283">
        <v>0</v>
      </c>
      <c r="I1002" s="283">
        <v>0</v>
      </c>
      <c r="J1002" s="284">
        <v>0</v>
      </c>
    </row>
    <row r="1003" spans="3:10" x14ac:dyDescent="0.25">
      <c r="C1003" s="300" t="s">
        <v>1064</v>
      </c>
      <c r="D1003" s="283" t="s">
        <v>1077</v>
      </c>
      <c r="E1003" s="283" t="s">
        <v>1075</v>
      </c>
      <c r="F1003" s="283" t="s">
        <v>1075</v>
      </c>
      <c r="G1003" s="283">
        <v>3</v>
      </c>
      <c r="H1003" s="283">
        <v>0</v>
      </c>
      <c r="I1003" s="283">
        <v>0</v>
      </c>
      <c r="J1003" s="284">
        <v>1</v>
      </c>
    </row>
    <row r="1004" spans="3:10" x14ac:dyDescent="0.25">
      <c r="C1004" s="300" t="s">
        <v>1065</v>
      </c>
      <c r="D1004" s="283" t="s">
        <v>1079</v>
      </c>
      <c r="E1004" s="283" t="s">
        <v>1044</v>
      </c>
      <c r="F1004" s="283" t="s">
        <v>1089</v>
      </c>
      <c r="G1004" s="283">
        <v>2</v>
      </c>
      <c r="H1004" s="283">
        <v>0</v>
      </c>
      <c r="I1004" s="283">
        <v>0</v>
      </c>
      <c r="J1004" s="284">
        <v>0</v>
      </c>
    </row>
    <row r="1005" spans="3:10" x14ac:dyDescent="0.25">
      <c r="C1005" s="300" t="s">
        <v>1059</v>
      </c>
      <c r="D1005" s="283" t="s">
        <v>1074</v>
      </c>
      <c r="E1005" s="283" t="s">
        <v>1075</v>
      </c>
      <c r="F1005" s="283" t="s">
        <v>1083</v>
      </c>
      <c r="G1005" s="283">
        <v>2</v>
      </c>
      <c r="H1005" s="283">
        <v>0</v>
      </c>
      <c r="I1005" s="283">
        <v>0</v>
      </c>
      <c r="J1005" s="284">
        <v>1</v>
      </c>
    </row>
    <row r="1006" spans="3:10" x14ac:dyDescent="0.25">
      <c r="C1006" s="300" t="s">
        <v>1061</v>
      </c>
      <c r="D1006" s="283" t="s">
        <v>1074</v>
      </c>
      <c r="E1006" s="283" t="s">
        <v>1075</v>
      </c>
      <c r="F1006" s="283" t="s">
        <v>1089</v>
      </c>
      <c r="G1006" s="283">
        <v>2</v>
      </c>
      <c r="H1006" s="283">
        <v>0</v>
      </c>
      <c r="I1006" s="283">
        <v>0</v>
      </c>
      <c r="J1006" s="284">
        <v>0</v>
      </c>
    </row>
    <row r="1007" spans="3:10" x14ac:dyDescent="0.25">
      <c r="C1007" s="300" t="s">
        <v>1062</v>
      </c>
      <c r="D1007" s="283" t="s">
        <v>1074</v>
      </c>
      <c r="E1007" s="283" t="s">
        <v>1075</v>
      </c>
      <c r="F1007" s="283" t="s">
        <v>1075</v>
      </c>
      <c r="G1007" s="283">
        <v>2</v>
      </c>
      <c r="H1007" s="283">
        <v>0</v>
      </c>
      <c r="I1007" s="283">
        <v>1</v>
      </c>
      <c r="J1007" s="284">
        <v>0</v>
      </c>
    </row>
    <row r="1008" spans="3:10" x14ac:dyDescent="0.25">
      <c r="C1008" s="300" t="s">
        <v>1065</v>
      </c>
      <c r="D1008" s="283" t="s">
        <v>1079</v>
      </c>
      <c r="E1008" s="283" t="s">
        <v>1075</v>
      </c>
      <c r="F1008" s="283" t="s">
        <v>1093</v>
      </c>
      <c r="G1008" s="283">
        <v>2</v>
      </c>
      <c r="H1008" s="283">
        <v>0</v>
      </c>
      <c r="I1008" s="283">
        <v>1</v>
      </c>
      <c r="J1008" s="284">
        <v>0</v>
      </c>
    </row>
    <row r="1009" spans="3:10" x14ac:dyDescent="0.25">
      <c r="C1009" s="300" t="s">
        <v>1063</v>
      </c>
      <c r="D1009" s="283" t="s">
        <v>1079</v>
      </c>
      <c r="E1009" s="283" t="s">
        <v>1075</v>
      </c>
      <c r="F1009" s="283" t="s">
        <v>1080</v>
      </c>
      <c r="G1009" s="283">
        <v>2</v>
      </c>
      <c r="H1009" s="283">
        <v>0</v>
      </c>
      <c r="I1009" s="283">
        <v>1</v>
      </c>
      <c r="J1009" s="284">
        <v>0</v>
      </c>
    </row>
    <row r="1010" spans="3:10" x14ac:dyDescent="0.25">
      <c r="C1010" s="300" t="s">
        <v>1063</v>
      </c>
      <c r="D1010" s="283" t="s">
        <v>1079</v>
      </c>
      <c r="E1010" s="283" t="s">
        <v>1086</v>
      </c>
      <c r="F1010" s="283" t="s">
        <v>1078</v>
      </c>
      <c r="G1010" s="283">
        <v>3</v>
      </c>
      <c r="H1010" s="283">
        <v>0</v>
      </c>
      <c r="I1010" s="283">
        <v>0</v>
      </c>
      <c r="J1010" s="284">
        <v>0</v>
      </c>
    </row>
    <row r="1011" spans="3:10" x14ac:dyDescent="0.25">
      <c r="C1011" s="300" t="s">
        <v>1062</v>
      </c>
      <c r="D1011" s="283" t="s">
        <v>1079</v>
      </c>
      <c r="E1011" s="283" t="s">
        <v>1084</v>
      </c>
      <c r="F1011" s="283" t="s">
        <v>1076</v>
      </c>
      <c r="G1011" s="283">
        <v>2</v>
      </c>
      <c r="H1011" s="283">
        <v>0</v>
      </c>
      <c r="I1011" s="283">
        <v>0</v>
      </c>
      <c r="J1011" s="284">
        <v>1</v>
      </c>
    </row>
    <row r="1012" spans="3:10" x14ac:dyDescent="0.25">
      <c r="C1012" s="300" t="s">
        <v>1057</v>
      </c>
      <c r="D1012" s="283" t="s">
        <v>1079</v>
      </c>
      <c r="E1012" s="283" t="s">
        <v>1075</v>
      </c>
      <c r="F1012" s="283" t="s">
        <v>1075</v>
      </c>
      <c r="G1012" s="283">
        <v>3</v>
      </c>
      <c r="H1012" s="283">
        <v>0</v>
      </c>
      <c r="I1012" s="283">
        <v>0</v>
      </c>
      <c r="J1012" s="284">
        <v>0</v>
      </c>
    </row>
    <row r="1013" spans="3:10" x14ac:dyDescent="0.25">
      <c r="C1013" s="300" t="s">
        <v>1059</v>
      </c>
      <c r="D1013" s="283" t="s">
        <v>1077</v>
      </c>
      <c r="E1013" s="283" t="s">
        <v>1076</v>
      </c>
      <c r="F1013" s="283" t="s">
        <v>1080</v>
      </c>
      <c r="G1013" s="283">
        <v>2</v>
      </c>
      <c r="H1013" s="283">
        <v>0</v>
      </c>
      <c r="I1013" s="283">
        <v>0</v>
      </c>
      <c r="J1013" s="284">
        <v>0</v>
      </c>
    </row>
    <row r="1014" spans="3:10" x14ac:dyDescent="0.25">
      <c r="C1014" s="300" t="s">
        <v>1061</v>
      </c>
      <c r="D1014" s="283" t="s">
        <v>1074</v>
      </c>
      <c r="E1014" s="283" t="s">
        <v>1086</v>
      </c>
      <c r="F1014" s="283" t="s">
        <v>1089</v>
      </c>
      <c r="G1014" s="283">
        <v>2</v>
      </c>
      <c r="H1014" s="283">
        <v>0</v>
      </c>
      <c r="I1014" s="283">
        <v>0</v>
      </c>
      <c r="J1014" s="284">
        <v>0</v>
      </c>
    </row>
    <row r="1015" spans="3:10" x14ac:dyDescent="0.25">
      <c r="C1015" s="300" t="s">
        <v>1065</v>
      </c>
      <c r="D1015" s="283" t="s">
        <v>1077</v>
      </c>
      <c r="E1015" s="283" t="s">
        <v>1076</v>
      </c>
      <c r="F1015" s="283" t="s">
        <v>1075</v>
      </c>
      <c r="G1015" s="283">
        <v>3</v>
      </c>
      <c r="H1015" s="283">
        <v>0</v>
      </c>
      <c r="I1015" s="283">
        <v>1</v>
      </c>
      <c r="J1015" s="284">
        <v>0</v>
      </c>
    </row>
    <row r="1016" spans="3:10" x14ac:dyDescent="0.25">
      <c r="C1016" s="300" t="s">
        <v>1063</v>
      </c>
      <c r="D1016" s="283" t="s">
        <v>1082</v>
      </c>
      <c r="E1016" s="283" t="s">
        <v>1084</v>
      </c>
      <c r="F1016" s="283" t="s">
        <v>1075</v>
      </c>
      <c r="G1016" s="283">
        <v>3</v>
      </c>
      <c r="H1016" s="283">
        <v>0</v>
      </c>
      <c r="I1016" s="283">
        <v>0</v>
      </c>
      <c r="J1016" s="284">
        <v>1</v>
      </c>
    </row>
    <row r="1017" spans="3:10" x14ac:dyDescent="0.25">
      <c r="C1017" s="300" t="s">
        <v>1057</v>
      </c>
      <c r="D1017" s="283" t="s">
        <v>1090</v>
      </c>
      <c r="E1017" s="283" t="s">
        <v>1083</v>
      </c>
      <c r="F1017" s="283" t="s">
        <v>524</v>
      </c>
      <c r="G1017" s="283">
        <v>1</v>
      </c>
      <c r="H1017" s="283">
        <v>1</v>
      </c>
      <c r="I1017" s="283">
        <v>0</v>
      </c>
      <c r="J1017" s="284">
        <v>0</v>
      </c>
    </row>
    <row r="1018" spans="3:10" x14ac:dyDescent="0.25">
      <c r="C1018" s="300" t="s">
        <v>1057</v>
      </c>
      <c r="D1018" s="283" t="s">
        <v>1087</v>
      </c>
      <c r="E1018" s="283" t="s">
        <v>1088</v>
      </c>
      <c r="F1018" s="283" t="s">
        <v>524</v>
      </c>
      <c r="G1018" s="283">
        <v>1</v>
      </c>
      <c r="H1018" s="283">
        <v>0</v>
      </c>
      <c r="I1018" s="283">
        <v>0</v>
      </c>
      <c r="J1018" s="284">
        <v>1</v>
      </c>
    </row>
    <row r="1019" spans="3:10" x14ac:dyDescent="0.25">
      <c r="C1019" s="300" t="s">
        <v>1061</v>
      </c>
      <c r="D1019" s="283" t="s">
        <v>1077</v>
      </c>
      <c r="E1019" s="283" t="s">
        <v>1083</v>
      </c>
      <c r="F1019" s="283" t="s">
        <v>1075</v>
      </c>
      <c r="G1019" s="283">
        <v>2</v>
      </c>
      <c r="H1019" s="283">
        <v>0</v>
      </c>
      <c r="I1019" s="283">
        <v>1</v>
      </c>
      <c r="J1019" s="284">
        <v>0</v>
      </c>
    </row>
    <row r="1020" spans="3:10" x14ac:dyDescent="0.25">
      <c r="C1020" s="300" t="s">
        <v>1067</v>
      </c>
      <c r="D1020" s="283" t="s">
        <v>1043</v>
      </c>
      <c r="E1020" s="283" t="s">
        <v>1075</v>
      </c>
      <c r="F1020" s="283" t="s">
        <v>1092</v>
      </c>
      <c r="G1020" s="283">
        <v>2</v>
      </c>
      <c r="H1020" s="283">
        <v>0</v>
      </c>
      <c r="I1020" s="283">
        <v>1</v>
      </c>
      <c r="J1020" s="284">
        <v>1</v>
      </c>
    </row>
    <row r="1021" spans="3:10" x14ac:dyDescent="0.25">
      <c r="C1021" s="300" t="s">
        <v>1062</v>
      </c>
      <c r="D1021" s="283" t="s">
        <v>1074</v>
      </c>
      <c r="E1021" s="283" t="s">
        <v>1080</v>
      </c>
      <c r="F1021" s="283" t="s">
        <v>1076</v>
      </c>
      <c r="G1021" s="283">
        <v>2</v>
      </c>
      <c r="H1021" s="283">
        <v>0</v>
      </c>
      <c r="I1021" s="283">
        <v>0</v>
      </c>
      <c r="J1021" s="284">
        <v>0</v>
      </c>
    </row>
    <row r="1022" spans="3:10" x14ac:dyDescent="0.25">
      <c r="C1022" s="300" t="s">
        <v>1066</v>
      </c>
      <c r="D1022" s="283" t="s">
        <v>1043</v>
      </c>
      <c r="E1022" s="283" t="s">
        <v>1075</v>
      </c>
      <c r="F1022" s="283" t="s">
        <v>1092</v>
      </c>
      <c r="G1022" s="283">
        <v>2</v>
      </c>
      <c r="H1022" s="283">
        <v>0</v>
      </c>
      <c r="I1022" s="283">
        <v>1</v>
      </c>
      <c r="J1022" s="284">
        <v>0</v>
      </c>
    </row>
    <row r="1023" spans="3:10" x14ac:dyDescent="0.25">
      <c r="C1023" s="300" t="s">
        <v>1059</v>
      </c>
      <c r="D1023" s="283" t="s">
        <v>1087</v>
      </c>
      <c r="E1023" s="283" t="s">
        <v>1078</v>
      </c>
      <c r="F1023" s="283" t="s">
        <v>524</v>
      </c>
      <c r="G1023" s="283">
        <v>1</v>
      </c>
      <c r="H1023" s="283">
        <v>0</v>
      </c>
      <c r="I1023" s="283">
        <v>1</v>
      </c>
      <c r="J1023" s="284">
        <v>0</v>
      </c>
    </row>
    <row r="1024" spans="3:10" x14ac:dyDescent="0.25">
      <c r="C1024" s="300" t="s">
        <v>1065</v>
      </c>
      <c r="D1024" s="283" t="s">
        <v>1043</v>
      </c>
      <c r="E1024" s="283" t="s">
        <v>1075</v>
      </c>
      <c r="F1024" s="283" t="s">
        <v>1092</v>
      </c>
      <c r="G1024" s="283">
        <v>3</v>
      </c>
      <c r="H1024" s="283">
        <v>0</v>
      </c>
      <c r="I1024" s="283">
        <v>1</v>
      </c>
      <c r="J1024" s="284">
        <v>0</v>
      </c>
    </row>
    <row r="1025" spans="3:10" x14ac:dyDescent="0.25">
      <c r="C1025" s="300" t="s">
        <v>1067</v>
      </c>
      <c r="D1025" s="283" t="s">
        <v>1077</v>
      </c>
      <c r="E1025" s="283" t="s">
        <v>1075</v>
      </c>
      <c r="F1025" s="283" t="s">
        <v>1075</v>
      </c>
      <c r="G1025" s="283">
        <v>2</v>
      </c>
      <c r="H1025" s="283">
        <v>0</v>
      </c>
      <c r="I1025" s="283">
        <v>0</v>
      </c>
      <c r="J1025" s="284">
        <v>0</v>
      </c>
    </row>
    <row r="1026" spans="3:10" x14ac:dyDescent="0.25">
      <c r="C1026" s="300" t="s">
        <v>1061</v>
      </c>
      <c r="D1026" s="283" t="s">
        <v>1077</v>
      </c>
      <c r="E1026" s="283" t="s">
        <v>1075</v>
      </c>
      <c r="F1026" s="283" t="s">
        <v>1075</v>
      </c>
      <c r="G1026" s="283">
        <v>2</v>
      </c>
      <c r="H1026" s="283">
        <v>0</v>
      </c>
      <c r="I1026" s="283">
        <v>0</v>
      </c>
      <c r="J1026" s="284">
        <v>0</v>
      </c>
    </row>
    <row r="1027" spans="3:10" x14ac:dyDescent="0.25">
      <c r="C1027" s="300" t="s">
        <v>1060</v>
      </c>
      <c r="D1027" s="283" t="s">
        <v>1074</v>
      </c>
      <c r="E1027" s="283" t="s">
        <v>1075</v>
      </c>
      <c r="F1027" s="283" t="s">
        <v>1075</v>
      </c>
      <c r="G1027" s="283">
        <v>2</v>
      </c>
      <c r="H1027" s="283">
        <v>0</v>
      </c>
      <c r="I1027" s="283">
        <v>0</v>
      </c>
      <c r="J1027" s="284">
        <v>0</v>
      </c>
    </row>
    <row r="1028" spans="3:10" x14ac:dyDescent="0.25">
      <c r="C1028" s="300" t="s">
        <v>1064</v>
      </c>
      <c r="D1028" s="283" t="s">
        <v>1074</v>
      </c>
      <c r="E1028" s="283" t="s">
        <v>1075</v>
      </c>
      <c r="F1028" s="283" t="s">
        <v>1089</v>
      </c>
      <c r="G1028" s="283">
        <v>3</v>
      </c>
      <c r="H1028" s="283">
        <v>0</v>
      </c>
      <c r="I1028" s="283">
        <v>1</v>
      </c>
      <c r="J1028" s="284">
        <v>0</v>
      </c>
    </row>
    <row r="1029" spans="3:10" x14ac:dyDescent="0.25">
      <c r="C1029" s="300" t="s">
        <v>1066</v>
      </c>
      <c r="D1029" s="283" t="s">
        <v>1043</v>
      </c>
      <c r="E1029" s="283" t="s">
        <v>1075</v>
      </c>
      <c r="F1029" s="283" t="s">
        <v>1092</v>
      </c>
      <c r="G1029" s="283">
        <v>2</v>
      </c>
      <c r="H1029" s="283">
        <v>0</v>
      </c>
      <c r="I1029" s="283">
        <v>0</v>
      </c>
      <c r="J1029" s="284">
        <v>0</v>
      </c>
    </row>
    <row r="1030" spans="3:10" x14ac:dyDescent="0.25">
      <c r="C1030" s="300" t="s">
        <v>1060</v>
      </c>
      <c r="D1030" s="283" t="s">
        <v>1074</v>
      </c>
      <c r="E1030" s="283" t="s">
        <v>1075</v>
      </c>
      <c r="F1030" s="283" t="s">
        <v>1083</v>
      </c>
      <c r="G1030" s="283">
        <v>2</v>
      </c>
      <c r="H1030" s="283">
        <v>0</v>
      </c>
      <c r="I1030" s="283">
        <v>0</v>
      </c>
      <c r="J1030" s="284">
        <v>0</v>
      </c>
    </row>
    <row r="1031" spans="3:10" x14ac:dyDescent="0.25">
      <c r="C1031" s="300" t="s">
        <v>1064</v>
      </c>
      <c r="D1031" s="283" t="s">
        <v>1087</v>
      </c>
      <c r="E1031" s="283" t="s">
        <v>1084</v>
      </c>
      <c r="F1031" s="283" t="s">
        <v>1086</v>
      </c>
      <c r="G1031" s="283">
        <v>2</v>
      </c>
      <c r="H1031" s="283">
        <v>0</v>
      </c>
      <c r="I1031" s="283">
        <v>0</v>
      </c>
      <c r="J1031" s="284">
        <v>0</v>
      </c>
    </row>
    <row r="1032" spans="3:10" x14ac:dyDescent="0.25">
      <c r="C1032" s="300" t="s">
        <v>1060</v>
      </c>
      <c r="D1032" s="283" t="s">
        <v>1082</v>
      </c>
      <c r="E1032" s="283" t="s">
        <v>1075</v>
      </c>
      <c r="F1032" s="283" t="s">
        <v>1075</v>
      </c>
      <c r="G1032" s="283">
        <v>4</v>
      </c>
      <c r="H1032" s="283">
        <v>0</v>
      </c>
      <c r="I1032" s="283">
        <v>1</v>
      </c>
      <c r="J1032" s="284">
        <v>0</v>
      </c>
    </row>
    <row r="1033" spans="3:10" x14ac:dyDescent="0.25">
      <c r="C1033" s="300" t="s">
        <v>1068</v>
      </c>
      <c r="D1033" s="283" t="s">
        <v>1079</v>
      </c>
      <c r="E1033" s="283" t="s">
        <v>1075</v>
      </c>
      <c r="F1033" s="283" t="s">
        <v>1075</v>
      </c>
      <c r="G1033" s="283">
        <v>2</v>
      </c>
      <c r="H1033" s="283">
        <v>0</v>
      </c>
      <c r="I1033" s="283">
        <v>0</v>
      </c>
      <c r="J1033" s="284">
        <v>0</v>
      </c>
    </row>
    <row r="1034" spans="3:10" x14ac:dyDescent="0.25">
      <c r="C1034" s="300" t="s">
        <v>1066</v>
      </c>
      <c r="D1034" s="283" t="s">
        <v>1079</v>
      </c>
      <c r="E1034" s="283" t="s">
        <v>1083</v>
      </c>
      <c r="F1034" s="283" t="s">
        <v>1078</v>
      </c>
      <c r="G1034" s="283">
        <v>2</v>
      </c>
      <c r="H1034" s="283">
        <v>0</v>
      </c>
      <c r="I1034" s="283">
        <v>1</v>
      </c>
      <c r="J1034" s="284">
        <v>0</v>
      </c>
    </row>
    <row r="1035" spans="3:10" x14ac:dyDescent="0.25">
      <c r="C1035" s="300" t="s">
        <v>1062</v>
      </c>
      <c r="D1035" s="283" t="s">
        <v>1090</v>
      </c>
      <c r="E1035" s="283" t="s">
        <v>1080</v>
      </c>
      <c r="F1035" s="283" t="s">
        <v>524</v>
      </c>
      <c r="G1035" s="283">
        <v>1</v>
      </c>
      <c r="H1035" s="283">
        <v>0</v>
      </c>
      <c r="I1035" s="283">
        <v>0</v>
      </c>
      <c r="J1035" s="284">
        <v>0</v>
      </c>
    </row>
    <row r="1036" spans="3:10" x14ac:dyDescent="0.25">
      <c r="C1036" s="300" t="s">
        <v>1061</v>
      </c>
      <c r="D1036" s="283" t="s">
        <v>1079</v>
      </c>
      <c r="E1036" s="283" t="s">
        <v>1075</v>
      </c>
      <c r="F1036" s="283" t="s">
        <v>1075</v>
      </c>
      <c r="G1036" s="283">
        <v>3</v>
      </c>
      <c r="H1036" s="283">
        <v>0</v>
      </c>
      <c r="I1036" s="283">
        <v>0</v>
      </c>
      <c r="J1036" s="284">
        <v>1</v>
      </c>
    </row>
    <row r="1037" spans="3:10" x14ac:dyDescent="0.25">
      <c r="C1037" s="300" t="s">
        <v>1067</v>
      </c>
      <c r="D1037" s="283" t="s">
        <v>1074</v>
      </c>
      <c r="E1037" s="283" t="s">
        <v>1075</v>
      </c>
      <c r="F1037" s="283" t="s">
        <v>1075</v>
      </c>
      <c r="G1037" s="283">
        <v>2</v>
      </c>
      <c r="H1037" s="283">
        <v>0</v>
      </c>
      <c r="I1037" s="283">
        <v>0</v>
      </c>
      <c r="J1037" s="284">
        <v>0</v>
      </c>
    </row>
    <row r="1038" spans="3:10" x14ac:dyDescent="0.25">
      <c r="C1038" s="300" t="s">
        <v>1059</v>
      </c>
      <c r="D1038" s="283" t="s">
        <v>1079</v>
      </c>
      <c r="E1038" s="283" t="s">
        <v>1086</v>
      </c>
      <c r="F1038" s="283" t="s">
        <v>1076</v>
      </c>
      <c r="G1038" s="283">
        <v>2</v>
      </c>
      <c r="H1038" s="283">
        <v>0</v>
      </c>
      <c r="I1038" s="283">
        <v>0</v>
      </c>
      <c r="J1038" s="284">
        <v>0</v>
      </c>
    </row>
    <row r="1039" spans="3:10" x14ac:dyDescent="0.25">
      <c r="C1039" s="300" t="s">
        <v>1062</v>
      </c>
      <c r="D1039" s="283" t="s">
        <v>1077</v>
      </c>
      <c r="E1039" s="283" t="s">
        <v>1080</v>
      </c>
      <c r="F1039" s="283" t="s">
        <v>1089</v>
      </c>
      <c r="G1039" s="283">
        <v>2</v>
      </c>
      <c r="H1039" s="283">
        <v>0</v>
      </c>
      <c r="I1039" s="283">
        <v>0</v>
      </c>
      <c r="J1039" s="284">
        <v>0</v>
      </c>
    </row>
    <row r="1040" spans="3:10" x14ac:dyDescent="0.25">
      <c r="C1040" s="300" t="s">
        <v>1063</v>
      </c>
      <c r="D1040" s="283" t="s">
        <v>1077</v>
      </c>
      <c r="E1040" s="283" t="s">
        <v>1075</v>
      </c>
      <c r="F1040" s="283" t="s">
        <v>1075</v>
      </c>
      <c r="G1040" s="283">
        <v>3</v>
      </c>
      <c r="H1040" s="283">
        <v>0</v>
      </c>
      <c r="I1040" s="283">
        <v>0</v>
      </c>
      <c r="J1040" s="284">
        <v>0</v>
      </c>
    </row>
    <row r="1041" spans="3:10" x14ac:dyDescent="0.25">
      <c r="C1041" s="300" t="s">
        <v>1063</v>
      </c>
      <c r="D1041" s="283" t="s">
        <v>1074</v>
      </c>
      <c r="E1041" s="283" t="s">
        <v>1078</v>
      </c>
      <c r="F1041" s="283" t="s">
        <v>1075</v>
      </c>
      <c r="G1041" s="283">
        <v>2</v>
      </c>
      <c r="H1041" s="283">
        <v>0</v>
      </c>
      <c r="I1041" s="283">
        <v>0</v>
      </c>
      <c r="J1041" s="284">
        <v>0</v>
      </c>
    </row>
    <row r="1042" spans="3:10" x14ac:dyDescent="0.25">
      <c r="C1042" s="300" t="s">
        <v>1062</v>
      </c>
      <c r="D1042" s="283" t="s">
        <v>1079</v>
      </c>
      <c r="E1042" s="283" t="s">
        <v>1075</v>
      </c>
      <c r="F1042" s="283" t="s">
        <v>1089</v>
      </c>
      <c r="G1042" s="283">
        <v>2</v>
      </c>
      <c r="H1042" s="283">
        <v>0</v>
      </c>
      <c r="I1042" s="283">
        <v>0</v>
      </c>
      <c r="J1042" s="284">
        <v>0</v>
      </c>
    </row>
    <row r="1043" spans="3:10" x14ac:dyDescent="0.25">
      <c r="C1043" s="300" t="s">
        <v>1065</v>
      </c>
      <c r="D1043" s="283" t="s">
        <v>1087</v>
      </c>
      <c r="E1043" s="283" t="s">
        <v>1078</v>
      </c>
      <c r="F1043" s="283" t="s">
        <v>524</v>
      </c>
      <c r="G1043" s="283">
        <v>1</v>
      </c>
      <c r="H1043" s="283">
        <v>0</v>
      </c>
      <c r="I1043" s="283">
        <v>0</v>
      </c>
      <c r="J1043" s="284">
        <v>0</v>
      </c>
    </row>
    <row r="1044" spans="3:10" x14ac:dyDescent="0.25">
      <c r="C1044" s="300" t="s">
        <v>1063</v>
      </c>
      <c r="D1044" s="283" t="s">
        <v>1077</v>
      </c>
      <c r="E1044" s="283" t="s">
        <v>1089</v>
      </c>
      <c r="F1044" s="283" t="s">
        <v>1075</v>
      </c>
      <c r="G1044" s="283">
        <v>2</v>
      </c>
      <c r="H1044" s="283">
        <v>0</v>
      </c>
      <c r="I1044" s="283">
        <v>0</v>
      </c>
      <c r="J1044" s="284">
        <v>0</v>
      </c>
    </row>
    <row r="1045" spans="3:10" x14ac:dyDescent="0.25">
      <c r="C1045" s="300" t="s">
        <v>1067</v>
      </c>
      <c r="D1045" s="283" t="s">
        <v>1087</v>
      </c>
      <c r="E1045" s="283" t="s">
        <v>1081</v>
      </c>
      <c r="F1045" s="283" t="s">
        <v>524</v>
      </c>
      <c r="G1045" s="283">
        <v>1</v>
      </c>
      <c r="H1045" s="283">
        <v>0</v>
      </c>
      <c r="I1045" s="283">
        <v>0</v>
      </c>
      <c r="J1045" s="284">
        <v>0</v>
      </c>
    </row>
    <row r="1046" spans="3:10" x14ac:dyDescent="0.25">
      <c r="C1046" s="300" t="s">
        <v>1061</v>
      </c>
      <c r="D1046" s="283" t="s">
        <v>1079</v>
      </c>
      <c r="E1046" s="283" t="s">
        <v>1088</v>
      </c>
      <c r="F1046" s="283" t="s">
        <v>1075</v>
      </c>
      <c r="G1046" s="283">
        <v>2</v>
      </c>
      <c r="H1046" s="283">
        <v>0</v>
      </c>
      <c r="I1046" s="283">
        <v>0</v>
      </c>
      <c r="J1046" s="284">
        <v>0</v>
      </c>
    </row>
    <row r="1047" spans="3:10" x14ac:dyDescent="0.25">
      <c r="C1047" s="300" t="s">
        <v>1064</v>
      </c>
      <c r="D1047" s="283" t="s">
        <v>1087</v>
      </c>
      <c r="E1047" s="283" t="s">
        <v>1078</v>
      </c>
      <c r="F1047" s="283" t="s">
        <v>524</v>
      </c>
      <c r="G1047" s="283">
        <v>1</v>
      </c>
      <c r="H1047" s="283">
        <v>0</v>
      </c>
      <c r="I1047" s="283">
        <v>1</v>
      </c>
      <c r="J1047" s="284">
        <v>0</v>
      </c>
    </row>
    <row r="1048" spans="3:10" x14ac:dyDescent="0.25">
      <c r="C1048" s="300" t="s">
        <v>1061</v>
      </c>
      <c r="D1048" s="283" t="s">
        <v>1074</v>
      </c>
      <c r="E1048" s="283" t="s">
        <v>1084</v>
      </c>
      <c r="F1048" s="283" t="s">
        <v>1044</v>
      </c>
      <c r="G1048" s="283">
        <v>2</v>
      </c>
      <c r="H1048" s="283">
        <v>0</v>
      </c>
      <c r="I1048" s="283">
        <v>0</v>
      </c>
      <c r="J1048" s="284">
        <v>0</v>
      </c>
    </row>
    <row r="1049" spans="3:10" x14ac:dyDescent="0.25">
      <c r="C1049" s="300" t="s">
        <v>1065</v>
      </c>
      <c r="D1049" s="283" t="s">
        <v>1077</v>
      </c>
      <c r="E1049" s="283" t="s">
        <v>1089</v>
      </c>
      <c r="F1049" s="283" t="s">
        <v>1075</v>
      </c>
      <c r="G1049" s="283">
        <v>3</v>
      </c>
      <c r="H1049" s="283">
        <v>0</v>
      </c>
      <c r="I1049" s="283">
        <v>0</v>
      </c>
      <c r="J1049" s="284">
        <v>0</v>
      </c>
    </row>
    <row r="1050" spans="3:10" x14ac:dyDescent="0.25">
      <c r="C1050" s="300" t="s">
        <v>1065</v>
      </c>
      <c r="D1050" s="283" t="s">
        <v>1079</v>
      </c>
      <c r="E1050" s="283" t="s">
        <v>1089</v>
      </c>
      <c r="F1050" s="283" t="s">
        <v>1075</v>
      </c>
      <c r="G1050" s="283">
        <v>4</v>
      </c>
      <c r="H1050" s="283">
        <v>0</v>
      </c>
      <c r="I1050" s="283">
        <v>0</v>
      </c>
      <c r="J1050" s="284">
        <v>0</v>
      </c>
    </row>
    <row r="1051" spans="3:10" x14ac:dyDescent="0.25">
      <c r="C1051" s="300" t="s">
        <v>1066</v>
      </c>
      <c r="D1051" s="283" t="s">
        <v>1079</v>
      </c>
      <c r="E1051" s="283" t="s">
        <v>1089</v>
      </c>
      <c r="F1051" s="283" t="s">
        <v>1080</v>
      </c>
      <c r="G1051" s="283">
        <v>2</v>
      </c>
      <c r="H1051" s="283">
        <v>0</v>
      </c>
      <c r="I1051" s="283">
        <v>0</v>
      </c>
      <c r="J1051" s="284">
        <v>0</v>
      </c>
    </row>
    <row r="1052" spans="3:10" x14ac:dyDescent="0.25">
      <c r="C1052" s="300" t="s">
        <v>1065</v>
      </c>
      <c r="D1052" s="283" t="s">
        <v>1087</v>
      </c>
      <c r="E1052" s="283" t="s">
        <v>1075</v>
      </c>
      <c r="F1052" s="283" t="s">
        <v>524</v>
      </c>
      <c r="G1052" s="283">
        <v>1</v>
      </c>
      <c r="H1052" s="283">
        <v>0</v>
      </c>
      <c r="I1052" s="283">
        <v>0</v>
      </c>
      <c r="J1052" s="284">
        <v>0</v>
      </c>
    </row>
    <row r="1053" spans="3:10" x14ac:dyDescent="0.25">
      <c r="C1053" s="300" t="s">
        <v>1063</v>
      </c>
      <c r="D1053" s="283" t="s">
        <v>1074</v>
      </c>
      <c r="E1053" s="283" t="s">
        <v>1089</v>
      </c>
      <c r="F1053" s="283" t="s">
        <v>1084</v>
      </c>
      <c r="G1053" s="283">
        <v>2</v>
      </c>
      <c r="H1053" s="283">
        <v>0</v>
      </c>
      <c r="I1053" s="283">
        <v>0</v>
      </c>
      <c r="J1053" s="284">
        <v>0</v>
      </c>
    </row>
    <row r="1054" spans="3:10" x14ac:dyDescent="0.25">
      <c r="C1054" s="300" t="s">
        <v>1064</v>
      </c>
      <c r="D1054" s="283" t="s">
        <v>1077</v>
      </c>
      <c r="E1054" s="283" t="s">
        <v>1076</v>
      </c>
      <c r="F1054" s="283" t="s">
        <v>1078</v>
      </c>
      <c r="G1054" s="283">
        <v>2</v>
      </c>
      <c r="H1054" s="283">
        <v>0</v>
      </c>
      <c r="I1054" s="283">
        <v>0</v>
      </c>
      <c r="J1054" s="284">
        <v>0</v>
      </c>
    </row>
    <row r="1055" spans="3:10" x14ac:dyDescent="0.25">
      <c r="C1055" s="300" t="s">
        <v>1064</v>
      </c>
      <c r="D1055" s="283" t="s">
        <v>1079</v>
      </c>
      <c r="E1055" s="283" t="s">
        <v>1089</v>
      </c>
      <c r="F1055" s="283" t="s">
        <v>1075</v>
      </c>
      <c r="G1055" s="283">
        <v>2</v>
      </c>
      <c r="H1055" s="283">
        <v>0</v>
      </c>
      <c r="I1055" s="283">
        <v>0</v>
      </c>
      <c r="J1055" s="284">
        <v>1</v>
      </c>
    </row>
    <row r="1056" spans="3:10" x14ac:dyDescent="0.25">
      <c r="C1056" s="300" t="s">
        <v>1065</v>
      </c>
      <c r="D1056" s="283" t="s">
        <v>1087</v>
      </c>
      <c r="E1056" s="283" t="s">
        <v>1075</v>
      </c>
      <c r="F1056" s="283" t="s">
        <v>524</v>
      </c>
      <c r="G1056" s="283">
        <v>1</v>
      </c>
      <c r="H1056" s="283">
        <v>0</v>
      </c>
      <c r="I1056" s="283">
        <v>0</v>
      </c>
      <c r="J1056" s="284">
        <v>1</v>
      </c>
    </row>
    <row r="1057" spans="3:10" x14ac:dyDescent="0.25">
      <c r="C1057" s="300" t="s">
        <v>1066</v>
      </c>
      <c r="D1057" s="283" t="s">
        <v>1079</v>
      </c>
      <c r="E1057" s="283" t="s">
        <v>1089</v>
      </c>
      <c r="F1057" s="283" t="s">
        <v>1075</v>
      </c>
      <c r="G1057" s="283">
        <v>2</v>
      </c>
      <c r="H1057" s="283">
        <v>0</v>
      </c>
      <c r="I1057" s="283">
        <v>0</v>
      </c>
      <c r="J1057" s="284">
        <v>0</v>
      </c>
    </row>
    <row r="1058" spans="3:10" x14ac:dyDescent="0.25">
      <c r="C1058" s="300" t="s">
        <v>1065</v>
      </c>
      <c r="D1058" s="283" t="s">
        <v>1074</v>
      </c>
      <c r="E1058" s="283" t="s">
        <v>1089</v>
      </c>
      <c r="F1058" s="283" t="s">
        <v>1075</v>
      </c>
      <c r="G1058" s="283">
        <v>2</v>
      </c>
      <c r="H1058" s="283">
        <v>0</v>
      </c>
      <c r="I1058" s="283">
        <v>0</v>
      </c>
      <c r="J1058" s="284">
        <v>1</v>
      </c>
    </row>
    <row r="1059" spans="3:10" x14ac:dyDescent="0.25">
      <c r="C1059" s="300" t="s">
        <v>1068</v>
      </c>
      <c r="D1059" s="283" t="s">
        <v>1079</v>
      </c>
      <c r="E1059" s="283" t="s">
        <v>1086</v>
      </c>
      <c r="F1059" s="283" t="s">
        <v>1083</v>
      </c>
      <c r="G1059" s="283">
        <v>2</v>
      </c>
      <c r="H1059" s="283">
        <v>0</v>
      </c>
      <c r="I1059" s="283">
        <v>0</v>
      </c>
      <c r="J1059" s="284">
        <v>0</v>
      </c>
    </row>
    <row r="1060" spans="3:10" x14ac:dyDescent="0.25">
      <c r="C1060" s="300" t="s">
        <v>1065</v>
      </c>
      <c r="D1060" s="283" t="s">
        <v>1079</v>
      </c>
      <c r="E1060" s="283" t="s">
        <v>1075</v>
      </c>
      <c r="F1060" s="283" t="s">
        <v>1076</v>
      </c>
      <c r="G1060" s="283">
        <v>2</v>
      </c>
      <c r="H1060" s="283">
        <v>0</v>
      </c>
      <c r="I1060" s="283">
        <v>0</v>
      </c>
      <c r="J1060" s="284">
        <v>0</v>
      </c>
    </row>
    <row r="1061" spans="3:10" x14ac:dyDescent="0.25">
      <c r="C1061" s="300" t="s">
        <v>1064</v>
      </c>
      <c r="D1061" s="283" t="s">
        <v>1074</v>
      </c>
      <c r="E1061" s="283" t="s">
        <v>1078</v>
      </c>
      <c r="F1061" s="283" t="s">
        <v>1075</v>
      </c>
      <c r="G1061" s="283">
        <v>3</v>
      </c>
      <c r="H1061" s="283">
        <v>0</v>
      </c>
      <c r="I1061" s="283">
        <v>0</v>
      </c>
      <c r="J1061" s="284">
        <v>2</v>
      </c>
    </row>
    <row r="1062" spans="3:10" x14ac:dyDescent="0.25">
      <c r="C1062" s="300" t="s">
        <v>1066</v>
      </c>
      <c r="D1062" s="283" t="s">
        <v>1043</v>
      </c>
      <c r="E1062" s="283" t="s">
        <v>1075</v>
      </c>
      <c r="F1062" s="283" t="s">
        <v>1092</v>
      </c>
      <c r="G1062" s="283">
        <v>2</v>
      </c>
      <c r="H1062" s="283">
        <v>0</v>
      </c>
      <c r="I1062" s="283">
        <v>0</v>
      </c>
      <c r="J1062" s="284">
        <v>0</v>
      </c>
    </row>
    <row r="1063" spans="3:10" x14ac:dyDescent="0.25">
      <c r="C1063" s="300" t="s">
        <v>1061</v>
      </c>
      <c r="D1063" s="283" t="s">
        <v>1079</v>
      </c>
      <c r="E1063" s="283" t="s">
        <v>1076</v>
      </c>
      <c r="F1063" s="283" t="s">
        <v>1075</v>
      </c>
      <c r="G1063" s="283">
        <v>2</v>
      </c>
      <c r="H1063" s="283">
        <v>0</v>
      </c>
      <c r="I1063" s="283">
        <v>1</v>
      </c>
      <c r="J1063" s="284">
        <v>1</v>
      </c>
    </row>
    <row r="1064" spans="3:10" x14ac:dyDescent="0.25">
      <c r="C1064" s="300" t="s">
        <v>1064</v>
      </c>
      <c r="D1064" s="283" t="s">
        <v>1079</v>
      </c>
      <c r="E1064" s="283" t="s">
        <v>1075</v>
      </c>
      <c r="F1064" s="283" t="s">
        <v>1075</v>
      </c>
      <c r="G1064" s="283">
        <v>2</v>
      </c>
      <c r="H1064" s="283">
        <v>0</v>
      </c>
      <c r="I1064" s="283">
        <v>0</v>
      </c>
      <c r="J1064" s="284">
        <v>1</v>
      </c>
    </row>
    <row r="1065" spans="3:10" x14ac:dyDescent="0.25">
      <c r="C1065" s="300" t="s">
        <v>1061</v>
      </c>
      <c r="D1065" s="283" t="s">
        <v>1079</v>
      </c>
      <c r="E1065" s="283" t="s">
        <v>1083</v>
      </c>
      <c r="F1065" s="283" t="s">
        <v>1075</v>
      </c>
      <c r="G1065" s="283">
        <v>2</v>
      </c>
      <c r="H1065" s="283">
        <v>0</v>
      </c>
      <c r="I1065" s="283">
        <v>1</v>
      </c>
      <c r="J1065" s="284">
        <v>0</v>
      </c>
    </row>
    <row r="1066" spans="3:10" x14ac:dyDescent="0.25">
      <c r="C1066" s="300" t="s">
        <v>1066</v>
      </c>
      <c r="D1066" s="283" t="s">
        <v>1077</v>
      </c>
      <c r="E1066" s="283" t="s">
        <v>1089</v>
      </c>
      <c r="F1066" s="283" t="s">
        <v>1089</v>
      </c>
      <c r="G1066" s="283">
        <v>4</v>
      </c>
      <c r="H1066" s="283">
        <v>0</v>
      </c>
      <c r="I1066" s="283">
        <v>0</v>
      </c>
      <c r="J1066" s="284">
        <v>1</v>
      </c>
    </row>
    <row r="1067" spans="3:10" x14ac:dyDescent="0.25">
      <c r="C1067" s="300" t="s">
        <v>1062</v>
      </c>
      <c r="D1067" s="283" t="s">
        <v>1077</v>
      </c>
      <c r="E1067" s="283" t="s">
        <v>1076</v>
      </c>
      <c r="F1067" s="283" t="s">
        <v>1089</v>
      </c>
      <c r="G1067" s="283">
        <v>2</v>
      </c>
      <c r="H1067" s="283">
        <v>0</v>
      </c>
      <c r="I1067" s="283">
        <v>0</v>
      </c>
      <c r="J1067" s="284">
        <v>1</v>
      </c>
    </row>
    <row r="1068" spans="3:10" x14ac:dyDescent="0.25">
      <c r="C1068" s="300" t="s">
        <v>1060</v>
      </c>
      <c r="D1068" s="283" t="s">
        <v>1074</v>
      </c>
      <c r="E1068" s="283" t="s">
        <v>1076</v>
      </c>
      <c r="F1068" s="283" t="s">
        <v>1075</v>
      </c>
      <c r="G1068" s="283">
        <v>2</v>
      </c>
      <c r="H1068" s="283">
        <v>0</v>
      </c>
      <c r="I1068" s="283">
        <v>0</v>
      </c>
      <c r="J1068" s="284">
        <v>1</v>
      </c>
    </row>
    <row r="1069" spans="3:10" x14ac:dyDescent="0.25">
      <c r="C1069" s="300" t="s">
        <v>1060</v>
      </c>
      <c r="D1069" s="283" t="s">
        <v>1077</v>
      </c>
      <c r="E1069" s="283" t="s">
        <v>1075</v>
      </c>
      <c r="F1069" s="283" t="s">
        <v>1044</v>
      </c>
      <c r="G1069" s="283">
        <v>2</v>
      </c>
      <c r="H1069" s="283">
        <v>0</v>
      </c>
      <c r="I1069" s="283">
        <v>1</v>
      </c>
      <c r="J1069" s="284">
        <v>0</v>
      </c>
    </row>
    <row r="1070" spans="3:10" x14ac:dyDescent="0.25">
      <c r="C1070" s="300" t="s">
        <v>1065</v>
      </c>
      <c r="D1070" s="283" t="s">
        <v>1077</v>
      </c>
      <c r="E1070" s="283" t="s">
        <v>1086</v>
      </c>
      <c r="F1070" s="283" t="s">
        <v>1075</v>
      </c>
      <c r="G1070" s="283">
        <v>2</v>
      </c>
      <c r="H1070" s="283">
        <v>0</v>
      </c>
      <c r="I1070" s="283">
        <v>0</v>
      </c>
      <c r="J1070" s="284">
        <v>0</v>
      </c>
    </row>
    <row r="1071" spans="3:10" x14ac:dyDescent="0.25">
      <c r="C1071" s="300" t="s">
        <v>1067</v>
      </c>
      <c r="D1071" s="283" t="s">
        <v>1079</v>
      </c>
      <c r="E1071" s="283" t="s">
        <v>1075</v>
      </c>
      <c r="F1071" s="283" t="s">
        <v>1075</v>
      </c>
      <c r="G1071" s="283">
        <v>2</v>
      </c>
      <c r="H1071" s="283">
        <v>0</v>
      </c>
      <c r="I1071" s="283">
        <v>0</v>
      </c>
      <c r="J1071" s="284">
        <v>0</v>
      </c>
    </row>
    <row r="1072" spans="3:10" x14ac:dyDescent="0.25">
      <c r="C1072" s="300" t="s">
        <v>1065</v>
      </c>
      <c r="D1072" s="283" t="s">
        <v>1074</v>
      </c>
      <c r="E1072" s="283" t="s">
        <v>1094</v>
      </c>
      <c r="F1072" s="283" t="s">
        <v>1075</v>
      </c>
      <c r="G1072" s="283">
        <v>2</v>
      </c>
      <c r="H1072" s="283">
        <v>0</v>
      </c>
      <c r="I1072" s="283">
        <v>1</v>
      </c>
      <c r="J1072" s="284">
        <v>0</v>
      </c>
    </row>
    <row r="1073" spans="3:10" x14ac:dyDescent="0.25">
      <c r="C1073" s="300" t="s">
        <v>1062</v>
      </c>
      <c r="D1073" s="283" t="s">
        <v>1087</v>
      </c>
      <c r="E1073" s="283" t="s">
        <v>1089</v>
      </c>
      <c r="F1073" s="283" t="s">
        <v>524</v>
      </c>
      <c r="G1073" s="283">
        <v>1</v>
      </c>
      <c r="H1073" s="283">
        <v>0</v>
      </c>
      <c r="I1073" s="283">
        <v>3</v>
      </c>
      <c r="J1073" s="284">
        <v>0</v>
      </c>
    </row>
    <row r="1074" spans="3:10" x14ac:dyDescent="0.25">
      <c r="C1074" s="300" t="s">
        <v>1062</v>
      </c>
      <c r="D1074" s="283" t="s">
        <v>1074</v>
      </c>
      <c r="E1074" s="283" t="s">
        <v>1078</v>
      </c>
      <c r="F1074" s="283" t="s">
        <v>1078</v>
      </c>
      <c r="G1074" s="283">
        <v>2</v>
      </c>
      <c r="H1074" s="283">
        <v>0</v>
      </c>
      <c r="I1074" s="283">
        <v>0</v>
      </c>
      <c r="J1074" s="284">
        <v>0</v>
      </c>
    </row>
    <row r="1075" spans="3:10" x14ac:dyDescent="0.25">
      <c r="C1075" s="300" t="s">
        <v>1060</v>
      </c>
      <c r="D1075" s="283" t="s">
        <v>1087</v>
      </c>
      <c r="E1075" s="283" t="s">
        <v>1089</v>
      </c>
      <c r="F1075" s="283" t="s">
        <v>524</v>
      </c>
      <c r="G1075" s="283">
        <v>1</v>
      </c>
      <c r="H1075" s="283">
        <v>0</v>
      </c>
      <c r="I1075" s="283">
        <v>0</v>
      </c>
      <c r="J1075" s="284">
        <v>0</v>
      </c>
    </row>
    <row r="1076" spans="3:10" x14ac:dyDescent="0.25">
      <c r="C1076" s="300" t="s">
        <v>1065</v>
      </c>
      <c r="D1076" s="283" t="s">
        <v>1077</v>
      </c>
      <c r="E1076" s="283" t="s">
        <v>1075</v>
      </c>
      <c r="F1076" s="283" t="s">
        <v>1078</v>
      </c>
      <c r="G1076" s="283">
        <v>2</v>
      </c>
      <c r="H1076" s="283">
        <v>0</v>
      </c>
      <c r="I1076" s="283">
        <v>0</v>
      </c>
      <c r="J1076" s="284">
        <v>0</v>
      </c>
    </row>
    <row r="1077" spans="3:10" x14ac:dyDescent="0.25">
      <c r="C1077" s="300" t="s">
        <v>1066</v>
      </c>
      <c r="D1077" s="283" t="s">
        <v>1074</v>
      </c>
      <c r="E1077" s="283" t="s">
        <v>1075</v>
      </c>
      <c r="F1077" s="283" t="s">
        <v>1075</v>
      </c>
      <c r="G1077" s="283">
        <v>2</v>
      </c>
      <c r="H1077" s="283">
        <v>0</v>
      </c>
      <c r="I1077" s="283">
        <v>0</v>
      </c>
      <c r="J1077" s="284">
        <v>0</v>
      </c>
    </row>
    <row r="1078" spans="3:10" x14ac:dyDescent="0.25">
      <c r="C1078" s="300" t="s">
        <v>1066</v>
      </c>
      <c r="D1078" s="283" t="s">
        <v>1077</v>
      </c>
      <c r="E1078" s="283" t="s">
        <v>1078</v>
      </c>
      <c r="F1078" s="283" t="s">
        <v>1089</v>
      </c>
      <c r="G1078" s="283">
        <v>3</v>
      </c>
      <c r="H1078" s="283">
        <v>0</v>
      </c>
      <c r="I1078" s="283">
        <v>0</v>
      </c>
      <c r="J1078" s="284">
        <v>0</v>
      </c>
    </row>
    <row r="1079" spans="3:10" x14ac:dyDescent="0.25">
      <c r="C1079" s="300" t="s">
        <v>1066</v>
      </c>
      <c r="D1079" s="283" t="s">
        <v>1079</v>
      </c>
      <c r="E1079" s="283" t="s">
        <v>1075</v>
      </c>
      <c r="F1079" s="283" t="s">
        <v>1089</v>
      </c>
      <c r="G1079" s="283">
        <v>2</v>
      </c>
      <c r="H1079" s="283">
        <v>0</v>
      </c>
      <c r="I1079" s="283">
        <v>0</v>
      </c>
      <c r="J1079" s="284">
        <v>0</v>
      </c>
    </row>
    <row r="1080" spans="3:10" x14ac:dyDescent="0.25">
      <c r="C1080" s="300" t="s">
        <v>1064</v>
      </c>
      <c r="D1080" s="283" t="s">
        <v>1074</v>
      </c>
      <c r="E1080" s="283" t="s">
        <v>1075</v>
      </c>
      <c r="F1080" s="283" t="s">
        <v>1075</v>
      </c>
      <c r="G1080" s="283">
        <v>2</v>
      </c>
      <c r="H1080" s="283">
        <v>0</v>
      </c>
      <c r="I1080" s="283">
        <v>0</v>
      </c>
      <c r="J1080" s="284">
        <v>1</v>
      </c>
    </row>
    <row r="1081" spans="3:10" x14ac:dyDescent="0.25">
      <c r="C1081" s="300" t="s">
        <v>1063</v>
      </c>
      <c r="D1081" s="283" t="s">
        <v>1074</v>
      </c>
      <c r="E1081" s="283" t="s">
        <v>1078</v>
      </c>
      <c r="F1081" s="283" t="s">
        <v>1075</v>
      </c>
      <c r="G1081" s="283">
        <v>2</v>
      </c>
      <c r="H1081" s="283">
        <v>0</v>
      </c>
      <c r="I1081" s="283">
        <v>0</v>
      </c>
      <c r="J1081" s="284">
        <v>1</v>
      </c>
    </row>
    <row r="1082" spans="3:10" x14ac:dyDescent="0.25">
      <c r="C1082" s="300" t="s">
        <v>1063</v>
      </c>
      <c r="D1082" s="283" t="s">
        <v>1079</v>
      </c>
      <c r="E1082" s="283" t="s">
        <v>1075</v>
      </c>
      <c r="F1082" s="283" t="s">
        <v>1075</v>
      </c>
      <c r="G1082" s="283">
        <v>2</v>
      </c>
      <c r="H1082" s="283">
        <v>0</v>
      </c>
      <c r="I1082" s="283">
        <v>2</v>
      </c>
      <c r="J1082" s="284">
        <v>1</v>
      </c>
    </row>
    <row r="1083" spans="3:10" x14ac:dyDescent="0.25">
      <c r="C1083" s="300" t="s">
        <v>1066</v>
      </c>
      <c r="D1083" s="283" t="s">
        <v>1077</v>
      </c>
      <c r="E1083" s="283" t="s">
        <v>1076</v>
      </c>
      <c r="F1083" s="283" t="s">
        <v>1075</v>
      </c>
      <c r="G1083" s="283">
        <v>2</v>
      </c>
      <c r="H1083" s="283">
        <v>0</v>
      </c>
      <c r="I1083" s="283">
        <v>0</v>
      </c>
      <c r="J1083" s="284">
        <v>1</v>
      </c>
    </row>
    <row r="1084" spans="3:10" x14ac:dyDescent="0.25">
      <c r="C1084" s="300" t="s">
        <v>1065</v>
      </c>
      <c r="D1084" s="283" t="s">
        <v>1090</v>
      </c>
      <c r="E1084" s="283" t="s">
        <v>1083</v>
      </c>
      <c r="F1084" s="283" t="s">
        <v>524</v>
      </c>
      <c r="G1084" s="283">
        <v>1</v>
      </c>
      <c r="H1084" s="283">
        <v>0</v>
      </c>
      <c r="I1084" s="283">
        <v>1</v>
      </c>
      <c r="J1084" s="284">
        <v>0</v>
      </c>
    </row>
    <row r="1085" spans="3:10" x14ac:dyDescent="0.25">
      <c r="C1085" s="300" t="s">
        <v>1063</v>
      </c>
      <c r="D1085" s="283" t="s">
        <v>1087</v>
      </c>
      <c r="E1085" s="283" t="s">
        <v>1075</v>
      </c>
      <c r="F1085" s="283" t="s">
        <v>524</v>
      </c>
      <c r="G1085" s="283">
        <v>1</v>
      </c>
      <c r="H1085" s="283">
        <v>0</v>
      </c>
      <c r="I1085" s="283">
        <v>0</v>
      </c>
      <c r="J1085" s="284">
        <v>1</v>
      </c>
    </row>
    <row r="1086" spans="3:10" x14ac:dyDescent="0.25">
      <c r="C1086" s="300" t="s">
        <v>1065</v>
      </c>
      <c r="D1086" s="283" t="s">
        <v>1087</v>
      </c>
      <c r="E1086" s="283" t="s">
        <v>1044</v>
      </c>
      <c r="F1086" s="283" t="s">
        <v>524</v>
      </c>
      <c r="G1086" s="283">
        <v>1</v>
      </c>
      <c r="H1086" s="283">
        <v>0</v>
      </c>
      <c r="I1086" s="283">
        <v>1</v>
      </c>
      <c r="J1086" s="284">
        <v>0</v>
      </c>
    </row>
    <row r="1087" spans="3:10" x14ac:dyDescent="0.25">
      <c r="C1087" s="300" t="s">
        <v>1065</v>
      </c>
      <c r="D1087" s="283" t="s">
        <v>1077</v>
      </c>
      <c r="E1087" s="283" t="s">
        <v>1075</v>
      </c>
      <c r="F1087" s="283" t="s">
        <v>1078</v>
      </c>
      <c r="G1087" s="283">
        <v>2</v>
      </c>
      <c r="H1087" s="283">
        <v>0</v>
      </c>
      <c r="I1087" s="283">
        <v>0</v>
      </c>
      <c r="J1087" s="284">
        <v>0</v>
      </c>
    </row>
    <row r="1088" spans="3:10" x14ac:dyDescent="0.25">
      <c r="C1088" s="300" t="s">
        <v>1061</v>
      </c>
      <c r="D1088" s="283" t="s">
        <v>1079</v>
      </c>
      <c r="E1088" s="283" t="s">
        <v>1078</v>
      </c>
      <c r="F1088" s="283" t="s">
        <v>1075</v>
      </c>
      <c r="G1088" s="283">
        <v>2</v>
      </c>
      <c r="H1088" s="283">
        <v>0</v>
      </c>
      <c r="I1088" s="283">
        <v>0</v>
      </c>
      <c r="J1088" s="284">
        <v>0</v>
      </c>
    </row>
    <row r="1089" spans="3:10" x14ac:dyDescent="0.25">
      <c r="C1089" s="300" t="s">
        <v>1060</v>
      </c>
      <c r="D1089" s="283" t="s">
        <v>1079</v>
      </c>
      <c r="E1089" s="283" t="s">
        <v>1076</v>
      </c>
      <c r="F1089" s="283" t="s">
        <v>1075</v>
      </c>
      <c r="G1089" s="283">
        <v>2</v>
      </c>
      <c r="H1089" s="283">
        <v>0</v>
      </c>
      <c r="I1089" s="283">
        <v>0</v>
      </c>
      <c r="J1089" s="284">
        <v>0</v>
      </c>
    </row>
    <row r="1090" spans="3:10" x14ac:dyDescent="0.25">
      <c r="C1090" s="300" t="s">
        <v>1061</v>
      </c>
      <c r="D1090" s="283" t="s">
        <v>1087</v>
      </c>
      <c r="E1090" s="283" t="s">
        <v>1084</v>
      </c>
      <c r="F1090" s="283" t="s">
        <v>524</v>
      </c>
      <c r="G1090" s="283">
        <v>1</v>
      </c>
      <c r="H1090" s="283">
        <v>0</v>
      </c>
      <c r="I1090" s="283">
        <v>1</v>
      </c>
      <c r="J1090" s="284">
        <v>0</v>
      </c>
    </row>
    <row r="1091" spans="3:10" x14ac:dyDescent="0.25">
      <c r="C1091" s="300" t="s">
        <v>1060</v>
      </c>
      <c r="D1091" s="283" t="s">
        <v>1074</v>
      </c>
      <c r="E1091" s="283" t="s">
        <v>1076</v>
      </c>
      <c r="F1091" s="283" t="s">
        <v>1076</v>
      </c>
      <c r="G1091" s="283">
        <v>2</v>
      </c>
      <c r="H1091" s="283">
        <v>0</v>
      </c>
      <c r="I1091" s="283">
        <v>0</v>
      </c>
      <c r="J1091" s="284">
        <v>0</v>
      </c>
    </row>
    <row r="1092" spans="3:10" x14ac:dyDescent="0.25">
      <c r="C1092" s="300" t="s">
        <v>1061</v>
      </c>
      <c r="D1092" s="283" t="s">
        <v>1077</v>
      </c>
      <c r="E1092" s="283" t="s">
        <v>1076</v>
      </c>
      <c r="F1092" s="283" t="s">
        <v>1075</v>
      </c>
      <c r="G1092" s="283">
        <v>3</v>
      </c>
      <c r="H1092" s="283">
        <v>0</v>
      </c>
      <c r="I1092" s="283">
        <v>0</v>
      </c>
      <c r="J1092" s="284">
        <v>0</v>
      </c>
    </row>
    <row r="1093" spans="3:10" x14ac:dyDescent="0.25">
      <c r="C1093" s="300" t="s">
        <v>1063</v>
      </c>
      <c r="D1093" s="283" t="s">
        <v>1079</v>
      </c>
      <c r="E1093" s="283" t="s">
        <v>1075</v>
      </c>
      <c r="F1093" s="283" t="s">
        <v>1086</v>
      </c>
      <c r="G1093" s="283">
        <v>2</v>
      </c>
      <c r="H1093" s="283">
        <v>0</v>
      </c>
      <c r="I1093" s="283">
        <v>0</v>
      </c>
      <c r="J1093" s="284">
        <v>0</v>
      </c>
    </row>
    <row r="1094" spans="3:10" x14ac:dyDescent="0.25">
      <c r="C1094" s="300" t="s">
        <v>1059</v>
      </c>
      <c r="D1094" s="283" t="s">
        <v>1087</v>
      </c>
      <c r="E1094" s="283" t="s">
        <v>1076</v>
      </c>
      <c r="F1094" s="283" t="s">
        <v>524</v>
      </c>
      <c r="G1094" s="283">
        <v>1</v>
      </c>
      <c r="H1094" s="283">
        <v>0</v>
      </c>
      <c r="I1094" s="283">
        <v>0</v>
      </c>
      <c r="J1094" s="284">
        <v>0</v>
      </c>
    </row>
    <row r="1095" spans="3:10" x14ac:dyDescent="0.25">
      <c r="C1095" s="300" t="s">
        <v>1062</v>
      </c>
      <c r="D1095" s="283" t="s">
        <v>1077</v>
      </c>
      <c r="E1095" s="283" t="s">
        <v>1075</v>
      </c>
      <c r="F1095" s="283" t="s">
        <v>1075</v>
      </c>
      <c r="G1095" s="283">
        <v>2</v>
      </c>
      <c r="H1095" s="283">
        <v>0</v>
      </c>
      <c r="I1095" s="283">
        <v>0</v>
      </c>
      <c r="J1095" s="284">
        <v>0</v>
      </c>
    </row>
    <row r="1096" spans="3:10" x14ac:dyDescent="0.25">
      <c r="C1096" s="300" t="s">
        <v>1065</v>
      </c>
      <c r="D1096" s="283" t="s">
        <v>1074</v>
      </c>
      <c r="E1096" s="283" t="s">
        <v>1078</v>
      </c>
      <c r="F1096" s="283" t="s">
        <v>1083</v>
      </c>
      <c r="G1096" s="283">
        <v>2</v>
      </c>
      <c r="H1096" s="283">
        <v>0</v>
      </c>
      <c r="I1096" s="283">
        <v>0</v>
      </c>
      <c r="J1096" s="284">
        <v>1</v>
      </c>
    </row>
    <row r="1097" spans="3:10" x14ac:dyDescent="0.25">
      <c r="C1097" s="300" t="s">
        <v>1061</v>
      </c>
      <c r="D1097" s="283" t="s">
        <v>1077</v>
      </c>
      <c r="E1097" s="283" t="s">
        <v>1089</v>
      </c>
      <c r="F1097" s="283" t="s">
        <v>1075</v>
      </c>
      <c r="G1097" s="283">
        <v>2</v>
      </c>
      <c r="H1097" s="283">
        <v>0</v>
      </c>
      <c r="I1097" s="283">
        <v>0</v>
      </c>
      <c r="J1097" s="284">
        <v>0</v>
      </c>
    </row>
    <row r="1098" spans="3:10" x14ac:dyDescent="0.25">
      <c r="C1098" s="300" t="s">
        <v>1060</v>
      </c>
      <c r="D1098" s="283" t="s">
        <v>1079</v>
      </c>
      <c r="E1098" s="283" t="s">
        <v>1081</v>
      </c>
      <c r="F1098" s="283" t="s">
        <v>1075</v>
      </c>
      <c r="G1098" s="283">
        <v>2</v>
      </c>
      <c r="H1098" s="283">
        <v>0</v>
      </c>
      <c r="I1098" s="283">
        <v>0</v>
      </c>
      <c r="J1098" s="284">
        <v>0</v>
      </c>
    </row>
    <row r="1099" spans="3:10" x14ac:dyDescent="0.25">
      <c r="C1099" s="300" t="s">
        <v>1062</v>
      </c>
      <c r="D1099" s="283" t="s">
        <v>1079</v>
      </c>
      <c r="E1099" s="283" t="s">
        <v>1076</v>
      </c>
      <c r="F1099" s="283" t="s">
        <v>1075</v>
      </c>
      <c r="G1099" s="283">
        <v>2</v>
      </c>
      <c r="H1099" s="283">
        <v>0</v>
      </c>
      <c r="I1099" s="283">
        <v>0</v>
      </c>
      <c r="J1099" s="284">
        <v>0</v>
      </c>
    </row>
    <row r="1100" spans="3:10" x14ac:dyDescent="0.25">
      <c r="C1100" s="300" t="s">
        <v>1061</v>
      </c>
      <c r="D1100" s="283" t="s">
        <v>1077</v>
      </c>
      <c r="E1100" s="283" t="s">
        <v>1075</v>
      </c>
      <c r="F1100" s="283" t="s">
        <v>1075</v>
      </c>
      <c r="G1100" s="283">
        <v>3</v>
      </c>
      <c r="H1100" s="283">
        <v>0</v>
      </c>
      <c r="I1100" s="283">
        <v>0</v>
      </c>
      <c r="J1100" s="284">
        <v>0</v>
      </c>
    </row>
    <row r="1101" spans="3:10" x14ac:dyDescent="0.25">
      <c r="C1101" s="300" t="s">
        <v>1061</v>
      </c>
      <c r="D1101" s="283" t="s">
        <v>1077</v>
      </c>
      <c r="E1101" s="283" t="s">
        <v>1084</v>
      </c>
      <c r="F1101" s="283" t="s">
        <v>1081</v>
      </c>
      <c r="G1101" s="283">
        <v>3</v>
      </c>
      <c r="H1101" s="283">
        <v>0</v>
      </c>
      <c r="I1101" s="283">
        <v>0</v>
      </c>
      <c r="J1101" s="284">
        <v>0</v>
      </c>
    </row>
    <row r="1102" spans="3:10" x14ac:dyDescent="0.25">
      <c r="C1102" s="300" t="s">
        <v>1067</v>
      </c>
      <c r="D1102" s="283" t="s">
        <v>1090</v>
      </c>
      <c r="E1102" s="283" t="s">
        <v>1075</v>
      </c>
      <c r="F1102" s="283" t="s">
        <v>524</v>
      </c>
      <c r="G1102" s="283">
        <v>1</v>
      </c>
      <c r="H1102" s="283">
        <v>0</v>
      </c>
      <c r="I1102" s="283">
        <v>0</v>
      </c>
      <c r="J1102" s="284">
        <v>0</v>
      </c>
    </row>
    <row r="1103" spans="3:10" x14ac:dyDescent="0.25">
      <c r="C1103" s="300" t="s">
        <v>1064</v>
      </c>
      <c r="D1103" s="283" t="s">
        <v>1077</v>
      </c>
      <c r="E1103" s="283" t="s">
        <v>1080</v>
      </c>
      <c r="F1103" s="283" t="s">
        <v>1075</v>
      </c>
      <c r="G1103" s="283">
        <v>2</v>
      </c>
      <c r="H1103" s="283">
        <v>0</v>
      </c>
      <c r="I1103" s="283">
        <v>0</v>
      </c>
      <c r="J1103" s="284">
        <v>0</v>
      </c>
    </row>
    <row r="1104" spans="3:10" x14ac:dyDescent="0.25">
      <c r="C1104" s="300" t="s">
        <v>1065</v>
      </c>
      <c r="D1104" s="283" t="s">
        <v>1077</v>
      </c>
      <c r="E1104" s="283" t="s">
        <v>1084</v>
      </c>
      <c r="F1104" s="283" t="s">
        <v>1089</v>
      </c>
      <c r="G1104" s="283">
        <v>2</v>
      </c>
      <c r="H1104" s="283">
        <v>0</v>
      </c>
      <c r="I1104" s="283">
        <v>0</v>
      </c>
      <c r="J1104" s="284">
        <v>0</v>
      </c>
    </row>
    <row r="1105" spans="3:10" x14ac:dyDescent="0.25">
      <c r="C1105" s="300" t="s">
        <v>1064</v>
      </c>
      <c r="D1105" s="283" t="s">
        <v>1074</v>
      </c>
      <c r="E1105" s="283" t="s">
        <v>1093</v>
      </c>
      <c r="F1105" s="283" t="s">
        <v>1075</v>
      </c>
      <c r="G1105" s="283">
        <v>2</v>
      </c>
      <c r="H1105" s="283">
        <v>0</v>
      </c>
      <c r="I1105" s="283">
        <v>1</v>
      </c>
      <c r="J1105" s="284">
        <v>0</v>
      </c>
    </row>
    <row r="1106" spans="3:10" x14ac:dyDescent="0.25">
      <c r="C1106" s="300" t="s">
        <v>1064</v>
      </c>
      <c r="D1106" s="283" t="s">
        <v>1079</v>
      </c>
      <c r="E1106" s="283" t="s">
        <v>1075</v>
      </c>
      <c r="F1106" s="283" t="s">
        <v>1080</v>
      </c>
      <c r="G1106" s="283">
        <v>3</v>
      </c>
      <c r="H1106" s="283">
        <v>0</v>
      </c>
      <c r="I1106" s="283">
        <v>1</v>
      </c>
      <c r="J1106" s="284">
        <v>0</v>
      </c>
    </row>
    <row r="1107" spans="3:10" x14ac:dyDescent="0.25">
      <c r="C1107" s="300" t="s">
        <v>1068</v>
      </c>
      <c r="D1107" s="283" t="s">
        <v>1079</v>
      </c>
      <c r="E1107" s="283" t="s">
        <v>1080</v>
      </c>
      <c r="F1107" s="283" t="s">
        <v>1075</v>
      </c>
      <c r="G1107" s="283">
        <v>2</v>
      </c>
      <c r="H1107" s="283">
        <v>0</v>
      </c>
      <c r="I1107" s="283">
        <v>1</v>
      </c>
      <c r="J1107" s="284">
        <v>0</v>
      </c>
    </row>
    <row r="1108" spans="3:10" x14ac:dyDescent="0.25">
      <c r="C1108" s="300" t="s">
        <v>1063</v>
      </c>
      <c r="D1108" s="283" t="s">
        <v>1087</v>
      </c>
      <c r="E1108" s="283" t="s">
        <v>1076</v>
      </c>
      <c r="F1108" s="283" t="s">
        <v>524</v>
      </c>
      <c r="G1108" s="283">
        <v>1</v>
      </c>
      <c r="H1108" s="283">
        <v>0</v>
      </c>
      <c r="I1108" s="283">
        <v>0</v>
      </c>
      <c r="J1108" s="284">
        <v>0</v>
      </c>
    </row>
    <row r="1109" spans="3:10" x14ac:dyDescent="0.25">
      <c r="C1109" s="300" t="s">
        <v>1065</v>
      </c>
      <c r="D1109" s="283" t="s">
        <v>1079</v>
      </c>
      <c r="E1109" s="283" t="s">
        <v>1075</v>
      </c>
      <c r="F1109" s="283" t="s">
        <v>1089</v>
      </c>
      <c r="G1109" s="283">
        <v>2</v>
      </c>
      <c r="H1109" s="283">
        <v>0</v>
      </c>
      <c r="I1109" s="283">
        <v>0</v>
      </c>
      <c r="J1109" s="284">
        <v>0</v>
      </c>
    </row>
    <row r="1110" spans="3:10" x14ac:dyDescent="0.25">
      <c r="C1110" s="300" t="s">
        <v>1065</v>
      </c>
      <c r="D1110" s="283" t="s">
        <v>1079</v>
      </c>
      <c r="E1110" s="283" t="s">
        <v>1091</v>
      </c>
      <c r="F1110" s="283" t="s">
        <v>1075</v>
      </c>
      <c r="G1110" s="283">
        <v>2</v>
      </c>
      <c r="H1110" s="283">
        <v>0</v>
      </c>
      <c r="I1110" s="283">
        <v>0</v>
      </c>
      <c r="J1110" s="284">
        <v>0</v>
      </c>
    </row>
    <row r="1111" spans="3:10" x14ac:dyDescent="0.25">
      <c r="C1111" s="300" t="s">
        <v>1060</v>
      </c>
      <c r="D1111" s="283" t="s">
        <v>1043</v>
      </c>
      <c r="E1111" s="283" t="s">
        <v>1075</v>
      </c>
      <c r="F1111" s="283" t="s">
        <v>1092</v>
      </c>
      <c r="G1111" s="283">
        <v>2</v>
      </c>
      <c r="H1111" s="283">
        <v>0</v>
      </c>
      <c r="I1111" s="283">
        <v>0</v>
      </c>
      <c r="J1111" s="284">
        <v>1</v>
      </c>
    </row>
    <row r="1112" spans="3:10" x14ac:dyDescent="0.25">
      <c r="C1112" s="300" t="s">
        <v>1057</v>
      </c>
      <c r="D1112" s="283" t="s">
        <v>1079</v>
      </c>
      <c r="E1112" s="283" t="s">
        <v>1091</v>
      </c>
      <c r="F1112" s="283" t="s">
        <v>1076</v>
      </c>
      <c r="G1112" s="283">
        <v>2</v>
      </c>
      <c r="H1112" s="283">
        <v>0</v>
      </c>
      <c r="I1112" s="283">
        <v>0</v>
      </c>
      <c r="J1112" s="284">
        <v>0</v>
      </c>
    </row>
    <row r="1113" spans="3:10" x14ac:dyDescent="0.25">
      <c r="C1113" s="300" t="s">
        <v>1067</v>
      </c>
      <c r="D1113" s="283" t="s">
        <v>1074</v>
      </c>
      <c r="E1113" s="283" t="s">
        <v>1078</v>
      </c>
      <c r="F1113" s="283" t="s">
        <v>1044</v>
      </c>
      <c r="G1113" s="283">
        <v>2</v>
      </c>
      <c r="H1113" s="283">
        <v>0</v>
      </c>
      <c r="I1113" s="283">
        <v>1</v>
      </c>
      <c r="J1113" s="284">
        <v>0</v>
      </c>
    </row>
    <row r="1114" spans="3:10" x14ac:dyDescent="0.25">
      <c r="C1114" s="300" t="s">
        <v>1067</v>
      </c>
      <c r="D1114" s="283" t="s">
        <v>1077</v>
      </c>
      <c r="E1114" s="283" t="s">
        <v>1075</v>
      </c>
      <c r="F1114" s="283" t="s">
        <v>1076</v>
      </c>
      <c r="G1114" s="283">
        <v>2</v>
      </c>
      <c r="H1114" s="283">
        <v>0</v>
      </c>
      <c r="I1114" s="283">
        <v>0</v>
      </c>
      <c r="J1114" s="284">
        <v>1</v>
      </c>
    </row>
    <row r="1115" spans="3:10" x14ac:dyDescent="0.25">
      <c r="C1115" s="300" t="s">
        <v>1065</v>
      </c>
      <c r="D1115" s="283" t="s">
        <v>1079</v>
      </c>
      <c r="E1115" s="283" t="s">
        <v>1076</v>
      </c>
      <c r="F1115" s="283" t="s">
        <v>1075</v>
      </c>
      <c r="G1115" s="283">
        <v>2</v>
      </c>
      <c r="H1115" s="283">
        <v>0</v>
      </c>
      <c r="I1115" s="283">
        <v>0</v>
      </c>
      <c r="J1115" s="284">
        <v>0</v>
      </c>
    </row>
    <row r="1116" spans="3:10" x14ac:dyDescent="0.25">
      <c r="C1116" s="300" t="s">
        <v>1066</v>
      </c>
      <c r="D1116" s="283" t="s">
        <v>1079</v>
      </c>
      <c r="E1116" s="283" t="s">
        <v>1081</v>
      </c>
      <c r="F1116" s="283" t="s">
        <v>1075</v>
      </c>
      <c r="G1116" s="283">
        <v>2</v>
      </c>
      <c r="H1116" s="283">
        <v>0</v>
      </c>
      <c r="I1116" s="283">
        <v>0</v>
      </c>
      <c r="J1116" s="284">
        <v>0</v>
      </c>
    </row>
    <row r="1117" spans="3:10" x14ac:dyDescent="0.25">
      <c r="C1117" s="300" t="s">
        <v>1060</v>
      </c>
      <c r="D1117" s="283" t="s">
        <v>1079</v>
      </c>
      <c r="E1117" s="283" t="s">
        <v>1089</v>
      </c>
      <c r="F1117" s="283" t="s">
        <v>1089</v>
      </c>
      <c r="G1117" s="283">
        <v>2</v>
      </c>
      <c r="H1117" s="283">
        <v>0</v>
      </c>
      <c r="I1117" s="283">
        <v>0</v>
      </c>
      <c r="J1117" s="284">
        <v>0</v>
      </c>
    </row>
    <row r="1118" spans="3:10" x14ac:dyDescent="0.25">
      <c r="C1118" s="300" t="s">
        <v>1060</v>
      </c>
      <c r="D1118" s="283" t="s">
        <v>1079</v>
      </c>
      <c r="E1118" s="283" t="s">
        <v>1075</v>
      </c>
      <c r="F1118" s="283" t="s">
        <v>1075</v>
      </c>
      <c r="G1118" s="283">
        <v>2</v>
      </c>
      <c r="H1118" s="283">
        <v>0</v>
      </c>
      <c r="I1118" s="283">
        <v>0</v>
      </c>
      <c r="J1118" s="284">
        <v>0</v>
      </c>
    </row>
    <row r="1119" spans="3:10" x14ac:dyDescent="0.25">
      <c r="C1119" s="300" t="s">
        <v>1061</v>
      </c>
      <c r="D1119" s="283" t="s">
        <v>1087</v>
      </c>
      <c r="E1119" s="283" t="s">
        <v>1085</v>
      </c>
      <c r="F1119" s="283" t="s">
        <v>524</v>
      </c>
      <c r="G1119" s="283">
        <v>2</v>
      </c>
      <c r="H1119" s="283">
        <v>0</v>
      </c>
      <c r="I1119" s="283">
        <v>0</v>
      </c>
      <c r="J1119" s="284">
        <v>1</v>
      </c>
    </row>
    <row r="1120" spans="3:10" x14ac:dyDescent="0.25">
      <c r="C1120" s="300" t="s">
        <v>1066</v>
      </c>
      <c r="D1120" s="283" t="s">
        <v>1079</v>
      </c>
      <c r="E1120" s="283" t="s">
        <v>1076</v>
      </c>
      <c r="F1120" s="283" t="s">
        <v>1078</v>
      </c>
      <c r="G1120" s="283">
        <v>2</v>
      </c>
      <c r="H1120" s="283">
        <v>0</v>
      </c>
      <c r="I1120" s="283">
        <v>0</v>
      </c>
      <c r="J1120" s="284">
        <v>0</v>
      </c>
    </row>
    <row r="1121" spans="3:10" x14ac:dyDescent="0.25">
      <c r="C1121" s="300" t="s">
        <v>1060</v>
      </c>
      <c r="D1121" s="283" t="s">
        <v>1079</v>
      </c>
      <c r="E1121" s="283" t="s">
        <v>1076</v>
      </c>
      <c r="F1121" s="283" t="s">
        <v>1094</v>
      </c>
      <c r="G1121" s="283">
        <v>2</v>
      </c>
      <c r="H1121" s="283">
        <v>0</v>
      </c>
      <c r="I1121" s="283">
        <v>0</v>
      </c>
      <c r="J1121" s="284">
        <v>0</v>
      </c>
    </row>
    <row r="1122" spans="3:10" x14ac:dyDescent="0.25">
      <c r="C1122" s="300" t="s">
        <v>1065</v>
      </c>
      <c r="D1122" s="283" t="s">
        <v>1077</v>
      </c>
      <c r="E1122" s="283" t="s">
        <v>1076</v>
      </c>
      <c r="F1122" s="283" t="s">
        <v>1075</v>
      </c>
      <c r="G1122" s="283">
        <v>3</v>
      </c>
      <c r="H1122" s="283">
        <v>0</v>
      </c>
      <c r="I1122" s="283">
        <v>0</v>
      </c>
      <c r="J1122" s="284">
        <v>0</v>
      </c>
    </row>
    <row r="1123" spans="3:10" x14ac:dyDescent="0.25">
      <c r="C1123" s="300" t="s">
        <v>1063</v>
      </c>
      <c r="D1123" s="283" t="s">
        <v>1074</v>
      </c>
      <c r="E1123" s="283" t="s">
        <v>1075</v>
      </c>
      <c r="F1123" s="283" t="s">
        <v>1075</v>
      </c>
      <c r="G1123" s="283">
        <v>3</v>
      </c>
      <c r="H1123" s="283">
        <v>0</v>
      </c>
      <c r="I1123" s="283">
        <v>0</v>
      </c>
      <c r="J1123" s="284">
        <v>0</v>
      </c>
    </row>
    <row r="1124" spans="3:10" x14ac:dyDescent="0.25">
      <c r="C1124" s="300" t="s">
        <v>1064</v>
      </c>
      <c r="D1124" s="283" t="s">
        <v>1079</v>
      </c>
      <c r="E1124" s="283" t="s">
        <v>1075</v>
      </c>
      <c r="F1124" s="283" t="s">
        <v>1075</v>
      </c>
      <c r="G1124" s="283">
        <v>2</v>
      </c>
      <c r="H1124" s="283">
        <v>0</v>
      </c>
      <c r="I1124" s="283">
        <v>0</v>
      </c>
      <c r="J1124" s="284">
        <v>0</v>
      </c>
    </row>
    <row r="1125" spans="3:10" x14ac:dyDescent="0.25">
      <c r="C1125" s="300" t="s">
        <v>1064</v>
      </c>
      <c r="D1125" s="283" t="s">
        <v>1087</v>
      </c>
      <c r="E1125" s="283" t="s">
        <v>1075</v>
      </c>
      <c r="F1125" s="283" t="s">
        <v>524</v>
      </c>
      <c r="G1125" s="283">
        <v>1</v>
      </c>
      <c r="H1125" s="283">
        <v>0</v>
      </c>
      <c r="I1125" s="283">
        <v>0</v>
      </c>
      <c r="J1125" s="284">
        <v>0</v>
      </c>
    </row>
    <row r="1126" spans="3:10" x14ac:dyDescent="0.25">
      <c r="C1126" s="300" t="s">
        <v>1064</v>
      </c>
      <c r="D1126" s="283" t="s">
        <v>1079</v>
      </c>
      <c r="E1126" s="283" t="s">
        <v>1075</v>
      </c>
      <c r="F1126" s="283" t="s">
        <v>1084</v>
      </c>
      <c r="G1126" s="283">
        <v>2</v>
      </c>
      <c r="H1126" s="283">
        <v>0</v>
      </c>
      <c r="I1126" s="283">
        <v>0</v>
      </c>
      <c r="J1126" s="284">
        <v>0</v>
      </c>
    </row>
    <row r="1127" spans="3:10" x14ac:dyDescent="0.25">
      <c r="C1127" s="300" t="s">
        <v>1060</v>
      </c>
      <c r="D1127" s="283" t="s">
        <v>1077</v>
      </c>
      <c r="E1127" s="283" t="s">
        <v>1089</v>
      </c>
      <c r="F1127" s="283" t="s">
        <v>1076</v>
      </c>
      <c r="G1127" s="283">
        <v>3</v>
      </c>
      <c r="H1127" s="283">
        <v>0</v>
      </c>
      <c r="I1127" s="283">
        <v>0</v>
      </c>
      <c r="J1127" s="284">
        <v>0</v>
      </c>
    </row>
    <row r="1128" spans="3:10" x14ac:dyDescent="0.25">
      <c r="C1128" s="300" t="s">
        <v>1062</v>
      </c>
      <c r="D1128" s="283" t="s">
        <v>1074</v>
      </c>
      <c r="E1128" s="283" t="s">
        <v>1075</v>
      </c>
      <c r="F1128" s="283" t="s">
        <v>1078</v>
      </c>
      <c r="G1128" s="283">
        <v>2</v>
      </c>
      <c r="H1128" s="283">
        <v>0</v>
      </c>
      <c r="I1128" s="283">
        <v>0</v>
      </c>
      <c r="J1128" s="284">
        <v>1</v>
      </c>
    </row>
    <row r="1129" spans="3:10" x14ac:dyDescent="0.25">
      <c r="C1129" s="300" t="s">
        <v>1057</v>
      </c>
      <c r="D1129" s="283" t="s">
        <v>1079</v>
      </c>
      <c r="E1129" s="283" t="s">
        <v>1075</v>
      </c>
      <c r="F1129" s="283" t="s">
        <v>1089</v>
      </c>
      <c r="G1129" s="283">
        <v>3</v>
      </c>
      <c r="H1129" s="283">
        <v>0</v>
      </c>
      <c r="I1129" s="283">
        <v>0</v>
      </c>
      <c r="J1129" s="284">
        <v>0</v>
      </c>
    </row>
    <row r="1130" spans="3:10" x14ac:dyDescent="0.25">
      <c r="C1130" s="300" t="s">
        <v>1063</v>
      </c>
      <c r="D1130" s="283" t="s">
        <v>1090</v>
      </c>
      <c r="E1130" s="283" t="s">
        <v>1083</v>
      </c>
      <c r="F1130" s="283" t="s">
        <v>524</v>
      </c>
      <c r="G1130" s="283">
        <v>1</v>
      </c>
      <c r="H1130" s="283">
        <v>0</v>
      </c>
      <c r="I1130" s="283">
        <v>0</v>
      </c>
      <c r="J1130" s="284">
        <v>1</v>
      </c>
    </row>
    <row r="1131" spans="3:10" x14ac:dyDescent="0.25">
      <c r="C1131" s="300" t="s">
        <v>1059</v>
      </c>
      <c r="D1131" s="283" t="s">
        <v>1074</v>
      </c>
      <c r="E1131" s="283" t="s">
        <v>1075</v>
      </c>
      <c r="F1131" s="283" t="s">
        <v>1044</v>
      </c>
      <c r="G1131" s="283">
        <v>3</v>
      </c>
      <c r="H1131" s="283">
        <v>0</v>
      </c>
      <c r="I1131" s="283">
        <v>1</v>
      </c>
      <c r="J1131" s="284">
        <v>1</v>
      </c>
    </row>
    <row r="1132" spans="3:10" x14ac:dyDescent="0.25">
      <c r="C1132" s="300" t="s">
        <v>1060</v>
      </c>
      <c r="D1132" s="283" t="s">
        <v>1079</v>
      </c>
      <c r="E1132" s="283" t="s">
        <v>1075</v>
      </c>
      <c r="F1132" s="283" t="s">
        <v>1089</v>
      </c>
      <c r="G1132" s="283">
        <v>2</v>
      </c>
      <c r="H1132" s="283">
        <v>0</v>
      </c>
      <c r="I1132" s="283">
        <v>0</v>
      </c>
      <c r="J1132" s="284">
        <v>2</v>
      </c>
    </row>
    <row r="1133" spans="3:10" x14ac:dyDescent="0.25">
      <c r="C1133" s="300" t="s">
        <v>1068</v>
      </c>
      <c r="D1133" s="283" t="s">
        <v>1087</v>
      </c>
      <c r="E1133" s="283" t="s">
        <v>1089</v>
      </c>
      <c r="F1133" s="283" t="s">
        <v>524</v>
      </c>
      <c r="G1133" s="283">
        <v>1</v>
      </c>
      <c r="H1133" s="283">
        <v>0</v>
      </c>
      <c r="I1133" s="283">
        <v>0</v>
      </c>
      <c r="J1133" s="284">
        <v>0</v>
      </c>
    </row>
    <row r="1134" spans="3:10" x14ac:dyDescent="0.25">
      <c r="C1134" s="300" t="s">
        <v>1061</v>
      </c>
      <c r="D1134" s="283" t="s">
        <v>1079</v>
      </c>
      <c r="E1134" s="283" t="s">
        <v>1091</v>
      </c>
      <c r="F1134" s="283" t="s">
        <v>1075</v>
      </c>
      <c r="G1134" s="283">
        <v>2</v>
      </c>
      <c r="H1134" s="283">
        <v>0</v>
      </c>
      <c r="I1134" s="283">
        <v>0</v>
      </c>
      <c r="J1134" s="284">
        <v>0</v>
      </c>
    </row>
    <row r="1135" spans="3:10" x14ac:dyDescent="0.25">
      <c r="C1135" s="300" t="s">
        <v>1061</v>
      </c>
      <c r="D1135" s="283" t="s">
        <v>1079</v>
      </c>
      <c r="E1135" s="283" t="s">
        <v>1075</v>
      </c>
      <c r="F1135" s="283" t="s">
        <v>1076</v>
      </c>
      <c r="G1135" s="283">
        <v>2</v>
      </c>
      <c r="H1135" s="283">
        <v>0</v>
      </c>
      <c r="I1135" s="283">
        <v>0</v>
      </c>
      <c r="J1135" s="284">
        <v>1</v>
      </c>
    </row>
    <row r="1136" spans="3:10" x14ac:dyDescent="0.25">
      <c r="C1136" s="300" t="s">
        <v>1063</v>
      </c>
      <c r="D1136" s="283" t="s">
        <v>1079</v>
      </c>
      <c r="E1136" s="283" t="s">
        <v>1093</v>
      </c>
      <c r="F1136" s="283" t="s">
        <v>1075</v>
      </c>
      <c r="G1136" s="283">
        <v>3</v>
      </c>
      <c r="H1136" s="283">
        <v>0</v>
      </c>
      <c r="I1136" s="283">
        <v>1</v>
      </c>
      <c r="J1136" s="284">
        <v>0</v>
      </c>
    </row>
    <row r="1137" spans="3:10" x14ac:dyDescent="0.25">
      <c r="C1137" s="300" t="s">
        <v>1060</v>
      </c>
      <c r="D1137" s="283" t="s">
        <v>1090</v>
      </c>
      <c r="E1137" s="283" t="s">
        <v>1083</v>
      </c>
      <c r="F1137" s="283" t="s">
        <v>524</v>
      </c>
      <c r="G1137" s="283">
        <v>1</v>
      </c>
      <c r="H1137" s="283">
        <v>0</v>
      </c>
      <c r="I1137" s="283">
        <v>1</v>
      </c>
      <c r="J1137" s="284">
        <v>1</v>
      </c>
    </row>
    <row r="1138" spans="3:10" x14ac:dyDescent="0.25">
      <c r="C1138" s="300" t="s">
        <v>1061</v>
      </c>
      <c r="D1138" s="283" t="s">
        <v>1043</v>
      </c>
      <c r="E1138" s="283" t="s">
        <v>1075</v>
      </c>
      <c r="F1138" s="283" t="s">
        <v>1092</v>
      </c>
      <c r="G1138" s="283">
        <v>2</v>
      </c>
      <c r="H1138" s="283">
        <v>0</v>
      </c>
      <c r="I1138" s="283">
        <v>1</v>
      </c>
      <c r="J1138" s="284">
        <v>0</v>
      </c>
    </row>
    <row r="1139" spans="3:10" x14ac:dyDescent="0.25">
      <c r="C1139" s="300" t="s">
        <v>1064</v>
      </c>
      <c r="D1139" s="283" t="s">
        <v>1074</v>
      </c>
      <c r="E1139" s="283" t="s">
        <v>1075</v>
      </c>
      <c r="F1139" s="283" t="s">
        <v>1089</v>
      </c>
      <c r="G1139" s="283">
        <v>2</v>
      </c>
      <c r="H1139" s="283">
        <v>0</v>
      </c>
      <c r="I1139" s="283">
        <v>0</v>
      </c>
      <c r="J1139" s="284">
        <v>1</v>
      </c>
    </row>
    <row r="1140" spans="3:10" x14ac:dyDescent="0.25">
      <c r="C1140" s="300" t="s">
        <v>1063</v>
      </c>
      <c r="D1140" s="283" t="s">
        <v>1079</v>
      </c>
      <c r="E1140" s="283" t="s">
        <v>1075</v>
      </c>
      <c r="F1140" s="283" t="s">
        <v>1075</v>
      </c>
      <c r="G1140" s="283">
        <v>3</v>
      </c>
      <c r="H1140" s="283">
        <v>0</v>
      </c>
      <c r="I1140" s="283">
        <v>0</v>
      </c>
      <c r="J1140" s="284">
        <v>0</v>
      </c>
    </row>
    <row r="1141" spans="3:10" x14ac:dyDescent="0.25">
      <c r="C1141" s="300" t="s">
        <v>1066</v>
      </c>
      <c r="D1141" s="283" t="s">
        <v>1079</v>
      </c>
      <c r="E1141" s="283" t="s">
        <v>1075</v>
      </c>
      <c r="F1141" s="283" t="s">
        <v>1075</v>
      </c>
      <c r="G1141" s="283">
        <v>3</v>
      </c>
      <c r="H1141" s="283">
        <v>0</v>
      </c>
      <c r="I1141" s="283">
        <v>0</v>
      </c>
      <c r="J1141" s="284">
        <v>0</v>
      </c>
    </row>
    <row r="1142" spans="3:10" x14ac:dyDescent="0.25">
      <c r="C1142" s="300" t="s">
        <v>1065</v>
      </c>
      <c r="D1142" s="283" t="s">
        <v>1087</v>
      </c>
      <c r="E1142" s="283" t="s">
        <v>1075</v>
      </c>
      <c r="F1142" s="283" t="s">
        <v>524</v>
      </c>
      <c r="G1142" s="283">
        <v>1</v>
      </c>
      <c r="H1142" s="283">
        <v>0</v>
      </c>
      <c r="I1142" s="283">
        <v>1</v>
      </c>
      <c r="J1142" s="284">
        <v>0</v>
      </c>
    </row>
    <row r="1143" spans="3:10" x14ac:dyDescent="0.25">
      <c r="C1143" s="300" t="s">
        <v>1060</v>
      </c>
      <c r="D1143" s="283" t="s">
        <v>1043</v>
      </c>
      <c r="E1143" s="283" t="s">
        <v>1075</v>
      </c>
      <c r="F1143" s="283" t="s">
        <v>1092</v>
      </c>
      <c r="G1143" s="283">
        <v>2</v>
      </c>
      <c r="H1143" s="283">
        <v>0</v>
      </c>
      <c r="I1143" s="283">
        <v>0</v>
      </c>
      <c r="J1143" s="284">
        <v>1</v>
      </c>
    </row>
    <row r="1144" spans="3:10" x14ac:dyDescent="0.25">
      <c r="C1144" s="300" t="s">
        <v>1057</v>
      </c>
      <c r="D1144" s="283" t="s">
        <v>1079</v>
      </c>
      <c r="E1144" s="283" t="s">
        <v>1078</v>
      </c>
      <c r="F1144" s="283" t="s">
        <v>1080</v>
      </c>
      <c r="G1144" s="283">
        <v>2</v>
      </c>
      <c r="H1144" s="283">
        <v>0</v>
      </c>
      <c r="I1144" s="283">
        <v>0</v>
      </c>
      <c r="J1144" s="284">
        <v>0</v>
      </c>
    </row>
    <row r="1145" spans="3:10" x14ac:dyDescent="0.25">
      <c r="C1145" s="300" t="s">
        <v>1067</v>
      </c>
      <c r="D1145" s="283" t="s">
        <v>1079</v>
      </c>
      <c r="E1145" s="283" t="s">
        <v>1075</v>
      </c>
      <c r="F1145" s="283" t="s">
        <v>1075</v>
      </c>
      <c r="G1145" s="283">
        <v>3</v>
      </c>
      <c r="H1145" s="283">
        <v>0</v>
      </c>
      <c r="I1145" s="283">
        <v>0</v>
      </c>
      <c r="J1145" s="284">
        <v>0</v>
      </c>
    </row>
    <row r="1146" spans="3:10" x14ac:dyDescent="0.25">
      <c r="C1146" s="300" t="s">
        <v>1059</v>
      </c>
      <c r="D1146" s="283" t="s">
        <v>1079</v>
      </c>
      <c r="E1146" s="283" t="s">
        <v>1075</v>
      </c>
      <c r="F1146" s="283" t="s">
        <v>1080</v>
      </c>
      <c r="G1146" s="283">
        <v>2</v>
      </c>
      <c r="H1146" s="283">
        <v>0</v>
      </c>
      <c r="I1146" s="283">
        <v>0</v>
      </c>
      <c r="J1146" s="284">
        <v>0</v>
      </c>
    </row>
    <row r="1147" spans="3:10" x14ac:dyDescent="0.25">
      <c r="C1147" s="300" t="s">
        <v>1061</v>
      </c>
      <c r="D1147" s="283" t="s">
        <v>1079</v>
      </c>
      <c r="E1147" s="283" t="s">
        <v>1089</v>
      </c>
      <c r="F1147" s="283" t="s">
        <v>1089</v>
      </c>
      <c r="G1147" s="283">
        <v>2</v>
      </c>
      <c r="H1147" s="283">
        <v>0</v>
      </c>
      <c r="I1147" s="283">
        <v>0</v>
      </c>
      <c r="J1147" s="284">
        <v>0</v>
      </c>
    </row>
    <row r="1148" spans="3:10" x14ac:dyDescent="0.25">
      <c r="C1148" s="300" t="s">
        <v>1066</v>
      </c>
      <c r="D1148" s="283" t="s">
        <v>1077</v>
      </c>
      <c r="E1148" s="283" t="s">
        <v>1094</v>
      </c>
      <c r="F1148" s="283" t="s">
        <v>1075</v>
      </c>
      <c r="G1148" s="283">
        <v>2</v>
      </c>
      <c r="H1148" s="283">
        <v>0</v>
      </c>
      <c r="I1148" s="283">
        <v>0</v>
      </c>
      <c r="J1148" s="284">
        <v>1</v>
      </c>
    </row>
    <row r="1149" spans="3:10" x14ac:dyDescent="0.25">
      <c r="C1149" s="300" t="s">
        <v>1065</v>
      </c>
      <c r="D1149" s="283" t="s">
        <v>1077</v>
      </c>
      <c r="E1149" s="283" t="s">
        <v>1080</v>
      </c>
      <c r="F1149" s="283" t="s">
        <v>1075</v>
      </c>
      <c r="G1149" s="283">
        <v>4</v>
      </c>
      <c r="H1149" s="283">
        <v>0</v>
      </c>
      <c r="I1149" s="283">
        <v>1</v>
      </c>
      <c r="J1149" s="284">
        <v>1</v>
      </c>
    </row>
    <row r="1150" spans="3:10" x14ac:dyDescent="0.25">
      <c r="C1150" s="300" t="s">
        <v>1067</v>
      </c>
      <c r="D1150" s="283" t="s">
        <v>1090</v>
      </c>
      <c r="E1150" s="283" t="s">
        <v>1083</v>
      </c>
      <c r="F1150" s="283" t="s">
        <v>524</v>
      </c>
      <c r="G1150" s="283">
        <v>2</v>
      </c>
      <c r="H1150" s="283">
        <v>0</v>
      </c>
      <c r="I1150" s="283">
        <v>0</v>
      </c>
      <c r="J1150" s="284">
        <v>1</v>
      </c>
    </row>
    <row r="1151" spans="3:10" x14ac:dyDescent="0.25">
      <c r="C1151" s="300" t="s">
        <v>1062</v>
      </c>
      <c r="D1151" s="283" t="s">
        <v>1079</v>
      </c>
      <c r="E1151" s="283" t="s">
        <v>1083</v>
      </c>
      <c r="F1151" s="283" t="s">
        <v>1075</v>
      </c>
      <c r="G1151" s="283">
        <v>2</v>
      </c>
      <c r="H1151" s="283">
        <v>0</v>
      </c>
      <c r="I1151" s="283">
        <v>0</v>
      </c>
      <c r="J1151" s="284">
        <v>0</v>
      </c>
    </row>
    <row r="1152" spans="3:10" x14ac:dyDescent="0.25">
      <c r="C1152" s="300" t="s">
        <v>1068</v>
      </c>
      <c r="D1152" s="283" t="s">
        <v>1079</v>
      </c>
      <c r="E1152" s="283" t="s">
        <v>1076</v>
      </c>
      <c r="F1152" s="283" t="s">
        <v>1076</v>
      </c>
      <c r="G1152" s="283">
        <v>4</v>
      </c>
      <c r="H1152" s="283">
        <v>0</v>
      </c>
      <c r="I1152" s="283">
        <v>0</v>
      </c>
      <c r="J1152" s="284">
        <v>0</v>
      </c>
    </row>
    <row r="1153" spans="3:10" x14ac:dyDescent="0.25">
      <c r="C1153" s="300" t="s">
        <v>1061</v>
      </c>
      <c r="D1153" s="283" t="s">
        <v>1077</v>
      </c>
      <c r="E1153" s="283" t="s">
        <v>1075</v>
      </c>
      <c r="F1153" s="283" t="s">
        <v>1089</v>
      </c>
      <c r="G1153" s="283">
        <v>3</v>
      </c>
      <c r="H1153" s="283">
        <v>0</v>
      </c>
      <c r="I1153" s="283">
        <v>0</v>
      </c>
      <c r="J1153" s="284">
        <v>0</v>
      </c>
    </row>
    <row r="1154" spans="3:10" x14ac:dyDescent="0.25">
      <c r="C1154" s="300" t="s">
        <v>1065</v>
      </c>
      <c r="D1154" s="283" t="s">
        <v>1074</v>
      </c>
      <c r="E1154" s="283" t="s">
        <v>1085</v>
      </c>
      <c r="F1154" s="283" t="s">
        <v>1078</v>
      </c>
      <c r="G1154" s="283">
        <v>2</v>
      </c>
      <c r="H1154" s="283">
        <v>0</v>
      </c>
      <c r="I1154" s="283">
        <v>0</v>
      </c>
      <c r="J1154" s="284">
        <v>0</v>
      </c>
    </row>
    <row r="1155" spans="3:10" x14ac:dyDescent="0.25">
      <c r="C1155" s="300" t="s">
        <v>1064</v>
      </c>
      <c r="D1155" s="283" t="s">
        <v>1077</v>
      </c>
      <c r="E1155" s="283" t="s">
        <v>1075</v>
      </c>
      <c r="F1155" s="283" t="s">
        <v>1075</v>
      </c>
      <c r="G1155" s="283">
        <v>2</v>
      </c>
      <c r="H1155" s="283">
        <v>0</v>
      </c>
      <c r="I1155" s="283">
        <v>0</v>
      </c>
      <c r="J1155" s="284">
        <v>0</v>
      </c>
    </row>
    <row r="1156" spans="3:10" x14ac:dyDescent="0.25">
      <c r="C1156" s="300" t="s">
        <v>1065</v>
      </c>
      <c r="D1156" s="283" t="s">
        <v>1077</v>
      </c>
      <c r="E1156" s="283" t="s">
        <v>1080</v>
      </c>
      <c r="F1156" s="283" t="s">
        <v>1078</v>
      </c>
      <c r="G1156" s="283">
        <v>3</v>
      </c>
      <c r="H1156" s="283">
        <v>0</v>
      </c>
      <c r="I1156" s="283">
        <v>0</v>
      </c>
      <c r="J1156" s="284">
        <v>0</v>
      </c>
    </row>
    <row r="1157" spans="3:10" x14ac:dyDescent="0.25">
      <c r="C1157" s="300" t="s">
        <v>1065</v>
      </c>
      <c r="D1157" s="283" t="s">
        <v>1077</v>
      </c>
      <c r="E1157" s="283" t="s">
        <v>1089</v>
      </c>
      <c r="F1157" s="283" t="s">
        <v>1075</v>
      </c>
      <c r="G1157" s="283">
        <v>2</v>
      </c>
      <c r="H1157" s="283">
        <v>0</v>
      </c>
      <c r="I1157" s="283">
        <v>0</v>
      </c>
      <c r="J1157" s="284">
        <v>0</v>
      </c>
    </row>
    <row r="1158" spans="3:10" x14ac:dyDescent="0.25">
      <c r="C1158" s="300" t="s">
        <v>1063</v>
      </c>
      <c r="D1158" s="283" t="s">
        <v>1079</v>
      </c>
      <c r="E1158" s="283" t="s">
        <v>1086</v>
      </c>
      <c r="F1158" s="283" t="s">
        <v>1075</v>
      </c>
      <c r="G1158" s="283">
        <v>2</v>
      </c>
      <c r="H1158" s="283">
        <v>0</v>
      </c>
      <c r="I1158" s="283">
        <v>0</v>
      </c>
      <c r="J1158" s="284">
        <v>0</v>
      </c>
    </row>
    <row r="1159" spans="3:10" x14ac:dyDescent="0.25">
      <c r="C1159" s="300" t="s">
        <v>1061</v>
      </c>
      <c r="D1159" s="283" t="s">
        <v>1079</v>
      </c>
      <c r="E1159" s="283" t="s">
        <v>1078</v>
      </c>
      <c r="F1159" s="283" t="s">
        <v>1076</v>
      </c>
      <c r="G1159" s="283">
        <v>2</v>
      </c>
      <c r="H1159" s="283">
        <v>0</v>
      </c>
      <c r="I1159" s="283">
        <v>0</v>
      </c>
      <c r="J1159" s="284">
        <v>0</v>
      </c>
    </row>
    <row r="1160" spans="3:10" x14ac:dyDescent="0.25">
      <c r="C1160" s="300" t="s">
        <v>1061</v>
      </c>
      <c r="D1160" s="283" t="s">
        <v>1079</v>
      </c>
      <c r="E1160" s="283" t="s">
        <v>1075</v>
      </c>
      <c r="F1160" s="283" t="s">
        <v>1089</v>
      </c>
      <c r="G1160" s="283">
        <v>2</v>
      </c>
      <c r="H1160" s="283">
        <v>0</v>
      </c>
      <c r="I1160" s="283">
        <v>0</v>
      </c>
      <c r="J1160" s="284">
        <v>0</v>
      </c>
    </row>
    <row r="1161" spans="3:10" x14ac:dyDescent="0.25">
      <c r="C1161" s="300" t="s">
        <v>1064</v>
      </c>
      <c r="D1161" s="283" t="s">
        <v>1077</v>
      </c>
      <c r="E1161" s="283" t="s">
        <v>1088</v>
      </c>
      <c r="F1161" s="283" t="s">
        <v>1084</v>
      </c>
      <c r="G1161" s="283">
        <v>3</v>
      </c>
      <c r="H1161" s="283">
        <v>0</v>
      </c>
      <c r="I1161" s="283">
        <v>0</v>
      </c>
      <c r="J1161" s="284">
        <v>1</v>
      </c>
    </row>
    <row r="1162" spans="3:10" x14ac:dyDescent="0.25">
      <c r="C1162" s="300" t="s">
        <v>1061</v>
      </c>
      <c r="D1162" s="283" t="s">
        <v>1077</v>
      </c>
      <c r="E1162" s="283" t="s">
        <v>1080</v>
      </c>
      <c r="F1162" s="283" t="s">
        <v>1075</v>
      </c>
      <c r="G1162" s="283">
        <v>2</v>
      </c>
      <c r="H1162" s="283">
        <v>0</v>
      </c>
      <c r="I1162" s="283">
        <v>0</v>
      </c>
      <c r="J1162" s="284">
        <v>0</v>
      </c>
    </row>
    <row r="1163" spans="3:10" x14ac:dyDescent="0.25">
      <c r="C1163" s="300" t="s">
        <v>1065</v>
      </c>
      <c r="D1163" s="283" t="s">
        <v>1079</v>
      </c>
      <c r="E1163" s="283" t="s">
        <v>1089</v>
      </c>
      <c r="F1163" s="283" t="s">
        <v>1075</v>
      </c>
      <c r="G1163" s="283">
        <v>2</v>
      </c>
      <c r="H1163" s="283">
        <v>0</v>
      </c>
      <c r="I1163" s="283">
        <v>0</v>
      </c>
      <c r="J1163" s="284">
        <v>1</v>
      </c>
    </row>
    <row r="1164" spans="3:10" x14ac:dyDescent="0.25">
      <c r="C1164" s="300" t="s">
        <v>1064</v>
      </c>
      <c r="D1164" s="283" t="s">
        <v>1074</v>
      </c>
      <c r="E1164" s="283" t="s">
        <v>1075</v>
      </c>
      <c r="F1164" s="283" t="s">
        <v>1089</v>
      </c>
      <c r="G1164" s="283">
        <v>2</v>
      </c>
      <c r="H1164" s="283">
        <v>0</v>
      </c>
      <c r="I1164" s="283">
        <v>0</v>
      </c>
      <c r="J1164" s="284">
        <v>0</v>
      </c>
    </row>
    <row r="1165" spans="3:10" x14ac:dyDescent="0.25">
      <c r="C1165" s="300" t="s">
        <v>1062</v>
      </c>
      <c r="D1165" s="283" t="s">
        <v>1074</v>
      </c>
      <c r="E1165" s="283" t="s">
        <v>1075</v>
      </c>
      <c r="F1165" s="283" t="s">
        <v>1078</v>
      </c>
      <c r="G1165" s="283">
        <v>2</v>
      </c>
      <c r="H1165" s="283">
        <v>0</v>
      </c>
      <c r="I1165" s="283">
        <v>0</v>
      </c>
      <c r="J1165" s="284">
        <v>0</v>
      </c>
    </row>
    <row r="1166" spans="3:10" x14ac:dyDescent="0.25">
      <c r="C1166" s="300" t="s">
        <v>1060</v>
      </c>
      <c r="D1166" s="283" t="s">
        <v>1079</v>
      </c>
      <c r="E1166" s="283" t="s">
        <v>1075</v>
      </c>
      <c r="F1166" s="283" t="s">
        <v>1076</v>
      </c>
      <c r="G1166" s="283">
        <v>2</v>
      </c>
      <c r="H1166" s="283">
        <v>0</v>
      </c>
      <c r="I1166" s="283">
        <v>2</v>
      </c>
      <c r="J1166" s="284">
        <v>0</v>
      </c>
    </row>
    <row r="1167" spans="3:10" x14ac:dyDescent="0.25">
      <c r="C1167" s="300" t="s">
        <v>1064</v>
      </c>
      <c r="D1167" s="283" t="s">
        <v>1074</v>
      </c>
      <c r="E1167" s="283" t="s">
        <v>1089</v>
      </c>
      <c r="F1167" s="283" t="s">
        <v>1088</v>
      </c>
      <c r="G1167" s="283">
        <v>2</v>
      </c>
      <c r="H1167" s="283">
        <v>0</v>
      </c>
      <c r="I1167" s="283">
        <v>1</v>
      </c>
      <c r="J1167" s="284">
        <v>0</v>
      </c>
    </row>
    <row r="1168" spans="3:10" x14ac:dyDescent="0.25">
      <c r="C1168" s="300" t="s">
        <v>1062</v>
      </c>
      <c r="D1168" s="283" t="s">
        <v>1043</v>
      </c>
      <c r="E1168" s="283" t="s">
        <v>1075</v>
      </c>
      <c r="F1168" s="283" t="s">
        <v>1092</v>
      </c>
      <c r="G1168" s="283">
        <v>2</v>
      </c>
      <c r="H1168" s="283">
        <v>0</v>
      </c>
      <c r="I1168" s="283">
        <v>0</v>
      </c>
      <c r="J1168" s="284">
        <v>0</v>
      </c>
    </row>
    <row r="1169" spans="3:10" x14ac:dyDescent="0.25">
      <c r="C1169" s="300" t="s">
        <v>1059</v>
      </c>
      <c r="D1169" s="283" t="s">
        <v>1079</v>
      </c>
      <c r="E1169" s="283" t="s">
        <v>1084</v>
      </c>
      <c r="F1169" s="283" t="s">
        <v>1081</v>
      </c>
      <c r="G1169" s="283">
        <v>2</v>
      </c>
      <c r="H1169" s="283">
        <v>0</v>
      </c>
      <c r="I1169" s="283">
        <v>0</v>
      </c>
      <c r="J1169" s="284">
        <v>0</v>
      </c>
    </row>
    <row r="1170" spans="3:10" x14ac:dyDescent="0.25">
      <c r="C1170" s="300" t="s">
        <v>1060</v>
      </c>
      <c r="D1170" s="283" t="s">
        <v>1082</v>
      </c>
      <c r="E1170" s="283" t="s">
        <v>1075</v>
      </c>
      <c r="F1170" s="283" t="s">
        <v>1076</v>
      </c>
      <c r="G1170" s="283">
        <v>3</v>
      </c>
      <c r="H1170" s="283">
        <v>0</v>
      </c>
      <c r="I1170" s="283">
        <v>1</v>
      </c>
      <c r="J1170" s="284">
        <v>1</v>
      </c>
    </row>
    <row r="1171" spans="3:10" x14ac:dyDescent="0.25">
      <c r="C1171" s="300" t="s">
        <v>1064</v>
      </c>
      <c r="D1171" s="283" t="s">
        <v>1090</v>
      </c>
      <c r="E1171" s="283" t="s">
        <v>1083</v>
      </c>
      <c r="F1171" s="283" t="s">
        <v>524</v>
      </c>
      <c r="G1171" s="283">
        <v>1</v>
      </c>
      <c r="H1171" s="283">
        <v>0</v>
      </c>
      <c r="I1171" s="283">
        <v>1</v>
      </c>
      <c r="J1171" s="284">
        <v>0</v>
      </c>
    </row>
    <row r="1172" spans="3:10" x14ac:dyDescent="0.25">
      <c r="C1172" s="300" t="s">
        <v>1067</v>
      </c>
      <c r="D1172" s="283" t="s">
        <v>1074</v>
      </c>
      <c r="E1172" s="283" t="s">
        <v>1089</v>
      </c>
      <c r="F1172" s="283" t="s">
        <v>1075</v>
      </c>
      <c r="G1172" s="283">
        <v>2</v>
      </c>
      <c r="H1172" s="283">
        <v>0</v>
      </c>
      <c r="I1172" s="283">
        <v>0</v>
      </c>
      <c r="J1172" s="284">
        <v>0</v>
      </c>
    </row>
    <row r="1173" spans="3:10" x14ac:dyDescent="0.25">
      <c r="C1173" s="300" t="s">
        <v>1061</v>
      </c>
      <c r="D1173" s="283" t="s">
        <v>1043</v>
      </c>
      <c r="E1173" s="283" t="s">
        <v>1089</v>
      </c>
      <c r="F1173" s="283" t="s">
        <v>1092</v>
      </c>
      <c r="G1173" s="283">
        <v>2</v>
      </c>
      <c r="H1173" s="283">
        <v>1</v>
      </c>
      <c r="I1173" s="283">
        <v>0</v>
      </c>
      <c r="J1173" s="284">
        <v>1</v>
      </c>
    </row>
    <row r="1174" spans="3:10" x14ac:dyDescent="0.25">
      <c r="C1174" s="300" t="s">
        <v>1061</v>
      </c>
      <c r="D1174" s="283" t="s">
        <v>1077</v>
      </c>
      <c r="E1174" s="283" t="s">
        <v>1075</v>
      </c>
      <c r="F1174" s="283" t="s">
        <v>1078</v>
      </c>
      <c r="G1174" s="283">
        <v>2</v>
      </c>
      <c r="H1174" s="283">
        <v>0</v>
      </c>
      <c r="I1174" s="283">
        <v>0</v>
      </c>
      <c r="J1174" s="284">
        <v>1</v>
      </c>
    </row>
    <row r="1175" spans="3:10" x14ac:dyDescent="0.25">
      <c r="C1175" s="300" t="s">
        <v>1066</v>
      </c>
      <c r="D1175" s="283" t="s">
        <v>1043</v>
      </c>
      <c r="E1175" s="283" t="s">
        <v>1075</v>
      </c>
      <c r="F1175" s="283" t="s">
        <v>1092</v>
      </c>
      <c r="G1175" s="283">
        <v>2</v>
      </c>
      <c r="H1175" s="283">
        <v>0</v>
      </c>
      <c r="I1175" s="283">
        <v>1</v>
      </c>
      <c r="J1175" s="284">
        <v>0</v>
      </c>
    </row>
    <row r="1176" spans="3:10" x14ac:dyDescent="0.25">
      <c r="C1176" s="300" t="s">
        <v>1064</v>
      </c>
      <c r="D1176" s="283" t="s">
        <v>1087</v>
      </c>
      <c r="E1176" s="283" t="s">
        <v>1094</v>
      </c>
      <c r="F1176" s="283" t="s">
        <v>524</v>
      </c>
      <c r="G1176" s="283">
        <v>1</v>
      </c>
      <c r="H1176" s="283">
        <v>1</v>
      </c>
      <c r="I1176" s="283">
        <v>0</v>
      </c>
      <c r="J1176" s="284">
        <v>0</v>
      </c>
    </row>
    <row r="1177" spans="3:10" x14ac:dyDescent="0.25">
      <c r="C1177" s="300" t="s">
        <v>1061</v>
      </c>
      <c r="D1177" s="283" t="s">
        <v>1043</v>
      </c>
      <c r="E1177" s="283" t="s">
        <v>1075</v>
      </c>
      <c r="F1177" s="283" t="s">
        <v>1092</v>
      </c>
      <c r="G1177" s="283">
        <v>2</v>
      </c>
      <c r="H1177" s="283">
        <v>1</v>
      </c>
      <c r="I1177" s="283">
        <v>0</v>
      </c>
      <c r="J1177" s="284">
        <v>0</v>
      </c>
    </row>
    <row r="1178" spans="3:10" x14ac:dyDescent="0.25">
      <c r="C1178" s="300" t="s">
        <v>1062</v>
      </c>
      <c r="D1178" s="283" t="s">
        <v>1043</v>
      </c>
      <c r="E1178" s="283" t="s">
        <v>1089</v>
      </c>
      <c r="F1178" s="283" t="s">
        <v>1092</v>
      </c>
      <c r="G1178" s="283">
        <v>2</v>
      </c>
      <c r="H1178" s="283">
        <v>1</v>
      </c>
      <c r="I1178" s="283">
        <v>0</v>
      </c>
      <c r="J1178" s="284">
        <v>0</v>
      </c>
    </row>
    <row r="1179" spans="3:10" x14ac:dyDescent="0.25">
      <c r="C1179" s="300" t="s">
        <v>1066</v>
      </c>
      <c r="D1179" s="283" t="s">
        <v>1079</v>
      </c>
      <c r="E1179" s="283" t="s">
        <v>1076</v>
      </c>
      <c r="F1179" s="283" t="s">
        <v>1075</v>
      </c>
      <c r="G1179" s="283">
        <v>2</v>
      </c>
      <c r="H1179" s="283">
        <v>0</v>
      </c>
      <c r="I1179" s="283">
        <v>0</v>
      </c>
      <c r="J1179" s="284">
        <v>0</v>
      </c>
    </row>
    <row r="1180" spans="3:10" x14ac:dyDescent="0.25">
      <c r="C1180" s="300" t="s">
        <v>1061</v>
      </c>
      <c r="D1180" s="283" t="s">
        <v>1079</v>
      </c>
      <c r="E1180" s="283" t="s">
        <v>1089</v>
      </c>
      <c r="F1180" s="283" t="s">
        <v>1075</v>
      </c>
      <c r="G1180" s="283">
        <v>2</v>
      </c>
      <c r="H1180" s="283">
        <v>0</v>
      </c>
      <c r="I1180" s="283">
        <v>0</v>
      </c>
      <c r="J1180" s="284">
        <v>1</v>
      </c>
    </row>
    <row r="1181" spans="3:10" x14ac:dyDescent="0.25">
      <c r="C1181" s="300" t="s">
        <v>1064</v>
      </c>
      <c r="D1181" s="283" t="s">
        <v>1082</v>
      </c>
      <c r="E1181" s="283" t="s">
        <v>1078</v>
      </c>
      <c r="F1181" s="283" t="s">
        <v>1083</v>
      </c>
      <c r="G1181" s="283">
        <v>2</v>
      </c>
      <c r="H1181" s="283">
        <v>0</v>
      </c>
      <c r="I1181" s="283">
        <v>1</v>
      </c>
      <c r="J1181" s="284">
        <v>0</v>
      </c>
    </row>
    <row r="1182" spans="3:10" x14ac:dyDescent="0.25">
      <c r="C1182" s="300" t="s">
        <v>1066</v>
      </c>
      <c r="D1182" s="283" t="s">
        <v>1043</v>
      </c>
      <c r="E1182" s="283" t="s">
        <v>1075</v>
      </c>
      <c r="F1182" s="283" t="s">
        <v>1092</v>
      </c>
      <c r="G1182" s="283">
        <v>2</v>
      </c>
      <c r="H1182" s="283">
        <v>0</v>
      </c>
      <c r="I1182" s="283">
        <v>1</v>
      </c>
      <c r="J1182" s="284">
        <v>1</v>
      </c>
    </row>
    <row r="1183" spans="3:10" x14ac:dyDescent="0.25">
      <c r="C1183" s="300" t="s">
        <v>1060</v>
      </c>
      <c r="D1183" s="283" t="s">
        <v>1077</v>
      </c>
      <c r="E1183" s="283" t="s">
        <v>1075</v>
      </c>
      <c r="F1183" s="283" t="s">
        <v>1089</v>
      </c>
      <c r="G1183" s="283">
        <v>2</v>
      </c>
      <c r="H1183" s="283">
        <v>0</v>
      </c>
      <c r="I1183" s="283">
        <v>0</v>
      </c>
      <c r="J1183" s="284">
        <v>1</v>
      </c>
    </row>
    <row r="1184" spans="3:10" x14ac:dyDescent="0.25">
      <c r="C1184" s="300" t="s">
        <v>1062</v>
      </c>
      <c r="D1184" s="283" t="s">
        <v>1077</v>
      </c>
      <c r="E1184" s="283" t="s">
        <v>1075</v>
      </c>
      <c r="F1184" s="283" t="s">
        <v>1075</v>
      </c>
      <c r="G1184" s="283">
        <v>3</v>
      </c>
      <c r="H1184" s="283">
        <v>0</v>
      </c>
      <c r="I1184" s="283">
        <v>0</v>
      </c>
      <c r="J1184" s="284">
        <v>0</v>
      </c>
    </row>
    <row r="1185" spans="3:10" x14ac:dyDescent="0.25">
      <c r="C1185" s="300" t="s">
        <v>1061</v>
      </c>
      <c r="D1185" s="283" t="s">
        <v>1087</v>
      </c>
      <c r="E1185" s="283" t="s">
        <v>1089</v>
      </c>
      <c r="F1185" s="283" t="s">
        <v>524</v>
      </c>
      <c r="G1185" s="283">
        <v>1</v>
      </c>
      <c r="H1185" s="283">
        <v>0</v>
      </c>
      <c r="I1185" s="283">
        <v>0</v>
      </c>
      <c r="J1185" s="284">
        <v>0</v>
      </c>
    </row>
    <row r="1186" spans="3:10" x14ac:dyDescent="0.25">
      <c r="C1186" s="300" t="s">
        <v>1066</v>
      </c>
      <c r="D1186" s="283" t="s">
        <v>1043</v>
      </c>
      <c r="E1186" s="283" t="s">
        <v>1089</v>
      </c>
      <c r="F1186" s="283" t="s">
        <v>1092</v>
      </c>
      <c r="G1186" s="283">
        <v>2</v>
      </c>
      <c r="H1186" s="283">
        <v>0</v>
      </c>
      <c r="I1186" s="283">
        <v>0</v>
      </c>
      <c r="J1186" s="284">
        <v>1</v>
      </c>
    </row>
    <row r="1187" spans="3:10" x14ac:dyDescent="0.25">
      <c r="C1187" s="300" t="s">
        <v>1064</v>
      </c>
      <c r="D1187" s="283" t="s">
        <v>1079</v>
      </c>
      <c r="E1187" s="283" t="s">
        <v>1086</v>
      </c>
      <c r="F1187" s="283" t="s">
        <v>1083</v>
      </c>
      <c r="G1187" s="283">
        <v>2</v>
      </c>
      <c r="H1187" s="283">
        <v>0</v>
      </c>
      <c r="I1187" s="283">
        <v>0</v>
      </c>
      <c r="J1187" s="284">
        <v>0</v>
      </c>
    </row>
    <row r="1188" spans="3:10" x14ac:dyDescent="0.25">
      <c r="C1188" s="300" t="s">
        <v>1061</v>
      </c>
      <c r="D1188" s="283" t="s">
        <v>1077</v>
      </c>
      <c r="E1188" s="283" t="s">
        <v>1044</v>
      </c>
      <c r="F1188" s="283" t="s">
        <v>1089</v>
      </c>
      <c r="G1188" s="283">
        <v>2</v>
      </c>
      <c r="H1188" s="283">
        <v>0</v>
      </c>
      <c r="I1188" s="283">
        <v>1</v>
      </c>
      <c r="J1188" s="284">
        <v>0</v>
      </c>
    </row>
    <row r="1189" spans="3:10" x14ac:dyDescent="0.25">
      <c r="C1189" s="300" t="s">
        <v>1067</v>
      </c>
      <c r="D1189" s="283" t="s">
        <v>1079</v>
      </c>
      <c r="E1189" s="283" t="s">
        <v>1089</v>
      </c>
      <c r="F1189" s="283" t="s">
        <v>1083</v>
      </c>
      <c r="G1189" s="283">
        <v>3</v>
      </c>
      <c r="H1189" s="283">
        <v>0</v>
      </c>
      <c r="I1189" s="283">
        <v>1</v>
      </c>
      <c r="J1189" s="284">
        <v>0</v>
      </c>
    </row>
    <row r="1190" spans="3:10" x14ac:dyDescent="0.25">
      <c r="C1190" s="300" t="s">
        <v>1060</v>
      </c>
      <c r="D1190" s="283" t="s">
        <v>1077</v>
      </c>
      <c r="E1190" s="283" t="s">
        <v>1089</v>
      </c>
      <c r="F1190" s="283" t="s">
        <v>1075</v>
      </c>
      <c r="G1190" s="283">
        <v>3</v>
      </c>
      <c r="H1190" s="283">
        <v>0</v>
      </c>
      <c r="I1190" s="283">
        <v>0</v>
      </c>
      <c r="J1190" s="284">
        <v>0</v>
      </c>
    </row>
    <row r="1191" spans="3:10" x14ac:dyDescent="0.25">
      <c r="C1191" s="300" t="s">
        <v>1065</v>
      </c>
      <c r="D1191" s="283" t="s">
        <v>1079</v>
      </c>
      <c r="E1191" s="283" t="s">
        <v>1075</v>
      </c>
      <c r="F1191" s="283" t="s">
        <v>1075</v>
      </c>
      <c r="G1191" s="283">
        <v>2</v>
      </c>
      <c r="H1191" s="283">
        <v>0</v>
      </c>
      <c r="I1191" s="283">
        <v>0</v>
      </c>
      <c r="J1191" s="284">
        <v>1</v>
      </c>
    </row>
    <row r="1192" spans="3:10" x14ac:dyDescent="0.25">
      <c r="C1192" s="300" t="s">
        <v>1062</v>
      </c>
      <c r="D1192" s="283" t="s">
        <v>1077</v>
      </c>
      <c r="E1192" s="283" t="s">
        <v>1075</v>
      </c>
      <c r="F1192" s="283" t="s">
        <v>1075</v>
      </c>
      <c r="G1192" s="283">
        <v>2</v>
      </c>
      <c r="H1192" s="283">
        <v>0</v>
      </c>
      <c r="I1192" s="283">
        <v>0</v>
      </c>
      <c r="J1192" s="284">
        <v>1</v>
      </c>
    </row>
    <row r="1193" spans="3:10" x14ac:dyDescent="0.25">
      <c r="C1193" s="300" t="s">
        <v>1061</v>
      </c>
      <c r="D1193" s="283" t="s">
        <v>1090</v>
      </c>
      <c r="E1193" s="283" t="s">
        <v>1076</v>
      </c>
      <c r="F1193" s="283" t="s">
        <v>524</v>
      </c>
      <c r="G1193" s="283">
        <v>1</v>
      </c>
      <c r="H1193" s="283">
        <v>0</v>
      </c>
      <c r="I1193" s="283">
        <v>0</v>
      </c>
      <c r="J1193" s="284">
        <v>0</v>
      </c>
    </row>
    <row r="1194" spans="3:10" x14ac:dyDescent="0.25">
      <c r="C1194" s="300" t="s">
        <v>1068</v>
      </c>
      <c r="D1194" s="283" t="s">
        <v>1074</v>
      </c>
      <c r="E1194" s="283" t="s">
        <v>1075</v>
      </c>
      <c r="F1194" s="283" t="s">
        <v>1075</v>
      </c>
      <c r="G1194" s="283">
        <v>2</v>
      </c>
      <c r="H1194" s="283">
        <v>0</v>
      </c>
      <c r="I1194" s="283">
        <v>1</v>
      </c>
      <c r="J1194" s="284">
        <v>2</v>
      </c>
    </row>
    <row r="1195" spans="3:10" x14ac:dyDescent="0.25">
      <c r="C1195" s="300" t="s">
        <v>1065</v>
      </c>
      <c r="D1195" s="283" t="s">
        <v>1043</v>
      </c>
      <c r="E1195" s="283" t="s">
        <v>1075</v>
      </c>
      <c r="F1195" s="283" t="s">
        <v>1092</v>
      </c>
      <c r="G1195" s="283">
        <v>2</v>
      </c>
      <c r="H1195" s="283">
        <v>0</v>
      </c>
      <c r="I1195" s="283">
        <v>0</v>
      </c>
      <c r="J1195" s="284">
        <v>1</v>
      </c>
    </row>
    <row r="1196" spans="3:10" x14ac:dyDescent="0.25">
      <c r="C1196" s="300" t="s">
        <v>1066</v>
      </c>
      <c r="D1196" s="283" t="s">
        <v>1079</v>
      </c>
      <c r="E1196" s="283" t="s">
        <v>1075</v>
      </c>
      <c r="F1196" s="283" t="s">
        <v>1075</v>
      </c>
      <c r="G1196" s="283">
        <v>2</v>
      </c>
      <c r="H1196" s="283">
        <v>0</v>
      </c>
      <c r="I1196" s="283">
        <v>0</v>
      </c>
      <c r="J1196" s="284">
        <v>0</v>
      </c>
    </row>
    <row r="1197" spans="3:10" x14ac:dyDescent="0.25">
      <c r="C1197" s="300" t="s">
        <v>1062</v>
      </c>
      <c r="D1197" s="283" t="s">
        <v>1090</v>
      </c>
      <c r="E1197" s="283" t="s">
        <v>1083</v>
      </c>
      <c r="F1197" s="283" t="s">
        <v>524</v>
      </c>
      <c r="G1197" s="283">
        <v>1</v>
      </c>
      <c r="H1197" s="283">
        <v>0</v>
      </c>
      <c r="I1197" s="283">
        <v>0</v>
      </c>
      <c r="J1197" s="284">
        <v>0</v>
      </c>
    </row>
    <row r="1198" spans="3:10" x14ac:dyDescent="0.25">
      <c r="C1198" s="300" t="s">
        <v>1064</v>
      </c>
      <c r="D1198" s="283" t="s">
        <v>1074</v>
      </c>
      <c r="E1198" s="283" t="s">
        <v>1094</v>
      </c>
      <c r="F1198" s="283" t="s">
        <v>1075</v>
      </c>
      <c r="G1198" s="283">
        <v>2</v>
      </c>
      <c r="H1198" s="283">
        <v>0</v>
      </c>
      <c r="I1198" s="283">
        <v>1</v>
      </c>
      <c r="J1198" s="284">
        <v>0</v>
      </c>
    </row>
    <row r="1199" spans="3:10" x14ac:dyDescent="0.25">
      <c r="C1199" s="300" t="s">
        <v>1065</v>
      </c>
      <c r="D1199" s="283" t="s">
        <v>1074</v>
      </c>
      <c r="E1199" s="283" t="s">
        <v>1089</v>
      </c>
      <c r="F1199" s="283" t="s">
        <v>1089</v>
      </c>
      <c r="G1199" s="283">
        <v>2</v>
      </c>
      <c r="H1199" s="283">
        <v>0</v>
      </c>
      <c r="I1199" s="283">
        <v>0</v>
      </c>
      <c r="J1199" s="284">
        <v>0</v>
      </c>
    </row>
    <row r="1200" spans="3:10" x14ac:dyDescent="0.25">
      <c r="C1200" s="300" t="s">
        <v>1065</v>
      </c>
      <c r="D1200" s="283" t="s">
        <v>1077</v>
      </c>
      <c r="E1200" s="283" t="s">
        <v>1076</v>
      </c>
      <c r="F1200" s="283" t="s">
        <v>1075</v>
      </c>
      <c r="G1200" s="283">
        <v>2</v>
      </c>
      <c r="H1200" s="283">
        <v>0</v>
      </c>
      <c r="I1200" s="283">
        <v>0</v>
      </c>
      <c r="J1200" s="284">
        <v>1</v>
      </c>
    </row>
    <row r="1201" spans="3:10" x14ac:dyDescent="0.25">
      <c r="C1201" s="300" t="s">
        <v>1064</v>
      </c>
      <c r="D1201" s="283" t="s">
        <v>1079</v>
      </c>
      <c r="E1201" s="283" t="s">
        <v>1089</v>
      </c>
      <c r="F1201" s="283" t="s">
        <v>1075</v>
      </c>
      <c r="G1201" s="283">
        <v>2</v>
      </c>
      <c r="H1201" s="283">
        <v>0</v>
      </c>
      <c r="I1201" s="283">
        <v>0</v>
      </c>
      <c r="J1201" s="284">
        <v>0</v>
      </c>
    </row>
    <row r="1202" spans="3:10" x14ac:dyDescent="0.25">
      <c r="C1202" s="300" t="s">
        <v>1062</v>
      </c>
      <c r="D1202" s="283" t="s">
        <v>1074</v>
      </c>
      <c r="E1202" s="283" t="s">
        <v>1075</v>
      </c>
      <c r="F1202" s="283" t="s">
        <v>1078</v>
      </c>
      <c r="G1202" s="283">
        <v>2</v>
      </c>
      <c r="H1202" s="283">
        <v>0</v>
      </c>
      <c r="I1202" s="283">
        <v>0</v>
      </c>
      <c r="J1202" s="284">
        <v>0</v>
      </c>
    </row>
    <row r="1203" spans="3:10" x14ac:dyDescent="0.25">
      <c r="C1203" s="300" t="s">
        <v>1064</v>
      </c>
      <c r="D1203" s="283" t="s">
        <v>1079</v>
      </c>
      <c r="E1203" s="283" t="s">
        <v>1089</v>
      </c>
      <c r="F1203" s="283" t="s">
        <v>1076</v>
      </c>
      <c r="G1203" s="283">
        <v>2</v>
      </c>
      <c r="H1203" s="283">
        <v>0</v>
      </c>
      <c r="I1203" s="283">
        <v>0</v>
      </c>
      <c r="J1203" s="284">
        <v>0</v>
      </c>
    </row>
    <row r="1204" spans="3:10" x14ac:dyDescent="0.25">
      <c r="C1204" s="300" t="s">
        <v>1065</v>
      </c>
      <c r="D1204" s="283" t="s">
        <v>1077</v>
      </c>
      <c r="E1204" s="283" t="s">
        <v>1084</v>
      </c>
      <c r="F1204" s="283" t="s">
        <v>1075</v>
      </c>
      <c r="G1204" s="283">
        <v>2</v>
      </c>
      <c r="H1204" s="283">
        <v>0</v>
      </c>
      <c r="I1204" s="283">
        <v>0</v>
      </c>
      <c r="J1204" s="284">
        <v>0</v>
      </c>
    </row>
    <row r="1205" spans="3:10" x14ac:dyDescent="0.25">
      <c r="C1205" s="300" t="s">
        <v>1061</v>
      </c>
      <c r="D1205" s="283" t="s">
        <v>1074</v>
      </c>
      <c r="E1205" s="283" t="s">
        <v>1089</v>
      </c>
      <c r="F1205" s="283" t="s">
        <v>1075</v>
      </c>
      <c r="G1205" s="283">
        <v>2</v>
      </c>
      <c r="H1205" s="283">
        <v>0</v>
      </c>
      <c r="I1205" s="283">
        <v>0</v>
      </c>
      <c r="J1205" s="284">
        <v>0</v>
      </c>
    </row>
    <row r="1206" spans="3:10" x14ac:dyDescent="0.25">
      <c r="C1206" s="300" t="s">
        <v>1066</v>
      </c>
      <c r="D1206" s="283" t="s">
        <v>1082</v>
      </c>
      <c r="E1206" s="283" t="s">
        <v>1089</v>
      </c>
      <c r="F1206" s="283" t="s">
        <v>1078</v>
      </c>
      <c r="G1206" s="283">
        <v>2</v>
      </c>
      <c r="H1206" s="283">
        <v>0</v>
      </c>
      <c r="I1206" s="283">
        <v>0</v>
      </c>
      <c r="J1206" s="284">
        <v>0</v>
      </c>
    </row>
    <row r="1207" spans="3:10" x14ac:dyDescent="0.25">
      <c r="C1207" s="300" t="s">
        <v>1065</v>
      </c>
      <c r="D1207" s="283" t="s">
        <v>1074</v>
      </c>
      <c r="E1207" s="283" t="s">
        <v>1089</v>
      </c>
      <c r="F1207" s="283" t="s">
        <v>1084</v>
      </c>
      <c r="G1207" s="283">
        <v>2</v>
      </c>
      <c r="H1207" s="283">
        <v>0</v>
      </c>
      <c r="I1207" s="283">
        <v>0</v>
      </c>
      <c r="J1207" s="284">
        <v>0</v>
      </c>
    </row>
    <row r="1208" spans="3:10" x14ac:dyDescent="0.25">
      <c r="C1208" s="300" t="s">
        <v>1066</v>
      </c>
      <c r="D1208" s="283" t="s">
        <v>1079</v>
      </c>
      <c r="E1208" s="283" t="s">
        <v>1075</v>
      </c>
      <c r="F1208" s="283" t="s">
        <v>1075</v>
      </c>
      <c r="G1208" s="283">
        <v>2</v>
      </c>
      <c r="H1208" s="283">
        <v>0</v>
      </c>
      <c r="I1208" s="283">
        <v>0</v>
      </c>
      <c r="J1208" s="284">
        <v>0</v>
      </c>
    </row>
    <row r="1209" spans="3:10" x14ac:dyDescent="0.25">
      <c r="C1209" s="300" t="s">
        <v>1061</v>
      </c>
      <c r="D1209" s="283" t="s">
        <v>1077</v>
      </c>
      <c r="E1209" s="283" t="s">
        <v>1075</v>
      </c>
      <c r="F1209" s="283" t="s">
        <v>1075</v>
      </c>
      <c r="G1209" s="283">
        <v>3</v>
      </c>
      <c r="H1209" s="283">
        <v>0</v>
      </c>
      <c r="I1209" s="283">
        <v>0</v>
      </c>
      <c r="J1209" s="284">
        <v>0</v>
      </c>
    </row>
    <row r="1210" spans="3:10" x14ac:dyDescent="0.25">
      <c r="C1210" s="300" t="s">
        <v>1061</v>
      </c>
      <c r="D1210" s="283" t="s">
        <v>1079</v>
      </c>
      <c r="E1210" s="283" t="s">
        <v>1075</v>
      </c>
      <c r="F1210" s="283" t="s">
        <v>1089</v>
      </c>
      <c r="G1210" s="283">
        <v>2</v>
      </c>
      <c r="H1210" s="283">
        <v>0</v>
      </c>
      <c r="I1210" s="283">
        <v>0</v>
      </c>
      <c r="J1210" s="284">
        <v>0</v>
      </c>
    </row>
    <row r="1211" spans="3:10" x14ac:dyDescent="0.25">
      <c r="C1211" s="300" t="s">
        <v>1061</v>
      </c>
      <c r="D1211" s="283" t="s">
        <v>1074</v>
      </c>
      <c r="E1211" s="283" t="s">
        <v>1076</v>
      </c>
      <c r="F1211" s="283" t="s">
        <v>1089</v>
      </c>
      <c r="G1211" s="283">
        <v>2</v>
      </c>
      <c r="H1211" s="283">
        <v>0</v>
      </c>
      <c r="I1211" s="283">
        <v>0</v>
      </c>
      <c r="J1211" s="284">
        <v>0</v>
      </c>
    </row>
    <row r="1212" spans="3:10" x14ac:dyDescent="0.25">
      <c r="C1212" s="300" t="s">
        <v>1065</v>
      </c>
      <c r="D1212" s="283" t="s">
        <v>1079</v>
      </c>
      <c r="E1212" s="283" t="s">
        <v>1089</v>
      </c>
      <c r="F1212" s="283" t="s">
        <v>1075</v>
      </c>
      <c r="G1212" s="283">
        <v>2</v>
      </c>
      <c r="H1212" s="283">
        <v>0</v>
      </c>
      <c r="I1212" s="283">
        <v>0</v>
      </c>
      <c r="J1212" s="284">
        <v>1</v>
      </c>
    </row>
    <row r="1213" spans="3:10" x14ac:dyDescent="0.25">
      <c r="C1213" s="300" t="s">
        <v>1064</v>
      </c>
      <c r="D1213" s="283" t="s">
        <v>1077</v>
      </c>
      <c r="E1213" s="283" t="s">
        <v>1078</v>
      </c>
      <c r="F1213" s="283" t="s">
        <v>1089</v>
      </c>
      <c r="G1213" s="283">
        <v>2</v>
      </c>
      <c r="H1213" s="283">
        <v>0</v>
      </c>
      <c r="I1213" s="283">
        <v>0</v>
      </c>
      <c r="J1213" s="284">
        <v>0</v>
      </c>
    </row>
    <row r="1214" spans="3:10" x14ac:dyDescent="0.25">
      <c r="C1214" s="300" t="s">
        <v>1065</v>
      </c>
      <c r="D1214" s="283" t="s">
        <v>1077</v>
      </c>
      <c r="E1214" s="283" t="s">
        <v>1080</v>
      </c>
      <c r="F1214" s="283" t="s">
        <v>1078</v>
      </c>
      <c r="G1214" s="283">
        <v>2</v>
      </c>
      <c r="H1214" s="283">
        <v>0</v>
      </c>
      <c r="I1214" s="283">
        <v>0</v>
      </c>
      <c r="J1214" s="284">
        <v>0</v>
      </c>
    </row>
    <row r="1215" spans="3:10" x14ac:dyDescent="0.25">
      <c r="C1215" s="300" t="s">
        <v>1061</v>
      </c>
      <c r="D1215" s="283" t="s">
        <v>1079</v>
      </c>
      <c r="E1215" s="283" t="s">
        <v>1081</v>
      </c>
      <c r="F1215" s="283" t="s">
        <v>1089</v>
      </c>
      <c r="G1215" s="283">
        <v>2</v>
      </c>
      <c r="H1215" s="283">
        <v>0</v>
      </c>
      <c r="I1215" s="283">
        <v>0</v>
      </c>
      <c r="J1215" s="284">
        <v>0</v>
      </c>
    </row>
    <row r="1216" spans="3:10" x14ac:dyDescent="0.25">
      <c r="C1216" s="300" t="s">
        <v>1061</v>
      </c>
      <c r="D1216" s="283" t="s">
        <v>1087</v>
      </c>
      <c r="E1216" s="283" t="s">
        <v>1075</v>
      </c>
      <c r="F1216" s="283" t="s">
        <v>524</v>
      </c>
      <c r="G1216" s="283">
        <v>1</v>
      </c>
      <c r="H1216" s="283">
        <v>0</v>
      </c>
      <c r="I1216" s="283">
        <v>0</v>
      </c>
      <c r="J1216" s="284">
        <v>1</v>
      </c>
    </row>
    <row r="1217" spans="3:10" x14ac:dyDescent="0.25">
      <c r="C1217" s="300" t="s">
        <v>1066</v>
      </c>
      <c r="D1217" s="283" t="s">
        <v>1077</v>
      </c>
      <c r="E1217" s="283" t="s">
        <v>1089</v>
      </c>
      <c r="F1217" s="283" t="s">
        <v>1075</v>
      </c>
      <c r="G1217" s="283">
        <v>3</v>
      </c>
      <c r="H1217" s="283">
        <v>0</v>
      </c>
      <c r="I1217" s="283">
        <v>0</v>
      </c>
      <c r="J1217" s="284">
        <v>0</v>
      </c>
    </row>
    <row r="1218" spans="3:10" x14ac:dyDescent="0.25">
      <c r="C1218" s="300" t="s">
        <v>1061</v>
      </c>
      <c r="D1218" s="283" t="s">
        <v>1079</v>
      </c>
      <c r="E1218" s="283" t="s">
        <v>1075</v>
      </c>
      <c r="F1218" s="283" t="s">
        <v>1075</v>
      </c>
      <c r="G1218" s="283">
        <v>2</v>
      </c>
      <c r="H1218" s="283">
        <v>0</v>
      </c>
      <c r="I1218" s="283">
        <v>0</v>
      </c>
      <c r="J1218" s="284">
        <v>0</v>
      </c>
    </row>
    <row r="1219" spans="3:10" x14ac:dyDescent="0.25">
      <c r="C1219" s="300" t="s">
        <v>1064</v>
      </c>
      <c r="D1219" s="283" t="s">
        <v>1079</v>
      </c>
      <c r="E1219" s="283" t="s">
        <v>1076</v>
      </c>
      <c r="F1219" s="283" t="s">
        <v>1078</v>
      </c>
      <c r="G1219" s="283">
        <v>2</v>
      </c>
      <c r="H1219" s="283">
        <v>0</v>
      </c>
      <c r="I1219" s="283">
        <v>0</v>
      </c>
      <c r="J1219" s="284">
        <v>0</v>
      </c>
    </row>
    <row r="1220" spans="3:10" x14ac:dyDescent="0.25">
      <c r="C1220" s="300" t="s">
        <v>1065</v>
      </c>
      <c r="D1220" s="283" t="s">
        <v>1077</v>
      </c>
      <c r="E1220" s="283" t="s">
        <v>1075</v>
      </c>
      <c r="F1220" s="283" t="s">
        <v>1078</v>
      </c>
      <c r="G1220" s="283">
        <v>2</v>
      </c>
      <c r="H1220" s="283">
        <v>0</v>
      </c>
      <c r="I1220" s="283">
        <v>0</v>
      </c>
      <c r="J1220" s="284">
        <v>0</v>
      </c>
    </row>
    <row r="1221" spans="3:10" x14ac:dyDescent="0.25">
      <c r="C1221" s="300" t="s">
        <v>1062</v>
      </c>
      <c r="D1221" s="283" t="s">
        <v>1077</v>
      </c>
      <c r="E1221" s="283" t="s">
        <v>1076</v>
      </c>
      <c r="F1221" s="283" t="s">
        <v>1075</v>
      </c>
      <c r="G1221" s="283">
        <v>2</v>
      </c>
      <c r="H1221" s="283">
        <v>0</v>
      </c>
      <c r="I1221" s="283">
        <v>0</v>
      </c>
      <c r="J1221" s="284">
        <v>0</v>
      </c>
    </row>
    <row r="1222" spans="3:10" x14ac:dyDescent="0.25">
      <c r="C1222" s="300" t="s">
        <v>1061</v>
      </c>
      <c r="D1222" s="283" t="s">
        <v>1079</v>
      </c>
      <c r="E1222" s="283" t="s">
        <v>1075</v>
      </c>
      <c r="F1222" s="283" t="s">
        <v>1075</v>
      </c>
      <c r="G1222" s="283">
        <v>2</v>
      </c>
      <c r="H1222" s="283">
        <v>0</v>
      </c>
      <c r="I1222" s="283">
        <v>0</v>
      </c>
      <c r="J1222" s="284">
        <v>0</v>
      </c>
    </row>
    <row r="1223" spans="3:10" x14ac:dyDescent="0.25">
      <c r="C1223" s="300" t="s">
        <v>1061</v>
      </c>
      <c r="D1223" s="283" t="s">
        <v>1077</v>
      </c>
      <c r="E1223" s="283" t="s">
        <v>1075</v>
      </c>
      <c r="F1223" s="283" t="s">
        <v>1089</v>
      </c>
      <c r="G1223" s="283">
        <v>3</v>
      </c>
      <c r="H1223" s="283">
        <v>0</v>
      </c>
      <c r="I1223" s="283">
        <v>0</v>
      </c>
      <c r="J1223" s="284">
        <v>0</v>
      </c>
    </row>
    <row r="1224" spans="3:10" x14ac:dyDescent="0.25">
      <c r="C1224" s="300" t="s">
        <v>1061</v>
      </c>
      <c r="D1224" s="283" t="s">
        <v>1079</v>
      </c>
      <c r="E1224" s="283" t="s">
        <v>1075</v>
      </c>
      <c r="F1224" s="283" t="s">
        <v>1075</v>
      </c>
      <c r="G1224" s="283">
        <v>2</v>
      </c>
      <c r="H1224" s="283">
        <v>0</v>
      </c>
      <c r="I1224" s="283">
        <v>0</v>
      </c>
      <c r="J1224" s="284">
        <v>0</v>
      </c>
    </row>
    <row r="1225" spans="3:10" x14ac:dyDescent="0.25">
      <c r="C1225" s="300" t="s">
        <v>1061</v>
      </c>
      <c r="D1225" s="283" t="s">
        <v>1077</v>
      </c>
      <c r="E1225" s="283" t="s">
        <v>1075</v>
      </c>
      <c r="F1225" s="283" t="s">
        <v>1075</v>
      </c>
      <c r="G1225" s="283">
        <v>2</v>
      </c>
      <c r="H1225" s="283">
        <v>0</v>
      </c>
      <c r="I1225" s="283">
        <v>0</v>
      </c>
      <c r="J1225" s="284">
        <v>0</v>
      </c>
    </row>
    <row r="1226" spans="3:10" x14ac:dyDescent="0.25">
      <c r="C1226" s="300" t="s">
        <v>1065</v>
      </c>
      <c r="D1226" s="283" t="s">
        <v>1077</v>
      </c>
      <c r="E1226" s="283" t="s">
        <v>1084</v>
      </c>
      <c r="F1226" s="283" t="s">
        <v>1075</v>
      </c>
      <c r="G1226" s="283">
        <v>2</v>
      </c>
      <c r="H1226" s="283">
        <v>0</v>
      </c>
      <c r="I1226" s="283">
        <v>0</v>
      </c>
      <c r="J1226" s="284">
        <v>0</v>
      </c>
    </row>
    <row r="1227" spans="3:10" x14ac:dyDescent="0.25">
      <c r="C1227" s="300" t="s">
        <v>1061</v>
      </c>
      <c r="D1227" s="283" t="s">
        <v>1079</v>
      </c>
      <c r="E1227" s="283" t="s">
        <v>1075</v>
      </c>
      <c r="F1227" s="283" t="s">
        <v>1089</v>
      </c>
      <c r="G1227" s="283">
        <v>2</v>
      </c>
      <c r="H1227" s="283">
        <v>0</v>
      </c>
      <c r="I1227" s="283">
        <v>0</v>
      </c>
      <c r="J1227" s="284">
        <v>0</v>
      </c>
    </row>
    <row r="1228" spans="3:10" x14ac:dyDescent="0.25">
      <c r="C1228" s="300" t="s">
        <v>1064</v>
      </c>
      <c r="D1228" s="283" t="s">
        <v>1090</v>
      </c>
      <c r="E1228" s="283" t="s">
        <v>1083</v>
      </c>
      <c r="F1228" s="283" t="s">
        <v>524</v>
      </c>
      <c r="G1228" s="283">
        <v>1</v>
      </c>
      <c r="H1228" s="283">
        <v>0</v>
      </c>
      <c r="I1228" s="283">
        <v>0</v>
      </c>
      <c r="J1228" s="284">
        <v>1</v>
      </c>
    </row>
    <row r="1229" spans="3:10" x14ac:dyDescent="0.25">
      <c r="C1229" s="300" t="s">
        <v>1064</v>
      </c>
      <c r="D1229" s="283" t="s">
        <v>1090</v>
      </c>
      <c r="E1229" s="283" t="s">
        <v>1081</v>
      </c>
      <c r="F1229" s="283" t="s">
        <v>524</v>
      </c>
      <c r="G1229" s="283">
        <v>1</v>
      </c>
      <c r="H1229" s="283">
        <v>0</v>
      </c>
      <c r="I1229" s="283">
        <v>0</v>
      </c>
      <c r="J1229" s="284">
        <v>1</v>
      </c>
    </row>
    <row r="1230" spans="3:10" x14ac:dyDescent="0.25">
      <c r="C1230" s="300" t="s">
        <v>1063</v>
      </c>
      <c r="D1230" s="283" t="s">
        <v>1079</v>
      </c>
      <c r="E1230" s="283" t="s">
        <v>1044</v>
      </c>
      <c r="F1230" s="283" t="s">
        <v>1075</v>
      </c>
      <c r="G1230" s="283">
        <v>2</v>
      </c>
      <c r="H1230" s="283">
        <v>0</v>
      </c>
      <c r="I1230" s="283">
        <v>1</v>
      </c>
      <c r="J1230" s="284">
        <v>0</v>
      </c>
    </row>
    <row r="1231" spans="3:10" x14ac:dyDescent="0.25">
      <c r="C1231" s="300" t="s">
        <v>1067</v>
      </c>
      <c r="D1231" s="283" t="s">
        <v>1043</v>
      </c>
      <c r="E1231" s="283" t="s">
        <v>1075</v>
      </c>
      <c r="F1231" s="283" t="s">
        <v>1092</v>
      </c>
      <c r="G1231" s="283">
        <v>2</v>
      </c>
      <c r="H1231" s="283">
        <v>0</v>
      </c>
      <c r="I1231" s="283">
        <v>0</v>
      </c>
      <c r="J1231" s="284">
        <v>1</v>
      </c>
    </row>
    <row r="1232" spans="3:10" x14ac:dyDescent="0.25">
      <c r="C1232" s="300" t="s">
        <v>1063</v>
      </c>
      <c r="D1232" s="283" t="s">
        <v>1079</v>
      </c>
      <c r="E1232" s="283" t="s">
        <v>1075</v>
      </c>
      <c r="F1232" s="283" t="s">
        <v>1080</v>
      </c>
      <c r="G1232" s="283">
        <v>3</v>
      </c>
      <c r="H1232" s="283">
        <v>0</v>
      </c>
      <c r="I1232" s="283">
        <v>0</v>
      </c>
      <c r="J1232" s="284">
        <v>1</v>
      </c>
    </row>
    <row r="1233" spans="3:10" x14ac:dyDescent="0.25">
      <c r="C1233" s="300" t="s">
        <v>1064</v>
      </c>
      <c r="D1233" s="283" t="s">
        <v>1074</v>
      </c>
      <c r="E1233" s="283" t="s">
        <v>1075</v>
      </c>
      <c r="F1233" s="283" t="s">
        <v>1075</v>
      </c>
      <c r="G1233" s="283">
        <v>3</v>
      </c>
      <c r="H1233" s="283">
        <v>0</v>
      </c>
      <c r="I1233" s="283">
        <v>2</v>
      </c>
      <c r="J1233" s="284">
        <v>0</v>
      </c>
    </row>
    <row r="1234" spans="3:10" x14ac:dyDescent="0.25">
      <c r="C1234" s="300" t="s">
        <v>1058</v>
      </c>
      <c r="D1234" s="283" t="s">
        <v>1087</v>
      </c>
      <c r="E1234" s="283" t="s">
        <v>1094</v>
      </c>
      <c r="F1234" s="283" t="s">
        <v>524</v>
      </c>
      <c r="G1234" s="283">
        <v>1</v>
      </c>
      <c r="H1234" s="283">
        <v>0</v>
      </c>
      <c r="I1234" s="283">
        <v>0</v>
      </c>
      <c r="J1234" s="284">
        <v>0</v>
      </c>
    </row>
    <row r="1235" spans="3:10" x14ac:dyDescent="0.25">
      <c r="C1235" s="300" t="s">
        <v>1067</v>
      </c>
      <c r="D1235" s="283" t="s">
        <v>1087</v>
      </c>
      <c r="E1235" s="283" t="s">
        <v>1075</v>
      </c>
      <c r="F1235" s="283" t="s">
        <v>524</v>
      </c>
      <c r="G1235" s="283">
        <v>1</v>
      </c>
      <c r="H1235" s="283">
        <v>0</v>
      </c>
      <c r="I1235" s="283">
        <v>1</v>
      </c>
      <c r="J1235" s="284">
        <v>3</v>
      </c>
    </row>
    <row r="1236" spans="3:10" x14ac:dyDescent="0.25">
      <c r="C1236" s="300" t="s">
        <v>1065</v>
      </c>
      <c r="D1236" s="283" t="s">
        <v>1090</v>
      </c>
      <c r="E1236" s="283" t="s">
        <v>1083</v>
      </c>
      <c r="F1236" s="283" t="s">
        <v>524</v>
      </c>
      <c r="G1236" s="283">
        <v>1</v>
      </c>
      <c r="H1236" s="283">
        <v>0</v>
      </c>
      <c r="I1236" s="283">
        <v>0</v>
      </c>
      <c r="J1236" s="284">
        <v>1</v>
      </c>
    </row>
    <row r="1237" spans="3:10" x14ac:dyDescent="0.25">
      <c r="C1237" s="300" t="s">
        <v>1064</v>
      </c>
      <c r="D1237" s="283" t="s">
        <v>1077</v>
      </c>
      <c r="E1237" s="283" t="s">
        <v>1075</v>
      </c>
      <c r="F1237" s="283" t="s">
        <v>1075</v>
      </c>
      <c r="G1237" s="283">
        <v>3</v>
      </c>
      <c r="H1237" s="283">
        <v>0</v>
      </c>
      <c r="I1237" s="283">
        <v>1</v>
      </c>
      <c r="J1237" s="284">
        <v>0</v>
      </c>
    </row>
    <row r="1238" spans="3:10" x14ac:dyDescent="0.25">
      <c r="C1238" s="300" t="s">
        <v>1064</v>
      </c>
      <c r="D1238" s="283" t="s">
        <v>1079</v>
      </c>
      <c r="E1238" s="283" t="s">
        <v>1089</v>
      </c>
      <c r="F1238" s="283" t="s">
        <v>1075</v>
      </c>
      <c r="G1238" s="283">
        <v>2</v>
      </c>
      <c r="H1238" s="283">
        <v>0</v>
      </c>
      <c r="I1238" s="283">
        <v>0</v>
      </c>
      <c r="J1238" s="284">
        <v>1</v>
      </c>
    </row>
    <row r="1239" spans="3:10" x14ac:dyDescent="0.25">
      <c r="C1239" s="300" t="s">
        <v>1065</v>
      </c>
      <c r="D1239" s="283" t="s">
        <v>1079</v>
      </c>
      <c r="E1239" s="283" t="s">
        <v>1080</v>
      </c>
      <c r="F1239" s="283" t="s">
        <v>1075</v>
      </c>
      <c r="G1239" s="283">
        <v>2</v>
      </c>
      <c r="H1239" s="283">
        <v>0</v>
      </c>
      <c r="I1239" s="283">
        <v>0</v>
      </c>
      <c r="J1239" s="284">
        <v>0</v>
      </c>
    </row>
    <row r="1240" spans="3:10" x14ac:dyDescent="0.25">
      <c r="C1240" s="300" t="s">
        <v>1065</v>
      </c>
      <c r="D1240" s="283" t="s">
        <v>1077</v>
      </c>
      <c r="E1240" s="283" t="s">
        <v>1083</v>
      </c>
      <c r="F1240" s="283" t="s">
        <v>1089</v>
      </c>
      <c r="G1240" s="283">
        <v>2</v>
      </c>
      <c r="H1240" s="283">
        <v>0</v>
      </c>
      <c r="I1240" s="283">
        <v>1</v>
      </c>
      <c r="J1240" s="284">
        <v>0</v>
      </c>
    </row>
    <row r="1241" spans="3:10" x14ac:dyDescent="0.25">
      <c r="C1241" s="300" t="s">
        <v>1060</v>
      </c>
      <c r="D1241" s="283" t="s">
        <v>1079</v>
      </c>
      <c r="E1241" s="283" t="s">
        <v>1084</v>
      </c>
      <c r="F1241" s="283" t="s">
        <v>1083</v>
      </c>
      <c r="G1241" s="283">
        <v>2</v>
      </c>
      <c r="H1241" s="283">
        <v>0</v>
      </c>
      <c r="I1241" s="283">
        <v>0</v>
      </c>
      <c r="J1241" s="284">
        <v>1</v>
      </c>
    </row>
    <row r="1242" spans="3:10" x14ac:dyDescent="0.25">
      <c r="C1242" s="300" t="s">
        <v>1068</v>
      </c>
      <c r="D1242" s="283" t="s">
        <v>1074</v>
      </c>
      <c r="E1242" s="283" t="s">
        <v>1093</v>
      </c>
      <c r="F1242" s="283" t="s">
        <v>1075</v>
      </c>
      <c r="G1242" s="283">
        <v>2</v>
      </c>
      <c r="H1242" s="283">
        <v>0</v>
      </c>
      <c r="I1242" s="283">
        <v>1</v>
      </c>
      <c r="J1242" s="284">
        <v>0</v>
      </c>
    </row>
    <row r="1243" spans="3:10" x14ac:dyDescent="0.25">
      <c r="C1243" s="300" t="s">
        <v>1062</v>
      </c>
      <c r="D1243" s="283" t="s">
        <v>1077</v>
      </c>
      <c r="E1243" s="283" t="s">
        <v>1084</v>
      </c>
      <c r="F1243" s="283" t="s">
        <v>1078</v>
      </c>
      <c r="G1243" s="283">
        <v>2</v>
      </c>
      <c r="H1243" s="283">
        <v>0</v>
      </c>
      <c r="I1243" s="283">
        <v>0</v>
      </c>
      <c r="J1243" s="284">
        <v>0</v>
      </c>
    </row>
    <row r="1244" spans="3:10" x14ac:dyDescent="0.25">
      <c r="C1244" s="300" t="s">
        <v>1064</v>
      </c>
      <c r="D1244" s="283" t="s">
        <v>1079</v>
      </c>
      <c r="E1244" s="283" t="s">
        <v>1075</v>
      </c>
      <c r="F1244" s="283" t="s">
        <v>1076</v>
      </c>
      <c r="G1244" s="283">
        <v>2</v>
      </c>
      <c r="H1244" s="283">
        <v>0</v>
      </c>
      <c r="I1244" s="283">
        <v>0</v>
      </c>
      <c r="J1244" s="284">
        <v>0</v>
      </c>
    </row>
    <row r="1245" spans="3:10" x14ac:dyDescent="0.25">
      <c r="C1245" s="300" t="s">
        <v>1066</v>
      </c>
      <c r="D1245" s="283" t="s">
        <v>1077</v>
      </c>
      <c r="E1245" s="283" t="s">
        <v>1076</v>
      </c>
      <c r="F1245" s="283" t="s">
        <v>1075</v>
      </c>
      <c r="G1245" s="283">
        <v>2</v>
      </c>
      <c r="H1245" s="283">
        <v>0</v>
      </c>
      <c r="I1245" s="283">
        <v>0</v>
      </c>
      <c r="J1245" s="284">
        <v>0</v>
      </c>
    </row>
    <row r="1246" spans="3:10" x14ac:dyDescent="0.25">
      <c r="C1246" s="300" t="s">
        <v>1067</v>
      </c>
      <c r="D1246" s="283" t="s">
        <v>1079</v>
      </c>
      <c r="E1246" s="283" t="s">
        <v>1084</v>
      </c>
      <c r="F1246" s="283" t="s">
        <v>1076</v>
      </c>
      <c r="G1246" s="283">
        <v>3</v>
      </c>
      <c r="H1246" s="283">
        <v>0</v>
      </c>
      <c r="I1246" s="283">
        <v>0</v>
      </c>
      <c r="J1246" s="284">
        <v>0</v>
      </c>
    </row>
    <row r="1247" spans="3:10" x14ac:dyDescent="0.25">
      <c r="C1247" s="300" t="s">
        <v>1064</v>
      </c>
      <c r="D1247" s="283" t="s">
        <v>1079</v>
      </c>
      <c r="E1247" s="283" t="s">
        <v>1075</v>
      </c>
      <c r="F1247" s="283" t="s">
        <v>1084</v>
      </c>
      <c r="G1247" s="283">
        <v>2</v>
      </c>
      <c r="H1247" s="283">
        <v>0</v>
      </c>
      <c r="I1247" s="283">
        <v>0</v>
      </c>
      <c r="J1247" s="284">
        <v>0</v>
      </c>
    </row>
    <row r="1248" spans="3:10" x14ac:dyDescent="0.25">
      <c r="C1248" s="300" t="s">
        <v>1067</v>
      </c>
      <c r="D1248" s="283" t="s">
        <v>1077</v>
      </c>
      <c r="E1248" s="283" t="s">
        <v>1086</v>
      </c>
      <c r="F1248" s="283" t="s">
        <v>1075</v>
      </c>
      <c r="G1248" s="283">
        <v>3</v>
      </c>
      <c r="H1248" s="283">
        <v>0</v>
      </c>
      <c r="I1248" s="283">
        <v>0</v>
      </c>
      <c r="J1248" s="284">
        <v>0</v>
      </c>
    </row>
    <row r="1249" spans="3:10" x14ac:dyDescent="0.25">
      <c r="C1249" s="300" t="s">
        <v>1061</v>
      </c>
      <c r="D1249" s="283" t="s">
        <v>1087</v>
      </c>
      <c r="E1249" s="283" t="s">
        <v>1075</v>
      </c>
      <c r="F1249" s="283" t="s">
        <v>524</v>
      </c>
      <c r="G1249" s="283">
        <v>1</v>
      </c>
      <c r="H1249" s="283">
        <v>0</v>
      </c>
      <c r="I1249" s="283">
        <v>1</v>
      </c>
      <c r="J1249" s="284">
        <v>0</v>
      </c>
    </row>
    <row r="1250" spans="3:10" x14ac:dyDescent="0.25">
      <c r="C1250" s="300" t="s">
        <v>1062</v>
      </c>
      <c r="D1250" s="283" t="s">
        <v>1079</v>
      </c>
      <c r="E1250" s="283" t="s">
        <v>1075</v>
      </c>
      <c r="F1250" s="283" t="s">
        <v>1075</v>
      </c>
      <c r="G1250" s="283">
        <v>2</v>
      </c>
      <c r="H1250" s="283">
        <v>0</v>
      </c>
      <c r="I1250" s="283">
        <v>1</v>
      </c>
      <c r="J1250" s="284">
        <v>0</v>
      </c>
    </row>
    <row r="1251" spans="3:10" x14ac:dyDescent="0.25">
      <c r="C1251" s="300" t="s">
        <v>1060</v>
      </c>
      <c r="D1251" s="283" t="s">
        <v>1074</v>
      </c>
      <c r="E1251" s="283" t="s">
        <v>1075</v>
      </c>
      <c r="F1251" s="283" t="s">
        <v>1089</v>
      </c>
      <c r="G1251" s="283">
        <v>3</v>
      </c>
      <c r="H1251" s="283">
        <v>0</v>
      </c>
      <c r="I1251" s="283">
        <v>0</v>
      </c>
      <c r="J1251" s="284">
        <v>1</v>
      </c>
    </row>
    <row r="1252" spans="3:10" x14ac:dyDescent="0.25">
      <c r="C1252" s="300" t="s">
        <v>1068</v>
      </c>
      <c r="D1252" s="283" t="s">
        <v>1087</v>
      </c>
      <c r="E1252" s="283" t="s">
        <v>1076</v>
      </c>
      <c r="F1252" s="283" t="s">
        <v>524</v>
      </c>
      <c r="G1252" s="283">
        <v>1</v>
      </c>
      <c r="H1252" s="283">
        <v>0</v>
      </c>
      <c r="I1252" s="283">
        <v>0</v>
      </c>
      <c r="J1252" s="284">
        <v>0</v>
      </c>
    </row>
    <row r="1253" spans="3:10" x14ac:dyDescent="0.25">
      <c r="C1253" s="300" t="s">
        <v>1062</v>
      </c>
      <c r="D1253" s="283" t="s">
        <v>1079</v>
      </c>
      <c r="E1253" s="283" t="s">
        <v>1089</v>
      </c>
      <c r="F1253" s="283" t="s">
        <v>1044</v>
      </c>
      <c r="G1253" s="283">
        <v>2</v>
      </c>
      <c r="H1253" s="283">
        <v>0</v>
      </c>
      <c r="I1253" s="283">
        <v>0</v>
      </c>
      <c r="J1253" s="284">
        <v>1</v>
      </c>
    </row>
    <row r="1254" spans="3:10" x14ac:dyDescent="0.25">
      <c r="C1254" s="300" t="s">
        <v>1062</v>
      </c>
      <c r="D1254" s="283" t="s">
        <v>1079</v>
      </c>
      <c r="E1254" s="283" t="s">
        <v>1075</v>
      </c>
      <c r="F1254" s="283" t="s">
        <v>1075</v>
      </c>
      <c r="G1254" s="283">
        <v>2</v>
      </c>
      <c r="H1254" s="283">
        <v>0</v>
      </c>
      <c r="I1254" s="283">
        <v>0</v>
      </c>
      <c r="J1254" s="284">
        <v>1</v>
      </c>
    </row>
    <row r="1255" spans="3:10" x14ac:dyDescent="0.25">
      <c r="C1255" s="300" t="s">
        <v>1062</v>
      </c>
      <c r="D1255" s="283" t="s">
        <v>1079</v>
      </c>
      <c r="E1255" s="283" t="s">
        <v>1044</v>
      </c>
      <c r="F1255" s="283" t="s">
        <v>1088</v>
      </c>
      <c r="G1255" s="283">
        <v>2</v>
      </c>
      <c r="H1255" s="283">
        <v>0</v>
      </c>
      <c r="I1255" s="283">
        <v>1</v>
      </c>
      <c r="J1255" s="284">
        <v>0</v>
      </c>
    </row>
    <row r="1256" spans="3:10" x14ac:dyDescent="0.25">
      <c r="C1256" s="300" t="s">
        <v>1063</v>
      </c>
      <c r="D1256" s="283" t="s">
        <v>1079</v>
      </c>
      <c r="E1256" s="283" t="s">
        <v>1075</v>
      </c>
      <c r="F1256" s="283" t="s">
        <v>1075</v>
      </c>
      <c r="G1256" s="283">
        <v>2</v>
      </c>
      <c r="H1256" s="283">
        <v>0</v>
      </c>
      <c r="I1256" s="283">
        <v>0</v>
      </c>
      <c r="J1256" s="284">
        <v>1</v>
      </c>
    </row>
    <row r="1257" spans="3:10" x14ac:dyDescent="0.25">
      <c r="C1257" s="300" t="s">
        <v>1066</v>
      </c>
      <c r="D1257" s="283" t="s">
        <v>1079</v>
      </c>
      <c r="E1257" s="283" t="s">
        <v>1086</v>
      </c>
      <c r="F1257" s="283" t="s">
        <v>1075</v>
      </c>
      <c r="G1257" s="283">
        <v>3</v>
      </c>
      <c r="H1257" s="283">
        <v>0</v>
      </c>
      <c r="I1257" s="283">
        <v>0</v>
      </c>
      <c r="J1257" s="284">
        <v>0</v>
      </c>
    </row>
    <row r="1258" spans="3:10" x14ac:dyDescent="0.25">
      <c r="C1258" s="300" t="s">
        <v>1066</v>
      </c>
      <c r="D1258" s="283" t="s">
        <v>1079</v>
      </c>
      <c r="E1258" s="283" t="s">
        <v>1078</v>
      </c>
      <c r="F1258" s="283" t="s">
        <v>1078</v>
      </c>
      <c r="G1258" s="283">
        <v>2</v>
      </c>
      <c r="H1258" s="283">
        <v>0</v>
      </c>
      <c r="I1258" s="283">
        <v>0</v>
      </c>
      <c r="J1258" s="284">
        <v>1</v>
      </c>
    </row>
    <row r="1259" spans="3:10" x14ac:dyDescent="0.25">
      <c r="C1259" s="300" t="s">
        <v>1065</v>
      </c>
      <c r="D1259" s="283" t="s">
        <v>1079</v>
      </c>
      <c r="E1259" s="283" t="s">
        <v>1044</v>
      </c>
      <c r="F1259" s="283" t="s">
        <v>1075</v>
      </c>
      <c r="G1259" s="283">
        <v>2</v>
      </c>
      <c r="H1259" s="283">
        <v>0</v>
      </c>
      <c r="I1259" s="283">
        <v>0</v>
      </c>
      <c r="J1259" s="284">
        <v>1</v>
      </c>
    </row>
    <row r="1260" spans="3:10" x14ac:dyDescent="0.25">
      <c r="C1260" s="300" t="s">
        <v>1060</v>
      </c>
      <c r="D1260" s="283" t="s">
        <v>1087</v>
      </c>
      <c r="E1260" s="283" t="s">
        <v>1084</v>
      </c>
      <c r="F1260" s="283" t="s">
        <v>524</v>
      </c>
      <c r="G1260" s="283">
        <v>1</v>
      </c>
      <c r="H1260" s="283">
        <v>0</v>
      </c>
      <c r="I1260" s="283">
        <v>1</v>
      </c>
      <c r="J1260" s="284">
        <v>0</v>
      </c>
    </row>
    <row r="1261" spans="3:10" x14ac:dyDescent="0.25">
      <c r="C1261" s="300" t="s">
        <v>1061</v>
      </c>
      <c r="D1261" s="283" t="s">
        <v>1079</v>
      </c>
      <c r="E1261" s="283" t="s">
        <v>1075</v>
      </c>
      <c r="F1261" s="283" t="s">
        <v>1078</v>
      </c>
      <c r="G1261" s="283">
        <v>2</v>
      </c>
      <c r="H1261" s="283">
        <v>0</v>
      </c>
      <c r="I1261" s="283">
        <v>0</v>
      </c>
      <c r="J1261" s="284">
        <v>0</v>
      </c>
    </row>
    <row r="1262" spans="3:10" x14ac:dyDescent="0.25">
      <c r="C1262" s="300" t="s">
        <v>1062</v>
      </c>
      <c r="D1262" s="283" t="s">
        <v>1079</v>
      </c>
      <c r="E1262" s="283" t="s">
        <v>1075</v>
      </c>
      <c r="F1262" s="283" t="s">
        <v>1075</v>
      </c>
      <c r="G1262" s="283">
        <v>2</v>
      </c>
      <c r="H1262" s="283">
        <v>0</v>
      </c>
      <c r="I1262" s="283">
        <v>0</v>
      </c>
      <c r="J1262" s="284">
        <v>1</v>
      </c>
    </row>
    <row r="1263" spans="3:10" x14ac:dyDescent="0.25">
      <c r="C1263" s="300" t="s">
        <v>1063</v>
      </c>
      <c r="D1263" s="283" t="s">
        <v>1077</v>
      </c>
      <c r="E1263" s="283" t="s">
        <v>1089</v>
      </c>
      <c r="F1263" s="283" t="s">
        <v>1089</v>
      </c>
      <c r="G1263" s="283">
        <v>2</v>
      </c>
      <c r="H1263" s="283">
        <v>0</v>
      </c>
      <c r="I1263" s="283">
        <v>1</v>
      </c>
      <c r="J1263" s="284">
        <v>0</v>
      </c>
    </row>
    <row r="1264" spans="3:10" x14ac:dyDescent="0.25">
      <c r="C1264" s="300" t="s">
        <v>1064</v>
      </c>
      <c r="D1264" s="283" t="s">
        <v>1074</v>
      </c>
      <c r="E1264" s="283" t="s">
        <v>1075</v>
      </c>
      <c r="F1264" s="283" t="s">
        <v>1075</v>
      </c>
      <c r="G1264" s="283">
        <v>2</v>
      </c>
      <c r="H1264" s="283">
        <v>0</v>
      </c>
      <c r="I1264" s="283">
        <v>0</v>
      </c>
      <c r="J1264" s="284">
        <v>1</v>
      </c>
    </row>
    <row r="1265" spans="3:10" x14ac:dyDescent="0.25">
      <c r="C1265" s="300" t="s">
        <v>1057</v>
      </c>
      <c r="D1265" s="283" t="s">
        <v>1087</v>
      </c>
      <c r="E1265" s="283" t="s">
        <v>1089</v>
      </c>
      <c r="F1265" s="283" t="s">
        <v>524</v>
      </c>
      <c r="G1265" s="283">
        <v>1</v>
      </c>
      <c r="H1265" s="283">
        <v>0</v>
      </c>
      <c r="I1265" s="283">
        <v>0</v>
      </c>
      <c r="J1265" s="284">
        <v>0</v>
      </c>
    </row>
    <row r="1266" spans="3:10" x14ac:dyDescent="0.25">
      <c r="C1266" s="300" t="s">
        <v>1062</v>
      </c>
      <c r="D1266" s="283" t="s">
        <v>1090</v>
      </c>
      <c r="E1266" s="283" t="s">
        <v>1083</v>
      </c>
      <c r="F1266" s="283" t="s">
        <v>524</v>
      </c>
      <c r="G1266" s="283">
        <v>1</v>
      </c>
      <c r="H1266" s="283">
        <v>0</v>
      </c>
      <c r="I1266" s="283">
        <v>0</v>
      </c>
      <c r="J1266" s="284">
        <v>1</v>
      </c>
    </row>
    <row r="1267" spans="3:10" x14ac:dyDescent="0.25">
      <c r="C1267" s="300" t="s">
        <v>1063</v>
      </c>
      <c r="D1267" s="283" t="s">
        <v>1079</v>
      </c>
      <c r="E1267" s="283" t="s">
        <v>1075</v>
      </c>
      <c r="F1267" s="283" t="s">
        <v>1093</v>
      </c>
      <c r="G1267" s="283">
        <v>2</v>
      </c>
      <c r="H1267" s="283">
        <v>0</v>
      </c>
      <c r="I1267" s="283">
        <v>0</v>
      </c>
      <c r="J1267" s="284">
        <v>1</v>
      </c>
    </row>
    <row r="1268" spans="3:10" x14ac:dyDescent="0.25">
      <c r="C1268" s="300" t="s">
        <v>1061</v>
      </c>
      <c r="D1268" s="283" t="s">
        <v>1077</v>
      </c>
      <c r="E1268" s="283" t="s">
        <v>1089</v>
      </c>
      <c r="F1268" s="283" t="s">
        <v>1075</v>
      </c>
      <c r="G1268" s="283">
        <v>2</v>
      </c>
      <c r="H1268" s="283">
        <v>0</v>
      </c>
      <c r="I1268" s="283">
        <v>0</v>
      </c>
      <c r="J1268" s="284">
        <v>0</v>
      </c>
    </row>
    <row r="1269" spans="3:10" x14ac:dyDescent="0.25">
      <c r="C1269" s="300" t="s">
        <v>1063</v>
      </c>
      <c r="D1269" s="283" t="s">
        <v>1077</v>
      </c>
      <c r="E1269" s="283" t="s">
        <v>1075</v>
      </c>
      <c r="F1269" s="283" t="s">
        <v>1075</v>
      </c>
      <c r="G1269" s="283">
        <v>3</v>
      </c>
      <c r="H1269" s="283">
        <v>0</v>
      </c>
      <c r="I1269" s="283">
        <v>0</v>
      </c>
      <c r="J1269" s="284">
        <v>0</v>
      </c>
    </row>
    <row r="1270" spans="3:10" x14ac:dyDescent="0.25">
      <c r="C1270" s="300" t="s">
        <v>1065</v>
      </c>
      <c r="D1270" s="283" t="s">
        <v>1077</v>
      </c>
      <c r="E1270" s="283" t="s">
        <v>1089</v>
      </c>
      <c r="F1270" s="283" t="s">
        <v>1075</v>
      </c>
      <c r="G1270" s="283">
        <v>2</v>
      </c>
      <c r="H1270" s="283">
        <v>0</v>
      </c>
      <c r="I1270" s="283">
        <v>0</v>
      </c>
      <c r="J1270" s="284">
        <v>0</v>
      </c>
    </row>
    <row r="1271" spans="3:10" x14ac:dyDescent="0.25">
      <c r="C1271" s="300" t="s">
        <v>1061</v>
      </c>
      <c r="D1271" s="283" t="s">
        <v>1079</v>
      </c>
      <c r="E1271" s="283" t="s">
        <v>1075</v>
      </c>
      <c r="F1271" s="283" t="s">
        <v>1089</v>
      </c>
      <c r="G1271" s="283">
        <v>2</v>
      </c>
      <c r="H1271" s="283">
        <v>0</v>
      </c>
      <c r="I1271" s="283">
        <v>0</v>
      </c>
      <c r="J1271" s="284">
        <v>0</v>
      </c>
    </row>
    <row r="1272" spans="3:10" x14ac:dyDescent="0.25">
      <c r="C1272" s="300" t="s">
        <v>1062</v>
      </c>
      <c r="D1272" s="283" t="s">
        <v>1077</v>
      </c>
      <c r="E1272" s="283" t="s">
        <v>1076</v>
      </c>
      <c r="F1272" s="283" t="s">
        <v>1089</v>
      </c>
      <c r="G1272" s="283">
        <v>2</v>
      </c>
      <c r="H1272" s="283">
        <v>0</v>
      </c>
      <c r="I1272" s="283">
        <v>0</v>
      </c>
      <c r="J1272" s="284">
        <v>0</v>
      </c>
    </row>
    <row r="1273" spans="3:10" x14ac:dyDescent="0.25">
      <c r="C1273" s="300" t="s">
        <v>1061</v>
      </c>
      <c r="D1273" s="283" t="s">
        <v>1074</v>
      </c>
      <c r="E1273" s="283" t="s">
        <v>1075</v>
      </c>
      <c r="F1273" s="283" t="s">
        <v>1075</v>
      </c>
      <c r="G1273" s="283">
        <v>2</v>
      </c>
      <c r="H1273" s="283">
        <v>0</v>
      </c>
      <c r="I1273" s="283">
        <v>0</v>
      </c>
      <c r="J1273" s="284">
        <v>1</v>
      </c>
    </row>
    <row r="1274" spans="3:10" x14ac:dyDescent="0.25">
      <c r="C1274" s="300" t="s">
        <v>1062</v>
      </c>
      <c r="D1274" s="283" t="s">
        <v>1074</v>
      </c>
      <c r="E1274" s="283" t="s">
        <v>1075</v>
      </c>
      <c r="F1274" s="283" t="s">
        <v>1078</v>
      </c>
      <c r="G1274" s="283">
        <v>2</v>
      </c>
      <c r="H1274" s="283">
        <v>0</v>
      </c>
      <c r="I1274" s="283">
        <v>0</v>
      </c>
      <c r="J1274" s="284">
        <v>0</v>
      </c>
    </row>
    <row r="1275" spans="3:10" x14ac:dyDescent="0.25">
      <c r="C1275" s="300" t="s">
        <v>1065</v>
      </c>
      <c r="D1275" s="283" t="s">
        <v>1077</v>
      </c>
      <c r="E1275" s="283" t="s">
        <v>1075</v>
      </c>
      <c r="F1275" s="283" t="s">
        <v>1089</v>
      </c>
      <c r="G1275" s="283">
        <v>2</v>
      </c>
      <c r="H1275" s="283">
        <v>0</v>
      </c>
      <c r="I1275" s="283">
        <v>0</v>
      </c>
      <c r="J1275" s="284">
        <v>0</v>
      </c>
    </row>
    <row r="1276" spans="3:10" x14ac:dyDescent="0.25">
      <c r="C1276" s="300" t="s">
        <v>1063</v>
      </c>
      <c r="D1276" s="283" t="s">
        <v>1077</v>
      </c>
      <c r="E1276" s="283" t="s">
        <v>1080</v>
      </c>
      <c r="F1276" s="283" t="s">
        <v>1078</v>
      </c>
      <c r="G1276" s="283">
        <v>2</v>
      </c>
      <c r="H1276" s="283">
        <v>0</v>
      </c>
      <c r="I1276" s="283">
        <v>0</v>
      </c>
      <c r="J1276" s="284">
        <v>1</v>
      </c>
    </row>
    <row r="1277" spans="3:10" x14ac:dyDescent="0.25">
      <c r="C1277" s="300" t="s">
        <v>1068</v>
      </c>
      <c r="D1277" s="283" t="s">
        <v>1079</v>
      </c>
      <c r="E1277" s="283" t="s">
        <v>1075</v>
      </c>
      <c r="F1277" s="283" t="s">
        <v>1089</v>
      </c>
      <c r="G1277" s="283">
        <v>2</v>
      </c>
      <c r="H1277" s="283">
        <v>0</v>
      </c>
      <c r="I1277" s="283">
        <v>1</v>
      </c>
      <c r="J1277" s="284">
        <v>0</v>
      </c>
    </row>
    <row r="1278" spans="3:10" x14ac:dyDescent="0.25">
      <c r="C1278" s="300" t="s">
        <v>1066</v>
      </c>
      <c r="D1278" s="283" t="s">
        <v>1043</v>
      </c>
      <c r="E1278" s="283" t="s">
        <v>1075</v>
      </c>
      <c r="F1278" s="283" t="s">
        <v>1092</v>
      </c>
      <c r="G1278" s="283">
        <v>2</v>
      </c>
      <c r="H1278" s="283">
        <v>0</v>
      </c>
      <c r="I1278" s="283">
        <v>1</v>
      </c>
      <c r="J1278" s="284">
        <v>1</v>
      </c>
    </row>
    <row r="1279" spans="3:10" x14ac:dyDescent="0.25">
      <c r="C1279" s="300" t="s">
        <v>1062</v>
      </c>
      <c r="D1279" s="283" t="s">
        <v>1079</v>
      </c>
      <c r="E1279" s="283" t="s">
        <v>1075</v>
      </c>
      <c r="F1279" s="283" t="s">
        <v>1078</v>
      </c>
      <c r="G1279" s="283">
        <v>2</v>
      </c>
      <c r="H1279" s="283">
        <v>0</v>
      </c>
      <c r="I1279" s="283">
        <v>0</v>
      </c>
      <c r="J1279" s="284">
        <v>1</v>
      </c>
    </row>
    <row r="1280" spans="3:10" x14ac:dyDescent="0.25">
      <c r="C1280" s="300" t="s">
        <v>1067</v>
      </c>
      <c r="D1280" s="283" t="s">
        <v>1079</v>
      </c>
      <c r="E1280" s="283" t="s">
        <v>1094</v>
      </c>
      <c r="F1280" s="283" t="s">
        <v>1080</v>
      </c>
      <c r="G1280" s="283">
        <v>2</v>
      </c>
      <c r="H1280" s="283">
        <v>0</v>
      </c>
      <c r="I1280" s="283">
        <v>0</v>
      </c>
      <c r="J1280" s="284">
        <v>0</v>
      </c>
    </row>
    <row r="1281" spans="3:10" x14ac:dyDescent="0.25">
      <c r="C1281" s="300" t="s">
        <v>1065</v>
      </c>
      <c r="D1281" s="283" t="s">
        <v>1090</v>
      </c>
      <c r="E1281" s="283" t="s">
        <v>1083</v>
      </c>
      <c r="F1281" s="283" t="s">
        <v>524</v>
      </c>
      <c r="G1281" s="283">
        <v>1</v>
      </c>
      <c r="H1281" s="283">
        <v>0</v>
      </c>
      <c r="I1281" s="283">
        <v>1</v>
      </c>
      <c r="J1281" s="284">
        <v>0</v>
      </c>
    </row>
    <row r="1282" spans="3:10" x14ac:dyDescent="0.25">
      <c r="C1282" s="300" t="s">
        <v>1060</v>
      </c>
      <c r="D1282" s="283" t="s">
        <v>1079</v>
      </c>
      <c r="E1282" s="283" t="s">
        <v>1086</v>
      </c>
      <c r="F1282" s="283" t="s">
        <v>1089</v>
      </c>
      <c r="G1282" s="283">
        <v>2</v>
      </c>
      <c r="H1282" s="283">
        <v>0</v>
      </c>
      <c r="I1282" s="283">
        <v>0</v>
      </c>
      <c r="J1282" s="284">
        <v>0</v>
      </c>
    </row>
    <row r="1283" spans="3:10" x14ac:dyDescent="0.25">
      <c r="C1283" s="300" t="s">
        <v>1061</v>
      </c>
      <c r="D1283" s="283" t="s">
        <v>1074</v>
      </c>
      <c r="E1283" s="283" t="s">
        <v>1075</v>
      </c>
      <c r="F1283" s="283" t="s">
        <v>1075</v>
      </c>
      <c r="G1283" s="283">
        <v>2</v>
      </c>
      <c r="H1283" s="283">
        <v>0</v>
      </c>
      <c r="I1283" s="283">
        <v>0</v>
      </c>
      <c r="J1283" s="284">
        <v>1</v>
      </c>
    </row>
    <row r="1284" spans="3:10" x14ac:dyDescent="0.25">
      <c r="C1284" s="300" t="s">
        <v>1064</v>
      </c>
      <c r="D1284" s="283" t="s">
        <v>1074</v>
      </c>
      <c r="E1284" s="283" t="s">
        <v>1089</v>
      </c>
      <c r="F1284" s="283" t="s">
        <v>1083</v>
      </c>
      <c r="G1284" s="283">
        <v>2</v>
      </c>
      <c r="H1284" s="283">
        <v>0</v>
      </c>
      <c r="I1284" s="283">
        <v>1</v>
      </c>
      <c r="J1284" s="284">
        <v>0</v>
      </c>
    </row>
    <row r="1285" spans="3:10" x14ac:dyDescent="0.25">
      <c r="C1285" s="300" t="s">
        <v>1064</v>
      </c>
      <c r="D1285" s="283" t="s">
        <v>1090</v>
      </c>
      <c r="E1285" s="283" t="s">
        <v>1044</v>
      </c>
      <c r="F1285" s="283" t="s">
        <v>524</v>
      </c>
      <c r="G1285" s="283">
        <v>1</v>
      </c>
      <c r="H1285" s="283">
        <v>0</v>
      </c>
      <c r="I1285" s="283">
        <v>0</v>
      </c>
      <c r="J1285" s="284">
        <v>1</v>
      </c>
    </row>
    <row r="1286" spans="3:10" x14ac:dyDescent="0.25">
      <c r="C1286" s="300" t="s">
        <v>1066</v>
      </c>
      <c r="D1286" s="283" t="s">
        <v>1074</v>
      </c>
      <c r="E1286" s="283" t="s">
        <v>1094</v>
      </c>
      <c r="F1286" s="283" t="s">
        <v>1081</v>
      </c>
      <c r="G1286" s="283">
        <v>2</v>
      </c>
      <c r="H1286" s="283">
        <v>0</v>
      </c>
      <c r="I1286" s="283">
        <v>0</v>
      </c>
      <c r="J1286" s="284">
        <v>0</v>
      </c>
    </row>
    <row r="1287" spans="3:10" x14ac:dyDescent="0.25">
      <c r="C1287" s="300" t="s">
        <v>1061</v>
      </c>
      <c r="D1287" s="283" t="s">
        <v>1077</v>
      </c>
      <c r="E1287" s="283" t="s">
        <v>1078</v>
      </c>
      <c r="F1287" s="283" t="s">
        <v>1089</v>
      </c>
      <c r="G1287" s="283">
        <v>2</v>
      </c>
      <c r="H1287" s="283">
        <v>0</v>
      </c>
      <c r="I1287" s="283">
        <v>0</v>
      </c>
      <c r="J1287" s="284">
        <v>0</v>
      </c>
    </row>
    <row r="1288" spans="3:10" x14ac:dyDescent="0.25">
      <c r="C1288" s="300" t="s">
        <v>1066</v>
      </c>
      <c r="D1288" s="283" t="s">
        <v>1079</v>
      </c>
      <c r="E1288" s="283" t="s">
        <v>1075</v>
      </c>
      <c r="F1288" s="283" t="s">
        <v>1089</v>
      </c>
      <c r="G1288" s="283">
        <v>2</v>
      </c>
      <c r="H1288" s="283">
        <v>0</v>
      </c>
      <c r="I1288" s="283">
        <v>1</v>
      </c>
      <c r="J1288" s="284">
        <v>1</v>
      </c>
    </row>
    <row r="1289" spans="3:10" x14ac:dyDescent="0.25">
      <c r="C1289" s="300" t="s">
        <v>1059</v>
      </c>
      <c r="D1289" s="283" t="s">
        <v>1087</v>
      </c>
      <c r="E1289" s="283" t="s">
        <v>1075</v>
      </c>
      <c r="F1289" s="283" t="s">
        <v>524</v>
      </c>
      <c r="G1289" s="283">
        <v>1</v>
      </c>
      <c r="H1289" s="283">
        <v>0</v>
      </c>
      <c r="I1289" s="283">
        <v>0</v>
      </c>
      <c r="J1289" s="284">
        <v>0</v>
      </c>
    </row>
    <row r="1290" spans="3:10" x14ac:dyDescent="0.25">
      <c r="C1290" s="300" t="s">
        <v>1063</v>
      </c>
      <c r="D1290" s="283" t="s">
        <v>1090</v>
      </c>
      <c r="E1290" s="283" t="s">
        <v>1083</v>
      </c>
      <c r="F1290" s="283" t="s">
        <v>524</v>
      </c>
      <c r="G1290" s="283">
        <v>1</v>
      </c>
      <c r="H1290" s="283">
        <v>0</v>
      </c>
      <c r="I1290" s="283">
        <v>0</v>
      </c>
      <c r="J1290" s="284">
        <v>0</v>
      </c>
    </row>
    <row r="1291" spans="3:10" x14ac:dyDescent="0.25">
      <c r="C1291" s="300" t="s">
        <v>1064</v>
      </c>
      <c r="D1291" s="283" t="s">
        <v>1074</v>
      </c>
      <c r="E1291" s="283" t="s">
        <v>1089</v>
      </c>
      <c r="F1291" s="283" t="s">
        <v>1075</v>
      </c>
      <c r="G1291" s="283">
        <v>2</v>
      </c>
      <c r="H1291" s="283">
        <v>0</v>
      </c>
      <c r="I1291" s="283">
        <v>0</v>
      </c>
      <c r="J1291" s="284">
        <v>1</v>
      </c>
    </row>
    <row r="1292" spans="3:10" x14ac:dyDescent="0.25">
      <c r="C1292" s="300" t="s">
        <v>1064</v>
      </c>
      <c r="D1292" s="283" t="s">
        <v>1079</v>
      </c>
      <c r="E1292" s="283" t="s">
        <v>1089</v>
      </c>
      <c r="F1292" s="283" t="s">
        <v>1076</v>
      </c>
      <c r="G1292" s="283">
        <v>2</v>
      </c>
      <c r="H1292" s="283">
        <v>0</v>
      </c>
      <c r="I1292" s="283">
        <v>0</v>
      </c>
      <c r="J1292" s="284">
        <v>0</v>
      </c>
    </row>
    <row r="1293" spans="3:10" x14ac:dyDescent="0.25">
      <c r="C1293" s="300" t="s">
        <v>1063</v>
      </c>
      <c r="D1293" s="283" t="s">
        <v>1079</v>
      </c>
      <c r="E1293" s="283" t="s">
        <v>1075</v>
      </c>
      <c r="F1293" s="283" t="s">
        <v>1080</v>
      </c>
      <c r="G1293" s="283">
        <v>2</v>
      </c>
      <c r="H1293" s="283">
        <v>0</v>
      </c>
      <c r="I1293" s="283">
        <v>0</v>
      </c>
      <c r="J1293" s="284">
        <v>0</v>
      </c>
    </row>
    <row r="1294" spans="3:10" x14ac:dyDescent="0.25">
      <c r="C1294" s="300" t="s">
        <v>1063</v>
      </c>
      <c r="D1294" s="283" t="s">
        <v>1077</v>
      </c>
      <c r="E1294" s="283" t="s">
        <v>1080</v>
      </c>
      <c r="F1294" s="283" t="s">
        <v>1089</v>
      </c>
      <c r="G1294" s="283">
        <v>2</v>
      </c>
      <c r="H1294" s="283">
        <v>0</v>
      </c>
      <c r="I1294" s="283">
        <v>1</v>
      </c>
      <c r="J1294" s="284">
        <v>0</v>
      </c>
    </row>
    <row r="1295" spans="3:10" x14ac:dyDescent="0.25">
      <c r="C1295" s="300" t="s">
        <v>1067</v>
      </c>
      <c r="D1295" s="283" t="s">
        <v>1087</v>
      </c>
      <c r="E1295" s="283" t="s">
        <v>1089</v>
      </c>
      <c r="F1295" s="283" t="s">
        <v>524</v>
      </c>
      <c r="G1295" s="283">
        <v>1</v>
      </c>
      <c r="H1295" s="283">
        <v>0</v>
      </c>
      <c r="I1295" s="283">
        <v>0</v>
      </c>
      <c r="J1295" s="284">
        <v>0</v>
      </c>
    </row>
    <row r="1296" spans="3:10" x14ac:dyDescent="0.25">
      <c r="C1296" s="300" t="s">
        <v>1065</v>
      </c>
      <c r="D1296" s="283" t="s">
        <v>1079</v>
      </c>
      <c r="E1296" s="283" t="s">
        <v>1075</v>
      </c>
      <c r="F1296" s="283" t="s">
        <v>1044</v>
      </c>
      <c r="G1296" s="283">
        <v>2</v>
      </c>
      <c r="H1296" s="283">
        <v>0</v>
      </c>
      <c r="I1296" s="283">
        <v>0</v>
      </c>
      <c r="J1296" s="284">
        <v>1</v>
      </c>
    </row>
    <row r="1297" spans="3:10" x14ac:dyDescent="0.25">
      <c r="C1297" s="300" t="s">
        <v>1064</v>
      </c>
      <c r="D1297" s="283" t="s">
        <v>1077</v>
      </c>
      <c r="E1297" s="283" t="s">
        <v>1089</v>
      </c>
      <c r="F1297" s="283" t="s">
        <v>1075</v>
      </c>
      <c r="G1297" s="283">
        <v>3</v>
      </c>
      <c r="H1297" s="283">
        <v>0</v>
      </c>
      <c r="I1297" s="283">
        <v>0</v>
      </c>
      <c r="J1297" s="284">
        <v>0</v>
      </c>
    </row>
    <row r="1298" spans="3:10" x14ac:dyDescent="0.25">
      <c r="C1298" s="300" t="s">
        <v>1064</v>
      </c>
      <c r="D1298" s="283" t="s">
        <v>1077</v>
      </c>
      <c r="E1298" s="283" t="s">
        <v>1089</v>
      </c>
      <c r="F1298" s="283" t="s">
        <v>1075</v>
      </c>
      <c r="G1298" s="283">
        <v>2</v>
      </c>
      <c r="H1298" s="283">
        <v>0</v>
      </c>
      <c r="I1298" s="283">
        <v>0</v>
      </c>
      <c r="J1298" s="284">
        <v>0</v>
      </c>
    </row>
    <row r="1299" spans="3:10" x14ac:dyDescent="0.25">
      <c r="C1299" s="300" t="s">
        <v>1065</v>
      </c>
      <c r="D1299" s="283" t="s">
        <v>1077</v>
      </c>
      <c r="E1299" s="283" t="s">
        <v>1076</v>
      </c>
      <c r="F1299" s="283" t="s">
        <v>1075</v>
      </c>
      <c r="G1299" s="283">
        <v>3</v>
      </c>
      <c r="H1299" s="283">
        <v>0</v>
      </c>
      <c r="I1299" s="283">
        <v>0</v>
      </c>
      <c r="J1299" s="284">
        <v>0</v>
      </c>
    </row>
    <row r="1300" spans="3:10" x14ac:dyDescent="0.25">
      <c r="C1300" s="300" t="s">
        <v>1066</v>
      </c>
      <c r="D1300" s="283" t="s">
        <v>1079</v>
      </c>
      <c r="E1300" s="283" t="s">
        <v>1078</v>
      </c>
      <c r="F1300" s="283" t="s">
        <v>1075</v>
      </c>
      <c r="G1300" s="283">
        <v>2</v>
      </c>
      <c r="H1300" s="283">
        <v>0</v>
      </c>
      <c r="I1300" s="283">
        <v>0</v>
      </c>
      <c r="J1300" s="284">
        <v>0</v>
      </c>
    </row>
    <row r="1301" spans="3:10" x14ac:dyDescent="0.25">
      <c r="C1301" s="300" t="s">
        <v>1062</v>
      </c>
      <c r="D1301" s="283" t="s">
        <v>1079</v>
      </c>
      <c r="E1301" s="283" t="s">
        <v>1075</v>
      </c>
      <c r="F1301" s="283" t="s">
        <v>1076</v>
      </c>
      <c r="G1301" s="283">
        <v>2</v>
      </c>
      <c r="H1301" s="283">
        <v>0</v>
      </c>
      <c r="I1301" s="283">
        <v>0</v>
      </c>
      <c r="J1301" s="284">
        <v>1</v>
      </c>
    </row>
    <row r="1302" spans="3:10" x14ac:dyDescent="0.25">
      <c r="C1302" s="300" t="s">
        <v>1067</v>
      </c>
      <c r="D1302" s="283" t="s">
        <v>1087</v>
      </c>
      <c r="E1302" s="283" t="s">
        <v>1094</v>
      </c>
      <c r="F1302" s="283" t="s">
        <v>524</v>
      </c>
      <c r="G1302" s="283">
        <v>1</v>
      </c>
      <c r="H1302" s="283">
        <v>0</v>
      </c>
      <c r="I1302" s="283">
        <v>0</v>
      </c>
      <c r="J1302" s="284">
        <v>1</v>
      </c>
    </row>
    <row r="1303" spans="3:10" x14ac:dyDescent="0.25">
      <c r="C1303" s="300" t="s">
        <v>1067</v>
      </c>
      <c r="D1303" s="283" t="s">
        <v>1087</v>
      </c>
      <c r="E1303" s="283" t="s">
        <v>1076</v>
      </c>
      <c r="F1303" s="283" t="s">
        <v>524</v>
      </c>
      <c r="G1303" s="283">
        <v>1</v>
      </c>
      <c r="H1303" s="283">
        <v>0</v>
      </c>
      <c r="I1303" s="283">
        <v>0</v>
      </c>
      <c r="J1303" s="284">
        <v>0</v>
      </c>
    </row>
    <row r="1304" spans="3:10" x14ac:dyDescent="0.25">
      <c r="C1304" s="300" t="s">
        <v>1066</v>
      </c>
      <c r="D1304" s="283" t="s">
        <v>1079</v>
      </c>
      <c r="E1304" s="283" t="s">
        <v>1089</v>
      </c>
      <c r="F1304" s="283" t="s">
        <v>1075</v>
      </c>
      <c r="G1304" s="283">
        <v>3</v>
      </c>
      <c r="H1304" s="283">
        <v>0</v>
      </c>
      <c r="I1304" s="283">
        <v>0</v>
      </c>
      <c r="J1304" s="284">
        <v>0</v>
      </c>
    </row>
    <row r="1305" spans="3:10" x14ac:dyDescent="0.25">
      <c r="C1305" s="300" t="s">
        <v>1068</v>
      </c>
      <c r="D1305" s="283" t="s">
        <v>1079</v>
      </c>
      <c r="E1305" s="283" t="s">
        <v>1075</v>
      </c>
      <c r="F1305" s="283" t="s">
        <v>1075</v>
      </c>
      <c r="G1305" s="283">
        <v>3</v>
      </c>
      <c r="H1305" s="283">
        <v>0</v>
      </c>
      <c r="I1305" s="283">
        <v>0</v>
      </c>
      <c r="J1305" s="284">
        <v>0</v>
      </c>
    </row>
    <row r="1306" spans="3:10" x14ac:dyDescent="0.25">
      <c r="C1306" s="300" t="s">
        <v>1060</v>
      </c>
      <c r="D1306" s="283" t="s">
        <v>1043</v>
      </c>
      <c r="E1306" s="283" t="s">
        <v>1086</v>
      </c>
      <c r="F1306" s="283" t="s">
        <v>1092</v>
      </c>
      <c r="G1306" s="283">
        <v>2</v>
      </c>
      <c r="H1306" s="283">
        <v>0</v>
      </c>
      <c r="I1306" s="283">
        <v>0</v>
      </c>
      <c r="J1306" s="284">
        <v>1</v>
      </c>
    </row>
    <row r="1307" spans="3:10" x14ac:dyDescent="0.25">
      <c r="C1307" s="300" t="s">
        <v>1061</v>
      </c>
      <c r="D1307" s="283" t="s">
        <v>1079</v>
      </c>
      <c r="E1307" s="283" t="s">
        <v>1089</v>
      </c>
      <c r="F1307" s="283" t="s">
        <v>1044</v>
      </c>
      <c r="G1307" s="283">
        <v>2</v>
      </c>
      <c r="H1307" s="283">
        <v>0</v>
      </c>
      <c r="I1307" s="283">
        <v>0</v>
      </c>
      <c r="J1307" s="284">
        <v>0</v>
      </c>
    </row>
    <row r="1308" spans="3:10" x14ac:dyDescent="0.25">
      <c r="C1308" s="300" t="s">
        <v>1057</v>
      </c>
      <c r="D1308" s="283" t="s">
        <v>1079</v>
      </c>
      <c r="E1308" s="283" t="s">
        <v>1075</v>
      </c>
      <c r="F1308" s="283" t="s">
        <v>1075</v>
      </c>
      <c r="G1308" s="283">
        <v>2</v>
      </c>
      <c r="H1308" s="283">
        <v>0</v>
      </c>
      <c r="I1308" s="283">
        <v>0</v>
      </c>
      <c r="J1308" s="284">
        <v>0</v>
      </c>
    </row>
    <row r="1309" spans="3:10" x14ac:dyDescent="0.25">
      <c r="C1309" s="300" t="s">
        <v>1067</v>
      </c>
      <c r="D1309" s="283" t="s">
        <v>1043</v>
      </c>
      <c r="E1309" s="283" t="s">
        <v>1075</v>
      </c>
      <c r="F1309" s="283" t="s">
        <v>1092</v>
      </c>
      <c r="G1309" s="283">
        <v>2</v>
      </c>
      <c r="H1309" s="283">
        <v>0</v>
      </c>
      <c r="I1309" s="283">
        <v>0</v>
      </c>
      <c r="J1309" s="284">
        <v>1</v>
      </c>
    </row>
    <row r="1310" spans="3:10" x14ac:dyDescent="0.25">
      <c r="C1310" s="300" t="s">
        <v>1060</v>
      </c>
      <c r="D1310" s="283" t="s">
        <v>1090</v>
      </c>
      <c r="E1310" s="283" t="s">
        <v>1044</v>
      </c>
      <c r="F1310" s="283" t="s">
        <v>524</v>
      </c>
      <c r="G1310" s="283">
        <v>1</v>
      </c>
      <c r="H1310" s="283">
        <v>0</v>
      </c>
      <c r="I1310" s="283">
        <v>1</v>
      </c>
      <c r="J1310" s="284">
        <v>0</v>
      </c>
    </row>
    <row r="1311" spans="3:10" x14ac:dyDescent="0.25">
      <c r="C1311" s="300" t="s">
        <v>1064</v>
      </c>
      <c r="D1311" s="283" t="s">
        <v>1079</v>
      </c>
      <c r="E1311" s="283" t="s">
        <v>1078</v>
      </c>
      <c r="F1311" s="283" t="s">
        <v>1098</v>
      </c>
      <c r="G1311" s="283">
        <v>2</v>
      </c>
      <c r="H1311" s="283">
        <v>0</v>
      </c>
      <c r="I1311" s="283">
        <v>1</v>
      </c>
      <c r="J1311" s="284">
        <v>0</v>
      </c>
    </row>
    <row r="1312" spans="3:10" x14ac:dyDescent="0.25">
      <c r="C1312" s="300" t="s">
        <v>1060</v>
      </c>
      <c r="D1312" s="283" t="s">
        <v>1079</v>
      </c>
      <c r="E1312" s="283" t="s">
        <v>1075</v>
      </c>
      <c r="F1312" s="283" t="s">
        <v>1084</v>
      </c>
      <c r="G1312" s="283">
        <v>2</v>
      </c>
      <c r="H1312" s="283">
        <v>0</v>
      </c>
      <c r="I1312" s="283">
        <v>0</v>
      </c>
      <c r="J1312" s="284">
        <v>0</v>
      </c>
    </row>
    <row r="1313" spans="3:10" x14ac:dyDescent="0.25">
      <c r="C1313" s="300" t="s">
        <v>1063</v>
      </c>
      <c r="D1313" s="283" t="s">
        <v>1079</v>
      </c>
      <c r="E1313" s="283" t="s">
        <v>1091</v>
      </c>
      <c r="F1313" s="283" t="s">
        <v>1075</v>
      </c>
      <c r="G1313" s="283">
        <v>2</v>
      </c>
      <c r="H1313" s="283">
        <v>0</v>
      </c>
      <c r="I1313" s="283">
        <v>0</v>
      </c>
      <c r="J1313" s="284">
        <v>0</v>
      </c>
    </row>
    <row r="1314" spans="3:10" x14ac:dyDescent="0.25">
      <c r="C1314" s="300" t="s">
        <v>1062</v>
      </c>
      <c r="D1314" s="283" t="s">
        <v>1077</v>
      </c>
      <c r="E1314" s="283" t="s">
        <v>1080</v>
      </c>
      <c r="F1314" s="283" t="s">
        <v>1100</v>
      </c>
      <c r="G1314" s="283">
        <v>2</v>
      </c>
      <c r="H1314" s="283">
        <v>0</v>
      </c>
      <c r="I1314" s="283">
        <v>0</v>
      </c>
      <c r="J1314" s="284">
        <v>0</v>
      </c>
    </row>
    <row r="1315" spans="3:10" x14ac:dyDescent="0.25">
      <c r="C1315" s="300" t="s">
        <v>1061</v>
      </c>
      <c r="D1315" s="283" t="s">
        <v>1079</v>
      </c>
      <c r="E1315" s="283" t="s">
        <v>1075</v>
      </c>
      <c r="F1315" s="283" t="s">
        <v>1075</v>
      </c>
      <c r="G1315" s="283">
        <v>2</v>
      </c>
      <c r="H1315" s="283">
        <v>0</v>
      </c>
      <c r="I1315" s="283">
        <v>0</v>
      </c>
      <c r="J1315" s="284">
        <v>0</v>
      </c>
    </row>
    <row r="1316" spans="3:10" x14ac:dyDescent="0.25">
      <c r="C1316" s="300" t="s">
        <v>1067</v>
      </c>
      <c r="D1316" s="283" t="s">
        <v>1077</v>
      </c>
      <c r="E1316" s="283" t="s">
        <v>1075</v>
      </c>
      <c r="F1316" s="283" t="s">
        <v>1089</v>
      </c>
      <c r="G1316" s="283">
        <v>2</v>
      </c>
      <c r="H1316" s="283">
        <v>0</v>
      </c>
      <c r="I1316" s="283">
        <v>0</v>
      </c>
      <c r="J1316" s="284">
        <v>0</v>
      </c>
    </row>
    <row r="1317" spans="3:10" x14ac:dyDescent="0.25">
      <c r="C1317" s="300" t="s">
        <v>1061</v>
      </c>
      <c r="D1317" s="283" t="s">
        <v>1082</v>
      </c>
      <c r="E1317" s="283" t="s">
        <v>1075</v>
      </c>
      <c r="F1317" s="283" t="s">
        <v>1089</v>
      </c>
      <c r="G1317" s="283">
        <v>2</v>
      </c>
      <c r="H1317" s="283">
        <v>0</v>
      </c>
      <c r="I1317" s="283">
        <v>1</v>
      </c>
      <c r="J1317" s="284">
        <v>0</v>
      </c>
    </row>
    <row r="1318" spans="3:10" x14ac:dyDescent="0.25">
      <c r="C1318" s="300" t="s">
        <v>1067</v>
      </c>
      <c r="D1318" s="283" t="s">
        <v>1077</v>
      </c>
      <c r="E1318" s="283" t="s">
        <v>1089</v>
      </c>
      <c r="F1318" s="283" t="s">
        <v>1089</v>
      </c>
      <c r="G1318" s="283">
        <v>2</v>
      </c>
      <c r="H1318" s="283">
        <v>0</v>
      </c>
      <c r="I1318" s="283">
        <v>0</v>
      </c>
      <c r="J1318" s="284">
        <v>0</v>
      </c>
    </row>
    <row r="1319" spans="3:10" x14ac:dyDescent="0.25">
      <c r="C1319" s="300" t="s">
        <v>1061</v>
      </c>
      <c r="D1319" s="283" t="s">
        <v>1079</v>
      </c>
      <c r="E1319" s="283" t="s">
        <v>1080</v>
      </c>
      <c r="F1319" s="283" t="s">
        <v>1078</v>
      </c>
      <c r="G1319" s="283">
        <v>2</v>
      </c>
      <c r="H1319" s="283">
        <v>0</v>
      </c>
      <c r="I1319" s="283">
        <v>0</v>
      </c>
      <c r="J1319" s="284">
        <v>0</v>
      </c>
    </row>
    <row r="1320" spans="3:10" x14ac:dyDescent="0.25">
      <c r="C1320" s="300" t="s">
        <v>1066</v>
      </c>
      <c r="D1320" s="283" t="s">
        <v>1087</v>
      </c>
      <c r="E1320" s="283" t="s">
        <v>1076</v>
      </c>
      <c r="F1320" s="283" t="s">
        <v>524</v>
      </c>
      <c r="G1320" s="283">
        <v>1</v>
      </c>
      <c r="H1320" s="283">
        <v>0</v>
      </c>
      <c r="I1320" s="283">
        <v>0</v>
      </c>
      <c r="J1320" s="284">
        <v>0</v>
      </c>
    </row>
    <row r="1321" spans="3:10" x14ac:dyDescent="0.25">
      <c r="C1321" s="300" t="s">
        <v>1060</v>
      </c>
      <c r="D1321" s="283" t="s">
        <v>1074</v>
      </c>
      <c r="E1321" s="283" t="s">
        <v>1075</v>
      </c>
      <c r="F1321" s="283" t="s">
        <v>1044</v>
      </c>
      <c r="G1321" s="283">
        <v>2</v>
      </c>
      <c r="H1321" s="283">
        <v>0</v>
      </c>
      <c r="I1321" s="283">
        <v>1</v>
      </c>
      <c r="J1321" s="284">
        <v>0</v>
      </c>
    </row>
    <row r="1322" spans="3:10" x14ac:dyDescent="0.25">
      <c r="C1322" s="300" t="s">
        <v>1063</v>
      </c>
      <c r="D1322" s="283" t="s">
        <v>1079</v>
      </c>
      <c r="E1322" s="283" t="s">
        <v>1075</v>
      </c>
      <c r="F1322" s="283" t="s">
        <v>1084</v>
      </c>
      <c r="G1322" s="283">
        <v>2</v>
      </c>
      <c r="H1322" s="283">
        <v>0</v>
      </c>
      <c r="I1322" s="283">
        <v>0</v>
      </c>
      <c r="J1322" s="284">
        <v>0</v>
      </c>
    </row>
    <row r="1323" spans="3:10" x14ac:dyDescent="0.25">
      <c r="C1323" s="300" t="s">
        <v>1064</v>
      </c>
      <c r="D1323" s="283" t="s">
        <v>1079</v>
      </c>
      <c r="E1323" s="283" t="s">
        <v>1089</v>
      </c>
      <c r="F1323" s="283" t="s">
        <v>1089</v>
      </c>
      <c r="G1323" s="283">
        <v>2</v>
      </c>
      <c r="H1323" s="283">
        <v>0</v>
      </c>
      <c r="I1323" s="283">
        <v>0</v>
      </c>
      <c r="J1323" s="284">
        <v>0</v>
      </c>
    </row>
    <row r="1324" spans="3:10" x14ac:dyDescent="0.25">
      <c r="C1324" s="300" t="s">
        <v>1064</v>
      </c>
      <c r="D1324" s="283" t="s">
        <v>1077</v>
      </c>
      <c r="E1324" s="283" t="s">
        <v>1075</v>
      </c>
      <c r="F1324" s="283" t="s">
        <v>1089</v>
      </c>
      <c r="G1324" s="283">
        <v>2</v>
      </c>
      <c r="H1324" s="283">
        <v>0</v>
      </c>
      <c r="I1324" s="283">
        <v>0</v>
      </c>
      <c r="J1324" s="284">
        <v>0</v>
      </c>
    </row>
    <row r="1325" spans="3:10" x14ac:dyDescent="0.25">
      <c r="C1325" s="300" t="s">
        <v>1066</v>
      </c>
      <c r="D1325" s="283" t="s">
        <v>1087</v>
      </c>
      <c r="E1325" s="283" t="s">
        <v>1075</v>
      </c>
      <c r="F1325" s="283" t="s">
        <v>524</v>
      </c>
      <c r="G1325" s="283">
        <v>1</v>
      </c>
      <c r="H1325" s="283">
        <v>0</v>
      </c>
      <c r="I1325" s="283">
        <v>0</v>
      </c>
      <c r="J1325" s="284">
        <v>0</v>
      </c>
    </row>
    <row r="1326" spans="3:10" x14ac:dyDescent="0.25">
      <c r="C1326" s="300" t="s">
        <v>1065</v>
      </c>
      <c r="D1326" s="283" t="s">
        <v>1074</v>
      </c>
      <c r="E1326" s="283" t="s">
        <v>1078</v>
      </c>
      <c r="F1326" s="283" t="s">
        <v>1076</v>
      </c>
      <c r="G1326" s="283">
        <v>2</v>
      </c>
      <c r="H1326" s="283">
        <v>0</v>
      </c>
      <c r="I1326" s="283">
        <v>0</v>
      </c>
      <c r="J1326" s="284">
        <v>2</v>
      </c>
    </row>
    <row r="1327" spans="3:10" x14ac:dyDescent="0.25">
      <c r="C1327" s="300" t="s">
        <v>1057</v>
      </c>
      <c r="D1327" s="283" t="s">
        <v>1087</v>
      </c>
      <c r="E1327" s="283" t="s">
        <v>1078</v>
      </c>
      <c r="F1327" s="283" t="s">
        <v>524</v>
      </c>
      <c r="G1327" s="283">
        <v>1</v>
      </c>
      <c r="H1327" s="283">
        <v>0</v>
      </c>
      <c r="I1327" s="283">
        <v>0</v>
      </c>
      <c r="J1327" s="284">
        <v>1</v>
      </c>
    </row>
    <row r="1328" spans="3:10" x14ac:dyDescent="0.25">
      <c r="C1328" s="300" t="s">
        <v>1065</v>
      </c>
      <c r="D1328" s="283" t="s">
        <v>1087</v>
      </c>
      <c r="E1328" s="283" t="s">
        <v>1075</v>
      </c>
      <c r="F1328" s="283" t="s">
        <v>524</v>
      </c>
      <c r="G1328" s="283">
        <v>1</v>
      </c>
      <c r="H1328" s="283">
        <v>1</v>
      </c>
      <c r="I1328" s="283">
        <v>0</v>
      </c>
      <c r="J1328" s="284">
        <v>0</v>
      </c>
    </row>
    <row r="1329" spans="3:10" x14ac:dyDescent="0.25">
      <c r="C1329" s="300" t="s">
        <v>1057</v>
      </c>
      <c r="D1329" s="283" t="s">
        <v>1087</v>
      </c>
      <c r="E1329" s="283" t="s">
        <v>1075</v>
      </c>
      <c r="F1329" s="283" t="s">
        <v>524</v>
      </c>
      <c r="G1329" s="283">
        <v>1</v>
      </c>
      <c r="H1329" s="283">
        <v>1</v>
      </c>
      <c r="I1329" s="283">
        <v>0</v>
      </c>
      <c r="J1329" s="284">
        <v>0</v>
      </c>
    </row>
    <row r="1330" spans="3:10" x14ac:dyDescent="0.25">
      <c r="C1330" s="300" t="s">
        <v>1065</v>
      </c>
      <c r="D1330" s="283" t="s">
        <v>1082</v>
      </c>
      <c r="E1330" s="283" t="s">
        <v>1075</v>
      </c>
      <c r="F1330" s="283" t="s">
        <v>1075</v>
      </c>
      <c r="G1330" s="283">
        <v>2</v>
      </c>
      <c r="H1330" s="283">
        <v>1</v>
      </c>
      <c r="I1330" s="283">
        <v>0</v>
      </c>
      <c r="J1330" s="284">
        <v>1</v>
      </c>
    </row>
    <row r="1331" spans="3:10" x14ac:dyDescent="0.25">
      <c r="C1331" s="300" t="s">
        <v>1059</v>
      </c>
      <c r="D1331" s="283" t="s">
        <v>1079</v>
      </c>
      <c r="E1331" s="283" t="s">
        <v>1089</v>
      </c>
      <c r="F1331" s="283" t="s">
        <v>1078</v>
      </c>
      <c r="G1331" s="283">
        <v>2</v>
      </c>
      <c r="H1331" s="283">
        <v>0</v>
      </c>
      <c r="I1331" s="283">
        <v>1</v>
      </c>
      <c r="J1331" s="284">
        <v>0</v>
      </c>
    </row>
    <row r="1332" spans="3:10" x14ac:dyDescent="0.25">
      <c r="C1332" s="300" t="s">
        <v>1067</v>
      </c>
      <c r="D1332" s="283" t="s">
        <v>1077</v>
      </c>
      <c r="E1332" s="283" t="s">
        <v>1084</v>
      </c>
      <c r="F1332" s="283" t="s">
        <v>1075</v>
      </c>
      <c r="G1332" s="283">
        <v>2</v>
      </c>
      <c r="H1332" s="283">
        <v>0</v>
      </c>
      <c r="I1332" s="283">
        <v>0</v>
      </c>
      <c r="J1332" s="284">
        <v>2</v>
      </c>
    </row>
    <row r="1333" spans="3:10" x14ac:dyDescent="0.25">
      <c r="C1333" s="300" t="s">
        <v>1062</v>
      </c>
      <c r="D1333" s="283" t="s">
        <v>1087</v>
      </c>
      <c r="E1333" s="283" t="s">
        <v>1084</v>
      </c>
      <c r="F1333" s="283" t="s">
        <v>524</v>
      </c>
      <c r="G1333" s="283">
        <v>1</v>
      </c>
      <c r="H1333" s="283">
        <v>0</v>
      </c>
      <c r="I1333" s="283">
        <v>0</v>
      </c>
      <c r="J1333" s="284">
        <v>0</v>
      </c>
    </row>
    <row r="1334" spans="3:10" x14ac:dyDescent="0.25">
      <c r="C1334" s="300" t="s">
        <v>1067</v>
      </c>
      <c r="D1334" s="283" t="s">
        <v>1043</v>
      </c>
      <c r="E1334" s="283" t="s">
        <v>1075</v>
      </c>
      <c r="F1334" s="283" t="s">
        <v>1092</v>
      </c>
      <c r="G1334" s="283">
        <v>2</v>
      </c>
      <c r="H1334" s="283">
        <v>0</v>
      </c>
      <c r="I1334" s="283">
        <v>1</v>
      </c>
      <c r="J1334" s="284">
        <v>0</v>
      </c>
    </row>
    <row r="1335" spans="3:10" x14ac:dyDescent="0.25">
      <c r="C1335" s="300" t="s">
        <v>1059</v>
      </c>
      <c r="D1335" s="283" t="s">
        <v>1090</v>
      </c>
      <c r="E1335" s="283" t="s">
        <v>1075</v>
      </c>
      <c r="F1335" s="283" t="s">
        <v>524</v>
      </c>
      <c r="G1335" s="283">
        <v>1</v>
      </c>
      <c r="H1335" s="283">
        <v>0</v>
      </c>
      <c r="I1335" s="283">
        <v>0</v>
      </c>
      <c r="J1335" s="284">
        <v>1</v>
      </c>
    </row>
    <row r="1336" spans="3:10" x14ac:dyDescent="0.25">
      <c r="C1336" s="300" t="s">
        <v>1065</v>
      </c>
      <c r="D1336" s="283" t="s">
        <v>1087</v>
      </c>
      <c r="E1336" s="283" t="s">
        <v>1083</v>
      </c>
      <c r="F1336" s="283" t="s">
        <v>524</v>
      </c>
      <c r="G1336" s="283">
        <v>1</v>
      </c>
      <c r="H1336" s="283">
        <v>0</v>
      </c>
      <c r="I1336" s="283">
        <v>0</v>
      </c>
      <c r="J1336" s="284">
        <v>1</v>
      </c>
    </row>
    <row r="1337" spans="3:10" x14ac:dyDescent="0.25">
      <c r="C1337" s="300" t="s">
        <v>1062</v>
      </c>
      <c r="D1337" s="283" t="s">
        <v>1077</v>
      </c>
      <c r="E1337" s="283" t="s">
        <v>1078</v>
      </c>
      <c r="F1337" s="283" t="s">
        <v>1075</v>
      </c>
      <c r="G1337" s="283">
        <v>2</v>
      </c>
      <c r="H1337" s="283">
        <v>0</v>
      </c>
      <c r="I1337" s="283">
        <v>1</v>
      </c>
      <c r="J1337" s="284">
        <v>1</v>
      </c>
    </row>
    <row r="1338" spans="3:10" x14ac:dyDescent="0.25">
      <c r="C1338" s="300" t="s">
        <v>1061</v>
      </c>
      <c r="D1338" s="283" t="s">
        <v>1079</v>
      </c>
      <c r="E1338" s="283" t="s">
        <v>1083</v>
      </c>
      <c r="F1338" s="283" t="s">
        <v>1075</v>
      </c>
      <c r="G1338" s="283">
        <v>2</v>
      </c>
      <c r="H1338" s="283">
        <v>0</v>
      </c>
      <c r="I1338" s="283">
        <v>1</v>
      </c>
      <c r="J1338" s="284">
        <v>0</v>
      </c>
    </row>
    <row r="1339" spans="3:10" x14ac:dyDescent="0.25">
      <c r="C1339" s="300" t="s">
        <v>1066</v>
      </c>
      <c r="D1339" s="283" t="s">
        <v>1043</v>
      </c>
      <c r="E1339" s="283" t="s">
        <v>1075</v>
      </c>
      <c r="F1339" s="283" t="s">
        <v>1092</v>
      </c>
      <c r="G1339" s="283">
        <v>2</v>
      </c>
      <c r="H1339" s="283">
        <v>0</v>
      </c>
      <c r="I1339" s="283">
        <v>0</v>
      </c>
      <c r="J1339" s="284">
        <v>0</v>
      </c>
    </row>
    <row r="1340" spans="3:10" x14ac:dyDescent="0.25">
      <c r="C1340" s="300" t="s">
        <v>1062</v>
      </c>
      <c r="D1340" s="283" t="s">
        <v>1074</v>
      </c>
      <c r="E1340" s="283" t="s">
        <v>1076</v>
      </c>
      <c r="F1340" s="283" t="s">
        <v>1075</v>
      </c>
      <c r="G1340" s="283">
        <v>2</v>
      </c>
      <c r="H1340" s="283">
        <v>0</v>
      </c>
      <c r="I1340" s="283">
        <v>1</v>
      </c>
      <c r="J1340" s="284">
        <v>0</v>
      </c>
    </row>
    <row r="1341" spans="3:10" x14ac:dyDescent="0.25">
      <c r="C1341" s="300" t="s">
        <v>1062</v>
      </c>
      <c r="D1341" s="283" t="s">
        <v>1079</v>
      </c>
      <c r="E1341" s="283" t="s">
        <v>1084</v>
      </c>
      <c r="F1341" s="283" t="s">
        <v>1075</v>
      </c>
      <c r="G1341" s="283">
        <v>2</v>
      </c>
      <c r="H1341" s="283">
        <v>0</v>
      </c>
      <c r="I1341" s="283">
        <v>0</v>
      </c>
      <c r="J1341" s="284">
        <v>0</v>
      </c>
    </row>
    <row r="1342" spans="3:10" x14ac:dyDescent="0.25">
      <c r="C1342" s="300" t="s">
        <v>1061</v>
      </c>
      <c r="D1342" s="283" t="s">
        <v>1079</v>
      </c>
      <c r="E1342" s="283" t="s">
        <v>1081</v>
      </c>
      <c r="F1342" s="283" t="s">
        <v>1099</v>
      </c>
      <c r="G1342" s="283">
        <v>2</v>
      </c>
      <c r="H1342" s="283">
        <v>0</v>
      </c>
      <c r="I1342" s="283">
        <v>0</v>
      </c>
      <c r="J1342" s="284">
        <v>0</v>
      </c>
    </row>
    <row r="1343" spans="3:10" x14ac:dyDescent="0.25">
      <c r="C1343" s="300" t="s">
        <v>1068</v>
      </c>
      <c r="D1343" s="283" t="s">
        <v>1077</v>
      </c>
      <c r="E1343" s="283" t="s">
        <v>1075</v>
      </c>
      <c r="F1343" s="283" t="s">
        <v>1083</v>
      </c>
      <c r="G1343" s="283">
        <v>2</v>
      </c>
      <c r="H1343" s="283">
        <v>0</v>
      </c>
      <c r="I1343" s="283">
        <v>0</v>
      </c>
      <c r="J1343" s="284">
        <v>0</v>
      </c>
    </row>
    <row r="1344" spans="3:10" x14ac:dyDescent="0.25">
      <c r="C1344" s="300" t="s">
        <v>1063</v>
      </c>
      <c r="D1344" s="283" t="s">
        <v>1043</v>
      </c>
      <c r="E1344" s="283" t="s">
        <v>1083</v>
      </c>
      <c r="F1344" s="283" t="s">
        <v>1092</v>
      </c>
      <c r="G1344" s="283">
        <v>2</v>
      </c>
      <c r="H1344" s="283">
        <v>0</v>
      </c>
      <c r="I1344" s="283">
        <v>0</v>
      </c>
      <c r="J1344" s="284">
        <v>0</v>
      </c>
    </row>
    <row r="1345" spans="3:10" x14ac:dyDescent="0.25">
      <c r="C1345" s="300" t="s">
        <v>1067</v>
      </c>
      <c r="D1345" s="283" t="s">
        <v>1077</v>
      </c>
      <c r="E1345" s="283" t="s">
        <v>1078</v>
      </c>
      <c r="F1345" s="283" t="s">
        <v>1075</v>
      </c>
      <c r="G1345" s="283">
        <v>3</v>
      </c>
      <c r="H1345" s="283">
        <v>0</v>
      </c>
      <c r="I1345" s="283">
        <v>0</v>
      </c>
      <c r="J1345" s="284">
        <v>0</v>
      </c>
    </row>
    <row r="1346" spans="3:10" x14ac:dyDescent="0.25">
      <c r="C1346" s="300" t="s">
        <v>1066</v>
      </c>
      <c r="D1346" s="283" t="s">
        <v>1077</v>
      </c>
      <c r="E1346" s="283" t="s">
        <v>1075</v>
      </c>
      <c r="F1346" s="283" t="s">
        <v>1075</v>
      </c>
      <c r="G1346" s="283">
        <v>2</v>
      </c>
      <c r="H1346" s="283">
        <v>0</v>
      </c>
      <c r="I1346" s="283">
        <v>0</v>
      </c>
      <c r="J1346" s="284">
        <v>0</v>
      </c>
    </row>
    <row r="1347" spans="3:10" x14ac:dyDescent="0.25">
      <c r="C1347" s="300" t="s">
        <v>1057</v>
      </c>
      <c r="D1347" s="283" t="s">
        <v>1087</v>
      </c>
      <c r="E1347" s="283" t="s">
        <v>1075</v>
      </c>
      <c r="F1347" s="283" t="s">
        <v>524</v>
      </c>
      <c r="G1347" s="283">
        <v>1</v>
      </c>
      <c r="H1347" s="283">
        <v>0</v>
      </c>
      <c r="I1347" s="283">
        <v>0</v>
      </c>
      <c r="J1347" s="284">
        <v>0</v>
      </c>
    </row>
    <row r="1348" spans="3:10" x14ac:dyDescent="0.25">
      <c r="C1348" s="300" t="s">
        <v>1059</v>
      </c>
      <c r="D1348" s="283" t="s">
        <v>1079</v>
      </c>
      <c r="E1348" s="283" t="s">
        <v>1075</v>
      </c>
      <c r="F1348" s="283" t="s">
        <v>1075</v>
      </c>
      <c r="G1348" s="283">
        <v>2</v>
      </c>
      <c r="H1348" s="283">
        <v>0</v>
      </c>
      <c r="I1348" s="283">
        <v>0</v>
      </c>
      <c r="J1348" s="284">
        <v>0</v>
      </c>
    </row>
    <row r="1349" spans="3:10" x14ac:dyDescent="0.25">
      <c r="C1349" s="300" t="s">
        <v>1066</v>
      </c>
      <c r="D1349" s="283" t="s">
        <v>1087</v>
      </c>
      <c r="E1349" s="283" t="s">
        <v>1075</v>
      </c>
      <c r="F1349" s="283" t="s">
        <v>524</v>
      </c>
      <c r="G1349" s="283">
        <v>2</v>
      </c>
      <c r="H1349" s="283">
        <v>0</v>
      </c>
      <c r="I1349" s="283">
        <v>1</v>
      </c>
      <c r="J1349" s="284">
        <v>0</v>
      </c>
    </row>
    <row r="1350" spans="3:10" x14ac:dyDescent="0.25">
      <c r="C1350" s="300" t="s">
        <v>1063</v>
      </c>
      <c r="D1350" s="283" t="s">
        <v>1079</v>
      </c>
      <c r="E1350" s="283" t="s">
        <v>1089</v>
      </c>
      <c r="F1350" s="283" t="s">
        <v>1075</v>
      </c>
      <c r="G1350" s="283">
        <v>3</v>
      </c>
      <c r="H1350" s="283">
        <v>0</v>
      </c>
      <c r="I1350" s="283">
        <v>0</v>
      </c>
      <c r="J1350" s="284">
        <v>1</v>
      </c>
    </row>
    <row r="1351" spans="3:10" x14ac:dyDescent="0.25">
      <c r="C1351" s="300" t="s">
        <v>1065</v>
      </c>
      <c r="D1351" s="283" t="s">
        <v>1082</v>
      </c>
      <c r="E1351" s="283" t="s">
        <v>1089</v>
      </c>
      <c r="F1351" s="283" t="s">
        <v>1083</v>
      </c>
      <c r="G1351" s="283">
        <v>2</v>
      </c>
      <c r="H1351" s="283">
        <v>0</v>
      </c>
      <c r="I1351" s="283">
        <v>0</v>
      </c>
      <c r="J1351" s="284">
        <v>1</v>
      </c>
    </row>
    <row r="1352" spans="3:10" x14ac:dyDescent="0.25">
      <c r="C1352" s="300" t="s">
        <v>1060</v>
      </c>
      <c r="D1352" s="283" t="s">
        <v>1079</v>
      </c>
      <c r="E1352" s="283" t="s">
        <v>1075</v>
      </c>
      <c r="F1352" s="283" t="s">
        <v>1075</v>
      </c>
      <c r="G1352" s="283">
        <v>2</v>
      </c>
      <c r="H1352" s="283">
        <v>0</v>
      </c>
      <c r="I1352" s="283">
        <v>0</v>
      </c>
      <c r="J1352" s="284">
        <v>0</v>
      </c>
    </row>
    <row r="1353" spans="3:10" x14ac:dyDescent="0.25">
      <c r="C1353" s="300" t="s">
        <v>1062</v>
      </c>
      <c r="D1353" s="283" t="s">
        <v>1043</v>
      </c>
      <c r="E1353" s="283" t="s">
        <v>1075</v>
      </c>
      <c r="F1353" s="283" t="s">
        <v>1092</v>
      </c>
      <c r="G1353" s="283">
        <v>2</v>
      </c>
      <c r="H1353" s="283">
        <v>0</v>
      </c>
      <c r="I1353" s="283">
        <v>1</v>
      </c>
      <c r="J1353" s="284">
        <v>0</v>
      </c>
    </row>
    <row r="1354" spans="3:10" x14ac:dyDescent="0.25">
      <c r="C1354" s="300" t="s">
        <v>1061</v>
      </c>
      <c r="D1354" s="283" t="s">
        <v>1074</v>
      </c>
      <c r="E1354" s="283" t="s">
        <v>1089</v>
      </c>
      <c r="F1354" s="283" t="s">
        <v>1075</v>
      </c>
      <c r="G1354" s="283">
        <v>2</v>
      </c>
      <c r="H1354" s="283">
        <v>0</v>
      </c>
      <c r="I1354" s="283">
        <v>1</v>
      </c>
      <c r="J1354" s="284">
        <v>0</v>
      </c>
    </row>
    <row r="1355" spans="3:10" x14ac:dyDescent="0.25">
      <c r="C1355" s="300" t="s">
        <v>1060</v>
      </c>
      <c r="D1355" s="283" t="s">
        <v>1077</v>
      </c>
      <c r="E1355" s="283" t="s">
        <v>1089</v>
      </c>
      <c r="F1355" s="283" t="s">
        <v>1084</v>
      </c>
      <c r="G1355" s="283">
        <v>2</v>
      </c>
      <c r="H1355" s="283">
        <v>0</v>
      </c>
      <c r="I1355" s="283">
        <v>1</v>
      </c>
      <c r="J1355" s="284">
        <v>0</v>
      </c>
    </row>
    <row r="1356" spans="3:10" x14ac:dyDescent="0.25">
      <c r="C1356" s="300" t="s">
        <v>1064</v>
      </c>
      <c r="D1356" s="283" t="s">
        <v>1074</v>
      </c>
      <c r="E1356" s="283" t="s">
        <v>1075</v>
      </c>
      <c r="F1356" s="283" t="s">
        <v>1075</v>
      </c>
      <c r="G1356" s="283">
        <v>2</v>
      </c>
      <c r="H1356" s="283">
        <v>0</v>
      </c>
      <c r="I1356" s="283">
        <v>0</v>
      </c>
      <c r="J1356" s="284">
        <v>0</v>
      </c>
    </row>
    <row r="1357" spans="3:10" x14ac:dyDescent="0.25">
      <c r="C1357" s="300" t="s">
        <v>1060</v>
      </c>
      <c r="D1357" s="283" t="s">
        <v>1074</v>
      </c>
      <c r="E1357" s="283" t="s">
        <v>1075</v>
      </c>
      <c r="F1357" s="283" t="s">
        <v>1089</v>
      </c>
      <c r="G1357" s="283">
        <v>2</v>
      </c>
      <c r="H1357" s="283">
        <v>0</v>
      </c>
      <c r="I1357" s="283">
        <v>0</v>
      </c>
      <c r="J1357" s="284">
        <v>1</v>
      </c>
    </row>
    <row r="1358" spans="3:10" x14ac:dyDescent="0.25">
      <c r="C1358" s="300" t="s">
        <v>1060</v>
      </c>
      <c r="D1358" s="283" t="s">
        <v>1077</v>
      </c>
      <c r="E1358" s="283" t="s">
        <v>1075</v>
      </c>
      <c r="F1358" s="283" t="s">
        <v>1078</v>
      </c>
      <c r="G1358" s="283">
        <v>3</v>
      </c>
      <c r="H1358" s="283">
        <v>0</v>
      </c>
      <c r="I1358" s="283">
        <v>0</v>
      </c>
      <c r="J1358" s="284">
        <v>0</v>
      </c>
    </row>
    <row r="1359" spans="3:10" x14ac:dyDescent="0.25">
      <c r="C1359" s="300" t="s">
        <v>1062</v>
      </c>
      <c r="D1359" s="283" t="s">
        <v>1079</v>
      </c>
      <c r="E1359" s="283" t="s">
        <v>1076</v>
      </c>
      <c r="F1359" s="283" t="s">
        <v>1075</v>
      </c>
      <c r="G1359" s="283">
        <v>4</v>
      </c>
      <c r="H1359" s="283">
        <v>0</v>
      </c>
      <c r="I1359" s="283">
        <v>0</v>
      </c>
      <c r="J1359" s="284">
        <v>0</v>
      </c>
    </row>
    <row r="1360" spans="3:10" x14ac:dyDescent="0.25">
      <c r="C1360" s="300" t="s">
        <v>1066</v>
      </c>
      <c r="D1360" s="283" t="s">
        <v>1079</v>
      </c>
      <c r="E1360" s="283" t="s">
        <v>1089</v>
      </c>
      <c r="F1360" s="283" t="s">
        <v>1076</v>
      </c>
      <c r="G1360" s="283">
        <v>2</v>
      </c>
      <c r="H1360" s="283">
        <v>0</v>
      </c>
      <c r="I1360" s="283">
        <v>0</v>
      </c>
      <c r="J1360" s="284">
        <v>0</v>
      </c>
    </row>
    <row r="1361" spans="3:10" x14ac:dyDescent="0.25">
      <c r="C1361" s="300" t="s">
        <v>1061</v>
      </c>
      <c r="D1361" s="283" t="s">
        <v>1074</v>
      </c>
      <c r="E1361" s="283" t="s">
        <v>1075</v>
      </c>
      <c r="F1361" s="283" t="s">
        <v>1083</v>
      </c>
      <c r="G1361" s="283">
        <v>2</v>
      </c>
      <c r="H1361" s="283">
        <v>0</v>
      </c>
      <c r="I1361" s="283">
        <v>1</v>
      </c>
      <c r="J1361" s="284">
        <v>0</v>
      </c>
    </row>
    <row r="1362" spans="3:10" x14ac:dyDescent="0.25">
      <c r="C1362" s="300" t="s">
        <v>1062</v>
      </c>
      <c r="D1362" s="283" t="s">
        <v>1079</v>
      </c>
      <c r="E1362" s="283" t="s">
        <v>1075</v>
      </c>
      <c r="F1362" s="283" t="s">
        <v>1089</v>
      </c>
      <c r="G1362" s="283">
        <v>2</v>
      </c>
      <c r="H1362" s="283">
        <v>0</v>
      </c>
      <c r="I1362" s="283">
        <v>1</v>
      </c>
      <c r="J1362" s="284">
        <v>0</v>
      </c>
    </row>
    <row r="1363" spans="3:10" x14ac:dyDescent="0.25">
      <c r="C1363" s="300" t="s">
        <v>1062</v>
      </c>
      <c r="D1363" s="283" t="s">
        <v>1077</v>
      </c>
      <c r="E1363" s="283" t="s">
        <v>1083</v>
      </c>
      <c r="F1363" s="283" t="s">
        <v>1089</v>
      </c>
      <c r="G1363" s="283">
        <v>2</v>
      </c>
      <c r="H1363" s="283">
        <v>0</v>
      </c>
      <c r="I1363" s="283">
        <v>0</v>
      </c>
      <c r="J1363" s="284">
        <v>1</v>
      </c>
    </row>
    <row r="1364" spans="3:10" x14ac:dyDescent="0.25">
      <c r="C1364" s="300" t="s">
        <v>1062</v>
      </c>
      <c r="D1364" s="283" t="s">
        <v>1043</v>
      </c>
      <c r="E1364" s="283" t="s">
        <v>1089</v>
      </c>
      <c r="F1364" s="283" t="s">
        <v>1092</v>
      </c>
      <c r="G1364" s="283">
        <v>2</v>
      </c>
      <c r="H1364" s="283">
        <v>0</v>
      </c>
      <c r="I1364" s="283">
        <v>1</v>
      </c>
      <c r="J1364" s="284">
        <v>0</v>
      </c>
    </row>
    <row r="1365" spans="3:10" x14ac:dyDescent="0.25">
      <c r="C1365" s="300" t="s">
        <v>1060</v>
      </c>
      <c r="D1365" s="283" t="s">
        <v>1077</v>
      </c>
      <c r="E1365" s="283" t="s">
        <v>1075</v>
      </c>
      <c r="F1365" s="283" t="s">
        <v>1076</v>
      </c>
      <c r="G1365" s="283">
        <v>2</v>
      </c>
      <c r="H1365" s="283">
        <v>0</v>
      </c>
      <c r="I1365" s="283">
        <v>1</v>
      </c>
      <c r="J1365" s="284">
        <v>0</v>
      </c>
    </row>
    <row r="1366" spans="3:10" x14ac:dyDescent="0.25">
      <c r="C1366" s="300" t="s">
        <v>1065</v>
      </c>
      <c r="D1366" s="283" t="s">
        <v>1077</v>
      </c>
      <c r="E1366" s="283" t="s">
        <v>1075</v>
      </c>
      <c r="F1366" s="283" t="s">
        <v>1075</v>
      </c>
      <c r="G1366" s="283">
        <v>2</v>
      </c>
      <c r="H1366" s="283">
        <v>0</v>
      </c>
      <c r="I1366" s="283">
        <v>0</v>
      </c>
      <c r="J1366" s="284">
        <v>0</v>
      </c>
    </row>
    <row r="1367" spans="3:10" x14ac:dyDescent="0.25">
      <c r="C1367" s="300" t="s">
        <v>1058</v>
      </c>
      <c r="D1367" s="283" t="s">
        <v>1090</v>
      </c>
      <c r="E1367" s="283" t="s">
        <v>1075</v>
      </c>
      <c r="F1367" s="283" t="s">
        <v>524</v>
      </c>
      <c r="G1367" s="283">
        <v>1</v>
      </c>
      <c r="H1367" s="283">
        <v>0</v>
      </c>
      <c r="I1367" s="283">
        <v>0</v>
      </c>
      <c r="J1367" s="284">
        <v>0</v>
      </c>
    </row>
    <row r="1368" spans="3:10" x14ac:dyDescent="0.25">
      <c r="C1368" s="300" t="s">
        <v>1061</v>
      </c>
      <c r="D1368" s="283" t="s">
        <v>1079</v>
      </c>
      <c r="E1368" s="283" t="s">
        <v>1089</v>
      </c>
      <c r="F1368" s="283" t="s">
        <v>1084</v>
      </c>
      <c r="G1368" s="283">
        <v>2</v>
      </c>
      <c r="H1368" s="283">
        <v>0</v>
      </c>
      <c r="I1368" s="283">
        <v>0</v>
      </c>
      <c r="J1368" s="284">
        <v>0</v>
      </c>
    </row>
    <row r="1369" spans="3:10" x14ac:dyDescent="0.25">
      <c r="C1369" s="300" t="s">
        <v>1063</v>
      </c>
      <c r="D1369" s="283" t="s">
        <v>1074</v>
      </c>
      <c r="E1369" s="283" t="s">
        <v>1075</v>
      </c>
      <c r="F1369" s="283" t="s">
        <v>1080</v>
      </c>
      <c r="G1369" s="283">
        <v>2</v>
      </c>
      <c r="H1369" s="283">
        <v>0</v>
      </c>
      <c r="I1369" s="283">
        <v>0</v>
      </c>
      <c r="J1369" s="284">
        <v>0</v>
      </c>
    </row>
    <row r="1370" spans="3:10" x14ac:dyDescent="0.25">
      <c r="C1370" s="300" t="s">
        <v>1065</v>
      </c>
      <c r="D1370" s="283" t="s">
        <v>1079</v>
      </c>
      <c r="E1370" s="283" t="s">
        <v>1075</v>
      </c>
      <c r="F1370" s="283" t="s">
        <v>1089</v>
      </c>
      <c r="G1370" s="283">
        <v>2</v>
      </c>
      <c r="H1370" s="283">
        <v>0</v>
      </c>
      <c r="I1370" s="283">
        <v>0</v>
      </c>
      <c r="J1370" s="284">
        <v>1</v>
      </c>
    </row>
    <row r="1371" spans="3:10" x14ac:dyDescent="0.25">
      <c r="C1371" s="300" t="s">
        <v>1068</v>
      </c>
      <c r="D1371" s="283" t="s">
        <v>1079</v>
      </c>
      <c r="E1371" s="283" t="s">
        <v>1076</v>
      </c>
      <c r="F1371" s="283" t="s">
        <v>1075</v>
      </c>
      <c r="G1371" s="283">
        <v>2</v>
      </c>
      <c r="H1371" s="283">
        <v>0</v>
      </c>
      <c r="I1371" s="283">
        <v>0</v>
      </c>
      <c r="J1371" s="284">
        <v>0</v>
      </c>
    </row>
    <row r="1372" spans="3:10" x14ac:dyDescent="0.25">
      <c r="C1372" s="300" t="s">
        <v>1060</v>
      </c>
      <c r="D1372" s="283" t="s">
        <v>1074</v>
      </c>
      <c r="E1372" s="283" t="s">
        <v>1075</v>
      </c>
      <c r="F1372" s="283" t="s">
        <v>1075</v>
      </c>
      <c r="G1372" s="283">
        <v>2</v>
      </c>
      <c r="H1372" s="283">
        <v>0</v>
      </c>
      <c r="I1372" s="283">
        <v>0</v>
      </c>
      <c r="J1372" s="284">
        <v>0</v>
      </c>
    </row>
    <row r="1373" spans="3:10" x14ac:dyDescent="0.25">
      <c r="C1373" s="300" t="s">
        <v>1065</v>
      </c>
      <c r="D1373" s="283" t="s">
        <v>1090</v>
      </c>
      <c r="E1373" s="283" t="s">
        <v>1083</v>
      </c>
      <c r="F1373" s="283" t="s">
        <v>524</v>
      </c>
      <c r="G1373" s="283">
        <v>1</v>
      </c>
      <c r="H1373" s="283">
        <v>0</v>
      </c>
      <c r="I1373" s="283">
        <v>0</v>
      </c>
      <c r="J1373" s="284">
        <v>0</v>
      </c>
    </row>
    <row r="1374" spans="3:10" x14ac:dyDescent="0.25">
      <c r="C1374" s="300" t="s">
        <v>1066</v>
      </c>
      <c r="D1374" s="283" t="s">
        <v>1077</v>
      </c>
      <c r="E1374" s="283" t="s">
        <v>1075</v>
      </c>
      <c r="F1374" s="283" t="s">
        <v>1078</v>
      </c>
      <c r="G1374" s="283">
        <v>2</v>
      </c>
      <c r="H1374" s="283">
        <v>0</v>
      </c>
      <c r="I1374" s="283">
        <v>0</v>
      </c>
      <c r="J1374" s="284">
        <v>1</v>
      </c>
    </row>
    <row r="1375" spans="3:10" x14ac:dyDescent="0.25">
      <c r="C1375" s="300" t="s">
        <v>1065</v>
      </c>
      <c r="D1375" s="283" t="s">
        <v>1043</v>
      </c>
      <c r="E1375" s="283" t="s">
        <v>1075</v>
      </c>
      <c r="F1375" s="283" t="s">
        <v>1092</v>
      </c>
      <c r="G1375" s="283">
        <v>2</v>
      </c>
      <c r="H1375" s="283">
        <v>0</v>
      </c>
      <c r="I1375" s="283">
        <v>0</v>
      </c>
      <c r="J1375" s="284">
        <v>1</v>
      </c>
    </row>
    <row r="1376" spans="3:10" x14ac:dyDescent="0.25">
      <c r="C1376" s="300" t="s">
        <v>1065</v>
      </c>
      <c r="D1376" s="283" t="s">
        <v>1074</v>
      </c>
      <c r="E1376" s="283" t="s">
        <v>1081</v>
      </c>
      <c r="F1376" s="283" t="s">
        <v>1089</v>
      </c>
      <c r="G1376" s="283">
        <v>2</v>
      </c>
      <c r="H1376" s="283">
        <v>0</v>
      </c>
      <c r="I1376" s="283">
        <v>0</v>
      </c>
      <c r="J1376" s="284">
        <v>0</v>
      </c>
    </row>
    <row r="1377" spans="3:10" x14ac:dyDescent="0.25">
      <c r="C1377" s="300" t="s">
        <v>1065</v>
      </c>
      <c r="D1377" s="283" t="s">
        <v>1079</v>
      </c>
      <c r="E1377" s="283" t="s">
        <v>1075</v>
      </c>
      <c r="F1377" s="283" t="s">
        <v>1075</v>
      </c>
      <c r="G1377" s="283">
        <v>2</v>
      </c>
      <c r="H1377" s="283">
        <v>0</v>
      </c>
      <c r="I1377" s="283">
        <v>0</v>
      </c>
      <c r="J1377" s="284">
        <v>1</v>
      </c>
    </row>
    <row r="1378" spans="3:10" x14ac:dyDescent="0.25">
      <c r="C1378" s="300" t="s">
        <v>1065</v>
      </c>
      <c r="D1378" s="283" t="s">
        <v>1077</v>
      </c>
      <c r="E1378" s="283" t="s">
        <v>1075</v>
      </c>
      <c r="F1378" s="283" t="s">
        <v>1089</v>
      </c>
      <c r="G1378" s="283">
        <v>4</v>
      </c>
      <c r="H1378" s="283">
        <v>0</v>
      </c>
      <c r="I1378" s="283">
        <v>0</v>
      </c>
      <c r="J1378" s="284">
        <v>1</v>
      </c>
    </row>
    <row r="1379" spans="3:10" x14ac:dyDescent="0.25">
      <c r="C1379" s="300" t="s">
        <v>1063</v>
      </c>
      <c r="D1379" s="283" t="s">
        <v>1087</v>
      </c>
      <c r="E1379" s="283" t="s">
        <v>1075</v>
      </c>
      <c r="F1379" s="283" t="s">
        <v>524</v>
      </c>
      <c r="G1379" s="283">
        <v>1</v>
      </c>
      <c r="H1379" s="283">
        <v>0</v>
      </c>
      <c r="I1379" s="283">
        <v>0</v>
      </c>
      <c r="J1379" s="284">
        <v>0</v>
      </c>
    </row>
    <row r="1380" spans="3:10" x14ac:dyDescent="0.25">
      <c r="C1380" s="300" t="s">
        <v>1064</v>
      </c>
      <c r="D1380" s="283" t="s">
        <v>1079</v>
      </c>
      <c r="E1380" s="283" t="s">
        <v>1075</v>
      </c>
      <c r="F1380" s="283" t="s">
        <v>1078</v>
      </c>
      <c r="G1380" s="283">
        <v>2</v>
      </c>
      <c r="H1380" s="283">
        <v>0</v>
      </c>
      <c r="I1380" s="283">
        <v>0</v>
      </c>
      <c r="J1380" s="284">
        <v>0</v>
      </c>
    </row>
    <row r="1381" spans="3:10" x14ac:dyDescent="0.25">
      <c r="C1381" s="300" t="s">
        <v>1063</v>
      </c>
      <c r="D1381" s="283" t="s">
        <v>1082</v>
      </c>
      <c r="E1381" s="283" t="s">
        <v>1075</v>
      </c>
      <c r="F1381" s="283" t="s">
        <v>1075</v>
      </c>
      <c r="G1381" s="283">
        <v>2</v>
      </c>
      <c r="H1381" s="283">
        <v>0</v>
      </c>
      <c r="I1381" s="283">
        <v>0</v>
      </c>
      <c r="J1381" s="284">
        <v>0</v>
      </c>
    </row>
    <row r="1382" spans="3:10" x14ac:dyDescent="0.25">
      <c r="C1382" s="300" t="s">
        <v>1062</v>
      </c>
      <c r="D1382" s="283" t="s">
        <v>1077</v>
      </c>
      <c r="E1382" s="283" t="s">
        <v>1075</v>
      </c>
      <c r="F1382" s="283" t="s">
        <v>1076</v>
      </c>
      <c r="G1382" s="283">
        <v>2</v>
      </c>
      <c r="H1382" s="283">
        <v>0</v>
      </c>
      <c r="I1382" s="283">
        <v>0</v>
      </c>
      <c r="J1382" s="284">
        <v>0</v>
      </c>
    </row>
    <row r="1383" spans="3:10" x14ac:dyDescent="0.25">
      <c r="C1383" s="300" t="s">
        <v>1060</v>
      </c>
      <c r="D1383" s="283" t="s">
        <v>1074</v>
      </c>
      <c r="E1383" s="283" t="s">
        <v>1081</v>
      </c>
      <c r="F1383" s="283" t="s">
        <v>1075</v>
      </c>
      <c r="G1383" s="283">
        <v>2</v>
      </c>
      <c r="H1383" s="283">
        <v>0</v>
      </c>
      <c r="I1383" s="283">
        <v>0</v>
      </c>
      <c r="J1383" s="284">
        <v>0</v>
      </c>
    </row>
    <row r="1384" spans="3:10" x14ac:dyDescent="0.25">
      <c r="C1384" s="300" t="s">
        <v>1066</v>
      </c>
      <c r="D1384" s="283" t="s">
        <v>1079</v>
      </c>
      <c r="E1384" s="283" t="s">
        <v>1075</v>
      </c>
      <c r="F1384" s="283" t="s">
        <v>1075</v>
      </c>
      <c r="G1384" s="283">
        <v>2</v>
      </c>
      <c r="H1384" s="283">
        <v>0</v>
      </c>
      <c r="I1384" s="283">
        <v>0</v>
      </c>
      <c r="J1384" s="284">
        <v>0</v>
      </c>
    </row>
    <row r="1385" spans="3:10" x14ac:dyDescent="0.25">
      <c r="C1385" s="300" t="s">
        <v>1060</v>
      </c>
      <c r="D1385" s="283" t="s">
        <v>1077</v>
      </c>
      <c r="E1385" s="283" t="s">
        <v>1078</v>
      </c>
      <c r="F1385" s="283" t="s">
        <v>1089</v>
      </c>
      <c r="G1385" s="283">
        <v>3</v>
      </c>
      <c r="H1385" s="283">
        <v>0</v>
      </c>
      <c r="I1385" s="283">
        <v>0</v>
      </c>
      <c r="J1385" s="284">
        <v>0</v>
      </c>
    </row>
    <row r="1386" spans="3:10" x14ac:dyDescent="0.25">
      <c r="C1386" s="300" t="s">
        <v>1060</v>
      </c>
      <c r="D1386" s="283" t="s">
        <v>1079</v>
      </c>
      <c r="E1386" s="283" t="s">
        <v>1075</v>
      </c>
      <c r="F1386" s="283" t="s">
        <v>1080</v>
      </c>
      <c r="G1386" s="283">
        <v>2</v>
      </c>
      <c r="H1386" s="283">
        <v>0</v>
      </c>
      <c r="I1386" s="283">
        <v>0</v>
      </c>
      <c r="J1386" s="284">
        <v>0</v>
      </c>
    </row>
    <row r="1387" spans="3:10" x14ac:dyDescent="0.25">
      <c r="C1387" s="300" t="s">
        <v>1064</v>
      </c>
      <c r="D1387" s="283" t="s">
        <v>1077</v>
      </c>
      <c r="E1387" s="283" t="s">
        <v>1089</v>
      </c>
      <c r="F1387" s="283" t="s">
        <v>1094</v>
      </c>
      <c r="G1387" s="283">
        <v>3</v>
      </c>
      <c r="H1387" s="283">
        <v>0</v>
      </c>
      <c r="I1387" s="283">
        <v>0</v>
      </c>
      <c r="J1387" s="284">
        <v>0</v>
      </c>
    </row>
    <row r="1388" spans="3:10" x14ac:dyDescent="0.25">
      <c r="C1388" s="300" t="s">
        <v>1067</v>
      </c>
      <c r="D1388" s="283" t="s">
        <v>1043</v>
      </c>
      <c r="E1388" s="283" t="s">
        <v>1075</v>
      </c>
      <c r="F1388" s="283" t="s">
        <v>1092</v>
      </c>
      <c r="G1388" s="283">
        <v>2</v>
      </c>
      <c r="H1388" s="283">
        <v>0</v>
      </c>
      <c r="I1388" s="283">
        <v>0</v>
      </c>
      <c r="J1388" s="284">
        <v>1</v>
      </c>
    </row>
    <row r="1389" spans="3:10" x14ac:dyDescent="0.25">
      <c r="C1389" s="300" t="s">
        <v>1065</v>
      </c>
      <c r="D1389" s="283" t="s">
        <v>1074</v>
      </c>
      <c r="E1389" s="283" t="s">
        <v>1075</v>
      </c>
      <c r="F1389" s="283" t="s">
        <v>1089</v>
      </c>
      <c r="G1389" s="283">
        <v>3</v>
      </c>
      <c r="H1389" s="283">
        <v>0</v>
      </c>
      <c r="I1389" s="283">
        <v>1</v>
      </c>
      <c r="J1389" s="284">
        <v>1</v>
      </c>
    </row>
    <row r="1390" spans="3:10" x14ac:dyDescent="0.25">
      <c r="C1390" s="300" t="s">
        <v>1063</v>
      </c>
      <c r="D1390" s="283" t="s">
        <v>1087</v>
      </c>
      <c r="E1390" s="283" t="s">
        <v>1076</v>
      </c>
      <c r="F1390" s="283" t="s">
        <v>524</v>
      </c>
      <c r="G1390" s="283">
        <v>1</v>
      </c>
      <c r="H1390" s="283">
        <v>0</v>
      </c>
      <c r="I1390" s="283">
        <v>0</v>
      </c>
      <c r="J1390" s="284">
        <v>0</v>
      </c>
    </row>
    <row r="1391" spans="3:10" x14ac:dyDescent="0.25">
      <c r="C1391" s="300" t="s">
        <v>1066</v>
      </c>
      <c r="D1391" s="283" t="s">
        <v>1077</v>
      </c>
      <c r="E1391" s="283" t="s">
        <v>1078</v>
      </c>
      <c r="F1391" s="283" t="s">
        <v>1089</v>
      </c>
      <c r="G1391" s="283">
        <v>2</v>
      </c>
      <c r="H1391" s="283">
        <v>0</v>
      </c>
      <c r="I1391" s="283">
        <v>0</v>
      </c>
      <c r="J1391" s="284">
        <v>0</v>
      </c>
    </row>
    <row r="1392" spans="3:10" x14ac:dyDescent="0.25">
      <c r="C1392" s="300" t="s">
        <v>1064</v>
      </c>
      <c r="D1392" s="283" t="s">
        <v>1043</v>
      </c>
      <c r="E1392" s="283" t="s">
        <v>1078</v>
      </c>
      <c r="F1392" s="283" t="s">
        <v>1092</v>
      </c>
      <c r="G1392" s="283">
        <v>2</v>
      </c>
      <c r="H1392" s="283">
        <v>0</v>
      </c>
      <c r="I1392" s="283">
        <v>1</v>
      </c>
      <c r="J1392" s="284">
        <v>0</v>
      </c>
    </row>
    <row r="1393" spans="3:10" x14ac:dyDescent="0.25">
      <c r="C1393" s="300" t="s">
        <v>1065</v>
      </c>
      <c r="D1393" s="283" t="s">
        <v>1077</v>
      </c>
      <c r="E1393" s="283" t="s">
        <v>1078</v>
      </c>
      <c r="F1393" s="283" t="s">
        <v>1075</v>
      </c>
      <c r="G1393" s="283">
        <v>2</v>
      </c>
      <c r="H1393" s="283">
        <v>0</v>
      </c>
      <c r="I1393" s="283">
        <v>0</v>
      </c>
      <c r="J1393" s="284">
        <v>1</v>
      </c>
    </row>
    <row r="1394" spans="3:10" x14ac:dyDescent="0.25">
      <c r="C1394" s="300" t="s">
        <v>1064</v>
      </c>
      <c r="D1394" s="283" t="s">
        <v>1079</v>
      </c>
      <c r="E1394" s="283" t="s">
        <v>1075</v>
      </c>
      <c r="F1394" s="283" t="s">
        <v>1075</v>
      </c>
      <c r="G1394" s="283">
        <v>2</v>
      </c>
      <c r="H1394" s="283">
        <v>0</v>
      </c>
      <c r="I1394" s="283">
        <v>2</v>
      </c>
      <c r="J1394" s="284">
        <v>0</v>
      </c>
    </row>
    <row r="1395" spans="3:10" x14ac:dyDescent="0.25">
      <c r="C1395" s="300" t="s">
        <v>1065</v>
      </c>
      <c r="D1395" s="283" t="s">
        <v>1087</v>
      </c>
      <c r="E1395" s="283" t="s">
        <v>1075</v>
      </c>
      <c r="F1395" s="283" t="s">
        <v>524</v>
      </c>
      <c r="G1395" s="283">
        <v>1</v>
      </c>
      <c r="H1395" s="283">
        <v>0</v>
      </c>
      <c r="I1395" s="283">
        <v>0</v>
      </c>
      <c r="J1395" s="284">
        <v>0</v>
      </c>
    </row>
    <row r="1396" spans="3:10" x14ac:dyDescent="0.25">
      <c r="C1396" s="300" t="s">
        <v>1061</v>
      </c>
      <c r="D1396" s="283" t="s">
        <v>1074</v>
      </c>
      <c r="E1396" s="283" t="s">
        <v>1089</v>
      </c>
      <c r="F1396" s="283" t="s">
        <v>1075</v>
      </c>
      <c r="G1396" s="283">
        <v>2</v>
      </c>
      <c r="H1396" s="283">
        <v>0</v>
      </c>
      <c r="I1396" s="283">
        <v>0</v>
      </c>
      <c r="J1396" s="284">
        <v>2</v>
      </c>
    </row>
    <row r="1397" spans="3:10" x14ac:dyDescent="0.25">
      <c r="C1397" s="300" t="s">
        <v>1060</v>
      </c>
      <c r="D1397" s="283" t="s">
        <v>1074</v>
      </c>
      <c r="E1397" s="283" t="s">
        <v>1089</v>
      </c>
      <c r="F1397" s="283" t="s">
        <v>1089</v>
      </c>
      <c r="G1397" s="283">
        <v>2</v>
      </c>
      <c r="H1397" s="283">
        <v>0</v>
      </c>
      <c r="I1397" s="283">
        <v>0</v>
      </c>
      <c r="J1397" s="284">
        <v>0</v>
      </c>
    </row>
    <row r="1398" spans="3:10" x14ac:dyDescent="0.25">
      <c r="C1398" s="300" t="s">
        <v>1061</v>
      </c>
      <c r="D1398" s="283" t="s">
        <v>1074</v>
      </c>
      <c r="E1398" s="283" t="s">
        <v>1075</v>
      </c>
      <c r="F1398" s="283" t="s">
        <v>1080</v>
      </c>
      <c r="G1398" s="283">
        <v>2</v>
      </c>
      <c r="H1398" s="283">
        <v>0</v>
      </c>
      <c r="I1398" s="283">
        <v>1</v>
      </c>
      <c r="J1398" s="284">
        <v>0</v>
      </c>
    </row>
    <row r="1399" spans="3:10" x14ac:dyDescent="0.25">
      <c r="C1399" s="300" t="s">
        <v>1062</v>
      </c>
      <c r="D1399" s="283" t="s">
        <v>1077</v>
      </c>
      <c r="E1399" s="283" t="s">
        <v>1088</v>
      </c>
      <c r="F1399" s="283" t="s">
        <v>1076</v>
      </c>
      <c r="G1399" s="283">
        <v>3</v>
      </c>
      <c r="H1399" s="283">
        <v>0</v>
      </c>
      <c r="I1399" s="283">
        <v>0</v>
      </c>
      <c r="J1399" s="284">
        <v>1</v>
      </c>
    </row>
    <row r="1400" spans="3:10" x14ac:dyDescent="0.25">
      <c r="C1400" s="300" t="s">
        <v>1058</v>
      </c>
      <c r="D1400" s="283" t="s">
        <v>1079</v>
      </c>
      <c r="E1400" s="283" t="s">
        <v>1086</v>
      </c>
      <c r="F1400" s="283" t="s">
        <v>1075</v>
      </c>
      <c r="G1400" s="283">
        <v>2</v>
      </c>
      <c r="H1400" s="283">
        <v>0</v>
      </c>
      <c r="I1400" s="283">
        <v>0</v>
      </c>
      <c r="J1400" s="284">
        <v>1</v>
      </c>
    </row>
    <row r="1401" spans="3:10" x14ac:dyDescent="0.25">
      <c r="C1401" s="300" t="s">
        <v>1067</v>
      </c>
      <c r="D1401" s="283" t="s">
        <v>1079</v>
      </c>
      <c r="E1401" s="283" t="s">
        <v>1093</v>
      </c>
      <c r="F1401" s="283" t="s">
        <v>1075</v>
      </c>
      <c r="G1401" s="283">
        <v>2</v>
      </c>
      <c r="H1401" s="283">
        <v>0</v>
      </c>
      <c r="I1401" s="283">
        <v>0</v>
      </c>
      <c r="J1401" s="284">
        <v>1</v>
      </c>
    </row>
    <row r="1402" spans="3:10" x14ac:dyDescent="0.25">
      <c r="C1402" s="300" t="s">
        <v>1065</v>
      </c>
      <c r="D1402" s="283" t="s">
        <v>1079</v>
      </c>
      <c r="E1402" s="283" t="s">
        <v>1089</v>
      </c>
      <c r="F1402" s="283" t="s">
        <v>1075</v>
      </c>
      <c r="G1402" s="283">
        <v>2</v>
      </c>
      <c r="H1402" s="283">
        <v>0</v>
      </c>
      <c r="I1402" s="283">
        <v>0</v>
      </c>
      <c r="J1402" s="284">
        <v>0</v>
      </c>
    </row>
    <row r="1403" spans="3:10" x14ac:dyDescent="0.25">
      <c r="C1403" s="300" t="s">
        <v>1061</v>
      </c>
      <c r="D1403" s="283" t="s">
        <v>1074</v>
      </c>
      <c r="E1403" s="283" t="s">
        <v>1075</v>
      </c>
      <c r="F1403" s="283" t="s">
        <v>1081</v>
      </c>
      <c r="G1403" s="283">
        <v>2</v>
      </c>
      <c r="H1403" s="283">
        <v>0</v>
      </c>
      <c r="I1403" s="283">
        <v>0</v>
      </c>
      <c r="J1403" s="284">
        <v>0</v>
      </c>
    </row>
    <row r="1404" spans="3:10" x14ac:dyDescent="0.25">
      <c r="C1404" s="300" t="s">
        <v>1065</v>
      </c>
      <c r="D1404" s="283" t="s">
        <v>1087</v>
      </c>
      <c r="E1404" s="283" t="s">
        <v>1075</v>
      </c>
      <c r="F1404" s="283" t="s">
        <v>524</v>
      </c>
      <c r="G1404" s="283">
        <v>1</v>
      </c>
      <c r="H1404" s="283">
        <v>0</v>
      </c>
      <c r="I1404" s="283">
        <v>0</v>
      </c>
      <c r="J1404" s="284">
        <v>0</v>
      </c>
    </row>
    <row r="1405" spans="3:10" x14ac:dyDescent="0.25">
      <c r="C1405" s="300" t="s">
        <v>1065</v>
      </c>
      <c r="D1405" s="283" t="s">
        <v>1079</v>
      </c>
      <c r="E1405" s="283" t="s">
        <v>1078</v>
      </c>
      <c r="F1405" s="283" t="s">
        <v>1083</v>
      </c>
      <c r="G1405" s="283">
        <v>2</v>
      </c>
      <c r="H1405" s="283">
        <v>0</v>
      </c>
      <c r="I1405" s="283">
        <v>0</v>
      </c>
      <c r="J1405" s="284">
        <v>0</v>
      </c>
    </row>
    <row r="1406" spans="3:10" x14ac:dyDescent="0.25">
      <c r="C1406" s="300" t="s">
        <v>1062</v>
      </c>
      <c r="D1406" s="283" t="s">
        <v>1079</v>
      </c>
      <c r="E1406" s="283" t="s">
        <v>1084</v>
      </c>
      <c r="F1406" s="283" t="s">
        <v>1075</v>
      </c>
      <c r="G1406" s="283">
        <v>2</v>
      </c>
      <c r="H1406" s="283">
        <v>0</v>
      </c>
      <c r="I1406" s="283">
        <v>0</v>
      </c>
      <c r="J1406" s="284">
        <v>0</v>
      </c>
    </row>
    <row r="1407" spans="3:10" x14ac:dyDescent="0.25">
      <c r="C1407" s="300" t="s">
        <v>1061</v>
      </c>
      <c r="D1407" s="283" t="s">
        <v>1074</v>
      </c>
      <c r="E1407" s="283" t="s">
        <v>1089</v>
      </c>
      <c r="F1407" s="283" t="s">
        <v>1089</v>
      </c>
      <c r="G1407" s="283">
        <v>2</v>
      </c>
      <c r="H1407" s="283">
        <v>0</v>
      </c>
      <c r="I1407" s="283">
        <v>0</v>
      </c>
      <c r="J1407" s="284">
        <v>0</v>
      </c>
    </row>
    <row r="1408" spans="3:10" x14ac:dyDescent="0.25">
      <c r="C1408" s="300" t="s">
        <v>1061</v>
      </c>
      <c r="D1408" s="283" t="s">
        <v>1079</v>
      </c>
      <c r="E1408" s="283" t="s">
        <v>1089</v>
      </c>
      <c r="F1408" s="283" t="s">
        <v>1075</v>
      </c>
      <c r="G1408" s="283">
        <v>2</v>
      </c>
      <c r="H1408" s="283">
        <v>0</v>
      </c>
      <c r="I1408" s="283">
        <v>0</v>
      </c>
      <c r="J1408" s="284">
        <v>0</v>
      </c>
    </row>
    <row r="1409" spans="3:10" x14ac:dyDescent="0.25">
      <c r="C1409" s="300" t="s">
        <v>1066</v>
      </c>
      <c r="D1409" s="283" t="s">
        <v>1077</v>
      </c>
      <c r="E1409" s="283" t="s">
        <v>1075</v>
      </c>
      <c r="F1409" s="283" t="s">
        <v>1075</v>
      </c>
      <c r="G1409" s="283">
        <v>3</v>
      </c>
      <c r="H1409" s="283">
        <v>0</v>
      </c>
      <c r="I1409" s="283">
        <v>0</v>
      </c>
      <c r="J1409" s="284">
        <v>0</v>
      </c>
    </row>
    <row r="1410" spans="3:10" x14ac:dyDescent="0.25">
      <c r="C1410" s="300" t="s">
        <v>1061</v>
      </c>
      <c r="D1410" s="283" t="s">
        <v>1077</v>
      </c>
      <c r="E1410" s="283" t="s">
        <v>1089</v>
      </c>
      <c r="F1410" s="283" t="s">
        <v>1094</v>
      </c>
      <c r="G1410" s="283">
        <v>2</v>
      </c>
      <c r="H1410" s="283">
        <v>0</v>
      </c>
      <c r="I1410" s="283">
        <v>0</v>
      </c>
      <c r="J1410" s="284">
        <v>0</v>
      </c>
    </row>
    <row r="1411" spans="3:10" x14ac:dyDescent="0.25">
      <c r="C1411" s="300" t="s">
        <v>1065</v>
      </c>
      <c r="D1411" s="283" t="s">
        <v>1079</v>
      </c>
      <c r="E1411" s="283" t="s">
        <v>1075</v>
      </c>
      <c r="F1411" s="283" t="s">
        <v>1075</v>
      </c>
      <c r="G1411" s="283">
        <v>2</v>
      </c>
      <c r="H1411" s="283">
        <v>0</v>
      </c>
      <c r="I1411" s="283">
        <v>0</v>
      </c>
      <c r="J1411" s="284">
        <v>0</v>
      </c>
    </row>
    <row r="1412" spans="3:10" x14ac:dyDescent="0.25">
      <c r="C1412" s="300" t="s">
        <v>1066</v>
      </c>
      <c r="D1412" s="283" t="s">
        <v>1090</v>
      </c>
      <c r="E1412" s="283" t="s">
        <v>1083</v>
      </c>
      <c r="F1412" s="283" t="s">
        <v>524</v>
      </c>
      <c r="G1412" s="283">
        <v>2</v>
      </c>
      <c r="H1412" s="283">
        <v>0</v>
      </c>
      <c r="I1412" s="283">
        <v>1</v>
      </c>
      <c r="J1412" s="284">
        <v>0</v>
      </c>
    </row>
    <row r="1413" spans="3:10" x14ac:dyDescent="0.25">
      <c r="C1413" s="300" t="s">
        <v>1060</v>
      </c>
      <c r="D1413" s="283" t="s">
        <v>1077</v>
      </c>
      <c r="E1413" s="283" t="s">
        <v>1075</v>
      </c>
      <c r="F1413" s="283" t="s">
        <v>1076</v>
      </c>
      <c r="G1413" s="283">
        <v>2</v>
      </c>
      <c r="H1413" s="283">
        <v>0</v>
      </c>
      <c r="I1413" s="283">
        <v>0</v>
      </c>
      <c r="J1413" s="284">
        <v>1</v>
      </c>
    </row>
    <row r="1414" spans="3:10" x14ac:dyDescent="0.25">
      <c r="C1414" s="300" t="s">
        <v>1062</v>
      </c>
      <c r="D1414" s="283" t="s">
        <v>1077</v>
      </c>
      <c r="E1414" s="283" t="s">
        <v>1089</v>
      </c>
      <c r="F1414" s="283" t="s">
        <v>1078</v>
      </c>
      <c r="G1414" s="283">
        <v>3</v>
      </c>
      <c r="H1414" s="283">
        <v>0</v>
      </c>
      <c r="I1414" s="283">
        <v>0</v>
      </c>
      <c r="J1414" s="284">
        <v>1</v>
      </c>
    </row>
    <row r="1415" spans="3:10" x14ac:dyDescent="0.25">
      <c r="C1415" s="300" t="s">
        <v>1060</v>
      </c>
      <c r="D1415" s="283" t="s">
        <v>1077</v>
      </c>
      <c r="E1415" s="283" t="s">
        <v>1093</v>
      </c>
      <c r="F1415" s="283" t="s">
        <v>1084</v>
      </c>
      <c r="G1415" s="283">
        <v>2</v>
      </c>
      <c r="H1415" s="283">
        <v>0</v>
      </c>
      <c r="I1415" s="283">
        <v>1</v>
      </c>
      <c r="J1415" s="284">
        <v>0</v>
      </c>
    </row>
    <row r="1416" spans="3:10" x14ac:dyDescent="0.25">
      <c r="C1416" s="300" t="s">
        <v>1060</v>
      </c>
      <c r="D1416" s="283" t="s">
        <v>1079</v>
      </c>
      <c r="E1416" s="283" t="s">
        <v>1078</v>
      </c>
      <c r="F1416" s="283" t="s">
        <v>1075</v>
      </c>
      <c r="G1416" s="283">
        <v>2</v>
      </c>
      <c r="H1416" s="283">
        <v>0</v>
      </c>
      <c r="I1416" s="283">
        <v>0</v>
      </c>
      <c r="J1416" s="284">
        <v>0</v>
      </c>
    </row>
    <row r="1417" spans="3:10" x14ac:dyDescent="0.25">
      <c r="C1417" s="300" t="s">
        <v>1061</v>
      </c>
      <c r="D1417" s="283" t="s">
        <v>1074</v>
      </c>
      <c r="E1417" s="283" t="s">
        <v>1075</v>
      </c>
      <c r="F1417" s="283" t="s">
        <v>1075</v>
      </c>
      <c r="G1417" s="283">
        <v>2</v>
      </c>
      <c r="H1417" s="283">
        <v>0</v>
      </c>
      <c r="I1417" s="283">
        <v>0</v>
      </c>
      <c r="J1417" s="284">
        <v>1</v>
      </c>
    </row>
    <row r="1418" spans="3:10" x14ac:dyDescent="0.25">
      <c r="C1418" s="300" t="s">
        <v>1067</v>
      </c>
      <c r="D1418" s="283" t="s">
        <v>1079</v>
      </c>
      <c r="E1418" s="283" t="s">
        <v>1089</v>
      </c>
      <c r="F1418" s="283" t="s">
        <v>1075</v>
      </c>
      <c r="G1418" s="283">
        <v>2</v>
      </c>
      <c r="H1418" s="283">
        <v>0</v>
      </c>
      <c r="I1418" s="283">
        <v>0</v>
      </c>
      <c r="J1418" s="284">
        <v>1</v>
      </c>
    </row>
    <row r="1419" spans="3:10" x14ac:dyDescent="0.25">
      <c r="C1419" s="300" t="s">
        <v>1060</v>
      </c>
      <c r="D1419" s="283" t="s">
        <v>1043</v>
      </c>
      <c r="E1419" s="283" t="s">
        <v>1084</v>
      </c>
      <c r="F1419" s="283" t="s">
        <v>1092</v>
      </c>
      <c r="G1419" s="283">
        <v>2</v>
      </c>
      <c r="H1419" s="283">
        <v>0</v>
      </c>
      <c r="I1419" s="283">
        <v>0</v>
      </c>
      <c r="J1419" s="284">
        <v>1</v>
      </c>
    </row>
    <row r="1420" spans="3:10" x14ac:dyDescent="0.25">
      <c r="C1420" s="300" t="s">
        <v>1060</v>
      </c>
      <c r="D1420" s="283" t="s">
        <v>1087</v>
      </c>
      <c r="E1420" s="283" t="s">
        <v>1075</v>
      </c>
      <c r="F1420" s="283" t="s">
        <v>524</v>
      </c>
      <c r="G1420" s="283">
        <v>1</v>
      </c>
      <c r="H1420" s="283">
        <v>0</v>
      </c>
      <c r="I1420" s="283">
        <v>0</v>
      </c>
      <c r="J1420" s="284">
        <v>0</v>
      </c>
    </row>
    <row r="1421" spans="3:10" x14ac:dyDescent="0.25">
      <c r="C1421" s="300" t="s">
        <v>1062</v>
      </c>
      <c r="D1421" s="283" t="s">
        <v>1079</v>
      </c>
      <c r="E1421" s="283" t="s">
        <v>1075</v>
      </c>
      <c r="F1421" s="283" t="s">
        <v>1075</v>
      </c>
      <c r="G1421" s="283">
        <v>2</v>
      </c>
      <c r="H1421" s="283">
        <v>0</v>
      </c>
      <c r="I1421" s="283">
        <v>0</v>
      </c>
      <c r="J1421" s="284">
        <v>1</v>
      </c>
    </row>
    <row r="1422" spans="3:10" x14ac:dyDescent="0.25">
      <c r="C1422" s="300" t="s">
        <v>1065</v>
      </c>
      <c r="D1422" s="283" t="s">
        <v>1079</v>
      </c>
      <c r="E1422" s="283" t="s">
        <v>1076</v>
      </c>
      <c r="F1422" s="283" t="s">
        <v>1075</v>
      </c>
      <c r="G1422" s="283">
        <v>2</v>
      </c>
      <c r="H1422" s="283">
        <v>0</v>
      </c>
      <c r="I1422" s="283">
        <v>0</v>
      </c>
      <c r="J1422" s="284">
        <v>0</v>
      </c>
    </row>
    <row r="1423" spans="3:10" x14ac:dyDescent="0.25">
      <c r="C1423" s="300" t="s">
        <v>1064</v>
      </c>
      <c r="D1423" s="283" t="s">
        <v>1074</v>
      </c>
      <c r="E1423" s="283" t="s">
        <v>1075</v>
      </c>
      <c r="F1423" s="283" t="s">
        <v>1075</v>
      </c>
      <c r="G1423" s="283">
        <v>2</v>
      </c>
      <c r="H1423" s="283">
        <v>0</v>
      </c>
      <c r="I1423" s="283">
        <v>0</v>
      </c>
      <c r="J1423" s="284">
        <v>0</v>
      </c>
    </row>
    <row r="1424" spans="3:10" x14ac:dyDescent="0.25">
      <c r="C1424" s="300" t="s">
        <v>1065</v>
      </c>
      <c r="D1424" s="283" t="s">
        <v>1074</v>
      </c>
      <c r="E1424" s="283" t="s">
        <v>1089</v>
      </c>
      <c r="F1424" s="283" t="s">
        <v>1075</v>
      </c>
      <c r="G1424" s="283">
        <v>2</v>
      </c>
      <c r="H1424" s="283">
        <v>0</v>
      </c>
      <c r="I1424" s="283">
        <v>0</v>
      </c>
      <c r="J1424" s="284">
        <v>2</v>
      </c>
    </row>
    <row r="1425" spans="3:10" x14ac:dyDescent="0.25">
      <c r="C1425" s="300" t="s">
        <v>1065</v>
      </c>
      <c r="D1425" s="283" t="s">
        <v>1043</v>
      </c>
      <c r="E1425" s="283" t="s">
        <v>1094</v>
      </c>
      <c r="F1425" s="283" t="s">
        <v>1092</v>
      </c>
      <c r="G1425" s="283">
        <v>2</v>
      </c>
      <c r="H1425" s="283">
        <v>0</v>
      </c>
      <c r="I1425" s="283">
        <v>1</v>
      </c>
      <c r="J1425" s="284">
        <v>0</v>
      </c>
    </row>
    <row r="1426" spans="3:10" x14ac:dyDescent="0.25">
      <c r="C1426" s="300" t="s">
        <v>1063</v>
      </c>
      <c r="D1426" s="283" t="s">
        <v>1074</v>
      </c>
      <c r="E1426" s="283" t="s">
        <v>1075</v>
      </c>
      <c r="F1426" s="283" t="s">
        <v>1078</v>
      </c>
      <c r="G1426" s="283">
        <v>2</v>
      </c>
      <c r="H1426" s="283">
        <v>0</v>
      </c>
      <c r="I1426" s="283">
        <v>1</v>
      </c>
      <c r="J1426" s="284">
        <v>0</v>
      </c>
    </row>
    <row r="1427" spans="3:10" x14ac:dyDescent="0.25">
      <c r="C1427" s="300" t="s">
        <v>1064</v>
      </c>
      <c r="D1427" s="283" t="s">
        <v>1074</v>
      </c>
      <c r="E1427" s="283" t="s">
        <v>1075</v>
      </c>
      <c r="F1427" s="283" t="s">
        <v>1075</v>
      </c>
      <c r="G1427" s="283">
        <v>4</v>
      </c>
      <c r="H1427" s="283">
        <v>0</v>
      </c>
      <c r="I1427" s="283">
        <v>2</v>
      </c>
      <c r="J1427" s="284">
        <v>1</v>
      </c>
    </row>
    <row r="1428" spans="3:10" x14ac:dyDescent="0.25">
      <c r="C1428" s="300" t="s">
        <v>1060</v>
      </c>
      <c r="D1428" s="283" t="s">
        <v>1079</v>
      </c>
      <c r="E1428" s="283" t="s">
        <v>1075</v>
      </c>
      <c r="F1428" s="283" t="s">
        <v>1076</v>
      </c>
      <c r="G1428" s="283">
        <v>2</v>
      </c>
      <c r="H1428" s="283">
        <v>0</v>
      </c>
      <c r="I1428" s="283">
        <v>0</v>
      </c>
      <c r="J1428" s="284">
        <v>0</v>
      </c>
    </row>
    <row r="1429" spans="3:10" x14ac:dyDescent="0.25">
      <c r="C1429" s="300" t="s">
        <v>1061</v>
      </c>
      <c r="D1429" s="283" t="s">
        <v>1087</v>
      </c>
      <c r="E1429" s="283" t="s">
        <v>1075</v>
      </c>
      <c r="F1429" s="283" t="s">
        <v>524</v>
      </c>
      <c r="G1429" s="283">
        <v>1</v>
      </c>
      <c r="H1429" s="283">
        <v>0</v>
      </c>
      <c r="I1429" s="283">
        <v>0</v>
      </c>
      <c r="J1429" s="284">
        <v>2</v>
      </c>
    </row>
    <row r="1430" spans="3:10" x14ac:dyDescent="0.25">
      <c r="C1430" s="300" t="s">
        <v>1064</v>
      </c>
      <c r="D1430" s="283" t="s">
        <v>1087</v>
      </c>
      <c r="E1430" s="283" t="s">
        <v>1075</v>
      </c>
      <c r="F1430" s="283" t="s">
        <v>524</v>
      </c>
      <c r="G1430" s="283">
        <v>1</v>
      </c>
      <c r="H1430" s="283">
        <v>0</v>
      </c>
      <c r="I1430" s="283">
        <v>0</v>
      </c>
      <c r="J1430" s="284">
        <v>0</v>
      </c>
    </row>
    <row r="1431" spans="3:10" x14ac:dyDescent="0.25">
      <c r="C1431" s="300" t="s">
        <v>1061</v>
      </c>
      <c r="D1431" s="283" t="s">
        <v>1074</v>
      </c>
      <c r="E1431" s="283" t="s">
        <v>1044</v>
      </c>
      <c r="F1431" s="283" t="s">
        <v>1075</v>
      </c>
      <c r="G1431" s="283">
        <v>2</v>
      </c>
      <c r="H1431" s="283">
        <v>0</v>
      </c>
      <c r="I1431" s="283">
        <v>1</v>
      </c>
      <c r="J1431" s="284">
        <v>0</v>
      </c>
    </row>
    <row r="1432" spans="3:10" x14ac:dyDescent="0.25">
      <c r="C1432" s="300" t="s">
        <v>1063</v>
      </c>
      <c r="D1432" s="283" t="s">
        <v>1074</v>
      </c>
      <c r="E1432" s="283" t="s">
        <v>1075</v>
      </c>
      <c r="F1432" s="283" t="s">
        <v>1044</v>
      </c>
      <c r="G1432" s="283">
        <v>2</v>
      </c>
      <c r="H1432" s="283">
        <v>0</v>
      </c>
      <c r="I1432" s="283">
        <v>1</v>
      </c>
      <c r="J1432" s="284">
        <v>0</v>
      </c>
    </row>
    <row r="1433" spans="3:10" x14ac:dyDescent="0.25">
      <c r="C1433" s="300" t="s">
        <v>1065</v>
      </c>
      <c r="D1433" s="283" t="s">
        <v>1077</v>
      </c>
      <c r="E1433" s="283" t="s">
        <v>1094</v>
      </c>
      <c r="F1433" s="283" t="s">
        <v>1078</v>
      </c>
      <c r="G1433" s="283">
        <v>3</v>
      </c>
      <c r="H1433" s="283">
        <v>0</v>
      </c>
      <c r="I1433" s="283">
        <v>0</v>
      </c>
      <c r="J1433" s="284">
        <v>0</v>
      </c>
    </row>
    <row r="1434" spans="3:10" x14ac:dyDescent="0.25">
      <c r="C1434" s="300" t="s">
        <v>1064</v>
      </c>
      <c r="D1434" s="283" t="s">
        <v>1087</v>
      </c>
      <c r="E1434" s="283" t="s">
        <v>1080</v>
      </c>
      <c r="F1434" s="283" t="s">
        <v>524</v>
      </c>
      <c r="G1434" s="283">
        <v>1</v>
      </c>
      <c r="H1434" s="283">
        <v>0</v>
      </c>
      <c r="I1434" s="283">
        <v>0</v>
      </c>
      <c r="J1434" s="284">
        <v>0</v>
      </c>
    </row>
    <row r="1435" spans="3:10" x14ac:dyDescent="0.25">
      <c r="C1435" s="300" t="s">
        <v>1066</v>
      </c>
      <c r="D1435" s="283" t="s">
        <v>1087</v>
      </c>
      <c r="E1435" s="283" t="s">
        <v>1080</v>
      </c>
      <c r="F1435" s="283" t="s">
        <v>524</v>
      </c>
      <c r="G1435" s="283">
        <v>1</v>
      </c>
      <c r="H1435" s="283">
        <v>0</v>
      </c>
      <c r="I1435" s="283">
        <v>0</v>
      </c>
      <c r="J1435" s="284">
        <v>0</v>
      </c>
    </row>
    <row r="1436" spans="3:10" x14ac:dyDescent="0.25">
      <c r="C1436" s="300" t="s">
        <v>1064</v>
      </c>
      <c r="D1436" s="283" t="s">
        <v>1079</v>
      </c>
      <c r="E1436" s="283" t="s">
        <v>1084</v>
      </c>
      <c r="F1436" s="283" t="s">
        <v>1075</v>
      </c>
      <c r="G1436" s="283">
        <v>2</v>
      </c>
      <c r="H1436" s="283">
        <v>0</v>
      </c>
      <c r="I1436" s="283">
        <v>0</v>
      </c>
      <c r="J1436" s="284">
        <v>0</v>
      </c>
    </row>
    <row r="1437" spans="3:10" x14ac:dyDescent="0.25">
      <c r="C1437" s="300" t="s">
        <v>1061</v>
      </c>
      <c r="D1437" s="283" t="s">
        <v>1077</v>
      </c>
      <c r="E1437" s="283" t="s">
        <v>1075</v>
      </c>
      <c r="F1437" s="283" t="s">
        <v>1075</v>
      </c>
      <c r="G1437" s="283">
        <v>2</v>
      </c>
      <c r="H1437" s="283">
        <v>0</v>
      </c>
      <c r="I1437" s="283">
        <v>0</v>
      </c>
      <c r="J1437" s="284">
        <v>0</v>
      </c>
    </row>
    <row r="1438" spans="3:10" x14ac:dyDescent="0.25">
      <c r="C1438" s="300" t="s">
        <v>1065</v>
      </c>
      <c r="D1438" s="283" t="s">
        <v>1077</v>
      </c>
      <c r="E1438" s="283" t="s">
        <v>1089</v>
      </c>
      <c r="F1438" s="283" t="s">
        <v>1089</v>
      </c>
      <c r="G1438" s="283">
        <v>2</v>
      </c>
      <c r="H1438" s="283">
        <v>0</v>
      </c>
      <c r="I1438" s="283">
        <v>0</v>
      </c>
      <c r="J1438" s="284">
        <v>0</v>
      </c>
    </row>
    <row r="1439" spans="3:10" x14ac:dyDescent="0.25">
      <c r="C1439" s="300" t="s">
        <v>1067</v>
      </c>
      <c r="D1439" s="283" t="s">
        <v>1074</v>
      </c>
      <c r="E1439" s="283" t="s">
        <v>1076</v>
      </c>
      <c r="F1439" s="283" t="s">
        <v>1075</v>
      </c>
      <c r="G1439" s="283">
        <v>2</v>
      </c>
      <c r="H1439" s="283">
        <v>0</v>
      </c>
      <c r="I1439" s="283">
        <v>0</v>
      </c>
      <c r="J1439" s="284">
        <v>0</v>
      </c>
    </row>
    <row r="1440" spans="3:10" x14ac:dyDescent="0.25">
      <c r="C1440" s="300" t="s">
        <v>1066</v>
      </c>
      <c r="D1440" s="283" t="s">
        <v>1079</v>
      </c>
      <c r="E1440" s="283" t="s">
        <v>1100</v>
      </c>
      <c r="F1440" s="283" t="s">
        <v>1078</v>
      </c>
      <c r="G1440" s="283">
        <v>2</v>
      </c>
      <c r="H1440" s="283">
        <v>0</v>
      </c>
      <c r="I1440" s="283">
        <v>0</v>
      </c>
      <c r="J1440" s="284">
        <v>0</v>
      </c>
    </row>
    <row r="1441" spans="3:10" x14ac:dyDescent="0.25">
      <c r="C1441" s="300" t="s">
        <v>1064</v>
      </c>
      <c r="D1441" s="283" t="s">
        <v>1077</v>
      </c>
      <c r="E1441" s="283" t="s">
        <v>1089</v>
      </c>
      <c r="F1441" s="283" t="s">
        <v>1075</v>
      </c>
      <c r="G1441" s="283">
        <v>3</v>
      </c>
      <c r="H1441" s="283">
        <v>0</v>
      </c>
      <c r="I1441" s="283">
        <v>1</v>
      </c>
      <c r="J1441" s="284">
        <v>0</v>
      </c>
    </row>
    <row r="1442" spans="3:10" x14ac:dyDescent="0.25">
      <c r="C1442" s="300" t="s">
        <v>1063</v>
      </c>
      <c r="D1442" s="283" t="s">
        <v>1074</v>
      </c>
      <c r="E1442" s="283" t="s">
        <v>1075</v>
      </c>
      <c r="F1442" s="283" t="s">
        <v>1075</v>
      </c>
      <c r="G1442" s="283">
        <v>2</v>
      </c>
      <c r="H1442" s="283">
        <v>0</v>
      </c>
      <c r="I1442" s="283">
        <v>0</v>
      </c>
      <c r="J1442" s="284">
        <v>0</v>
      </c>
    </row>
    <row r="1443" spans="3:10" x14ac:dyDescent="0.25">
      <c r="C1443" s="300" t="s">
        <v>1064</v>
      </c>
      <c r="D1443" s="283" t="s">
        <v>1077</v>
      </c>
      <c r="E1443" s="283" t="s">
        <v>1075</v>
      </c>
      <c r="F1443" s="283" t="s">
        <v>1088</v>
      </c>
      <c r="G1443" s="283">
        <v>2</v>
      </c>
      <c r="H1443" s="283">
        <v>0</v>
      </c>
      <c r="I1443" s="283">
        <v>0</v>
      </c>
      <c r="J1443" s="284">
        <v>0</v>
      </c>
    </row>
    <row r="1444" spans="3:10" x14ac:dyDescent="0.25">
      <c r="C1444" s="300" t="s">
        <v>1065</v>
      </c>
      <c r="D1444" s="283" t="s">
        <v>1079</v>
      </c>
      <c r="E1444" s="283" t="s">
        <v>1083</v>
      </c>
      <c r="F1444" s="283" t="s">
        <v>1086</v>
      </c>
      <c r="G1444" s="283">
        <v>3</v>
      </c>
      <c r="H1444" s="283">
        <v>0</v>
      </c>
      <c r="I1444" s="283">
        <v>0</v>
      </c>
      <c r="J1444" s="284">
        <v>0</v>
      </c>
    </row>
    <row r="1445" spans="3:10" x14ac:dyDescent="0.25">
      <c r="C1445" s="300" t="s">
        <v>1063</v>
      </c>
      <c r="D1445" s="283" t="s">
        <v>1077</v>
      </c>
      <c r="E1445" s="283" t="s">
        <v>1076</v>
      </c>
      <c r="F1445" s="283" t="s">
        <v>1075</v>
      </c>
      <c r="G1445" s="283">
        <v>2</v>
      </c>
      <c r="H1445" s="283">
        <v>0</v>
      </c>
      <c r="I1445" s="283">
        <v>0</v>
      </c>
      <c r="J1445" s="284">
        <v>0</v>
      </c>
    </row>
    <row r="1446" spans="3:10" x14ac:dyDescent="0.25">
      <c r="C1446" s="300" t="s">
        <v>1065</v>
      </c>
      <c r="D1446" s="283" t="s">
        <v>1077</v>
      </c>
      <c r="E1446" s="283" t="s">
        <v>1075</v>
      </c>
      <c r="F1446" s="283" t="s">
        <v>1078</v>
      </c>
      <c r="G1446" s="283">
        <v>2</v>
      </c>
      <c r="H1446" s="283">
        <v>0</v>
      </c>
      <c r="I1446" s="283">
        <v>0</v>
      </c>
      <c r="J1446" s="284">
        <v>0</v>
      </c>
    </row>
    <row r="1447" spans="3:10" x14ac:dyDescent="0.25">
      <c r="C1447" s="300" t="s">
        <v>1062</v>
      </c>
      <c r="D1447" s="283" t="s">
        <v>1079</v>
      </c>
      <c r="E1447" s="283" t="s">
        <v>1075</v>
      </c>
      <c r="F1447" s="283" t="s">
        <v>1083</v>
      </c>
      <c r="G1447" s="283">
        <v>2</v>
      </c>
      <c r="H1447" s="283">
        <v>0</v>
      </c>
      <c r="I1447" s="283">
        <v>0</v>
      </c>
      <c r="J1447" s="284">
        <v>0</v>
      </c>
    </row>
    <row r="1448" spans="3:10" x14ac:dyDescent="0.25">
      <c r="C1448" s="300" t="s">
        <v>1065</v>
      </c>
      <c r="D1448" s="283" t="s">
        <v>1077</v>
      </c>
      <c r="E1448" s="283" t="s">
        <v>1083</v>
      </c>
      <c r="F1448" s="283" t="s">
        <v>1089</v>
      </c>
      <c r="G1448" s="283">
        <v>2</v>
      </c>
      <c r="H1448" s="283">
        <v>0</v>
      </c>
      <c r="I1448" s="283">
        <v>0</v>
      </c>
      <c r="J1448" s="284">
        <v>0</v>
      </c>
    </row>
    <row r="1449" spans="3:10" x14ac:dyDescent="0.25">
      <c r="C1449" s="300" t="s">
        <v>1067</v>
      </c>
      <c r="D1449" s="283" t="s">
        <v>1090</v>
      </c>
      <c r="E1449" s="283" t="s">
        <v>1078</v>
      </c>
      <c r="F1449" s="283" t="s">
        <v>524</v>
      </c>
      <c r="G1449" s="283">
        <v>1</v>
      </c>
      <c r="H1449" s="283">
        <v>0</v>
      </c>
      <c r="I1449" s="283">
        <v>0</v>
      </c>
      <c r="J1449" s="284">
        <v>0</v>
      </c>
    </row>
    <row r="1450" spans="3:10" x14ac:dyDescent="0.25">
      <c r="C1450" s="300" t="s">
        <v>1063</v>
      </c>
      <c r="D1450" s="283" t="s">
        <v>1087</v>
      </c>
      <c r="E1450" s="283" t="s">
        <v>1078</v>
      </c>
      <c r="F1450" s="283" t="s">
        <v>524</v>
      </c>
      <c r="G1450" s="283">
        <v>1</v>
      </c>
      <c r="H1450" s="283">
        <v>0</v>
      </c>
      <c r="I1450" s="283">
        <v>1</v>
      </c>
      <c r="J1450" s="284">
        <v>0</v>
      </c>
    </row>
    <row r="1451" spans="3:10" x14ac:dyDescent="0.25">
      <c r="C1451" s="300" t="s">
        <v>1067</v>
      </c>
      <c r="D1451" s="283" t="s">
        <v>1043</v>
      </c>
      <c r="E1451" s="283" t="s">
        <v>1083</v>
      </c>
      <c r="F1451" s="283" t="s">
        <v>1092</v>
      </c>
      <c r="G1451" s="283">
        <v>2</v>
      </c>
      <c r="H1451" s="283">
        <v>0</v>
      </c>
      <c r="I1451" s="283">
        <v>0</v>
      </c>
      <c r="J1451" s="284">
        <v>1</v>
      </c>
    </row>
    <row r="1452" spans="3:10" x14ac:dyDescent="0.25">
      <c r="C1452" s="300" t="s">
        <v>1063</v>
      </c>
      <c r="D1452" s="283" t="s">
        <v>1079</v>
      </c>
      <c r="E1452" s="283" t="s">
        <v>1075</v>
      </c>
      <c r="F1452" s="283" t="s">
        <v>1083</v>
      </c>
      <c r="G1452" s="283">
        <v>2</v>
      </c>
      <c r="H1452" s="283">
        <v>0</v>
      </c>
      <c r="I1452" s="283">
        <v>0</v>
      </c>
      <c r="J1452" s="284">
        <v>0</v>
      </c>
    </row>
    <row r="1453" spans="3:10" x14ac:dyDescent="0.25">
      <c r="C1453" s="300" t="s">
        <v>1067</v>
      </c>
      <c r="D1453" s="283" t="s">
        <v>1077</v>
      </c>
      <c r="E1453" s="283" t="s">
        <v>1044</v>
      </c>
      <c r="F1453" s="283" t="s">
        <v>1075</v>
      </c>
      <c r="G1453" s="283">
        <v>2</v>
      </c>
      <c r="H1453" s="283">
        <v>0</v>
      </c>
      <c r="I1453" s="283">
        <v>1</v>
      </c>
      <c r="J1453" s="284">
        <v>0</v>
      </c>
    </row>
    <row r="1454" spans="3:10" x14ac:dyDescent="0.25">
      <c r="C1454" s="300" t="s">
        <v>1062</v>
      </c>
      <c r="D1454" s="283" t="s">
        <v>1043</v>
      </c>
      <c r="E1454" s="283" t="s">
        <v>1075</v>
      </c>
      <c r="F1454" s="283" t="s">
        <v>1092</v>
      </c>
      <c r="G1454" s="283">
        <v>2</v>
      </c>
      <c r="H1454" s="283">
        <v>0</v>
      </c>
      <c r="I1454" s="283">
        <v>1</v>
      </c>
      <c r="J1454" s="284">
        <v>0</v>
      </c>
    </row>
    <row r="1455" spans="3:10" x14ac:dyDescent="0.25">
      <c r="C1455" s="300" t="s">
        <v>1057</v>
      </c>
      <c r="D1455" s="283" t="s">
        <v>1079</v>
      </c>
      <c r="E1455" s="283" t="s">
        <v>1075</v>
      </c>
      <c r="F1455" s="283" t="s">
        <v>1075</v>
      </c>
      <c r="G1455" s="283">
        <v>3</v>
      </c>
      <c r="H1455" s="283">
        <v>0</v>
      </c>
      <c r="I1455" s="283">
        <v>2</v>
      </c>
      <c r="J1455" s="284">
        <v>0</v>
      </c>
    </row>
    <row r="1456" spans="3:10" x14ac:dyDescent="0.25">
      <c r="C1456" s="300" t="s">
        <v>1065</v>
      </c>
      <c r="D1456" s="283" t="s">
        <v>1043</v>
      </c>
      <c r="E1456" s="283" t="s">
        <v>1075</v>
      </c>
      <c r="F1456" s="283" t="s">
        <v>1092</v>
      </c>
      <c r="G1456" s="283">
        <v>2</v>
      </c>
      <c r="H1456" s="283">
        <v>0</v>
      </c>
      <c r="I1456" s="283">
        <v>1</v>
      </c>
      <c r="J1456" s="284">
        <v>0</v>
      </c>
    </row>
    <row r="1457" spans="3:10" x14ac:dyDescent="0.25">
      <c r="C1457" s="300" t="s">
        <v>1064</v>
      </c>
      <c r="D1457" s="283" t="s">
        <v>1074</v>
      </c>
      <c r="E1457" s="283" t="s">
        <v>1075</v>
      </c>
      <c r="F1457" s="283" t="s">
        <v>1089</v>
      </c>
      <c r="G1457" s="283">
        <v>2</v>
      </c>
      <c r="H1457" s="283">
        <v>0</v>
      </c>
      <c r="I1457" s="283">
        <v>0</v>
      </c>
      <c r="J1457" s="284">
        <v>1</v>
      </c>
    </row>
    <row r="1458" spans="3:10" x14ac:dyDescent="0.25">
      <c r="C1458" s="300" t="s">
        <v>1063</v>
      </c>
      <c r="D1458" s="283" t="s">
        <v>1043</v>
      </c>
      <c r="E1458" s="283" t="s">
        <v>1075</v>
      </c>
      <c r="F1458" s="283" t="s">
        <v>1092</v>
      </c>
      <c r="G1458" s="283">
        <v>2</v>
      </c>
      <c r="H1458" s="283">
        <v>0</v>
      </c>
      <c r="I1458" s="283">
        <v>0</v>
      </c>
      <c r="J1458" s="284">
        <v>0</v>
      </c>
    </row>
    <row r="1459" spans="3:10" x14ac:dyDescent="0.25">
      <c r="C1459" s="300" t="s">
        <v>1059</v>
      </c>
      <c r="D1459" s="283" t="s">
        <v>1074</v>
      </c>
      <c r="E1459" s="283" t="s">
        <v>1075</v>
      </c>
      <c r="F1459" s="283" t="s">
        <v>1075</v>
      </c>
      <c r="G1459" s="283">
        <v>3</v>
      </c>
      <c r="H1459" s="283">
        <v>0</v>
      </c>
      <c r="I1459" s="283">
        <v>1</v>
      </c>
      <c r="J1459" s="284">
        <v>0</v>
      </c>
    </row>
    <row r="1460" spans="3:10" x14ac:dyDescent="0.25">
      <c r="C1460" s="300" t="s">
        <v>1065</v>
      </c>
      <c r="D1460" s="283" t="s">
        <v>1077</v>
      </c>
      <c r="E1460" s="283" t="s">
        <v>1075</v>
      </c>
      <c r="F1460" s="283" t="s">
        <v>1075</v>
      </c>
      <c r="G1460" s="283">
        <v>2</v>
      </c>
      <c r="H1460" s="283">
        <v>0</v>
      </c>
      <c r="I1460" s="283">
        <v>0</v>
      </c>
      <c r="J1460" s="284">
        <v>0</v>
      </c>
    </row>
    <row r="1461" spans="3:10" x14ac:dyDescent="0.25">
      <c r="C1461" s="300" t="s">
        <v>1063</v>
      </c>
      <c r="D1461" s="283" t="s">
        <v>1074</v>
      </c>
      <c r="E1461" s="283" t="s">
        <v>1089</v>
      </c>
      <c r="F1461" s="283" t="s">
        <v>1075</v>
      </c>
      <c r="G1461" s="283">
        <v>2</v>
      </c>
      <c r="H1461" s="283">
        <v>0</v>
      </c>
      <c r="I1461" s="283">
        <v>0</v>
      </c>
      <c r="J1461" s="284">
        <v>0</v>
      </c>
    </row>
    <row r="1462" spans="3:10" x14ac:dyDescent="0.25">
      <c r="C1462" s="300" t="s">
        <v>1065</v>
      </c>
      <c r="D1462" s="283" t="s">
        <v>1077</v>
      </c>
      <c r="E1462" s="283" t="s">
        <v>1076</v>
      </c>
      <c r="F1462" s="283" t="s">
        <v>1078</v>
      </c>
      <c r="G1462" s="283">
        <v>2</v>
      </c>
      <c r="H1462" s="283">
        <v>0</v>
      </c>
      <c r="I1462" s="283">
        <v>0</v>
      </c>
      <c r="J1462" s="284">
        <v>0</v>
      </c>
    </row>
    <row r="1463" spans="3:10" x14ac:dyDescent="0.25">
      <c r="C1463" s="300" t="s">
        <v>1067</v>
      </c>
      <c r="D1463" s="283" t="s">
        <v>1090</v>
      </c>
      <c r="E1463" s="283" t="s">
        <v>1084</v>
      </c>
      <c r="F1463" s="283" t="s">
        <v>524</v>
      </c>
      <c r="G1463" s="283">
        <v>1</v>
      </c>
      <c r="H1463" s="283">
        <v>0</v>
      </c>
      <c r="I1463" s="283">
        <v>0</v>
      </c>
      <c r="J1463" s="284">
        <v>0</v>
      </c>
    </row>
    <row r="1464" spans="3:10" x14ac:dyDescent="0.25">
      <c r="C1464" s="300" t="s">
        <v>1060</v>
      </c>
      <c r="D1464" s="283" t="s">
        <v>1087</v>
      </c>
      <c r="E1464" s="283" t="s">
        <v>1076</v>
      </c>
      <c r="F1464" s="283" t="s">
        <v>524</v>
      </c>
      <c r="G1464" s="283">
        <v>1</v>
      </c>
      <c r="H1464" s="283">
        <v>0</v>
      </c>
      <c r="I1464" s="283">
        <v>0</v>
      </c>
      <c r="J1464" s="284">
        <v>0</v>
      </c>
    </row>
    <row r="1465" spans="3:10" x14ac:dyDescent="0.25">
      <c r="C1465" s="300" t="s">
        <v>1061</v>
      </c>
      <c r="D1465" s="283" t="s">
        <v>1079</v>
      </c>
      <c r="E1465" s="283" t="s">
        <v>1075</v>
      </c>
      <c r="F1465" s="283" t="s">
        <v>1075</v>
      </c>
      <c r="G1465" s="283">
        <v>2</v>
      </c>
      <c r="H1465" s="283">
        <v>0</v>
      </c>
      <c r="I1465" s="283">
        <v>0</v>
      </c>
      <c r="J1465" s="284">
        <v>0</v>
      </c>
    </row>
    <row r="1466" spans="3:10" x14ac:dyDescent="0.25">
      <c r="C1466" s="300" t="s">
        <v>1066</v>
      </c>
      <c r="D1466" s="283" t="s">
        <v>1079</v>
      </c>
      <c r="E1466" s="283" t="s">
        <v>1075</v>
      </c>
      <c r="F1466" s="283" t="s">
        <v>1075</v>
      </c>
      <c r="G1466" s="283">
        <v>2</v>
      </c>
      <c r="H1466" s="283">
        <v>0</v>
      </c>
      <c r="I1466" s="283">
        <v>0</v>
      </c>
      <c r="J1466" s="284">
        <v>0</v>
      </c>
    </row>
    <row r="1467" spans="3:10" x14ac:dyDescent="0.25">
      <c r="C1467" s="300" t="s">
        <v>1063</v>
      </c>
      <c r="D1467" s="283" t="s">
        <v>1077</v>
      </c>
      <c r="E1467" s="283" t="s">
        <v>1075</v>
      </c>
      <c r="F1467" s="283" t="s">
        <v>1075</v>
      </c>
      <c r="G1467" s="283">
        <v>4</v>
      </c>
      <c r="H1467" s="283">
        <v>0</v>
      </c>
      <c r="I1467" s="283">
        <v>0</v>
      </c>
      <c r="J1467" s="284">
        <v>0</v>
      </c>
    </row>
    <row r="1468" spans="3:10" x14ac:dyDescent="0.25">
      <c r="C1468" s="300" t="s">
        <v>1060</v>
      </c>
      <c r="D1468" s="283" t="s">
        <v>1079</v>
      </c>
      <c r="E1468" s="283" t="s">
        <v>1075</v>
      </c>
      <c r="F1468" s="283" t="s">
        <v>1076</v>
      </c>
      <c r="G1468" s="283">
        <v>2</v>
      </c>
      <c r="H1468" s="283">
        <v>0</v>
      </c>
      <c r="I1468" s="283">
        <v>0</v>
      </c>
      <c r="J1468" s="284">
        <v>1</v>
      </c>
    </row>
    <row r="1469" spans="3:10" x14ac:dyDescent="0.25">
      <c r="C1469" s="300" t="s">
        <v>1060</v>
      </c>
      <c r="D1469" s="283" t="s">
        <v>1077</v>
      </c>
      <c r="E1469" s="283" t="s">
        <v>1075</v>
      </c>
      <c r="F1469" s="283" t="s">
        <v>1075</v>
      </c>
      <c r="G1469" s="283">
        <v>3</v>
      </c>
      <c r="H1469" s="283">
        <v>0</v>
      </c>
      <c r="I1469" s="283">
        <v>0</v>
      </c>
      <c r="J1469" s="284">
        <v>1</v>
      </c>
    </row>
    <row r="1470" spans="3:10" x14ac:dyDescent="0.25">
      <c r="C1470" s="300" t="s">
        <v>1066</v>
      </c>
      <c r="D1470" s="283" t="s">
        <v>1079</v>
      </c>
      <c r="E1470" s="283" t="s">
        <v>1075</v>
      </c>
      <c r="F1470" s="283" t="s">
        <v>1089</v>
      </c>
      <c r="G1470" s="283">
        <v>2</v>
      </c>
      <c r="H1470" s="283">
        <v>0</v>
      </c>
      <c r="I1470" s="283">
        <v>1</v>
      </c>
      <c r="J1470" s="284">
        <v>0</v>
      </c>
    </row>
    <row r="1471" spans="3:10" x14ac:dyDescent="0.25">
      <c r="C1471" s="300" t="s">
        <v>1065</v>
      </c>
      <c r="D1471" s="283" t="s">
        <v>1079</v>
      </c>
      <c r="E1471" s="283" t="s">
        <v>1086</v>
      </c>
      <c r="F1471" s="283" t="s">
        <v>1044</v>
      </c>
      <c r="G1471" s="283">
        <v>2</v>
      </c>
      <c r="H1471" s="283">
        <v>0</v>
      </c>
      <c r="I1471" s="283">
        <v>0</v>
      </c>
      <c r="J1471" s="284">
        <v>1</v>
      </c>
    </row>
    <row r="1472" spans="3:10" x14ac:dyDescent="0.25">
      <c r="C1472" s="300" t="s">
        <v>1061</v>
      </c>
      <c r="D1472" s="283" t="s">
        <v>1077</v>
      </c>
      <c r="E1472" s="283" t="s">
        <v>1075</v>
      </c>
      <c r="F1472" s="283" t="s">
        <v>1089</v>
      </c>
      <c r="G1472" s="283">
        <v>5</v>
      </c>
      <c r="H1472" s="283">
        <v>0</v>
      </c>
      <c r="I1472" s="283">
        <v>0</v>
      </c>
      <c r="J1472" s="284">
        <v>0</v>
      </c>
    </row>
    <row r="1473" spans="3:10" x14ac:dyDescent="0.25">
      <c r="C1473" s="300" t="s">
        <v>1061</v>
      </c>
      <c r="D1473" s="283" t="s">
        <v>1079</v>
      </c>
      <c r="E1473" s="283" t="s">
        <v>1083</v>
      </c>
      <c r="F1473" s="283" t="s">
        <v>1075</v>
      </c>
      <c r="G1473" s="283">
        <v>2</v>
      </c>
      <c r="H1473" s="283">
        <v>0</v>
      </c>
      <c r="I1473" s="283">
        <v>0</v>
      </c>
      <c r="J1473" s="284">
        <v>1</v>
      </c>
    </row>
    <row r="1474" spans="3:10" x14ac:dyDescent="0.25">
      <c r="C1474" s="300" t="s">
        <v>1061</v>
      </c>
      <c r="D1474" s="283" t="s">
        <v>1077</v>
      </c>
      <c r="E1474" s="283" t="s">
        <v>1100</v>
      </c>
      <c r="F1474" s="283" t="s">
        <v>1089</v>
      </c>
      <c r="G1474" s="283">
        <v>4</v>
      </c>
      <c r="H1474" s="283">
        <v>0</v>
      </c>
      <c r="I1474" s="283">
        <v>0</v>
      </c>
      <c r="J1474" s="284">
        <v>1</v>
      </c>
    </row>
    <row r="1475" spans="3:10" x14ac:dyDescent="0.25">
      <c r="C1475" s="300" t="s">
        <v>1066</v>
      </c>
      <c r="D1475" s="283" t="s">
        <v>1079</v>
      </c>
      <c r="E1475" s="283" t="s">
        <v>1075</v>
      </c>
      <c r="F1475" s="283" t="s">
        <v>1084</v>
      </c>
      <c r="G1475" s="283">
        <v>2</v>
      </c>
      <c r="H1475" s="283">
        <v>0</v>
      </c>
      <c r="I1475" s="283">
        <v>0</v>
      </c>
      <c r="J1475" s="284">
        <v>0</v>
      </c>
    </row>
    <row r="1476" spans="3:10" x14ac:dyDescent="0.25">
      <c r="C1476" s="300" t="s">
        <v>1063</v>
      </c>
      <c r="D1476" s="283" t="s">
        <v>1087</v>
      </c>
      <c r="E1476" s="283" t="s">
        <v>1080</v>
      </c>
      <c r="F1476" s="283" t="s">
        <v>524</v>
      </c>
      <c r="G1476" s="283">
        <v>1</v>
      </c>
      <c r="H1476" s="283">
        <v>0</v>
      </c>
      <c r="I1476" s="283">
        <v>0</v>
      </c>
      <c r="J1476" s="284">
        <v>0</v>
      </c>
    </row>
    <row r="1477" spans="3:10" x14ac:dyDescent="0.25">
      <c r="C1477" s="300" t="s">
        <v>1061</v>
      </c>
      <c r="D1477" s="283" t="s">
        <v>1074</v>
      </c>
      <c r="E1477" s="283" t="s">
        <v>1075</v>
      </c>
      <c r="F1477" s="283" t="s">
        <v>1075</v>
      </c>
      <c r="G1477" s="283">
        <v>2</v>
      </c>
      <c r="H1477" s="283">
        <v>0</v>
      </c>
      <c r="I1477" s="283">
        <v>0</v>
      </c>
      <c r="J1477" s="284">
        <v>0</v>
      </c>
    </row>
    <row r="1478" spans="3:10" x14ac:dyDescent="0.25">
      <c r="C1478" s="300" t="s">
        <v>1061</v>
      </c>
      <c r="D1478" s="283" t="s">
        <v>1087</v>
      </c>
      <c r="E1478" s="283" t="s">
        <v>1085</v>
      </c>
      <c r="F1478" s="283" t="s">
        <v>524</v>
      </c>
      <c r="G1478" s="283">
        <v>1</v>
      </c>
      <c r="H1478" s="283">
        <v>0</v>
      </c>
      <c r="I1478" s="283">
        <v>0</v>
      </c>
      <c r="J1478" s="284">
        <v>0</v>
      </c>
    </row>
    <row r="1479" spans="3:10" x14ac:dyDescent="0.25">
      <c r="C1479" s="300" t="s">
        <v>1064</v>
      </c>
      <c r="D1479" s="283" t="s">
        <v>1077</v>
      </c>
      <c r="E1479" s="283" t="s">
        <v>1075</v>
      </c>
      <c r="F1479" s="283" t="s">
        <v>1075</v>
      </c>
      <c r="G1479" s="283">
        <v>3</v>
      </c>
      <c r="H1479" s="283">
        <v>0</v>
      </c>
      <c r="I1479" s="283">
        <v>0</v>
      </c>
      <c r="J1479" s="284">
        <v>0</v>
      </c>
    </row>
    <row r="1480" spans="3:10" x14ac:dyDescent="0.25">
      <c r="C1480" s="300" t="s">
        <v>1065</v>
      </c>
      <c r="D1480" s="283" t="s">
        <v>1077</v>
      </c>
      <c r="E1480" s="283" t="s">
        <v>1076</v>
      </c>
      <c r="F1480" s="283" t="s">
        <v>1089</v>
      </c>
      <c r="G1480" s="283">
        <v>2</v>
      </c>
      <c r="H1480" s="283">
        <v>0</v>
      </c>
      <c r="I1480" s="283">
        <v>0</v>
      </c>
      <c r="J1480" s="284">
        <v>0</v>
      </c>
    </row>
    <row r="1481" spans="3:10" x14ac:dyDescent="0.25">
      <c r="C1481" s="300" t="s">
        <v>1058</v>
      </c>
      <c r="D1481" s="283" t="s">
        <v>1090</v>
      </c>
      <c r="E1481" s="283" t="s">
        <v>1080</v>
      </c>
      <c r="F1481" s="283" t="s">
        <v>524</v>
      </c>
      <c r="G1481" s="283">
        <v>1</v>
      </c>
      <c r="H1481" s="283">
        <v>0</v>
      </c>
      <c r="I1481" s="283">
        <v>0</v>
      </c>
      <c r="J1481" s="284">
        <v>0</v>
      </c>
    </row>
    <row r="1482" spans="3:10" x14ac:dyDescent="0.25">
      <c r="C1482" s="300" t="s">
        <v>1062</v>
      </c>
      <c r="D1482" s="283" t="s">
        <v>1079</v>
      </c>
      <c r="E1482" s="283" t="s">
        <v>1076</v>
      </c>
      <c r="F1482" s="283" t="s">
        <v>1075</v>
      </c>
      <c r="G1482" s="283">
        <v>2</v>
      </c>
      <c r="H1482" s="283">
        <v>0</v>
      </c>
      <c r="I1482" s="283">
        <v>0</v>
      </c>
      <c r="J1482" s="284">
        <v>0</v>
      </c>
    </row>
    <row r="1483" spans="3:10" x14ac:dyDescent="0.25">
      <c r="C1483" s="300" t="s">
        <v>1060</v>
      </c>
      <c r="D1483" s="283" t="s">
        <v>1090</v>
      </c>
      <c r="E1483" s="283" t="s">
        <v>1075</v>
      </c>
      <c r="F1483" s="283" t="s">
        <v>524</v>
      </c>
      <c r="G1483" s="283">
        <v>1</v>
      </c>
      <c r="H1483" s="283">
        <v>0</v>
      </c>
      <c r="I1483" s="283">
        <v>1</v>
      </c>
      <c r="J1483" s="284">
        <v>0</v>
      </c>
    </row>
    <row r="1484" spans="3:10" x14ac:dyDescent="0.25">
      <c r="C1484" s="300" t="s">
        <v>1063</v>
      </c>
      <c r="D1484" s="283" t="s">
        <v>1082</v>
      </c>
      <c r="E1484" s="283" t="s">
        <v>1075</v>
      </c>
      <c r="F1484" s="283" t="s">
        <v>1099</v>
      </c>
      <c r="G1484" s="283">
        <v>3</v>
      </c>
      <c r="H1484" s="283">
        <v>0</v>
      </c>
      <c r="I1484" s="283">
        <v>0</v>
      </c>
      <c r="J1484" s="284">
        <v>0</v>
      </c>
    </row>
    <row r="1485" spans="3:10" x14ac:dyDescent="0.25">
      <c r="C1485" s="300" t="s">
        <v>1065</v>
      </c>
      <c r="D1485" s="283" t="s">
        <v>1087</v>
      </c>
      <c r="E1485" s="283" t="s">
        <v>1075</v>
      </c>
      <c r="F1485" s="283" t="s">
        <v>524</v>
      </c>
      <c r="G1485" s="283">
        <v>1</v>
      </c>
      <c r="H1485" s="283">
        <v>0</v>
      </c>
      <c r="I1485" s="283">
        <v>0</v>
      </c>
      <c r="J1485" s="284">
        <v>0</v>
      </c>
    </row>
    <row r="1486" spans="3:10" x14ac:dyDescent="0.25">
      <c r="C1486" s="300" t="s">
        <v>1066</v>
      </c>
      <c r="D1486" s="283" t="s">
        <v>1087</v>
      </c>
      <c r="E1486" s="283" t="s">
        <v>1075</v>
      </c>
      <c r="F1486" s="283" t="s">
        <v>524</v>
      </c>
      <c r="G1486" s="283">
        <v>1</v>
      </c>
      <c r="H1486" s="283">
        <v>0</v>
      </c>
      <c r="I1486" s="283">
        <v>0</v>
      </c>
      <c r="J1486" s="284">
        <v>1</v>
      </c>
    </row>
    <row r="1487" spans="3:10" x14ac:dyDescent="0.25">
      <c r="C1487" s="300" t="s">
        <v>1060</v>
      </c>
      <c r="D1487" s="283" t="s">
        <v>1079</v>
      </c>
      <c r="E1487" s="283" t="s">
        <v>1044</v>
      </c>
      <c r="F1487" s="283" t="s">
        <v>1075</v>
      </c>
      <c r="G1487" s="283">
        <v>2</v>
      </c>
      <c r="H1487" s="283">
        <v>0</v>
      </c>
      <c r="I1487" s="283">
        <v>0</v>
      </c>
      <c r="J1487" s="284">
        <v>0</v>
      </c>
    </row>
    <row r="1488" spans="3:10" x14ac:dyDescent="0.25">
      <c r="C1488" s="300" t="s">
        <v>1060</v>
      </c>
      <c r="D1488" s="283" t="s">
        <v>1079</v>
      </c>
      <c r="E1488" s="283" t="s">
        <v>1080</v>
      </c>
      <c r="F1488" s="283" t="s">
        <v>1083</v>
      </c>
      <c r="G1488" s="283">
        <v>2</v>
      </c>
      <c r="H1488" s="283">
        <v>0</v>
      </c>
      <c r="I1488" s="283">
        <v>1</v>
      </c>
      <c r="J1488" s="284">
        <v>0</v>
      </c>
    </row>
    <row r="1489" spans="3:10" x14ac:dyDescent="0.25">
      <c r="C1489" s="300" t="s">
        <v>1059</v>
      </c>
      <c r="D1489" s="283" t="s">
        <v>1074</v>
      </c>
      <c r="E1489" s="283" t="s">
        <v>1083</v>
      </c>
      <c r="F1489" s="283" t="s">
        <v>1075</v>
      </c>
      <c r="G1489" s="283">
        <v>2</v>
      </c>
      <c r="H1489" s="283">
        <v>0</v>
      </c>
      <c r="I1489" s="283">
        <v>0</v>
      </c>
      <c r="J1489" s="284">
        <v>1</v>
      </c>
    </row>
    <row r="1490" spans="3:10" x14ac:dyDescent="0.25">
      <c r="C1490" s="300" t="s">
        <v>1066</v>
      </c>
      <c r="D1490" s="283" t="s">
        <v>1090</v>
      </c>
      <c r="E1490" s="283" t="s">
        <v>1083</v>
      </c>
      <c r="F1490" s="283" t="s">
        <v>524</v>
      </c>
      <c r="G1490" s="283">
        <v>1</v>
      </c>
      <c r="H1490" s="283">
        <v>0</v>
      </c>
      <c r="I1490" s="283">
        <v>1</v>
      </c>
      <c r="J1490" s="284">
        <v>0</v>
      </c>
    </row>
    <row r="1491" spans="3:10" x14ac:dyDescent="0.25">
      <c r="C1491" s="300" t="s">
        <v>1064</v>
      </c>
      <c r="D1491" s="283" t="s">
        <v>1087</v>
      </c>
      <c r="E1491" s="283" t="s">
        <v>1089</v>
      </c>
      <c r="F1491" s="283" t="s">
        <v>524</v>
      </c>
      <c r="G1491" s="283">
        <v>1</v>
      </c>
      <c r="H1491" s="283">
        <v>0</v>
      </c>
      <c r="I1491" s="283">
        <v>0</v>
      </c>
      <c r="J1491" s="284">
        <v>1</v>
      </c>
    </row>
    <row r="1492" spans="3:10" x14ac:dyDescent="0.25">
      <c r="C1492" s="300" t="s">
        <v>1065</v>
      </c>
      <c r="D1492" s="283" t="s">
        <v>1087</v>
      </c>
      <c r="E1492" s="283" t="s">
        <v>1083</v>
      </c>
      <c r="F1492" s="283" t="s">
        <v>524</v>
      </c>
      <c r="G1492" s="283">
        <v>1</v>
      </c>
      <c r="H1492" s="283">
        <v>0</v>
      </c>
      <c r="I1492" s="283">
        <v>1</v>
      </c>
      <c r="J1492" s="284">
        <v>0</v>
      </c>
    </row>
    <row r="1493" spans="3:10" x14ac:dyDescent="0.25">
      <c r="C1493" s="300" t="s">
        <v>1066</v>
      </c>
      <c r="D1493" s="283" t="s">
        <v>1043</v>
      </c>
      <c r="E1493" s="283" t="s">
        <v>1044</v>
      </c>
      <c r="F1493" s="283" t="s">
        <v>1092</v>
      </c>
      <c r="G1493" s="283">
        <v>2</v>
      </c>
      <c r="H1493" s="283">
        <v>0</v>
      </c>
      <c r="I1493" s="283">
        <v>0</v>
      </c>
      <c r="J1493" s="284">
        <v>1</v>
      </c>
    </row>
    <row r="1494" spans="3:10" x14ac:dyDescent="0.25">
      <c r="C1494" s="300" t="s">
        <v>1068</v>
      </c>
      <c r="D1494" s="283" t="s">
        <v>1074</v>
      </c>
      <c r="E1494" s="283" t="s">
        <v>1089</v>
      </c>
      <c r="F1494" s="283" t="s">
        <v>1075</v>
      </c>
      <c r="G1494" s="283">
        <v>2</v>
      </c>
      <c r="H1494" s="283">
        <v>0</v>
      </c>
      <c r="I1494" s="283">
        <v>0</v>
      </c>
      <c r="J1494" s="284">
        <v>1</v>
      </c>
    </row>
    <row r="1495" spans="3:10" x14ac:dyDescent="0.25">
      <c r="C1495" s="300" t="s">
        <v>1066</v>
      </c>
      <c r="D1495" s="283" t="s">
        <v>1087</v>
      </c>
      <c r="E1495" s="283" t="s">
        <v>1075</v>
      </c>
      <c r="F1495" s="283" t="s">
        <v>524</v>
      </c>
      <c r="G1495" s="283">
        <v>1</v>
      </c>
      <c r="H1495" s="283">
        <v>0</v>
      </c>
      <c r="I1495" s="283">
        <v>0</v>
      </c>
      <c r="J1495" s="284">
        <v>1</v>
      </c>
    </row>
    <row r="1496" spans="3:10" x14ac:dyDescent="0.25">
      <c r="C1496" s="300" t="s">
        <v>1061</v>
      </c>
      <c r="D1496" s="283" t="s">
        <v>1079</v>
      </c>
      <c r="E1496" s="283" t="s">
        <v>1089</v>
      </c>
      <c r="F1496" s="283" t="s">
        <v>1089</v>
      </c>
      <c r="G1496" s="283">
        <v>2</v>
      </c>
      <c r="H1496" s="283">
        <v>0</v>
      </c>
      <c r="I1496" s="283">
        <v>0</v>
      </c>
      <c r="J1496" s="284">
        <v>2</v>
      </c>
    </row>
    <row r="1497" spans="3:10" x14ac:dyDescent="0.25">
      <c r="C1497" s="300" t="s">
        <v>1064</v>
      </c>
      <c r="D1497" s="283" t="s">
        <v>1079</v>
      </c>
      <c r="E1497" s="283" t="s">
        <v>1089</v>
      </c>
      <c r="F1497" s="283" t="s">
        <v>1075</v>
      </c>
      <c r="G1497" s="283">
        <v>4</v>
      </c>
      <c r="H1497" s="283">
        <v>0</v>
      </c>
      <c r="I1497" s="283">
        <v>0</v>
      </c>
      <c r="J1497" s="284">
        <v>1</v>
      </c>
    </row>
    <row r="1498" spans="3:10" x14ac:dyDescent="0.25">
      <c r="C1498" s="300" t="s">
        <v>1066</v>
      </c>
      <c r="D1498" s="283" t="s">
        <v>1043</v>
      </c>
      <c r="E1498" s="283" t="s">
        <v>1089</v>
      </c>
      <c r="F1498" s="283" t="s">
        <v>1092</v>
      </c>
      <c r="G1498" s="283">
        <v>2</v>
      </c>
      <c r="H1498" s="283">
        <v>0</v>
      </c>
      <c r="I1498" s="283">
        <v>1</v>
      </c>
      <c r="J1498" s="284">
        <v>0</v>
      </c>
    </row>
    <row r="1499" spans="3:10" x14ac:dyDescent="0.25">
      <c r="C1499" s="300" t="s">
        <v>1065</v>
      </c>
      <c r="D1499" s="283" t="s">
        <v>1079</v>
      </c>
      <c r="E1499" s="283" t="s">
        <v>1075</v>
      </c>
      <c r="F1499" s="283" t="s">
        <v>1083</v>
      </c>
      <c r="G1499" s="283">
        <v>2</v>
      </c>
      <c r="H1499" s="283">
        <v>0</v>
      </c>
      <c r="I1499" s="283">
        <v>0</v>
      </c>
      <c r="J1499" s="284">
        <v>1</v>
      </c>
    </row>
    <row r="1500" spans="3:10" x14ac:dyDescent="0.25">
      <c r="C1500" s="300" t="s">
        <v>1059</v>
      </c>
      <c r="D1500" s="283" t="s">
        <v>1087</v>
      </c>
      <c r="E1500" s="283" t="s">
        <v>1089</v>
      </c>
      <c r="F1500" s="283" t="s">
        <v>524</v>
      </c>
      <c r="G1500" s="283">
        <v>1</v>
      </c>
      <c r="H1500" s="283">
        <v>0</v>
      </c>
      <c r="I1500" s="283">
        <v>0</v>
      </c>
      <c r="J1500" s="284">
        <v>0</v>
      </c>
    </row>
    <row r="1501" spans="3:10" x14ac:dyDescent="0.25">
      <c r="C1501" s="300" t="s">
        <v>1062</v>
      </c>
      <c r="D1501" s="283" t="s">
        <v>1095</v>
      </c>
      <c r="E1501" s="283" t="s">
        <v>1075</v>
      </c>
      <c r="F1501" s="283" t="s">
        <v>524</v>
      </c>
      <c r="G1501" s="283">
        <v>1</v>
      </c>
      <c r="H1501" s="283">
        <v>0</v>
      </c>
      <c r="I1501" s="283">
        <v>0</v>
      </c>
      <c r="J1501" s="284">
        <v>0</v>
      </c>
    </row>
    <row r="1502" spans="3:10" x14ac:dyDescent="0.25">
      <c r="C1502" s="300" t="s">
        <v>1064</v>
      </c>
      <c r="D1502" s="283" t="s">
        <v>1074</v>
      </c>
      <c r="E1502" s="283" t="s">
        <v>1075</v>
      </c>
      <c r="F1502" s="283" t="s">
        <v>1084</v>
      </c>
      <c r="G1502" s="283">
        <v>2</v>
      </c>
      <c r="H1502" s="283">
        <v>0</v>
      </c>
      <c r="I1502" s="283">
        <v>0</v>
      </c>
      <c r="J1502" s="284">
        <v>0</v>
      </c>
    </row>
    <row r="1503" spans="3:10" x14ac:dyDescent="0.25">
      <c r="C1503" s="300" t="s">
        <v>1065</v>
      </c>
      <c r="D1503" s="283" t="s">
        <v>1074</v>
      </c>
      <c r="E1503" s="283" t="s">
        <v>1075</v>
      </c>
      <c r="F1503" s="283" t="s">
        <v>1083</v>
      </c>
      <c r="G1503" s="283">
        <v>2</v>
      </c>
      <c r="H1503" s="283">
        <v>0</v>
      </c>
      <c r="I1503" s="283">
        <v>1</v>
      </c>
      <c r="J1503" s="284">
        <v>0</v>
      </c>
    </row>
    <row r="1504" spans="3:10" x14ac:dyDescent="0.25">
      <c r="C1504" s="300" t="s">
        <v>1065</v>
      </c>
      <c r="D1504" s="283" t="s">
        <v>1087</v>
      </c>
      <c r="E1504" s="283" t="s">
        <v>1089</v>
      </c>
      <c r="F1504" s="283" t="s">
        <v>524</v>
      </c>
      <c r="G1504" s="283">
        <v>3</v>
      </c>
      <c r="H1504" s="283">
        <v>0</v>
      </c>
      <c r="I1504" s="283">
        <v>1</v>
      </c>
      <c r="J1504" s="284">
        <v>0</v>
      </c>
    </row>
    <row r="1505" spans="3:10" x14ac:dyDescent="0.25">
      <c r="C1505" s="300" t="s">
        <v>1060</v>
      </c>
      <c r="D1505" s="283" t="s">
        <v>1090</v>
      </c>
      <c r="E1505" s="283" t="s">
        <v>1083</v>
      </c>
      <c r="F1505" s="283" t="s">
        <v>524</v>
      </c>
      <c r="G1505" s="283">
        <v>1</v>
      </c>
      <c r="H1505" s="283">
        <v>0</v>
      </c>
      <c r="I1505" s="283">
        <v>0</v>
      </c>
      <c r="J1505" s="284">
        <v>1</v>
      </c>
    </row>
    <row r="1506" spans="3:10" x14ac:dyDescent="0.25">
      <c r="C1506" s="300" t="s">
        <v>1058</v>
      </c>
      <c r="D1506" s="283" t="s">
        <v>1082</v>
      </c>
      <c r="E1506" s="283" t="s">
        <v>1075</v>
      </c>
      <c r="F1506" s="283" t="s">
        <v>1088</v>
      </c>
      <c r="G1506" s="283">
        <v>2</v>
      </c>
      <c r="H1506" s="283">
        <v>1</v>
      </c>
      <c r="I1506" s="283">
        <v>0</v>
      </c>
      <c r="J1506" s="284">
        <v>0</v>
      </c>
    </row>
    <row r="1507" spans="3:10" x14ac:dyDescent="0.25">
      <c r="C1507" s="300" t="s">
        <v>1067</v>
      </c>
      <c r="D1507" s="283" t="s">
        <v>1043</v>
      </c>
      <c r="E1507" s="283" t="s">
        <v>1089</v>
      </c>
      <c r="F1507" s="283" t="s">
        <v>1092</v>
      </c>
      <c r="G1507" s="283">
        <v>2</v>
      </c>
      <c r="H1507" s="283">
        <v>1</v>
      </c>
      <c r="I1507" s="283">
        <v>0</v>
      </c>
      <c r="J1507" s="284">
        <v>1</v>
      </c>
    </row>
    <row r="1508" spans="3:10" x14ac:dyDescent="0.25">
      <c r="C1508" s="300" t="s">
        <v>1065</v>
      </c>
      <c r="D1508" s="283" t="s">
        <v>1079</v>
      </c>
      <c r="E1508" s="283" t="s">
        <v>1076</v>
      </c>
      <c r="F1508" s="283" t="s">
        <v>1083</v>
      </c>
      <c r="G1508" s="283">
        <v>2</v>
      </c>
      <c r="H1508" s="283">
        <v>0</v>
      </c>
      <c r="I1508" s="283">
        <v>1</v>
      </c>
      <c r="J1508" s="284">
        <v>1</v>
      </c>
    </row>
    <row r="1509" spans="3:10" x14ac:dyDescent="0.25">
      <c r="C1509" s="300" t="s">
        <v>1062</v>
      </c>
      <c r="D1509" s="283" t="s">
        <v>1087</v>
      </c>
      <c r="E1509" s="283" t="s">
        <v>1080</v>
      </c>
      <c r="F1509" s="283" t="s">
        <v>524</v>
      </c>
      <c r="G1509" s="283">
        <v>1</v>
      </c>
      <c r="H1509" s="283">
        <v>0</v>
      </c>
      <c r="I1509" s="283">
        <v>0</v>
      </c>
      <c r="J1509" s="284">
        <v>1</v>
      </c>
    </row>
    <row r="1510" spans="3:10" x14ac:dyDescent="0.25">
      <c r="C1510" s="300" t="s">
        <v>1064</v>
      </c>
      <c r="D1510" s="283" t="s">
        <v>1077</v>
      </c>
      <c r="E1510" s="283" t="s">
        <v>1083</v>
      </c>
      <c r="F1510" s="283" t="s">
        <v>1089</v>
      </c>
      <c r="G1510" s="283">
        <v>2</v>
      </c>
      <c r="H1510" s="283">
        <v>0</v>
      </c>
      <c r="I1510" s="283">
        <v>0</v>
      </c>
      <c r="J1510" s="284">
        <v>1</v>
      </c>
    </row>
    <row r="1511" spans="3:10" x14ac:dyDescent="0.25">
      <c r="C1511" s="300" t="s">
        <v>1065</v>
      </c>
      <c r="D1511" s="283" t="s">
        <v>1087</v>
      </c>
      <c r="E1511" s="283" t="s">
        <v>1075</v>
      </c>
      <c r="F1511" s="283" t="s">
        <v>524</v>
      </c>
      <c r="G1511" s="283">
        <v>1</v>
      </c>
      <c r="H1511" s="283">
        <v>0</v>
      </c>
      <c r="I1511" s="283">
        <v>0</v>
      </c>
      <c r="J1511" s="284">
        <v>1</v>
      </c>
    </row>
    <row r="1512" spans="3:10" x14ac:dyDescent="0.25">
      <c r="C1512" s="300" t="s">
        <v>1061</v>
      </c>
      <c r="D1512" s="283" t="s">
        <v>1043</v>
      </c>
      <c r="E1512" s="283" t="s">
        <v>1075</v>
      </c>
      <c r="F1512" s="283" t="s">
        <v>1092</v>
      </c>
      <c r="G1512" s="283">
        <v>2</v>
      </c>
      <c r="H1512" s="283">
        <v>0</v>
      </c>
      <c r="I1512" s="283">
        <v>1</v>
      </c>
      <c r="J1512" s="284">
        <v>0</v>
      </c>
    </row>
    <row r="1513" spans="3:10" x14ac:dyDescent="0.25">
      <c r="C1513" s="300" t="s">
        <v>1066</v>
      </c>
      <c r="D1513" s="283" t="s">
        <v>1079</v>
      </c>
      <c r="E1513" s="283" t="s">
        <v>1075</v>
      </c>
      <c r="F1513" s="283" t="s">
        <v>1075</v>
      </c>
      <c r="G1513" s="283">
        <v>4</v>
      </c>
      <c r="H1513" s="283">
        <v>0</v>
      </c>
      <c r="I1513" s="283">
        <v>1</v>
      </c>
      <c r="J1513" s="284">
        <v>1</v>
      </c>
    </row>
    <row r="1514" spans="3:10" x14ac:dyDescent="0.25">
      <c r="C1514" s="300" t="s">
        <v>1065</v>
      </c>
      <c r="D1514" s="283" t="s">
        <v>1079</v>
      </c>
      <c r="E1514" s="283" t="s">
        <v>1075</v>
      </c>
      <c r="F1514" s="283" t="s">
        <v>1075</v>
      </c>
      <c r="G1514" s="283">
        <v>2</v>
      </c>
      <c r="H1514" s="283">
        <v>0</v>
      </c>
      <c r="I1514" s="283">
        <v>0</v>
      </c>
      <c r="J1514" s="284">
        <v>0</v>
      </c>
    </row>
    <row r="1515" spans="3:10" x14ac:dyDescent="0.25">
      <c r="C1515" s="300" t="s">
        <v>1063</v>
      </c>
      <c r="D1515" s="283" t="s">
        <v>1077</v>
      </c>
      <c r="E1515" s="283" t="s">
        <v>1089</v>
      </c>
      <c r="F1515" s="283" t="s">
        <v>1089</v>
      </c>
      <c r="G1515" s="283">
        <v>2</v>
      </c>
      <c r="H1515" s="283">
        <v>0</v>
      </c>
      <c r="I1515" s="283">
        <v>0</v>
      </c>
      <c r="J1515" s="284">
        <v>1</v>
      </c>
    </row>
    <row r="1516" spans="3:10" x14ac:dyDescent="0.25">
      <c r="C1516" s="300" t="s">
        <v>1061</v>
      </c>
      <c r="D1516" s="283" t="s">
        <v>1079</v>
      </c>
      <c r="E1516" s="283" t="s">
        <v>1075</v>
      </c>
      <c r="F1516" s="283" t="s">
        <v>524</v>
      </c>
      <c r="G1516" s="283">
        <v>5</v>
      </c>
      <c r="H1516" s="283">
        <v>0</v>
      </c>
      <c r="I1516" s="283">
        <v>0</v>
      </c>
      <c r="J1516" s="284">
        <v>1</v>
      </c>
    </row>
    <row r="1517" spans="3:10" x14ac:dyDescent="0.25">
      <c r="C1517" s="300" t="s">
        <v>1064</v>
      </c>
      <c r="D1517" s="283" t="s">
        <v>1043</v>
      </c>
      <c r="E1517" s="283" t="s">
        <v>1075</v>
      </c>
      <c r="F1517" s="283" t="s">
        <v>1092</v>
      </c>
      <c r="G1517" s="283">
        <v>2</v>
      </c>
      <c r="H1517" s="283">
        <v>0</v>
      </c>
      <c r="I1517" s="283">
        <v>0</v>
      </c>
      <c r="J1517" s="284">
        <v>1</v>
      </c>
    </row>
    <row r="1518" spans="3:10" x14ac:dyDescent="0.25">
      <c r="C1518" s="300" t="s">
        <v>1064</v>
      </c>
      <c r="D1518" s="283" t="s">
        <v>1077</v>
      </c>
      <c r="E1518" s="283" t="s">
        <v>1085</v>
      </c>
      <c r="F1518" s="283" t="s">
        <v>1075</v>
      </c>
      <c r="G1518" s="283">
        <v>3</v>
      </c>
      <c r="H1518" s="283">
        <v>0</v>
      </c>
      <c r="I1518" s="283">
        <v>1</v>
      </c>
      <c r="J1518" s="284">
        <v>1</v>
      </c>
    </row>
    <row r="1519" spans="3:10" x14ac:dyDescent="0.25">
      <c r="C1519" s="300" t="s">
        <v>1063</v>
      </c>
      <c r="D1519" s="283" t="s">
        <v>1077</v>
      </c>
      <c r="E1519" s="283" t="s">
        <v>1089</v>
      </c>
      <c r="F1519" s="283" t="s">
        <v>1075</v>
      </c>
      <c r="G1519" s="283">
        <v>3</v>
      </c>
      <c r="H1519" s="283">
        <v>0</v>
      </c>
      <c r="I1519" s="283">
        <v>0</v>
      </c>
      <c r="J1519" s="284">
        <v>2</v>
      </c>
    </row>
    <row r="1520" spans="3:10" x14ac:dyDescent="0.25">
      <c r="C1520" s="300" t="s">
        <v>1061</v>
      </c>
      <c r="D1520" s="283" t="s">
        <v>1077</v>
      </c>
      <c r="E1520" s="283" t="s">
        <v>1076</v>
      </c>
      <c r="F1520" s="283" t="s">
        <v>1089</v>
      </c>
      <c r="G1520" s="283">
        <v>2</v>
      </c>
      <c r="H1520" s="283">
        <v>0</v>
      </c>
      <c r="I1520" s="283">
        <v>0</v>
      </c>
      <c r="J1520" s="284">
        <v>1</v>
      </c>
    </row>
    <row r="1521" spans="3:10" x14ac:dyDescent="0.25">
      <c r="C1521" s="300" t="s">
        <v>1060</v>
      </c>
      <c r="D1521" s="283" t="s">
        <v>1079</v>
      </c>
      <c r="E1521" s="283" t="s">
        <v>1089</v>
      </c>
      <c r="F1521" s="283" t="s">
        <v>1083</v>
      </c>
      <c r="G1521" s="283">
        <v>2</v>
      </c>
      <c r="H1521" s="283">
        <v>0</v>
      </c>
      <c r="I1521" s="283">
        <v>0</v>
      </c>
      <c r="J1521" s="284">
        <v>1</v>
      </c>
    </row>
    <row r="1522" spans="3:10" x14ac:dyDescent="0.25">
      <c r="C1522" s="300" t="s">
        <v>1063</v>
      </c>
      <c r="D1522" s="283" t="s">
        <v>1090</v>
      </c>
      <c r="E1522" s="283" t="s">
        <v>1075</v>
      </c>
      <c r="F1522" s="283" t="s">
        <v>524</v>
      </c>
      <c r="G1522" s="283">
        <v>1</v>
      </c>
      <c r="H1522" s="283">
        <v>0</v>
      </c>
      <c r="I1522" s="283">
        <v>0</v>
      </c>
      <c r="J1522" s="284">
        <v>0</v>
      </c>
    </row>
    <row r="1523" spans="3:10" x14ac:dyDescent="0.25">
      <c r="C1523" s="300" t="s">
        <v>1064</v>
      </c>
      <c r="D1523" s="283" t="s">
        <v>1074</v>
      </c>
      <c r="E1523" s="283" t="s">
        <v>1075</v>
      </c>
      <c r="F1523" s="283" t="s">
        <v>1075</v>
      </c>
      <c r="G1523" s="283">
        <v>2</v>
      </c>
      <c r="H1523" s="283">
        <v>0</v>
      </c>
      <c r="I1523" s="283">
        <v>0</v>
      </c>
      <c r="J1523" s="284">
        <v>0</v>
      </c>
    </row>
    <row r="1524" spans="3:10" x14ac:dyDescent="0.25">
      <c r="C1524" s="300" t="s">
        <v>1065</v>
      </c>
      <c r="D1524" s="283" t="s">
        <v>1077</v>
      </c>
      <c r="E1524" s="283" t="s">
        <v>1084</v>
      </c>
      <c r="F1524" s="283" t="s">
        <v>1076</v>
      </c>
      <c r="G1524" s="283">
        <v>2</v>
      </c>
      <c r="H1524" s="283">
        <v>0</v>
      </c>
      <c r="I1524" s="283">
        <v>0</v>
      </c>
      <c r="J1524" s="284">
        <v>0</v>
      </c>
    </row>
    <row r="1525" spans="3:10" x14ac:dyDescent="0.25">
      <c r="C1525" s="300" t="s">
        <v>1063</v>
      </c>
      <c r="D1525" s="283" t="s">
        <v>1079</v>
      </c>
      <c r="E1525" s="283" t="s">
        <v>1075</v>
      </c>
      <c r="F1525" s="283" t="s">
        <v>1078</v>
      </c>
      <c r="G1525" s="283">
        <v>2</v>
      </c>
      <c r="H1525" s="283">
        <v>0</v>
      </c>
      <c r="I1525" s="283">
        <v>0</v>
      </c>
      <c r="J1525" s="284">
        <v>0</v>
      </c>
    </row>
    <row r="1526" spans="3:10" x14ac:dyDescent="0.25">
      <c r="C1526" s="300" t="s">
        <v>1058</v>
      </c>
      <c r="D1526" s="283" t="s">
        <v>1087</v>
      </c>
      <c r="E1526" s="283" t="s">
        <v>1075</v>
      </c>
      <c r="F1526" s="283" t="s">
        <v>524</v>
      </c>
      <c r="G1526" s="283">
        <v>1</v>
      </c>
      <c r="H1526" s="283">
        <v>0</v>
      </c>
      <c r="I1526" s="283">
        <v>0</v>
      </c>
      <c r="J1526" s="284">
        <v>0</v>
      </c>
    </row>
    <row r="1527" spans="3:10" x14ac:dyDescent="0.25">
      <c r="C1527" s="300" t="s">
        <v>1061</v>
      </c>
      <c r="D1527" s="283" t="s">
        <v>1079</v>
      </c>
      <c r="E1527" s="283" t="s">
        <v>1075</v>
      </c>
      <c r="F1527" s="283" t="s">
        <v>1075</v>
      </c>
      <c r="G1527" s="283">
        <v>2</v>
      </c>
      <c r="H1527" s="283">
        <v>0</v>
      </c>
      <c r="I1527" s="283">
        <v>0</v>
      </c>
      <c r="J1527" s="284">
        <v>0</v>
      </c>
    </row>
    <row r="1528" spans="3:10" x14ac:dyDescent="0.25">
      <c r="C1528" s="300" t="s">
        <v>1059</v>
      </c>
      <c r="D1528" s="283" t="s">
        <v>1087</v>
      </c>
      <c r="E1528" s="283" t="s">
        <v>1075</v>
      </c>
      <c r="F1528" s="283" t="s">
        <v>524</v>
      </c>
      <c r="G1528" s="283">
        <v>1</v>
      </c>
      <c r="H1528" s="283">
        <v>0</v>
      </c>
      <c r="I1528" s="283">
        <v>0</v>
      </c>
      <c r="J1528" s="284">
        <v>0</v>
      </c>
    </row>
    <row r="1529" spans="3:10" x14ac:dyDescent="0.25">
      <c r="C1529" s="300" t="s">
        <v>1057</v>
      </c>
      <c r="D1529" s="283" t="s">
        <v>1087</v>
      </c>
      <c r="E1529" s="283" t="s">
        <v>1075</v>
      </c>
      <c r="F1529" s="283" t="s">
        <v>524</v>
      </c>
      <c r="G1529" s="283">
        <v>1</v>
      </c>
      <c r="H1529" s="283">
        <v>0</v>
      </c>
      <c r="I1529" s="283">
        <v>0</v>
      </c>
      <c r="J1529" s="284">
        <v>0</v>
      </c>
    </row>
    <row r="1530" spans="3:10" x14ac:dyDescent="0.25">
      <c r="C1530" s="300" t="s">
        <v>1064</v>
      </c>
      <c r="D1530" s="283" t="s">
        <v>1077</v>
      </c>
      <c r="E1530" s="283" t="s">
        <v>1076</v>
      </c>
      <c r="F1530" s="283" t="s">
        <v>1089</v>
      </c>
      <c r="G1530" s="283">
        <v>2</v>
      </c>
      <c r="H1530" s="283">
        <v>0</v>
      </c>
      <c r="I1530" s="283">
        <v>0</v>
      </c>
      <c r="J1530" s="284">
        <v>0</v>
      </c>
    </row>
    <row r="1531" spans="3:10" x14ac:dyDescent="0.25">
      <c r="C1531" s="300" t="s">
        <v>1064</v>
      </c>
      <c r="D1531" s="283" t="s">
        <v>1079</v>
      </c>
      <c r="E1531" s="283" t="s">
        <v>1075</v>
      </c>
      <c r="F1531" s="283" t="s">
        <v>1094</v>
      </c>
      <c r="G1531" s="283">
        <v>2</v>
      </c>
      <c r="H1531" s="283">
        <v>0</v>
      </c>
      <c r="I1531" s="283">
        <v>0</v>
      </c>
      <c r="J1531" s="284">
        <v>0</v>
      </c>
    </row>
    <row r="1532" spans="3:10" x14ac:dyDescent="0.25">
      <c r="C1532" s="300" t="s">
        <v>1061</v>
      </c>
      <c r="D1532" s="283" t="s">
        <v>1077</v>
      </c>
      <c r="E1532" s="283" t="s">
        <v>1075</v>
      </c>
      <c r="F1532" s="283" t="s">
        <v>1075</v>
      </c>
      <c r="G1532" s="283">
        <v>3</v>
      </c>
      <c r="H1532" s="283">
        <v>0</v>
      </c>
      <c r="I1532" s="283">
        <v>0</v>
      </c>
      <c r="J1532" s="284">
        <v>0</v>
      </c>
    </row>
    <row r="1533" spans="3:10" x14ac:dyDescent="0.25">
      <c r="C1533" s="300" t="s">
        <v>1062</v>
      </c>
      <c r="D1533" s="283" t="s">
        <v>1079</v>
      </c>
      <c r="E1533" s="283" t="s">
        <v>1081</v>
      </c>
      <c r="F1533" s="283" t="s">
        <v>1075</v>
      </c>
      <c r="G1533" s="283">
        <v>2</v>
      </c>
      <c r="H1533" s="283">
        <v>0</v>
      </c>
      <c r="I1533" s="283">
        <v>0</v>
      </c>
      <c r="J1533" s="284">
        <v>0</v>
      </c>
    </row>
    <row r="1534" spans="3:10" x14ac:dyDescent="0.25">
      <c r="C1534" s="300" t="s">
        <v>1065</v>
      </c>
      <c r="D1534" s="283" t="s">
        <v>1087</v>
      </c>
      <c r="E1534" s="283" t="s">
        <v>1075</v>
      </c>
      <c r="F1534" s="283" t="s">
        <v>524</v>
      </c>
      <c r="G1534" s="283">
        <v>1</v>
      </c>
      <c r="H1534" s="283">
        <v>0</v>
      </c>
      <c r="I1534" s="283">
        <v>0</v>
      </c>
      <c r="J1534" s="284">
        <v>0</v>
      </c>
    </row>
    <row r="1535" spans="3:10" x14ac:dyDescent="0.25">
      <c r="C1535" s="300" t="s">
        <v>1059</v>
      </c>
      <c r="D1535" s="283" t="s">
        <v>1087</v>
      </c>
      <c r="E1535" s="283" t="s">
        <v>1075</v>
      </c>
      <c r="F1535" s="283" t="s">
        <v>524</v>
      </c>
      <c r="G1535" s="283">
        <v>1</v>
      </c>
      <c r="H1535" s="283">
        <v>0</v>
      </c>
      <c r="I1535" s="283">
        <v>0</v>
      </c>
      <c r="J1535" s="284">
        <v>0</v>
      </c>
    </row>
    <row r="1536" spans="3:10" x14ac:dyDescent="0.25">
      <c r="C1536" s="300" t="s">
        <v>1061</v>
      </c>
      <c r="D1536" s="283" t="s">
        <v>1077</v>
      </c>
      <c r="E1536" s="283" t="s">
        <v>1075</v>
      </c>
      <c r="F1536" s="283" t="s">
        <v>1075</v>
      </c>
      <c r="G1536" s="283">
        <v>3</v>
      </c>
      <c r="H1536" s="283">
        <v>0</v>
      </c>
      <c r="I1536" s="283">
        <v>0</v>
      </c>
      <c r="J1536" s="284">
        <v>0</v>
      </c>
    </row>
    <row r="1537" spans="3:10" x14ac:dyDescent="0.25">
      <c r="C1537" s="300" t="s">
        <v>1061</v>
      </c>
      <c r="D1537" s="283" t="s">
        <v>1079</v>
      </c>
      <c r="E1537" s="283" t="s">
        <v>1089</v>
      </c>
      <c r="F1537" s="283" t="s">
        <v>1075</v>
      </c>
      <c r="G1537" s="283">
        <v>3</v>
      </c>
      <c r="H1537" s="283">
        <v>0</v>
      </c>
      <c r="I1537" s="283">
        <v>0</v>
      </c>
      <c r="J1537" s="284">
        <v>0</v>
      </c>
    </row>
    <row r="1538" spans="3:10" x14ac:dyDescent="0.25">
      <c r="C1538" s="300" t="s">
        <v>1063</v>
      </c>
      <c r="D1538" s="283" t="s">
        <v>1074</v>
      </c>
      <c r="E1538" s="283" t="s">
        <v>1083</v>
      </c>
      <c r="F1538" s="283" t="s">
        <v>1084</v>
      </c>
      <c r="G1538" s="283">
        <v>2</v>
      </c>
      <c r="H1538" s="283">
        <v>0</v>
      </c>
      <c r="I1538" s="283">
        <v>0</v>
      </c>
      <c r="J1538" s="284">
        <v>0</v>
      </c>
    </row>
    <row r="1539" spans="3:10" x14ac:dyDescent="0.25">
      <c r="C1539" s="300" t="s">
        <v>1065</v>
      </c>
      <c r="D1539" s="283" t="s">
        <v>1077</v>
      </c>
      <c r="E1539" s="283" t="s">
        <v>1089</v>
      </c>
      <c r="F1539" s="283" t="s">
        <v>1076</v>
      </c>
      <c r="G1539" s="283">
        <v>2</v>
      </c>
      <c r="H1539" s="283">
        <v>0</v>
      </c>
      <c r="I1539" s="283">
        <v>0</v>
      </c>
      <c r="J1539" s="284">
        <v>0</v>
      </c>
    </row>
    <row r="1540" spans="3:10" x14ac:dyDescent="0.25">
      <c r="C1540" s="300" t="s">
        <v>1064</v>
      </c>
      <c r="D1540" s="283" t="s">
        <v>1077</v>
      </c>
      <c r="E1540" s="283" t="s">
        <v>1075</v>
      </c>
      <c r="F1540" s="283" t="s">
        <v>1076</v>
      </c>
      <c r="G1540" s="283">
        <v>2</v>
      </c>
      <c r="H1540" s="283">
        <v>0</v>
      </c>
      <c r="I1540" s="283">
        <v>0</v>
      </c>
      <c r="J1540" s="284">
        <v>0</v>
      </c>
    </row>
    <row r="1541" spans="3:10" x14ac:dyDescent="0.25">
      <c r="C1541" s="300" t="s">
        <v>1060</v>
      </c>
      <c r="D1541" s="283" t="s">
        <v>1079</v>
      </c>
      <c r="E1541" s="283" t="s">
        <v>1075</v>
      </c>
      <c r="F1541" s="283" t="s">
        <v>1075</v>
      </c>
      <c r="G1541" s="283">
        <v>2</v>
      </c>
      <c r="H1541" s="283">
        <v>0</v>
      </c>
      <c r="I1541" s="283">
        <v>0</v>
      </c>
      <c r="J1541" s="284">
        <v>0</v>
      </c>
    </row>
    <row r="1542" spans="3:10" x14ac:dyDescent="0.25">
      <c r="C1542" s="300" t="s">
        <v>1059</v>
      </c>
      <c r="D1542" s="283" t="s">
        <v>1087</v>
      </c>
      <c r="E1542" s="283" t="s">
        <v>1075</v>
      </c>
      <c r="F1542" s="283" t="s">
        <v>524</v>
      </c>
      <c r="G1542" s="283">
        <v>1</v>
      </c>
      <c r="H1542" s="283">
        <v>0</v>
      </c>
      <c r="I1542" s="283">
        <v>0</v>
      </c>
      <c r="J1542" s="284">
        <v>0</v>
      </c>
    </row>
    <row r="1543" spans="3:10" x14ac:dyDescent="0.25">
      <c r="C1543" s="300" t="s">
        <v>1062</v>
      </c>
      <c r="D1543" s="283" t="s">
        <v>1090</v>
      </c>
      <c r="E1543" s="283" t="s">
        <v>1044</v>
      </c>
      <c r="F1543" s="283" t="s">
        <v>524</v>
      </c>
      <c r="G1543" s="283">
        <v>1</v>
      </c>
      <c r="H1543" s="283">
        <v>0</v>
      </c>
      <c r="I1543" s="283">
        <v>0</v>
      </c>
      <c r="J1543" s="284">
        <v>0</v>
      </c>
    </row>
    <row r="1544" spans="3:10" x14ac:dyDescent="0.25">
      <c r="C1544" s="300" t="s">
        <v>1064</v>
      </c>
      <c r="D1544" s="283" t="s">
        <v>1077</v>
      </c>
      <c r="E1544" s="283" t="s">
        <v>1075</v>
      </c>
      <c r="F1544" s="283" t="s">
        <v>1075</v>
      </c>
      <c r="G1544" s="283">
        <v>3</v>
      </c>
      <c r="H1544" s="283">
        <v>0</v>
      </c>
      <c r="I1544" s="283">
        <v>0</v>
      </c>
      <c r="J1544" s="284">
        <v>0</v>
      </c>
    </row>
    <row r="1545" spans="3:10" x14ac:dyDescent="0.25">
      <c r="C1545" s="300" t="s">
        <v>1066</v>
      </c>
      <c r="D1545" s="283" t="s">
        <v>1074</v>
      </c>
      <c r="E1545" s="283" t="s">
        <v>1089</v>
      </c>
      <c r="F1545" s="283" t="s">
        <v>1075</v>
      </c>
      <c r="G1545" s="283">
        <v>2</v>
      </c>
      <c r="H1545" s="283">
        <v>0</v>
      </c>
      <c r="I1545" s="283">
        <v>0</v>
      </c>
      <c r="J1545" s="284">
        <v>0</v>
      </c>
    </row>
    <row r="1546" spans="3:10" x14ac:dyDescent="0.25">
      <c r="C1546" s="300" t="s">
        <v>1060</v>
      </c>
      <c r="D1546" s="283" t="s">
        <v>1074</v>
      </c>
      <c r="E1546" s="283" t="s">
        <v>1076</v>
      </c>
      <c r="F1546" s="283" t="s">
        <v>1075</v>
      </c>
      <c r="G1546" s="283">
        <v>2</v>
      </c>
      <c r="H1546" s="283">
        <v>0</v>
      </c>
      <c r="I1546" s="283">
        <v>0</v>
      </c>
      <c r="J1546" s="284">
        <v>0</v>
      </c>
    </row>
    <row r="1547" spans="3:10" x14ac:dyDescent="0.25">
      <c r="C1547" s="300" t="s">
        <v>1065</v>
      </c>
      <c r="D1547" s="283" t="s">
        <v>1082</v>
      </c>
      <c r="E1547" s="283" t="s">
        <v>1075</v>
      </c>
      <c r="F1547" s="283" t="s">
        <v>1076</v>
      </c>
      <c r="G1547" s="283">
        <v>2</v>
      </c>
      <c r="H1547" s="283">
        <v>0</v>
      </c>
      <c r="I1547" s="283">
        <v>0</v>
      </c>
      <c r="J1547" s="284">
        <v>0</v>
      </c>
    </row>
    <row r="1548" spans="3:10" x14ac:dyDescent="0.25">
      <c r="C1548" s="300" t="s">
        <v>1063</v>
      </c>
      <c r="D1548" s="283" t="s">
        <v>1077</v>
      </c>
      <c r="E1548" s="283" t="s">
        <v>1076</v>
      </c>
      <c r="F1548" s="283" t="s">
        <v>1075</v>
      </c>
      <c r="G1548" s="283">
        <v>2</v>
      </c>
      <c r="H1548" s="283">
        <v>0</v>
      </c>
      <c r="I1548" s="283">
        <v>0</v>
      </c>
      <c r="J1548" s="284">
        <v>0</v>
      </c>
    </row>
    <row r="1549" spans="3:10" x14ac:dyDescent="0.25">
      <c r="C1549" s="300" t="s">
        <v>1060</v>
      </c>
      <c r="D1549" s="283" t="s">
        <v>1082</v>
      </c>
      <c r="E1549" s="283" t="s">
        <v>1078</v>
      </c>
      <c r="F1549" s="283" t="s">
        <v>1076</v>
      </c>
      <c r="G1549" s="283">
        <v>2</v>
      </c>
      <c r="H1549" s="283">
        <v>0</v>
      </c>
      <c r="I1549" s="283">
        <v>0</v>
      </c>
      <c r="J1549" s="284">
        <v>0</v>
      </c>
    </row>
    <row r="1550" spans="3:10" x14ac:dyDescent="0.25">
      <c r="C1550" s="300" t="s">
        <v>1060</v>
      </c>
      <c r="D1550" s="283" t="s">
        <v>1079</v>
      </c>
      <c r="E1550" s="283" t="s">
        <v>1075</v>
      </c>
      <c r="F1550" s="283" t="s">
        <v>1075</v>
      </c>
      <c r="G1550" s="283">
        <v>3</v>
      </c>
      <c r="H1550" s="283">
        <v>0</v>
      </c>
      <c r="I1550" s="283">
        <v>0</v>
      </c>
      <c r="J1550" s="284">
        <v>0</v>
      </c>
    </row>
    <row r="1551" spans="3:10" x14ac:dyDescent="0.25">
      <c r="C1551" s="300" t="s">
        <v>1066</v>
      </c>
      <c r="D1551" s="283" t="s">
        <v>1077</v>
      </c>
      <c r="E1551" s="283" t="s">
        <v>1093</v>
      </c>
      <c r="F1551" s="283" t="s">
        <v>1075</v>
      </c>
      <c r="G1551" s="283">
        <v>2</v>
      </c>
      <c r="H1551" s="283">
        <v>0</v>
      </c>
      <c r="I1551" s="283">
        <v>0</v>
      </c>
      <c r="J1551" s="284">
        <v>0</v>
      </c>
    </row>
    <row r="1552" spans="3:10" x14ac:dyDescent="0.25">
      <c r="C1552" s="300" t="s">
        <v>1063</v>
      </c>
      <c r="D1552" s="283" t="s">
        <v>1079</v>
      </c>
      <c r="E1552" s="283" t="s">
        <v>1084</v>
      </c>
      <c r="F1552" s="283" t="s">
        <v>1089</v>
      </c>
      <c r="G1552" s="283">
        <v>2</v>
      </c>
      <c r="H1552" s="283">
        <v>0</v>
      </c>
      <c r="I1552" s="283">
        <v>0</v>
      </c>
      <c r="J1552" s="284">
        <v>0</v>
      </c>
    </row>
    <row r="1553" spans="3:10" x14ac:dyDescent="0.25">
      <c r="C1553" s="300" t="s">
        <v>1068</v>
      </c>
      <c r="D1553" s="283" t="s">
        <v>1082</v>
      </c>
      <c r="E1553" s="283" t="s">
        <v>1089</v>
      </c>
      <c r="F1553" s="283" t="s">
        <v>1075</v>
      </c>
      <c r="G1553" s="283">
        <v>2</v>
      </c>
      <c r="H1553" s="283">
        <v>0</v>
      </c>
      <c r="I1553" s="283">
        <v>0</v>
      </c>
      <c r="J1553" s="284">
        <v>0</v>
      </c>
    </row>
    <row r="1554" spans="3:10" x14ac:dyDescent="0.25">
      <c r="C1554" s="300" t="s">
        <v>1065</v>
      </c>
      <c r="D1554" s="283" t="s">
        <v>1079</v>
      </c>
      <c r="E1554" s="283" t="s">
        <v>1078</v>
      </c>
      <c r="F1554" s="283" t="s">
        <v>1076</v>
      </c>
      <c r="G1554" s="283">
        <v>2</v>
      </c>
      <c r="H1554" s="283">
        <v>0</v>
      </c>
      <c r="I1554" s="283">
        <v>0</v>
      </c>
      <c r="J1554" s="284">
        <v>0</v>
      </c>
    </row>
    <row r="1555" spans="3:10" x14ac:dyDescent="0.25">
      <c r="C1555" s="300" t="s">
        <v>1065</v>
      </c>
      <c r="D1555" s="283" t="s">
        <v>1074</v>
      </c>
      <c r="E1555" s="283" t="s">
        <v>1076</v>
      </c>
      <c r="F1555" s="283" t="s">
        <v>1075</v>
      </c>
      <c r="G1555" s="283">
        <v>2</v>
      </c>
      <c r="H1555" s="283">
        <v>0</v>
      </c>
      <c r="I1555" s="283">
        <v>0</v>
      </c>
      <c r="J1555" s="284">
        <v>0</v>
      </c>
    </row>
    <row r="1556" spans="3:10" x14ac:dyDescent="0.25">
      <c r="C1556" s="300" t="s">
        <v>1061</v>
      </c>
      <c r="D1556" s="283" t="s">
        <v>1079</v>
      </c>
      <c r="E1556" s="283" t="s">
        <v>1089</v>
      </c>
      <c r="F1556" s="283" t="s">
        <v>1075</v>
      </c>
      <c r="G1556" s="283">
        <v>2</v>
      </c>
      <c r="H1556" s="283">
        <v>0</v>
      </c>
      <c r="I1556" s="283">
        <v>0</v>
      </c>
      <c r="J1556" s="284">
        <v>0</v>
      </c>
    </row>
    <row r="1557" spans="3:10" x14ac:dyDescent="0.25">
      <c r="C1557" s="300" t="s">
        <v>1063</v>
      </c>
      <c r="D1557" s="283" t="s">
        <v>1074</v>
      </c>
      <c r="E1557" s="283" t="s">
        <v>1075</v>
      </c>
      <c r="F1557" s="283" t="s">
        <v>1083</v>
      </c>
      <c r="G1557" s="283">
        <v>2</v>
      </c>
      <c r="H1557" s="283">
        <v>0</v>
      </c>
      <c r="I1557" s="283">
        <v>0</v>
      </c>
      <c r="J1557" s="284">
        <v>0</v>
      </c>
    </row>
    <row r="1558" spans="3:10" x14ac:dyDescent="0.25">
      <c r="C1558" s="300" t="s">
        <v>1063</v>
      </c>
      <c r="D1558" s="283" t="s">
        <v>1074</v>
      </c>
      <c r="E1558" s="283" t="s">
        <v>1075</v>
      </c>
      <c r="F1558" s="283" t="s">
        <v>1084</v>
      </c>
      <c r="G1558" s="283">
        <v>2</v>
      </c>
      <c r="H1558" s="283">
        <v>0</v>
      </c>
      <c r="I1558" s="283">
        <v>0</v>
      </c>
      <c r="J1558" s="284">
        <v>0</v>
      </c>
    </row>
    <row r="1559" spans="3:10" x14ac:dyDescent="0.25">
      <c r="C1559" s="300" t="s">
        <v>1061</v>
      </c>
      <c r="D1559" s="283" t="s">
        <v>1079</v>
      </c>
      <c r="E1559" s="283" t="s">
        <v>1075</v>
      </c>
      <c r="F1559" s="283" t="s">
        <v>1075</v>
      </c>
      <c r="G1559" s="283">
        <v>2</v>
      </c>
      <c r="H1559" s="283">
        <v>0</v>
      </c>
      <c r="I1559" s="283">
        <v>0</v>
      </c>
      <c r="J1559" s="284">
        <v>0</v>
      </c>
    </row>
    <row r="1560" spans="3:10" x14ac:dyDescent="0.25">
      <c r="C1560" s="300" t="s">
        <v>1062</v>
      </c>
      <c r="D1560" s="283" t="s">
        <v>1074</v>
      </c>
      <c r="E1560" s="283" t="s">
        <v>1075</v>
      </c>
      <c r="F1560" s="283" t="s">
        <v>1075</v>
      </c>
      <c r="G1560" s="283">
        <v>2</v>
      </c>
      <c r="H1560" s="283">
        <v>0</v>
      </c>
      <c r="I1560" s="283">
        <v>0</v>
      </c>
      <c r="J1560" s="284">
        <v>0</v>
      </c>
    </row>
    <row r="1561" spans="3:10" x14ac:dyDescent="0.25">
      <c r="C1561" s="300" t="s">
        <v>1064</v>
      </c>
      <c r="D1561" s="283" t="s">
        <v>1077</v>
      </c>
      <c r="E1561" s="283" t="s">
        <v>1089</v>
      </c>
      <c r="F1561" s="283" t="s">
        <v>1078</v>
      </c>
      <c r="G1561" s="283">
        <v>2</v>
      </c>
      <c r="H1561" s="283">
        <v>0</v>
      </c>
      <c r="I1561" s="283">
        <v>0</v>
      </c>
      <c r="J1561" s="284">
        <v>0</v>
      </c>
    </row>
    <row r="1562" spans="3:10" x14ac:dyDescent="0.25">
      <c r="C1562" s="300" t="s">
        <v>1061</v>
      </c>
      <c r="D1562" s="283" t="s">
        <v>1090</v>
      </c>
      <c r="E1562" s="283" t="s">
        <v>1083</v>
      </c>
      <c r="F1562" s="283" t="s">
        <v>524</v>
      </c>
      <c r="G1562" s="283">
        <v>1</v>
      </c>
      <c r="H1562" s="283">
        <v>0</v>
      </c>
      <c r="I1562" s="283">
        <v>0</v>
      </c>
      <c r="J1562" s="284">
        <v>1</v>
      </c>
    </row>
    <row r="1563" spans="3:10" x14ac:dyDescent="0.25">
      <c r="C1563" s="300" t="s">
        <v>1064</v>
      </c>
      <c r="D1563" s="283" t="s">
        <v>1074</v>
      </c>
      <c r="E1563" s="283" t="s">
        <v>1075</v>
      </c>
      <c r="F1563" s="283" t="s">
        <v>1089</v>
      </c>
      <c r="G1563" s="283">
        <v>2</v>
      </c>
      <c r="H1563" s="283">
        <v>0</v>
      </c>
      <c r="I1563" s="283">
        <v>0</v>
      </c>
      <c r="J1563" s="284">
        <v>0</v>
      </c>
    </row>
    <row r="1564" spans="3:10" x14ac:dyDescent="0.25">
      <c r="C1564" s="300" t="s">
        <v>1061</v>
      </c>
      <c r="D1564" s="283" t="s">
        <v>1079</v>
      </c>
      <c r="E1564" s="283" t="s">
        <v>1078</v>
      </c>
      <c r="F1564" s="283" t="s">
        <v>1075</v>
      </c>
      <c r="G1564" s="283">
        <v>2</v>
      </c>
      <c r="H1564" s="283">
        <v>0</v>
      </c>
      <c r="I1564" s="283">
        <v>0</v>
      </c>
      <c r="J1564" s="284">
        <v>0</v>
      </c>
    </row>
    <row r="1565" spans="3:10" x14ac:dyDescent="0.25">
      <c r="C1565" s="300" t="s">
        <v>1063</v>
      </c>
      <c r="D1565" s="283" t="s">
        <v>1077</v>
      </c>
      <c r="E1565" s="283" t="s">
        <v>1081</v>
      </c>
      <c r="F1565" s="283" t="s">
        <v>1075</v>
      </c>
      <c r="G1565" s="283">
        <v>3</v>
      </c>
      <c r="H1565" s="283">
        <v>0</v>
      </c>
      <c r="I1565" s="283">
        <v>0</v>
      </c>
      <c r="J1565" s="284">
        <v>0</v>
      </c>
    </row>
    <row r="1566" spans="3:10" x14ac:dyDescent="0.25">
      <c r="C1566" s="300" t="s">
        <v>1063</v>
      </c>
      <c r="D1566" s="283" t="s">
        <v>1087</v>
      </c>
      <c r="E1566" s="283" t="s">
        <v>1075</v>
      </c>
      <c r="F1566" s="283" t="s">
        <v>524</v>
      </c>
      <c r="G1566" s="283">
        <v>1</v>
      </c>
      <c r="H1566" s="283">
        <v>0</v>
      </c>
      <c r="I1566" s="283">
        <v>0</v>
      </c>
      <c r="J1566" s="284">
        <v>0</v>
      </c>
    </row>
    <row r="1567" spans="3:10" x14ac:dyDescent="0.25">
      <c r="C1567" s="300" t="s">
        <v>1060</v>
      </c>
      <c r="D1567" s="283" t="s">
        <v>1079</v>
      </c>
      <c r="E1567" s="283" t="s">
        <v>1084</v>
      </c>
      <c r="F1567" s="283" t="s">
        <v>1080</v>
      </c>
      <c r="G1567" s="283">
        <v>2</v>
      </c>
      <c r="H1567" s="283">
        <v>0</v>
      </c>
      <c r="I1567" s="283">
        <v>0</v>
      </c>
      <c r="J1567" s="284">
        <v>0</v>
      </c>
    </row>
    <row r="1568" spans="3:10" x14ac:dyDescent="0.25">
      <c r="C1568" s="300" t="s">
        <v>1066</v>
      </c>
      <c r="D1568" s="283" t="s">
        <v>1079</v>
      </c>
      <c r="E1568" s="283" t="s">
        <v>1075</v>
      </c>
      <c r="F1568" s="283" t="s">
        <v>1076</v>
      </c>
      <c r="G1568" s="283">
        <v>2</v>
      </c>
      <c r="H1568" s="283">
        <v>0</v>
      </c>
      <c r="I1568" s="283">
        <v>0</v>
      </c>
      <c r="J1568" s="284">
        <v>0</v>
      </c>
    </row>
    <row r="1569" spans="3:10" x14ac:dyDescent="0.25">
      <c r="C1569" s="300" t="s">
        <v>1061</v>
      </c>
      <c r="D1569" s="283" t="s">
        <v>1079</v>
      </c>
      <c r="E1569" s="283" t="s">
        <v>1089</v>
      </c>
      <c r="F1569" s="283" t="s">
        <v>1089</v>
      </c>
      <c r="G1569" s="283">
        <v>3</v>
      </c>
      <c r="H1569" s="283">
        <v>0</v>
      </c>
      <c r="I1569" s="283">
        <v>0</v>
      </c>
      <c r="J1569" s="284">
        <v>0</v>
      </c>
    </row>
    <row r="1570" spans="3:10" x14ac:dyDescent="0.25">
      <c r="C1570" s="300" t="s">
        <v>1064</v>
      </c>
      <c r="D1570" s="283" t="s">
        <v>1087</v>
      </c>
      <c r="E1570" s="283" t="s">
        <v>1094</v>
      </c>
      <c r="F1570" s="283" t="s">
        <v>524</v>
      </c>
      <c r="G1570" s="283">
        <v>1</v>
      </c>
      <c r="H1570" s="283">
        <v>0</v>
      </c>
      <c r="I1570" s="283">
        <v>0</v>
      </c>
      <c r="J1570" s="284">
        <v>1</v>
      </c>
    </row>
    <row r="1571" spans="3:10" x14ac:dyDescent="0.25">
      <c r="C1571" s="300" t="s">
        <v>1067</v>
      </c>
      <c r="D1571" s="283" t="s">
        <v>1079</v>
      </c>
      <c r="E1571" s="283" t="s">
        <v>1075</v>
      </c>
      <c r="F1571" s="283" t="s">
        <v>1044</v>
      </c>
      <c r="G1571" s="283">
        <v>2</v>
      </c>
      <c r="H1571" s="283">
        <v>0</v>
      </c>
      <c r="I1571" s="283">
        <v>1</v>
      </c>
      <c r="J1571" s="284">
        <v>0</v>
      </c>
    </row>
    <row r="1572" spans="3:10" x14ac:dyDescent="0.25">
      <c r="C1572" s="300" t="s">
        <v>1058</v>
      </c>
      <c r="D1572" s="283" t="s">
        <v>1087</v>
      </c>
      <c r="E1572" s="283" t="s">
        <v>1076</v>
      </c>
      <c r="F1572" s="283" t="s">
        <v>524</v>
      </c>
      <c r="G1572" s="283">
        <v>1</v>
      </c>
      <c r="H1572" s="283">
        <v>0</v>
      </c>
      <c r="I1572" s="283">
        <v>0</v>
      </c>
      <c r="J1572" s="284">
        <v>0</v>
      </c>
    </row>
    <row r="1573" spans="3:10" x14ac:dyDescent="0.25">
      <c r="C1573" s="300" t="s">
        <v>1062</v>
      </c>
      <c r="D1573" s="283" t="s">
        <v>1095</v>
      </c>
      <c r="E1573" s="283" t="s">
        <v>1083</v>
      </c>
      <c r="F1573" s="283" t="s">
        <v>524</v>
      </c>
      <c r="G1573" s="283">
        <v>1</v>
      </c>
      <c r="H1573" s="283">
        <v>0</v>
      </c>
      <c r="I1573" s="283">
        <v>0</v>
      </c>
      <c r="J1573" s="284">
        <v>0</v>
      </c>
    </row>
    <row r="1574" spans="3:10" x14ac:dyDescent="0.25">
      <c r="C1574" s="300" t="s">
        <v>1059</v>
      </c>
      <c r="D1574" s="283" t="s">
        <v>1079</v>
      </c>
      <c r="E1574" s="283" t="s">
        <v>1089</v>
      </c>
      <c r="F1574" s="283" t="s">
        <v>1105</v>
      </c>
      <c r="G1574" s="283">
        <v>2</v>
      </c>
      <c r="H1574" s="283">
        <v>0</v>
      </c>
      <c r="I1574" s="283">
        <v>0</v>
      </c>
      <c r="J1574" s="284">
        <v>0</v>
      </c>
    </row>
    <row r="1575" spans="3:10" x14ac:dyDescent="0.25">
      <c r="C1575" s="300" t="s">
        <v>1063</v>
      </c>
      <c r="D1575" s="283" t="s">
        <v>1074</v>
      </c>
      <c r="E1575" s="283" t="s">
        <v>1076</v>
      </c>
      <c r="F1575" s="283" t="s">
        <v>1083</v>
      </c>
      <c r="G1575" s="283">
        <v>2</v>
      </c>
      <c r="H1575" s="283">
        <v>0</v>
      </c>
      <c r="I1575" s="283">
        <v>0</v>
      </c>
      <c r="J1575" s="284">
        <v>0</v>
      </c>
    </row>
    <row r="1576" spans="3:10" x14ac:dyDescent="0.25">
      <c r="C1576" s="300" t="s">
        <v>1059</v>
      </c>
      <c r="D1576" s="283" t="s">
        <v>1077</v>
      </c>
      <c r="E1576" s="283" t="s">
        <v>1078</v>
      </c>
      <c r="F1576" s="283" t="s">
        <v>1075</v>
      </c>
      <c r="G1576" s="283">
        <v>2</v>
      </c>
      <c r="H1576" s="283">
        <v>0</v>
      </c>
      <c r="I1576" s="283">
        <v>0</v>
      </c>
      <c r="J1576" s="284">
        <v>0</v>
      </c>
    </row>
    <row r="1577" spans="3:10" x14ac:dyDescent="0.25">
      <c r="C1577" s="300" t="s">
        <v>1066</v>
      </c>
      <c r="D1577" s="283" t="s">
        <v>1077</v>
      </c>
      <c r="E1577" s="283" t="s">
        <v>1075</v>
      </c>
      <c r="F1577" s="283" t="s">
        <v>1089</v>
      </c>
      <c r="G1577" s="283">
        <v>3</v>
      </c>
      <c r="H1577" s="283">
        <v>0</v>
      </c>
      <c r="I1577" s="283">
        <v>0</v>
      </c>
      <c r="J1577" s="284">
        <v>0</v>
      </c>
    </row>
    <row r="1578" spans="3:10" x14ac:dyDescent="0.25">
      <c r="C1578" s="300" t="s">
        <v>1065</v>
      </c>
      <c r="D1578" s="283" t="s">
        <v>1077</v>
      </c>
      <c r="E1578" s="283" t="s">
        <v>1089</v>
      </c>
      <c r="F1578" s="283" t="s">
        <v>1094</v>
      </c>
      <c r="G1578" s="283">
        <v>3</v>
      </c>
      <c r="H1578" s="283">
        <v>0</v>
      </c>
      <c r="I1578" s="283">
        <v>0</v>
      </c>
      <c r="J1578" s="284">
        <v>0</v>
      </c>
    </row>
    <row r="1579" spans="3:10" x14ac:dyDescent="0.25">
      <c r="C1579" s="300" t="s">
        <v>1061</v>
      </c>
      <c r="D1579" s="283" t="s">
        <v>1079</v>
      </c>
      <c r="E1579" s="283" t="s">
        <v>1075</v>
      </c>
      <c r="F1579" s="283" t="s">
        <v>1089</v>
      </c>
      <c r="G1579" s="283">
        <v>2</v>
      </c>
      <c r="H1579" s="283">
        <v>0</v>
      </c>
      <c r="I1579" s="283">
        <v>0</v>
      </c>
      <c r="J1579" s="284">
        <v>0</v>
      </c>
    </row>
    <row r="1580" spans="3:10" x14ac:dyDescent="0.25">
      <c r="C1580" s="300" t="s">
        <v>1064</v>
      </c>
      <c r="D1580" s="283" t="s">
        <v>1079</v>
      </c>
      <c r="E1580" s="283" t="s">
        <v>1075</v>
      </c>
      <c r="F1580" s="283" t="s">
        <v>1084</v>
      </c>
      <c r="G1580" s="283">
        <v>2</v>
      </c>
      <c r="H1580" s="283">
        <v>0</v>
      </c>
      <c r="I1580" s="283">
        <v>0</v>
      </c>
      <c r="J1580" s="284">
        <v>0</v>
      </c>
    </row>
    <row r="1581" spans="3:10" x14ac:dyDescent="0.25">
      <c r="C1581" s="300" t="s">
        <v>1063</v>
      </c>
      <c r="D1581" s="283" t="s">
        <v>1077</v>
      </c>
      <c r="E1581" s="283" t="s">
        <v>1084</v>
      </c>
      <c r="F1581" s="283" t="s">
        <v>1075</v>
      </c>
      <c r="G1581" s="283">
        <v>2</v>
      </c>
      <c r="H1581" s="283">
        <v>0</v>
      </c>
      <c r="I1581" s="283">
        <v>0</v>
      </c>
      <c r="J1581" s="284">
        <v>0</v>
      </c>
    </row>
    <row r="1582" spans="3:10" x14ac:dyDescent="0.25">
      <c r="C1582" s="300" t="s">
        <v>1067</v>
      </c>
      <c r="D1582" s="283" t="s">
        <v>1077</v>
      </c>
      <c r="E1582" s="283" t="s">
        <v>1089</v>
      </c>
      <c r="F1582" s="283" t="s">
        <v>1075</v>
      </c>
      <c r="G1582" s="283">
        <v>2</v>
      </c>
      <c r="H1582" s="283">
        <v>0</v>
      </c>
      <c r="I1582" s="283">
        <v>0</v>
      </c>
      <c r="J1582" s="284">
        <v>0</v>
      </c>
    </row>
    <row r="1583" spans="3:10" x14ac:dyDescent="0.25">
      <c r="C1583" s="300" t="s">
        <v>1066</v>
      </c>
      <c r="D1583" s="283" t="s">
        <v>1074</v>
      </c>
      <c r="E1583" s="283" t="s">
        <v>1089</v>
      </c>
      <c r="F1583" s="283" t="s">
        <v>1075</v>
      </c>
      <c r="G1583" s="283">
        <v>2</v>
      </c>
      <c r="H1583" s="283">
        <v>0</v>
      </c>
      <c r="I1583" s="283">
        <v>0</v>
      </c>
      <c r="J1583" s="284">
        <v>0</v>
      </c>
    </row>
    <row r="1584" spans="3:10" x14ac:dyDescent="0.25">
      <c r="C1584" s="300" t="s">
        <v>1065</v>
      </c>
      <c r="D1584" s="283" t="s">
        <v>1079</v>
      </c>
      <c r="E1584" s="283" t="s">
        <v>1075</v>
      </c>
      <c r="F1584" s="283" t="s">
        <v>1075</v>
      </c>
      <c r="G1584" s="283">
        <v>2</v>
      </c>
      <c r="H1584" s="283">
        <v>0</v>
      </c>
      <c r="I1584" s="283">
        <v>0</v>
      </c>
      <c r="J1584" s="284">
        <v>0</v>
      </c>
    </row>
    <row r="1585" spans="3:10" x14ac:dyDescent="0.25">
      <c r="C1585" s="300" t="s">
        <v>1061</v>
      </c>
      <c r="D1585" s="283" t="s">
        <v>1077</v>
      </c>
      <c r="E1585" s="283" t="s">
        <v>1075</v>
      </c>
      <c r="F1585" s="283" t="s">
        <v>1075</v>
      </c>
      <c r="G1585" s="283">
        <v>2</v>
      </c>
      <c r="H1585" s="283">
        <v>0</v>
      </c>
      <c r="I1585" s="283">
        <v>0</v>
      </c>
      <c r="J1585" s="284">
        <v>0</v>
      </c>
    </row>
    <row r="1586" spans="3:10" x14ac:dyDescent="0.25">
      <c r="C1586" s="300" t="s">
        <v>1063</v>
      </c>
      <c r="D1586" s="283" t="s">
        <v>1087</v>
      </c>
      <c r="E1586" s="283" t="s">
        <v>1078</v>
      </c>
      <c r="F1586" s="283" t="s">
        <v>524</v>
      </c>
      <c r="G1586" s="283">
        <v>1</v>
      </c>
      <c r="H1586" s="283">
        <v>0</v>
      </c>
      <c r="I1586" s="283">
        <v>0</v>
      </c>
      <c r="J1586" s="284">
        <v>0</v>
      </c>
    </row>
    <row r="1587" spans="3:10" x14ac:dyDescent="0.25">
      <c r="C1587" s="300" t="s">
        <v>1065</v>
      </c>
      <c r="D1587" s="283" t="s">
        <v>1077</v>
      </c>
      <c r="E1587" s="283" t="s">
        <v>1075</v>
      </c>
      <c r="F1587" s="283" t="s">
        <v>1075</v>
      </c>
      <c r="G1587" s="283">
        <v>2</v>
      </c>
      <c r="H1587" s="283">
        <v>0</v>
      </c>
      <c r="I1587" s="283">
        <v>0</v>
      </c>
      <c r="J1587" s="284">
        <v>0</v>
      </c>
    </row>
    <row r="1588" spans="3:10" x14ac:dyDescent="0.25">
      <c r="C1588" s="300" t="s">
        <v>1060</v>
      </c>
      <c r="D1588" s="283" t="s">
        <v>1079</v>
      </c>
      <c r="E1588" s="283" t="s">
        <v>1076</v>
      </c>
      <c r="F1588" s="283" t="s">
        <v>1084</v>
      </c>
      <c r="G1588" s="283">
        <v>2</v>
      </c>
      <c r="H1588" s="283">
        <v>0</v>
      </c>
      <c r="I1588" s="283">
        <v>0</v>
      </c>
      <c r="J1588" s="284">
        <v>0</v>
      </c>
    </row>
    <row r="1589" spans="3:10" x14ac:dyDescent="0.25">
      <c r="C1589" s="300" t="s">
        <v>1061</v>
      </c>
      <c r="D1589" s="283" t="s">
        <v>1043</v>
      </c>
      <c r="E1589" s="283" t="s">
        <v>1075</v>
      </c>
      <c r="F1589" s="283" t="s">
        <v>1092</v>
      </c>
      <c r="G1589" s="283">
        <v>2</v>
      </c>
      <c r="H1589" s="283">
        <v>0</v>
      </c>
      <c r="I1589" s="283">
        <v>1</v>
      </c>
      <c r="J1589" s="284">
        <v>0</v>
      </c>
    </row>
    <row r="1590" spans="3:10" x14ac:dyDescent="0.25">
      <c r="C1590" s="300" t="s">
        <v>1062</v>
      </c>
      <c r="D1590" s="283" t="s">
        <v>1079</v>
      </c>
      <c r="E1590" s="283" t="s">
        <v>1089</v>
      </c>
      <c r="F1590" s="283" t="s">
        <v>1089</v>
      </c>
      <c r="G1590" s="283">
        <v>2</v>
      </c>
      <c r="H1590" s="283">
        <v>0</v>
      </c>
      <c r="I1590" s="283">
        <v>1</v>
      </c>
      <c r="J1590" s="284">
        <v>0</v>
      </c>
    </row>
    <row r="1591" spans="3:10" x14ac:dyDescent="0.25">
      <c r="C1591" s="300" t="s">
        <v>1063</v>
      </c>
      <c r="D1591" s="283" t="s">
        <v>1043</v>
      </c>
      <c r="E1591" s="283" t="s">
        <v>1075</v>
      </c>
      <c r="F1591" s="283" t="s">
        <v>1092</v>
      </c>
      <c r="G1591" s="283">
        <v>2</v>
      </c>
      <c r="H1591" s="283">
        <v>0</v>
      </c>
      <c r="I1591" s="283">
        <v>0</v>
      </c>
      <c r="J1591" s="284">
        <v>0</v>
      </c>
    </row>
    <row r="1592" spans="3:10" x14ac:dyDescent="0.25">
      <c r="C1592" s="300" t="s">
        <v>1065</v>
      </c>
      <c r="D1592" s="283" t="s">
        <v>1087</v>
      </c>
      <c r="E1592" s="283" t="s">
        <v>1094</v>
      </c>
      <c r="F1592" s="283" t="s">
        <v>524</v>
      </c>
      <c r="G1592" s="283">
        <v>1</v>
      </c>
      <c r="H1592" s="283">
        <v>0</v>
      </c>
      <c r="I1592" s="283">
        <v>0</v>
      </c>
      <c r="J1592" s="284">
        <v>0</v>
      </c>
    </row>
    <row r="1593" spans="3:10" x14ac:dyDescent="0.25">
      <c r="C1593" s="300" t="s">
        <v>1064</v>
      </c>
      <c r="D1593" s="283" t="s">
        <v>1043</v>
      </c>
      <c r="E1593" s="283" t="s">
        <v>1089</v>
      </c>
      <c r="F1593" s="283" t="s">
        <v>1092</v>
      </c>
      <c r="G1593" s="283">
        <v>2</v>
      </c>
      <c r="H1593" s="283">
        <v>0</v>
      </c>
      <c r="I1593" s="283">
        <v>0</v>
      </c>
      <c r="J1593" s="284">
        <v>1</v>
      </c>
    </row>
    <row r="1594" spans="3:10" x14ac:dyDescent="0.25">
      <c r="C1594" s="300" t="s">
        <v>1064</v>
      </c>
      <c r="D1594" s="283" t="s">
        <v>1077</v>
      </c>
      <c r="E1594" s="283" t="s">
        <v>1076</v>
      </c>
      <c r="F1594" s="283" t="s">
        <v>1078</v>
      </c>
      <c r="G1594" s="283">
        <v>2</v>
      </c>
      <c r="H1594" s="283">
        <v>0</v>
      </c>
      <c r="I1594" s="283">
        <v>0</v>
      </c>
      <c r="J1594" s="284">
        <v>0</v>
      </c>
    </row>
    <row r="1595" spans="3:10" x14ac:dyDescent="0.25">
      <c r="C1595" s="300" t="s">
        <v>1060</v>
      </c>
      <c r="D1595" s="283" t="s">
        <v>1074</v>
      </c>
      <c r="E1595" s="283" t="s">
        <v>1084</v>
      </c>
      <c r="F1595" s="283" t="s">
        <v>1075</v>
      </c>
      <c r="G1595" s="283">
        <v>2</v>
      </c>
      <c r="H1595" s="283">
        <v>0</v>
      </c>
      <c r="I1595" s="283">
        <v>0</v>
      </c>
      <c r="J1595" s="284">
        <v>1</v>
      </c>
    </row>
    <row r="1596" spans="3:10" x14ac:dyDescent="0.25">
      <c r="C1596" s="300" t="s">
        <v>1066</v>
      </c>
      <c r="D1596" s="283" t="s">
        <v>1079</v>
      </c>
      <c r="E1596" s="283" t="s">
        <v>1075</v>
      </c>
      <c r="F1596" s="283" t="s">
        <v>1078</v>
      </c>
      <c r="G1596" s="283">
        <v>2</v>
      </c>
      <c r="H1596" s="283">
        <v>0</v>
      </c>
      <c r="I1596" s="283">
        <v>1</v>
      </c>
      <c r="J1596" s="284">
        <v>0</v>
      </c>
    </row>
    <row r="1597" spans="3:10" x14ac:dyDescent="0.25">
      <c r="C1597" s="300" t="s">
        <v>1063</v>
      </c>
      <c r="D1597" s="283" t="s">
        <v>1087</v>
      </c>
      <c r="E1597" s="283" t="s">
        <v>1075</v>
      </c>
      <c r="F1597" s="283" t="s">
        <v>524</v>
      </c>
      <c r="G1597" s="283">
        <v>1</v>
      </c>
      <c r="H1597" s="283">
        <v>0</v>
      </c>
      <c r="I1597" s="283">
        <v>0</v>
      </c>
      <c r="J1597" s="284">
        <v>1</v>
      </c>
    </row>
    <row r="1598" spans="3:10" x14ac:dyDescent="0.25">
      <c r="C1598" s="300" t="s">
        <v>1066</v>
      </c>
      <c r="D1598" s="283" t="s">
        <v>1077</v>
      </c>
      <c r="E1598" s="283" t="s">
        <v>1089</v>
      </c>
      <c r="F1598" s="283" t="s">
        <v>1075</v>
      </c>
      <c r="G1598" s="283">
        <v>3</v>
      </c>
      <c r="H1598" s="283">
        <v>0</v>
      </c>
      <c r="I1598" s="283">
        <v>0</v>
      </c>
      <c r="J1598" s="284">
        <v>0</v>
      </c>
    </row>
    <row r="1599" spans="3:10" x14ac:dyDescent="0.25">
      <c r="C1599" s="300" t="s">
        <v>1060</v>
      </c>
      <c r="D1599" s="283" t="s">
        <v>1077</v>
      </c>
      <c r="E1599" s="283" t="s">
        <v>1075</v>
      </c>
      <c r="F1599" s="283" t="s">
        <v>1075</v>
      </c>
      <c r="G1599" s="283">
        <v>2</v>
      </c>
      <c r="H1599" s="283">
        <v>0</v>
      </c>
      <c r="I1599" s="283">
        <v>0</v>
      </c>
      <c r="J1599" s="284">
        <v>0</v>
      </c>
    </row>
    <row r="1600" spans="3:10" x14ac:dyDescent="0.25">
      <c r="C1600" s="300" t="s">
        <v>1066</v>
      </c>
      <c r="D1600" s="283" t="s">
        <v>1096</v>
      </c>
      <c r="E1600" s="283" t="s">
        <v>1083</v>
      </c>
      <c r="F1600" s="283" t="s">
        <v>524</v>
      </c>
      <c r="G1600" s="283">
        <v>1</v>
      </c>
      <c r="H1600" s="283">
        <v>0</v>
      </c>
      <c r="I1600" s="283">
        <v>1</v>
      </c>
      <c r="J1600" s="284">
        <v>0</v>
      </c>
    </row>
    <row r="1601" spans="3:10" x14ac:dyDescent="0.25">
      <c r="C1601" s="300" t="s">
        <v>1063</v>
      </c>
      <c r="D1601" s="283" t="s">
        <v>1074</v>
      </c>
      <c r="E1601" s="283" t="s">
        <v>1089</v>
      </c>
      <c r="F1601" s="283" t="s">
        <v>1075</v>
      </c>
      <c r="G1601" s="283">
        <v>2</v>
      </c>
      <c r="H1601" s="283">
        <v>0</v>
      </c>
      <c r="I1601" s="283">
        <v>0</v>
      </c>
      <c r="J1601" s="284">
        <v>1</v>
      </c>
    </row>
    <row r="1602" spans="3:10" x14ac:dyDescent="0.25">
      <c r="C1602" s="300" t="s">
        <v>1063</v>
      </c>
      <c r="D1602" s="283" t="s">
        <v>1074</v>
      </c>
      <c r="E1602" s="283" t="s">
        <v>1075</v>
      </c>
      <c r="F1602" s="283" t="s">
        <v>1076</v>
      </c>
      <c r="G1602" s="283">
        <v>2</v>
      </c>
      <c r="H1602" s="283">
        <v>0</v>
      </c>
      <c r="I1602" s="283">
        <v>1</v>
      </c>
      <c r="J1602" s="284">
        <v>0</v>
      </c>
    </row>
    <row r="1603" spans="3:10" x14ac:dyDescent="0.25">
      <c r="C1603" s="300" t="s">
        <v>1062</v>
      </c>
      <c r="D1603" s="283" t="s">
        <v>1043</v>
      </c>
      <c r="E1603" s="283" t="s">
        <v>1089</v>
      </c>
      <c r="F1603" s="283" t="s">
        <v>1092</v>
      </c>
      <c r="G1603" s="283">
        <v>2</v>
      </c>
      <c r="H1603" s="283">
        <v>0</v>
      </c>
      <c r="I1603" s="283">
        <v>0</v>
      </c>
      <c r="J1603" s="284">
        <v>1</v>
      </c>
    </row>
    <row r="1604" spans="3:10" x14ac:dyDescent="0.25">
      <c r="C1604" s="300" t="s">
        <v>1060</v>
      </c>
      <c r="D1604" s="283" t="s">
        <v>1096</v>
      </c>
      <c r="E1604" s="283" t="s">
        <v>1075</v>
      </c>
      <c r="F1604" s="283" t="s">
        <v>524</v>
      </c>
      <c r="G1604" s="283">
        <v>1</v>
      </c>
      <c r="H1604" s="283">
        <v>0</v>
      </c>
      <c r="I1604" s="283">
        <v>0</v>
      </c>
      <c r="J1604" s="284">
        <v>0</v>
      </c>
    </row>
    <row r="1605" spans="3:10" x14ac:dyDescent="0.25">
      <c r="C1605" s="300" t="s">
        <v>1063</v>
      </c>
      <c r="D1605" s="283" t="s">
        <v>1077</v>
      </c>
      <c r="E1605" s="283" t="s">
        <v>1083</v>
      </c>
      <c r="F1605" s="283" t="s">
        <v>1075</v>
      </c>
      <c r="G1605" s="283">
        <v>2</v>
      </c>
      <c r="H1605" s="283">
        <v>0</v>
      </c>
      <c r="I1605" s="283">
        <v>1</v>
      </c>
      <c r="J1605" s="284">
        <v>0</v>
      </c>
    </row>
    <row r="1606" spans="3:10" x14ac:dyDescent="0.25">
      <c r="C1606" s="300" t="s">
        <v>1064</v>
      </c>
      <c r="D1606" s="283" t="s">
        <v>1077</v>
      </c>
      <c r="E1606" s="283" t="s">
        <v>1075</v>
      </c>
      <c r="F1606" s="283" t="s">
        <v>1089</v>
      </c>
      <c r="G1606" s="283">
        <v>2</v>
      </c>
      <c r="H1606" s="283">
        <v>0</v>
      </c>
      <c r="I1606" s="283">
        <v>0</v>
      </c>
      <c r="J1606" s="284">
        <v>1</v>
      </c>
    </row>
    <row r="1607" spans="3:10" x14ac:dyDescent="0.25">
      <c r="C1607" s="300" t="s">
        <v>1060</v>
      </c>
      <c r="D1607" s="283" t="s">
        <v>1074</v>
      </c>
      <c r="E1607" s="283" t="s">
        <v>1089</v>
      </c>
      <c r="F1607" s="283" t="s">
        <v>1044</v>
      </c>
      <c r="G1607" s="283">
        <v>2</v>
      </c>
      <c r="H1607" s="283">
        <v>0</v>
      </c>
      <c r="I1607" s="283">
        <v>0</v>
      </c>
      <c r="J1607" s="284">
        <v>1</v>
      </c>
    </row>
    <row r="1608" spans="3:10" x14ac:dyDescent="0.25">
      <c r="C1608" s="300" t="s">
        <v>1060</v>
      </c>
      <c r="D1608" s="283" t="s">
        <v>1082</v>
      </c>
      <c r="E1608" s="283" t="s">
        <v>1075</v>
      </c>
      <c r="F1608" s="283" t="s">
        <v>1076</v>
      </c>
      <c r="G1608" s="283">
        <v>2</v>
      </c>
      <c r="H1608" s="283">
        <v>0</v>
      </c>
      <c r="I1608" s="283">
        <v>0</v>
      </c>
      <c r="J1608" s="284">
        <v>1</v>
      </c>
    </row>
    <row r="1609" spans="3:10" x14ac:dyDescent="0.25">
      <c r="C1609" s="300" t="s">
        <v>1065</v>
      </c>
      <c r="D1609" s="283" t="s">
        <v>1077</v>
      </c>
      <c r="E1609" s="283" t="s">
        <v>1075</v>
      </c>
      <c r="F1609" s="283" t="s">
        <v>1089</v>
      </c>
      <c r="G1609" s="283">
        <v>2</v>
      </c>
      <c r="H1609" s="283">
        <v>0</v>
      </c>
      <c r="I1609" s="283">
        <v>0</v>
      </c>
      <c r="J1609" s="284">
        <v>0</v>
      </c>
    </row>
    <row r="1610" spans="3:10" x14ac:dyDescent="0.25">
      <c r="C1610" s="300" t="s">
        <v>1060</v>
      </c>
      <c r="D1610" s="283" t="s">
        <v>1074</v>
      </c>
      <c r="E1610" s="283" t="s">
        <v>1076</v>
      </c>
      <c r="F1610" s="283" t="s">
        <v>1075</v>
      </c>
      <c r="G1610" s="283">
        <v>2</v>
      </c>
      <c r="H1610" s="283">
        <v>0</v>
      </c>
      <c r="I1610" s="283">
        <v>0</v>
      </c>
      <c r="J1610" s="284">
        <v>0</v>
      </c>
    </row>
    <row r="1611" spans="3:10" x14ac:dyDescent="0.25">
      <c r="C1611" s="300" t="s">
        <v>1062</v>
      </c>
      <c r="D1611" s="283" t="s">
        <v>1079</v>
      </c>
      <c r="E1611" s="283" t="s">
        <v>1075</v>
      </c>
      <c r="F1611" s="283" t="s">
        <v>1075</v>
      </c>
      <c r="G1611" s="283">
        <v>3</v>
      </c>
      <c r="H1611" s="283">
        <v>0</v>
      </c>
      <c r="I1611" s="283">
        <v>0</v>
      </c>
      <c r="J1611" s="284">
        <v>0</v>
      </c>
    </row>
    <row r="1612" spans="3:10" x14ac:dyDescent="0.25">
      <c r="C1612" s="300" t="s">
        <v>1067</v>
      </c>
      <c r="D1612" s="283" t="s">
        <v>1079</v>
      </c>
      <c r="E1612" s="283" t="s">
        <v>1075</v>
      </c>
      <c r="F1612" s="283" t="s">
        <v>1075</v>
      </c>
      <c r="G1612" s="283">
        <v>2</v>
      </c>
      <c r="H1612" s="283">
        <v>0</v>
      </c>
      <c r="I1612" s="283">
        <v>0</v>
      </c>
      <c r="J1612" s="284">
        <v>1</v>
      </c>
    </row>
    <row r="1613" spans="3:10" x14ac:dyDescent="0.25">
      <c r="C1613" s="300" t="s">
        <v>1065</v>
      </c>
      <c r="D1613" s="283" t="s">
        <v>1079</v>
      </c>
      <c r="E1613" s="283" t="s">
        <v>1089</v>
      </c>
      <c r="F1613" s="283" t="s">
        <v>1089</v>
      </c>
      <c r="G1613" s="283">
        <v>2</v>
      </c>
      <c r="H1613" s="283">
        <v>0</v>
      </c>
      <c r="I1613" s="283">
        <v>1</v>
      </c>
      <c r="J1613" s="284">
        <v>0</v>
      </c>
    </row>
    <row r="1614" spans="3:10" x14ac:dyDescent="0.25">
      <c r="C1614" s="300" t="s">
        <v>1060</v>
      </c>
      <c r="D1614" s="283" t="s">
        <v>1043</v>
      </c>
      <c r="E1614" s="283" t="s">
        <v>1093</v>
      </c>
      <c r="F1614" s="283" t="s">
        <v>1092</v>
      </c>
      <c r="G1614" s="283">
        <v>2</v>
      </c>
      <c r="H1614" s="283">
        <v>0</v>
      </c>
      <c r="I1614" s="283">
        <v>0</v>
      </c>
      <c r="J1614" s="284">
        <v>0</v>
      </c>
    </row>
    <row r="1615" spans="3:10" x14ac:dyDescent="0.25">
      <c r="C1615" s="300" t="s">
        <v>1066</v>
      </c>
      <c r="D1615" s="283" t="s">
        <v>1077</v>
      </c>
      <c r="E1615" s="283" t="s">
        <v>1075</v>
      </c>
      <c r="F1615" s="283" t="s">
        <v>1075</v>
      </c>
      <c r="G1615" s="283">
        <v>2</v>
      </c>
      <c r="H1615" s="283">
        <v>0</v>
      </c>
      <c r="I1615" s="283">
        <v>0</v>
      </c>
      <c r="J1615" s="284">
        <v>0</v>
      </c>
    </row>
    <row r="1616" spans="3:10" x14ac:dyDescent="0.25">
      <c r="C1616" s="300" t="s">
        <v>1058</v>
      </c>
      <c r="D1616" s="283" t="s">
        <v>1087</v>
      </c>
      <c r="E1616" s="283" t="s">
        <v>1075</v>
      </c>
      <c r="F1616" s="283" t="s">
        <v>524</v>
      </c>
      <c r="G1616" s="283">
        <v>1</v>
      </c>
      <c r="H1616" s="283">
        <v>0</v>
      </c>
      <c r="I1616" s="283">
        <v>0</v>
      </c>
      <c r="J1616" s="284">
        <v>0</v>
      </c>
    </row>
    <row r="1617" spans="3:10" x14ac:dyDescent="0.25">
      <c r="C1617" s="300" t="s">
        <v>1063</v>
      </c>
      <c r="D1617" s="283" t="s">
        <v>1043</v>
      </c>
      <c r="E1617" s="283" t="s">
        <v>1075</v>
      </c>
      <c r="F1617" s="283" t="s">
        <v>1092</v>
      </c>
      <c r="G1617" s="283">
        <v>2</v>
      </c>
      <c r="H1617" s="283">
        <v>0</v>
      </c>
      <c r="I1617" s="283">
        <v>0</v>
      </c>
      <c r="J1617" s="284">
        <v>1</v>
      </c>
    </row>
    <row r="1618" spans="3:10" x14ac:dyDescent="0.25">
      <c r="C1618" s="300" t="s">
        <v>1062</v>
      </c>
      <c r="D1618" s="283" t="s">
        <v>1077</v>
      </c>
      <c r="E1618" s="283" t="s">
        <v>1083</v>
      </c>
      <c r="F1618" s="283" t="s">
        <v>1094</v>
      </c>
      <c r="G1618" s="283">
        <v>2</v>
      </c>
      <c r="H1618" s="283">
        <v>0</v>
      </c>
      <c r="I1618" s="283">
        <v>1</v>
      </c>
      <c r="J1618" s="284">
        <v>0</v>
      </c>
    </row>
    <row r="1619" spans="3:10" x14ac:dyDescent="0.25">
      <c r="C1619" s="300" t="s">
        <v>1064</v>
      </c>
      <c r="D1619" s="283" t="s">
        <v>1074</v>
      </c>
      <c r="E1619" s="283" t="s">
        <v>1075</v>
      </c>
      <c r="F1619" s="283" t="s">
        <v>1078</v>
      </c>
      <c r="G1619" s="283">
        <v>2</v>
      </c>
      <c r="H1619" s="283">
        <v>0</v>
      </c>
      <c r="I1619" s="283">
        <v>0</v>
      </c>
      <c r="J1619" s="284">
        <v>1</v>
      </c>
    </row>
    <row r="1620" spans="3:10" x14ac:dyDescent="0.25">
      <c r="C1620" s="300" t="s">
        <v>1062</v>
      </c>
      <c r="D1620" s="283" t="s">
        <v>1074</v>
      </c>
      <c r="E1620" s="283" t="s">
        <v>1076</v>
      </c>
      <c r="F1620" s="283" t="s">
        <v>1083</v>
      </c>
      <c r="G1620" s="283">
        <v>2</v>
      </c>
      <c r="H1620" s="283">
        <v>0</v>
      </c>
      <c r="I1620" s="283">
        <v>1</v>
      </c>
      <c r="J1620" s="284">
        <v>0</v>
      </c>
    </row>
    <row r="1621" spans="3:10" x14ac:dyDescent="0.25">
      <c r="C1621" s="300" t="s">
        <v>1063</v>
      </c>
      <c r="D1621" s="283" t="s">
        <v>1074</v>
      </c>
      <c r="E1621" s="283" t="s">
        <v>1075</v>
      </c>
      <c r="F1621" s="283" t="s">
        <v>1075</v>
      </c>
      <c r="G1621" s="283">
        <v>2</v>
      </c>
      <c r="H1621" s="283">
        <v>0</v>
      </c>
      <c r="I1621" s="283">
        <v>0</v>
      </c>
      <c r="J1621" s="284">
        <v>2</v>
      </c>
    </row>
    <row r="1622" spans="3:10" x14ac:dyDescent="0.25">
      <c r="C1622" s="300" t="s">
        <v>1068</v>
      </c>
      <c r="D1622" s="283" t="s">
        <v>1079</v>
      </c>
      <c r="E1622" s="283" t="s">
        <v>1075</v>
      </c>
      <c r="F1622" s="283" t="s">
        <v>1076</v>
      </c>
      <c r="G1622" s="283">
        <v>2</v>
      </c>
      <c r="H1622" s="283">
        <v>0</v>
      </c>
      <c r="I1622" s="283">
        <v>0</v>
      </c>
      <c r="J1622" s="284">
        <v>1</v>
      </c>
    </row>
    <row r="1623" spans="3:10" x14ac:dyDescent="0.25">
      <c r="C1623" s="300" t="s">
        <v>1060</v>
      </c>
      <c r="D1623" s="283" t="s">
        <v>1079</v>
      </c>
      <c r="E1623" s="283" t="s">
        <v>1075</v>
      </c>
      <c r="F1623" s="283" t="s">
        <v>1089</v>
      </c>
      <c r="G1623" s="283">
        <v>2</v>
      </c>
      <c r="H1623" s="283">
        <v>0</v>
      </c>
      <c r="I1623" s="283">
        <v>0</v>
      </c>
      <c r="J1623" s="284">
        <v>0</v>
      </c>
    </row>
    <row r="1624" spans="3:10" x14ac:dyDescent="0.25">
      <c r="C1624" s="300" t="s">
        <v>1060</v>
      </c>
      <c r="D1624" s="283" t="s">
        <v>1077</v>
      </c>
      <c r="E1624" s="283" t="s">
        <v>1075</v>
      </c>
      <c r="F1624" s="283" t="s">
        <v>1075</v>
      </c>
      <c r="G1624" s="283">
        <v>2</v>
      </c>
      <c r="H1624" s="283">
        <v>0</v>
      </c>
      <c r="I1624" s="283">
        <v>0</v>
      </c>
      <c r="J1624" s="284">
        <v>1</v>
      </c>
    </row>
    <row r="1625" spans="3:10" x14ac:dyDescent="0.25">
      <c r="C1625" s="300" t="s">
        <v>1066</v>
      </c>
      <c r="D1625" s="283" t="s">
        <v>1074</v>
      </c>
      <c r="E1625" s="283" t="s">
        <v>1075</v>
      </c>
      <c r="F1625" s="283" t="s">
        <v>1093</v>
      </c>
      <c r="G1625" s="283">
        <v>2</v>
      </c>
      <c r="H1625" s="283">
        <v>0</v>
      </c>
      <c r="I1625" s="283">
        <v>0</v>
      </c>
      <c r="J1625" s="284">
        <v>1</v>
      </c>
    </row>
    <row r="1626" spans="3:10" x14ac:dyDescent="0.25">
      <c r="C1626" s="300" t="s">
        <v>1062</v>
      </c>
      <c r="D1626" s="283" t="s">
        <v>1043</v>
      </c>
      <c r="E1626" s="283" t="s">
        <v>1089</v>
      </c>
      <c r="F1626" s="283" t="s">
        <v>1092</v>
      </c>
      <c r="G1626" s="283">
        <v>2</v>
      </c>
      <c r="H1626" s="283">
        <v>0</v>
      </c>
      <c r="I1626" s="283">
        <v>1</v>
      </c>
      <c r="J1626" s="284">
        <v>0</v>
      </c>
    </row>
    <row r="1627" spans="3:10" x14ac:dyDescent="0.25">
      <c r="C1627" s="300" t="s">
        <v>1068</v>
      </c>
      <c r="D1627" s="283" t="s">
        <v>1087</v>
      </c>
      <c r="E1627" s="283" t="s">
        <v>1075</v>
      </c>
      <c r="F1627" s="283" t="s">
        <v>524</v>
      </c>
      <c r="G1627" s="283">
        <v>1</v>
      </c>
      <c r="H1627" s="283">
        <v>0</v>
      </c>
      <c r="I1627" s="283">
        <v>0</v>
      </c>
      <c r="J1627" s="284">
        <v>0</v>
      </c>
    </row>
    <row r="1628" spans="3:10" x14ac:dyDescent="0.25">
      <c r="C1628" s="300" t="s">
        <v>1061</v>
      </c>
      <c r="D1628" s="283" t="s">
        <v>1074</v>
      </c>
      <c r="E1628" s="283" t="s">
        <v>1078</v>
      </c>
      <c r="F1628" s="283" t="s">
        <v>1044</v>
      </c>
      <c r="G1628" s="283">
        <v>2</v>
      </c>
      <c r="H1628" s="283">
        <v>0</v>
      </c>
      <c r="I1628" s="283">
        <v>0</v>
      </c>
      <c r="J1628" s="284">
        <v>0</v>
      </c>
    </row>
    <row r="1629" spans="3:10" x14ac:dyDescent="0.25">
      <c r="C1629" s="300" t="s">
        <v>1063</v>
      </c>
      <c r="D1629" s="283" t="s">
        <v>1079</v>
      </c>
      <c r="E1629" s="283" t="s">
        <v>1089</v>
      </c>
      <c r="F1629" s="283" t="s">
        <v>1075</v>
      </c>
      <c r="G1629" s="283">
        <v>4</v>
      </c>
      <c r="H1629" s="283">
        <v>0</v>
      </c>
      <c r="I1629" s="283">
        <v>1</v>
      </c>
      <c r="J1629" s="284">
        <v>0</v>
      </c>
    </row>
    <row r="1630" spans="3:10" x14ac:dyDescent="0.25">
      <c r="C1630" s="300" t="s">
        <v>1059</v>
      </c>
      <c r="D1630" s="283" t="s">
        <v>1079</v>
      </c>
      <c r="E1630" s="283" t="s">
        <v>1075</v>
      </c>
      <c r="F1630" s="283" t="s">
        <v>524</v>
      </c>
      <c r="G1630" s="283">
        <v>1</v>
      </c>
      <c r="H1630" s="283">
        <v>0</v>
      </c>
      <c r="I1630" s="283">
        <v>0</v>
      </c>
      <c r="J1630" s="284">
        <v>0</v>
      </c>
    </row>
    <row r="1631" spans="3:10" x14ac:dyDescent="0.25">
      <c r="C1631" s="300" t="s">
        <v>1065</v>
      </c>
      <c r="D1631" s="283" t="s">
        <v>1079</v>
      </c>
      <c r="E1631" s="283" t="s">
        <v>1089</v>
      </c>
      <c r="F1631" s="283" t="s">
        <v>1075</v>
      </c>
      <c r="G1631" s="283">
        <v>2</v>
      </c>
      <c r="H1631" s="283">
        <v>0</v>
      </c>
      <c r="I1631" s="283">
        <v>0</v>
      </c>
      <c r="J1631" s="284">
        <v>1</v>
      </c>
    </row>
    <row r="1632" spans="3:10" x14ac:dyDescent="0.25">
      <c r="C1632" s="300" t="s">
        <v>1060</v>
      </c>
      <c r="D1632" s="283" t="s">
        <v>1087</v>
      </c>
      <c r="E1632" s="283" t="s">
        <v>1094</v>
      </c>
      <c r="F1632" s="283" t="s">
        <v>524</v>
      </c>
      <c r="G1632" s="283">
        <v>1</v>
      </c>
      <c r="H1632" s="283">
        <v>0</v>
      </c>
      <c r="I1632" s="283">
        <v>1</v>
      </c>
      <c r="J1632" s="284">
        <v>0</v>
      </c>
    </row>
    <row r="1633" spans="3:10" x14ac:dyDescent="0.25">
      <c r="C1633" s="300" t="s">
        <v>1066</v>
      </c>
      <c r="D1633" s="283" t="s">
        <v>1079</v>
      </c>
      <c r="E1633" s="283" t="s">
        <v>1076</v>
      </c>
      <c r="F1633" s="283" t="s">
        <v>1093</v>
      </c>
      <c r="G1633" s="283">
        <v>2</v>
      </c>
      <c r="H1633" s="283">
        <v>0</v>
      </c>
      <c r="I1633" s="283">
        <v>1</v>
      </c>
      <c r="J1633" s="284">
        <v>0</v>
      </c>
    </row>
    <row r="1634" spans="3:10" x14ac:dyDescent="0.25">
      <c r="C1634" s="300" t="s">
        <v>1063</v>
      </c>
      <c r="D1634" s="283" t="s">
        <v>1077</v>
      </c>
      <c r="E1634" s="283" t="s">
        <v>1089</v>
      </c>
      <c r="F1634" s="283" t="s">
        <v>1075</v>
      </c>
      <c r="G1634" s="283">
        <v>2</v>
      </c>
      <c r="H1634" s="283">
        <v>0</v>
      </c>
      <c r="I1634" s="283">
        <v>0</v>
      </c>
      <c r="J1634" s="284">
        <v>0</v>
      </c>
    </row>
    <row r="1635" spans="3:10" x14ac:dyDescent="0.25">
      <c r="C1635" s="300" t="s">
        <v>1061</v>
      </c>
      <c r="D1635" s="283" t="s">
        <v>1079</v>
      </c>
      <c r="E1635" s="283" t="s">
        <v>1076</v>
      </c>
      <c r="F1635" s="283" t="s">
        <v>1097</v>
      </c>
      <c r="G1635" s="283">
        <v>3</v>
      </c>
      <c r="H1635" s="283">
        <v>0</v>
      </c>
      <c r="I1635" s="283">
        <v>0</v>
      </c>
      <c r="J1635" s="284">
        <v>0</v>
      </c>
    </row>
    <row r="1636" spans="3:10" x14ac:dyDescent="0.25">
      <c r="C1636" s="300" t="s">
        <v>1065</v>
      </c>
      <c r="D1636" s="283" t="s">
        <v>1077</v>
      </c>
      <c r="E1636" s="283" t="s">
        <v>1075</v>
      </c>
      <c r="F1636" s="283" t="s">
        <v>1078</v>
      </c>
      <c r="G1636" s="283">
        <v>2</v>
      </c>
      <c r="H1636" s="283">
        <v>0</v>
      </c>
      <c r="I1636" s="283">
        <v>0</v>
      </c>
      <c r="J1636" s="284">
        <v>1</v>
      </c>
    </row>
    <row r="1637" spans="3:10" x14ac:dyDescent="0.25">
      <c r="C1637" s="300" t="s">
        <v>1062</v>
      </c>
      <c r="D1637" s="283" t="s">
        <v>1079</v>
      </c>
      <c r="E1637" s="283" t="s">
        <v>1075</v>
      </c>
      <c r="F1637" s="283" t="s">
        <v>1080</v>
      </c>
      <c r="G1637" s="283">
        <v>2</v>
      </c>
      <c r="H1637" s="283">
        <v>0</v>
      </c>
      <c r="I1637" s="283">
        <v>0</v>
      </c>
      <c r="J1637" s="284">
        <v>0</v>
      </c>
    </row>
    <row r="1638" spans="3:10" x14ac:dyDescent="0.25">
      <c r="C1638" s="300" t="s">
        <v>1061</v>
      </c>
      <c r="D1638" s="283" t="s">
        <v>1079</v>
      </c>
      <c r="E1638" s="283" t="s">
        <v>1089</v>
      </c>
      <c r="F1638" s="283" t="s">
        <v>1075</v>
      </c>
      <c r="G1638" s="283">
        <v>3</v>
      </c>
      <c r="H1638" s="283">
        <v>0</v>
      </c>
      <c r="I1638" s="283">
        <v>0</v>
      </c>
      <c r="J1638" s="284">
        <v>0</v>
      </c>
    </row>
    <row r="1639" spans="3:10" x14ac:dyDescent="0.25">
      <c r="C1639" s="300" t="s">
        <v>1064</v>
      </c>
      <c r="D1639" s="283" t="s">
        <v>1082</v>
      </c>
      <c r="E1639" s="283" t="s">
        <v>1075</v>
      </c>
      <c r="F1639" s="283" t="s">
        <v>1080</v>
      </c>
      <c r="G1639" s="283">
        <v>2</v>
      </c>
      <c r="H1639" s="283">
        <v>0</v>
      </c>
      <c r="I1639" s="283">
        <v>0</v>
      </c>
      <c r="J1639" s="284">
        <v>0</v>
      </c>
    </row>
    <row r="1640" spans="3:10" x14ac:dyDescent="0.25">
      <c r="C1640" s="300" t="s">
        <v>1060</v>
      </c>
      <c r="D1640" s="283" t="s">
        <v>1074</v>
      </c>
      <c r="E1640" s="283" t="s">
        <v>1084</v>
      </c>
      <c r="F1640" s="283" t="s">
        <v>1076</v>
      </c>
      <c r="G1640" s="283">
        <v>2</v>
      </c>
      <c r="H1640" s="283">
        <v>0</v>
      </c>
      <c r="I1640" s="283">
        <v>0</v>
      </c>
      <c r="J1640" s="284">
        <v>0</v>
      </c>
    </row>
    <row r="1641" spans="3:10" x14ac:dyDescent="0.25">
      <c r="C1641" s="300" t="s">
        <v>1067</v>
      </c>
      <c r="D1641" s="283" t="s">
        <v>1079</v>
      </c>
      <c r="E1641" s="283" t="s">
        <v>1075</v>
      </c>
      <c r="F1641" s="283" t="s">
        <v>1075</v>
      </c>
      <c r="G1641" s="283">
        <v>2</v>
      </c>
      <c r="H1641" s="283">
        <v>0</v>
      </c>
      <c r="I1641" s="283">
        <v>0</v>
      </c>
      <c r="J1641" s="284">
        <v>0</v>
      </c>
    </row>
    <row r="1642" spans="3:10" x14ac:dyDescent="0.25">
      <c r="C1642" s="300" t="s">
        <v>1065</v>
      </c>
      <c r="D1642" s="283" t="s">
        <v>1077</v>
      </c>
      <c r="E1642" s="283" t="s">
        <v>1075</v>
      </c>
      <c r="F1642" s="283" t="s">
        <v>1075</v>
      </c>
      <c r="G1642" s="283">
        <v>2</v>
      </c>
      <c r="H1642" s="283">
        <v>0</v>
      </c>
      <c r="I1642" s="283">
        <v>0</v>
      </c>
      <c r="J1642" s="284">
        <v>0</v>
      </c>
    </row>
    <row r="1643" spans="3:10" x14ac:dyDescent="0.25">
      <c r="C1643" s="300" t="s">
        <v>1060</v>
      </c>
      <c r="D1643" s="283" t="s">
        <v>1079</v>
      </c>
      <c r="E1643" s="283" t="s">
        <v>1080</v>
      </c>
      <c r="F1643" s="283" t="s">
        <v>1075</v>
      </c>
      <c r="G1643" s="283">
        <v>2</v>
      </c>
      <c r="H1643" s="283">
        <v>0</v>
      </c>
      <c r="I1643" s="283">
        <v>0</v>
      </c>
      <c r="J1643" s="284">
        <v>0</v>
      </c>
    </row>
    <row r="1644" spans="3:10" x14ac:dyDescent="0.25">
      <c r="C1644" s="300" t="s">
        <v>1059</v>
      </c>
      <c r="D1644" s="283" t="s">
        <v>1077</v>
      </c>
      <c r="E1644" s="283" t="s">
        <v>1076</v>
      </c>
      <c r="F1644" s="283" t="s">
        <v>1075</v>
      </c>
      <c r="G1644" s="283">
        <v>2</v>
      </c>
      <c r="H1644" s="283">
        <v>0</v>
      </c>
      <c r="I1644" s="283">
        <v>0</v>
      </c>
      <c r="J1644" s="284">
        <v>0</v>
      </c>
    </row>
    <row r="1645" spans="3:10" x14ac:dyDescent="0.25">
      <c r="C1645" s="300" t="s">
        <v>1065</v>
      </c>
      <c r="D1645" s="283" t="s">
        <v>1087</v>
      </c>
      <c r="E1645" s="283" t="s">
        <v>1075</v>
      </c>
      <c r="F1645" s="283" t="s">
        <v>524</v>
      </c>
      <c r="G1645" s="283">
        <v>1</v>
      </c>
      <c r="H1645" s="283">
        <v>0</v>
      </c>
      <c r="I1645" s="283">
        <v>0</v>
      </c>
      <c r="J1645" s="284">
        <v>0</v>
      </c>
    </row>
    <row r="1646" spans="3:10" x14ac:dyDescent="0.25">
      <c r="C1646" s="300" t="s">
        <v>1060</v>
      </c>
      <c r="D1646" s="283" t="s">
        <v>1074</v>
      </c>
      <c r="E1646" s="283" t="s">
        <v>1075</v>
      </c>
      <c r="F1646" s="283" t="s">
        <v>1075</v>
      </c>
      <c r="G1646" s="283">
        <v>2</v>
      </c>
      <c r="H1646" s="283">
        <v>0</v>
      </c>
      <c r="I1646" s="283">
        <v>0</v>
      </c>
      <c r="J1646" s="284">
        <v>0</v>
      </c>
    </row>
    <row r="1647" spans="3:10" x14ac:dyDescent="0.25">
      <c r="C1647" s="300" t="s">
        <v>1061</v>
      </c>
      <c r="D1647" s="283" t="s">
        <v>1079</v>
      </c>
      <c r="E1647" s="283" t="s">
        <v>1089</v>
      </c>
      <c r="F1647" s="283" t="s">
        <v>1075</v>
      </c>
      <c r="G1647" s="283">
        <v>2</v>
      </c>
      <c r="H1647" s="283">
        <v>0</v>
      </c>
      <c r="I1647" s="283">
        <v>0</v>
      </c>
      <c r="J1647" s="284">
        <v>0</v>
      </c>
    </row>
    <row r="1648" spans="3:10" x14ac:dyDescent="0.25">
      <c r="C1648" s="300" t="s">
        <v>1065</v>
      </c>
      <c r="D1648" s="283" t="s">
        <v>1074</v>
      </c>
      <c r="E1648" s="283" t="s">
        <v>1075</v>
      </c>
      <c r="F1648" s="283" t="s">
        <v>1089</v>
      </c>
      <c r="G1648" s="283">
        <v>2</v>
      </c>
      <c r="H1648" s="283">
        <v>0</v>
      </c>
      <c r="I1648" s="283">
        <v>0</v>
      </c>
      <c r="J1648" s="284">
        <v>0</v>
      </c>
    </row>
    <row r="1649" spans="3:10" x14ac:dyDescent="0.25">
      <c r="C1649" s="300" t="s">
        <v>1065</v>
      </c>
      <c r="D1649" s="283" t="s">
        <v>1077</v>
      </c>
      <c r="E1649" s="283" t="s">
        <v>1081</v>
      </c>
      <c r="F1649" s="283" t="s">
        <v>1075</v>
      </c>
      <c r="G1649" s="283">
        <v>3</v>
      </c>
      <c r="H1649" s="283">
        <v>0</v>
      </c>
      <c r="I1649" s="283">
        <v>0</v>
      </c>
      <c r="J1649" s="284">
        <v>0</v>
      </c>
    </row>
    <row r="1650" spans="3:10" x14ac:dyDescent="0.25">
      <c r="C1650" s="300" t="s">
        <v>1060</v>
      </c>
      <c r="D1650" s="283" t="s">
        <v>1074</v>
      </c>
      <c r="E1650" s="283" t="s">
        <v>1089</v>
      </c>
      <c r="F1650" s="283" t="s">
        <v>1089</v>
      </c>
      <c r="G1650" s="283">
        <v>2</v>
      </c>
      <c r="H1650" s="283">
        <v>0</v>
      </c>
      <c r="I1650" s="283">
        <v>0</v>
      </c>
      <c r="J1650" s="284">
        <v>0</v>
      </c>
    </row>
    <row r="1651" spans="3:10" x14ac:dyDescent="0.25">
      <c r="C1651" s="300" t="s">
        <v>1064</v>
      </c>
      <c r="D1651" s="283" t="s">
        <v>1074</v>
      </c>
      <c r="E1651" s="283" t="s">
        <v>1080</v>
      </c>
      <c r="F1651" s="283" t="s">
        <v>1076</v>
      </c>
      <c r="G1651" s="283">
        <v>3</v>
      </c>
      <c r="H1651" s="283">
        <v>0</v>
      </c>
      <c r="I1651" s="283">
        <v>0</v>
      </c>
      <c r="J1651" s="284">
        <v>0</v>
      </c>
    </row>
    <row r="1652" spans="3:10" x14ac:dyDescent="0.25">
      <c r="C1652" s="300" t="s">
        <v>1065</v>
      </c>
      <c r="D1652" s="283" t="s">
        <v>1077</v>
      </c>
      <c r="E1652" s="283" t="s">
        <v>1081</v>
      </c>
      <c r="F1652" s="283" t="s">
        <v>1075</v>
      </c>
      <c r="G1652" s="283">
        <v>3</v>
      </c>
      <c r="H1652" s="283">
        <v>0</v>
      </c>
      <c r="I1652" s="283">
        <v>0</v>
      </c>
      <c r="J1652" s="284">
        <v>0</v>
      </c>
    </row>
    <row r="1653" spans="3:10" x14ac:dyDescent="0.25">
      <c r="C1653" s="300" t="s">
        <v>1067</v>
      </c>
      <c r="D1653" s="283" t="s">
        <v>1077</v>
      </c>
      <c r="E1653" s="283" t="s">
        <v>1075</v>
      </c>
      <c r="F1653" s="283" t="s">
        <v>1089</v>
      </c>
      <c r="G1653" s="283">
        <v>2</v>
      </c>
      <c r="H1653" s="283">
        <v>0</v>
      </c>
      <c r="I1653" s="283">
        <v>0</v>
      </c>
      <c r="J1653" s="284">
        <v>0</v>
      </c>
    </row>
    <row r="1654" spans="3:10" x14ac:dyDescent="0.25">
      <c r="C1654" s="300" t="s">
        <v>1063</v>
      </c>
      <c r="D1654" s="283" t="s">
        <v>1082</v>
      </c>
      <c r="E1654" s="283" t="s">
        <v>1075</v>
      </c>
      <c r="F1654" s="283" t="s">
        <v>1089</v>
      </c>
      <c r="G1654" s="283">
        <v>2</v>
      </c>
      <c r="H1654" s="283">
        <v>0</v>
      </c>
      <c r="I1654" s="283">
        <v>0</v>
      </c>
      <c r="J1654" s="284">
        <v>0</v>
      </c>
    </row>
    <row r="1655" spans="3:10" x14ac:dyDescent="0.25">
      <c r="C1655" s="300" t="s">
        <v>1061</v>
      </c>
      <c r="D1655" s="283" t="s">
        <v>1079</v>
      </c>
      <c r="E1655" s="283" t="s">
        <v>1085</v>
      </c>
      <c r="F1655" s="283" t="s">
        <v>1076</v>
      </c>
      <c r="G1655" s="283">
        <v>2</v>
      </c>
      <c r="H1655" s="283">
        <v>0</v>
      </c>
      <c r="I1655" s="283">
        <v>0</v>
      </c>
      <c r="J1655" s="284">
        <v>0</v>
      </c>
    </row>
    <row r="1656" spans="3:10" x14ac:dyDescent="0.25">
      <c r="C1656" s="300" t="s">
        <v>1064</v>
      </c>
      <c r="D1656" s="283" t="s">
        <v>1079</v>
      </c>
      <c r="E1656" s="283" t="s">
        <v>1080</v>
      </c>
      <c r="F1656" s="283" t="s">
        <v>1089</v>
      </c>
      <c r="G1656" s="283">
        <v>2</v>
      </c>
      <c r="H1656" s="283">
        <v>0</v>
      </c>
      <c r="I1656" s="283">
        <v>0</v>
      </c>
      <c r="J1656" s="284">
        <v>0</v>
      </c>
    </row>
    <row r="1657" spans="3:10" x14ac:dyDescent="0.25">
      <c r="C1657" s="300" t="s">
        <v>1063</v>
      </c>
      <c r="D1657" s="283" t="s">
        <v>1077</v>
      </c>
      <c r="E1657" s="283" t="s">
        <v>1075</v>
      </c>
      <c r="F1657" s="283" t="s">
        <v>1075</v>
      </c>
      <c r="G1657" s="283">
        <v>2</v>
      </c>
      <c r="H1657" s="283">
        <v>0</v>
      </c>
      <c r="I1657" s="283">
        <v>0</v>
      </c>
      <c r="J1657" s="284">
        <v>0</v>
      </c>
    </row>
    <row r="1658" spans="3:10" x14ac:dyDescent="0.25">
      <c r="C1658" s="300" t="s">
        <v>1064</v>
      </c>
      <c r="D1658" s="283" t="s">
        <v>1074</v>
      </c>
      <c r="E1658" s="283" t="s">
        <v>1075</v>
      </c>
      <c r="F1658" s="283" t="s">
        <v>1089</v>
      </c>
      <c r="G1658" s="283">
        <v>2</v>
      </c>
      <c r="H1658" s="283">
        <v>0</v>
      </c>
      <c r="I1658" s="283">
        <v>0</v>
      </c>
      <c r="J1658" s="284">
        <v>0</v>
      </c>
    </row>
    <row r="1659" spans="3:10" x14ac:dyDescent="0.25">
      <c r="C1659" s="300" t="s">
        <v>1061</v>
      </c>
      <c r="D1659" s="283" t="s">
        <v>1077</v>
      </c>
      <c r="E1659" s="283" t="s">
        <v>1076</v>
      </c>
      <c r="F1659" s="283" t="s">
        <v>1084</v>
      </c>
      <c r="G1659" s="283">
        <v>2</v>
      </c>
      <c r="H1659" s="283">
        <v>0</v>
      </c>
      <c r="I1659" s="283">
        <v>0</v>
      </c>
      <c r="J1659" s="284">
        <v>0</v>
      </c>
    </row>
    <row r="1660" spans="3:10" x14ac:dyDescent="0.25">
      <c r="C1660" s="300" t="s">
        <v>1065</v>
      </c>
      <c r="D1660" s="283" t="s">
        <v>1079</v>
      </c>
      <c r="E1660" s="283" t="s">
        <v>1076</v>
      </c>
      <c r="F1660" s="283" t="s">
        <v>1089</v>
      </c>
      <c r="G1660" s="283">
        <v>2</v>
      </c>
      <c r="H1660" s="283">
        <v>0</v>
      </c>
      <c r="I1660" s="283">
        <v>0</v>
      </c>
      <c r="J1660" s="284">
        <v>1</v>
      </c>
    </row>
    <row r="1661" spans="3:10" x14ac:dyDescent="0.25">
      <c r="C1661" s="300" t="s">
        <v>1062</v>
      </c>
      <c r="D1661" s="283" t="s">
        <v>1079</v>
      </c>
      <c r="E1661" s="283" t="s">
        <v>1075</v>
      </c>
      <c r="F1661" s="283" t="s">
        <v>1075</v>
      </c>
      <c r="G1661" s="283">
        <v>2</v>
      </c>
      <c r="H1661" s="283">
        <v>0</v>
      </c>
      <c r="I1661" s="283">
        <v>0</v>
      </c>
      <c r="J1661" s="284">
        <v>0</v>
      </c>
    </row>
    <row r="1662" spans="3:10" x14ac:dyDescent="0.25">
      <c r="C1662" s="300" t="s">
        <v>1060</v>
      </c>
      <c r="D1662" s="283" t="s">
        <v>1077</v>
      </c>
      <c r="E1662" s="283" t="s">
        <v>1075</v>
      </c>
      <c r="F1662" s="283" t="s">
        <v>1085</v>
      </c>
      <c r="G1662" s="283">
        <v>2</v>
      </c>
      <c r="H1662" s="283">
        <v>0</v>
      </c>
      <c r="I1662" s="283">
        <v>0</v>
      </c>
      <c r="J1662" s="284">
        <v>0</v>
      </c>
    </row>
    <row r="1663" spans="3:10" x14ac:dyDescent="0.25">
      <c r="C1663" s="300" t="s">
        <v>1063</v>
      </c>
      <c r="D1663" s="283" t="s">
        <v>1074</v>
      </c>
      <c r="E1663" s="283" t="s">
        <v>1075</v>
      </c>
      <c r="F1663" s="283" t="s">
        <v>1075</v>
      </c>
      <c r="G1663" s="283">
        <v>2</v>
      </c>
      <c r="H1663" s="283">
        <v>0</v>
      </c>
      <c r="I1663" s="283">
        <v>0</v>
      </c>
      <c r="J1663" s="284">
        <v>0</v>
      </c>
    </row>
    <row r="1664" spans="3:10" x14ac:dyDescent="0.25">
      <c r="C1664" s="300" t="s">
        <v>1066</v>
      </c>
      <c r="D1664" s="283" t="s">
        <v>1077</v>
      </c>
      <c r="E1664" s="283" t="s">
        <v>1075</v>
      </c>
      <c r="F1664" s="283" t="s">
        <v>1075</v>
      </c>
      <c r="G1664" s="283">
        <v>3</v>
      </c>
      <c r="H1664" s="283">
        <v>0</v>
      </c>
      <c r="I1664" s="283">
        <v>0</v>
      </c>
      <c r="J1664" s="284">
        <v>0</v>
      </c>
    </row>
    <row r="1665" spans="3:10" x14ac:dyDescent="0.25">
      <c r="C1665" s="300" t="s">
        <v>1063</v>
      </c>
      <c r="D1665" s="283" t="s">
        <v>1079</v>
      </c>
      <c r="E1665" s="283" t="s">
        <v>1076</v>
      </c>
      <c r="F1665" s="283" t="s">
        <v>1075</v>
      </c>
      <c r="G1665" s="283">
        <v>2</v>
      </c>
      <c r="H1665" s="283">
        <v>0</v>
      </c>
      <c r="I1665" s="283">
        <v>1</v>
      </c>
      <c r="J1665" s="284">
        <v>0</v>
      </c>
    </row>
    <row r="1666" spans="3:10" x14ac:dyDescent="0.25">
      <c r="C1666" s="300" t="s">
        <v>1061</v>
      </c>
      <c r="D1666" s="283" t="s">
        <v>1090</v>
      </c>
      <c r="E1666" s="283" t="s">
        <v>1093</v>
      </c>
      <c r="F1666" s="283" t="s">
        <v>524</v>
      </c>
      <c r="G1666" s="283">
        <v>1</v>
      </c>
      <c r="H1666" s="283">
        <v>0</v>
      </c>
      <c r="I1666" s="283">
        <v>1</v>
      </c>
      <c r="J1666" s="284">
        <v>0</v>
      </c>
    </row>
    <row r="1667" spans="3:10" x14ac:dyDescent="0.25">
      <c r="C1667" s="300" t="s">
        <v>1064</v>
      </c>
      <c r="D1667" s="283" t="s">
        <v>1043</v>
      </c>
      <c r="E1667" s="283" t="s">
        <v>1075</v>
      </c>
      <c r="F1667" s="283" t="s">
        <v>1092</v>
      </c>
      <c r="G1667" s="283">
        <v>2</v>
      </c>
      <c r="H1667" s="283">
        <v>0</v>
      </c>
      <c r="I1667" s="283">
        <v>1</v>
      </c>
      <c r="J1667" s="284">
        <v>0</v>
      </c>
    </row>
    <row r="1668" spans="3:10" x14ac:dyDescent="0.25">
      <c r="C1668" s="300" t="s">
        <v>1067</v>
      </c>
      <c r="D1668" s="283" t="s">
        <v>1074</v>
      </c>
      <c r="E1668" s="283" t="s">
        <v>1089</v>
      </c>
      <c r="F1668" s="283" t="s">
        <v>1075</v>
      </c>
      <c r="G1668" s="283">
        <v>4</v>
      </c>
      <c r="H1668" s="283">
        <v>0</v>
      </c>
      <c r="I1668" s="283">
        <v>0</v>
      </c>
      <c r="J1668" s="284">
        <v>1</v>
      </c>
    </row>
    <row r="1669" spans="3:10" x14ac:dyDescent="0.25">
      <c r="C1669" s="300" t="s">
        <v>1060</v>
      </c>
      <c r="D1669" s="283" t="s">
        <v>1079</v>
      </c>
      <c r="E1669" s="283" t="s">
        <v>1086</v>
      </c>
      <c r="F1669" s="283" t="s">
        <v>1078</v>
      </c>
      <c r="G1669" s="283">
        <v>3</v>
      </c>
      <c r="H1669" s="283">
        <v>0</v>
      </c>
      <c r="I1669" s="283">
        <v>0</v>
      </c>
      <c r="J1669" s="284">
        <v>0</v>
      </c>
    </row>
    <row r="1670" spans="3:10" x14ac:dyDescent="0.25">
      <c r="C1670" s="300" t="s">
        <v>1061</v>
      </c>
      <c r="D1670" s="283" t="s">
        <v>1043</v>
      </c>
      <c r="E1670" s="283" t="s">
        <v>1089</v>
      </c>
      <c r="F1670" s="283" t="s">
        <v>1092</v>
      </c>
      <c r="G1670" s="283">
        <v>2</v>
      </c>
      <c r="H1670" s="283">
        <v>0</v>
      </c>
      <c r="I1670" s="283">
        <v>0</v>
      </c>
      <c r="J1670" s="284">
        <v>2</v>
      </c>
    </row>
    <row r="1671" spans="3:10" x14ac:dyDescent="0.25">
      <c r="C1671" s="300" t="s">
        <v>1063</v>
      </c>
      <c r="D1671" s="283" t="s">
        <v>1082</v>
      </c>
      <c r="E1671" s="283" t="s">
        <v>1083</v>
      </c>
      <c r="F1671" s="283" t="s">
        <v>1075</v>
      </c>
      <c r="G1671" s="283">
        <v>2</v>
      </c>
      <c r="H1671" s="283">
        <v>0</v>
      </c>
      <c r="I1671" s="283">
        <v>0</v>
      </c>
      <c r="J1671" s="284">
        <v>1</v>
      </c>
    </row>
    <row r="1672" spans="3:10" x14ac:dyDescent="0.25">
      <c r="C1672" s="300" t="s">
        <v>1064</v>
      </c>
      <c r="D1672" s="283" t="s">
        <v>1079</v>
      </c>
      <c r="E1672" s="283" t="s">
        <v>1075</v>
      </c>
      <c r="F1672" s="283" t="s">
        <v>1075</v>
      </c>
      <c r="G1672" s="283">
        <v>2</v>
      </c>
      <c r="H1672" s="283">
        <v>0</v>
      </c>
      <c r="I1672" s="283">
        <v>1</v>
      </c>
      <c r="J1672" s="284">
        <v>0</v>
      </c>
    </row>
    <row r="1673" spans="3:10" x14ac:dyDescent="0.25">
      <c r="C1673" s="300" t="s">
        <v>1066</v>
      </c>
      <c r="D1673" s="283" t="s">
        <v>1074</v>
      </c>
      <c r="E1673" s="283" t="s">
        <v>1086</v>
      </c>
      <c r="F1673" s="283" t="s">
        <v>1075</v>
      </c>
      <c r="G1673" s="283">
        <v>2</v>
      </c>
      <c r="H1673" s="283">
        <v>0</v>
      </c>
      <c r="I1673" s="283">
        <v>0</v>
      </c>
      <c r="J1673" s="284">
        <v>0</v>
      </c>
    </row>
    <row r="1674" spans="3:10" x14ac:dyDescent="0.25">
      <c r="C1674" s="300" t="s">
        <v>1059</v>
      </c>
      <c r="D1674" s="283" t="s">
        <v>1079</v>
      </c>
      <c r="E1674" s="283" t="s">
        <v>1075</v>
      </c>
      <c r="F1674" s="283" t="s">
        <v>1075</v>
      </c>
      <c r="G1674" s="283">
        <v>2</v>
      </c>
      <c r="H1674" s="283">
        <v>0</v>
      </c>
      <c r="I1674" s="283">
        <v>0</v>
      </c>
      <c r="J1674" s="284">
        <v>1</v>
      </c>
    </row>
    <row r="1675" spans="3:10" x14ac:dyDescent="0.25">
      <c r="C1675" s="300" t="s">
        <v>1064</v>
      </c>
      <c r="D1675" s="283" t="s">
        <v>1077</v>
      </c>
      <c r="E1675" s="283" t="s">
        <v>1075</v>
      </c>
      <c r="F1675" s="283" t="s">
        <v>1075</v>
      </c>
      <c r="G1675" s="283">
        <v>3</v>
      </c>
      <c r="H1675" s="283">
        <v>0</v>
      </c>
      <c r="I1675" s="283">
        <v>0</v>
      </c>
      <c r="J1675" s="284">
        <v>1</v>
      </c>
    </row>
    <row r="1676" spans="3:10" x14ac:dyDescent="0.25">
      <c r="C1676" s="300" t="s">
        <v>1065</v>
      </c>
      <c r="D1676" s="283" t="s">
        <v>1077</v>
      </c>
      <c r="E1676" s="283" t="s">
        <v>1075</v>
      </c>
      <c r="F1676" s="283" t="s">
        <v>1089</v>
      </c>
      <c r="G1676" s="283">
        <v>2</v>
      </c>
      <c r="H1676" s="283">
        <v>0</v>
      </c>
      <c r="I1676" s="283">
        <v>0</v>
      </c>
      <c r="J1676" s="284">
        <v>0</v>
      </c>
    </row>
    <row r="1677" spans="3:10" x14ac:dyDescent="0.25">
      <c r="C1677" s="300" t="s">
        <v>1059</v>
      </c>
      <c r="D1677" s="283" t="s">
        <v>1077</v>
      </c>
      <c r="E1677" s="283" t="s">
        <v>1075</v>
      </c>
      <c r="F1677" s="283" t="s">
        <v>1075</v>
      </c>
      <c r="G1677" s="283">
        <v>2</v>
      </c>
      <c r="H1677" s="283">
        <v>0</v>
      </c>
      <c r="I1677" s="283">
        <v>0</v>
      </c>
      <c r="J1677" s="284">
        <v>0</v>
      </c>
    </row>
    <row r="1678" spans="3:10" x14ac:dyDescent="0.25">
      <c r="C1678" s="300" t="s">
        <v>1064</v>
      </c>
      <c r="D1678" s="283" t="s">
        <v>1077</v>
      </c>
      <c r="E1678" s="283" t="s">
        <v>1081</v>
      </c>
      <c r="F1678" s="283" t="s">
        <v>1076</v>
      </c>
      <c r="G1678" s="283">
        <v>2</v>
      </c>
      <c r="H1678" s="283">
        <v>0</v>
      </c>
      <c r="I1678" s="283">
        <v>0</v>
      </c>
      <c r="J1678" s="284">
        <v>0</v>
      </c>
    </row>
    <row r="1679" spans="3:10" x14ac:dyDescent="0.25">
      <c r="C1679" s="300" t="s">
        <v>1058</v>
      </c>
      <c r="D1679" s="283" t="s">
        <v>1087</v>
      </c>
      <c r="E1679" s="283" t="s">
        <v>1075</v>
      </c>
      <c r="F1679" s="283" t="s">
        <v>524</v>
      </c>
      <c r="G1679" s="283">
        <v>1</v>
      </c>
      <c r="H1679" s="283">
        <v>0</v>
      </c>
      <c r="I1679" s="283">
        <v>0</v>
      </c>
      <c r="J1679" s="284">
        <v>1</v>
      </c>
    </row>
    <row r="1680" spans="3:10" x14ac:dyDescent="0.25">
      <c r="C1680" s="300" t="s">
        <v>1067</v>
      </c>
      <c r="D1680" s="283" t="s">
        <v>1079</v>
      </c>
      <c r="E1680" s="283" t="s">
        <v>1089</v>
      </c>
      <c r="F1680" s="283" t="s">
        <v>1075</v>
      </c>
      <c r="G1680" s="283">
        <v>2</v>
      </c>
      <c r="H1680" s="283">
        <v>0</v>
      </c>
      <c r="I1680" s="283">
        <v>0</v>
      </c>
      <c r="J1680" s="284">
        <v>0</v>
      </c>
    </row>
    <row r="1681" spans="3:10" x14ac:dyDescent="0.25">
      <c r="C1681" s="300" t="s">
        <v>1067</v>
      </c>
      <c r="D1681" s="283" t="s">
        <v>1082</v>
      </c>
      <c r="E1681" s="283" t="s">
        <v>1075</v>
      </c>
      <c r="F1681" s="283" t="s">
        <v>1078</v>
      </c>
      <c r="G1681" s="283">
        <v>2</v>
      </c>
      <c r="H1681" s="283">
        <v>0</v>
      </c>
      <c r="I1681" s="283">
        <v>0</v>
      </c>
      <c r="J1681" s="284">
        <v>0</v>
      </c>
    </row>
    <row r="1682" spans="3:10" x14ac:dyDescent="0.25">
      <c r="C1682" s="300" t="s">
        <v>1064</v>
      </c>
      <c r="D1682" s="283" t="s">
        <v>1043</v>
      </c>
      <c r="E1682" s="283" t="s">
        <v>1075</v>
      </c>
      <c r="F1682" s="283" t="s">
        <v>1092</v>
      </c>
      <c r="G1682" s="283">
        <v>2</v>
      </c>
      <c r="H1682" s="283">
        <v>0</v>
      </c>
      <c r="I1682" s="283">
        <v>1</v>
      </c>
      <c r="J1682" s="284">
        <v>0</v>
      </c>
    </row>
    <row r="1683" spans="3:10" x14ac:dyDescent="0.25">
      <c r="C1683" s="300" t="s">
        <v>1063</v>
      </c>
      <c r="D1683" s="283" t="s">
        <v>1077</v>
      </c>
      <c r="E1683" s="283" t="s">
        <v>1076</v>
      </c>
      <c r="F1683" s="283" t="s">
        <v>1075</v>
      </c>
      <c r="G1683" s="283">
        <v>4</v>
      </c>
      <c r="H1683" s="283">
        <v>0</v>
      </c>
      <c r="I1683" s="283">
        <v>0</v>
      </c>
      <c r="J1683" s="284">
        <v>0</v>
      </c>
    </row>
    <row r="1684" spans="3:10" x14ac:dyDescent="0.25">
      <c r="C1684" s="300" t="s">
        <v>1063</v>
      </c>
      <c r="D1684" s="283" t="s">
        <v>1074</v>
      </c>
      <c r="E1684" s="283" t="s">
        <v>1089</v>
      </c>
      <c r="F1684" s="283" t="s">
        <v>1075</v>
      </c>
      <c r="G1684" s="283">
        <v>2</v>
      </c>
      <c r="H1684" s="283">
        <v>0</v>
      </c>
      <c r="I1684" s="283">
        <v>1</v>
      </c>
      <c r="J1684" s="284">
        <v>0</v>
      </c>
    </row>
    <row r="1685" spans="3:10" x14ac:dyDescent="0.25">
      <c r="C1685" s="300" t="s">
        <v>1060</v>
      </c>
      <c r="D1685" s="283" t="s">
        <v>1090</v>
      </c>
      <c r="E1685" s="283" t="s">
        <v>1075</v>
      </c>
      <c r="F1685" s="283" t="s">
        <v>524</v>
      </c>
      <c r="G1685" s="283">
        <v>1</v>
      </c>
      <c r="H1685" s="283">
        <v>0</v>
      </c>
      <c r="I1685" s="283">
        <v>0</v>
      </c>
      <c r="J1685" s="284">
        <v>1</v>
      </c>
    </row>
    <row r="1686" spans="3:10" x14ac:dyDescent="0.25">
      <c r="C1686" s="300" t="s">
        <v>1065</v>
      </c>
      <c r="D1686" s="283" t="s">
        <v>1074</v>
      </c>
      <c r="E1686" s="283" t="s">
        <v>1094</v>
      </c>
      <c r="F1686" s="283" t="s">
        <v>1075</v>
      </c>
      <c r="G1686" s="283">
        <v>2</v>
      </c>
      <c r="H1686" s="283">
        <v>0</v>
      </c>
      <c r="I1686" s="283">
        <v>0</v>
      </c>
      <c r="J1686" s="284">
        <v>1</v>
      </c>
    </row>
    <row r="1687" spans="3:10" x14ac:dyDescent="0.25">
      <c r="C1687" s="300" t="s">
        <v>1066</v>
      </c>
      <c r="D1687" s="283" t="s">
        <v>1090</v>
      </c>
      <c r="E1687" s="283" t="s">
        <v>1093</v>
      </c>
      <c r="F1687" s="283" t="s">
        <v>524</v>
      </c>
      <c r="G1687" s="283">
        <v>1</v>
      </c>
      <c r="H1687" s="283">
        <v>0</v>
      </c>
      <c r="I1687" s="283">
        <v>1</v>
      </c>
      <c r="J1687" s="284">
        <v>0</v>
      </c>
    </row>
    <row r="1688" spans="3:10" x14ac:dyDescent="0.25">
      <c r="C1688" s="300" t="s">
        <v>1063</v>
      </c>
      <c r="D1688" s="283" t="s">
        <v>1074</v>
      </c>
      <c r="E1688" s="283" t="s">
        <v>1075</v>
      </c>
      <c r="F1688" s="283" t="s">
        <v>1075</v>
      </c>
      <c r="G1688" s="283">
        <v>2</v>
      </c>
      <c r="H1688" s="283">
        <v>0</v>
      </c>
      <c r="I1688" s="283">
        <v>0</v>
      </c>
      <c r="J1688" s="284">
        <v>0</v>
      </c>
    </row>
    <row r="1689" spans="3:10" x14ac:dyDescent="0.25">
      <c r="C1689" s="300" t="s">
        <v>1060</v>
      </c>
      <c r="D1689" s="283" t="s">
        <v>1079</v>
      </c>
      <c r="E1689" s="283" t="s">
        <v>1075</v>
      </c>
      <c r="F1689" s="283" t="s">
        <v>1076</v>
      </c>
      <c r="G1689" s="283">
        <v>2</v>
      </c>
      <c r="H1689" s="283">
        <v>0</v>
      </c>
      <c r="I1689" s="283">
        <v>0</v>
      </c>
      <c r="J1689" s="284">
        <v>1</v>
      </c>
    </row>
    <row r="1690" spans="3:10" x14ac:dyDescent="0.25">
      <c r="C1690" s="300" t="s">
        <v>1064</v>
      </c>
      <c r="D1690" s="283" t="s">
        <v>1079</v>
      </c>
      <c r="E1690" s="283" t="s">
        <v>1081</v>
      </c>
      <c r="F1690" s="283" t="s">
        <v>1083</v>
      </c>
      <c r="G1690" s="283">
        <v>2</v>
      </c>
      <c r="H1690" s="283">
        <v>0</v>
      </c>
      <c r="I1690" s="283">
        <v>0</v>
      </c>
      <c r="J1690" s="284">
        <v>0</v>
      </c>
    </row>
    <row r="1691" spans="3:10" x14ac:dyDescent="0.25">
      <c r="C1691" s="300" t="s">
        <v>1062</v>
      </c>
      <c r="D1691" s="283" t="s">
        <v>1074</v>
      </c>
      <c r="E1691" s="283" t="s">
        <v>1075</v>
      </c>
      <c r="F1691" s="283" t="s">
        <v>1081</v>
      </c>
      <c r="G1691" s="283">
        <v>2</v>
      </c>
      <c r="H1691" s="283">
        <v>0</v>
      </c>
      <c r="I1691" s="283">
        <v>0</v>
      </c>
      <c r="J1691" s="284">
        <v>0</v>
      </c>
    </row>
    <row r="1692" spans="3:10" x14ac:dyDescent="0.25">
      <c r="C1692" s="300" t="s">
        <v>1066</v>
      </c>
      <c r="D1692" s="283" t="s">
        <v>1043</v>
      </c>
      <c r="E1692" s="283" t="s">
        <v>1086</v>
      </c>
      <c r="F1692" s="283" t="s">
        <v>1092</v>
      </c>
      <c r="G1692" s="283">
        <v>2</v>
      </c>
      <c r="H1692" s="283">
        <v>0</v>
      </c>
      <c r="I1692" s="283">
        <v>0</v>
      </c>
      <c r="J1692" s="284">
        <v>0</v>
      </c>
    </row>
    <row r="1693" spans="3:10" x14ac:dyDescent="0.25">
      <c r="C1693" s="300" t="s">
        <v>1067</v>
      </c>
      <c r="D1693" s="283" t="s">
        <v>1043</v>
      </c>
      <c r="E1693" s="283" t="s">
        <v>1076</v>
      </c>
      <c r="F1693" s="283" t="s">
        <v>1092</v>
      </c>
      <c r="G1693" s="283">
        <v>2</v>
      </c>
      <c r="H1693" s="283">
        <v>0</v>
      </c>
      <c r="I1693" s="283">
        <v>0</v>
      </c>
      <c r="J1693" s="284">
        <v>1</v>
      </c>
    </row>
    <row r="1694" spans="3:10" x14ac:dyDescent="0.25">
      <c r="C1694" s="300" t="s">
        <v>1063</v>
      </c>
      <c r="D1694" s="283" t="s">
        <v>1074</v>
      </c>
      <c r="E1694" s="283" t="s">
        <v>1078</v>
      </c>
      <c r="F1694" s="283" t="s">
        <v>1075</v>
      </c>
      <c r="G1694" s="283">
        <v>2</v>
      </c>
      <c r="H1694" s="283">
        <v>0</v>
      </c>
      <c r="I1694" s="283">
        <v>0</v>
      </c>
      <c r="J1694" s="284">
        <v>1</v>
      </c>
    </row>
    <row r="1695" spans="3:10" x14ac:dyDescent="0.25">
      <c r="C1695" s="300" t="s">
        <v>1060</v>
      </c>
      <c r="D1695" s="283" t="s">
        <v>1074</v>
      </c>
      <c r="E1695" s="283" t="s">
        <v>1075</v>
      </c>
      <c r="F1695" s="283" t="s">
        <v>1044</v>
      </c>
      <c r="G1695" s="283">
        <v>2</v>
      </c>
      <c r="H1695" s="283">
        <v>0</v>
      </c>
      <c r="I1695" s="283">
        <v>0</v>
      </c>
      <c r="J1695" s="284">
        <v>1</v>
      </c>
    </row>
    <row r="1696" spans="3:10" x14ac:dyDescent="0.25">
      <c r="C1696" s="300" t="s">
        <v>1065</v>
      </c>
      <c r="D1696" s="283" t="s">
        <v>1074</v>
      </c>
      <c r="E1696" s="283" t="s">
        <v>1075</v>
      </c>
      <c r="F1696" s="283" t="s">
        <v>1089</v>
      </c>
      <c r="G1696" s="283">
        <v>2</v>
      </c>
      <c r="H1696" s="283">
        <v>0</v>
      </c>
      <c r="I1696" s="283">
        <v>0</v>
      </c>
      <c r="J1696" s="284">
        <v>0</v>
      </c>
    </row>
    <row r="1697" spans="3:10" x14ac:dyDescent="0.25">
      <c r="C1697" s="300" t="s">
        <v>1061</v>
      </c>
      <c r="D1697" s="283" t="s">
        <v>1077</v>
      </c>
      <c r="E1697" s="283" t="s">
        <v>1080</v>
      </c>
      <c r="F1697" s="283" t="s">
        <v>1083</v>
      </c>
      <c r="G1697" s="283">
        <v>2</v>
      </c>
      <c r="H1697" s="283">
        <v>0</v>
      </c>
      <c r="I1697" s="283">
        <v>0</v>
      </c>
      <c r="J1697" s="284">
        <v>2</v>
      </c>
    </row>
    <row r="1698" spans="3:10" x14ac:dyDescent="0.25">
      <c r="C1698" s="300" t="s">
        <v>1064</v>
      </c>
      <c r="D1698" s="283" t="s">
        <v>1074</v>
      </c>
      <c r="E1698" s="283" t="s">
        <v>1089</v>
      </c>
      <c r="F1698" s="283" t="s">
        <v>1089</v>
      </c>
      <c r="G1698" s="283">
        <v>2</v>
      </c>
      <c r="H1698" s="283">
        <v>0</v>
      </c>
      <c r="I1698" s="283">
        <v>0</v>
      </c>
      <c r="J1698" s="284">
        <v>0</v>
      </c>
    </row>
    <row r="1699" spans="3:10" x14ac:dyDescent="0.25">
      <c r="C1699" s="300" t="s">
        <v>1066</v>
      </c>
      <c r="D1699" s="283" t="s">
        <v>1077</v>
      </c>
      <c r="E1699" s="283" t="s">
        <v>1075</v>
      </c>
      <c r="F1699" s="283" t="s">
        <v>1075</v>
      </c>
      <c r="G1699" s="283">
        <v>2</v>
      </c>
      <c r="H1699" s="283">
        <v>0</v>
      </c>
      <c r="I1699" s="283">
        <v>0</v>
      </c>
      <c r="J1699" s="284">
        <v>0</v>
      </c>
    </row>
    <row r="1700" spans="3:10" x14ac:dyDescent="0.25">
      <c r="C1700" s="300" t="s">
        <v>1058</v>
      </c>
      <c r="D1700" s="283" t="s">
        <v>1079</v>
      </c>
      <c r="E1700" s="283" t="s">
        <v>1075</v>
      </c>
      <c r="F1700" s="283" t="s">
        <v>1075</v>
      </c>
      <c r="G1700" s="283">
        <v>2</v>
      </c>
      <c r="H1700" s="283">
        <v>0</v>
      </c>
      <c r="I1700" s="283">
        <v>0</v>
      </c>
      <c r="J1700" s="284">
        <v>0</v>
      </c>
    </row>
    <row r="1701" spans="3:10" x14ac:dyDescent="0.25">
      <c r="C1701" s="300" t="s">
        <v>1061</v>
      </c>
      <c r="D1701" s="283" t="s">
        <v>1074</v>
      </c>
      <c r="E1701" s="283" t="s">
        <v>1086</v>
      </c>
      <c r="F1701" s="283" t="s">
        <v>1075</v>
      </c>
      <c r="G1701" s="283">
        <v>2</v>
      </c>
      <c r="H1701" s="283">
        <v>0</v>
      </c>
      <c r="I1701" s="283">
        <v>0</v>
      </c>
      <c r="J1701" s="284">
        <v>1</v>
      </c>
    </row>
    <row r="1702" spans="3:10" x14ac:dyDescent="0.25">
      <c r="C1702" s="300" t="s">
        <v>1067</v>
      </c>
      <c r="D1702" s="283" t="s">
        <v>1087</v>
      </c>
      <c r="E1702" s="283" t="s">
        <v>1075</v>
      </c>
      <c r="F1702" s="283" t="s">
        <v>524</v>
      </c>
      <c r="G1702" s="283">
        <v>2</v>
      </c>
      <c r="H1702" s="283">
        <v>0</v>
      </c>
      <c r="I1702" s="283">
        <v>0</v>
      </c>
      <c r="J1702" s="284">
        <v>0</v>
      </c>
    </row>
    <row r="1703" spans="3:10" x14ac:dyDescent="0.25">
      <c r="C1703" s="300" t="s">
        <v>1064</v>
      </c>
      <c r="D1703" s="283" t="s">
        <v>1079</v>
      </c>
      <c r="E1703" s="283" t="s">
        <v>1088</v>
      </c>
      <c r="F1703" s="283" t="s">
        <v>1075</v>
      </c>
      <c r="G1703" s="283">
        <v>2</v>
      </c>
      <c r="H1703" s="283">
        <v>0</v>
      </c>
      <c r="I1703" s="283">
        <v>0</v>
      </c>
      <c r="J1703" s="284">
        <v>0</v>
      </c>
    </row>
    <row r="1704" spans="3:10" x14ac:dyDescent="0.25">
      <c r="C1704" s="300" t="s">
        <v>1066</v>
      </c>
      <c r="D1704" s="283" t="s">
        <v>1043</v>
      </c>
      <c r="E1704" s="283" t="s">
        <v>1086</v>
      </c>
      <c r="F1704" s="283" t="s">
        <v>1092</v>
      </c>
      <c r="G1704" s="283">
        <v>2</v>
      </c>
      <c r="H1704" s="283">
        <v>0</v>
      </c>
      <c r="I1704" s="283">
        <v>0</v>
      </c>
      <c r="J1704" s="284">
        <v>0</v>
      </c>
    </row>
    <row r="1705" spans="3:10" x14ac:dyDescent="0.25">
      <c r="C1705" s="300" t="s">
        <v>1057</v>
      </c>
      <c r="D1705" s="283" t="s">
        <v>1090</v>
      </c>
      <c r="E1705" s="283" t="s">
        <v>1075</v>
      </c>
      <c r="F1705" s="283" t="s">
        <v>524</v>
      </c>
      <c r="G1705" s="283">
        <v>1</v>
      </c>
      <c r="H1705" s="283">
        <v>0</v>
      </c>
      <c r="I1705" s="283">
        <v>0</v>
      </c>
      <c r="J1705" s="284">
        <v>0</v>
      </c>
    </row>
    <row r="1706" spans="3:10" x14ac:dyDescent="0.25">
      <c r="C1706" s="300" t="s">
        <v>1065</v>
      </c>
      <c r="D1706" s="283" t="s">
        <v>1082</v>
      </c>
      <c r="E1706" s="283" t="s">
        <v>1075</v>
      </c>
      <c r="F1706" s="283" t="s">
        <v>1075</v>
      </c>
      <c r="G1706" s="283">
        <v>2</v>
      </c>
      <c r="H1706" s="283">
        <v>0</v>
      </c>
      <c r="I1706" s="283">
        <v>0</v>
      </c>
      <c r="J1706" s="284">
        <v>0</v>
      </c>
    </row>
    <row r="1707" spans="3:10" x14ac:dyDescent="0.25">
      <c r="C1707" s="300" t="s">
        <v>1061</v>
      </c>
      <c r="D1707" s="283" t="s">
        <v>1087</v>
      </c>
      <c r="E1707" s="283" t="s">
        <v>1075</v>
      </c>
      <c r="F1707" s="283" t="s">
        <v>524</v>
      </c>
      <c r="G1707" s="283">
        <v>1</v>
      </c>
      <c r="H1707" s="283">
        <v>0</v>
      </c>
      <c r="I1707" s="283">
        <v>0</v>
      </c>
      <c r="J1707" s="284">
        <v>0</v>
      </c>
    </row>
    <row r="1708" spans="3:10" x14ac:dyDescent="0.25">
      <c r="C1708" s="300" t="s">
        <v>1060</v>
      </c>
      <c r="D1708" s="283" t="s">
        <v>1074</v>
      </c>
      <c r="E1708" s="283" t="s">
        <v>1075</v>
      </c>
      <c r="F1708" s="283" t="s">
        <v>1083</v>
      </c>
      <c r="G1708" s="283">
        <v>2</v>
      </c>
      <c r="H1708" s="283">
        <v>0</v>
      </c>
      <c r="I1708" s="283">
        <v>0</v>
      </c>
      <c r="J1708" s="284">
        <v>0</v>
      </c>
    </row>
    <row r="1709" spans="3:10" x14ac:dyDescent="0.25">
      <c r="C1709" s="300" t="s">
        <v>1064</v>
      </c>
      <c r="D1709" s="283" t="s">
        <v>1079</v>
      </c>
      <c r="E1709" s="283" t="s">
        <v>1076</v>
      </c>
      <c r="F1709" s="283" t="s">
        <v>1089</v>
      </c>
      <c r="G1709" s="283">
        <v>2</v>
      </c>
      <c r="H1709" s="283">
        <v>0</v>
      </c>
      <c r="I1709" s="283">
        <v>0</v>
      </c>
      <c r="J1709" s="284">
        <v>0</v>
      </c>
    </row>
    <row r="1710" spans="3:10" x14ac:dyDescent="0.25">
      <c r="C1710" s="300" t="s">
        <v>1060</v>
      </c>
      <c r="D1710" s="283" t="s">
        <v>1077</v>
      </c>
      <c r="E1710" s="283" t="s">
        <v>1084</v>
      </c>
      <c r="F1710" s="283" t="s">
        <v>1075</v>
      </c>
      <c r="G1710" s="283">
        <v>3</v>
      </c>
      <c r="H1710" s="283">
        <v>0</v>
      </c>
      <c r="I1710" s="283">
        <v>0</v>
      </c>
      <c r="J1710" s="284">
        <v>0</v>
      </c>
    </row>
    <row r="1711" spans="3:10" x14ac:dyDescent="0.25">
      <c r="C1711" s="300" t="s">
        <v>1067</v>
      </c>
      <c r="D1711" s="283" t="s">
        <v>1077</v>
      </c>
      <c r="E1711" s="283" t="s">
        <v>1075</v>
      </c>
      <c r="F1711" s="283" t="s">
        <v>1075</v>
      </c>
      <c r="G1711" s="283">
        <v>2</v>
      </c>
      <c r="H1711" s="283">
        <v>0</v>
      </c>
      <c r="I1711" s="283">
        <v>0</v>
      </c>
      <c r="J1711" s="284">
        <v>0</v>
      </c>
    </row>
    <row r="1712" spans="3:10" x14ac:dyDescent="0.25">
      <c r="C1712" s="300" t="s">
        <v>1065</v>
      </c>
      <c r="D1712" s="283" t="s">
        <v>1079</v>
      </c>
      <c r="E1712" s="283" t="s">
        <v>1075</v>
      </c>
      <c r="F1712" s="283" t="s">
        <v>1075</v>
      </c>
      <c r="G1712" s="283">
        <v>2</v>
      </c>
      <c r="H1712" s="283">
        <v>0</v>
      </c>
      <c r="I1712" s="283">
        <v>0</v>
      </c>
      <c r="J1712" s="284">
        <v>0</v>
      </c>
    </row>
    <row r="1713" spans="3:10" x14ac:dyDescent="0.25">
      <c r="C1713" s="300" t="s">
        <v>1065</v>
      </c>
      <c r="D1713" s="283" t="s">
        <v>1079</v>
      </c>
      <c r="E1713" s="283" t="s">
        <v>1078</v>
      </c>
      <c r="F1713" s="283" t="s">
        <v>1075</v>
      </c>
      <c r="G1713" s="283">
        <v>2</v>
      </c>
      <c r="H1713" s="283">
        <v>0</v>
      </c>
      <c r="I1713" s="283">
        <v>0</v>
      </c>
      <c r="J1713" s="284">
        <v>0</v>
      </c>
    </row>
    <row r="1714" spans="3:10" x14ac:dyDescent="0.25">
      <c r="C1714" s="300" t="s">
        <v>1066</v>
      </c>
      <c r="D1714" s="283" t="s">
        <v>1079</v>
      </c>
      <c r="E1714" s="283" t="s">
        <v>1075</v>
      </c>
      <c r="F1714" s="283" t="s">
        <v>1075</v>
      </c>
      <c r="G1714" s="283">
        <v>2</v>
      </c>
      <c r="H1714" s="283">
        <v>0</v>
      </c>
      <c r="I1714" s="283">
        <v>0</v>
      </c>
      <c r="J1714" s="284">
        <v>0</v>
      </c>
    </row>
    <row r="1715" spans="3:10" x14ac:dyDescent="0.25">
      <c r="C1715" s="300" t="s">
        <v>1060</v>
      </c>
      <c r="D1715" s="283" t="s">
        <v>1079</v>
      </c>
      <c r="E1715" s="283" t="s">
        <v>1075</v>
      </c>
      <c r="F1715" s="283" t="s">
        <v>1075</v>
      </c>
      <c r="G1715" s="283">
        <v>2</v>
      </c>
      <c r="H1715" s="283">
        <v>0</v>
      </c>
      <c r="I1715" s="283">
        <v>0</v>
      </c>
      <c r="J1715" s="284">
        <v>0</v>
      </c>
    </row>
    <row r="1716" spans="3:10" x14ac:dyDescent="0.25">
      <c r="C1716" s="300" t="s">
        <v>1062</v>
      </c>
      <c r="D1716" s="283" t="s">
        <v>1074</v>
      </c>
      <c r="E1716" s="283" t="s">
        <v>1075</v>
      </c>
      <c r="F1716" s="283" t="s">
        <v>1075</v>
      </c>
      <c r="G1716" s="283">
        <v>2</v>
      </c>
      <c r="H1716" s="283">
        <v>0</v>
      </c>
      <c r="I1716" s="283">
        <v>0</v>
      </c>
      <c r="J1716" s="284">
        <v>0</v>
      </c>
    </row>
    <row r="1717" spans="3:10" x14ac:dyDescent="0.25">
      <c r="C1717" s="300" t="s">
        <v>1059</v>
      </c>
      <c r="D1717" s="283" t="s">
        <v>1087</v>
      </c>
      <c r="E1717" s="283" t="s">
        <v>1075</v>
      </c>
      <c r="F1717" s="283" t="s">
        <v>524</v>
      </c>
      <c r="G1717" s="283">
        <v>1</v>
      </c>
      <c r="H1717" s="283">
        <v>0</v>
      </c>
      <c r="I1717" s="283">
        <v>0</v>
      </c>
      <c r="J1717" s="284">
        <v>0</v>
      </c>
    </row>
    <row r="1718" spans="3:10" x14ac:dyDescent="0.25">
      <c r="C1718" s="300" t="s">
        <v>1064</v>
      </c>
      <c r="D1718" s="283" t="s">
        <v>1082</v>
      </c>
      <c r="E1718" s="283" t="s">
        <v>1089</v>
      </c>
      <c r="F1718" s="283" t="s">
        <v>1075</v>
      </c>
      <c r="G1718" s="283">
        <v>2</v>
      </c>
      <c r="H1718" s="283">
        <v>0</v>
      </c>
      <c r="I1718" s="283">
        <v>0</v>
      </c>
      <c r="J1718" s="284">
        <v>0</v>
      </c>
    </row>
    <row r="1719" spans="3:10" x14ac:dyDescent="0.25">
      <c r="C1719" s="300" t="s">
        <v>1064</v>
      </c>
      <c r="D1719" s="283" t="s">
        <v>1079</v>
      </c>
      <c r="E1719" s="283" t="s">
        <v>1075</v>
      </c>
      <c r="F1719" s="283" t="s">
        <v>1089</v>
      </c>
      <c r="G1719" s="283">
        <v>4</v>
      </c>
      <c r="H1719" s="283">
        <v>0</v>
      </c>
      <c r="I1719" s="283">
        <v>0</v>
      </c>
      <c r="J1719" s="284">
        <v>0</v>
      </c>
    </row>
    <row r="1720" spans="3:10" x14ac:dyDescent="0.25">
      <c r="C1720" s="300" t="s">
        <v>1066</v>
      </c>
      <c r="D1720" s="283" t="s">
        <v>1079</v>
      </c>
      <c r="E1720" s="283" t="s">
        <v>1075</v>
      </c>
      <c r="F1720" s="283" t="s">
        <v>1075</v>
      </c>
      <c r="G1720" s="283">
        <v>2</v>
      </c>
      <c r="H1720" s="283">
        <v>0</v>
      </c>
      <c r="I1720" s="283">
        <v>0</v>
      </c>
      <c r="J1720" s="284">
        <v>0</v>
      </c>
    </row>
    <row r="1721" spans="3:10" x14ac:dyDescent="0.25">
      <c r="C1721" s="300" t="s">
        <v>1063</v>
      </c>
      <c r="D1721" s="283" t="s">
        <v>1079</v>
      </c>
      <c r="E1721" s="283" t="s">
        <v>1075</v>
      </c>
      <c r="F1721" s="283" t="s">
        <v>1078</v>
      </c>
      <c r="G1721" s="283">
        <v>2</v>
      </c>
      <c r="H1721" s="283">
        <v>0</v>
      </c>
      <c r="I1721" s="283">
        <v>0</v>
      </c>
      <c r="J1721" s="284">
        <v>0</v>
      </c>
    </row>
    <row r="1722" spans="3:10" x14ac:dyDescent="0.25">
      <c r="C1722" s="300" t="s">
        <v>1066</v>
      </c>
      <c r="D1722" s="283" t="s">
        <v>1079</v>
      </c>
      <c r="E1722" s="283" t="s">
        <v>1080</v>
      </c>
      <c r="F1722" s="283" t="s">
        <v>1078</v>
      </c>
      <c r="G1722" s="283">
        <v>2</v>
      </c>
      <c r="H1722" s="283">
        <v>0</v>
      </c>
      <c r="I1722" s="283">
        <v>0</v>
      </c>
      <c r="J1722" s="284">
        <v>1</v>
      </c>
    </row>
    <row r="1723" spans="3:10" x14ac:dyDescent="0.25">
      <c r="C1723" s="300" t="s">
        <v>1061</v>
      </c>
      <c r="D1723" s="283" t="s">
        <v>1077</v>
      </c>
      <c r="E1723" s="283" t="s">
        <v>1076</v>
      </c>
      <c r="F1723" s="283" t="s">
        <v>1078</v>
      </c>
      <c r="G1723" s="283">
        <v>2</v>
      </c>
      <c r="H1723" s="283">
        <v>0</v>
      </c>
      <c r="I1723" s="283">
        <v>0</v>
      </c>
      <c r="J1723" s="284">
        <v>0</v>
      </c>
    </row>
    <row r="1724" spans="3:10" x14ac:dyDescent="0.25">
      <c r="C1724" s="300" t="s">
        <v>1060</v>
      </c>
      <c r="D1724" s="283" t="s">
        <v>1074</v>
      </c>
      <c r="E1724" s="283" t="s">
        <v>1075</v>
      </c>
      <c r="F1724" s="283" t="s">
        <v>1093</v>
      </c>
      <c r="G1724" s="283">
        <v>2</v>
      </c>
      <c r="H1724" s="283">
        <v>0</v>
      </c>
      <c r="I1724" s="283">
        <v>1</v>
      </c>
      <c r="J1724" s="284">
        <v>0</v>
      </c>
    </row>
    <row r="1725" spans="3:10" x14ac:dyDescent="0.25">
      <c r="C1725" s="300" t="s">
        <v>1066</v>
      </c>
      <c r="D1725" s="283" t="s">
        <v>1077</v>
      </c>
      <c r="E1725" s="283" t="s">
        <v>1076</v>
      </c>
      <c r="F1725" s="283" t="s">
        <v>1084</v>
      </c>
      <c r="G1725" s="283">
        <v>4</v>
      </c>
      <c r="H1725" s="283">
        <v>0</v>
      </c>
      <c r="I1725" s="283">
        <v>0</v>
      </c>
      <c r="J1725" s="284">
        <v>0</v>
      </c>
    </row>
    <row r="1726" spans="3:10" x14ac:dyDescent="0.25">
      <c r="C1726" s="300" t="s">
        <v>1057</v>
      </c>
      <c r="D1726" s="283" t="s">
        <v>1087</v>
      </c>
      <c r="E1726" s="283" t="s">
        <v>1075</v>
      </c>
      <c r="F1726" s="283" t="s">
        <v>524</v>
      </c>
      <c r="G1726" s="283">
        <v>1</v>
      </c>
      <c r="H1726" s="283">
        <v>0</v>
      </c>
      <c r="I1726" s="283">
        <v>0</v>
      </c>
      <c r="J1726" s="284">
        <v>0</v>
      </c>
    </row>
    <row r="1727" spans="3:10" x14ac:dyDescent="0.25">
      <c r="C1727" s="300" t="s">
        <v>1067</v>
      </c>
      <c r="D1727" s="283" t="s">
        <v>1074</v>
      </c>
      <c r="E1727" s="283" t="s">
        <v>1076</v>
      </c>
      <c r="F1727" s="283" t="s">
        <v>1093</v>
      </c>
      <c r="G1727" s="283">
        <v>2</v>
      </c>
      <c r="H1727" s="283">
        <v>1</v>
      </c>
      <c r="I1727" s="283">
        <v>0</v>
      </c>
      <c r="J1727" s="284">
        <v>1</v>
      </c>
    </row>
    <row r="1728" spans="3:10" x14ac:dyDescent="0.25">
      <c r="C1728" s="300" t="s">
        <v>1067</v>
      </c>
      <c r="D1728" s="283" t="s">
        <v>1043</v>
      </c>
      <c r="E1728" s="283" t="s">
        <v>1089</v>
      </c>
      <c r="F1728" s="283" t="s">
        <v>1092</v>
      </c>
      <c r="G1728" s="283">
        <v>2</v>
      </c>
      <c r="H1728" s="283">
        <v>1</v>
      </c>
      <c r="I1728" s="283">
        <v>0</v>
      </c>
      <c r="J1728" s="284">
        <v>1</v>
      </c>
    </row>
    <row r="1729" spans="3:10" x14ac:dyDescent="0.25">
      <c r="C1729" s="300" t="s">
        <v>1068</v>
      </c>
      <c r="D1729" s="283" t="s">
        <v>1074</v>
      </c>
      <c r="E1729" s="283" t="s">
        <v>1075</v>
      </c>
      <c r="F1729" s="283" t="s">
        <v>1076</v>
      </c>
      <c r="G1729" s="283">
        <v>3</v>
      </c>
      <c r="H1729" s="283">
        <v>1</v>
      </c>
      <c r="I1729" s="283">
        <v>2</v>
      </c>
      <c r="J1729" s="284">
        <v>2</v>
      </c>
    </row>
    <row r="1730" spans="3:10" x14ac:dyDescent="0.25">
      <c r="C1730" s="300" t="s">
        <v>1066</v>
      </c>
      <c r="D1730" s="283" t="s">
        <v>1079</v>
      </c>
      <c r="E1730" s="283" t="s">
        <v>1075</v>
      </c>
      <c r="F1730" s="283" t="s">
        <v>1075</v>
      </c>
      <c r="G1730" s="283">
        <v>2</v>
      </c>
      <c r="H1730" s="283">
        <v>0</v>
      </c>
      <c r="I1730" s="283">
        <v>0</v>
      </c>
      <c r="J1730" s="284">
        <v>0</v>
      </c>
    </row>
    <row r="1731" spans="3:10" x14ac:dyDescent="0.25">
      <c r="C1731" s="300" t="s">
        <v>1065</v>
      </c>
      <c r="D1731" s="283" t="s">
        <v>1077</v>
      </c>
      <c r="E1731" s="283" t="s">
        <v>1075</v>
      </c>
      <c r="F1731" s="283" t="s">
        <v>1075</v>
      </c>
      <c r="G1731" s="283">
        <v>2</v>
      </c>
      <c r="H1731" s="283">
        <v>0</v>
      </c>
      <c r="I1731" s="283">
        <v>0</v>
      </c>
      <c r="J1731" s="284">
        <v>0</v>
      </c>
    </row>
    <row r="1732" spans="3:10" x14ac:dyDescent="0.25">
      <c r="C1732" s="300" t="s">
        <v>1057</v>
      </c>
      <c r="D1732" s="283" t="s">
        <v>1079</v>
      </c>
      <c r="E1732" s="283" t="s">
        <v>1089</v>
      </c>
      <c r="F1732" s="283" t="s">
        <v>1078</v>
      </c>
      <c r="G1732" s="283">
        <v>2</v>
      </c>
      <c r="H1732" s="283">
        <v>0</v>
      </c>
      <c r="I1732" s="283">
        <v>0</v>
      </c>
      <c r="J1732" s="284">
        <v>2</v>
      </c>
    </row>
    <row r="1733" spans="3:10" x14ac:dyDescent="0.25">
      <c r="C1733" s="300" t="s">
        <v>1062</v>
      </c>
      <c r="D1733" s="283" t="s">
        <v>1079</v>
      </c>
      <c r="E1733" s="283" t="s">
        <v>1075</v>
      </c>
      <c r="F1733" s="283" t="s">
        <v>1075</v>
      </c>
      <c r="G1733" s="283">
        <v>2</v>
      </c>
      <c r="H1733" s="283">
        <v>0</v>
      </c>
      <c r="I1733" s="283">
        <v>1</v>
      </c>
      <c r="J1733" s="284">
        <v>0</v>
      </c>
    </row>
    <row r="1734" spans="3:10" x14ac:dyDescent="0.25">
      <c r="C1734" s="300" t="s">
        <v>1061</v>
      </c>
      <c r="D1734" s="283" t="s">
        <v>1043</v>
      </c>
      <c r="E1734" s="283" t="s">
        <v>1075</v>
      </c>
      <c r="F1734" s="283" t="s">
        <v>1092</v>
      </c>
      <c r="G1734" s="283">
        <v>2</v>
      </c>
      <c r="H1734" s="283">
        <v>0</v>
      </c>
      <c r="I1734" s="283">
        <v>1</v>
      </c>
      <c r="J1734" s="284">
        <v>1</v>
      </c>
    </row>
    <row r="1735" spans="3:10" x14ac:dyDescent="0.25">
      <c r="C1735" s="300" t="s">
        <v>1067</v>
      </c>
      <c r="D1735" s="283" t="s">
        <v>1074</v>
      </c>
      <c r="E1735" s="283" t="s">
        <v>1075</v>
      </c>
      <c r="F1735" s="283" t="s">
        <v>1044</v>
      </c>
      <c r="G1735" s="283">
        <v>2</v>
      </c>
      <c r="H1735" s="283">
        <v>0</v>
      </c>
      <c r="I1735" s="283">
        <v>0</v>
      </c>
      <c r="J1735" s="284">
        <v>0</v>
      </c>
    </row>
    <row r="1736" spans="3:10" x14ac:dyDescent="0.25">
      <c r="C1736" s="300" t="s">
        <v>1064</v>
      </c>
      <c r="D1736" s="283" t="s">
        <v>1079</v>
      </c>
      <c r="E1736" s="283" t="s">
        <v>1076</v>
      </c>
      <c r="F1736" s="283" t="s">
        <v>1083</v>
      </c>
      <c r="G1736" s="283">
        <v>2</v>
      </c>
      <c r="H1736" s="283">
        <v>0</v>
      </c>
      <c r="I1736" s="283">
        <v>1</v>
      </c>
      <c r="J1736" s="284">
        <v>0</v>
      </c>
    </row>
    <row r="1737" spans="3:10" x14ac:dyDescent="0.25">
      <c r="C1737" s="300" t="s">
        <v>1066</v>
      </c>
      <c r="D1737" s="283" t="s">
        <v>1077</v>
      </c>
      <c r="E1737" s="283" t="s">
        <v>1089</v>
      </c>
      <c r="F1737" s="283" t="s">
        <v>1075</v>
      </c>
      <c r="G1737" s="283">
        <v>4</v>
      </c>
      <c r="H1737" s="283">
        <v>0</v>
      </c>
      <c r="I1737" s="283">
        <v>0</v>
      </c>
      <c r="J1737" s="284">
        <v>0</v>
      </c>
    </row>
    <row r="1738" spans="3:10" x14ac:dyDescent="0.25">
      <c r="C1738" s="300" t="s">
        <v>1065</v>
      </c>
      <c r="D1738" s="283" t="s">
        <v>1079</v>
      </c>
      <c r="E1738" s="283" t="s">
        <v>1075</v>
      </c>
      <c r="F1738" s="283" t="s">
        <v>1089</v>
      </c>
      <c r="G1738" s="283">
        <v>2</v>
      </c>
      <c r="H1738" s="283">
        <v>0</v>
      </c>
      <c r="I1738" s="283">
        <v>0</v>
      </c>
      <c r="J1738" s="284">
        <v>0</v>
      </c>
    </row>
    <row r="1739" spans="3:10" x14ac:dyDescent="0.25">
      <c r="C1739" s="300" t="s">
        <v>1059</v>
      </c>
      <c r="D1739" s="283" t="s">
        <v>1087</v>
      </c>
      <c r="E1739" s="283" t="s">
        <v>1076</v>
      </c>
      <c r="F1739" s="283" t="s">
        <v>524</v>
      </c>
      <c r="G1739" s="283">
        <v>1</v>
      </c>
      <c r="H1739" s="283">
        <v>0</v>
      </c>
      <c r="I1739" s="283">
        <v>0</v>
      </c>
      <c r="J1739" s="284">
        <v>1</v>
      </c>
    </row>
    <row r="1740" spans="3:10" x14ac:dyDescent="0.25">
      <c r="C1740" s="300" t="s">
        <v>1057</v>
      </c>
      <c r="D1740" s="283" t="s">
        <v>1087</v>
      </c>
      <c r="E1740" s="283" t="s">
        <v>1075</v>
      </c>
      <c r="F1740" s="283" t="s">
        <v>524</v>
      </c>
      <c r="G1740" s="283">
        <v>1</v>
      </c>
      <c r="H1740" s="283">
        <v>0</v>
      </c>
      <c r="I1740" s="283">
        <v>0</v>
      </c>
      <c r="J1740" s="284">
        <v>0</v>
      </c>
    </row>
    <row r="1741" spans="3:10" x14ac:dyDescent="0.25">
      <c r="C1741" s="300" t="s">
        <v>1066</v>
      </c>
      <c r="D1741" s="283" t="s">
        <v>1087</v>
      </c>
      <c r="E1741" s="283" t="s">
        <v>1076</v>
      </c>
      <c r="F1741" s="283" t="s">
        <v>524</v>
      </c>
      <c r="G1741" s="283">
        <v>1</v>
      </c>
      <c r="H1741" s="283">
        <v>0</v>
      </c>
      <c r="I1741" s="283">
        <v>0</v>
      </c>
      <c r="J1741" s="284">
        <v>0</v>
      </c>
    </row>
    <row r="1742" spans="3:10" x14ac:dyDescent="0.25">
      <c r="C1742" s="300" t="s">
        <v>1063</v>
      </c>
      <c r="D1742" s="283" t="s">
        <v>1082</v>
      </c>
      <c r="E1742" s="283" t="s">
        <v>1080</v>
      </c>
      <c r="F1742" s="283" t="s">
        <v>1084</v>
      </c>
      <c r="G1742" s="283">
        <v>2</v>
      </c>
      <c r="H1742" s="283">
        <v>0</v>
      </c>
      <c r="I1742" s="283">
        <v>0</v>
      </c>
      <c r="J1742" s="284">
        <v>0</v>
      </c>
    </row>
    <row r="1743" spans="3:10" x14ac:dyDescent="0.25">
      <c r="C1743" s="300" t="s">
        <v>1067</v>
      </c>
      <c r="D1743" s="283" t="s">
        <v>1074</v>
      </c>
      <c r="E1743" s="283" t="s">
        <v>1089</v>
      </c>
      <c r="F1743" s="283" t="s">
        <v>1075</v>
      </c>
      <c r="G1743" s="283">
        <v>2</v>
      </c>
      <c r="H1743" s="283">
        <v>0</v>
      </c>
      <c r="I1743" s="283">
        <v>0</v>
      </c>
      <c r="J1743" s="284">
        <v>0</v>
      </c>
    </row>
    <row r="1744" spans="3:10" x14ac:dyDescent="0.25">
      <c r="C1744" s="300" t="s">
        <v>1060</v>
      </c>
      <c r="D1744" s="283" t="s">
        <v>1077</v>
      </c>
      <c r="E1744" s="283" t="s">
        <v>1075</v>
      </c>
      <c r="F1744" s="283" t="s">
        <v>1089</v>
      </c>
      <c r="G1744" s="283">
        <v>4</v>
      </c>
      <c r="H1744" s="283">
        <v>0</v>
      </c>
      <c r="I1744" s="283">
        <v>0</v>
      </c>
      <c r="J1744" s="284">
        <v>0</v>
      </c>
    </row>
    <row r="1745" spans="3:10" x14ac:dyDescent="0.25">
      <c r="C1745" s="300" t="s">
        <v>1065</v>
      </c>
      <c r="D1745" s="283" t="s">
        <v>1079</v>
      </c>
      <c r="E1745" s="283" t="s">
        <v>1084</v>
      </c>
      <c r="F1745" s="283" t="s">
        <v>1075</v>
      </c>
      <c r="G1745" s="283">
        <v>2</v>
      </c>
      <c r="H1745" s="283">
        <v>0</v>
      </c>
      <c r="I1745" s="283">
        <v>1</v>
      </c>
      <c r="J1745" s="284">
        <v>0</v>
      </c>
    </row>
    <row r="1746" spans="3:10" x14ac:dyDescent="0.25">
      <c r="C1746" s="300" t="s">
        <v>1064</v>
      </c>
      <c r="D1746" s="283" t="s">
        <v>1079</v>
      </c>
      <c r="E1746" s="283" t="s">
        <v>1075</v>
      </c>
      <c r="F1746" s="283" t="s">
        <v>1075</v>
      </c>
      <c r="G1746" s="283">
        <v>2</v>
      </c>
      <c r="H1746" s="283">
        <v>0</v>
      </c>
      <c r="I1746" s="283">
        <v>0</v>
      </c>
      <c r="J1746" s="284">
        <v>1</v>
      </c>
    </row>
    <row r="1747" spans="3:10" x14ac:dyDescent="0.25">
      <c r="C1747" s="300" t="s">
        <v>1062</v>
      </c>
      <c r="D1747" s="283" t="s">
        <v>1074</v>
      </c>
      <c r="E1747" s="283" t="s">
        <v>1076</v>
      </c>
      <c r="F1747" s="283" t="s">
        <v>1089</v>
      </c>
      <c r="G1747" s="283">
        <v>2</v>
      </c>
      <c r="H1747" s="283">
        <v>0</v>
      </c>
      <c r="I1747" s="283">
        <v>0</v>
      </c>
      <c r="J1747" s="284">
        <v>0</v>
      </c>
    </row>
    <row r="1748" spans="3:10" x14ac:dyDescent="0.25">
      <c r="C1748" s="300" t="s">
        <v>1065</v>
      </c>
      <c r="D1748" s="283" t="s">
        <v>1090</v>
      </c>
      <c r="E1748" s="283" t="s">
        <v>1075</v>
      </c>
      <c r="F1748" s="283" t="s">
        <v>524</v>
      </c>
      <c r="G1748" s="283">
        <v>1</v>
      </c>
      <c r="H1748" s="283">
        <v>0</v>
      </c>
      <c r="I1748" s="283">
        <v>0</v>
      </c>
      <c r="J1748" s="284">
        <v>0</v>
      </c>
    </row>
    <row r="1749" spans="3:10" x14ac:dyDescent="0.25">
      <c r="C1749" s="300" t="s">
        <v>1063</v>
      </c>
      <c r="D1749" s="283" t="s">
        <v>1074</v>
      </c>
      <c r="E1749" s="283" t="s">
        <v>1075</v>
      </c>
      <c r="F1749" s="283" t="s">
        <v>1075</v>
      </c>
      <c r="G1749" s="283">
        <v>2</v>
      </c>
      <c r="H1749" s="283">
        <v>0</v>
      </c>
      <c r="I1749" s="283">
        <v>0</v>
      </c>
      <c r="J1749" s="284">
        <v>0</v>
      </c>
    </row>
    <row r="1750" spans="3:10" x14ac:dyDescent="0.25">
      <c r="C1750" s="300" t="s">
        <v>1061</v>
      </c>
      <c r="D1750" s="283" t="s">
        <v>1079</v>
      </c>
      <c r="E1750" s="283" t="s">
        <v>1075</v>
      </c>
      <c r="F1750" s="283" t="s">
        <v>1075</v>
      </c>
      <c r="G1750" s="283">
        <v>4</v>
      </c>
      <c r="H1750" s="283">
        <v>0</v>
      </c>
      <c r="I1750" s="283">
        <v>0</v>
      </c>
      <c r="J1750" s="284">
        <v>0</v>
      </c>
    </row>
    <row r="1751" spans="3:10" x14ac:dyDescent="0.25">
      <c r="C1751" s="300" t="s">
        <v>1061</v>
      </c>
      <c r="D1751" s="283" t="s">
        <v>1074</v>
      </c>
      <c r="E1751" s="283" t="s">
        <v>1089</v>
      </c>
      <c r="F1751" s="283" t="s">
        <v>1075</v>
      </c>
      <c r="G1751" s="283">
        <v>2</v>
      </c>
      <c r="H1751" s="283">
        <v>0</v>
      </c>
      <c r="I1751" s="283">
        <v>0</v>
      </c>
      <c r="J1751" s="284">
        <v>0</v>
      </c>
    </row>
    <row r="1752" spans="3:10" x14ac:dyDescent="0.25">
      <c r="C1752" s="300" t="s">
        <v>1068</v>
      </c>
      <c r="D1752" s="283" t="s">
        <v>1077</v>
      </c>
      <c r="E1752" s="283" t="s">
        <v>1075</v>
      </c>
      <c r="F1752" s="283" t="s">
        <v>1075</v>
      </c>
      <c r="G1752" s="283">
        <v>2</v>
      </c>
      <c r="H1752" s="283">
        <v>0</v>
      </c>
      <c r="I1752" s="283">
        <v>0</v>
      </c>
      <c r="J1752" s="284">
        <v>0</v>
      </c>
    </row>
    <row r="1753" spans="3:10" x14ac:dyDescent="0.25">
      <c r="C1753" s="300" t="s">
        <v>1061</v>
      </c>
      <c r="D1753" s="283" t="s">
        <v>1077</v>
      </c>
      <c r="E1753" s="283" t="s">
        <v>1086</v>
      </c>
      <c r="F1753" s="283" t="s">
        <v>1075</v>
      </c>
      <c r="G1753" s="283">
        <v>2</v>
      </c>
      <c r="H1753" s="283">
        <v>0</v>
      </c>
      <c r="I1753" s="283">
        <v>0</v>
      </c>
      <c r="J1753" s="284">
        <v>1</v>
      </c>
    </row>
    <row r="1754" spans="3:10" x14ac:dyDescent="0.25">
      <c r="C1754" s="300" t="s">
        <v>1066</v>
      </c>
      <c r="D1754" s="283" t="s">
        <v>1079</v>
      </c>
      <c r="E1754" s="283" t="s">
        <v>1075</v>
      </c>
      <c r="F1754" s="283" t="s">
        <v>1075</v>
      </c>
      <c r="G1754" s="283">
        <v>2</v>
      </c>
      <c r="H1754" s="283">
        <v>0</v>
      </c>
      <c r="I1754" s="283">
        <v>0</v>
      </c>
      <c r="J1754" s="284">
        <v>0</v>
      </c>
    </row>
    <row r="1755" spans="3:10" x14ac:dyDescent="0.25">
      <c r="C1755" s="300" t="s">
        <v>1060</v>
      </c>
      <c r="D1755" s="283" t="s">
        <v>1077</v>
      </c>
      <c r="E1755" s="283" t="s">
        <v>1083</v>
      </c>
      <c r="F1755" s="283" t="s">
        <v>1075</v>
      </c>
      <c r="G1755" s="283">
        <v>2</v>
      </c>
      <c r="H1755" s="283">
        <v>0</v>
      </c>
      <c r="I1755" s="283">
        <v>1</v>
      </c>
      <c r="J1755" s="284">
        <v>0</v>
      </c>
    </row>
    <row r="1756" spans="3:10" x14ac:dyDescent="0.25">
      <c r="C1756" s="300" t="s">
        <v>1063</v>
      </c>
      <c r="D1756" s="283" t="s">
        <v>1087</v>
      </c>
      <c r="E1756" s="283" t="s">
        <v>1083</v>
      </c>
      <c r="F1756" s="283" t="s">
        <v>524</v>
      </c>
      <c r="G1756" s="283">
        <v>1</v>
      </c>
      <c r="H1756" s="283">
        <v>0</v>
      </c>
      <c r="I1756" s="283">
        <v>1</v>
      </c>
      <c r="J1756" s="284">
        <v>0</v>
      </c>
    </row>
    <row r="1757" spans="3:10" x14ac:dyDescent="0.25">
      <c r="C1757" s="300" t="s">
        <v>1063</v>
      </c>
      <c r="D1757" s="283" t="s">
        <v>1087</v>
      </c>
      <c r="E1757" s="283" t="s">
        <v>1076</v>
      </c>
      <c r="F1757" s="283" t="s">
        <v>524</v>
      </c>
      <c r="G1757" s="283">
        <v>1</v>
      </c>
      <c r="H1757" s="283">
        <v>0</v>
      </c>
      <c r="I1757" s="283">
        <v>0</v>
      </c>
      <c r="J1757" s="284">
        <v>0</v>
      </c>
    </row>
    <row r="1758" spans="3:10" x14ac:dyDescent="0.25">
      <c r="C1758" s="300" t="s">
        <v>1066</v>
      </c>
      <c r="D1758" s="283" t="s">
        <v>1077</v>
      </c>
      <c r="E1758" s="283" t="s">
        <v>1075</v>
      </c>
      <c r="F1758" s="283" t="s">
        <v>1081</v>
      </c>
      <c r="G1758" s="283">
        <v>2</v>
      </c>
      <c r="H1758" s="283">
        <v>0</v>
      </c>
      <c r="I1758" s="283">
        <v>0</v>
      </c>
      <c r="J1758" s="284">
        <v>0</v>
      </c>
    </row>
    <row r="1759" spans="3:10" x14ac:dyDescent="0.25">
      <c r="C1759" s="300" t="s">
        <v>1068</v>
      </c>
      <c r="D1759" s="283" t="s">
        <v>1043</v>
      </c>
      <c r="E1759" s="283" t="s">
        <v>1083</v>
      </c>
      <c r="F1759" s="283" t="s">
        <v>1092</v>
      </c>
      <c r="G1759" s="283">
        <v>2</v>
      </c>
      <c r="H1759" s="283">
        <v>0</v>
      </c>
      <c r="I1759" s="283">
        <v>2</v>
      </c>
      <c r="J1759" s="284">
        <v>0</v>
      </c>
    </row>
    <row r="1760" spans="3:10" x14ac:dyDescent="0.25">
      <c r="C1760" s="300" t="s">
        <v>1065</v>
      </c>
      <c r="D1760" s="283" t="s">
        <v>1074</v>
      </c>
      <c r="E1760" s="283" t="s">
        <v>1075</v>
      </c>
      <c r="F1760" s="283" t="s">
        <v>1075</v>
      </c>
      <c r="G1760" s="283">
        <v>3</v>
      </c>
      <c r="H1760" s="283">
        <v>0</v>
      </c>
      <c r="I1760" s="283">
        <v>2</v>
      </c>
      <c r="J1760" s="284">
        <v>1</v>
      </c>
    </row>
    <row r="1761" spans="3:10" x14ac:dyDescent="0.25">
      <c r="C1761" s="300" t="s">
        <v>1067</v>
      </c>
      <c r="D1761" s="283" t="s">
        <v>1074</v>
      </c>
      <c r="E1761" s="283" t="s">
        <v>1089</v>
      </c>
      <c r="F1761" s="283" t="s">
        <v>1089</v>
      </c>
      <c r="G1761" s="283">
        <v>2</v>
      </c>
      <c r="H1761" s="283">
        <v>0</v>
      </c>
      <c r="I1761" s="283">
        <v>0</v>
      </c>
      <c r="J1761" s="284">
        <v>1</v>
      </c>
    </row>
    <row r="1762" spans="3:10" x14ac:dyDescent="0.25">
      <c r="C1762" s="300" t="s">
        <v>1061</v>
      </c>
      <c r="D1762" s="283" t="s">
        <v>1077</v>
      </c>
      <c r="E1762" s="283" t="s">
        <v>1084</v>
      </c>
      <c r="F1762" s="283" t="s">
        <v>1089</v>
      </c>
      <c r="G1762" s="283">
        <v>2</v>
      </c>
      <c r="H1762" s="283">
        <v>0</v>
      </c>
      <c r="I1762" s="283">
        <v>0</v>
      </c>
      <c r="J1762" s="284">
        <v>0</v>
      </c>
    </row>
    <row r="1763" spans="3:10" x14ac:dyDescent="0.25">
      <c r="C1763" s="300" t="s">
        <v>1063</v>
      </c>
      <c r="D1763" s="283" t="s">
        <v>1077</v>
      </c>
      <c r="E1763" s="283" t="s">
        <v>1080</v>
      </c>
      <c r="F1763" s="283" t="s">
        <v>1075</v>
      </c>
      <c r="G1763" s="283">
        <v>3</v>
      </c>
      <c r="H1763" s="283">
        <v>0</v>
      </c>
      <c r="I1763" s="283">
        <v>0</v>
      </c>
      <c r="J1763" s="284">
        <v>0</v>
      </c>
    </row>
    <row r="1764" spans="3:10" x14ac:dyDescent="0.25">
      <c r="C1764" s="300" t="s">
        <v>1065</v>
      </c>
      <c r="D1764" s="283" t="s">
        <v>1077</v>
      </c>
      <c r="E1764" s="283" t="s">
        <v>1075</v>
      </c>
      <c r="F1764" s="283" t="s">
        <v>1078</v>
      </c>
      <c r="G1764" s="283">
        <v>2</v>
      </c>
      <c r="H1764" s="283">
        <v>0</v>
      </c>
      <c r="I1764" s="283">
        <v>0</v>
      </c>
      <c r="J1764" s="284">
        <v>0</v>
      </c>
    </row>
    <row r="1765" spans="3:10" x14ac:dyDescent="0.25">
      <c r="C1765" s="300" t="s">
        <v>1061</v>
      </c>
      <c r="D1765" s="283" t="s">
        <v>1077</v>
      </c>
      <c r="E1765" s="283" t="s">
        <v>1075</v>
      </c>
      <c r="F1765" s="283" t="s">
        <v>1075</v>
      </c>
      <c r="G1765" s="283">
        <v>2</v>
      </c>
      <c r="H1765" s="283">
        <v>0</v>
      </c>
      <c r="I1765" s="283">
        <v>0</v>
      </c>
      <c r="J1765" s="284">
        <v>0</v>
      </c>
    </row>
    <row r="1766" spans="3:10" x14ac:dyDescent="0.25">
      <c r="C1766" s="300" t="s">
        <v>1061</v>
      </c>
      <c r="D1766" s="283" t="s">
        <v>1074</v>
      </c>
      <c r="E1766" s="283" t="s">
        <v>1075</v>
      </c>
      <c r="F1766" s="283" t="s">
        <v>1075</v>
      </c>
      <c r="G1766" s="283">
        <v>2</v>
      </c>
      <c r="H1766" s="283">
        <v>0</v>
      </c>
      <c r="I1766" s="283">
        <v>0</v>
      </c>
      <c r="J1766" s="284">
        <v>0</v>
      </c>
    </row>
    <row r="1767" spans="3:10" x14ac:dyDescent="0.25">
      <c r="C1767" s="300" t="s">
        <v>1062</v>
      </c>
      <c r="D1767" s="283" t="s">
        <v>1079</v>
      </c>
      <c r="E1767" s="283" t="s">
        <v>1075</v>
      </c>
      <c r="F1767" s="283" t="s">
        <v>1089</v>
      </c>
      <c r="G1767" s="283">
        <v>2</v>
      </c>
      <c r="H1767" s="283">
        <v>0</v>
      </c>
      <c r="I1767" s="283">
        <v>0</v>
      </c>
      <c r="J1767" s="284">
        <v>0</v>
      </c>
    </row>
    <row r="1768" spans="3:10" x14ac:dyDescent="0.25">
      <c r="C1768" s="300" t="s">
        <v>1060</v>
      </c>
      <c r="D1768" s="283" t="s">
        <v>1077</v>
      </c>
      <c r="E1768" s="283" t="s">
        <v>1084</v>
      </c>
      <c r="F1768" s="283" t="s">
        <v>1084</v>
      </c>
      <c r="G1768" s="283">
        <v>2</v>
      </c>
      <c r="H1768" s="283">
        <v>0</v>
      </c>
      <c r="I1768" s="283">
        <v>0</v>
      </c>
      <c r="J1768" s="284">
        <v>0</v>
      </c>
    </row>
    <row r="1769" spans="3:10" x14ac:dyDescent="0.25">
      <c r="C1769" s="300" t="s">
        <v>1064</v>
      </c>
      <c r="D1769" s="283" t="s">
        <v>1077</v>
      </c>
      <c r="E1769" s="283" t="s">
        <v>1075</v>
      </c>
      <c r="F1769" s="283" t="s">
        <v>1089</v>
      </c>
      <c r="G1769" s="283">
        <v>2</v>
      </c>
      <c r="H1769" s="283">
        <v>0</v>
      </c>
      <c r="I1769" s="283">
        <v>0</v>
      </c>
      <c r="J1769" s="284">
        <v>0</v>
      </c>
    </row>
    <row r="1770" spans="3:10" x14ac:dyDescent="0.25">
      <c r="C1770" s="300" t="s">
        <v>1060</v>
      </c>
      <c r="D1770" s="283" t="s">
        <v>1074</v>
      </c>
      <c r="E1770" s="283" t="s">
        <v>1089</v>
      </c>
      <c r="F1770" s="283" t="s">
        <v>1089</v>
      </c>
      <c r="G1770" s="283">
        <v>2</v>
      </c>
      <c r="H1770" s="283">
        <v>0</v>
      </c>
      <c r="I1770" s="283">
        <v>0</v>
      </c>
      <c r="J1770" s="284">
        <v>0</v>
      </c>
    </row>
    <row r="1771" spans="3:10" x14ac:dyDescent="0.25">
      <c r="C1771" s="300" t="s">
        <v>1068</v>
      </c>
      <c r="D1771" s="283" t="s">
        <v>1079</v>
      </c>
      <c r="E1771" s="283" t="s">
        <v>1075</v>
      </c>
      <c r="F1771" s="283" t="s">
        <v>1089</v>
      </c>
      <c r="G1771" s="283">
        <v>3</v>
      </c>
      <c r="H1771" s="283">
        <v>0</v>
      </c>
      <c r="I1771" s="283">
        <v>0</v>
      </c>
      <c r="J1771" s="284">
        <v>0</v>
      </c>
    </row>
    <row r="1772" spans="3:10" x14ac:dyDescent="0.25">
      <c r="C1772" s="300" t="s">
        <v>1064</v>
      </c>
      <c r="D1772" s="283" t="s">
        <v>1077</v>
      </c>
      <c r="E1772" s="283" t="s">
        <v>1075</v>
      </c>
      <c r="F1772" s="283" t="s">
        <v>1075</v>
      </c>
      <c r="G1772" s="283">
        <v>2</v>
      </c>
      <c r="H1772" s="283">
        <v>0</v>
      </c>
      <c r="I1772" s="283">
        <v>0</v>
      </c>
      <c r="J1772" s="284">
        <v>0</v>
      </c>
    </row>
    <row r="1773" spans="3:10" x14ac:dyDescent="0.25">
      <c r="C1773" s="300" t="s">
        <v>1066</v>
      </c>
      <c r="D1773" s="283" t="s">
        <v>1077</v>
      </c>
      <c r="E1773" s="283" t="s">
        <v>1075</v>
      </c>
      <c r="F1773" s="283" t="s">
        <v>1089</v>
      </c>
      <c r="G1773" s="283">
        <v>2</v>
      </c>
      <c r="H1773" s="283">
        <v>0</v>
      </c>
      <c r="I1773" s="283">
        <v>0</v>
      </c>
      <c r="J1773" s="284">
        <v>0</v>
      </c>
    </row>
    <row r="1774" spans="3:10" x14ac:dyDescent="0.25">
      <c r="C1774" s="300" t="s">
        <v>1063</v>
      </c>
      <c r="D1774" s="283" t="s">
        <v>1074</v>
      </c>
      <c r="E1774" s="283" t="s">
        <v>1076</v>
      </c>
      <c r="F1774" s="283" t="s">
        <v>1075</v>
      </c>
      <c r="G1774" s="283">
        <v>2</v>
      </c>
      <c r="H1774" s="283">
        <v>0</v>
      </c>
      <c r="I1774" s="283">
        <v>0</v>
      </c>
      <c r="J1774" s="284">
        <v>0</v>
      </c>
    </row>
    <row r="1775" spans="3:10" x14ac:dyDescent="0.25">
      <c r="C1775" s="300" t="s">
        <v>1066</v>
      </c>
      <c r="D1775" s="283" t="s">
        <v>1090</v>
      </c>
      <c r="E1775" s="283" t="s">
        <v>1093</v>
      </c>
      <c r="F1775" s="283" t="s">
        <v>524</v>
      </c>
      <c r="G1775" s="283">
        <v>1</v>
      </c>
      <c r="H1775" s="283">
        <v>0</v>
      </c>
      <c r="I1775" s="283">
        <v>0</v>
      </c>
      <c r="J1775" s="284">
        <v>0</v>
      </c>
    </row>
    <row r="1776" spans="3:10" x14ac:dyDescent="0.25">
      <c r="C1776" s="300" t="s">
        <v>1063</v>
      </c>
      <c r="D1776" s="283" t="s">
        <v>1074</v>
      </c>
      <c r="E1776" s="283" t="s">
        <v>1075</v>
      </c>
      <c r="F1776" s="283" t="s">
        <v>1089</v>
      </c>
      <c r="G1776" s="283">
        <v>2</v>
      </c>
      <c r="H1776" s="283">
        <v>0</v>
      </c>
      <c r="I1776" s="283">
        <v>0</v>
      </c>
      <c r="J1776" s="284">
        <v>0</v>
      </c>
    </row>
    <row r="1777" spans="3:10" x14ac:dyDescent="0.25">
      <c r="C1777" s="300" t="s">
        <v>1064</v>
      </c>
      <c r="D1777" s="283" t="s">
        <v>1077</v>
      </c>
      <c r="E1777" s="283" t="s">
        <v>1086</v>
      </c>
      <c r="F1777" s="283" t="s">
        <v>1075</v>
      </c>
      <c r="G1777" s="283">
        <v>2</v>
      </c>
      <c r="H1777" s="283">
        <v>0</v>
      </c>
      <c r="I1777" s="283">
        <v>0</v>
      </c>
      <c r="J1777" s="284">
        <v>0</v>
      </c>
    </row>
    <row r="1778" spans="3:10" x14ac:dyDescent="0.25">
      <c r="C1778" s="300" t="s">
        <v>1063</v>
      </c>
      <c r="D1778" s="283" t="s">
        <v>1079</v>
      </c>
      <c r="E1778" s="283" t="s">
        <v>1075</v>
      </c>
      <c r="F1778" s="283" t="s">
        <v>1089</v>
      </c>
      <c r="G1778" s="283">
        <v>2</v>
      </c>
      <c r="H1778" s="283">
        <v>0</v>
      </c>
      <c r="I1778" s="283">
        <v>0</v>
      </c>
      <c r="J1778" s="284">
        <v>0</v>
      </c>
    </row>
    <row r="1779" spans="3:10" x14ac:dyDescent="0.25">
      <c r="C1779" s="300" t="s">
        <v>1061</v>
      </c>
      <c r="D1779" s="283" t="s">
        <v>1079</v>
      </c>
      <c r="E1779" s="283" t="s">
        <v>1075</v>
      </c>
      <c r="F1779" s="283" t="s">
        <v>1078</v>
      </c>
      <c r="G1779" s="283">
        <v>2</v>
      </c>
      <c r="H1779" s="283">
        <v>0</v>
      </c>
      <c r="I1779" s="283">
        <v>0</v>
      </c>
      <c r="J1779" s="284">
        <v>0</v>
      </c>
    </row>
    <row r="1780" spans="3:10" x14ac:dyDescent="0.25">
      <c r="C1780" s="300" t="s">
        <v>1061</v>
      </c>
      <c r="D1780" s="283" t="s">
        <v>1079</v>
      </c>
      <c r="E1780" s="283" t="s">
        <v>1089</v>
      </c>
      <c r="F1780" s="283" t="s">
        <v>1078</v>
      </c>
      <c r="G1780" s="283">
        <v>2</v>
      </c>
      <c r="H1780" s="283">
        <v>0</v>
      </c>
      <c r="I1780" s="283">
        <v>0</v>
      </c>
      <c r="J1780" s="284">
        <v>0</v>
      </c>
    </row>
    <row r="1781" spans="3:10" x14ac:dyDescent="0.25">
      <c r="C1781" s="300" t="s">
        <v>1063</v>
      </c>
      <c r="D1781" s="283" t="s">
        <v>1079</v>
      </c>
      <c r="E1781" s="283" t="s">
        <v>1075</v>
      </c>
      <c r="F1781" s="283" t="s">
        <v>1075</v>
      </c>
      <c r="G1781" s="283">
        <v>2</v>
      </c>
      <c r="H1781" s="283">
        <v>0</v>
      </c>
      <c r="I1781" s="283">
        <v>0</v>
      </c>
      <c r="J1781" s="284">
        <v>0</v>
      </c>
    </row>
    <row r="1782" spans="3:10" x14ac:dyDescent="0.25">
      <c r="C1782" s="300" t="s">
        <v>1061</v>
      </c>
      <c r="D1782" s="283" t="s">
        <v>1074</v>
      </c>
      <c r="E1782" s="283" t="s">
        <v>1080</v>
      </c>
      <c r="F1782" s="283" t="s">
        <v>1075</v>
      </c>
      <c r="G1782" s="283">
        <v>2</v>
      </c>
      <c r="H1782" s="283">
        <v>0</v>
      </c>
      <c r="I1782" s="283">
        <v>0</v>
      </c>
      <c r="J1782" s="284">
        <v>0</v>
      </c>
    </row>
    <row r="1783" spans="3:10" x14ac:dyDescent="0.25">
      <c r="C1783" s="300" t="s">
        <v>1061</v>
      </c>
      <c r="D1783" s="283" t="s">
        <v>1077</v>
      </c>
      <c r="E1783" s="283" t="s">
        <v>1078</v>
      </c>
      <c r="F1783" s="283" t="s">
        <v>1094</v>
      </c>
      <c r="G1783" s="283">
        <v>2</v>
      </c>
      <c r="H1783" s="283">
        <v>0</v>
      </c>
      <c r="I1783" s="283">
        <v>0</v>
      </c>
      <c r="J1783" s="284">
        <v>0</v>
      </c>
    </row>
    <row r="1784" spans="3:10" x14ac:dyDescent="0.25">
      <c r="C1784" s="300" t="s">
        <v>1057</v>
      </c>
      <c r="D1784" s="283" t="s">
        <v>1087</v>
      </c>
      <c r="E1784" s="283" t="s">
        <v>1076</v>
      </c>
      <c r="F1784" s="283" t="s">
        <v>524</v>
      </c>
      <c r="G1784" s="283">
        <v>1</v>
      </c>
      <c r="H1784" s="283">
        <v>0</v>
      </c>
      <c r="I1784" s="283">
        <v>0</v>
      </c>
      <c r="J1784" s="284">
        <v>1</v>
      </c>
    </row>
    <row r="1785" spans="3:10" x14ac:dyDescent="0.25">
      <c r="C1785" s="300" t="s">
        <v>1060</v>
      </c>
      <c r="D1785" s="283" t="s">
        <v>1043</v>
      </c>
      <c r="E1785" s="283" t="s">
        <v>1075</v>
      </c>
      <c r="F1785" s="283" t="s">
        <v>1092</v>
      </c>
      <c r="G1785" s="283">
        <v>2</v>
      </c>
      <c r="H1785" s="283">
        <v>0</v>
      </c>
      <c r="I1785" s="283">
        <v>1</v>
      </c>
      <c r="J1785" s="284">
        <v>0</v>
      </c>
    </row>
    <row r="1786" spans="3:10" x14ac:dyDescent="0.25">
      <c r="C1786" s="300" t="s">
        <v>1060</v>
      </c>
      <c r="D1786" s="283" t="s">
        <v>1077</v>
      </c>
      <c r="E1786" s="283" t="s">
        <v>1075</v>
      </c>
      <c r="F1786" s="283" t="s">
        <v>1076</v>
      </c>
      <c r="G1786" s="283">
        <v>2</v>
      </c>
      <c r="H1786" s="283">
        <v>0</v>
      </c>
      <c r="I1786" s="283">
        <v>0</v>
      </c>
      <c r="J1786" s="284">
        <v>0</v>
      </c>
    </row>
    <row r="1787" spans="3:10" x14ac:dyDescent="0.25">
      <c r="C1787" s="300" t="s">
        <v>1065</v>
      </c>
      <c r="D1787" s="283" t="s">
        <v>1079</v>
      </c>
      <c r="E1787" s="283" t="s">
        <v>1084</v>
      </c>
      <c r="F1787" s="283" t="s">
        <v>1089</v>
      </c>
      <c r="G1787" s="283">
        <v>2</v>
      </c>
      <c r="H1787" s="283">
        <v>0</v>
      </c>
      <c r="I1787" s="283">
        <v>0</v>
      </c>
      <c r="J1787" s="284">
        <v>0</v>
      </c>
    </row>
    <row r="1788" spans="3:10" x14ac:dyDescent="0.25">
      <c r="C1788" s="300" t="s">
        <v>1066</v>
      </c>
      <c r="D1788" s="283" t="s">
        <v>1079</v>
      </c>
      <c r="E1788" s="283" t="s">
        <v>1075</v>
      </c>
      <c r="F1788" s="283" t="s">
        <v>1075</v>
      </c>
      <c r="G1788" s="283">
        <v>2</v>
      </c>
      <c r="H1788" s="283">
        <v>0</v>
      </c>
      <c r="I1788" s="283">
        <v>0</v>
      </c>
      <c r="J1788" s="284">
        <v>0</v>
      </c>
    </row>
    <row r="1789" spans="3:10" x14ac:dyDescent="0.25">
      <c r="C1789" s="300" t="s">
        <v>1057</v>
      </c>
      <c r="D1789" s="283" t="s">
        <v>1087</v>
      </c>
      <c r="E1789" s="283" t="s">
        <v>1075</v>
      </c>
      <c r="F1789" s="283" t="s">
        <v>524</v>
      </c>
      <c r="G1789" s="283">
        <v>1</v>
      </c>
      <c r="H1789" s="283">
        <v>0</v>
      </c>
      <c r="I1789" s="283">
        <v>0</v>
      </c>
      <c r="J1789" s="284">
        <v>0</v>
      </c>
    </row>
    <row r="1790" spans="3:10" x14ac:dyDescent="0.25">
      <c r="C1790" s="300" t="s">
        <v>1061</v>
      </c>
      <c r="D1790" s="283" t="s">
        <v>1087</v>
      </c>
      <c r="E1790" s="283" t="s">
        <v>1075</v>
      </c>
      <c r="F1790" s="283" t="s">
        <v>524</v>
      </c>
      <c r="G1790" s="283">
        <v>1</v>
      </c>
      <c r="H1790" s="283">
        <v>0</v>
      </c>
      <c r="I1790" s="283">
        <v>0</v>
      </c>
      <c r="J1790" s="284">
        <v>0</v>
      </c>
    </row>
    <row r="1791" spans="3:10" x14ac:dyDescent="0.25">
      <c r="C1791" s="300" t="s">
        <v>1064</v>
      </c>
      <c r="D1791" s="283" t="s">
        <v>1087</v>
      </c>
      <c r="E1791" s="283" t="s">
        <v>1075</v>
      </c>
      <c r="F1791" s="283" t="s">
        <v>524</v>
      </c>
      <c r="G1791" s="283">
        <v>1</v>
      </c>
      <c r="H1791" s="283">
        <v>0</v>
      </c>
      <c r="I1791" s="283">
        <v>0</v>
      </c>
      <c r="J1791" s="284">
        <v>0</v>
      </c>
    </row>
    <row r="1792" spans="3:10" x14ac:dyDescent="0.25">
      <c r="C1792" s="300" t="s">
        <v>1061</v>
      </c>
      <c r="D1792" s="283" t="s">
        <v>1074</v>
      </c>
      <c r="E1792" s="283" t="s">
        <v>1075</v>
      </c>
      <c r="F1792" s="283" t="s">
        <v>1075</v>
      </c>
      <c r="G1792" s="283">
        <v>2</v>
      </c>
      <c r="H1792" s="283">
        <v>0</v>
      </c>
      <c r="I1792" s="283">
        <v>1</v>
      </c>
      <c r="J1792" s="284">
        <v>0</v>
      </c>
    </row>
    <row r="1793" spans="3:10" x14ac:dyDescent="0.25">
      <c r="C1793" s="300" t="s">
        <v>1063</v>
      </c>
      <c r="D1793" s="283" t="s">
        <v>1077</v>
      </c>
      <c r="E1793" s="283" t="s">
        <v>1075</v>
      </c>
      <c r="F1793" s="283" t="s">
        <v>1078</v>
      </c>
      <c r="G1793" s="283">
        <v>2</v>
      </c>
      <c r="H1793" s="283">
        <v>0</v>
      </c>
      <c r="I1793" s="283">
        <v>0</v>
      </c>
      <c r="J1793" s="284">
        <v>0</v>
      </c>
    </row>
    <row r="1794" spans="3:10" x14ac:dyDescent="0.25">
      <c r="C1794" s="300" t="s">
        <v>1063</v>
      </c>
      <c r="D1794" s="283" t="s">
        <v>1090</v>
      </c>
      <c r="E1794" s="283" t="s">
        <v>1080</v>
      </c>
      <c r="F1794" s="283" t="s">
        <v>524</v>
      </c>
      <c r="G1794" s="283">
        <v>1</v>
      </c>
      <c r="H1794" s="283">
        <v>0</v>
      </c>
      <c r="I1794" s="283">
        <v>0</v>
      </c>
      <c r="J1794" s="284">
        <v>0</v>
      </c>
    </row>
    <row r="1795" spans="3:10" x14ac:dyDescent="0.25">
      <c r="C1795" s="300" t="s">
        <v>1060</v>
      </c>
      <c r="D1795" s="283" t="s">
        <v>1074</v>
      </c>
      <c r="E1795" s="283" t="s">
        <v>1075</v>
      </c>
      <c r="F1795" s="283" t="s">
        <v>1076</v>
      </c>
      <c r="G1795" s="283">
        <v>2</v>
      </c>
      <c r="H1795" s="283">
        <v>0</v>
      </c>
      <c r="I1795" s="283">
        <v>0</v>
      </c>
      <c r="J1795" s="284">
        <v>1</v>
      </c>
    </row>
    <row r="1796" spans="3:10" x14ac:dyDescent="0.25">
      <c r="C1796" s="300" t="s">
        <v>1068</v>
      </c>
      <c r="D1796" s="283" t="s">
        <v>1077</v>
      </c>
      <c r="E1796" s="283" t="s">
        <v>1075</v>
      </c>
      <c r="F1796" s="283" t="s">
        <v>1075</v>
      </c>
      <c r="G1796" s="283">
        <v>3</v>
      </c>
      <c r="H1796" s="283">
        <v>0</v>
      </c>
      <c r="I1796" s="283">
        <v>0</v>
      </c>
      <c r="J1796" s="284">
        <v>0</v>
      </c>
    </row>
    <row r="1797" spans="3:10" x14ac:dyDescent="0.25">
      <c r="C1797" s="300" t="s">
        <v>1064</v>
      </c>
      <c r="D1797" s="283" t="s">
        <v>1079</v>
      </c>
      <c r="E1797" s="283" t="s">
        <v>1075</v>
      </c>
      <c r="F1797" s="283" t="s">
        <v>1075</v>
      </c>
      <c r="G1797" s="283">
        <v>2</v>
      </c>
      <c r="H1797" s="283">
        <v>0</v>
      </c>
      <c r="I1797" s="283">
        <v>0</v>
      </c>
      <c r="J1797" s="284">
        <v>0</v>
      </c>
    </row>
    <row r="1798" spans="3:10" x14ac:dyDescent="0.25">
      <c r="C1798" s="300" t="s">
        <v>1066</v>
      </c>
      <c r="D1798" s="283" t="s">
        <v>1074</v>
      </c>
      <c r="E1798" s="283" t="s">
        <v>1089</v>
      </c>
      <c r="F1798" s="283" t="s">
        <v>1044</v>
      </c>
      <c r="G1798" s="283">
        <v>2</v>
      </c>
      <c r="H1798" s="283">
        <v>0</v>
      </c>
      <c r="I1798" s="283">
        <v>0</v>
      </c>
      <c r="J1798" s="284">
        <v>0</v>
      </c>
    </row>
    <row r="1799" spans="3:10" x14ac:dyDescent="0.25">
      <c r="C1799" s="300" t="s">
        <v>1066</v>
      </c>
      <c r="D1799" s="283" t="s">
        <v>1074</v>
      </c>
      <c r="E1799" s="283" t="s">
        <v>1075</v>
      </c>
      <c r="F1799" s="283" t="s">
        <v>1076</v>
      </c>
      <c r="G1799" s="283">
        <v>2</v>
      </c>
      <c r="H1799" s="283">
        <v>0</v>
      </c>
      <c r="I1799" s="283">
        <v>0</v>
      </c>
      <c r="J1799" s="284">
        <v>0</v>
      </c>
    </row>
    <row r="1800" spans="3:10" x14ac:dyDescent="0.25">
      <c r="C1800" s="300" t="s">
        <v>1060</v>
      </c>
      <c r="D1800" s="283" t="s">
        <v>1079</v>
      </c>
      <c r="E1800" s="283" t="s">
        <v>1078</v>
      </c>
      <c r="F1800" s="283" t="s">
        <v>1083</v>
      </c>
      <c r="G1800" s="283">
        <v>2</v>
      </c>
      <c r="H1800" s="283">
        <v>0</v>
      </c>
      <c r="I1800" s="283">
        <v>0</v>
      </c>
      <c r="J1800" s="284">
        <v>1</v>
      </c>
    </row>
    <row r="1801" spans="3:10" x14ac:dyDescent="0.25">
      <c r="C1801" s="300" t="s">
        <v>1066</v>
      </c>
      <c r="D1801" s="283" t="s">
        <v>1074</v>
      </c>
      <c r="E1801" s="283" t="s">
        <v>1075</v>
      </c>
      <c r="F1801" s="283" t="s">
        <v>1075</v>
      </c>
      <c r="G1801" s="283">
        <v>2</v>
      </c>
      <c r="H1801" s="283">
        <v>0</v>
      </c>
      <c r="I1801" s="283">
        <v>0</v>
      </c>
      <c r="J1801" s="284">
        <v>1</v>
      </c>
    </row>
    <row r="1802" spans="3:10" x14ac:dyDescent="0.25">
      <c r="C1802" s="300" t="s">
        <v>1066</v>
      </c>
      <c r="D1802" s="283" t="s">
        <v>1087</v>
      </c>
      <c r="E1802" s="283" t="s">
        <v>1089</v>
      </c>
      <c r="F1802" s="283" t="s">
        <v>524</v>
      </c>
      <c r="G1802" s="283">
        <v>1</v>
      </c>
      <c r="H1802" s="283">
        <v>0</v>
      </c>
      <c r="I1802" s="283">
        <v>0</v>
      </c>
      <c r="J1802" s="284">
        <v>0</v>
      </c>
    </row>
    <row r="1803" spans="3:10" x14ac:dyDescent="0.25">
      <c r="C1803" s="300" t="s">
        <v>1061</v>
      </c>
      <c r="D1803" s="283" t="s">
        <v>1079</v>
      </c>
      <c r="E1803" s="283" t="s">
        <v>1076</v>
      </c>
      <c r="F1803" s="283" t="s">
        <v>1083</v>
      </c>
      <c r="G1803" s="283">
        <v>2</v>
      </c>
      <c r="H1803" s="283">
        <v>0</v>
      </c>
      <c r="I1803" s="283">
        <v>0</v>
      </c>
      <c r="J1803" s="284">
        <v>1</v>
      </c>
    </row>
    <row r="1804" spans="3:10" x14ac:dyDescent="0.25">
      <c r="C1804" s="300" t="s">
        <v>1059</v>
      </c>
      <c r="D1804" s="283" t="s">
        <v>1079</v>
      </c>
      <c r="E1804" s="283" t="s">
        <v>1075</v>
      </c>
      <c r="F1804" s="283" t="s">
        <v>1083</v>
      </c>
      <c r="G1804" s="283">
        <v>2</v>
      </c>
      <c r="H1804" s="283">
        <v>0</v>
      </c>
      <c r="I1804" s="283">
        <v>0</v>
      </c>
      <c r="J1804" s="284">
        <v>1</v>
      </c>
    </row>
    <row r="1805" spans="3:10" x14ac:dyDescent="0.25">
      <c r="C1805" s="300" t="s">
        <v>1064</v>
      </c>
      <c r="D1805" s="283" t="s">
        <v>1079</v>
      </c>
      <c r="E1805" s="283" t="s">
        <v>1075</v>
      </c>
      <c r="F1805" s="283" t="s">
        <v>1083</v>
      </c>
      <c r="G1805" s="283">
        <v>2</v>
      </c>
      <c r="H1805" s="283">
        <v>0</v>
      </c>
      <c r="I1805" s="283">
        <v>1</v>
      </c>
      <c r="J1805" s="284">
        <v>0</v>
      </c>
    </row>
    <row r="1806" spans="3:10" x14ac:dyDescent="0.25">
      <c r="C1806" s="300" t="s">
        <v>1066</v>
      </c>
      <c r="D1806" s="283" t="s">
        <v>1043</v>
      </c>
      <c r="E1806" s="283" t="s">
        <v>1075</v>
      </c>
      <c r="F1806" s="283" t="s">
        <v>1092</v>
      </c>
      <c r="G1806" s="283">
        <v>2</v>
      </c>
      <c r="H1806" s="283">
        <v>0</v>
      </c>
      <c r="I1806" s="283">
        <v>0</v>
      </c>
      <c r="J1806" s="284">
        <v>0</v>
      </c>
    </row>
    <row r="1807" spans="3:10" x14ac:dyDescent="0.25">
      <c r="C1807" s="300" t="s">
        <v>1065</v>
      </c>
      <c r="D1807" s="283" t="s">
        <v>1043</v>
      </c>
      <c r="E1807" s="283" t="s">
        <v>1078</v>
      </c>
      <c r="F1807" s="283" t="s">
        <v>1092</v>
      </c>
      <c r="G1807" s="283">
        <v>2</v>
      </c>
      <c r="H1807" s="283">
        <v>0</v>
      </c>
      <c r="I1807" s="283">
        <v>0</v>
      </c>
      <c r="J1807" s="284">
        <v>1</v>
      </c>
    </row>
    <row r="1808" spans="3:10" x14ac:dyDescent="0.25">
      <c r="C1808" s="300" t="s">
        <v>1068</v>
      </c>
      <c r="D1808" s="283" t="s">
        <v>1077</v>
      </c>
      <c r="E1808" s="283" t="s">
        <v>1089</v>
      </c>
      <c r="F1808" s="283" t="s">
        <v>1075</v>
      </c>
      <c r="G1808" s="283">
        <v>3</v>
      </c>
      <c r="H1808" s="283">
        <v>0</v>
      </c>
      <c r="I1808" s="283">
        <v>0</v>
      </c>
      <c r="J1808" s="284">
        <v>0</v>
      </c>
    </row>
    <row r="1809" spans="3:10" x14ac:dyDescent="0.25">
      <c r="C1809" s="300" t="s">
        <v>1058</v>
      </c>
      <c r="D1809" s="283" t="s">
        <v>1090</v>
      </c>
      <c r="E1809" s="283" t="s">
        <v>1075</v>
      </c>
      <c r="F1809" s="283" t="s">
        <v>524</v>
      </c>
      <c r="G1809" s="283">
        <v>1</v>
      </c>
      <c r="H1809" s="283">
        <v>0</v>
      </c>
      <c r="I1809" s="283">
        <v>0</v>
      </c>
      <c r="J1809" s="284">
        <v>0</v>
      </c>
    </row>
    <row r="1810" spans="3:10" x14ac:dyDescent="0.25">
      <c r="C1810" s="300" t="s">
        <v>1065</v>
      </c>
      <c r="D1810" s="283" t="s">
        <v>1074</v>
      </c>
      <c r="E1810" s="283" t="s">
        <v>1075</v>
      </c>
      <c r="F1810" s="283" t="s">
        <v>1089</v>
      </c>
      <c r="G1810" s="283">
        <v>2</v>
      </c>
      <c r="H1810" s="283">
        <v>0</v>
      </c>
      <c r="I1810" s="283">
        <v>0</v>
      </c>
      <c r="J1810" s="284">
        <v>2</v>
      </c>
    </row>
    <row r="1811" spans="3:10" x14ac:dyDescent="0.25">
      <c r="C1811" s="300" t="s">
        <v>1066</v>
      </c>
      <c r="D1811" s="283" t="s">
        <v>1079</v>
      </c>
      <c r="E1811" s="283" t="s">
        <v>1075</v>
      </c>
      <c r="F1811" s="283" t="s">
        <v>1075</v>
      </c>
      <c r="G1811" s="283">
        <v>2</v>
      </c>
      <c r="H1811" s="283">
        <v>0</v>
      </c>
      <c r="I1811" s="283">
        <v>0</v>
      </c>
      <c r="J1811" s="284">
        <v>0</v>
      </c>
    </row>
    <row r="1812" spans="3:10" x14ac:dyDescent="0.25">
      <c r="C1812" s="300" t="s">
        <v>1066</v>
      </c>
      <c r="D1812" s="283" t="s">
        <v>1079</v>
      </c>
      <c r="E1812" s="283" t="s">
        <v>1075</v>
      </c>
      <c r="F1812" s="283" t="s">
        <v>1083</v>
      </c>
      <c r="G1812" s="283">
        <v>2</v>
      </c>
      <c r="H1812" s="283">
        <v>0</v>
      </c>
      <c r="I1812" s="283">
        <v>1</v>
      </c>
      <c r="J1812" s="284">
        <v>1</v>
      </c>
    </row>
    <row r="1813" spans="3:10" x14ac:dyDescent="0.25">
      <c r="C1813" s="300" t="s">
        <v>1061</v>
      </c>
      <c r="D1813" s="283" t="s">
        <v>1079</v>
      </c>
      <c r="E1813" s="283" t="s">
        <v>1075</v>
      </c>
      <c r="F1813" s="283" t="s">
        <v>1075</v>
      </c>
      <c r="G1813" s="283">
        <v>2</v>
      </c>
      <c r="H1813" s="283">
        <v>0</v>
      </c>
      <c r="I1813" s="283">
        <v>0</v>
      </c>
      <c r="J1813" s="284">
        <v>0</v>
      </c>
    </row>
    <row r="1814" spans="3:10" x14ac:dyDescent="0.25">
      <c r="C1814" s="300" t="s">
        <v>1064</v>
      </c>
      <c r="D1814" s="283" t="s">
        <v>1043</v>
      </c>
      <c r="E1814" s="283" t="s">
        <v>1075</v>
      </c>
      <c r="F1814" s="283" t="s">
        <v>1092</v>
      </c>
      <c r="G1814" s="283">
        <v>2</v>
      </c>
      <c r="H1814" s="283">
        <v>0</v>
      </c>
      <c r="I1814" s="283">
        <v>0</v>
      </c>
      <c r="J1814" s="284">
        <v>0</v>
      </c>
    </row>
    <row r="1815" spans="3:10" x14ac:dyDescent="0.25">
      <c r="C1815" s="300" t="s">
        <v>1065</v>
      </c>
      <c r="D1815" s="283" t="s">
        <v>1079</v>
      </c>
      <c r="E1815" s="283" t="s">
        <v>1089</v>
      </c>
      <c r="F1815" s="283" t="s">
        <v>1075</v>
      </c>
      <c r="G1815" s="283">
        <v>2</v>
      </c>
      <c r="H1815" s="283">
        <v>0</v>
      </c>
      <c r="I1815" s="283">
        <v>1</v>
      </c>
      <c r="J1815" s="284">
        <v>0</v>
      </c>
    </row>
    <row r="1816" spans="3:10" x14ac:dyDescent="0.25">
      <c r="C1816" s="300" t="s">
        <v>1065</v>
      </c>
      <c r="D1816" s="283" t="s">
        <v>1077</v>
      </c>
      <c r="E1816" s="283" t="s">
        <v>1080</v>
      </c>
      <c r="F1816" s="283" t="s">
        <v>1089</v>
      </c>
      <c r="G1816" s="283">
        <v>2</v>
      </c>
      <c r="H1816" s="283">
        <v>0</v>
      </c>
      <c r="I1816" s="283">
        <v>0</v>
      </c>
      <c r="J1816" s="284">
        <v>0</v>
      </c>
    </row>
    <row r="1817" spans="3:10" x14ac:dyDescent="0.25">
      <c r="C1817" s="300" t="s">
        <v>1061</v>
      </c>
      <c r="D1817" s="283" t="s">
        <v>1079</v>
      </c>
      <c r="E1817" s="283" t="s">
        <v>1078</v>
      </c>
      <c r="F1817" s="283" t="s">
        <v>1075</v>
      </c>
      <c r="G1817" s="283">
        <v>2</v>
      </c>
      <c r="H1817" s="283">
        <v>0</v>
      </c>
      <c r="I1817" s="283">
        <v>0</v>
      </c>
      <c r="J1817" s="284">
        <v>0</v>
      </c>
    </row>
    <row r="1818" spans="3:10" x14ac:dyDescent="0.25">
      <c r="C1818" s="300" t="s">
        <v>1060</v>
      </c>
      <c r="D1818" s="283" t="s">
        <v>1079</v>
      </c>
      <c r="E1818" s="283" t="s">
        <v>1078</v>
      </c>
      <c r="F1818" s="283" t="s">
        <v>1076</v>
      </c>
      <c r="G1818" s="283">
        <v>2</v>
      </c>
      <c r="H1818" s="283">
        <v>0</v>
      </c>
      <c r="I1818" s="283">
        <v>0</v>
      </c>
      <c r="J1818" s="284">
        <v>0</v>
      </c>
    </row>
    <row r="1819" spans="3:10" x14ac:dyDescent="0.25">
      <c r="C1819" s="300" t="s">
        <v>1066</v>
      </c>
      <c r="D1819" s="283" t="s">
        <v>1077</v>
      </c>
      <c r="E1819" s="283" t="s">
        <v>1075</v>
      </c>
      <c r="F1819" s="283" t="s">
        <v>1075</v>
      </c>
      <c r="G1819" s="283">
        <v>2</v>
      </c>
      <c r="H1819" s="283">
        <v>0</v>
      </c>
      <c r="I1819" s="283">
        <v>0</v>
      </c>
      <c r="J1819" s="284">
        <v>0</v>
      </c>
    </row>
    <row r="1820" spans="3:10" x14ac:dyDescent="0.25">
      <c r="C1820" s="300" t="s">
        <v>1066</v>
      </c>
      <c r="D1820" s="283" t="s">
        <v>1079</v>
      </c>
      <c r="E1820" s="283" t="s">
        <v>1089</v>
      </c>
      <c r="F1820" s="283" t="s">
        <v>1084</v>
      </c>
      <c r="G1820" s="283">
        <v>2</v>
      </c>
      <c r="H1820" s="283">
        <v>0</v>
      </c>
      <c r="I1820" s="283">
        <v>0</v>
      </c>
      <c r="J1820" s="284">
        <v>0</v>
      </c>
    </row>
    <row r="1821" spans="3:10" x14ac:dyDescent="0.25">
      <c r="C1821" s="300" t="s">
        <v>1066</v>
      </c>
      <c r="D1821" s="283" t="s">
        <v>1074</v>
      </c>
      <c r="E1821" s="283" t="s">
        <v>1075</v>
      </c>
      <c r="F1821" s="283" t="s">
        <v>1075</v>
      </c>
      <c r="G1821" s="283">
        <v>2</v>
      </c>
      <c r="H1821" s="283">
        <v>0</v>
      </c>
      <c r="I1821" s="283">
        <v>0</v>
      </c>
      <c r="J1821" s="284">
        <v>0</v>
      </c>
    </row>
    <row r="1822" spans="3:10" x14ac:dyDescent="0.25">
      <c r="C1822" s="300" t="s">
        <v>1064</v>
      </c>
      <c r="D1822" s="283" t="s">
        <v>1079</v>
      </c>
      <c r="E1822" s="283" t="s">
        <v>1075</v>
      </c>
      <c r="F1822" s="283" t="s">
        <v>1078</v>
      </c>
      <c r="G1822" s="283">
        <v>2</v>
      </c>
      <c r="H1822" s="283">
        <v>0</v>
      </c>
      <c r="I1822" s="283">
        <v>0</v>
      </c>
      <c r="J1822" s="284">
        <v>0</v>
      </c>
    </row>
    <row r="1823" spans="3:10" x14ac:dyDescent="0.25">
      <c r="C1823" s="300" t="s">
        <v>1066</v>
      </c>
      <c r="D1823" s="283" t="s">
        <v>1079</v>
      </c>
      <c r="E1823" s="283" t="s">
        <v>1075</v>
      </c>
      <c r="F1823" s="283" t="s">
        <v>1076</v>
      </c>
      <c r="G1823" s="283">
        <v>2</v>
      </c>
      <c r="H1823" s="283">
        <v>0</v>
      </c>
      <c r="I1823" s="283">
        <v>0</v>
      </c>
      <c r="J1823" s="284">
        <v>0</v>
      </c>
    </row>
    <row r="1824" spans="3:10" x14ac:dyDescent="0.25">
      <c r="C1824" s="300" t="s">
        <v>1067</v>
      </c>
      <c r="D1824" s="283" t="s">
        <v>1079</v>
      </c>
      <c r="E1824" s="283" t="s">
        <v>1075</v>
      </c>
      <c r="F1824" s="283" t="s">
        <v>1076</v>
      </c>
      <c r="G1824" s="283">
        <v>3</v>
      </c>
      <c r="H1824" s="283">
        <v>0</v>
      </c>
      <c r="I1824" s="283">
        <v>1</v>
      </c>
      <c r="J1824" s="284">
        <v>0</v>
      </c>
    </row>
    <row r="1825" spans="3:10" x14ac:dyDescent="0.25">
      <c r="C1825" s="300" t="s">
        <v>1065</v>
      </c>
      <c r="D1825" s="283" t="s">
        <v>1043</v>
      </c>
      <c r="E1825" s="283" t="s">
        <v>1083</v>
      </c>
      <c r="F1825" s="283" t="s">
        <v>1092</v>
      </c>
      <c r="G1825" s="283">
        <v>2</v>
      </c>
      <c r="H1825" s="283">
        <v>0</v>
      </c>
      <c r="I1825" s="283">
        <v>1</v>
      </c>
      <c r="J1825" s="284">
        <v>0</v>
      </c>
    </row>
    <row r="1826" spans="3:10" x14ac:dyDescent="0.25">
      <c r="C1826" s="300" t="s">
        <v>1060</v>
      </c>
      <c r="D1826" s="283" t="s">
        <v>1090</v>
      </c>
      <c r="E1826" s="283" t="s">
        <v>1083</v>
      </c>
      <c r="F1826" s="283" t="s">
        <v>524</v>
      </c>
      <c r="G1826" s="283">
        <v>1</v>
      </c>
      <c r="H1826" s="283">
        <v>0</v>
      </c>
      <c r="I1826" s="283">
        <v>1</v>
      </c>
      <c r="J1826" s="284">
        <v>0</v>
      </c>
    </row>
    <row r="1827" spans="3:10" x14ac:dyDescent="0.25">
      <c r="C1827" s="300" t="s">
        <v>1065</v>
      </c>
      <c r="D1827" s="283" t="s">
        <v>1043</v>
      </c>
      <c r="E1827" s="283" t="s">
        <v>1044</v>
      </c>
      <c r="F1827" s="283" t="s">
        <v>1092</v>
      </c>
      <c r="G1827" s="283">
        <v>2</v>
      </c>
      <c r="H1827" s="283">
        <v>0</v>
      </c>
      <c r="I1827" s="283">
        <v>0</v>
      </c>
      <c r="J1827" s="284">
        <v>2</v>
      </c>
    </row>
    <row r="1828" spans="3:10" x14ac:dyDescent="0.25">
      <c r="C1828" s="300" t="s">
        <v>1068</v>
      </c>
      <c r="D1828" s="283" t="s">
        <v>1074</v>
      </c>
      <c r="E1828" s="283" t="s">
        <v>1075</v>
      </c>
      <c r="F1828" s="283" t="s">
        <v>1075</v>
      </c>
      <c r="G1828" s="283">
        <v>2</v>
      </c>
      <c r="H1828" s="283">
        <v>0</v>
      </c>
      <c r="I1828" s="283">
        <v>0</v>
      </c>
      <c r="J1828" s="284">
        <v>1</v>
      </c>
    </row>
    <row r="1829" spans="3:10" x14ac:dyDescent="0.25">
      <c r="C1829" s="300" t="s">
        <v>1068</v>
      </c>
      <c r="D1829" s="283" t="s">
        <v>1087</v>
      </c>
      <c r="E1829" s="283" t="s">
        <v>1075</v>
      </c>
      <c r="F1829" s="283" t="s">
        <v>524</v>
      </c>
      <c r="G1829" s="283">
        <v>1</v>
      </c>
      <c r="H1829" s="283">
        <v>0</v>
      </c>
      <c r="I1829" s="283">
        <v>0</v>
      </c>
      <c r="J1829" s="284">
        <v>0</v>
      </c>
    </row>
    <row r="1830" spans="3:10" x14ac:dyDescent="0.25">
      <c r="C1830" s="300" t="s">
        <v>1060</v>
      </c>
      <c r="D1830" s="283" t="s">
        <v>1043</v>
      </c>
      <c r="E1830" s="283" t="s">
        <v>1084</v>
      </c>
      <c r="F1830" s="283" t="s">
        <v>1092</v>
      </c>
      <c r="G1830" s="283">
        <v>2</v>
      </c>
      <c r="H1830" s="283">
        <v>0</v>
      </c>
      <c r="I1830" s="283">
        <v>0</v>
      </c>
      <c r="J1830" s="284">
        <v>1</v>
      </c>
    </row>
    <row r="1831" spans="3:10" x14ac:dyDescent="0.25">
      <c r="C1831" s="300" t="s">
        <v>1064</v>
      </c>
      <c r="D1831" s="283" t="s">
        <v>1043</v>
      </c>
      <c r="E1831" s="283" t="s">
        <v>1078</v>
      </c>
      <c r="F1831" s="283" t="s">
        <v>1092</v>
      </c>
      <c r="G1831" s="283">
        <v>2</v>
      </c>
      <c r="H1831" s="283">
        <v>0</v>
      </c>
      <c r="I1831" s="283">
        <v>1</v>
      </c>
      <c r="J1831" s="284">
        <v>0</v>
      </c>
    </row>
    <row r="1832" spans="3:10" x14ac:dyDescent="0.25">
      <c r="C1832" s="300" t="s">
        <v>1059</v>
      </c>
      <c r="D1832" s="283" t="s">
        <v>1079</v>
      </c>
      <c r="E1832" s="283" t="s">
        <v>1084</v>
      </c>
      <c r="F1832" s="283" t="s">
        <v>1078</v>
      </c>
      <c r="G1832" s="283">
        <v>2</v>
      </c>
      <c r="H1832" s="283">
        <v>0</v>
      </c>
      <c r="I1832" s="283">
        <v>0</v>
      </c>
      <c r="J1832" s="284">
        <v>0</v>
      </c>
    </row>
    <row r="1833" spans="3:10" x14ac:dyDescent="0.25">
      <c r="C1833" s="300" t="s">
        <v>1059</v>
      </c>
      <c r="D1833" s="283" t="s">
        <v>1077</v>
      </c>
      <c r="E1833" s="283" t="s">
        <v>1075</v>
      </c>
      <c r="F1833" s="283" t="s">
        <v>1084</v>
      </c>
      <c r="G1833" s="283">
        <v>2</v>
      </c>
      <c r="H1833" s="283">
        <v>0</v>
      </c>
      <c r="I1833" s="283">
        <v>1</v>
      </c>
      <c r="J1833" s="284">
        <v>0</v>
      </c>
    </row>
    <row r="1834" spans="3:10" x14ac:dyDescent="0.25">
      <c r="C1834" s="300" t="s">
        <v>1058</v>
      </c>
      <c r="D1834" s="283" t="s">
        <v>1087</v>
      </c>
      <c r="E1834" s="283" t="s">
        <v>1089</v>
      </c>
      <c r="F1834" s="283" t="s">
        <v>524</v>
      </c>
      <c r="G1834" s="283">
        <v>1</v>
      </c>
      <c r="H1834" s="283">
        <v>0</v>
      </c>
      <c r="I1834" s="283">
        <v>0</v>
      </c>
      <c r="J1834" s="284">
        <v>0</v>
      </c>
    </row>
    <row r="1835" spans="3:10" x14ac:dyDescent="0.25">
      <c r="C1835" s="300" t="s">
        <v>1065</v>
      </c>
      <c r="D1835" s="283" t="s">
        <v>1079</v>
      </c>
      <c r="E1835" s="283" t="s">
        <v>1086</v>
      </c>
      <c r="F1835" s="283" t="s">
        <v>1044</v>
      </c>
      <c r="G1835" s="283">
        <v>2</v>
      </c>
      <c r="H1835" s="283">
        <v>0</v>
      </c>
      <c r="I1835" s="283">
        <v>1</v>
      </c>
      <c r="J1835" s="284">
        <v>0</v>
      </c>
    </row>
    <row r="1836" spans="3:10" x14ac:dyDescent="0.25">
      <c r="C1836" s="300" t="s">
        <v>1057</v>
      </c>
      <c r="D1836" s="283" t="s">
        <v>1079</v>
      </c>
      <c r="E1836" s="283" t="s">
        <v>1075</v>
      </c>
      <c r="F1836" s="283" t="s">
        <v>1080</v>
      </c>
      <c r="G1836" s="283">
        <v>2</v>
      </c>
      <c r="H1836" s="283">
        <v>0</v>
      </c>
      <c r="I1836" s="283">
        <v>0</v>
      </c>
      <c r="J1836" s="284">
        <v>0</v>
      </c>
    </row>
    <row r="1837" spans="3:10" x14ac:dyDescent="0.25">
      <c r="C1837" s="300" t="s">
        <v>1065</v>
      </c>
      <c r="D1837" s="283" t="s">
        <v>1074</v>
      </c>
      <c r="E1837" s="283" t="s">
        <v>1076</v>
      </c>
      <c r="F1837" s="283" t="s">
        <v>1083</v>
      </c>
      <c r="G1837" s="283">
        <v>2</v>
      </c>
      <c r="H1837" s="283">
        <v>0</v>
      </c>
      <c r="I1837" s="283">
        <v>0</v>
      </c>
      <c r="J1837" s="284">
        <v>0</v>
      </c>
    </row>
    <row r="1838" spans="3:10" x14ac:dyDescent="0.25">
      <c r="C1838" s="300" t="s">
        <v>1062</v>
      </c>
      <c r="D1838" s="283" t="s">
        <v>1079</v>
      </c>
      <c r="E1838" s="283" t="s">
        <v>1084</v>
      </c>
      <c r="F1838" s="283" t="s">
        <v>1075</v>
      </c>
      <c r="G1838" s="283">
        <v>5</v>
      </c>
      <c r="H1838" s="283">
        <v>0</v>
      </c>
      <c r="I1838" s="283">
        <v>0</v>
      </c>
      <c r="J1838" s="284">
        <v>0</v>
      </c>
    </row>
    <row r="1839" spans="3:10" x14ac:dyDescent="0.25">
      <c r="C1839" s="300" t="s">
        <v>1065</v>
      </c>
      <c r="D1839" s="283" t="s">
        <v>1079</v>
      </c>
      <c r="E1839" s="283" t="s">
        <v>1075</v>
      </c>
      <c r="F1839" s="283" t="s">
        <v>1089</v>
      </c>
      <c r="G1839" s="283">
        <v>2</v>
      </c>
      <c r="H1839" s="283">
        <v>0</v>
      </c>
      <c r="I1839" s="283">
        <v>0</v>
      </c>
      <c r="J1839" s="284">
        <v>0</v>
      </c>
    </row>
    <row r="1840" spans="3:10" x14ac:dyDescent="0.25">
      <c r="C1840" s="300" t="s">
        <v>1065</v>
      </c>
      <c r="D1840" s="283" t="s">
        <v>1077</v>
      </c>
      <c r="E1840" s="283" t="s">
        <v>1081</v>
      </c>
      <c r="F1840" s="283" t="s">
        <v>1075</v>
      </c>
      <c r="G1840" s="283">
        <v>2</v>
      </c>
      <c r="H1840" s="283">
        <v>0</v>
      </c>
      <c r="I1840" s="283">
        <v>0</v>
      </c>
      <c r="J1840" s="284">
        <v>0</v>
      </c>
    </row>
    <row r="1841" spans="3:10" x14ac:dyDescent="0.25">
      <c r="C1841" s="300" t="s">
        <v>1065</v>
      </c>
      <c r="D1841" s="283" t="s">
        <v>1087</v>
      </c>
      <c r="E1841" s="283" t="s">
        <v>1078</v>
      </c>
      <c r="F1841" s="283" t="s">
        <v>524</v>
      </c>
      <c r="G1841" s="283">
        <v>1</v>
      </c>
      <c r="H1841" s="283">
        <v>0</v>
      </c>
      <c r="I1841" s="283">
        <v>0</v>
      </c>
      <c r="J1841" s="284">
        <v>0</v>
      </c>
    </row>
    <row r="1842" spans="3:10" x14ac:dyDescent="0.25">
      <c r="C1842" s="300" t="s">
        <v>1068</v>
      </c>
      <c r="D1842" s="283" t="s">
        <v>1087</v>
      </c>
      <c r="E1842" s="283" t="s">
        <v>1076</v>
      </c>
      <c r="F1842" s="283" t="s">
        <v>524</v>
      </c>
      <c r="G1842" s="283">
        <v>1</v>
      </c>
      <c r="H1842" s="283">
        <v>0</v>
      </c>
      <c r="I1842" s="283">
        <v>0</v>
      </c>
      <c r="J1842" s="284">
        <v>0</v>
      </c>
    </row>
    <row r="1843" spans="3:10" x14ac:dyDescent="0.25">
      <c r="C1843" s="300" t="s">
        <v>1061</v>
      </c>
      <c r="D1843" s="283" t="s">
        <v>1079</v>
      </c>
      <c r="E1843" s="283" t="s">
        <v>1075</v>
      </c>
      <c r="F1843" s="283" t="s">
        <v>1075</v>
      </c>
      <c r="G1843" s="283">
        <v>2</v>
      </c>
      <c r="H1843" s="283">
        <v>0</v>
      </c>
      <c r="I1843" s="283">
        <v>0</v>
      </c>
      <c r="J1843" s="284">
        <v>0</v>
      </c>
    </row>
    <row r="1844" spans="3:10" x14ac:dyDescent="0.25">
      <c r="C1844" s="300" t="s">
        <v>1066</v>
      </c>
      <c r="D1844" s="283" t="s">
        <v>1077</v>
      </c>
      <c r="E1844" s="283" t="s">
        <v>1075</v>
      </c>
      <c r="F1844" s="283" t="s">
        <v>1076</v>
      </c>
      <c r="G1844" s="283">
        <v>2</v>
      </c>
      <c r="H1844" s="283">
        <v>0</v>
      </c>
      <c r="I1844" s="283">
        <v>0</v>
      </c>
      <c r="J1844" s="284">
        <v>0</v>
      </c>
    </row>
    <row r="1845" spans="3:10" x14ac:dyDescent="0.25">
      <c r="C1845" s="300" t="s">
        <v>1065</v>
      </c>
      <c r="D1845" s="283" t="s">
        <v>1077</v>
      </c>
      <c r="E1845" s="283" t="s">
        <v>1076</v>
      </c>
      <c r="F1845" s="283" t="s">
        <v>1075</v>
      </c>
      <c r="G1845" s="283">
        <v>2</v>
      </c>
      <c r="H1845" s="283">
        <v>0</v>
      </c>
      <c r="I1845" s="283">
        <v>0</v>
      </c>
      <c r="J1845" s="284">
        <v>0</v>
      </c>
    </row>
    <row r="1846" spans="3:10" x14ac:dyDescent="0.25">
      <c r="C1846" s="300" t="s">
        <v>1068</v>
      </c>
      <c r="D1846" s="283" t="s">
        <v>1087</v>
      </c>
      <c r="E1846" s="283" t="s">
        <v>1076</v>
      </c>
      <c r="F1846" s="283" t="s">
        <v>524</v>
      </c>
      <c r="G1846" s="283">
        <v>1</v>
      </c>
      <c r="H1846" s="283">
        <v>0</v>
      </c>
      <c r="I1846" s="283">
        <v>0</v>
      </c>
      <c r="J1846" s="284">
        <v>0</v>
      </c>
    </row>
    <row r="1847" spans="3:10" x14ac:dyDescent="0.25">
      <c r="C1847" s="300" t="s">
        <v>1063</v>
      </c>
      <c r="D1847" s="283" t="s">
        <v>1090</v>
      </c>
      <c r="E1847" s="283" t="s">
        <v>1093</v>
      </c>
      <c r="F1847" s="283" t="s">
        <v>524</v>
      </c>
      <c r="G1847" s="283">
        <v>1</v>
      </c>
      <c r="H1847" s="283">
        <v>0</v>
      </c>
      <c r="I1847" s="283">
        <v>0</v>
      </c>
      <c r="J1847" s="284">
        <v>0</v>
      </c>
    </row>
    <row r="1848" spans="3:10" x14ac:dyDescent="0.25">
      <c r="C1848" s="300" t="s">
        <v>1065</v>
      </c>
      <c r="D1848" s="283" t="s">
        <v>1079</v>
      </c>
      <c r="E1848" s="283" t="s">
        <v>1075</v>
      </c>
      <c r="F1848" s="283" t="s">
        <v>1075</v>
      </c>
      <c r="G1848" s="283">
        <v>3</v>
      </c>
      <c r="H1848" s="283">
        <v>0</v>
      </c>
      <c r="I1848" s="283">
        <v>0</v>
      </c>
      <c r="J1848" s="284">
        <v>0</v>
      </c>
    </row>
    <row r="1849" spans="3:10" x14ac:dyDescent="0.25">
      <c r="C1849" s="300" t="s">
        <v>1061</v>
      </c>
      <c r="D1849" s="283" t="s">
        <v>1077</v>
      </c>
      <c r="E1849" s="283" t="s">
        <v>1089</v>
      </c>
      <c r="F1849" s="283" t="s">
        <v>1044</v>
      </c>
      <c r="G1849" s="283">
        <v>2</v>
      </c>
      <c r="H1849" s="283">
        <v>0</v>
      </c>
      <c r="I1849" s="283">
        <v>0</v>
      </c>
      <c r="J1849" s="284">
        <v>0</v>
      </c>
    </row>
    <row r="1850" spans="3:10" x14ac:dyDescent="0.25">
      <c r="C1850" s="300" t="s">
        <v>1064</v>
      </c>
      <c r="D1850" s="283" t="s">
        <v>1077</v>
      </c>
      <c r="E1850" s="283" t="s">
        <v>1089</v>
      </c>
      <c r="F1850" s="283" t="s">
        <v>1089</v>
      </c>
      <c r="G1850" s="283">
        <v>2</v>
      </c>
      <c r="H1850" s="283">
        <v>0</v>
      </c>
      <c r="I1850" s="283">
        <v>0</v>
      </c>
      <c r="J1850" s="284">
        <v>0</v>
      </c>
    </row>
    <row r="1851" spans="3:10" x14ac:dyDescent="0.25">
      <c r="C1851" s="300" t="s">
        <v>1064</v>
      </c>
      <c r="D1851" s="283" t="s">
        <v>1077</v>
      </c>
      <c r="E1851" s="283" t="s">
        <v>1075</v>
      </c>
      <c r="F1851" s="283" t="s">
        <v>1084</v>
      </c>
      <c r="G1851" s="283">
        <v>2</v>
      </c>
      <c r="H1851" s="283">
        <v>0</v>
      </c>
      <c r="I1851" s="283">
        <v>0</v>
      </c>
      <c r="J1851" s="284">
        <v>0</v>
      </c>
    </row>
    <row r="1852" spans="3:10" x14ac:dyDescent="0.25">
      <c r="C1852" s="300" t="s">
        <v>1065</v>
      </c>
      <c r="D1852" s="283" t="s">
        <v>1087</v>
      </c>
      <c r="E1852" s="283" t="s">
        <v>1075</v>
      </c>
      <c r="F1852" s="283" t="s">
        <v>524</v>
      </c>
      <c r="G1852" s="283">
        <v>1</v>
      </c>
      <c r="H1852" s="283">
        <v>0</v>
      </c>
      <c r="I1852" s="283">
        <v>0</v>
      </c>
      <c r="J1852" s="284">
        <v>0</v>
      </c>
    </row>
    <row r="1853" spans="3:10" x14ac:dyDescent="0.25">
      <c r="C1853" s="300" t="s">
        <v>1067</v>
      </c>
      <c r="D1853" s="283" t="s">
        <v>1087</v>
      </c>
      <c r="E1853" s="283" t="s">
        <v>1094</v>
      </c>
      <c r="F1853" s="283" t="s">
        <v>524</v>
      </c>
      <c r="G1853" s="283">
        <v>1</v>
      </c>
      <c r="H1853" s="283">
        <v>0</v>
      </c>
      <c r="I1853" s="283">
        <v>0</v>
      </c>
      <c r="J1853" s="284">
        <v>0</v>
      </c>
    </row>
    <row r="1854" spans="3:10" x14ac:dyDescent="0.25">
      <c r="C1854" s="300" t="s">
        <v>1061</v>
      </c>
      <c r="D1854" s="283" t="s">
        <v>1077</v>
      </c>
      <c r="E1854" s="283" t="s">
        <v>1076</v>
      </c>
      <c r="F1854" s="283" t="s">
        <v>1089</v>
      </c>
      <c r="G1854" s="283">
        <v>3</v>
      </c>
      <c r="H1854" s="283">
        <v>0</v>
      </c>
      <c r="I1854" s="283">
        <v>0</v>
      </c>
      <c r="J1854" s="284">
        <v>0</v>
      </c>
    </row>
    <row r="1855" spans="3:10" x14ac:dyDescent="0.25">
      <c r="C1855" s="300" t="s">
        <v>1064</v>
      </c>
      <c r="D1855" s="283" t="s">
        <v>1077</v>
      </c>
      <c r="E1855" s="283" t="s">
        <v>1076</v>
      </c>
      <c r="F1855" s="283" t="s">
        <v>1078</v>
      </c>
      <c r="G1855" s="283">
        <v>3</v>
      </c>
      <c r="H1855" s="283">
        <v>0</v>
      </c>
      <c r="I1855" s="283">
        <v>0</v>
      </c>
      <c r="J1855" s="284">
        <v>0</v>
      </c>
    </row>
    <row r="1856" spans="3:10" x14ac:dyDescent="0.25">
      <c r="C1856" s="300" t="s">
        <v>1062</v>
      </c>
      <c r="D1856" s="283" t="s">
        <v>1079</v>
      </c>
      <c r="E1856" s="283" t="s">
        <v>1075</v>
      </c>
      <c r="F1856" s="283" t="s">
        <v>1076</v>
      </c>
      <c r="G1856" s="283">
        <v>2</v>
      </c>
      <c r="H1856" s="283">
        <v>0</v>
      </c>
      <c r="I1856" s="283">
        <v>0</v>
      </c>
      <c r="J1856" s="284">
        <v>0</v>
      </c>
    </row>
    <row r="1857" spans="3:10" x14ac:dyDescent="0.25">
      <c r="C1857" s="300" t="s">
        <v>1061</v>
      </c>
      <c r="D1857" s="283" t="s">
        <v>1079</v>
      </c>
      <c r="E1857" s="283" t="s">
        <v>1075</v>
      </c>
      <c r="F1857" s="283" t="s">
        <v>1075</v>
      </c>
      <c r="G1857" s="283">
        <v>2</v>
      </c>
      <c r="H1857" s="283">
        <v>0</v>
      </c>
      <c r="I1857" s="283">
        <v>0</v>
      </c>
      <c r="J1857" s="284">
        <v>0</v>
      </c>
    </row>
    <row r="1858" spans="3:10" x14ac:dyDescent="0.25">
      <c r="C1858" s="300" t="s">
        <v>1060</v>
      </c>
      <c r="D1858" s="283" t="s">
        <v>1074</v>
      </c>
      <c r="E1858" s="283" t="s">
        <v>1076</v>
      </c>
      <c r="F1858" s="283" t="s">
        <v>1076</v>
      </c>
      <c r="G1858" s="283">
        <v>2</v>
      </c>
      <c r="H1858" s="283">
        <v>0</v>
      </c>
      <c r="I1858" s="283">
        <v>0</v>
      </c>
      <c r="J1858" s="284">
        <v>0</v>
      </c>
    </row>
    <row r="1859" spans="3:10" x14ac:dyDescent="0.25">
      <c r="C1859" s="300" t="s">
        <v>1067</v>
      </c>
      <c r="D1859" s="283" t="s">
        <v>1074</v>
      </c>
      <c r="E1859" s="283" t="s">
        <v>1078</v>
      </c>
      <c r="F1859" s="283" t="s">
        <v>1075</v>
      </c>
      <c r="G1859" s="283">
        <v>2</v>
      </c>
      <c r="H1859" s="283">
        <v>0</v>
      </c>
      <c r="I1859" s="283">
        <v>0</v>
      </c>
      <c r="J1859" s="284">
        <v>0</v>
      </c>
    </row>
    <row r="1860" spans="3:10" x14ac:dyDescent="0.25">
      <c r="C1860" s="300" t="s">
        <v>1064</v>
      </c>
      <c r="D1860" s="283" t="s">
        <v>1043</v>
      </c>
      <c r="E1860" s="283" t="s">
        <v>1089</v>
      </c>
      <c r="F1860" s="283" t="s">
        <v>1092</v>
      </c>
      <c r="G1860" s="283">
        <v>2</v>
      </c>
      <c r="H1860" s="283">
        <v>0</v>
      </c>
      <c r="I1860" s="283">
        <v>0</v>
      </c>
      <c r="J1860" s="284">
        <v>1</v>
      </c>
    </row>
    <row r="1861" spans="3:10" x14ac:dyDescent="0.25">
      <c r="C1861" s="300" t="s">
        <v>1060</v>
      </c>
      <c r="D1861" s="283" t="s">
        <v>1077</v>
      </c>
      <c r="E1861" s="283" t="s">
        <v>1075</v>
      </c>
      <c r="F1861" s="283" t="s">
        <v>1075</v>
      </c>
      <c r="G1861" s="283">
        <v>5</v>
      </c>
      <c r="H1861" s="283">
        <v>0</v>
      </c>
      <c r="I1861" s="283">
        <v>1</v>
      </c>
      <c r="J1861" s="284">
        <v>0</v>
      </c>
    </row>
    <row r="1862" spans="3:10" x14ac:dyDescent="0.25">
      <c r="C1862" s="300" t="s">
        <v>1059</v>
      </c>
      <c r="D1862" s="283" t="s">
        <v>1087</v>
      </c>
      <c r="E1862" s="283" t="s">
        <v>1075</v>
      </c>
      <c r="F1862" s="283" t="s">
        <v>524</v>
      </c>
      <c r="G1862" s="283">
        <v>1</v>
      </c>
      <c r="H1862" s="283">
        <v>0</v>
      </c>
      <c r="I1862" s="283">
        <v>0</v>
      </c>
      <c r="J1862" s="284">
        <v>1</v>
      </c>
    </row>
    <row r="1863" spans="3:10" x14ac:dyDescent="0.25">
      <c r="C1863" s="300" t="s">
        <v>1067</v>
      </c>
      <c r="D1863" s="283" t="s">
        <v>1079</v>
      </c>
      <c r="E1863" s="283" t="s">
        <v>1075</v>
      </c>
      <c r="F1863" s="283" t="s">
        <v>1078</v>
      </c>
      <c r="G1863" s="283">
        <v>4</v>
      </c>
      <c r="H1863" s="283">
        <v>0</v>
      </c>
      <c r="I1863" s="283">
        <v>0</v>
      </c>
      <c r="J1863" s="284">
        <v>0</v>
      </c>
    </row>
    <row r="1864" spans="3:10" x14ac:dyDescent="0.25">
      <c r="C1864" s="300" t="s">
        <v>1066</v>
      </c>
      <c r="D1864" s="283" t="s">
        <v>1079</v>
      </c>
      <c r="E1864" s="283" t="s">
        <v>1089</v>
      </c>
      <c r="F1864" s="283" t="s">
        <v>1075</v>
      </c>
      <c r="G1864" s="283">
        <v>2</v>
      </c>
      <c r="H1864" s="283">
        <v>0</v>
      </c>
      <c r="I1864" s="283">
        <v>0</v>
      </c>
      <c r="J1864" s="284">
        <v>0</v>
      </c>
    </row>
    <row r="1865" spans="3:10" x14ac:dyDescent="0.25">
      <c r="C1865" s="300" t="s">
        <v>1060</v>
      </c>
      <c r="D1865" s="283" t="s">
        <v>1079</v>
      </c>
      <c r="E1865" s="283" t="s">
        <v>1078</v>
      </c>
      <c r="F1865" s="283" t="s">
        <v>1084</v>
      </c>
      <c r="G1865" s="283">
        <v>2</v>
      </c>
      <c r="H1865" s="283">
        <v>0</v>
      </c>
      <c r="I1865" s="283">
        <v>0</v>
      </c>
      <c r="J1865" s="284">
        <v>0</v>
      </c>
    </row>
    <row r="1866" spans="3:10" x14ac:dyDescent="0.25">
      <c r="C1866" s="300" t="s">
        <v>1058</v>
      </c>
      <c r="D1866" s="283" t="s">
        <v>1087</v>
      </c>
      <c r="E1866" s="283" t="s">
        <v>1075</v>
      </c>
      <c r="F1866" s="283" t="s">
        <v>524</v>
      </c>
      <c r="G1866" s="283">
        <v>1</v>
      </c>
      <c r="H1866" s="283">
        <v>0</v>
      </c>
      <c r="I1866" s="283">
        <v>0</v>
      </c>
      <c r="J1866" s="284">
        <v>0</v>
      </c>
    </row>
    <row r="1867" spans="3:10" x14ac:dyDescent="0.25">
      <c r="C1867" s="300" t="s">
        <v>1062</v>
      </c>
      <c r="D1867" s="283" t="s">
        <v>1087</v>
      </c>
      <c r="E1867" s="283" t="s">
        <v>1075</v>
      </c>
      <c r="F1867" s="283" t="s">
        <v>524</v>
      </c>
      <c r="G1867" s="283">
        <v>1</v>
      </c>
      <c r="H1867" s="283">
        <v>0</v>
      </c>
      <c r="I1867" s="283">
        <v>1</v>
      </c>
      <c r="J1867" s="284">
        <v>0</v>
      </c>
    </row>
    <row r="1868" spans="3:10" x14ac:dyDescent="0.25">
      <c r="C1868" s="300" t="s">
        <v>1060</v>
      </c>
      <c r="D1868" s="283" t="s">
        <v>1043</v>
      </c>
      <c r="E1868" s="283" t="s">
        <v>1075</v>
      </c>
      <c r="F1868" s="283" t="s">
        <v>1092</v>
      </c>
      <c r="G1868" s="283">
        <v>2</v>
      </c>
      <c r="H1868" s="283">
        <v>0</v>
      </c>
      <c r="I1868" s="283">
        <v>0</v>
      </c>
      <c r="J1868" s="284">
        <v>1</v>
      </c>
    </row>
    <row r="1869" spans="3:10" x14ac:dyDescent="0.25">
      <c r="C1869" s="300" t="s">
        <v>1064</v>
      </c>
      <c r="D1869" s="283" t="s">
        <v>1079</v>
      </c>
      <c r="E1869" s="283" t="s">
        <v>1075</v>
      </c>
      <c r="F1869" s="283" t="s">
        <v>1075</v>
      </c>
      <c r="G1869" s="283">
        <v>2</v>
      </c>
      <c r="H1869" s="283">
        <v>0</v>
      </c>
      <c r="I1869" s="283">
        <v>1</v>
      </c>
      <c r="J1869" s="284">
        <v>0</v>
      </c>
    </row>
    <row r="1870" spans="3:10" x14ac:dyDescent="0.25">
      <c r="C1870" s="300" t="s">
        <v>1063</v>
      </c>
      <c r="D1870" s="283" t="s">
        <v>1074</v>
      </c>
      <c r="E1870" s="283" t="s">
        <v>1075</v>
      </c>
      <c r="F1870" s="283" t="s">
        <v>1083</v>
      </c>
      <c r="G1870" s="283">
        <v>2</v>
      </c>
      <c r="H1870" s="283">
        <v>0</v>
      </c>
      <c r="I1870" s="283">
        <v>0</v>
      </c>
      <c r="J1870" s="284">
        <v>1</v>
      </c>
    </row>
    <row r="1871" spans="3:10" x14ac:dyDescent="0.25">
      <c r="C1871" s="300" t="s">
        <v>1059</v>
      </c>
      <c r="D1871" s="283" t="s">
        <v>1087</v>
      </c>
      <c r="E1871" s="283" t="s">
        <v>1075</v>
      </c>
      <c r="F1871" s="283" t="s">
        <v>524</v>
      </c>
      <c r="G1871" s="283">
        <v>1</v>
      </c>
      <c r="H1871" s="283">
        <v>0</v>
      </c>
      <c r="I1871" s="283">
        <v>0</v>
      </c>
      <c r="J1871" s="284">
        <v>0</v>
      </c>
    </row>
    <row r="1872" spans="3:10" x14ac:dyDescent="0.25">
      <c r="C1872" s="300" t="s">
        <v>1068</v>
      </c>
      <c r="D1872" s="283" t="s">
        <v>1087</v>
      </c>
      <c r="E1872" s="283" t="s">
        <v>1075</v>
      </c>
      <c r="F1872" s="283" t="s">
        <v>524</v>
      </c>
      <c r="G1872" s="283">
        <v>1</v>
      </c>
      <c r="H1872" s="283">
        <v>0</v>
      </c>
      <c r="I1872" s="283">
        <v>0</v>
      </c>
      <c r="J1872" s="284">
        <v>0</v>
      </c>
    </row>
    <row r="1873" spans="3:10" x14ac:dyDescent="0.25">
      <c r="C1873" s="300" t="s">
        <v>1064</v>
      </c>
      <c r="D1873" s="283" t="s">
        <v>1079</v>
      </c>
      <c r="E1873" s="283" t="s">
        <v>1089</v>
      </c>
      <c r="F1873" s="283" t="s">
        <v>1044</v>
      </c>
      <c r="G1873" s="283">
        <v>2</v>
      </c>
      <c r="H1873" s="283">
        <v>0</v>
      </c>
      <c r="I1873" s="283">
        <v>0</v>
      </c>
      <c r="J1873" s="284">
        <v>1</v>
      </c>
    </row>
    <row r="1874" spans="3:10" x14ac:dyDescent="0.25">
      <c r="C1874" s="300" t="s">
        <v>1065</v>
      </c>
      <c r="D1874" s="283" t="s">
        <v>1077</v>
      </c>
      <c r="E1874" s="283" t="s">
        <v>1075</v>
      </c>
      <c r="F1874" s="283" t="s">
        <v>1078</v>
      </c>
      <c r="G1874" s="283">
        <v>3</v>
      </c>
      <c r="H1874" s="283">
        <v>0</v>
      </c>
      <c r="I1874" s="283">
        <v>0</v>
      </c>
      <c r="J1874" s="284">
        <v>1</v>
      </c>
    </row>
    <row r="1875" spans="3:10" x14ac:dyDescent="0.25">
      <c r="C1875" s="300" t="s">
        <v>1061</v>
      </c>
      <c r="D1875" s="283" t="s">
        <v>1079</v>
      </c>
      <c r="E1875" s="283" t="s">
        <v>1080</v>
      </c>
      <c r="F1875" s="283" t="s">
        <v>1075</v>
      </c>
      <c r="G1875" s="283">
        <v>2</v>
      </c>
      <c r="H1875" s="283">
        <v>0</v>
      </c>
      <c r="I1875" s="283">
        <v>0</v>
      </c>
      <c r="J1875" s="284">
        <v>0</v>
      </c>
    </row>
    <row r="1876" spans="3:10" x14ac:dyDescent="0.25">
      <c r="C1876" s="300" t="s">
        <v>1065</v>
      </c>
      <c r="D1876" s="283" t="s">
        <v>1043</v>
      </c>
      <c r="E1876" s="283" t="s">
        <v>1075</v>
      </c>
      <c r="F1876" s="283" t="s">
        <v>1092</v>
      </c>
      <c r="G1876" s="283">
        <v>2</v>
      </c>
      <c r="H1876" s="283">
        <v>0</v>
      </c>
      <c r="I1876" s="283">
        <v>2</v>
      </c>
      <c r="J1876" s="284">
        <v>0</v>
      </c>
    </row>
    <row r="1877" spans="3:10" x14ac:dyDescent="0.25">
      <c r="C1877" s="300" t="s">
        <v>1065</v>
      </c>
      <c r="D1877" s="283" t="s">
        <v>1079</v>
      </c>
      <c r="E1877" s="283" t="s">
        <v>1089</v>
      </c>
      <c r="F1877" s="283" t="s">
        <v>1075</v>
      </c>
      <c r="G1877" s="283">
        <v>2</v>
      </c>
      <c r="H1877" s="283">
        <v>0</v>
      </c>
      <c r="I1877" s="283">
        <v>0</v>
      </c>
      <c r="J1877" s="284">
        <v>0</v>
      </c>
    </row>
    <row r="1878" spans="3:10" x14ac:dyDescent="0.25">
      <c r="C1878" s="300" t="s">
        <v>1062</v>
      </c>
      <c r="D1878" s="283" t="s">
        <v>1082</v>
      </c>
      <c r="E1878" s="283" t="s">
        <v>1075</v>
      </c>
      <c r="F1878" s="283" t="s">
        <v>1075</v>
      </c>
      <c r="G1878" s="283">
        <v>2</v>
      </c>
      <c r="H1878" s="283">
        <v>0</v>
      </c>
      <c r="I1878" s="283">
        <v>0</v>
      </c>
      <c r="J1878" s="284">
        <v>0</v>
      </c>
    </row>
    <row r="1879" spans="3:10" x14ac:dyDescent="0.25">
      <c r="C1879" s="300" t="s">
        <v>1063</v>
      </c>
      <c r="D1879" s="283" t="s">
        <v>1077</v>
      </c>
      <c r="E1879" s="283" t="s">
        <v>1076</v>
      </c>
      <c r="F1879" s="283" t="s">
        <v>1075</v>
      </c>
      <c r="G1879" s="283">
        <v>3</v>
      </c>
      <c r="H1879" s="283">
        <v>0</v>
      </c>
      <c r="I1879" s="283">
        <v>0</v>
      </c>
      <c r="J1879" s="284">
        <v>0</v>
      </c>
    </row>
    <row r="1880" spans="3:10" x14ac:dyDescent="0.25">
      <c r="C1880" s="300" t="s">
        <v>1066</v>
      </c>
      <c r="D1880" s="283" t="s">
        <v>1079</v>
      </c>
      <c r="E1880" s="283" t="s">
        <v>1089</v>
      </c>
      <c r="F1880" s="283" t="s">
        <v>1083</v>
      </c>
      <c r="G1880" s="283">
        <v>2</v>
      </c>
      <c r="H1880" s="283">
        <v>0</v>
      </c>
      <c r="I1880" s="283">
        <v>0</v>
      </c>
      <c r="J1880" s="284">
        <v>1</v>
      </c>
    </row>
    <row r="1881" spans="3:10" x14ac:dyDescent="0.25">
      <c r="C1881" s="300" t="s">
        <v>1064</v>
      </c>
      <c r="D1881" s="283" t="s">
        <v>1074</v>
      </c>
      <c r="E1881" s="283" t="s">
        <v>1075</v>
      </c>
      <c r="F1881" s="283" t="s">
        <v>1075</v>
      </c>
      <c r="G1881" s="283">
        <v>3</v>
      </c>
      <c r="H1881" s="283">
        <v>0</v>
      </c>
      <c r="I1881" s="283">
        <v>0</v>
      </c>
      <c r="J1881" s="284">
        <v>0</v>
      </c>
    </row>
    <row r="1882" spans="3:10" x14ac:dyDescent="0.25">
      <c r="C1882" s="300" t="s">
        <v>1067</v>
      </c>
      <c r="D1882" s="283" t="s">
        <v>1079</v>
      </c>
      <c r="E1882" s="283" t="s">
        <v>1078</v>
      </c>
      <c r="F1882" s="283" t="s">
        <v>1075</v>
      </c>
      <c r="G1882" s="283">
        <v>2</v>
      </c>
      <c r="H1882" s="283">
        <v>0</v>
      </c>
      <c r="I1882" s="283">
        <v>0</v>
      </c>
      <c r="J1882" s="284">
        <v>0</v>
      </c>
    </row>
    <row r="1883" spans="3:10" x14ac:dyDescent="0.25">
      <c r="C1883" s="300" t="s">
        <v>1064</v>
      </c>
      <c r="D1883" s="283" t="s">
        <v>1077</v>
      </c>
      <c r="E1883" s="283" t="s">
        <v>1075</v>
      </c>
      <c r="F1883" s="283" t="s">
        <v>1075</v>
      </c>
      <c r="G1883" s="283">
        <v>2</v>
      </c>
      <c r="H1883" s="283">
        <v>0</v>
      </c>
      <c r="I1883" s="283">
        <v>0</v>
      </c>
      <c r="J1883" s="284">
        <v>1</v>
      </c>
    </row>
    <row r="1884" spans="3:10" x14ac:dyDescent="0.25">
      <c r="C1884" s="300" t="s">
        <v>1065</v>
      </c>
      <c r="D1884" s="283" t="s">
        <v>1077</v>
      </c>
      <c r="E1884" s="283" t="s">
        <v>1089</v>
      </c>
      <c r="F1884" s="283" t="s">
        <v>1075</v>
      </c>
      <c r="G1884" s="283">
        <v>2</v>
      </c>
      <c r="H1884" s="283">
        <v>0</v>
      </c>
      <c r="I1884" s="283">
        <v>0</v>
      </c>
      <c r="J1884" s="284">
        <v>0</v>
      </c>
    </row>
    <row r="1885" spans="3:10" x14ac:dyDescent="0.25">
      <c r="C1885" s="300" t="s">
        <v>1065</v>
      </c>
      <c r="D1885" s="283" t="s">
        <v>1077</v>
      </c>
      <c r="E1885" s="283" t="s">
        <v>1075</v>
      </c>
      <c r="F1885" s="283" t="s">
        <v>1089</v>
      </c>
      <c r="G1885" s="283">
        <v>3</v>
      </c>
      <c r="H1885" s="283">
        <v>0</v>
      </c>
      <c r="I1885" s="283">
        <v>0</v>
      </c>
      <c r="J1885" s="284">
        <v>0</v>
      </c>
    </row>
    <row r="1886" spans="3:10" x14ac:dyDescent="0.25">
      <c r="C1886" s="300" t="s">
        <v>1064</v>
      </c>
      <c r="D1886" s="283" t="s">
        <v>1079</v>
      </c>
      <c r="E1886" s="283" t="s">
        <v>1089</v>
      </c>
      <c r="F1886" s="283" t="s">
        <v>1075</v>
      </c>
      <c r="G1886" s="283">
        <v>2</v>
      </c>
      <c r="H1886" s="283">
        <v>0</v>
      </c>
      <c r="I1886" s="283">
        <v>0</v>
      </c>
      <c r="J1886" s="284">
        <v>0</v>
      </c>
    </row>
    <row r="1887" spans="3:10" x14ac:dyDescent="0.25">
      <c r="C1887" s="300" t="s">
        <v>1067</v>
      </c>
      <c r="D1887" s="283" t="s">
        <v>1079</v>
      </c>
      <c r="E1887" s="283" t="s">
        <v>1075</v>
      </c>
      <c r="F1887" s="283" t="s">
        <v>1075</v>
      </c>
      <c r="G1887" s="283">
        <v>2</v>
      </c>
      <c r="H1887" s="283">
        <v>0</v>
      </c>
      <c r="I1887" s="283">
        <v>0</v>
      </c>
      <c r="J1887" s="284">
        <v>0</v>
      </c>
    </row>
    <row r="1888" spans="3:10" x14ac:dyDescent="0.25">
      <c r="C1888" s="300" t="s">
        <v>1062</v>
      </c>
      <c r="D1888" s="283" t="s">
        <v>1087</v>
      </c>
      <c r="E1888" s="283" t="s">
        <v>1076</v>
      </c>
      <c r="F1888" s="283" t="s">
        <v>524</v>
      </c>
      <c r="G1888" s="283">
        <v>1</v>
      </c>
      <c r="H1888" s="283">
        <v>0</v>
      </c>
      <c r="I1888" s="283">
        <v>0</v>
      </c>
      <c r="J1888" s="284">
        <v>0</v>
      </c>
    </row>
    <row r="1889" spans="3:10" x14ac:dyDescent="0.25">
      <c r="C1889" s="300" t="s">
        <v>1065</v>
      </c>
      <c r="D1889" s="283" t="s">
        <v>1077</v>
      </c>
      <c r="E1889" s="283" t="s">
        <v>1075</v>
      </c>
      <c r="F1889" s="283" t="s">
        <v>1075</v>
      </c>
      <c r="G1889" s="283">
        <v>2</v>
      </c>
      <c r="H1889" s="283">
        <v>0</v>
      </c>
      <c r="I1889" s="283">
        <v>0</v>
      </c>
      <c r="J1889" s="284">
        <v>0</v>
      </c>
    </row>
    <row r="1890" spans="3:10" x14ac:dyDescent="0.25">
      <c r="C1890" s="300" t="s">
        <v>1062</v>
      </c>
      <c r="D1890" s="283" t="s">
        <v>1079</v>
      </c>
      <c r="E1890" s="283" t="s">
        <v>1075</v>
      </c>
      <c r="F1890" s="283" t="s">
        <v>1083</v>
      </c>
      <c r="G1890" s="283">
        <v>2</v>
      </c>
      <c r="H1890" s="283">
        <v>0</v>
      </c>
      <c r="I1890" s="283">
        <v>0</v>
      </c>
      <c r="J1890" s="284">
        <v>0</v>
      </c>
    </row>
    <row r="1891" spans="3:10" x14ac:dyDescent="0.25">
      <c r="C1891" s="300" t="s">
        <v>1065</v>
      </c>
      <c r="D1891" s="283" t="s">
        <v>1077</v>
      </c>
      <c r="E1891" s="283" t="s">
        <v>1086</v>
      </c>
      <c r="F1891" s="283" t="s">
        <v>1075</v>
      </c>
      <c r="G1891" s="283">
        <v>2</v>
      </c>
      <c r="H1891" s="283">
        <v>0</v>
      </c>
      <c r="I1891" s="283">
        <v>0</v>
      </c>
      <c r="J1891" s="284">
        <v>0</v>
      </c>
    </row>
    <row r="1892" spans="3:10" x14ac:dyDescent="0.25">
      <c r="C1892" s="300" t="s">
        <v>1063</v>
      </c>
      <c r="D1892" s="283" t="s">
        <v>1079</v>
      </c>
      <c r="E1892" s="283" t="s">
        <v>1075</v>
      </c>
      <c r="F1892" s="283" t="s">
        <v>1089</v>
      </c>
      <c r="G1892" s="283">
        <v>2</v>
      </c>
      <c r="H1892" s="283">
        <v>0</v>
      </c>
      <c r="I1892" s="283">
        <v>1</v>
      </c>
      <c r="J1892" s="284">
        <v>1</v>
      </c>
    </row>
    <row r="1893" spans="3:10" x14ac:dyDescent="0.25">
      <c r="C1893" s="300" t="s">
        <v>1061</v>
      </c>
      <c r="D1893" s="283" t="s">
        <v>1043</v>
      </c>
      <c r="E1893" s="283" t="s">
        <v>1089</v>
      </c>
      <c r="F1893" s="283" t="s">
        <v>1092</v>
      </c>
      <c r="G1893" s="283">
        <v>2</v>
      </c>
      <c r="H1893" s="283">
        <v>0</v>
      </c>
      <c r="I1893" s="283">
        <v>0</v>
      </c>
      <c r="J1893" s="284">
        <v>0</v>
      </c>
    </row>
    <row r="1894" spans="3:10" x14ac:dyDescent="0.25">
      <c r="C1894" s="300" t="s">
        <v>1063</v>
      </c>
      <c r="D1894" s="283" t="s">
        <v>1074</v>
      </c>
      <c r="E1894" s="283" t="s">
        <v>1089</v>
      </c>
      <c r="F1894" s="283" t="s">
        <v>1044</v>
      </c>
      <c r="G1894" s="283">
        <v>2</v>
      </c>
      <c r="H1894" s="283">
        <v>0</v>
      </c>
      <c r="I1894" s="283">
        <v>0</v>
      </c>
      <c r="J1894" s="284">
        <v>0</v>
      </c>
    </row>
    <row r="1895" spans="3:10" x14ac:dyDescent="0.25">
      <c r="C1895" s="300" t="s">
        <v>1065</v>
      </c>
      <c r="D1895" s="283" t="s">
        <v>1079</v>
      </c>
      <c r="E1895" s="283" t="s">
        <v>1089</v>
      </c>
      <c r="F1895" s="283" t="s">
        <v>1075</v>
      </c>
      <c r="G1895" s="283">
        <v>2</v>
      </c>
      <c r="H1895" s="283">
        <v>0</v>
      </c>
      <c r="I1895" s="283">
        <v>0</v>
      </c>
      <c r="J1895" s="284">
        <v>1</v>
      </c>
    </row>
    <row r="1896" spans="3:10" x14ac:dyDescent="0.25">
      <c r="C1896" s="300" t="s">
        <v>1063</v>
      </c>
      <c r="D1896" s="283" t="s">
        <v>1079</v>
      </c>
      <c r="E1896" s="283" t="s">
        <v>1089</v>
      </c>
      <c r="F1896" s="283" t="s">
        <v>1083</v>
      </c>
      <c r="G1896" s="283">
        <v>2</v>
      </c>
      <c r="H1896" s="283">
        <v>0</v>
      </c>
      <c r="I1896" s="283">
        <v>0</v>
      </c>
      <c r="J1896" s="284">
        <v>1</v>
      </c>
    </row>
    <row r="1897" spans="3:10" x14ac:dyDescent="0.25">
      <c r="C1897" s="300" t="s">
        <v>1065</v>
      </c>
      <c r="D1897" s="283" t="s">
        <v>1087</v>
      </c>
      <c r="E1897" s="283" t="s">
        <v>1075</v>
      </c>
      <c r="F1897" s="283" t="s">
        <v>524</v>
      </c>
      <c r="G1897" s="283">
        <v>1</v>
      </c>
      <c r="H1897" s="283">
        <v>0</v>
      </c>
      <c r="I1897" s="283">
        <v>1</v>
      </c>
      <c r="J1897" s="284">
        <v>0</v>
      </c>
    </row>
    <row r="1898" spans="3:10" x14ac:dyDescent="0.25">
      <c r="C1898" s="300" t="s">
        <v>1063</v>
      </c>
      <c r="D1898" s="283" t="s">
        <v>1077</v>
      </c>
      <c r="E1898" s="283" t="s">
        <v>1080</v>
      </c>
      <c r="F1898" s="283" t="s">
        <v>1075</v>
      </c>
      <c r="G1898" s="283">
        <v>4</v>
      </c>
      <c r="H1898" s="283">
        <v>0</v>
      </c>
      <c r="I1898" s="283">
        <v>1</v>
      </c>
      <c r="J1898" s="284">
        <v>0</v>
      </c>
    </row>
    <row r="1899" spans="3:10" x14ac:dyDescent="0.25">
      <c r="C1899" s="300" t="s">
        <v>1066</v>
      </c>
      <c r="D1899" s="283" t="s">
        <v>1074</v>
      </c>
      <c r="E1899" s="283" t="s">
        <v>1099</v>
      </c>
      <c r="F1899" s="283" t="s">
        <v>1075</v>
      </c>
      <c r="G1899" s="283">
        <v>2</v>
      </c>
      <c r="H1899" s="283">
        <v>0</v>
      </c>
      <c r="I1899" s="283">
        <v>1</v>
      </c>
      <c r="J1899" s="284">
        <v>1</v>
      </c>
    </row>
    <row r="1900" spans="3:10" x14ac:dyDescent="0.25">
      <c r="C1900" s="300" t="s">
        <v>1061</v>
      </c>
      <c r="D1900" s="283" t="s">
        <v>1079</v>
      </c>
      <c r="E1900" s="283" t="s">
        <v>1084</v>
      </c>
      <c r="F1900" s="283" t="s">
        <v>1078</v>
      </c>
      <c r="G1900" s="283">
        <v>2</v>
      </c>
      <c r="H1900" s="283">
        <v>0</v>
      </c>
      <c r="I1900" s="283">
        <v>0</v>
      </c>
      <c r="J1900" s="284">
        <v>0</v>
      </c>
    </row>
    <row r="1901" spans="3:10" x14ac:dyDescent="0.25">
      <c r="C1901" s="300" t="s">
        <v>1062</v>
      </c>
      <c r="D1901" s="283" t="s">
        <v>1077</v>
      </c>
      <c r="E1901" s="283" t="s">
        <v>1080</v>
      </c>
      <c r="F1901" s="283" t="s">
        <v>1075</v>
      </c>
      <c r="G1901" s="283">
        <v>2</v>
      </c>
      <c r="H1901" s="283">
        <v>0</v>
      </c>
      <c r="I1901" s="283">
        <v>0</v>
      </c>
      <c r="J1901" s="284">
        <v>1</v>
      </c>
    </row>
    <row r="1902" spans="3:10" x14ac:dyDescent="0.25">
      <c r="C1902" s="300" t="s">
        <v>1064</v>
      </c>
      <c r="D1902" s="283" t="s">
        <v>1079</v>
      </c>
      <c r="E1902" s="283" t="s">
        <v>1078</v>
      </c>
      <c r="F1902" s="283" t="s">
        <v>1089</v>
      </c>
      <c r="G1902" s="283">
        <v>2</v>
      </c>
      <c r="H1902" s="283">
        <v>0</v>
      </c>
      <c r="I1902" s="283">
        <v>1</v>
      </c>
      <c r="J1902" s="284">
        <v>0</v>
      </c>
    </row>
    <row r="1903" spans="3:10" x14ac:dyDescent="0.25">
      <c r="C1903" s="300" t="s">
        <v>1065</v>
      </c>
      <c r="D1903" s="283" t="s">
        <v>1079</v>
      </c>
      <c r="E1903" s="283" t="s">
        <v>1075</v>
      </c>
      <c r="F1903" s="283" t="s">
        <v>1075</v>
      </c>
      <c r="G1903" s="283">
        <v>3</v>
      </c>
      <c r="H1903" s="283">
        <v>0</v>
      </c>
      <c r="I1903" s="283">
        <v>0</v>
      </c>
      <c r="J1903" s="284">
        <v>0</v>
      </c>
    </row>
    <row r="1904" spans="3:10" x14ac:dyDescent="0.25">
      <c r="C1904" s="300" t="s">
        <v>1061</v>
      </c>
      <c r="D1904" s="283" t="s">
        <v>1077</v>
      </c>
      <c r="E1904" s="283" t="s">
        <v>1075</v>
      </c>
      <c r="F1904" s="283" t="s">
        <v>1089</v>
      </c>
      <c r="G1904" s="283">
        <v>2</v>
      </c>
      <c r="H1904" s="283">
        <v>0</v>
      </c>
      <c r="I1904" s="283">
        <v>0</v>
      </c>
      <c r="J1904" s="284">
        <v>0</v>
      </c>
    </row>
    <row r="1905" spans="3:10" x14ac:dyDescent="0.25">
      <c r="C1905" s="300" t="s">
        <v>1065</v>
      </c>
      <c r="D1905" s="283" t="s">
        <v>1079</v>
      </c>
      <c r="E1905" s="283" t="s">
        <v>1075</v>
      </c>
      <c r="F1905" s="283" t="s">
        <v>1075</v>
      </c>
      <c r="G1905" s="283">
        <v>3</v>
      </c>
      <c r="H1905" s="283">
        <v>0</v>
      </c>
      <c r="I1905" s="283">
        <v>0</v>
      </c>
      <c r="J1905" s="284">
        <v>0</v>
      </c>
    </row>
    <row r="1906" spans="3:10" x14ac:dyDescent="0.25">
      <c r="C1906" s="300" t="s">
        <v>1059</v>
      </c>
      <c r="D1906" s="283" t="s">
        <v>1074</v>
      </c>
      <c r="E1906" s="283" t="s">
        <v>1089</v>
      </c>
      <c r="F1906" s="283" t="s">
        <v>1076</v>
      </c>
      <c r="G1906" s="283">
        <v>2</v>
      </c>
      <c r="H1906" s="283">
        <v>0</v>
      </c>
      <c r="I1906" s="283">
        <v>1</v>
      </c>
      <c r="J1906" s="284">
        <v>0</v>
      </c>
    </row>
    <row r="1907" spans="3:10" x14ac:dyDescent="0.25">
      <c r="C1907" s="300" t="s">
        <v>1060</v>
      </c>
      <c r="D1907" s="283" t="s">
        <v>1077</v>
      </c>
      <c r="E1907" s="283" t="s">
        <v>1075</v>
      </c>
      <c r="F1907" s="283" t="s">
        <v>1083</v>
      </c>
      <c r="G1907" s="283">
        <v>4</v>
      </c>
      <c r="H1907" s="283">
        <v>0</v>
      </c>
      <c r="I1907" s="283">
        <v>1</v>
      </c>
      <c r="J1907" s="284">
        <v>0</v>
      </c>
    </row>
    <row r="1908" spans="3:10" x14ac:dyDescent="0.25">
      <c r="C1908" s="300" t="s">
        <v>1065</v>
      </c>
      <c r="D1908" s="283" t="s">
        <v>1077</v>
      </c>
      <c r="E1908" s="283" t="s">
        <v>1086</v>
      </c>
      <c r="F1908" s="283" t="s">
        <v>1075</v>
      </c>
      <c r="G1908" s="283">
        <v>4</v>
      </c>
      <c r="H1908" s="283">
        <v>0</v>
      </c>
      <c r="I1908" s="283">
        <v>0</v>
      </c>
      <c r="J1908" s="284">
        <v>3</v>
      </c>
    </row>
    <row r="1909" spans="3:10" x14ac:dyDescent="0.25">
      <c r="C1909" s="300" t="s">
        <v>1065</v>
      </c>
      <c r="D1909" s="283" t="s">
        <v>1074</v>
      </c>
      <c r="E1909" s="283" t="s">
        <v>1078</v>
      </c>
      <c r="F1909" s="283" t="s">
        <v>1076</v>
      </c>
      <c r="G1909" s="283">
        <v>3</v>
      </c>
      <c r="H1909" s="283">
        <v>0</v>
      </c>
      <c r="I1909" s="283">
        <v>0</v>
      </c>
      <c r="J1909" s="284">
        <v>1</v>
      </c>
    </row>
    <row r="1910" spans="3:10" x14ac:dyDescent="0.25">
      <c r="C1910" s="300" t="s">
        <v>1064</v>
      </c>
      <c r="D1910" s="283" t="s">
        <v>1043</v>
      </c>
      <c r="E1910" s="283" t="s">
        <v>1075</v>
      </c>
      <c r="F1910" s="283" t="s">
        <v>1092</v>
      </c>
      <c r="G1910" s="283">
        <v>2</v>
      </c>
      <c r="H1910" s="283">
        <v>0</v>
      </c>
      <c r="I1910" s="283">
        <v>1</v>
      </c>
      <c r="J1910" s="284">
        <v>0</v>
      </c>
    </row>
    <row r="1911" spans="3:10" x14ac:dyDescent="0.25">
      <c r="C1911" s="300" t="s">
        <v>1060</v>
      </c>
      <c r="D1911" s="283" t="s">
        <v>1077</v>
      </c>
      <c r="E1911" s="283" t="s">
        <v>1083</v>
      </c>
      <c r="F1911" s="283" t="s">
        <v>1089</v>
      </c>
      <c r="G1911" s="283">
        <v>2</v>
      </c>
      <c r="H1911" s="283">
        <v>0</v>
      </c>
      <c r="I1911" s="283">
        <v>1</v>
      </c>
      <c r="J1911" s="284">
        <v>0</v>
      </c>
    </row>
    <row r="1912" spans="3:10" x14ac:dyDescent="0.25">
      <c r="C1912" s="300" t="s">
        <v>1060</v>
      </c>
      <c r="D1912" s="283" t="s">
        <v>1077</v>
      </c>
      <c r="E1912" s="283" t="s">
        <v>1075</v>
      </c>
      <c r="F1912" s="283" t="s">
        <v>1075</v>
      </c>
      <c r="G1912" s="283">
        <v>2</v>
      </c>
      <c r="H1912" s="283">
        <v>0</v>
      </c>
      <c r="I1912" s="283">
        <v>0</v>
      </c>
      <c r="J1912" s="284">
        <v>0</v>
      </c>
    </row>
    <row r="1913" spans="3:10" x14ac:dyDescent="0.25">
      <c r="C1913" s="300" t="s">
        <v>1064</v>
      </c>
      <c r="D1913" s="283" t="s">
        <v>1043</v>
      </c>
      <c r="E1913" s="283" t="s">
        <v>1075</v>
      </c>
      <c r="F1913" s="283" t="s">
        <v>1092</v>
      </c>
      <c r="G1913" s="283">
        <v>2</v>
      </c>
      <c r="H1913" s="283">
        <v>0</v>
      </c>
      <c r="I1913" s="283">
        <v>1</v>
      </c>
      <c r="J1913" s="284">
        <v>0</v>
      </c>
    </row>
    <row r="1914" spans="3:10" x14ac:dyDescent="0.25">
      <c r="C1914" s="300" t="s">
        <v>1061</v>
      </c>
      <c r="D1914" s="283" t="s">
        <v>1077</v>
      </c>
      <c r="E1914" s="283" t="s">
        <v>1075</v>
      </c>
      <c r="F1914" s="283" t="s">
        <v>1075</v>
      </c>
      <c r="G1914" s="283">
        <v>2</v>
      </c>
      <c r="H1914" s="283">
        <v>0</v>
      </c>
      <c r="I1914" s="283">
        <v>0</v>
      </c>
      <c r="J1914" s="284">
        <v>0</v>
      </c>
    </row>
    <row r="1915" spans="3:10" x14ac:dyDescent="0.25">
      <c r="C1915" s="300" t="s">
        <v>1061</v>
      </c>
      <c r="D1915" s="283" t="s">
        <v>1077</v>
      </c>
      <c r="E1915" s="283" t="s">
        <v>1076</v>
      </c>
      <c r="F1915" s="283" t="s">
        <v>1075</v>
      </c>
      <c r="G1915" s="283">
        <v>2</v>
      </c>
      <c r="H1915" s="283">
        <v>0</v>
      </c>
      <c r="I1915" s="283">
        <v>0</v>
      </c>
      <c r="J1915" s="284">
        <v>0</v>
      </c>
    </row>
    <row r="1916" spans="3:10" x14ac:dyDescent="0.25">
      <c r="C1916" s="300" t="s">
        <v>1064</v>
      </c>
      <c r="D1916" s="283" t="s">
        <v>1074</v>
      </c>
      <c r="E1916" s="283" t="s">
        <v>1075</v>
      </c>
      <c r="F1916" s="283" t="s">
        <v>1075</v>
      </c>
      <c r="G1916" s="283">
        <v>3</v>
      </c>
      <c r="H1916" s="283">
        <v>0</v>
      </c>
      <c r="I1916" s="283">
        <v>0</v>
      </c>
      <c r="J1916" s="284">
        <v>0</v>
      </c>
    </row>
    <row r="1917" spans="3:10" x14ac:dyDescent="0.25">
      <c r="C1917" s="300" t="s">
        <v>1063</v>
      </c>
      <c r="D1917" s="283" t="s">
        <v>1079</v>
      </c>
      <c r="E1917" s="283" t="s">
        <v>1078</v>
      </c>
      <c r="F1917" s="283" t="s">
        <v>1075</v>
      </c>
      <c r="G1917" s="283">
        <v>3</v>
      </c>
      <c r="H1917" s="283">
        <v>0</v>
      </c>
      <c r="I1917" s="283">
        <v>0</v>
      </c>
      <c r="J1917" s="284">
        <v>0</v>
      </c>
    </row>
    <row r="1918" spans="3:10" x14ac:dyDescent="0.25">
      <c r="C1918" s="300" t="s">
        <v>1063</v>
      </c>
      <c r="D1918" s="283" t="s">
        <v>1079</v>
      </c>
      <c r="E1918" s="283" t="s">
        <v>1089</v>
      </c>
      <c r="F1918" s="283" t="s">
        <v>1075</v>
      </c>
      <c r="G1918" s="283">
        <v>2</v>
      </c>
      <c r="H1918" s="283">
        <v>0</v>
      </c>
      <c r="I1918" s="283">
        <v>0</v>
      </c>
      <c r="J1918" s="284">
        <v>0</v>
      </c>
    </row>
    <row r="1919" spans="3:10" x14ac:dyDescent="0.25">
      <c r="C1919" s="300" t="s">
        <v>1062</v>
      </c>
      <c r="D1919" s="283" t="s">
        <v>1079</v>
      </c>
      <c r="E1919" s="283" t="s">
        <v>1076</v>
      </c>
      <c r="F1919" s="283" t="s">
        <v>524</v>
      </c>
      <c r="G1919" s="283">
        <v>1</v>
      </c>
      <c r="H1919" s="283">
        <v>0</v>
      </c>
      <c r="I1919" s="283">
        <v>0</v>
      </c>
      <c r="J1919" s="284">
        <v>1</v>
      </c>
    </row>
    <row r="1920" spans="3:10" x14ac:dyDescent="0.25">
      <c r="C1920" s="300" t="s">
        <v>1061</v>
      </c>
      <c r="D1920" s="283" t="s">
        <v>1079</v>
      </c>
      <c r="E1920" s="283" t="s">
        <v>1076</v>
      </c>
      <c r="F1920" s="283" t="s">
        <v>1088</v>
      </c>
      <c r="G1920" s="283">
        <v>2</v>
      </c>
      <c r="H1920" s="283">
        <v>0</v>
      </c>
      <c r="I1920" s="283">
        <v>0</v>
      </c>
      <c r="J1920" s="284">
        <v>0</v>
      </c>
    </row>
    <row r="1921" spans="3:10" x14ac:dyDescent="0.25">
      <c r="C1921" s="300" t="s">
        <v>1060</v>
      </c>
      <c r="D1921" s="283" t="s">
        <v>1079</v>
      </c>
      <c r="E1921" s="283" t="s">
        <v>1075</v>
      </c>
      <c r="F1921" s="283" t="s">
        <v>1084</v>
      </c>
      <c r="G1921" s="283">
        <v>2</v>
      </c>
      <c r="H1921" s="283">
        <v>0</v>
      </c>
      <c r="I1921" s="283">
        <v>0</v>
      </c>
      <c r="J1921" s="284">
        <v>0</v>
      </c>
    </row>
    <row r="1922" spans="3:10" x14ac:dyDescent="0.25">
      <c r="C1922" s="300" t="s">
        <v>1062</v>
      </c>
      <c r="D1922" s="283" t="s">
        <v>1079</v>
      </c>
      <c r="E1922" s="283" t="s">
        <v>1089</v>
      </c>
      <c r="F1922" s="283" t="s">
        <v>1089</v>
      </c>
      <c r="G1922" s="283">
        <v>2</v>
      </c>
      <c r="H1922" s="283">
        <v>0</v>
      </c>
      <c r="I1922" s="283">
        <v>0</v>
      </c>
      <c r="J1922" s="284">
        <v>0</v>
      </c>
    </row>
    <row r="1923" spans="3:10" x14ac:dyDescent="0.25">
      <c r="C1923" s="300" t="s">
        <v>1065</v>
      </c>
      <c r="D1923" s="283" t="s">
        <v>1090</v>
      </c>
      <c r="E1923" s="283" t="s">
        <v>1083</v>
      </c>
      <c r="F1923" s="283" t="s">
        <v>524</v>
      </c>
      <c r="G1923" s="283">
        <v>1</v>
      </c>
      <c r="H1923" s="283">
        <v>0</v>
      </c>
      <c r="I1923" s="283">
        <v>0</v>
      </c>
      <c r="J1923" s="284">
        <v>0</v>
      </c>
    </row>
    <row r="1924" spans="3:10" x14ac:dyDescent="0.25">
      <c r="C1924" s="300" t="s">
        <v>1066</v>
      </c>
      <c r="D1924" s="283" t="s">
        <v>1077</v>
      </c>
      <c r="E1924" s="283" t="s">
        <v>1089</v>
      </c>
      <c r="F1924" s="283" t="s">
        <v>1075</v>
      </c>
      <c r="G1924" s="283">
        <v>4</v>
      </c>
      <c r="H1924" s="283">
        <v>0</v>
      </c>
      <c r="I1924" s="283">
        <v>0</v>
      </c>
      <c r="J1924" s="284">
        <v>0</v>
      </c>
    </row>
    <row r="1925" spans="3:10" x14ac:dyDescent="0.25">
      <c r="C1925" s="300" t="s">
        <v>1065</v>
      </c>
      <c r="D1925" s="283" t="s">
        <v>1077</v>
      </c>
      <c r="E1925" s="283" t="s">
        <v>1075</v>
      </c>
      <c r="F1925" s="283" t="s">
        <v>1075</v>
      </c>
      <c r="G1925" s="283">
        <v>3</v>
      </c>
      <c r="H1925" s="283">
        <v>0</v>
      </c>
      <c r="I1925" s="283">
        <v>0</v>
      </c>
      <c r="J1925" s="284">
        <v>0</v>
      </c>
    </row>
    <row r="1926" spans="3:10" x14ac:dyDescent="0.25">
      <c r="C1926" s="300" t="s">
        <v>1065</v>
      </c>
      <c r="D1926" s="283" t="s">
        <v>1077</v>
      </c>
      <c r="E1926" s="283" t="s">
        <v>1075</v>
      </c>
      <c r="F1926" s="283" t="s">
        <v>1075</v>
      </c>
      <c r="G1926" s="283">
        <v>3</v>
      </c>
      <c r="H1926" s="283">
        <v>0</v>
      </c>
      <c r="I1926" s="283">
        <v>0</v>
      </c>
      <c r="J1926" s="284">
        <v>0</v>
      </c>
    </row>
    <row r="1927" spans="3:10" x14ac:dyDescent="0.25">
      <c r="C1927" s="300" t="s">
        <v>1060</v>
      </c>
      <c r="D1927" s="283" t="s">
        <v>1077</v>
      </c>
      <c r="E1927" s="283" t="s">
        <v>1075</v>
      </c>
      <c r="F1927" s="283" t="s">
        <v>1094</v>
      </c>
      <c r="G1927" s="283">
        <v>3</v>
      </c>
      <c r="H1927" s="283">
        <v>0</v>
      </c>
      <c r="I1927" s="283">
        <v>0</v>
      </c>
      <c r="J1927" s="284">
        <v>0</v>
      </c>
    </row>
    <row r="1928" spans="3:10" x14ac:dyDescent="0.25">
      <c r="C1928" s="300" t="s">
        <v>1068</v>
      </c>
      <c r="D1928" s="283" t="s">
        <v>1079</v>
      </c>
      <c r="E1928" s="283" t="s">
        <v>1075</v>
      </c>
      <c r="F1928" s="283" t="s">
        <v>1080</v>
      </c>
      <c r="G1928" s="283">
        <v>2</v>
      </c>
      <c r="H1928" s="283">
        <v>0</v>
      </c>
      <c r="I1928" s="283">
        <v>0</v>
      </c>
      <c r="J1928" s="284">
        <v>0</v>
      </c>
    </row>
    <row r="1929" spans="3:10" x14ac:dyDescent="0.25">
      <c r="C1929" s="300" t="s">
        <v>1064</v>
      </c>
      <c r="D1929" s="283" t="s">
        <v>1079</v>
      </c>
      <c r="E1929" s="283" t="s">
        <v>1081</v>
      </c>
      <c r="F1929" s="283" t="s">
        <v>1078</v>
      </c>
      <c r="G1929" s="283">
        <v>2</v>
      </c>
      <c r="H1929" s="283">
        <v>0</v>
      </c>
      <c r="I1929" s="283">
        <v>0</v>
      </c>
      <c r="J1929" s="284">
        <v>0</v>
      </c>
    </row>
    <row r="1930" spans="3:10" x14ac:dyDescent="0.25">
      <c r="C1930" s="300" t="s">
        <v>1063</v>
      </c>
      <c r="D1930" s="283" t="s">
        <v>1079</v>
      </c>
      <c r="E1930" s="283" t="s">
        <v>1100</v>
      </c>
      <c r="F1930" s="283" t="s">
        <v>1075</v>
      </c>
      <c r="G1930" s="283">
        <v>2</v>
      </c>
      <c r="H1930" s="283">
        <v>0</v>
      </c>
      <c r="I1930" s="283">
        <v>0</v>
      </c>
      <c r="J1930" s="284">
        <v>0</v>
      </c>
    </row>
    <row r="1931" spans="3:10" x14ac:dyDescent="0.25">
      <c r="C1931" s="300" t="s">
        <v>1060</v>
      </c>
      <c r="D1931" s="283" t="s">
        <v>1079</v>
      </c>
      <c r="E1931" s="283" t="s">
        <v>1075</v>
      </c>
      <c r="F1931" s="283" t="s">
        <v>1075</v>
      </c>
      <c r="G1931" s="283">
        <v>2</v>
      </c>
      <c r="H1931" s="283">
        <v>0</v>
      </c>
      <c r="I1931" s="283">
        <v>0</v>
      </c>
      <c r="J1931" s="284">
        <v>0</v>
      </c>
    </row>
    <row r="1932" spans="3:10" x14ac:dyDescent="0.25">
      <c r="C1932" s="300" t="s">
        <v>1061</v>
      </c>
      <c r="D1932" s="283" t="s">
        <v>1079</v>
      </c>
      <c r="E1932" s="283" t="s">
        <v>1075</v>
      </c>
      <c r="F1932" s="283" t="s">
        <v>1075</v>
      </c>
      <c r="G1932" s="283">
        <v>2</v>
      </c>
      <c r="H1932" s="283">
        <v>0</v>
      </c>
      <c r="I1932" s="283">
        <v>0</v>
      </c>
      <c r="J1932" s="284">
        <v>0</v>
      </c>
    </row>
    <row r="1933" spans="3:10" x14ac:dyDescent="0.25">
      <c r="C1933" s="300" t="s">
        <v>1061</v>
      </c>
      <c r="D1933" s="283" t="s">
        <v>1079</v>
      </c>
      <c r="E1933" s="283" t="s">
        <v>1078</v>
      </c>
      <c r="F1933" s="283" t="s">
        <v>1075</v>
      </c>
      <c r="G1933" s="283">
        <v>3</v>
      </c>
      <c r="H1933" s="283">
        <v>0</v>
      </c>
      <c r="I1933" s="283">
        <v>0</v>
      </c>
      <c r="J1933" s="284">
        <v>0</v>
      </c>
    </row>
    <row r="1934" spans="3:10" x14ac:dyDescent="0.25">
      <c r="C1934" s="300" t="s">
        <v>1065</v>
      </c>
      <c r="D1934" s="283" t="s">
        <v>1043</v>
      </c>
      <c r="E1934" s="283" t="s">
        <v>1089</v>
      </c>
      <c r="F1934" s="283" t="s">
        <v>1092</v>
      </c>
      <c r="G1934" s="283">
        <v>2</v>
      </c>
      <c r="H1934" s="283">
        <v>0</v>
      </c>
      <c r="I1934" s="283">
        <v>0</v>
      </c>
      <c r="J1934" s="284">
        <v>0</v>
      </c>
    </row>
    <row r="1935" spans="3:10" x14ac:dyDescent="0.25">
      <c r="C1935" s="300" t="s">
        <v>1060</v>
      </c>
      <c r="D1935" s="283" t="s">
        <v>1074</v>
      </c>
      <c r="E1935" s="283" t="s">
        <v>1078</v>
      </c>
      <c r="F1935" s="283" t="s">
        <v>1044</v>
      </c>
      <c r="G1935" s="283">
        <v>2</v>
      </c>
      <c r="H1935" s="283">
        <v>0</v>
      </c>
      <c r="I1935" s="283">
        <v>0</v>
      </c>
      <c r="J1935" s="284">
        <v>1</v>
      </c>
    </row>
    <row r="1936" spans="3:10" x14ac:dyDescent="0.25">
      <c r="C1936" s="300" t="s">
        <v>1068</v>
      </c>
      <c r="D1936" s="283" t="s">
        <v>1043</v>
      </c>
      <c r="E1936" s="283" t="s">
        <v>1080</v>
      </c>
      <c r="F1936" s="283" t="s">
        <v>1092</v>
      </c>
      <c r="G1936" s="283">
        <v>3</v>
      </c>
      <c r="H1936" s="283">
        <v>0</v>
      </c>
      <c r="I1936" s="283">
        <v>1</v>
      </c>
      <c r="J1936" s="284">
        <v>1</v>
      </c>
    </row>
    <row r="1937" spans="3:10" x14ac:dyDescent="0.25">
      <c r="C1937" s="300" t="s">
        <v>1066</v>
      </c>
      <c r="D1937" s="283" t="s">
        <v>1077</v>
      </c>
      <c r="E1937" s="283" t="s">
        <v>1089</v>
      </c>
      <c r="F1937" s="283" t="s">
        <v>1078</v>
      </c>
      <c r="G1937" s="283">
        <v>3</v>
      </c>
      <c r="H1937" s="283">
        <v>0</v>
      </c>
      <c r="I1937" s="283">
        <v>0</v>
      </c>
      <c r="J1937" s="284">
        <v>0</v>
      </c>
    </row>
    <row r="1938" spans="3:10" x14ac:dyDescent="0.25">
      <c r="C1938" s="300" t="s">
        <v>1061</v>
      </c>
      <c r="D1938" s="283" t="s">
        <v>1077</v>
      </c>
      <c r="E1938" s="283" t="s">
        <v>1084</v>
      </c>
      <c r="F1938" s="283" t="s">
        <v>1075</v>
      </c>
      <c r="G1938" s="283">
        <v>4</v>
      </c>
      <c r="H1938" s="283">
        <v>0</v>
      </c>
      <c r="I1938" s="283">
        <v>0</v>
      </c>
      <c r="J1938" s="284">
        <v>0</v>
      </c>
    </row>
    <row r="1939" spans="3:10" x14ac:dyDescent="0.25">
      <c r="C1939" s="300" t="s">
        <v>1066</v>
      </c>
      <c r="D1939" s="283" t="s">
        <v>1043</v>
      </c>
      <c r="E1939" s="283" t="s">
        <v>1075</v>
      </c>
      <c r="F1939" s="283" t="s">
        <v>1092</v>
      </c>
      <c r="G1939" s="283">
        <v>2</v>
      </c>
      <c r="H1939" s="283">
        <v>0</v>
      </c>
      <c r="I1939" s="283">
        <v>1</v>
      </c>
      <c r="J1939" s="284">
        <v>0</v>
      </c>
    </row>
    <row r="1940" spans="3:10" x14ac:dyDescent="0.25">
      <c r="C1940" s="300" t="s">
        <v>1061</v>
      </c>
      <c r="D1940" s="283" t="s">
        <v>1074</v>
      </c>
      <c r="E1940" s="283" t="s">
        <v>1080</v>
      </c>
      <c r="F1940" s="283" t="s">
        <v>1075</v>
      </c>
      <c r="G1940" s="283">
        <v>2</v>
      </c>
      <c r="H1940" s="283">
        <v>0</v>
      </c>
      <c r="I1940" s="283">
        <v>0</v>
      </c>
      <c r="J1940" s="284">
        <v>1</v>
      </c>
    </row>
    <row r="1941" spans="3:10" x14ac:dyDescent="0.25">
      <c r="C1941" s="300" t="s">
        <v>1061</v>
      </c>
      <c r="D1941" s="283" t="s">
        <v>1077</v>
      </c>
      <c r="E1941" s="283" t="s">
        <v>1078</v>
      </c>
      <c r="F1941" s="283" t="s">
        <v>1075</v>
      </c>
      <c r="G1941" s="283">
        <v>2</v>
      </c>
      <c r="H1941" s="283">
        <v>0</v>
      </c>
      <c r="I1941" s="283">
        <v>0</v>
      </c>
      <c r="J1941" s="284">
        <v>1</v>
      </c>
    </row>
    <row r="1942" spans="3:10" x14ac:dyDescent="0.25">
      <c r="C1942" s="300" t="s">
        <v>1067</v>
      </c>
      <c r="D1942" s="283" t="s">
        <v>1043</v>
      </c>
      <c r="E1942" s="283" t="s">
        <v>1075</v>
      </c>
      <c r="F1942" s="283" t="s">
        <v>1092</v>
      </c>
      <c r="G1942" s="283">
        <v>2</v>
      </c>
      <c r="H1942" s="283">
        <v>0</v>
      </c>
      <c r="I1942" s="283">
        <v>0</v>
      </c>
      <c r="J1942" s="284">
        <v>1</v>
      </c>
    </row>
    <row r="1943" spans="3:10" x14ac:dyDescent="0.25">
      <c r="C1943" s="300" t="s">
        <v>1068</v>
      </c>
      <c r="D1943" s="283" t="s">
        <v>1079</v>
      </c>
      <c r="E1943" s="283" t="s">
        <v>1075</v>
      </c>
      <c r="F1943" s="283" t="s">
        <v>1075</v>
      </c>
      <c r="G1943" s="283">
        <v>2</v>
      </c>
      <c r="H1943" s="283">
        <v>0</v>
      </c>
      <c r="I1943" s="283">
        <v>0</v>
      </c>
      <c r="J1943" s="284">
        <v>1</v>
      </c>
    </row>
    <row r="1944" spans="3:10" x14ac:dyDescent="0.25">
      <c r="C1944" s="300" t="s">
        <v>1064</v>
      </c>
      <c r="D1944" s="283" t="s">
        <v>1043</v>
      </c>
      <c r="E1944" s="283" t="s">
        <v>1075</v>
      </c>
      <c r="F1944" s="283" t="s">
        <v>1092</v>
      </c>
      <c r="G1944" s="283">
        <v>2</v>
      </c>
      <c r="H1944" s="283">
        <v>0</v>
      </c>
      <c r="I1944" s="283">
        <v>0</v>
      </c>
      <c r="J1944" s="284">
        <v>0</v>
      </c>
    </row>
    <row r="1945" spans="3:10" x14ac:dyDescent="0.25">
      <c r="C1945" s="300" t="s">
        <v>1066</v>
      </c>
      <c r="D1945" s="283" t="s">
        <v>1082</v>
      </c>
      <c r="E1945" s="283" t="s">
        <v>1075</v>
      </c>
      <c r="F1945" s="283" t="s">
        <v>1089</v>
      </c>
      <c r="G1945" s="283">
        <v>2</v>
      </c>
      <c r="H1945" s="283">
        <v>0</v>
      </c>
      <c r="I1945" s="283">
        <v>0</v>
      </c>
      <c r="J1945" s="284">
        <v>0</v>
      </c>
    </row>
    <row r="1946" spans="3:10" x14ac:dyDescent="0.25">
      <c r="C1946" s="300" t="s">
        <v>1063</v>
      </c>
      <c r="D1946" s="283" t="s">
        <v>1074</v>
      </c>
      <c r="E1946" s="283" t="s">
        <v>1075</v>
      </c>
      <c r="F1946" s="283" t="s">
        <v>1083</v>
      </c>
      <c r="G1946" s="283">
        <v>2</v>
      </c>
      <c r="H1946" s="283">
        <v>0</v>
      </c>
      <c r="I1946" s="283">
        <v>0</v>
      </c>
      <c r="J1946" s="284">
        <v>1</v>
      </c>
    </row>
    <row r="1947" spans="3:10" x14ac:dyDescent="0.25">
      <c r="C1947" s="300" t="s">
        <v>1063</v>
      </c>
      <c r="D1947" s="283" t="s">
        <v>1079</v>
      </c>
      <c r="E1947" s="283" t="s">
        <v>1078</v>
      </c>
      <c r="F1947" s="283" t="s">
        <v>1075</v>
      </c>
      <c r="G1947" s="283">
        <v>2</v>
      </c>
      <c r="H1947" s="283">
        <v>0</v>
      </c>
      <c r="I1947" s="283">
        <v>0</v>
      </c>
      <c r="J1947" s="284">
        <v>0</v>
      </c>
    </row>
    <row r="1948" spans="3:10" x14ac:dyDescent="0.25">
      <c r="C1948" s="300" t="s">
        <v>1059</v>
      </c>
      <c r="D1948" s="283" t="s">
        <v>1079</v>
      </c>
      <c r="E1948" s="283" t="s">
        <v>1084</v>
      </c>
      <c r="F1948" s="283" t="s">
        <v>1080</v>
      </c>
      <c r="G1948" s="283">
        <v>2</v>
      </c>
      <c r="H1948" s="283">
        <v>0</v>
      </c>
      <c r="I1948" s="283">
        <v>1</v>
      </c>
      <c r="J1948" s="284">
        <v>0</v>
      </c>
    </row>
    <row r="1949" spans="3:10" x14ac:dyDescent="0.25">
      <c r="C1949" s="300" t="s">
        <v>1061</v>
      </c>
      <c r="D1949" s="283" t="s">
        <v>1079</v>
      </c>
      <c r="E1949" s="283" t="s">
        <v>1086</v>
      </c>
      <c r="F1949" s="283" t="s">
        <v>1075</v>
      </c>
      <c r="G1949" s="283">
        <v>2</v>
      </c>
      <c r="H1949" s="283">
        <v>0</v>
      </c>
      <c r="I1949" s="283">
        <v>0</v>
      </c>
      <c r="J1949" s="284">
        <v>0</v>
      </c>
    </row>
    <row r="1950" spans="3:10" x14ac:dyDescent="0.25">
      <c r="C1950" s="300" t="s">
        <v>1061</v>
      </c>
      <c r="D1950" s="283" t="s">
        <v>1079</v>
      </c>
      <c r="E1950" s="283" t="s">
        <v>1075</v>
      </c>
      <c r="F1950" s="283" t="s">
        <v>1089</v>
      </c>
      <c r="G1950" s="283">
        <v>2</v>
      </c>
      <c r="H1950" s="283">
        <v>0</v>
      </c>
      <c r="I1950" s="283">
        <v>2</v>
      </c>
      <c r="J1950" s="284">
        <v>0</v>
      </c>
    </row>
    <row r="1951" spans="3:10" x14ac:dyDescent="0.25">
      <c r="C1951" s="300" t="s">
        <v>1067</v>
      </c>
      <c r="D1951" s="283" t="s">
        <v>1079</v>
      </c>
      <c r="E1951" s="283" t="s">
        <v>1078</v>
      </c>
      <c r="F1951" s="283" t="s">
        <v>1078</v>
      </c>
      <c r="G1951" s="283">
        <v>2</v>
      </c>
      <c r="H1951" s="283">
        <v>0</v>
      </c>
      <c r="I1951" s="283">
        <v>0</v>
      </c>
      <c r="J1951" s="284">
        <v>0</v>
      </c>
    </row>
    <row r="1952" spans="3:10" x14ac:dyDescent="0.25">
      <c r="C1952" s="300" t="s">
        <v>1066</v>
      </c>
      <c r="D1952" s="283" t="s">
        <v>1087</v>
      </c>
      <c r="E1952" s="283" t="s">
        <v>1044</v>
      </c>
      <c r="F1952" s="283" t="s">
        <v>524</v>
      </c>
      <c r="G1952" s="283">
        <v>3</v>
      </c>
      <c r="H1952" s="283">
        <v>0</v>
      </c>
      <c r="I1952" s="283">
        <v>1</v>
      </c>
      <c r="J1952" s="284">
        <v>0</v>
      </c>
    </row>
    <row r="1953" spans="3:10" x14ac:dyDescent="0.25">
      <c r="C1953" s="300" t="s">
        <v>1062</v>
      </c>
      <c r="D1953" s="283" t="s">
        <v>1087</v>
      </c>
      <c r="E1953" s="283" t="s">
        <v>1083</v>
      </c>
      <c r="F1953" s="283" t="s">
        <v>524</v>
      </c>
      <c r="G1953" s="283">
        <v>1</v>
      </c>
      <c r="H1953" s="283">
        <v>0</v>
      </c>
      <c r="I1953" s="283">
        <v>1</v>
      </c>
      <c r="J1953" s="284">
        <v>0</v>
      </c>
    </row>
    <row r="1954" spans="3:10" x14ac:dyDescent="0.25">
      <c r="C1954" s="300" t="s">
        <v>1065</v>
      </c>
      <c r="D1954" s="283" t="s">
        <v>1077</v>
      </c>
      <c r="E1954" s="283" t="s">
        <v>1076</v>
      </c>
      <c r="F1954" s="283" t="s">
        <v>1084</v>
      </c>
      <c r="G1954" s="283">
        <v>2</v>
      </c>
      <c r="H1954" s="283">
        <v>0</v>
      </c>
      <c r="I1954" s="283">
        <v>0</v>
      </c>
      <c r="J1954" s="284">
        <v>2</v>
      </c>
    </row>
    <row r="1955" spans="3:10" x14ac:dyDescent="0.25">
      <c r="C1955" s="300" t="s">
        <v>1065</v>
      </c>
      <c r="D1955" s="283" t="s">
        <v>1079</v>
      </c>
      <c r="E1955" s="283" t="s">
        <v>1075</v>
      </c>
      <c r="F1955" s="283" t="s">
        <v>1075</v>
      </c>
      <c r="G1955" s="283">
        <v>3</v>
      </c>
      <c r="H1955" s="283">
        <v>0</v>
      </c>
      <c r="I1955" s="283">
        <v>0</v>
      </c>
      <c r="J1955" s="284">
        <v>0</v>
      </c>
    </row>
    <row r="1956" spans="3:10" x14ac:dyDescent="0.25">
      <c r="C1956" s="300" t="s">
        <v>1059</v>
      </c>
      <c r="D1956" s="283" t="s">
        <v>1074</v>
      </c>
      <c r="E1956" s="283" t="s">
        <v>1089</v>
      </c>
      <c r="F1956" s="283" t="s">
        <v>1089</v>
      </c>
      <c r="G1956" s="283">
        <v>2</v>
      </c>
      <c r="H1956" s="283">
        <v>0</v>
      </c>
      <c r="I1956" s="283">
        <v>2</v>
      </c>
      <c r="J1956" s="284">
        <v>0</v>
      </c>
    </row>
    <row r="1957" spans="3:10" x14ac:dyDescent="0.25">
      <c r="C1957" s="300" t="s">
        <v>1066</v>
      </c>
      <c r="D1957" s="283" t="s">
        <v>1074</v>
      </c>
      <c r="E1957" s="283" t="s">
        <v>1089</v>
      </c>
      <c r="F1957" s="283" t="s">
        <v>1075</v>
      </c>
      <c r="G1957" s="283">
        <v>2</v>
      </c>
      <c r="H1957" s="283">
        <v>0</v>
      </c>
      <c r="I1957" s="283">
        <v>0</v>
      </c>
      <c r="J1957" s="284">
        <v>0</v>
      </c>
    </row>
    <row r="1958" spans="3:10" x14ac:dyDescent="0.25">
      <c r="C1958" s="300" t="s">
        <v>1066</v>
      </c>
      <c r="D1958" s="283" t="s">
        <v>1077</v>
      </c>
      <c r="E1958" s="283" t="s">
        <v>1089</v>
      </c>
      <c r="F1958" s="283" t="s">
        <v>1075</v>
      </c>
      <c r="G1958" s="283">
        <v>3</v>
      </c>
      <c r="H1958" s="283">
        <v>0</v>
      </c>
      <c r="I1958" s="283">
        <v>0</v>
      </c>
      <c r="J1958" s="284">
        <v>0</v>
      </c>
    </row>
    <row r="1959" spans="3:10" x14ac:dyDescent="0.25">
      <c r="C1959" s="300" t="s">
        <v>1062</v>
      </c>
      <c r="D1959" s="283" t="s">
        <v>1087</v>
      </c>
      <c r="E1959" s="283" t="s">
        <v>1075</v>
      </c>
      <c r="F1959" s="283" t="s">
        <v>524</v>
      </c>
      <c r="G1959" s="283">
        <v>1</v>
      </c>
      <c r="H1959" s="283">
        <v>0</v>
      </c>
      <c r="I1959" s="283">
        <v>1</v>
      </c>
      <c r="J1959" s="284">
        <v>0</v>
      </c>
    </row>
    <row r="1960" spans="3:10" x14ac:dyDescent="0.25">
      <c r="C1960" s="300" t="s">
        <v>1058</v>
      </c>
      <c r="D1960" s="283" t="s">
        <v>1087</v>
      </c>
      <c r="E1960" s="283" t="s">
        <v>1075</v>
      </c>
      <c r="F1960" s="283" t="s">
        <v>524</v>
      </c>
      <c r="G1960" s="283">
        <v>1</v>
      </c>
      <c r="H1960" s="283">
        <v>0</v>
      </c>
      <c r="I1960" s="283">
        <v>0</v>
      </c>
      <c r="J1960" s="284">
        <v>0</v>
      </c>
    </row>
    <row r="1961" spans="3:10" x14ac:dyDescent="0.25">
      <c r="C1961" s="300" t="s">
        <v>1063</v>
      </c>
      <c r="D1961" s="283" t="s">
        <v>1077</v>
      </c>
      <c r="E1961" s="283" t="s">
        <v>1076</v>
      </c>
      <c r="F1961" s="283" t="s">
        <v>1075</v>
      </c>
      <c r="G1961" s="283">
        <v>3</v>
      </c>
      <c r="H1961" s="283">
        <v>0</v>
      </c>
      <c r="I1961" s="283">
        <v>0</v>
      </c>
      <c r="J1961" s="284">
        <v>0</v>
      </c>
    </row>
    <row r="1962" spans="3:10" x14ac:dyDescent="0.25">
      <c r="C1962" s="300" t="s">
        <v>1065</v>
      </c>
      <c r="D1962" s="283" t="s">
        <v>1074</v>
      </c>
      <c r="E1962" s="283" t="s">
        <v>1076</v>
      </c>
      <c r="F1962" s="283" t="s">
        <v>1083</v>
      </c>
      <c r="G1962" s="283">
        <v>2</v>
      </c>
      <c r="H1962" s="283">
        <v>0</v>
      </c>
      <c r="I1962" s="283">
        <v>0</v>
      </c>
      <c r="J1962" s="284">
        <v>0</v>
      </c>
    </row>
    <row r="1963" spans="3:10" x14ac:dyDescent="0.25">
      <c r="C1963" s="300" t="s">
        <v>1064</v>
      </c>
      <c r="D1963" s="283" t="s">
        <v>1079</v>
      </c>
      <c r="E1963" s="283" t="s">
        <v>1089</v>
      </c>
      <c r="F1963" s="283" t="s">
        <v>1076</v>
      </c>
      <c r="G1963" s="283">
        <v>2</v>
      </c>
      <c r="H1963" s="283">
        <v>0</v>
      </c>
      <c r="I1963" s="283">
        <v>0</v>
      </c>
      <c r="J1963" s="284">
        <v>0</v>
      </c>
    </row>
    <row r="1964" spans="3:10" x14ac:dyDescent="0.25">
      <c r="C1964" s="300" t="s">
        <v>1066</v>
      </c>
      <c r="D1964" s="283" t="s">
        <v>1074</v>
      </c>
      <c r="E1964" s="283" t="s">
        <v>1094</v>
      </c>
      <c r="F1964" s="283" t="s">
        <v>1075</v>
      </c>
      <c r="G1964" s="283">
        <v>2</v>
      </c>
      <c r="H1964" s="283">
        <v>0</v>
      </c>
      <c r="I1964" s="283">
        <v>0</v>
      </c>
      <c r="J1964" s="284">
        <v>0</v>
      </c>
    </row>
    <row r="1965" spans="3:10" x14ac:dyDescent="0.25">
      <c r="C1965" s="300" t="s">
        <v>1062</v>
      </c>
      <c r="D1965" s="283" t="s">
        <v>1087</v>
      </c>
      <c r="E1965" s="283" t="s">
        <v>1075</v>
      </c>
      <c r="F1965" s="283" t="s">
        <v>524</v>
      </c>
      <c r="G1965" s="283">
        <v>1</v>
      </c>
      <c r="H1965" s="283">
        <v>0</v>
      </c>
      <c r="I1965" s="283">
        <v>0</v>
      </c>
      <c r="J1965" s="284">
        <v>1</v>
      </c>
    </row>
    <row r="1966" spans="3:10" x14ac:dyDescent="0.25">
      <c r="C1966" s="300" t="s">
        <v>1060</v>
      </c>
      <c r="D1966" s="283" t="s">
        <v>1074</v>
      </c>
      <c r="E1966" s="283" t="s">
        <v>1076</v>
      </c>
      <c r="F1966" s="283" t="s">
        <v>1075</v>
      </c>
      <c r="G1966" s="283">
        <v>2</v>
      </c>
      <c r="H1966" s="283">
        <v>0</v>
      </c>
      <c r="I1966" s="283">
        <v>0</v>
      </c>
      <c r="J1966" s="284">
        <v>1</v>
      </c>
    </row>
    <row r="1967" spans="3:10" x14ac:dyDescent="0.25">
      <c r="C1967" s="300" t="s">
        <v>1066</v>
      </c>
      <c r="D1967" s="283" t="s">
        <v>1077</v>
      </c>
      <c r="E1967" s="283" t="s">
        <v>1075</v>
      </c>
      <c r="F1967" s="283" t="s">
        <v>1075</v>
      </c>
      <c r="G1967" s="283">
        <v>2</v>
      </c>
      <c r="H1967" s="283">
        <v>0</v>
      </c>
      <c r="I1967" s="283">
        <v>1</v>
      </c>
      <c r="J1967" s="284">
        <v>0</v>
      </c>
    </row>
    <row r="1968" spans="3:10" x14ac:dyDescent="0.25">
      <c r="C1968" s="300" t="s">
        <v>1066</v>
      </c>
      <c r="D1968" s="283" t="s">
        <v>1074</v>
      </c>
      <c r="E1968" s="283" t="s">
        <v>1089</v>
      </c>
      <c r="F1968" s="283" t="s">
        <v>1089</v>
      </c>
      <c r="G1968" s="283">
        <v>2</v>
      </c>
      <c r="H1968" s="283">
        <v>0</v>
      </c>
      <c r="I1968" s="283">
        <v>0</v>
      </c>
      <c r="J1968" s="284">
        <v>0</v>
      </c>
    </row>
    <row r="1969" spans="3:10" x14ac:dyDescent="0.25">
      <c r="C1969" s="300" t="s">
        <v>1061</v>
      </c>
      <c r="D1969" s="283" t="s">
        <v>1077</v>
      </c>
      <c r="E1969" s="283" t="s">
        <v>1089</v>
      </c>
      <c r="F1969" s="283" t="s">
        <v>1084</v>
      </c>
      <c r="G1969" s="283">
        <v>3</v>
      </c>
      <c r="H1969" s="283">
        <v>0</v>
      </c>
      <c r="I1969" s="283">
        <v>0</v>
      </c>
      <c r="J1969" s="284">
        <v>0</v>
      </c>
    </row>
    <row r="1970" spans="3:10" x14ac:dyDescent="0.25">
      <c r="C1970" s="300" t="s">
        <v>1063</v>
      </c>
      <c r="D1970" s="283" t="s">
        <v>1079</v>
      </c>
      <c r="E1970" s="283" t="s">
        <v>1075</v>
      </c>
      <c r="F1970" s="283" t="s">
        <v>1089</v>
      </c>
      <c r="G1970" s="283">
        <v>3</v>
      </c>
      <c r="H1970" s="283">
        <v>0</v>
      </c>
      <c r="I1970" s="283">
        <v>0</v>
      </c>
      <c r="J1970" s="284">
        <v>0</v>
      </c>
    </row>
    <row r="1971" spans="3:10" x14ac:dyDescent="0.25">
      <c r="C1971" s="300" t="s">
        <v>1065</v>
      </c>
      <c r="D1971" s="283" t="s">
        <v>1077</v>
      </c>
      <c r="E1971" s="283" t="s">
        <v>1081</v>
      </c>
      <c r="F1971" s="283" t="s">
        <v>1075</v>
      </c>
      <c r="G1971" s="283">
        <v>2</v>
      </c>
      <c r="H1971" s="283">
        <v>0</v>
      </c>
      <c r="I1971" s="283">
        <v>0</v>
      </c>
      <c r="J1971" s="284">
        <v>0</v>
      </c>
    </row>
    <row r="1972" spans="3:10" x14ac:dyDescent="0.25">
      <c r="C1972" s="300" t="s">
        <v>1059</v>
      </c>
      <c r="D1972" s="283" t="s">
        <v>1079</v>
      </c>
      <c r="E1972" s="283" t="s">
        <v>1075</v>
      </c>
      <c r="F1972" s="283" t="s">
        <v>1075</v>
      </c>
      <c r="G1972" s="283">
        <v>3</v>
      </c>
      <c r="H1972" s="283">
        <v>0</v>
      </c>
      <c r="I1972" s="283">
        <v>0</v>
      </c>
      <c r="J1972" s="284">
        <v>0</v>
      </c>
    </row>
    <row r="1973" spans="3:10" x14ac:dyDescent="0.25">
      <c r="C1973" s="300" t="s">
        <v>1065</v>
      </c>
      <c r="D1973" s="283" t="s">
        <v>1079</v>
      </c>
      <c r="E1973" s="283" t="s">
        <v>1075</v>
      </c>
      <c r="F1973" s="283" t="s">
        <v>1080</v>
      </c>
      <c r="G1973" s="283">
        <v>2</v>
      </c>
      <c r="H1973" s="283">
        <v>0</v>
      </c>
      <c r="I1973" s="283">
        <v>0</v>
      </c>
      <c r="J1973" s="284">
        <v>0</v>
      </c>
    </row>
    <row r="1974" spans="3:10" x14ac:dyDescent="0.25">
      <c r="C1974" s="300" t="s">
        <v>1064</v>
      </c>
      <c r="D1974" s="283" t="s">
        <v>1077</v>
      </c>
      <c r="E1974" s="283" t="s">
        <v>1089</v>
      </c>
      <c r="F1974" s="283" t="s">
        <v>1076</v>
      </c>
      <c r="G1974" s="283">
        <v>3</v>
      </c>
      <c r="H1974" s="283">
        <v>0</v>
      </c>
      <c r="I1974" s="283">
        <v>0</v>
      </c>
      <c r="J1974" s="284">
        <v>0</v>
      </c>
    </row>
    <row r="1975" spans="3:10" x14ac:dyDescent="0.25">
      <c r="C1975" s="300" t="s">
        <v>1065</v>
      </c>
      <c r="D1975" s="283" t="s">
        <v>1079</v>
      </c>
      <c r="E1975" s="283" t="s">
        <v>1089</v>
      </c>
      <c r="F1975" s="283" t="s">
        <v>1075</v>
      </c>
      <c r="G1975" s="283">
        <v>2</v>
      </c>
      <c r="H1975" s="283">
        <v>0</v>
      </c>
      <c r="I1975" s="283">
        <v>0</v>
      </c>
      <c r="J1975" s="284">
        <v>0</v>
      </c>
    </row>
    <row r="1976" spans="3:10" x14ac:dyDescent="0.25">
      <c r="C1976" s="300" t="s">
        <v>1060</v>
      </c>
      <c r="D1976" s="283" t="s">
        <v>1077</v>
      </c>
      <c r="E1976" s="283" t="s">
        <v>1075</v>
      </c>
      <c r="F1976" s="283" t="s">
        <v>1089</v>
      </c>
      <c r="G1976" s="283">
        <v>2</v>
      </c>
      <c r="H1976" s="283">
        <v>0</v>
      </c>
      <c r="I1976" s="283">
        <v>0</v>
      </c>
      <c r="J1976" s="284">
        <v>0</v>
      </c>
    </row>
    <row r="1977" spans="3:10" x14ac:dyDescent="0.25">
      <c r="C1977" s="300" t="s">
        <v>1063</v>
      </c>
      <c r="D1977" s="283" t="s">
        <v>1077</v>
      </c>
      <c r="E1977" s="283" t="s">
        <v>1075</v>
      </c>
      <c r="F1977" s="283" t="s">
        <v>1075</v>
      </c>
      <c r="G1977" s="283">
        <v>2</v>
      </c>
      <c r="H1977" s="283">
        <v>0</v>
      </c>
      <c r="I1977" s="283">
        <v>0</v>
      </c>
      <c r="J1977" s="284">
        <v>0</v>
      </c>
    </row>
    <row r="1978" spans="3:10" x14ac:dyDescent="0.25">
      <c r="C1978" s="300" t="s">
        <v>1067</v>
      </c>
      <c r="D1978" s="283" t="s">
        <v>1079</v>
      </c>
      <c r="E1978" s="283" t="s">
        <v>1075</v>
      </c>
      <c r="F1978" s="283" t="s">
        <v>1075</v>
      </c>
      <c r="G1978" s="283">
        <v>2</v>
      </c>
      <c r="H1978" s="283">
        <v>0</v>
      </c>
      <c r="I1978" s="283">
        <v>1</v>
      </c>
      <c r="J1978" s="284">
        <v>0</v>
      </c>
    </row>
    <row r="1979" spans="3:10" x14ac:dyDescent="0.25">
      <c r="C1979" s="300" t="s">
        <v>1061</v>
      </c>
      <c r="D1979" s="283" t="s">
        <v>1077</v>
      </c>
      <c r="E1979" s="283" t="s">
        <v>1076</v>
      </c>
      <c r="F1979" s="283" t="s">
        <v>1075</v>
      </c>
      <c r="G1979" s="283">
        <v>2</v>
      </c>
      <c r="H1979" s="283">
        <v>0</v>
      </c>
      <c r="I1979" s="283">
        <v>0</v>
      </c>
      <c r="J1979" s="284">
        <v>0</v>
      </c>
    </row>
    <row r="1980" spans="3:10" x14ac:dyDescent="0.25">
      <c r="C1980" s="300" t="s">
        <v>1066</v>
      </c>
      <c r="D1980" s="283" t="s">
        <v>1074</v>
      </c>
      <c r="E1980" s="283" t="s">
        <v>1078</v>
      </c>
      <c r="F1980" s="283" t="s">
        <v>1044</v>
      </c>
      <c r="G1980" s="283">
        <v>2</v>
      </c>
      <c r="H1980" s="283">
        <v>0</v>
      </c>
      <c r="I1980" s="283">
        <v>0</v>
      </c>
      <c r="J1980" s="284">
        <v>0</v>
      </c>
    </row>
    <row r="1981" spans="3:10" x14ac:dyDescent="0.25">
      <c r="C1981" s="300" t="s">
        <v>1061</v>
      </c>
      <c r="D1981" s="283" t="s">
        <v>1079</v>
      </c>
      <c r="E1981" s="283" t="s">
        <v>1075</v>
      </c>
      <c r="F1981" s="283" t="s">
        <v>1094</v>
      </c>
      <c r="G1981" s="283">
        <v>2</v>
      </c>
      <c r="H1981" s="283">
        <v>0</v>
      </c>
      <c r="I1981" s="283">
        <v>0</v>
      </c>
      <c r="J1981" s="284">
        <v>0</v>
      </c>
    </row>
    <row r="1982" spans="3:10" x14ac:dyDescent="0.25">
      <c r="C1982" s="300" t="s">
        <v>1061</v>
      </c>
      <c r="D1982" s="283" t="s">
        <v>1079</v>
      </c>
      <c r="E1982" s="283" t="s">
        <v>1075</v>
      </c>
      <c r="F1982" s="283" t="s">
        <v>1084</v>
      </c>
      <c r="G1982" s="283">
        <v>2</v>
      </c>
      <c r="H1982" s="283">
        <v>0</v>
      </c>
      <c r="I1982" s="283">
        <v>0</v>
      </c>
      <c r="J1982" s="284">
        <v>0</v>
      </c>
    </row>
    <row r="1983" spans="3:10" x14ac:dyDescent="0.25">
      <c r="C1983" s="300" t="s">
        <v>1062</v>
      </c>
      <c r="D1983" s="283" t="s">
        <v>1074</v>
      </c>
      <c r="E1983" s="283" t="s">
        <v>1075</v>
      </c>
      <c r="F1983" s="283" t="s">
        <v>1084</v>
      </c>
      <c r="G1983" s="283">
        <v>2</v>
      </c>
      <c r="H1983" s="283">
        <v>0</v>
      </c>
      <c r="I1983" s="283">
        <v>0</v>
      </c>
      <c r="J1983" s="284">
        <v>0</v>
      </c>
    </row>
    <row r="1984" spans="3:10" x14ac:dyDescent="0.25">
      <c r="C1984" s="300" t="s">
        <v>1065</v>
      </c>
      <c r="D1984" s="283" t="s">
        <v>1077</v>
      </c>
      <c r="E1984" s="283" t="s">
        <v>1089</v>
      </c>
      <c r="F1984" s="283" t="s">
        <v>1075</v>
      </c>
      <c r="G1984" s="283">
        <v>2</v>
      </c>
      <c r="H1984" s="283">
        <v>0</v>
      </c>
      <c r="I1984" s="283">
        <v>0</v>
      </c>
      <c r="J1984" s="284">
        <v>0</v>
      </c>
    </row>
    <row r="1985" spans="3:10" x14ac:dyDescent="0.25">
      <c r="C1985" s="300" t="s">
        <v>1067</v>
      </c>
      <c r="D1985" s="283" t="s">
        <v>1079</v>
      </c>
      <c r="E1985" s="283" t="s">
        <v>1075</v>
      </c>
      <c r="F1985" s="283" t="s">
        <v>1089</v>
      </c>
      <c r="G1985" s="283">
        <v>3</v>
      </c>
      <c r="H1985" s="283">
        <v>0</v>
      </c>
      <c r="I1985" s="283">
        <v>0</v>
      </c>
      <c r="J1985" s="284">
        <v>0</v>
      </c>
    </row>
    <row r="1986" spans="3:10" x14ac:dyDescent="0.25">
      <c r="C1986" s="300" t="s">
        <v>1060</v>
      </c>
      <c r="D1986" s="283" t="s">
        <v>1090</v>
      </c>
      <c r="E1986" s="283" t="s">
        <v>1093</v>
      </c>
      <c r="F1986" s="283" t="s">
        <v>524</v>
      </c>
      <c r="G1986" s="283">
        <v>2</v>
      </c>
      <c r="H1986" s="283">
        <v>0</v>
      </c>
      <c r="I1986" s="283">
        <v>0</v>
      </c>
      <c r="J1986" s="284">
        <v>1</v>
      </c>
    </row>
    <row r="1987" spans="3:10" x14ac:dyDescent="0.25">
      <c r="C1987" s="300" t="s">
        <v>1060</v>
      </c>
      <c r="D1987" s="283" t="s">
        <v>1077</v>
      </c>
      <c r="E1987" s="283" t="s">
        <v>1078</v>
      </c>
      <c r="F1987" s="283" t="s">
        <v>1075</v>
      </c>
      <c r="G1987" s="283">
        <v>2</v>
      </c>
      <c r="H1987" s="283">
        <v>0</v>
      </c>
      <c r="I1987" s="283">
        <v>1</v>
      </c>
      <c r="J1987" s="284">
        <v>1</v>
      </c>
    </row>
    <row r="1988" spans="3:10" x14ac:dyDescent="0.25">
      <c r="C1988" s="300" t="s">
        <v>1064</v>
      </c>
      <c r="D1988" s="283" t="s">
        <v>1087</v>
      </c>
      <c r="E1988" s="283" t="s">
        <v>1084</v>
      </c>
      <c r="F1988" s="283" t="s">
        <v>524</v>
      </c>
      <c r="G1988" s="283">
        <v>1</v>
      </c>
      <c r="H1988" s="283">
        <v>0</v>
      </c>
      <c r="I1988" s="283">
        <v>0</v>
      </c>
      <c r="J1988" s="284">
        <v>2</v>
      </c>
    </row>
    <row r="1989" spans="3:10" x14ac:dyDescent="0.25">
      <c r="C1989" s="300" t="s">
        <v>1064</v>
      </c>
      <c r="D1989" s="283" t="s">
        <v>1079</v>
      </c>
      <c r="E1989" s="283" t="s">
        <v>1075</v>
      </c>
      <c r="F1989" s="283" t="s">
        <v>1075</v>
      </c>
      <c r="G1989" s="283">
        <v>3</v>
      </c>
      <c r="H1989" s="283">
        <v>0</v>
      </c>
      <c r="I1989" s="283">
        <v>0</v>
      </c>
      <c r="J1989" s="284">
        <v>0</v>
      </c>
    </row>
    <row r="1990" spans="3:10" x14ac:dyDescent="0.25">
      <c r="C1990" s="300" t="s">
        <v>1063</v>
      </c>
      <c r="D1990" s="283" t="s">
        <v>1043</v>
      </c>
      <c r="E1990" s="283" t="s">
        <v>1076</v>
      </c>
      <c r="F1990" s="283" t="s">
        <v>1104</v>
      </c>
      <c r="G1990" s="283">
        <v>2</v>
      </c>
      <c r="H1990" s="283">
        <v>0</v>
      </c>
      <c r="I1990" s="283">
        <v>0</v>
      </c>
      <c r="J1990" s="284">
        <v>1</v>
      </c>
    </row>
    <row r="1991" spans="3:10" x14ac:dyDescent="0.25">
      <c r="C1991" s="300" t="s">
        <v>1065</v>
      </c>
      <c r="D1991" s="283" t="s">
        <v>1074</v>
      </c>
      <c r="E1991" s="283" t="s">
        <v>1089</v>
      </c>
      <c r="F1991" s="283" t="s">
        <v>1083</v>
      </c>
      <c r="G1991" s="283">
        <v>2</v>
      </c>
      <c r="H1991" s="283">
        <v>0</v>
      </c>
      <c r="I1991" s="283">
        <v>1</v>
      </c>
      <c r="J1991" s="284">
        <v>0</v>
      </c>
    </row>
    <row r="1992" spans="3:10" x14ac:dyDescent="0.25">
      <c r="C1992" s="300" t="s">
        <v>1061</v>
      </c>
      <c r="D1992" s="283" t="s">
        <v>1079</v>
      </c>
      <c r="E1992" s="283" t="s">
        <v>1075</v>
      </c>
      <c r="F1992" s="283" t="s">
        <v>1089</v>
      </c>
      <c r="G1992" s="283">
        <v>2</v>
      </c>
      <c r="H1992" s="283">
        <v>0</v>
      </c>
      <c r="I1992" s="283">
        <v>0</v>
      </c>
      <c r="J1992" s="284">
        <v>0</v>
      </c>
    </row>
    <row r="1993" spans="3:10" x14ac:dyDescent="0.25">
      <c r="C1993" s="300" t="s">
        <v>1062</v>
      </c>
      <c r="D1993" s="283" t="s">
        <v>1090</v>
      </c>
      <c r="E1993" s="283" t="s">
        <v>1088</v>
      </c>
      <c r="F1993" s="283" t="s">
        <v>524</v>
      </c>
      <c r="G1993" s="283">
        <v>1</v>
      </c>
      <c r="H1993" s="283">
        <v>0</v>
      </c>
      <c r="I1993" s="283">
        <v>0</v>
      </c>
      <c r="J1993" s="284">
        <v>0</v>
      </c>
    </row>
    <row r="1994" spans="3:10" x14ac:dyDescent="0.25">
      <c r="C1994" s="300" t="s">
        <v>1063</v>
      </c>
      <c r="D1994" s="283" t="s">
        <v>1079</v>
      </c>
      <c r="E1994" s="283" t="s">
        <v>1089</v>
      </c>
      <c r="F1994" s="283" t="s">
        <v>1080</v>
      </c>
      <c r="G1994" s="283">
        <v>2</v>
      </c>
      <c r="H1994" s="283">
        <v>0</v>
      </c>
      <c r="I1994" s="283">
        <v>0</v>
      </c>
      <c r="J1994" s="284">
        <v>1</v>
      </c>
    </row>
    <row r="1995" spans="3:10" x14ac:dyDescent="0.25">
      <c r="C1995" s="300" t="s">
        <v>1061</v>
      </c>
      <c r="D1995" s="283" t="s">
        <v>1087</v>
      </c>
      <c r="E1995" s="283" t="s">
        <v>1083</v>
      </c>
      <c r="F1995" s="283" t="s">
        <v>524</v>
      </c>
      <c r="G1995" s="283">
        <v>1</v>
      </c>
      <c r="H1995" s="283">
        <v>0</v>
      </c>
      <c r="I1995" s="283">
        <v>0</v>
      </c>
      <c r="J1995" s="284">
        <v>1</v>
      </c>
    </row>
    <row r="1996" spans="3:10" x14ac:dyDescent="0.25">
      <c r="C1996" s="300" t="s">
        <v>1063</v>
      </c>
      <c r="D1996" s="283" t="s">
        <v>1043</v>
      </c>
      <c r="E1996" s="283" t="s">
        <v>1075</v>
      </c>
      <c r="F1996" s="283" t="s">
        <v>1092</v>
      </c>
      <c r="G1996" s="283">
        <v>2</v>
      </c>
      <c r="H1996" s="283">
        <v>0</v>
      </c>
      <c r="I1996" s="283">
        <v>0</v>
      </c>
      <c r="J1996" s="284">
        <v>0</v>
      </c>
    </row>
    <row r="1997" spans="3:10" x14ac:dyDescent="0.25">
      <c r="C1997" s="300" t="s">
        <v>1062</v>
      </c>
      <c r="D1997" s="283" t="s">
        <v>1079</v>
      </c>
      <c r="E1997" s="283" t="s">
        <v>1075</v>
      </c>
      <c r="F1997" s="283" t="s">
        <v>1085</v>
      </c>
      <c r="G1997" s="283">
        <v>2</v>
      </c>
      <c r="H1997" s="283">
        <v>0</v>
      </c>
      <c r="I1997" s="283">
        <v>1</v>
      </c>
      <c r="J1997" s="284">
        <v>0</v>
      </c>
    </row>
    <row r="1998" spans="3:10" x14ac:dyDescent="0.25">
      <c r="C1998" s="300" t="s">
        <v>1066</v>
      </c>
      <c r="D1998" s="283" t="s">
        <v>1079</v>
      </c>
      <c r="E1998" s="283" t="s">
        <v>1098</v>
      </c>
      <c r="F1998" s="283" t="s">
        <v>1075</v>
      </c>
      <c r="G1998" s="283">
        <v>2</v>
      </c>
      <c r="H1998" s="283">
        <v>0</v>
      </c>
      <c r="I1998" s="283">
        <v>0</v>
      </c>
      <c r="J1998" s="284">
        <v>0</v>
      </c>
    </row>
    <row r="1999" spans="3:10" x14ac:dyDescent="0.25">
      <c r="C1999" s="300" t="s">
        <v>1065</v>
      </c>
      <c r="D1999" s="283" t="s">
        <v>1074</v>
      </c>
      <c r="E1999" s="283" t="s">
        <v>1075</v>
      </c>
      <c r="F1999" s="283" t="s">
        <v>1089</v>
      </c>
      <c r="G1999" s="283">
        <v>2</v>
      </c>
      <c r="H1999" s="283">
        <v>0</v>
      </c>
      <c r="I1999" s="283">
        <v>0</v>
      </c>
      <c r="J1999" s="284">
        <v>1</v>
      </c>
    </row>
    <row r="2000" spans="3:10" x14ac:dyDescent="0.25">
      <c r="C2000" s="300" t="s">
        <v>1064</v>
      </c>
      <c r="D2000" s="283" t="s">
        <v>1079</v>
      </c>
      <c r="E2000" s="283" t="s">
        <v>1078</v>
      </c>
      <c r="F2000" s="283" t="s">
        <v>1075</v>
      </c>
      <c r="G2000" s="283">
        <v>2</v>
      </c>
      <c r="H2000" s="283">
        <v>0</v>
      </c>
      <c r="I2000" s="283">
        <v>0</v>
      </c>
      <c r="J2000" s="284">
        <v>0</v>
      </c>
    </row>
    <row r="2001" spans="3:10" x14ac:dyDescent="0.25">
      <c r="C2001" s="300" t="s">
        <v>1064</v>
      </c>
      <c r="D2001" s="283" t="s">
        <v>1077</v>
      </c>
      <c r="E2001" s="283" t="s">
        <v>1088</v>
      </c>
      <c r="F2001" s="283" t="s">
        <v>1075</v>
      </c>
      <c r="G2001" s="283">
        <v>2</v>
      </c>
      <c r="H2001" s="283">
        <v>0</v>
      </c>
      <c r="I2001" s="283">
        <v>0</v>
      </c>
      <c r="J2001" s="284">
        <v>0</v>
      </c>
    </row>
    <row r="2002" spans="3:10" x14ac:dyDescent="0.25">
      <c r="C2002" s="300" t="s">
        <v>1064</v>
      </c>
      <c r="D2002" s="283" t="s">
        <v>1087</v>
      </c>
      <c r="E2002" s="283" t="s">
        <v>1075</v>
      </c>
      <c r="F2002" s="283" t="s">
        <v>524</v>
      </c>
      <c r="G2002" s="283">
        <v>1</v>
      </c>
      <c r="H2002" s="283">
        <v>0</v>
      </c>
      <c r="I2002" s="283">
        <v>1</v>
      </c>
      <c r="J2002" s="284">
        <v>0</v>
      </c>
    </row>
    <row r="2003" spans="3:10" x14ac:dyDescent="0.25">
      <c r="C2003" s="300" t="s">
        <v>1060</v>
      </c>
      <c r="D2003" s="283" t="s">
        <v>1090</v>
      </c>
      <c r="E2003" s="283" t="s">
        <v>1075</v>
      </c>
      <c r="F2003" s="283" t="s">
        <v>524</v>
      </c>
      <c r="G2003" s="283">
        <v>1</v>
      </c>
      <c r="H2003" s="283">
        <v>0</v>
      </c>
      <c r="I2003" s="283">
        <v>0</v>
      </c>
      <c r="J2003" s="284">
        <v>0</v>
      </c>
    </row>
    <row r="2004" spans="3:10" x14ac:dyDescent="0.25">
      <c r="C2004" s="300" t="s">
        <v>1063</v>
      </c>
      <c r="D2004" s="283" t="s">
        <v>1077</v>
      </c>
      <c r="E2004" s="283" t="s">
        <v>1075</v>
      </c>
      <c r="F2004" s="283" t="s">
        <v>1075</v>
      </c>
      <c r="G2004" s="283">
        <v>3</v>
      </c>
      <c r="H2004" s="283">
        <v>0</v>
      </c>
      <c r="I2004" s="283">
        <v>0</v>
      </c>
      <c r="J2004" s="284">
        <v>0</v>
      </c>
    </row>
    <row r="2005" spans="3:10" x14ac:dyDescent="0.25">
      <c r="C2005" s="300" t="s">
        <v>1061</v>
      </c>
      <c r="D2005" s="283" t="s">
        <v>1079</v>
      </c>
      <c r="E2005" s="283" t="s">
        <v>1075</v>
      </c>
      <c r="F2005" s="283" t="s">
        <v>1075</v>
      </c>
      <c r="G2005" s="283">
        <v>2</v>
      </c>
      <c r="H2005" s="283">
        <v>0</v>
      </c>
      <c r="I2005" s="283">
        <v>0</v>
      </c>
      <c r="J2005" s="284">
        <v>1</v>
      </c>
    </row>
    <row r="2006" spans="3:10" x14ac:dyDescent="0.25">
      <c r="C2006" s="300" t="s">
        <v>1064</v>
      </c>
      <c r="D2006" s="283" t="s">
        <v>1079</v>
      </c>
      <c r="E2006" s="283" t="s">
        <v>1089</v>
      </c>
      <c r="F2006" s="283" t="s">
        <v>1084</v>
      </c>
      <c r="G2006" s="283">
        <v>2</v>
      </c>
      <c r="H2006" s="283">
        <v>0</v>
      </c>
      <c r="I2006" s="283">
        <v>0</v>
      </c>
      <c r="J2006" s="284">
        <v>0</v>
      </c>
    </row>
    <row r="2007" spans="3:10" x14ac:dyDescent="0.25">
      <c r="C2007" s="300" t="s">
        <v>1065</v>
      </c>
      <c r="D2007" s="283" t="s">
        <v>1074</v>
      </c>
      <c r="E2007" s="283" t="s">
        <v>1078</v>
      </c>
      <c r="F2007" s="283" t="s">
        <v>1075</v>
      </c>
      <c r="G2007" s="283">
        <v>2</v>
      </c>
      <c r="H2007" s="283">
        <v>0</v>
      </c>
      <c r="I2007" s="283">
        <v>0</v>
      </c>
      <c r="J2007" s="284">
        <v>0</v>
      </c>
    </row>
    <row r="2008" spans="3:10" x14ac:dyDescent="0.25">
      <c r="C2008" s="300" t="s">
        <v>1065</v>
      </c>
      <c r="D2008" s="283" t="s">
        <v>1095</v>
      </c>
      <c r="E2008" s="283" t="s">
        <v>1075</v>
      </c>
      <c r="F2008" s="283" t="s">
        <v>524</v>
      </c>
      <c r="G2008" s="283">
        <v>1</v>
      </c>
      <c r="H2008" s="283">
        <v>0</v>
      </c>
      <c r="I2008" s="283">
        <v>0</v>
      </c>
      <c r="J2008" s="284">
        <v>0</v>
      </c>
    </row>
    <row r="2009" spans="3:10" x14ac:dyDescent="0.25">
      <c r="C2009" s="300" t="s">
        <v>1063</v>
      </c>
      <c r="D2009" s="283" t="s">
        <v>1077</v>
      </c>
      <c r="E2009" s="283" t="s">
        <v>1075</v>
      </c>
      <c r="F2009" s="283" t="s">
        <v>1076</v>
      </c>
      <c r="G2009" s="283">
        <v>2</v>
      </c>
      <c r="H2009" s="283">
        <v>0</v>
      </c>
      <c r="I2009" s="283">
        <v>0</v>
      </c>
      <c r="J2009" s="284">
        <v>1</v>
      </c>
    </row>
    <row r="2010" spans="3:10" x14ac:dyDescent="0.25">
      <c r="C2010" s="300" t="s">
        <v>1060</v>
      </c>
      <c r="D2010" s="283" t="s">
        <v>1077</v>
      </c>
      <c r="E2010" s="283" t="s">
        <v>1075</v>
      </c>
      <c r="F2010" s="283" t="s">
        <v>1075</v>
      </c>
      <c r="G2010" s="283">
        <v>2</v>
      </c>
      <c r="H2010" s="283">
        <v>0</v>
      </c>
      <c r="I2010" s="283">
        <v>0</v>
      </c>
      <c r="J2010" s="284">
        <v>0</v>
      </c>
    </row>
    <row r="2011" spans="3:10" x14ac:dyDescent="0.25">
      <c r="C2011" s="300" t="s">
        <v>1063</v>
      </c>
      <c r="D2011" s="283" t="s">
        <v>1079</v>
      </c>
      <c r="E2011" s="283" t="s">
        <v>1075</v>
      </c>
      <c r="F2011" s="283" t="s">
        <v>1075</v>
      </c>
      <c r="G2011" s="283">
        <v>2</v>
      </c>
      <c r="H2011" s="283">
        <v>0</v>
      </c>
      <c r="I2011" s="283">
        <v>0</v>
      </c>
      <c r="J2011" s="284">
        <v>0</v>
      </c>
    </row>
    <row r="2012" spans="3:10" x14ac:dyDescent="0.25">
      <c r="C2012" s="300" t="s">
        <v>1063</v>
      </c>
      <c r="D2012" s="283" t="s">
        <v>1079</v>
      </c>
      <c r="E2012" s="283" t="s">
        <v>1076</v>
      </c>
      <c r="F2012" s="283" t="s">
        <v>1084</v>
      </c>
      <c r="G2012" s="283">
        <v>2</v>
      </c>
      <c r="H2012" s="283">
        <v>0</v>
      </c>
      <c r="I2012" s="283">
        <v>0</v>
      </c>
      <c r="J2012" s="284">
        <v>0</v>
      </c>
    </row>
    <row r="2013" spans="3:10" x14ac:dyDescent="0.25">
      <c r="C2013" s="300" t="s">
        <v>1064</v>
      </c>
      <c r="D2013" s="283" t="s">
        <v>1074</v>
      </c>
      <c r="E2013" s="283" t="s">
        <v>1075</v>
      </c>
      <c r="F2013" s="283" t="s">
        <v>1076</v>
      </c>
      <c r="G2013" s="283">
        <v>2</v>
      </c>
      <c r="H2013" s="283">
        <v>0</v>
      </c>
      <c r="I2013" s="283">
        <v>0</v>
      </c>
      <c r="J2013" s="284">
        <v>0</v>
      </c>
    </row>
    <row r="2014" spans="3:10" x14ac:dyDescent="0.25">
      <c r="C2014" s="300" t="s">
        <v>1061</v>
      </c>
      <c r="D2014" s="283" t="s">
        <v>1074</v>
      </c>
      <c r="E2014" s="283" t="s">
        <v>1075</v>
      </c>
      <c r="F2014" s="283" t="s">
        <v>1075</v>
      </c>
      <c r="G2014" s="283">
        <v>2</v>
      </c>
      <c r="H2014" s="283">
        <v>0</v>
      </c>
      <c r="I2014" s="283">
        <v>0</v>
      </c>
      <c r="J2014" s="284">
        <v>0</v>
      </c>
    </row>
    <row r="2015" spans="3:10" x14ac:dyDescent="0.25">
      <c r="C2015" s="300" t="s">
        <v>1060</v>
      </c>
      <c r="D2015" s="283" t="s">
        <v>1074</v>
      </c>
      <c r="E2015" s="283" t="s">
        <v>1075</v>
      </c>
      <c r="F2015" s="283" t="s">
        <v>1075</v>
      </c>
      <c r="G2015" s="283">
        <v>2</v>
      </c>
      <c r="H2015" s="283">
        <v>0</v>
      </c>
      <c r="I2015" s="283">
        <v>0</v>
      </c>
      <c r="J2015" s="284">
        <v>0</v>
      </c>
    </row>
    <row r="2016" spans="3:10" x14ac:dyDescent="0.25">
      <c r="C2016" s="300" t="s">
        <v>1064</v>
      </c>
      <c r="D2016" s="283" t="s">
        <v>1079</v>
      </c>
      <c r="E2016" s="283" t="s">
        <v>1075</v>
      </c>
      <c r="F2016" s="283" t="s">
        <v>1078</v>
      </c>
      <c r="G2016" s="283">
        <v>2</v>
      </c>
      <c r="H2016" s="283">
        <v>0</v>
      </c>
      <c r="I2016" s="283">
        <v>0</v>
      </c>
      <c r="J2016" s="284">
        <v>0</v>
      </c>
    </row>
    <row r="2017" spans="3:10" x14ac:dyDescent="0.25">
      <c r="C2017" s="300" t="s">
        <v>1064</v>
      </c>
      <c r="D2017" s="283" t="s">
        <v>1087</v>
      </c>
      <c r="E2017" s="283" t="s">
        <v>1076</v>
      </c>
      <c r="F2017" s="283" t="s">
        <v>524</v>
      </c>
      <c r="G2017" s="283">
        <v>1</v>
      </c>
      <c r="H2017" s="283">
        <v>0</v>
      </c>
      <c r="I2017" s="283">
        <v>1</v>
      </c>
      <c r="J2017" s="284">
        <v>0</v>
      </c>
    </row>
    <row r="2018" spans="3:10" x14ac:dyDescent="0.25">
      <c r="C2018" s="300" t="s">
        <v>1057</v>
      </c>
      <c r="D2018" s="283" t="s">
        <v>1087</v>
      </c>
      <c r="E2018" s="283" t="s">
        <v>1076</v>
      </c>
      <c r="F2018" s="283" t="s">
        <v>524</v>
      </c>
      <c r="G2018" s="283">
        <v>1</v>
      </c>
      <c r="H2018" s="283">
        <v>0</v>
      </c>
      <c r="I2018" s="283">
        <v>0</v>
      </c>
      <c r="J2018" s="284">
        <v>0</v>
      </c>
    </row>
    <row r="2019" spans="3:10" x14ac:dyDescent="0.25">
      <c r="C2019" s="300" t="s">
        <v>1066</v>
      </c>
      <c r="D2019" s="283" t="s">
        <v>1079</v>
      </c>
      <c r="E2019" s="283" t="s">
        <v>1075</v>
      </c>
      <c r="F2019" s="283" t="s">
        <v>1078</v>
      </c>
      <c r="G2019" s="283">
        <v>2</v>
      </c>
      <c r="H2019" s="283">
        <v>0</v>
      </c>
      <c r="I2019" s="283">
        <v>0</v>
      </c>
      <c r="J2019" s="284">
        <v>0</v>
      </c>
    </row>
    <row r="2020" spans="3:10" x14ac:dyDescent="0.25">
      <c r="C2020" s="300" t="s">
        <v>1063</v>
      </c>
      <c r="D2020" s="283" t="s">
        <v>1077</v>
      </c>
      <c r="E2020" s="283" t="s">
        <v>1075</v>
      </c>
      <c r="F2020" s="283" t="s">
        <v>1075</v>
      </c>
      <c r="G2020" s="283">
        <v>3</v>
      </c>
      <c r="H2020" s="283">
        <v>0</v>
      </c>
      <c r="I2020" s="283">
        <v>0</v>
      </c>
      <c r="J2020" s="284">
        <v>0</v>
      </c>
    </row>
    <row r="2021" spans="3:10" x14ac:dyDescent="0.25">
      <c r="C2021" s="300" t="s">
        <v>1062</v>
      </c>
      <c r="D2021" s="283" t="s">
        <v>1079</v>
      </c>
      <c r="E2021" s="283" t="s">
        <v>1076</v>
      </c>
      <c r="F2021" s="283" t="s">
        <v>1075</v>
      </c>
      <c r="G2021" s="283">
        <v>2</v>
      </c>
      <c r="H2021" s="283">
        <v>0</v>
      </c>
      <c r="I2021" s="283">
        <v>0</v>
      </c>
      <c r="J2021" s="284">
        <v>1</v>
      </c>
    </row>
    <row r="2022" spans="3:10" x14ac:dyDescent="0.25">
      <c r="C2022" s="300" t="s">
        <v>1062</v>
      </c>
      <c r="D2022" s="283" t="s">
        <v>1074</v>
      </c>
      <c r="E2022" s="283" t="s">
        <v>1075</v>
      </c>
      <c r="F2022" s="283" t="s">
        <v>1075</v>
      </c>
      <c r="G2022" s="283">
        <v>2</v>
      </c>
      <c r="H2022" s="283">
        <v>0</v>
      </c>
      <c r="I2022" s="283">
        <v>0</v>
      </c>
      <c r="J2022" s="284">
        <v>0</v>
      </c>
    </row>
    <row r="2023" spans="3:10" x14ac:dyDescent="0.25">
      <c r="C2023" s="300" t="s">
        <v>1063</v>
      </c>
      <c r="D2023" s="283" t="s">
        <v>1077</v>
      </c>
      <c r="E2023" s="283" t="s">
        <v>1089</v>
      </c>
      <c r="F2023" s="283" t="s">
        <v>1080</v>
      </c>
      <c r="G2023" s="283">
        <v>2</v>
      </c>
      <c r="H2023" s="283">
        <v>0</v>
      </c>
      <c r="I2023" s="283">
        <v>0</v>
      </c>
      <c r="J2023" s="284">
        <v>0</v>
      </c>
    </row>
    <row r="2024" spans="3:10" x14ac:dyDescent="0.25">
      <c r="C2024" s="300" t="s">
        <v>1062</v>
      </c>
      <c r="D2024" s="283" t="s">
        <v>1079</v>
      </c>
      <c r="E2024" s="283" t="s">
        <v>1075</v>
      </c>
      <c r="F2024" s="283" t="s">
        <v>1075</v>
      </c>
      <c r="G2024" s="283">
        <v>2</v>
      </c>
      <c r="H2024" s="283">
        <v>0</v>
      </c>
      <c r="I2024" s="283">
        <v>0</v>
      </c>
      <c r="J2024" s="284">
        <v>0</v>
      </c>
    </row>
    <row r="2025" spans="3:10" x14ac:dyDescent="0.25">
      <c r="C2025" s="300" t="s">
        <v>1060</v>
      </c>
      <c r="D2025" s="283" t="s">
        <v>1074</v>
      </c>
      <c r="E2025" s="283" t="s">
        <v>1075</v>
      </c>
      <c r="F2025" s="283" t="s">
        <v>1075</v>
      </c>
      <c r="G2025" s="283">
        <v>2</v>
      </c>
      <c r="H2025" s="283">
        <v>0</v>
      </c>
      <c r="I2025" s="283">
        <v>0</v>
      </c>
      <c r="J2025" s="284">
        <v>1</v>
      </c>
    </row>
    <row r="2026" spans="3:10" x14ac:dyDescent="0.25">
      <c r="C2026" s="300" t="s">
        <v>1065</v>
      </c>
      <c r="D2026" s="283" t="s">
        <v>1074</v>
      </c>
      <c r="E2026" s="283" t="s">
        <v>1075</v>
      </c>
      <c r="F2026" s="283" t="s">
        <v>1075</v>
      </c>
      <c r="G2026" s="283">
        <v>2</v>
      </c>
      <c r="H2026" s="283">
        <v>0</v>
      </c>
      <c r="I2026" s="283">
        <v>0</v>
      </c>
      <c r="J2026" s="284">
        <v>0</v>
      </c>
    </row>
    <row r="2027" spans="3:10" x14ac:dyDescent="0.25">
      <c r="C2027" s="300" t="s">
        <v>1064</v>
      </c>
      <c r="D2027" s="283" t="s">
        <v>1087</v>
      </c>
      <c r="E2027" s="283" t="s">
        <v>1089</v>
      </c>
      <c r="F2027" s="283" t="s">
        <v>524</v>
      </c>
      <c r="G2027" s="283">
        <v>1</v>
      </c>
      <c r="H2027" s="283">
        <v>0</v>
      </c>
      <c r="I2027" s="283">
        <v>0</v>
      </c>
      <c r="J2027" s="284">
        <v>0</v>
      </c>
    </row>
    <row r="2028" spans="3:10" x14ac:dyDescent="0.25">
      <c r="C2028" s="300" t="s">
        <v>1062</v>
      </c>
      <c r="D2028" s="283" t="s">
        <v>1077</v>
      </c>
      <c r="E2028" s="283" t="s">
        <v>1075</v>
      </c>
      <c r="F2028" s="283" t="s">
        <v>1089</v>
      </c>
      <c r="G2028" s="283">
        <v>3</v>
      </c>
      <c r="H2028" s="283">
        <v>0</v>
      </c>
      <c r="I2028" s="283">
        <v>0</v>
      </c>
      <c r="J2028" s="284">
        <v>0</v>
      </c>
    </row>
    <row r="2029" spans="3:10" x14ac:dyDescent="0.25">
      <c r="C2029" s="300" t="s">
        <v>1063</v>
      </c>
      <c r="D2029" s="283" t="s">
        <v>1079</v>
      </c>
      <c r="E2029" s="283" t="s">
        <v>1075</v>
      </c>
      <c r="F2029" s="283" t="s">
        <v>1089</v>
      </c>
      <c r="G2029" s="283">
        <v>2</v>
      </c>
      <c r="H2029" s="283">
        <v>0</v>
      </c>
      <c r="I2029" s="283">
        <v>0</v>
      </c>
      <c r="J2029" s="284">
        <v>1</v>
      </c>
    </row>
    <row r="2030" spans="3:10" x14ac:dyDescent="0.25">
      <c r="C2030" s="300" t="s">
        <v>1065</v>
      </c>
      <c r="D2030" s="283" t="s">
        <v>1079</v>
      </c>
      <c r="E2030" s="283" t="s">
        <v>1075</v>
      </c>
      <c r="F2030" s="283" t="s">
        <v>1089</v>
      </c>
      <c r="G2030" s="283">
        <v>2</v>
      </c>
      <c r="H2030" s="283">
        <v>0</v>
      </c>
      <c r="I2030" s="283">
        <v>0</v>
      </c>
      <c r="J2030" s="284">
        <v>0</v>
      </c>
    </row>
    <row r="2031" spans="3:10" x14ac:dyDescent="0.25">
      <c r="C2031" s="300" t="s">
        <v>1068</v>
      </c>
      <c r="D2031" s="283" t="s">
        <v>1079</v>
      </c>
      <c r="E2031" s="283" t="s">
        <v>1075</v>
      </c>
      <c r="F2031" s="283" t="s">
        <v>1075</v>
      </c>
      <c r="G2031" s="283">
        <v>2</v>
      </c>
      <c r="H2031" s="283">
        <v>0</v>
      </c>
      <c r="I2031" s="283">
        <v>0</v>
      </c>
      <c r="J2031" s="284">
        <v>0</v>
      </c>
    </row>
    <row r="2032" spans="3:10" x14ac:dyDescent="0.25">
      <c r="C2032" s="300" t="s">
        <v>1065</v>
      </c>
      <c r="D2032" s="283" t="s">
        <v>1077</v>
      </c>
      <c r="E2032" s="283" t="s">
        <v>1075</v>
      </c>
      <c r="F2032" s="283" t="s">
        <v>1080</v>
      </c>
      <c r="G2032" s="283">
        <v>2</v>
      </c>
      <c r="H2032" s="283">
        <v>0</v>
      </c>
      <c r="I2032" s="283">
        <v>0</v>
      </c>
      <c r="J2032" s="284">
        <v>0</v>
      </c>
    </row>
    <row r="2033" spans="3:10" x14ac:dyDescent="0.25">
      <c r="C2033" s="300" t="s">
        <v>1060</v>
      </c>
      <c r="D2033" s="283" t="s">
        <v>1074</v>
      </c>
      <c r="E2033" s="283" t="s">
        <v>1076</v>
      </c>
      <c r="F2033" s="283" t="s">
        <v>1089</v>
      </c>
      <c r="G2033" s="283">
        <v>2</v>
      </c>
      <c r="H2033" s="283">
        <v>0</v>
      </c>
      <c r="I2033" s="283">
        <v>0</v>
      </c>
      <c r="J2033" s="284">
        <v>0</v>
      </c>
    </row>
    <row r="2034" spans="3:10" x14ac:dyDescent="0.25">
      <c r="C2034" s="300" t="s">
        <v>1065</v>
      </c>
      <c r="D2034" s="283" t="s">
        <v>1074</v>
      </c>
      <c r="E2034" s="283" t="s">
        <v>1089</v>
      </c>
      <c r="F2034" s="283" t="s">
        <v>1075</v>
      </c>
      <c r="G2034" s="283">
        <v>2</v>
      </c>
      <c r="H2034" s="283">
        <v>0</v>
      </c>
      <c r="I2034" s="283">
        <v>0</v>
      </c>
      <c r="J2034" s="284">
        <v>0</v>
      </c>
    </row>
    <row r="2035" spans="3:10" x14ac:dyDescent="0.25">
      <c r="C2035" s="300" t="s">
        <v>1066</v>
      </c>
      <c r="D2035" s="283" t="s">
        <v>1079</v>
      </c>
      <c r="E2035" s="283" t="s">
        <v>1089</v>
      </c>
      <c r="F2035" s="283" t="s">
        <v>1078</v>
      </c>
      <c r="G2035" s="283">
        <v>3</v>
      </c>
      <c r="H2035" s="283">
        <v>0</v>
      </c>
      <c r="I2035" s="283">
        <v>0</v>
      </c>
      <c r="J2035" s="284">
        <v>0</v>
      </c>
    </row>
    <row r="2036" spans="3:10" x14ac:dyDescent="0.25">
      <c r="C2036" s="300" t="s">
        <v>1058</v>
      </c>
      <c r="D2036" s="283" t="s">
        <v>1087</v>
      </c>
      <c r="E2036" s="283" t="s">
        <v>1089</v>
      </c>
      <c r="F2036" s="283" t="s">
        <v>524</v>
      </c>
      <c r="G2036" s="283">
        <v>1</v>
      </c>
      <c r="H2036" s="283">
        <v>0</v>
      </c>
      <c r="I2036" s="283">
        <v>0</v>
      </c>
      <c r="J2036" s="284">
        <v>1</v>
      </c>
    </row>
    <row r="2037" spans="3:10" x14ac:dyDescent="0.25">
      <c r="C2037" s="300" t="s">
        <v>1061</v>
      </c>
      <c r="D2037" s="283" t="s">
        <v>1077</v>
      </c>
      <c r="E2037" s="283" t="s">
        <v>1076</v>
      </c>
      <c r="F2037" s="283" t="s">
        <v>1075</v>
      </c>
      <c r="G2037" s="283">
        <v>2</v>
      </c>
      <c r="H2037" s="283">
        <v>0</v>
      </c>
      <c r="I2037" s="283">
        <v>0</v>
      </c>
      <c r="J2037" s="284">
        <v>0</v>
      </c>
    </row>
    <row r="2038" spans="3:10" x14ac:dyDescent="0.25">
      <c r="C2038" s="300" t="s">
        <v>1063</v>
      </c>
      <c r="D2038" s="283" t="s">
        <v>1079</v>
      </c>
      <c r="E2038" s="283" t="s">
        <v>1075</v>
      </c>
      <c r="F2038" s="283" t="s">
        <v>1075</v>
      </c>
      <c r="G2038" s="283">
        <v>5</v>
      </c>
      <c r="H2038" s="283">
        <v>0</v>
      </c>
      <c r="I2038" s="283">
        <v>0</v>
      </c>
      <c r="J2038" s="284">
        <v>0</v>
      </c>
    </row>
    <row r="2039" spans="3:10" x14ac:dyDescent="0.25">
      <c r="C2039" s="300" t="s">
        <v>1060</v>
      </c>
      <c r="D2039" s="283" t="s">
        <v>1079</v>
      </c>
      <c r="E2039" s="283" t="s">
        <v>1075</v>
      </c>
      <c r="F2039" s="283" t="s">
        <v>1076</v>
      </c>
      <c r="G2039" s="283">
        <v>3</v>
      </c>
      <c r="H2039" s="283">
        <v>0</v>
      </c>
      <c r="I2039" s="283">
        <v>0</v>
      </c>
      <c r="J2039" s="284">
        <v>0</v>
      </c>
    </row>
    <row r="2040" spans="3:10" x14ac:dyDescent="0.25">
      <c r="C2040" s="300" t="s">
        <v>1064</v>
      </c>
      <c r="D2040" s="283" t="s">
        <v>1079</v>
      </c>
      <c r="E2040" s="283" t="s">
        <v>1089</v>
      </c>
      <c r="F2040" s="283" t="s">
        <v>1089</v>
      </c>
      <c r="G2040" s="283">
        <v>3</v>
      </c>
      <c r="H2040" s="283">
        <v>0</v>
      </c>
      <c r="I2040" s="283">
        <v>0</v>
      </c>
      <c r="J2040" s="284">
        <v>0</v>
      </c>
    </row>
    <row r="2041" spans="3:10" x14ac:dyDescent="0.25">
      <c r="C2041" s="300" t="s">
        <v>1068</v>
      </c>
      <c r="D2041" s="283" t="s">
        <v>1087</v>
      </c>
      <c r="E2041" s="283" t="s">
        <v>1075</v>
      </c>
      <c r="F2041" s="283" t="s">
        <v>524</v>
      </c>
      <c r="G2041" s="283">
        <v>1</v>
      </c>
      <c r="H2041" s="283">
        <v>0</v>
      </c>
      <c r="I2041" s="283">
        <v>0</v>
      </c>
      <c r="J2041" s="284">
        <v>0</v>
      </c>
    </row>
    <row r="2042" spans="3:10" x14ac:dyDescent="0.25">
      <c r="C2042" s="300" t="s">
        <v>1063</v>
      </c>
      <c r="D2042" s="283" t="s">
        <v>1079</v>
      </c>
      <c r="E2042" s="283" t="s">
        <v>1081</v>
      </c>
      <c r="F2042" s="283" t="s">
        <v>1075</v>
      </c>
      <c r="G2042" s="283">
        <v>3</v>
      </c>
      <c r="H2042" s="283">
        <v>0</v>
      </c>
      <c r="I2042" s="283">
        <v>0</v>
      </c>
      <c r="J2042" s="284">
        <v>0</v>
      </c>
    </row>
    <row r="2043" spans="3:10" x14ac:dyDescent="0.25">
      <c r="C2043" s="300" t="s">
        <v>1067</v>
      </c>
      <c r="D2043" s="283" t="s">
        <v>1079</v>
      </c>
      <c r="E2043" s="283" t="s">
        <v>1078</v>
      </c>
      <c r="F2043" s="283" t="s">
        <v>1075</v>
      </c>
      <c r="G2043" s="283">
        <v>10</v>
      </c>
      <c r="H2043" s="283">
        <v>0</v>
      </c>
      <c r="I2043" s="283">
        <v>1</v>
      </c>
      <c r="J2043" s="284">
        <v>0</v>
      </c>
    </row>
    <row r="2044" spans="3:10" x14ac:dyDescent="0.25">
      <c r="C2044" s="300" t="s">
        <v>1061</v>
      </c>
      <c r="D2044" s="283" t="s">
        <v>1077</v>
      </c>
      <c r="E2044" s="283" t="s">
        <v>1089</v>
      </c>
      <c r="F2044" s="283" t="s">
        <v>1081</v>
      </c>
      <c r="G2044" s="283">
        <v>2</v>
      </c>
      <c r="H2044" s="283">
        <v>0</v>
      </c>
      <c r="I2044" s="283">
        <v>0</v>
      </c>
      <c r="J2044" s="284">
        <v>3</v>
      </c>
    </row>
    <row r="2045" spans="3:10" x14ac:dyDescent="0.25">
      <c r="C2045" s="300" t="s">
        <v>1060</v>
      </c>
      <c r="D2045" s="283" t="s">
        <v>1087</v>
      </c>
      <c r="E2045" s="283" t="s">
        <v>1075</v>
      </c>
      <c r="F2045" s="283" t="s">
        <v>524</v>
      </c>
      <c r="G2045" s="283">
        <v>1</v>
      </c>
      <c r="H2045" s="283">
        <v>0</v>
      </c>
      <c r="I2045" s="283">
        <v>0</v>
      </c>
      <c r="J2045" s="284">
        <v>1</v>
      </c>
    </row>
    <row r="2046" spans="3:10" x14ac:dyDescent="0.25">
      <c r="C2046" s="300" t="s">
        <v>1061</v>
      </c>
      <c r="D2046" s="283" t="s">
        <v>1074</v>
      </c>
      <c r="E2046" s="283" t="s">
        <v>1075</v>
      </c>
      <c r="F2046" s="283" t="s">
        <v>1075</v>
      </c>
      <c r="G2046" s="283">
        <v>2</v>
      </c>
      <c r="H2046" s="283">
        <v>0</v>
      </c>
      <c r="I2046" s="283">
        <v>0</v>
      </c>
      <c r="J2046" s="284">
        <v>0</v>
      </c>
    </row>
    <row r="2047" spans="3:10" x14ac:dyDescent="0.25">
      <c r="C2047" s="300" t="s">
        <v>1064</v>
      </c>
      <c r="D2047" s="283" t="s">
        <v>1087</v>
      </c>
      <c r="E2047" s="283" t="s">
        <v>1076</v>
      </c>
      <c r="F2047" s="283" t="s">
        <v>524</v>
      </c>
      <c r="G2047" s="283">
        <v>1</v>
      </c>
      <c r="H2047" s="283">
        <v>0</v>
      </c>
      <c r="I2047" s="283">
        <v>0</v>
      </c>
      <c r="J2047" s="284">
        <v>0</v>
      </c>
    </row>
    <row r="2048" spans="3:10" x14ac:dyDescent="0.25">
      <c r="C2048" s="300" t="s">
        <v>1068</v>
      </c>
      <c r="D2048" s="283" t="s">
        <v>1087</v>
      </c>
      <c r="E2048" s="283" t="s">
        <v>1075</v>
      </c>
      <c r="F2048" s="283" t="s">
        <v>524</v>
      </c>
      <c r="G2048" s="283">
        <v>1</v>
      </c>
      <c r="H2048" s="283">
        <v>0</v>
      </c>
      <c r="I2048" s="283">
        <v>0</v>
      </c>
      <c r="J2048" s="284">
        <v>0</v>
      </c>
    </row>
    <row r="2049" spans="3:10" x14ac:dyDescent="0.25">
      <c r="C2049" s="300" t="s">
        <v>1066</v>
      </c>
      <c r="D2049" s="283" t="s">
        <v>1074</v>
      </c>
      <c r="E2049" s="283" t="s">
        <v>1089</v>
      </c>
      <c r="F2049" s="283" t="s">
        <v>1083</v>
      </c>
      <c r="G2049" s="283">
        <v>2</v>
      </c>
      <c r="H2049" s="283">
        <v>0</v>
      </c>
      <c r="I2049" s="283">
        <v>0</v>
      </c>
      <c r="J2049" s="284">
        <v>1</v>
      </c>
    </row>
    <row r="2050" spans="3:10" x14ac:dyDescent="0.25">
      <c r="C2050" s="300" t="s">
        <v>1062</v>
      </c>
      <c r="D2050" s="283" t="s">
        <v>1087</v>
      </c>
      <c r="E2050" s="283" t="s">
        <v>1076</v>
      </c>
      <c r="F2050" s="283" t="s">
        <v>524</v>
      </c>
      <c r="G2050" s="283">
        <v>1</v>
      </c>
      <c r="H2050" s="283">
        <v>0</v>
      </c>
      <c r="I2050" s="283">
        <v>1</v>
      </c>
      <c r="J2050" s="284">
        <v>0</v>
      </c>
    </row>
    <row r="2051" spans="3:10" x14ac:dyDescent="0.25">
      <c r="C2051" s="300" t="s">
        <v>1067</v>
      </c>
      <c r="D2051" s="283" t="s">
        <v>1077</v>
      </c>
      <c r="E2051" s="283" t="s">
        <v>1076</v>
      </c>
      <c r="F2051" s="283" t="s">
        <v>1075</v>
      </c>
      <c r="G2051" s="283">
        <v>2</v>
      </c>
      <c r="H2051" s="283">
        <v>0</v>
      </c>
      <c r="I2051" s="283">
        <v>0</v>
      </c>
      <c r="J2051" s="284">
        <v>0</v>
      </c>
    </row>
    <row r="2052" spans="3:10" x14ac:dyDescent="0.25">
      <c r="C2052" s="300" t="s">
        <v>1062</v>
      </c>
      <c r="D2052" s="283" t="s">
        <v>1077</v>
      </c>
      <c r="E2052" s="283" t="s">
        <v>1075</v>
      </c>
      <c r="F2052" s="283" t="s">
        <v>1089</v>
      </c>
      <c r="G2052" s="283">
        <v>2</v>
      </c>
      <c r="H2052" s="283">
        <v>0</v>
      </c>
      <c r="I2052" s="283">
        <v>0</v>
      </c>
      <c r="J2052" s="284">
        <v>0</v>
      </c>
    </row>
    <row r="2053" spans="3:10" x14ac:dyDescent="0.25">
      <c r="C2053" s="300" t="s">
        <v>1068</v>
      </c>
      <c r="D2053" s="283" t="s">
        <v>1079</v>
      </c>
      <c r="E2053" s="283" t="s">
        <v>1083</v>
      </c>
      <c r="F2053" s="283" t="s">
        <v>1075</v>
      </c>
      <c r="G2053" s="283">
        <v>2</v>
      </c>
      <c r="H2053" s="283">
        <v>0</v>
      </c>
      <c r="I2053" s="283">
        <v>0</v>
      </c>
      <c r="J2053" s="284">
        <v>1</v>
      </c>
    </row>
    <row r="2054" spans="3:10" x14ac:dyDescent="0.25">
      <c r="C2054" s="300" t="s">
        <v>1068</v>
      </c>
      <c r="D2054" s="283" t="s">
        <v>1079</v>
      </c>
      <c r="E2054" s="283" t="s">
        <v>1075</v>
      </c>
      <c r="F2054" s="283" t="s">
        <v>1075</v>
      </c>
      <c r="G2054" s="283">
        <v>4</v>
      </c>
      <c r="H2054" s="283">
        <v>0</v>
      </c>
      <c r="I2054" s="283">
        <v>0</v>
      </c>
      <c r="J2054" s="284">
        <v>0</v>
      </c>
    </row>
    <row r="2055" spans="3:10" x14ac:dyDescent="0.25">
      <c r="C2055" s="300" t="s">
        <v>1063</v>
      </c>
      <c r="D2055" s="283" t="s">
        <v>1079</v>
      </c>
      <c r="E2055" s="283" t="s">
        <v>1078</v>
      </c>
      <c r="F2055" s="283" t="s">
        <v>1093</v>
      </c>
      <c r="G2055" s="283">
        <v>2</v>
      </c>
      <c r="H2055" s="283">
        <v>0</v>
      </c>
      <c r="I2055" s="283">
        <v>0</v>
      </c>
      <c r="J2055" s="284">
        <v>1</v>
      </c>
    </row>
    <row r="2056" spans="3:10" x14ac:dyDescent="0.25">
      <c r="C2056" s="300" t="s">
        <v>1066</v>
      </c>
      <c r="D2056" s="283" t="s">
        <v>1087</v>
      </c>
      <c r="E2056" s="283" t="s">
        <v>1075</v>
      </c>
      <c r="F2056" s="283" t="s">
        <v>524</v>
      </c>
      <c r="G2056" s="283">
        <v>1</v>
      </c>
      <c r="H2056" s="283">
        <v>0</v>
      </c>
      <c r="I2056" s="283">
        <v>1</v>
      </c>
      <c r="J2056" s="284">
        <v>0</v>
      </c>
    </row>
    <row r="2057" spans="3:10" x14ac:dyDescent="0.25">
      <c r="C2057" s="300" t="s">
        <v>1065</v>
      </c>
      <c r="D2057" s="283" t="s">
        <v>1087</v>
      </c>
      <c r="E2057" s="283" t="s">
        <v>1075</v>
      </c>
      <c r="F2057" s="283" t="s">
        <v>524</v>
      </c>
      <c r="G2057" s="283">
        <v>1</v>
      </c>
      <c r="H2057" s="283">
        <v>0</v>
      </c>
      <c r="I2057" s="283">
        <v>1</v>
      </c>
      <c r="J2057" s="284">
        <v>0</v>
      </c>
    </row>
    <row r="2058" spans="3:10" x14ac:dyDescent="0.25">
      <c r="C2058" s="300" t="s">
        <v>1062</v>
      </c>
      <c r="D2058" s="283" t="s">
        <v>1082</v>
      </c>
      <c r="E2058" s="283" t="s">
        <v>1075</v>
      </c>
      <c r="F2058" s="283" t="s">
        <v>1075</v>
      </c>
      <c r="G2058" s="283">
        <v>2</v>
      </c>
      <c r="H2058" s="283">
        <v>0</v>
      </c>
      <c r="I2058" s="283">
        <v>1</v>
      </c>
      <c r="J2058" s="284">
        <v>2</v>
      </c>
    </row>
    <row r="2059" spans="3:10" x14ac:dyDescent="0.25">
      <c r="C2059" s="300" t="s">
        <v>1060</v>
      </c>
      <c r="D2059" s="283" t="s">
        <v>1087</v>
      </c>
      <c r="E2059" s="283" t="s">
        <v>1075</v>
      </c>
      <c r="F2059" s="283" t="s">
        <v>524</v>
      </c>
      <c r="G2059" s="283">
        <v>1</v>
      </c>
      <c r="H2059" s="283">
        <v>0</v>
      </c>
      <c r="I2059" s="283">
        <v>0</v>
      </c>
      <c r="J2059" s="284">
        <v>0</v>
      </c>
    </row>
    <row r="2060" spans="3:10" x14ac:dyDescent="0.25">
      <c r="C2060" s="300" t="s">
        <v>1062</v>
      </c>
      <c r="D2060" s="283" t="s">
        <v>1077</v>
      </c>
      <c r="E2060" s="283" t="s">
        <v>1075</v>
      </c>
      <c r="F2060" s="283" t="s">
        <v>1075</v>
      </c>
      <c r="G2060" s="283">
        <v>2</v>
      </c>
      <c r="H2060" s="283">
        <v>0</v>
      </c>
      <c r="I2060" s="283">
        <v>0</v>
      </c>
      <c r="J2060" s="284">
        <v>0</v>
      </c>
    </row>
    <row r="2061" spans="3:10" x14ac:dyDescent="0.25">
      <c r="C2061" s="300" t="s">
        <v>1066</v>
      </c>
      <c r="D2061" s="283" t="s">
        <v>1079</v>
      </c>
      <c r="E2061" s="283" t="s">
        <v>1075</v>
      </c>
      <c r="F2061" s="283" t="s">
        <v>1080</v>
      </c>
      <c r="G2061" s="283">
        <v>2</v>
      </c>
      <c r="H2061" s="283">
        <v>0</v>
      </c>
      <c r="I2061" s="283">
        <v>0</v>
      </c>
      <c r="J2061" s="284">
        <v>0</v>
      </c>
    </row>
    <row r="2062" spans="3:10" x14ac:dyDescent="0.25">
      <c r="C2062" s="300" t="s">
        <v>1066</v>
      </c>
      <c r="D2062" s="283" t="s">
        <v>1074</v>
      </c>
      <c r="E2062" s="283" t="s">
        <v>1093</v>
      </c>
      <c r="F2062" s="283" t="s">
        <v>1075</v>
      </c>
      <c r="G2062" s="283">
        <v>2</v>
      </c>
      <c r="H2062" s="283">
        <v>0</v>
      </c>
      <c r="I2062" s="283">
        <v>0</v>
      </c>
      <c r="J2062" s="284">
        <v>1</v>
      </c>
    </row>
    <row r="2063" spans="3:10" x14ac:dyDescent="0.25">
      <c r="C2063" s="300" t="s">
        <v>1065</v>
      </c>
      <c r="D2063" s="283" t="s">
        <v>1074</v>
      </c>
      <c r="E2063" s="283" t="s">
        <v>1075</v>
      </c>
      <c r="F2063" s="283" t="s">
        <v>1044</v>
      </c>
      <c r="G2063" s="283">
        <v>2</v>
      </c>
      <c r="H2063" s="283">
        <v>0</v>
      </c>
      <c r="I2063" s="283">
        <v>1</v>
      </c>
      <c r="J2063" s="284">
        <v>0</v>
      </c>
    </row>
    <row r="2064" spans="3:10" x14ac:dyDescent="0.25">
      <c r="C2064" s="300" t="s">
        <v>1063</v>
      </c>
      <c r="D2064" s="283" t="s">
        <v>1043</v>
      </c>
      <c r="E2064" s="283" t="s">
        <v>1075</v>
      </c>
      <c r="F2064" s="283" t="s">
        <v>1092</v>
      </c>
      <c r="G2064" s="283">
        <v>2</v>
      </c>
      <c r="H2064" s="283">
        <v>0</v>
      </c>
      <c r="I2064" s="283">
        <v>1</v>
      </c>
      <c r="J2064" s="284">
        <v>0</v>
      </c>
    </row>
    <row r="2065" spans="3:10" x14ac:dyDescent="0.25">
      <c r="C2065" s="300" t="s">
        <v>1066</v>
      </c>
      <c r="D2065" s="283" t="s">
        <v>1079</v>
      </c>
      <c r="E2065" s="283" t="s">
        <v>1044</v>
      </c>
      <c r="F2065" s="283" t="s">
        <v>1086</v>
      </c>
      <c r="G2065" s="283">
        <v>2</v>
      </c>
      <c r="H2065" s="283">
        <v>0</v>
      </c>
      <c r="I2065" s="283">
        <v>0</v>
      </c>
      <c r="J2065" s="284">
        <v>1</v>
      </c>
    </row>
    <row r="2066" spans="3:10" x14ac:dyDescent="0.25">
      <c r="C2066" s="300" t="s">
        <v>1063</v>
      </c>
      <c r="D2066" s="283" t="s">
        <v>1074</v>
      </c>
      <c r="E2066" s="283" t="s">
        <v>1075</v>
      </c>
      <c r="F2066" s="283" t="s">
        <v>1086</v>
      </c>
      <c r="G2066" s="283">
        <v>3</v>
      </c>
      <c r="H2066" s="283">
        <v>0</v>
      </c>
      <c r="I2066" s="283">
        <v>0</v>
      </c>
      <c r="J2066" s="284">
        <v>0</v>
      </c>
    </row>
    <row r="2067" spans="3:10" x14ac:dyDescent="0.25">
      <c r="C2067" s="300" t="s">
        <v>1064</v>
      </c>
      <c r="D2067" s="283" t="s">
        <v>1077</v>
      </c>
      <c r="E2067" s="283" t="s">
        <v>1089</v>
      </c>
      <c r="F2067" s="283" t="s">
        <v>1089</v>
      </c>
      <c r="G2067" s="283">
        <v>2</v>
      </c>
      <c r="H2067" s="283">
        <v>0</v>
      </c>
      <c r="I2067" s="283">
        <v>0</v>
      </c>
      <c r="J2067" s="284">
        <v>0</v>
      </c>
    </row>
    <row r="2068" spans="3:10" x14ac:dyDescent="0.25">
      <c r="C2068" s="300" t="s">
        <v>1063</v>
      </c>
      <c r="D2068" s="283" t="s">
        <v>1074</v>
      </c>
      <c r="E2068" s="283" t="s">
        <v>1075</v>
      </c>
      <c r="F2068" s="283" t="s">
        <v>1075</v>
      </c>
      <c r="G2068" s="283">
        <v>2</v>
      </c>
      <c r="H2068" s="283">
        <v>0</v>
      </c>
      <c r="I2068" s="283">
        <v>1</v>
      </c>
      <c r="J2068" s="284">
        <v>1</v>
      </c>
    </row>
    <row r="2069" spans="3:10" x14ac:dyDescent="0.25">
      <c r="C2069" s="300" t="s">
        <v>1067</v>
      </c>
      <c r="D2069" s="283" t="s">
        <v>1079</v>
      </c>
      <c r="E2069" s="283" t="s">
        <v>1078</v>
      </c>
      <c r="F2069" s="283" t="s">
        <v>1075</v>
      </c>
      <c r="G2069" s="283">
        <v>4</v>
      </c>
      <c r="H2069" s="283">
        <v>0</v>
      </c>
      <c r="I2069" s="283">
        <v>0</v>
      </c>
      <c r="J2069" s="284">
        <v>0</v>
      </c>
    </row>
    <row r="2070" spans="3:10" x14ac:dyDescent="0.25">
      <c r="C2070" s="300" t="s">
        <v>1066</v>
      </c>
      <c r="D2070" s="283" t="s">
        <v>1079</v>
      </c>
      <c r="E2070" s="283" t="s">
        <v>1089</v>
      </c>
      <c r="F2070" s="283" t="s">
        <v>1075</v>
      </c>
      <c r="G2070" s="283">
        <v>2</v>
      </c>
      <c r="H2070" s="283">
        <v>0</v>
      </c>
      <c r="I2070" s="283">
        <v>0</v>
      </c>
      <c r="J2070" s="284">
        <v>0</v>
      </c>
    </row>
    <row r="2071" spans="3:10" x14ac:dyDescent="0.25">
      <c r="C2071" s="300" t="s">
        <v>1063</v>
      </c>
      <c r="D2071" s="283" t="s">
        <v>1077</v>
      </c>
      <c r="E2071" s="283" t="s">
        <v>1075</v>
      </c>
      <c r="F2071" s="283" t="s">
        <v>1083</v>
      </c>
      <c r="G2071" s="283">
        <v>2</v>
      </c>
      <c r="H2071" s="283">
        <v>0</v>
      </c>
      <c r="I2071" s="283">
        <v>0</v>
      </c>
      <c r="J2071" s="284">
        <v>0</v>
      </c>
    </row>
    <row r="2072" spans="3:10" x14ac:dyDescent="0.25">
      <c r="C2072" s="300" t="s">
        <v>1068</v>
      </c>
      <c r="D2072" s="283" t="s">
        <v>1043</v>
      </c>
      <c r="E2072" s="283" t="s">
        <v>1089</v>
      </c>
      <c r="F2072" s="283" t="s">
        <v>1092</v>
      </c>
      <c r="G2072" s="283">
        <v>2</v>
      </c>
      <c r="H2072" s="283">
        <v>0</v>
      </c>
      <c r="I2072" s="283">
        <v>1</v>
      </c>
      <c r="J2072" s="284">
        <v>0</v>
      </c>
    </row>
    <row r="2073" spans="3:10" x14ac:dyDescent="0.25">
      <c r="C2073" s="300" t="s">
        <v>1066</v>
      </c>
      <c r="D2073" s="283" t="s">
        <v>1087</v>
      </c>
      <c r="E2073" s="283" t="s">
        <v>1076</v>
      </c>
      <c r="F2073" s="283" t="s">
        <v>524</v>
      </c>
      <c r="G2073" s="283">
        <v>1</v>
      </c>
      <c r="H2073" s="283">
        <v>0</v>
      </c>
      <c r="I2073" s="283">
        <v>1</v>
      </c>
      <c r="J2073" s="284">
        <v>0</v>
      </c>
    </row>
    <row r="2074" spans="3:10" x14ac:dyDescent="0.25">
      <c r="C2074" s="300" t="s">
        <v>1059</v>
      </c>
      <c r="D2074" s="283" t="s">
        <v>1043</v>
      </c>
      <c r="E2074" s="283" t="s">
        <v>1076</v>
      </c>
      <c r="F2074" s="283" t="s">
        <v>1092</v>
      </c>
      <c r="G2074" s="283">
        <v>2</v>
      </c>
      <c r="H2074" s="283">
        <v>0</v>
      </c>
      <c r="I2074" s="283">
        <v>1</v>
      </c>
      <c r="J2074" s="284">
        <v>1</v>
      </c>
    </row>
    <row r="2075" spans="3:10" x14ac:dyDescent="0.25">
      <c r="C2075" s="300" t="s">
        <v>1065</v>
      </c>
      <c r="D2075" s="283" t="s">
        <v>1079</v>
      </c>
      <c r="E2075" s="283" t="s">
        <v>1099</v>
      </c>
      <c r="F2075" s="283" t="s">
        <v>1089</v>
      </c>
      <c r="G2075" s="283">
        <v>2</v>
      </c>
      <c r="H2075" s="283">
        <v>0</v>
      </c>
      <c r="I2075" s="283">
        <v>0</v>
      </c>
      <c r="J2075" s="284">
        <v>0</v>
      </c>
    </row>
    <row r="2076" spans="3:10" x14ac:dyDescent="0.25">
      <c r="C2076" s="300" t="s">
        <v>1060</v>
      </c>
      <c r="D2076" s="283" t="s">
        <v>1043</v>
      </c>
      <c r="E2076" s="283" t="s">
        <v>1086</v>
      </c>
      <c r="F2076" s="283" t="s">
        <v>1092</v>
      </c>
      <c r="G2076" s="283">
        <v>2</v>
      </c>
      <c r="H2076" s="283">
        <v>0</v>
      </c>
      <c r="I2076" s="283">
        <v>0</v>
      </c>
      <c r="J2076" s="284">
        <v>0</v>
      </c>
    </row>
    <row r="2077" spans="3:10" x14ac:dyDescent="0.25">
      <c r="C2077" s="300" t="s">
        <v>1068</v>
      </c>
      <c r="D2077" s="283" t="s">
        <v>1079</v>
      </c>
      <c r="E2077" s="283" t="s">
        <v>1089</v>
      </c>
      <c r="F2077" s="283" t="s">
        <v>1081</v>
      </c>
      <c r="G2077" s="283">
        <v>2</v>
      </c>
      <c r="H2077" s="283">
        <v>0</v>
      </c>
      <c r="I2077" s="283">
        <v>0</v>
      </c>
      <c r="J2077" s="284">
        <v>0</v>
      </c>
    </row>
    <row r="2078" spans="3:10" x14ac:dyDescent="0.25">
      <c r="C2078" s="300" t="s">
        <v>1064</v>
      </c>
      <c r="D2078" s="283" t="s">
        <v>1043</v>
      </c>
      <c r="E2078" s="283" t="s">
        <v>1076</v>
      </c>
      <c r="F2078" s="283" t="s">
        <v>1092</v>
      </c>
      <c r="G2078" s="283">
        <v>2</v>
      </c>
      <c r="H2078" s="283">
        <v>0</v>
      </c>
      <c r="I2078" s="283">
        <v>1</v>
      </c>
      <c r="J2078" s="284">
        <v>0</v>
      </c>
    </row>
    <row r="2079" spans="3:10" x14ac:dyDescent="0.25">
      <c r="C2079" s="300" t="s">
        <v>1066</v>
      </c>
      <c r="D2079" s="283" t="s">
        <v>1106</v>
      </c>
      <c r="E2079" s="283" t="s">
        <v>1076</v>
      </c>
      <c r="F2079" s="283" t="s">
        <v>524</v>
      </c>
      <c r="G2079" s="283">
        <v>1</v>
      </c>
      <c r="H2079" s="283">
        <v>1</v>
      </c>
      <c r="I2079" s="283">
        <v>0</v>
      </c>
      <c r="J2079" s="284">
        <v>0</v>
      </c>
    </row>
    <row r="2080" spans="3:10" x14ac:dyDescent="0.25">
      <c r="C2080" s="300" t="s">
        <v>1062</v>
      </c>
      <c r="D2080" s="283" t="s">
        <v>1087</v>
      </c>
      <c r="E2080" s="283" t="s">
        <v>1089</v>
      </c>
      <c r="F2080" s="283" t="s">
        <v>524</v>
      </c>
      <c r="G2080" s="283">
        <v>1</v>
      </c>
      <c r="H2080" s="283">
        <v>0</v>
      </c>
      <c r="I2080" s="283">
        <v>1</v>
      </c>
      <c r="J2080" s="284">
        <v>0</v>
      </c>
    </row>
    <row r="2081" spans="3:10" x14ac:dyDescent="0.25">
      <c r="C2081" s="300" t="s">
        <v>1067</v>
      </c>
      <c r="D2081" s="283" t="s">
        <v>1079</v>
      </c>
      <c r="E2081" s="283" t="s">
        <v>1100</v>
      </c>
      <c r="F2081" s="283" t="s">
        <v>1075</v>
      </c>
      <c r="G2081" s="283">
        <v>2</v>
      </c>
      <c r="H2081" s="283">
        <v>0</v>
      </c>
      <c r="I2081" s="283">
        <v>0</v>
      </c>
      <c r="J2081" s="284">
        <v>0</v>
      </c>
    </row>
    <row r="2082" spans="3:10" x14ac:dyDescent="0.25">
      <c r="C2082" s="300" t="s">
        <v>1063</v>
      </c>
      <c r="D2082" s="283" t="s">
        <v>1074</v>
      </c>
      <c r="E2082" s="283" t="s">
        <v>1075</v>
      </c>
      <c r="F2082" s="283" t="s">
        <v>1075</v>
      </c>
      <c r="G2082" s="283">
        <v>2</v>
      </c>
      <c r="H2082" s="283">
        <v>0</v>
      </c>
      <c r="I2082" s="283">
        <v>0</v>
      </c>
      <c r="J2082" s="284">
        <v>1</v>
      </c>
    </row>
    <row r="2083" spans="3:10" x14ac:dyDescent="0.25">
      <c r="C2083" s="300" t="s">
        <v>1067</v>
      </c>
      <c r="D2083" s="283" t="s">
        <v>1079</v>
      </c>
      <c r="E2083" s="283" t="s">
        <v>1075</v>
      </c>
      <c r="F2083" s="283" t="s">
        <v>1075</v>
      </c>
      <c r="G2083" s="283">
        <v>2</v>
      </c>
      <c r="H2083" s="283">
        <v>0</v>
      </c>
      <c r="I2083" s="283">
        <v>1</v>
      </c>
      <c r="J2083" s="284">
        <v>2</v>
      </c>
    </row>
    <row r="2084" spans="3:10" x14ac:dyDescent="0.25">
      <c r="C2084" s="300" t="s">
        <v>1064</v>
      </c>
      <c r="D2084" s="283" t="s">
        <v>1077</v>
      </c>
      <c r="E2084" s="283" t="s">
        <v>1075</v>
      </c>
      <c r="F2084" s="283" t="s">
        <v>1075</v>
      </c>
      <c r="G2084" s="283">
        <v>2</v>
      </c>
      <c r="H2084" s="283">
        <v>0</v>
      </c>
      <c r="I2084" s="283">
        <v>0</v>
      </c>
      <c r="J2084" s="284">
        <v>0</v>
      </c>
    </row>
    <row r="2085" spans="3:10" x14ac:dyDescent="0.25">
      <c r="C2085" s="300" t="s">
        <v>1061</v>
      </c>
      <c r="D2085" s="283" t="s">
        <v>1079</v>
      </c>
      <c r="E2085" s="283" t="s">
        <v>1099</v>
      </c>
      <c r="F2085" s="283" t="s">
        <v>1075</v>
      </c>
      <c r="G2085" s="283">
        <v>2</v>
      </c>
      <c r="H2085" s="283">
        <v>0</v>
      </c>
      <c r="I2085" s="283">
        <v>0</v>
      </c>
      <c r="J2085" s="284">
        <v>0</v>
      </c>
    </row>
    <row r="2086" spans="3:10" x14ac:dyDescent="0.25">
      <c r="C2086" s="300" t="s">
        <v>1066</v>
      </c>
      <c r="D2086" s="283" t="s">
        <v>1096</v>
      </c>
      <c r="E2086" s="283" t="s">
        <v>1075</v>
      </c>
      <c r="F2086" s="283" t="s">
        <v>524</v>
      </c>
      <c r="G2086" s="283">
        <v>1</v>
      </c>
      <c r="H2086" s="283">
        <v>0</v>
      </c>
      <c r="I2086" s="283">
        <v>1</v>
      </c>
      <c r="J2086" s="284">
        <v>0</v>
      </c>
    </row>
    <row r="2087" spans="3:10" x14ac:dyDescent="0.25">
      <c r="C2087" s="300" t="s">
        <v>1060</v>
      </c>
      <c r="D2087" s="283" t="s">
        <v>1079</v>
      </c>
      <c r="E2087" s="283" t="s">
        <v>1075</v>
      </c>
      <c r="F2087" s="283" t="s">
        <v>1080</v>
      </c>
      <c r="G2087" s="283">
        <v>2</v>
      </c>
      <c r="H2087" s="283">
        <v>0</v>
      </c>
      <c r="I2087" s="283">
        <v>0</v>
      </c>
      <c r="J2087" s="284">
        <v>1</v>
      </c>
    </row>
    <row r="2088" spans="3:10" x14ac:dyDescent="0.25">
      <c r="C2088" s="300" t="s">
        <v>1062</v>
      </c>
      <c r="D2088" s="283" t="s">
        <v>1077</v>
      </c>
      <c r="E2088" s="283" t="s">
        <v>1076</v>
      </c>
      <c r="F2088" s="283" t="s">
        <v>1075</v>
      </c>
      <c r="G2088" s="283">
        <v>2</v>
      </c>
      <c r="H2088" s="283">
        <v>0</v>
      </c>
      <c r="I2088" s="283">
        <v>1</v>
      </c>
      <c r="J2088" s="284">
        <v>0</v>
      </c>
    </row>
    <row r="2089" spans="3:10" x14ac:dyDescent="0.25">
      <c r="C2089" s="300" t="s">
        <v>1061</v>
      </c>
      <c r="D2089" s="283" t="s">
        <v>1079</v>
      </c>
      <c r="E2089" s="283" t="s">
        <v>1094</v>
      </c>
      <c r="F2089" s="283" t="s">
        <v>1075</v>
      </c>
      <c r="G2089" s="283">
        <v>3</v>
      </c>
      <c r="H2089" s="283">
        <v>0</v>
      </c>
      <c r="I2089" s="283">
        <v>0</v>
      </c>
      <c r="J2089" s="284">
        <v>0</v>
      </c>
    </row>
    <row r="2090" spans="3:10" x14ac:dyDescent="0.25">
      <c r="C2090" s="300" t="s">
        <v>1063</v>
      </c>
      <c r="D2090" s="283" t="s">
        <v>1074</v>
      </c>
      <c r="E2090" s="283" t="s">
        <v>1088</v>
      </c>
      <c r="F2090" s="283" t="s">
        <v>1085</v>
      </c>
      <c r="G2090" s="283">
        <v>3</v>
      </c>
      <c r="H2090" s="283">
        <v>0</v>
      </c>
      <c r="I2090" s="283">
        <v>0</v>
      </c>
      <c r="J2090" s="284">
        <v>3</v>
      </c>
    </row>
    <row r="2091" spans="3:10" x14ac:dyDescent="0.25">
      <c r="C2091" s="300" t="s">
        <v>1064</v>
      </c>
      <c r="D2091" s="283" t="s">
        <v>1077</v>
      </c>
      <c r="E2091" s="283" t="s">
        <v>1089</v>
      </c>
      <c r="F2091" s="283" t="s">
        <v>1075</v>
      </c>
      <c r="G2091" s="283">
        <v>3</v>
      </c>
      <c r="H2091" s="283">
        <v>0</v>
      </c>
      <c r="I2091" s="283">
        <v>0</v>
      </c>
      <c r="J2091" s="284">
        <v>0</v>
      </c>
    </row>
    <row r="2092" spans="3:10" x14ac:dyDescent="0.25">
      <c r="C2092" s="300" t="s">
        <v>1063</v>
      </c>
      <c r="D2092" s="283" t="s">
        <v>1074</v>
      </c>
      <c r="E2092" s="283" t="s">
        <v>1075</v>
      </c>
      <c r="F2092" s="283" t="s">
        <v>1075</v>
      </c>
      <c r="G2092" s="283">
        <v>2</v>
      </c>
      <c r="H2092" s="283">
        <v>0</v>
      </c>
      <c r="I2092" s="283">
        <v>1</v>
      </c>
      <c r="J2092" s="284">
        <v>0</v>
      </c>
    </row>
    <row r="2093" spans="3:10" x14ac:dyDescent="0.25">
      <c r="C2093" s="300" t="s">
        <v>1066</v>
      </c>
      <c r="D2093" s="283" t="s">
        <v>1077</v>
      </c>
      <c r="E2093" s="283" t="s">
        <v>1078</v>
      </c>
      <c r="F2093" s="283" t="s">
        <v>1075</v>
      </c>
      <c r="G2093" s="283">
        <v>3</v>
      </c>
      <c r="H2093" s="283">
        <v>0</v>
      </c>
      <c r="I2093" s="283">
        <v>0</v>
      </c>
      <c r="J2093" s="284">
        <v>0</v>
      </c>
    </row>
    <row r="2094" spans="3:10" x14ac:dyDescent="0.25">
      <c r="C2094" s="300" t="s">
        <v>1067</v>
      </c>
      <c r="D2094" s="283" t="s">
        <v>1079</v>
      </c>
      <c r="E2094" s="283" t="s">
        <v>1075</v>
      </c>
      <c r="F2094" s="283" t="s">
        <v>1076</v>
      </c>
      <c r="G2094" s="283">
        <v>2</v>
      </c>
      <c r="H2094" s="283">
        <v>0</v>
      </c>
      <c r="I2094" s="283">
        <v>1</v>
      </c>
      <c r="J2094" s="284">
        <v>0</v>
      </c>
    </row>
    <row r="2095" spans="3:10" x14ac:dyDescent="0.25">
      <c r="C2095" s="300" t="s">
        <v>1061</v>
      </c>
      <c r="D2095" s="283" t="s">
        <v>1090</v>
      </c>
      <c r="E2095" s="283" t="s">
        <v>1044</v>
      </c>
      <c r="F2095" s="283" t="s">
        <v>524</v>
      </c>
      <c r="G2095" s="283">
        <v>1</v>
      </c>
      <c r="H2095" s="283">
        <v>0</v>
      </c>
      <c r="I2095" s="283">
        <v>0</v>
      </c>
      <c r="J2095" s="284">
        <v>0</v>
      </c>
    </row>
    <row r="2096" spans="3:10" x14ac:dyDescent="0.25">
      <c r="C2096" s="300" t="s">
        <v>1060</v>
      </c>
      <c r="D2096" s="283" t="s">
        <v>1079</v>
      </c>
      <c r="E2096" s="283" t="s">
        <v>1075</v>
      </c>
      <c r="F2096" s="283" t="s">
        <v>1089</v>
      </c>
      <c r="G2096" s="283">
        <v>3</v>
      </c>
      <c r="H2096" s="283">
        <v>0</v>
      </c>
      <c r="I2096" s="283">
        <v>0</v>
      </c>
      <c r="J2096" s="284">
        <v>0</v>
      </c>
    </row>
    <row r="2097" spans="3:10" x14ac:dyDescent="0.25">
      <c r="C2097" s="300" t="s">
        <v>1065</v>
      </c>
      <c r="D2097" s="283" t="s">
        <v>1043</v>
      </c>
      <c r="E2097" s="283" t="s">
        <v>1075</v>
      </c>
      <c r="F2097" s="283" t="s">
        <v>1092</v>
      </c>
      <c r="G2097" s="283">
        <v>2</v>
      </c>
      <c r="H2097" s="283">
        <v>0</v>
      </c>
      <c r="I2097" s="283">
        <v>0</v>
      </c>
      <c r="J2097" s="284">
        <v>1</v>
      </c>
    </row>
    <row r="2098" spans="3:10" x14ac:dyDescent="0.25">
      <c r="C2098" s="300" t="s">
        <v>1060</v>
      </c>
      <c r="D2098" s="283" t="s">
        <v>1079</v>
      </c>
      <c r="E2098" s="283" t="s">
        <v>1075</v>
      </c>
      <c r="F2098" s="283" t="s">
        <v>1075</v>
      </c>
      <c r="G2098" s="283">
        <v>3</v>
      </c>
      <c r="H2098" s="283">
        <v>0</v>
      </c>
      <c r="I2098" s="283">
        <v>1</v>
      </c>
      <c r="J2098" s="284">
        <v>1</v>
      </c>
    </row>
    <row r="2099" spans="3:10" x14ac:dyDescent="0.25">
      <c r="C2099" s="300" t="s">
        <v>1060</v>
      </c>
      <c r="D2099" s="283" t="s">
        <v>1074</v>
      </c>
      <c r="E2099" s="283" t="s">
        <v>1088</v>
      </c>
      <c r="F2099" s="283" t="s">
        <v>1083</v>
      </c>
      <c r="G2099" s="283">
        <v>2</v>
      </c>
      <c r="H2099" s="283">
        <v>0</v>
      </c>
      <c r="I2099" s="283">
        <v>1</v>
      </c>
      <c r="J2099" s="284">
        <v>0</v>
      </c>
    </row>
    <row r="2100" spans="3:10" x14ac:dyDescent="0.25">
      <c r="C2100" s="300" t="s">
        <v>1063</v>
      </c>
      <c r="D2100" s="283" t="s">
        <v>1043</v>
      </c>
      <c r="E2100" s="283" t="s">
        <v>1078</v>
      </c>
      <c r="F2100" s="283" t="s">
        <v>1092</v>
      </c>
      <c r="G2100" s="283">
        <v>2</v>
      </c>
      <c r="H2100" s="283">
        <v>0</v>
      </c>
      <c r="I2100" s="283">
        <v>0</v>
      </c>
      <c r="J2100" s="284">
        <v>0</v>
      </c>
    </row>
    <row r="2101" spans="3:10" x14ac:dyDescent="0.25">
      <c r="C2101" s="300" t="s">
        <v>1066</v>
      </c>
      <c r="D2101" s="283" t="s">
        <v>1079</v>
      </c>
      <c r="E2101" s="283" t="s">
        <v>1075</v>
      </c>
      <c r="F2101" s="283" t="s">
        <v>1075</v>
      </c>
      <c r="G2101" s="283">
        <v>2</v>
      </c>
      <c r="H2101" s="283">
        <v>0</v>
      </c>
      <c r="I2101" s="283">
        <v>0</v>
      </c>
      <c r="J2101" s="284">
        <v>1</v>
      </c>
    </row>
    <row r="2102" spans="3:10" x14ac:dyDescent="0.25">
      <c r="C2102" s="300" t="s">
        <v>1060</v>
      </c>
      <c r="D2102" s="283" t="s">
        <v>1077</v>
      </c>
      <c r="E2102" s="283" t="s">
        <v>1075</v>
      </c>
      <c r="F2102" s="283" t="s">
        <v>1075</v>
      </c>
      <c r="G2102" s="283">
        <v>2</v>
      </c>
      <c r="H2102" s="283">
        <v>0</v>
      </c>
      <c r="I2102" s="283">
        <v>0</v>
      </c>
      <c r="J2102" s="284">
        <v>0</v>
      </c>
    </row>
    <row r="2103" spans="3:10" x14ac:dyDescent="0.25">
      <c r="C2103" s="300" t="s">
        <v>1060</v>
      </c>
      <c r="D2103" s="283" t="s">
        <v>1079</v>
      </c>
      <c r="E2103" s="283" t="s">
        <v>1084</v>
      </c>
      <c r="F2103" s="283" t="s">
        <v>1075</v>
      </c>
      <c r="G2103" s="283">
        <v>2</v>
      </c>
      <c r="H2103" s="283">
        <v>0</v>
      </c>
      <c r="I2103" s="283">
        <v>0</v>
      </c>
      <c r="J2103" s="284">
        <v>0</v>
      </c>
    </row>
    <row r="2104" spans="3:10" x14ac:dyDescent="0.25">
      <c r="C2104" s="300" t="s">
        <v>1063</v>
      </c>
      <c r="D2104" s="283" t="s">
        <v>1079</v>
      </c>
      <c r="E2104" s="283" t="s">
        <v>1076</v>
      </c>
      <c r="F2104" s="283" t="s">
        <v>1075</v>
      </c>
      <c r="G2104" s="283">
        <v>2</v>
      </c>
      <c r="H2104" s="283">
        <v>0</v>
      </c>
      <c r="I2104" s="283">
        <v>0</v>
      </c>
      <c r="J2104" s="284">
        <v>0</v>
      </c>
    </row>
    <row r="2105" spans="3:10" x14ac:dyDescent="0.25">
      <c r="C2105" s="300" t="s">
        <v>1061</v>
      </c>
      <c r="D2105" s="283" t="s">
        <v>1079</v>
      </c>
      <c r="E2105" s="283" t="s">
        <v>1044</v>
      </c>
      <c r="F2105" s="283" t="s">
        <v>1078</v>
      </c>
      <c r="G2105" s="283">
        <v>2</v>
      </c>
      <c r="H2105" s="283">
        <v>0</v>
      </c>
      <c r="I2105" s="283">
        <v>0</v>
      </c>
      <c r="J2105" s="284">
        <v>1</v>
      </c>
    </row>
    <row r="2106" spans="3:10" x14ac:dyDescent="0.25">
      <c r="C2106" s="300" t="s">
        <v>1063</v>
      </c>
      <c r="D2106" s="283" t="s">
        <v>1074</v>
      </c>
      <c r="E2106" s="283" t="s">
        <v>1075</v>
      </c>
      <c r="F2106" s="283" t="s">
        <v>1089</v>
      </c>
      <c r="G2106" s="283">
        <v>2</v>
      </c>
      <c r="H2106" s="283">
        <v>0</v>
      </c>
      <c r="I2106" s="283">
        <v>0</v>
      </c>
      <c r="J2106" s="284">
        <v>3</v>
      </c>
    </row>
    <row r="2107" spans="3:10" x14ac:dyDescent="0.25">
      <c r="C2107" s="300" t="s">
        <v>1064</v>
      </c>
      <c r="D2107" s="283" t="s">
        <v>1043</v>
      </c>
      <c r="E2107" s="283" t="s">
        <v>1089</v>
      </c>
      <c r="F2107" s="283" t="s">
        <v>1092</v>
      </c>
      <c r="G2107" s="283">
        <v>2</v>
      </c>
      <c r="H2107" s="283">
        <v>0</v>
      </c>
      <c r="I2107" s="283">
        <v>0</v>
      </c>
      <c r="J2107" s="284">
        <v>1</v>
      </c>
    </row>
    <row r="2108" spans="3:10" x14ac:dyDescent="0.25">
      <c r="C2108" s="300" t="s">
        <v>1064</v>
      </c>
      <c r="D2108" s="283" t="s">
        <v>1079</v>
      </c>
      <c r="E2108" s="283" t="s">
        <v>1075</v>
      </c>
      <c r="F2108" s="283" t="s">
        <v>1084</v>
      </c>
      <c r="G2108" s="283">
        <v>2</v>
      </c>
      <c r="H2108" s="283">
        <v>0</v>
      </c>
      <c r="I2108" s="283">
        <v>0</v>
      </c>
      <c r="J2108" s="284">
        <v>1</v>
      </c>
    </row>
    <row r="2109" spans="3:10" x14ac:dyDescent="0.25">
      <c r="C2109" s="300" t="s">
        <v>1065</v>
      </c>
      <c r="D2109" s="283" t="s">
        <v>1043</v>
      </c>
      <c r="E2109" s="283" t="s">
        <v>1075</v>
      </c>
      <c r="F2109" s="283" t="s">
        <v>1092</v>
      </c>
      <c r="G2109" s="283">
        <v>2</v>
      </c>
      <c r="H2109" s="283">
        <v>0</v>
      </c>
      <c r="I2109" s="283">
        <v>0</v>
      </c>
      <c r="J2109" s="284">
        <v>1</v>
      </c>
    </row>
    <row r="2110" spans="3:10" x14ac:dyDescent="0.25">
      <c r="C2110" s="300" t="s">
        <v>1064</v>
      </c>
      <c r="D2110" s="283" t="s">
        <v>1079</v>
      </c>
      <c r="E2110" s="283" t="s">
        <v>1075</v>
      </c>
      <c r="F2110" s="283" t="s">
        <v>1081</v>
      </c>
      <c r="G2110" s="283">
        <v>2</v>
      </c>
      <c r="H2110" s="283">
        <v>0</v>
      </c>
      <c r="I2110" s="283">
        <v>0</v>
      </c>
      <c r="J2110" s="284">
        <v>1</v>
      </c>
    </row>
    <row r="2111" spans="3:10" x14ac:dyDescent="0.25">
      <c r="C2111" s="300" t="s">
        <v>1060</v>
      </c>
      <c r="D2111" s="283" t="s">
        <v>1077</v>
      </c>
      <c r="E2111" s="283" t="s">
        <v>1088</v>
      </c>
      <c r="F2111" s="283" t="s">
        <v>1076</v>
      </c>
      <c r="G2111" s="283">
        <v>3</v>
      </c>
      <c r="H2111" s="283">
        <v>0</v>
      </c>
      <c r="I2111" s="283">
        <v>0</v>
      </c>
      <c r="J2111" s="284">
        <v>0</v>
      </c>
    </row>
    <row r="2112" spans="3:10" x14ac:dyDescent="0.25">
      <c r="C2112" s="300" t="s">
        <v>1065</v>
      </c>
      <c r="D2112" s="283" t="s">
        <v>1077</v>
      </c>
      <c r="E2112" s="283" t="s">
        <v>1075</v>
      </c>
      <c r="F2112" s="283" t="s">
        <v>1083</v>
      </c>
      <c r="G2112" s="283">
        <v>2</v>
      </c>
      <c r="H2112" s="283">
        <v>0</v>
      </c>
      <c r="I2112" s="283">
        <v>1</v>
      </c>
      <c r="J2112" s="284">
        <v>0</v>
      </c>
    </row>
    <row r="2113" spans="3:10" x14ac:dyDescent="0.25">
      <c r="C2113" s="300" t="s">
        <v>1065</v>
      </c>
      <c r="D2113" s="283" t="s">
        <v>1074</v>
      </c>
      <c r="E2113" s="283" t="s">
        <v>1078</v>
      </c>
      <c r="F2113" s="283" t="s">
        <v>1075</v>
      </c>
      <c r="G2113" s="283">
        <v>2</v>
      </c>
      <c r="H2113" s="283">
        <v>0</v>
      </c>
      <c r="I2113" s="283">
        <v>0</v>
      </c>
      <c r="J2113" s="284">
        <v>1</v>
      </c>
    </row>
    <row r="2114" spans="3:10" x14ac:dyDescent="0.25">
      <c r="C2114" s="300" t="s">
        <v>1065</v>
      </c>
      <c r="D2114" s="283" t="s">
        <v>1079</v>
      </c>
      <c r="E2114" s="283" t="s">
        <v>1075</v>
      </c>
      <c r="F2114" s="283" t="s">
        <v>1076</v>
      </c>
      <c r="G2114" s="283">
        <v>2</v>
      </c>
      <c r="H2114" s="283">
        <v>0</v>
      </c>
      <c r="I2114" s="283">
        <v>0</v>
      </c>
      <c r="J2114" s="284">
        <v>0</v>
      </c>
    </row>
    <row r="2115" spans="3:10" x14ac:dyDescent="0.25">
      <c r="C2115" s="300" t="s">
        <v>1065</v>
      </c>
      <c r="D2115" s="283" t="s">
        <v>1077</v>
      </c>
      <c r="E2115" s="283" t="s">
        <v>1083</v>
      </c>
      <c r="F2115" s="283" t="s">
        <v>1084</v>
      </c>
      <c r="G2115" s="283">
        <v>2</v>
      </c>
      <c r="H2115" s="283">
        <v>0</v>
      </c>
      <c r="I2115" s="283">
        <v>0</v>
      </c>
      <c r="J2115" s="284">
        <v>0</v>
      </c>
    </row>
    <row r="2116" spans="3:10" x14ac:dyDescent="0.25">
      <c r="C2116" s="300" t="s">
        <v>1062</v>
      </c>
      <c r="D2116" s="283" t="s">
        <v>1079</v>
      </c>
      <c r="E2116" s="283" t="s">
        <v>1075</v>
      </c>
      <c r="F2116" s="283" t="s">
        <v>1083</v>
      </c>
      <c r="G2116" s="283">
        <v>2</v>
      </c>
      <c r="H2116" s="283">
        <v>0</v>
      </c>
      <c r="I2116" s="283">
        <v>0</v>
      </c>
      <c r="J2116" s="284">
        <v>0</v>
      </c>
    </row>
    <row r="2117" spans="3:10" x14ac:dyDescent="0.25">
      <c r="C2117" s="300" t="s">
        <v>1061</v>
      </c>
      <c r="D2117" s="283" t="s">
        <v>1079</v>
      </c>
      <c r="E2117" s="283" t="s">
        <v>1075</v>
      </c>
      <c r="F2117" s="283" t="s">
        <v>1075</v>
      </c>
      <c r="G2117" s="283">
        <v>2</v>
      </c>
      <c r="H2117" s="283">
        <v>0</v>
      </c>
      <c r="I2117" s="283">
        <v>0</v>
      </c>
      <c r="J2117" s="284">
        <v>0</v>
      </c>
    </row>
    <row r="2118" spans="3:10" x14ac:dyDescent="0.25">
      <c r="C2118" s="300" t="s">
        <v>1061</v>
      </c>
      <c r="D2118" s="283" t="s">
        <v>1077</v>
      </c>
      <c r="E2118" s="283" t="s">
        <v>1085</v>
      </c>
      <c r="F2118" s="283" t="s">
        <v>1075</v>
      </c>
      <c r="G2118" s="283">
        <v>3</v>
      </c>
      <c r="H2118" s="283">
        <v>0</v>
      </c>
      <c r="I2118" s="283">
        <v>0</v>
      </c>
      <c r="J2118" s="284">
        <v>0</v>
      </c>
    </row>
    <row r="2119" spans="3:10" x14ac:dyDescent="0.25">
      <c r="C2119" s="300" t="s">
        <v>1060</v>
      </c>
      <c r="D2119" s="283" t="s">
        <v>1077</v>
      </c>
      <c r="E2119" s="283" t="s">
        <v>1075</v>
      </c>
      <c r="F2119" s="283" t="s">
        <v>1076</v>
      </c>
      <c r="G2119" s="283">
        <v>2</v>
      </c>
      <c r="H2119" s="283">
        <v>0</v>
      </c>
      <c r="I2119" s="283">
        <v>0</v>
      </c>
      <c r="J2119" s="284">
        <v>0</v>
      </c>
    </row>
    <row r="2120" spans="3:10" x14ac:dyDescent="0.25">
      <c r="C2120" s="300" t="s">
        <v>1061</v>
      </c>
      <c r="D2120" s="283" t="s">
        <v>1077</v>
      </c>
      <c r="E2120" s="283" t="s">
        <v>1089</v>
      </c>
      <c r="F2120" s="283" t="s">
        <v>1089</v>
      </c>
      <c r="G2120" s="283">
        <v>2</v>
      </c>
      <c r="H2120" s="283">
        <v>0</v>
      </c>
      <c r="I2120" s="283">
        <v>0</v>
      </c>
      <c r="J2120" s="284">
        <v>0</v>
      </c>
    </row>
    <row r="2121" spans="3:10" x14ac:dyDescent="0.25">
      <c r="C2121" s="300" t="s">
        <v>1066</v>
      </c>
      <c r="D2121" s="283" t="s">
        <v>1074</v>
      </c>
      <c r="E2121" s="283" t="s">
        <v>1075</v>
      </c>
      <c r="F2121" s="283" t="s">
        <v>1075</v>
      </c>
      <c r="G2121" s="283">
        <v>2</v>
      </c>
      <c r="H2121" s="283">
        <v>0</v>
      </c>
      <c r="I2121" s="283">
        <v>0</v>
      </c>
      <c r="J2121" s="284">
        <v>1</v>
      </c>
    </row>
    <row r="2122" spans="3:10" x14ac:dyDescent="0.25">
      <c r="C2122" s="300" t="s">
        <v>1065</v>
      </c>
      <c r="D2122" s="283" t="s">
        <v>1043</v>
      </c>
      <c r="E2122" s="283" t="s">
        <v>1075</v>
      </c>
      <c r="F2122" s="283" t="s">
        <v>1092</v>
      </c>
      <c r="G2122" s="283">
        <v>2</v>
      </c>
      <c r="H2122" s="283">
        <v>0</v>
      </c>
      <c r="I2122" s="283">
        <v>0</v>
      </c>
      <c r="J2122" s="284">
        <v>1</v>
      </c>
    </row>
    <row r="2123" spans="3:10" x14ac:dyDescent="0.25">
      <c r="C2123" s="300" t="s">
        <v>1065</v>
      </c>
      <c r="D2123" s="283" t="s">
        <v>1079</v>
      </c>
      <c r="E2123" s="283" t="s">
        <v>1075</v>
      </c>
      <c r="F2123" s="283" t="s">
        <v>1078</v>
      </c>
      <c r="G2123" s="283">
        <v>2</v>
      </c>
      <c r="H2123" s="283">
        <v>0</v>
      </c>
      <c r="I2123" s="283">
        <v>0</v>
      </c>
      <c r="J2123" s="284">
        <v>0</v>
      </c>
    </row>
    <row r="2124" spans="3:10" x14ac:dyDescent="0.25">
      <c r="C2124" s="300" t="s">
        <v>1063</v>
      </c>
      <c r="D2124" s="283" t="s">
        <v>1079</v>
      </c>
      <c r="E2124" s="283" t="s">
        <v>1075</v>
      </c>
      <c r="F2124" s="283" t="s">
        <v>1078</v>
      </c>
      <c r="G2124" s="283">
        <v>3</v>
      </c>
      <c r="H2124" s="283">
        <v>0</v>
      </c>
      <c r="I2124" s="283">
        <v>0</v>
      </c>
      <c r="J2124" s="284">
        <v>0</v>
      </c>
    </row>
    <row r="2125" spans="3:10" x14ac:dyDescent="0.25">
      <c r="C2125" s="300" t="s">
        <v>1062</v>
      </c>
      <c r="D2125" s="283" t="s">
        <v>1079</v>
      </c>
      <c r="E2125" s="283" t="s">
        <v>1080</v>
      </c>
      <c r="F2125" s="283" t="s">
        <v>1089</v>
      </c>
      <c r="G2125" s="283">
        <v>2</v>
      </c>
      <c r="H2125" s="283">
        <v>0</v>
      </c>
      <c r="I2125" s="283">
        <v>0</v>
      </c>
      <c r="J2125" s="284">
        <v>0</v>
      </c>
    </row>
    <row r="2126" spans="3:10" x14ac:dyDescent="0.25">
      <c r="C2126" s="300" t="s">
        <v>1064</v>
      </c>
      <c r="D2126" s="283" t="s">
        <v>1087</v>
      </c>
      <c r="E2126" s="283" t="s">
        <v>1084</v>
      </c>
      <c r="F2126" s="283" t="s">
        <v>524</v>
      </c>
      <c r="G2126" s="283">
        <v>1</v>
      </c>
      <c r="H2126" s="283">
        <v>0</v>
      </c>
      <c r="I2126" s="283">
        <v>0</v>
      </c>
      <c r="J2126" s="284">
        <v>0</v>
      </c>
    </row>
    <row r="2127" spans="3:10" x14ac:dyDescent="0.25">
      <c r="C2127" s="300" t="s">
        <v>1067</v>
      </c>
      <c r="D2127" s="283" t="s">
        <v>1077</v>
      </c>
      <c r="E2127" s="283" t="s">
        <v>1089</v>
      </c>
      <c r="F2127" s="283" t="s">
        <v>1089</v>
      </c>
      <c r="G2127" s="283">
        <v>2</v>
      </c>
      <c r="H2127" s="283">
        <v>0</v>
      </c>
      <c r="I2127" s="283">
        <v>0</v>
      </c>
      <c r="J2127" s="284">
        <v>0</v>
      </c>
    </row>
    <row r="2128" spans="3:10" x14ac:dyDescent="0.25">
      <c r="C2128" s="300" t="s">
        <v>1065</v>
      </c>
      <c r="D2128" s="283" t="s">
        <v>1077</v>
      </c>
      <c r="E2128" s="283" t="s">
        <v>1075</v>
      </c>
      <c r="F2128" s="283" t="s">
        <v>1075</v>
      </c>
      <c r="G2128" s="283">
        <v>3</v>
      </c>
      <c r="H2128" s="283">
        <v>0</v>
      </c>
      <c r="I2128" s="283">
        <v>1</v>
      </c>
      <c r="J2128" s="284">
        <v>0</v>
      </c>
    </row>
    <row r="2129" spans="3:10" x14ac:dyDescent="0.25">
      <c r="C2129" s="300" t="s">
        <v>1063</v>
      </c>
      <c r="D2129" s="283" t="s">
        <v>1079</v>
      </c>
      <c r="E2129" s="283" t="s">
        <v>1075</v>
      </c>
      <c r="F2129" s="283" t="s">
        <v>1076</v>
      </c>
      <c r="G2129" s="283">
        <v>2</v>
      </c>
      <c r="H2129" s="283">
        <v>0</v>
      </c>
      <c r="I2129" s="283">
        <v>0</v>
      </c>
      <c r="J2129" s="284">
        <v>0</v>
      </c>
    </row>
    <row r="2130" spans="3:10" x14ac:dyDescent="0.25">
      <c r="C2130" s="300" t="s">
        <v>1060</v>
      </c>
      <c r="D2130" s="283" t="s">
        <v>1077</v>
      </c>
      <c r="E2130" s="283" t="s">
        <v>1075</v>
      </c>
      <c r="F2130" s="283" t="s">
        <v>1075</v>
      </c>
      <c r="G2130" s="283">
        <v>2</v>
      </c>
      <c r="H2130" s="283">
        <v>0</v>
      </c>
      <c r="I2130" s="283">
        <v>0</v>
      </c>
      <c r="J2130" s="284">
        <v>0</v>
      </c>
    </row>
    <row r="2131" spans="3:10" x14ac:dyDescent="0.25">
      <c r="C2131" s="300" t="s">
        <v>1063</v>
      </c>
      <c r="D2131" s="283" t="s">
        <v>1077</v>
      </c>
      <c r="E2131" s="283" t="s">
        <v>1075</v>
      </c>
      <c r="F2131" s="283" t="s">
        <v>1075</v>
      </c>
      <c r="G2131" s="283">
        <v>2</v>
      </c>
      <c r="H2131" s="283">
        <v>0</v>
      </c>
      <c r="I2131" s="283">
        <v>0</v>
      </c>
      <c r="J2131" s="284">
        <v>0</v>
      </c>
    </row>
    <row r="2132" spans="3:10" x14ac:dyDescent="0.25">
      <c r="C2132" s="300" t="s">
        <v>1060</v>
      </c>
      <c r="D2132" s="283" t="s">
        <v>1079</v>
      </c>
      <c r="E2132" s="283" t="s">
        <v>1099</v>
      </c>
      <c r="F2132" s="283" t="s">
        <v>1084</v>
      </c>
      <c r="G2132" s="283">
        <v>3</v>
      </c>
      <c r="H2132" s="283">
        <v>0</v>
      </c>
      <c r="I2132" s="283">
        <v>0</v>
      </c>
      <c r="J2132" s="284">
        <v>0</v>
      </c>
    </row>
    <row r="2133" spans="3:10" x14ac:dyDescent="0.25">
      <c r="C2133" s="300" t="s">
        <v>1068</v>
      </c>
      <c r="D2133" s="283" t="s">
        <v>1090</v>
      </c>
      <c r="E2133" s="283" t="s">
        <v>1076</v>
      </c>
      <c r="F2133" s="283" t="s">
        <v>524</v>
      </c>
      <c r="G2133" s="283">
        <v>1</v>
      </c>
      <c r="H2133" s="283">
        <v>0</v>
      </c>
      <c r="I2133" s="283">
        <v>0</v>
      </c>
      <c r="J2133" s="284">
        <v>0</v>
      </c>
    </row>
    <row r="2134" spans="3:10" x14ac:dyDescent="0.25">
      <c r="C2134" s="300" t="s">
        <v>1067</v>
      </c>
      <c r="D2134" s="283" t="s">
        <v>1043</v>
      </c>
      <c r="E2134" s="283" t="s">
        <v>1083</v>
      </c>
      <c r="F2134" s="283" t="s">
        <v>1092</v>
      </c>
      <c r="G2134" s="283">
        <v>3</v>
      </c>
      <c r="H2134" s="283">
        <v>0</v>
      </c>
      <c r="I2134" s="283">
        <v>1</v>
      </c>
      <c r="J2134" s="284">
        <v>1</v>
      </c>
    </row>
    <row r="2135" spans="3:10" x14ac:dyDescent="0.25">
      <c r="C2135" s="300" t="s">
        <v>1065</v>
      </c>
      <c r="D2135" s="283" t="s">
        <v>1079</v>
      </c>
      <c r="E2135" s="283" t="s">
        <v>1086</v>
      </c>
      <c r="F2135" s="283" t="s">
        <v>1083</v>
      </c>
      <c r="G2135" s="283">
        <v>2</v>
      </c>
      <c r="H2135" s="283">
        <v>0</v>
      </c>
      <c r="I2135" s="283">
        <v>0</v>
      </c>
      <c r="J2135" s="284">
        <v>0</v>
      </c>
    </row>
    <row r="2136" spans="3:10" x14ac:dyDescent="0.25">
      <c r="C2136" s="300" t="s">
        <v>1061</v>
      </c>
      <c r="D2136" s="283" t="s">
        <v>1079</v>
      </c>
      <c r="E2136" s="283" t="s">
        <v>1044</v>
      </c>
      <c r="F2136" s="283" t="s">
        <v>1084</v>
      </c>
      <c r="G2136" s="283">
        <v>2</v>
      </c>
      <c r="H2136" s="283">
        <v>0</v>
      </c>
      <c r="I2136" s="283">
        <v>0</v>
      </c>
      <c r="J2136" s="284">
        <v>0</v>
      </c>
    </row>
    <row r="2137" spans="3:10" x14ac:dyDescent="0.25">
      <c r="C2137" s="300" t="s">
        <v>1064</v>
      </c>
      <c r="D2137" s="283" t="s">
        <v>1077</v>
      </c>
      <c r="E2137" s="283" t="s">
        <v>1075</v>
      </c>
      <c r="F2137" s="283" t="s">
        <v>1089</v>
      </c>
      <c r="G2137" s="283">
        <v>2</v>
      </c>
      <c r="H2137" s="283">
        <v>0</v>
      </c>
      <c r="I2137" s="283">
        <v>0</v>
      </c>
      <c r="J2137" s="284">
        <v>0</v>
      </c>
    </row>
    <row r="2138" spans="3:10" x14ac:dyDescent="0.25">
      <c r="C2138" s="300" t="s">
        <v>1060</v>
      </c>
      <c r="D2138" s="283" t="s">
        <v>1074</v>
      </c>
      <c r="E2138" s="283" t="s">
        <v>1075</v>
      </c>
      <c r="F2138" s="283" t="s">
        <v>1094</v>
      </c>
      <c r="G2138" s="283">
        <v>2</v>
      </c>
      <c r="H2138" s="283">
        <v>0</v>
      </c>
      <c r="I2138" s="283">
        <v>1</v>
      </c>
      <c r="J2138" s="284">
        <v>0</v>
      </c>
    </row>
    <row r="2139" spans="3:10" x14ac:dyDescent="0.25">
      <c r="C2139" s="300" t="s">
        <v>1064</v>
      </c>
      <c r="D2139" s="283" t="s">
        <v>1074</v>
      </c>
      <c r="E2139" s="283" t="s">
        <v>1075</v>
      </c>
      <c r="F2139" s="283" t="s">
        <v>1076</v>
      </c>
      <c r="G2139" s="283">
        <v>3</v>
      </c>
      <c r="H2139" s="283">
        <v>0</v>
      </c>
      <c r="I2139" s="283">
        <v>1</v>
      </c>
      <c r="J2139" s="284">
        <v>0</v>
      </c>
    </row>
    <row r="2140" spans="3:10" x14ac:dyDescent="0.25">
      <c r="C2140" s="300" t="s">
        <v>1057</v>
      </c>
      <c r="D2140" s="283" t="s">
        <v>1087</v>
      </c>
      <c r="E2140" s="283" t="s">
        <v>1075</v>
      </c>
      <c r="F2140" s="283" t="s">
        <v>524</v>
      </c>
      <c r="G2140" s="283">
        <v>1</v>
      </c>
      <c r="H2140" s="283">
        <v>0</v>
      </c>
      <c r="I2140" s="283">
        <v>0</v>
      </c>
      <c r="J2140" s="284">
        <v>1</v>
      </c>
    </row>
    <row r="2141" spans="3:10" x14ac:dyDescent="0.25">
      <c r="C2141" s="300" t="s">
        <v>1068</v>
      </c>
      <c r="D2141" s="283" t="s">
        <v>1079</v>
      </c>
      <c r="E2141" s="283" t="s">
        <v>1075</v>
      </c>
      <c r="F2141" s="283" t="s">
        <v>1075</v>
      </c>
      <c r="G2141" s="283">
        <v>2</v>
      </c>
      <c r="H2141" s="283">
        <v>0</v>
      </c>
      <c r="I2141" s="283">
        <v>0</v>
      </c>
      <c r="J2141" s="284">
        <v>2</v>
      </c>
    </row>
    <row r="2142" spans="3:10" x14ac:dyDescent="0.25">
      <c r="C2142" s="300" t="s">
        <v>1059</v>
      </c>
      <c r="D2142" s="283" t="s">
        <v>1079</v>
      </c>
      <c r="E2142" s="283" t="s">
        <v>1075</v>
      </c>
      <c r="F2142" s="283" t="s">
        <v>1086</v>
      </c>
      <c r="G2142" s="283">
        <v>2</v>
      </c>
      <c r="H2142" s="283">
        <v>0</v>
      </c>
      <c r="I2142" s="283">
        <v>1</v>
      </c>
      <c r="J2142" s="284">
        <v>0</v>
      </c>
    </row>
    <row r="2143" spans="3:10" x14ac:dyDescent="0.25">
      <c r="C2143" s="300" t="s">
        <v>1064</v>
      </c>
      <c r="D2143" s="283" t="s">
        <v>1043</v>
      </c>
      <c r="E2143" s="283" t="s">
        <v>1075</v>
      </c>
      <c r="F2143" s="283" t="s">
        <v>1092</v>
      </c>
      <c r="G2143" s="283">
        <v>2</v>
      </c>
      <c r="H2143" s="283">
        <v>0</v>
      </c>
      <c r="I2143" s="283">
        <v>1</v>
      </c>
      <c r="J2143" s="284">
        <v>0</v>
      </c>
    </row>
    <row r="2144" spans="3:10" x14ac:dyDescent="0.25">
      <c r="C2144" s="300" t="s">
        <v>1063</v>
      </c>
      <c r="D2144" s="283" t="s">
        <v>1074</v>
      </c>
      <c r="E2144" s="283" t="s">
        <v>1075</v>
      </c>
      <c r="F2144" s="283" t="s">
        <v>1084</v>
      </c>
      <c r="G2144" s="283">
        <v>2</v>
      </c>
      <c r="H2144" s="283">
        <v>0</v>
      </c>
      <c r="I2144" s="283">
        <v>0</v>
      </c>
      <c r="J2144" s="284">
        <v>0</v>
      </c>
    </row>
    <row r="2145" spans="3:10" x14ac:dyDescent="0.25">
      <c r="C2145" s="300" t="s">
        <v>1066</v>
      </c>
      <c r="D2145" s="283" t="s">
        <v>1077</v>
      </c>
      <c r="E2145" s="283" t="s">
        <v>1086</v>
      </c>
      <c r="F2145" s="283" t="s">
        <v>1075</v>
      </c>
      <c r="G2145" s="283">
        <v>3</v>
      </c>
      <c r="H2145" s="283">
        <v>0</v>
      </c>
      <c r="I2145" s="283">
        <v>0</v>
      </c>
      <c r="J2145" s="284">
        <v>0</v>
      </c>
    </row>
    <row r="2146" spans="3:10" x14ac:dyDescent="0.25">
      <c r="C2146" s="300" t="s">
        <v>1064</v>
      </c>
      <c r="D2146" s="283" t="s">
        <v>1079</v>
      </c>
      <c r="E2146" s="283" t="s">
        <v>1078</v>
      </c>
      <c r="F2146" s="283" t="s">
        <v>1075</v>
      </c>
      <c r="G2146" s="283">
        <v>3</v>
      </c>
      <c r="H2146" s="283">
        <v>0</v>
      </c>
      <c r="I2146" s="283">
        <v>0</v>
      </c>
      <c r="J2146" s="284">
        <v>1</v>
      </c>
    </row>
    <row r="2147" spans="3:10" x14ac:dyDescent="0.25">
      <c r="C2147" s="300" t="s">
        <v>1063</v>
      </c>
      <c r="D2147" s="283" t="s">
        <v>1082</v>
      </c>
      <c r="E2147" s="283" t="s">
        <v>1086</v>
      </c>
      <c r="F2147" s="283" t="s">
        <v>1081</v>
      </c>
      <c r="G2147" s="283">
        <v>2</v>
      </c>
      <c r="H2147" s="283">
        <v>0</v>
      </c>
      <c r="I2147" s="283">
        <v>0</v>
      </c>
      <c r="J2147" s="284">
        <v>0</v>
      </c>
    </row>
    <row r="2148" spans="3:10" x14ac:dyDescent="0.25">
      <c r="C2148" s="300" t="s">
        <v>1063</v>
      </c>
      <c r="D2148" s="283" t="s">
        <v>1079</v>
      </c>
      <c r="E2148" s="283" t="s">
        <v>1076</v>
      </c>
      <c r="F2148" s="283" t="s">
        <v>1084</v>
      </c>
      <c r="G2148" s="283">
        <v>2</v>
      </c>
      <c r="H2148" s="283">
        <v>0</v>
      </c>
      <c r="I2148" s="283">
        <v>0</v>
      </c>
      <c r="J2148" s="284">
        <v>0</v>
      </c>
    </row>
    <row r="2149" spans="3:10" x14ac:dyDescent="0.25">
      <c r="C2149" s="300" t="s">
        <v>1064</v>
      </c>
      <c r="D2149" s="283" t="s">
        <v>1079</v>
      </c>
      <c r="E2149" s="283" t="s">
        <v>1075</v>
      </c>
      <c r="F2149" s="283" t="s">
        <v>1075</v>
      </c>
      <c r="G2149" s="283">
        <v>2</v>
      </c>
      <c r="H2149" s="283">
        <v>0</v>
      </c>
      <c r="I2149" s="283">
        <v>0</v>
      </c>
      <c r="J2149" s="284">
        <v>0</v>
      </c>
    </row>
    <row r="2150" spans="3:10" x14ac:dyDescent="0.25">
      <c r="C2150" s="300" t="s">
        <v>1066</v>
      </c>
      <c r="D2150" s="283" t="s">
        <v>1077</v>
      </c>
      <c r="E2150" s="283" t="s">
        <v>1083</v>
      </c>
      <c r="F2150" s="283" t="s">
        <v>1075</v>
      </c>
      <c r="G2150" s="283">
        <v>2</v>
      </c>
      <c r="H2150" s="283">
        <v>0</v>
      </c>
      <c r="I2150" s="283">
        <v>1</v>
      </c>
      <c r="J2150" s="284">
        <v>0</v>
      </c>
    </row>
    <row r="2151" spans="3:10" x14ac:dyDescent="0.25">
      <c r="C2151" s="300" t="s">
        <v>1065</v>
      </c>
      <c r="D2151" s="283" t="s">
        <v>1043</v>
      </c>
      <c r="E2151" s="283" t="s">
        <v>1075</v>
      </c>
      <c r="F2151" s="283" t="s">
        <v>1092</v>
      </c>
      <c r="G2151" s="283">
        <v>2</v>
      </c>
      <c r="H2151" s="283">
        <v>0</v>
      </c>
      <c r="I2151" s="283">
        <v>1</v>
      </c>
      <c r="J2151" s="284">
        <v>0</v>
      </c>
    </row>
    <row r="2152" spans="3:10" x14ac:dyDescent="0.25">
      <c r="C2152" s="300" t="s">
        <v>1061</v>
      </c>
      <c r="D2152" s="283" t="s">
        <v>1077</v>
      </c>
      <c r="E2152" s="283" t="s">
        <v>1086</v>
      </c>
      <c r="F2152" s="283" t="s">
        <v>1075</v>
      </c>
      <c r="G2152" s="283">
        <v>4</v>
      </c>
      <c r="H2152" s="283">
        <v>0</v>
      </c>
      <c r="I2152" s="283">
        <v>0</v>
      </c>
      <c r="J2152" s="284">
        <v>1</v>
      </c>
    </row>
    <row r="2153" spans="3:10" x14ac:dyDescent="0.25">
      <c r="C2153" s="300" t="s">
        <v>1063</v>
      </c>
      <c r="D2153" s="283" t="s">
        <v>1082</v>
      </c>
      <c r="E2153" s="283" t="s">
        <v>1075</v>
      </c>
      <c r="F2153" s="283" t="s">
        <v>1075</v>
      </c>
      <c r="G2153" s="283">
        <v>2</v>
      </c>
      <c r="H2153" s="283">
        <v>0</v>
      </c>
      <c r="I2153" s="283">
        <v>0</v>
      </c>
      <c r="J2153" s="284">
        <v>1</v>
      </c>
    </row>
    <row r="2154" spans="3:10" x14ac:dyDescent="0.25">
      <c r="C2154" s="300" t="s">
        <v>1065</v>
      </c>
      <c r="D2154" s="283" t="s">
        <v>1079</v>
      </c>
      <c r="E2154" s="283" t="s">
        <v>1075</v>
      </c>
      <c r="F2154" s="283" t="s">
        <v>1075</v>
      </c>
      <c r="G2154" s="283">
        <v>2</v>
      </c>
      <c r="H2154" s="283">
        <v>0</v>
      </c>
      <c r="I2154" s="283">
        <v>0</v>
      </c>
      <c r="J2154" s="284">
        <v>0</v>
      </c>
    </row>
    <row r="2155" spans="3:10" x14ac:dyDescent="0.25">
      <c r="C2155" s="300" t="s">
        <v>1064</v>
      </c>
      <c r="D2155" s="283" t="s">
        <v>1074</v>
      </c>
      <c r="E2155" s="283" t="s">
        <v>1075</v>
      </c>
      <c r="F2155" s="283" t="s">
        <v>1075</v>
      </c>
      <c r="G2155" s="283">
        <v>2</v>
      </c>
      <c r="H2155" s="283">
        <v>0</v>
      </c>
      <c r="I2155" s="283">
        <v>0</v>
      </c>
      <c r="J2155" s="284">
        <v>0</v>
      </c>
    </row>
    <row r="2156" spans="3:10" x14ac:dyDescent="0.25">
      <c r="C2156" s="300" t="s">
        <v>1061</v>
      </c>
      <c r="D2156" s="283" t="s">
        <v>1077</v>
      </c>
      <c r="E2156" s="283" t="s">
        <v>1075</v>
      </c>
      <c r="F2156" s="283" t="s">
        <v>1080</v>
      </c>
      <c r="G2156" s="283">
        <v>2</v>
      </c>
      <c r="H2156" s="283">
        <v>0</v>
      </c>
      <c r="I2156" s="283">
        <v>0</v>
      </c>
      <c r="J2156" s="284">
        <v>0</v>
      </c>
    </row>
    <row r="2157" spans="3:10" x14ac:dyDescent="0.25">
      <c r="C2157" s="300" t="s">
        <v>1065</v>
      </c>
      <c r="D2157" s="283" t="s">
        <v>1077</v>
      </c>
      <c r="E2157" s="283" t="s">
        <v>1075</v>
      </c>
      <c r="F2157" s="283" t="s">
        <v>1089</v>
      </c>
      <c r="G2157" s="283">
        <v>2</v>
      </c>
      <c r="H2157" s="283">
        <v>0</v>
      </c>
      <c r="I2157" s="283">
        <v>0</v>
      </c>
      <c r="J2157" s="284">
        <v>0</v>
      </c>
    </row>
    <row r="2158" spans="3:10" x14ac:dyDescent="0.25">
      <c r="C2158" s="300" t="s">
        <v>1064</v>
      </c>
      <c r="D2158" s="283" t="s">
        <v>1077</v>
      </c>
      <c r="E2158" s="283" t="s">
        <v>1075</v>
      </c>
      <c r="F2158" s="283" t="s">
        <v>1089</v>
      </c>
      <c r="G2158" s="283">
        <v>2</v>
      </c>
      <c r="H2158" s="283">
        <v>0</v>
      </c>
      <c r="I2158" s="283">
        <v>0</v>
      </c>
      <c r="J2158" s="284">
        <v>0</v>
      </c>
    </row>
    <row r="2159" spans="3:10" x14ac:dyDescent="0.25">
      <c r="C2159" s="300" t="s">
        <v>1063</v>
      </c>
      <c r="D2159" s="283" t="s">
        <v>1082</v>
      </c>
      <c r="E2159" s="283" t="s">
        <v>1089</v>
      </c>
      <c r="F2159" s="283" t="s">
        <v>1075</v>
      </c>
      <c r="G2159" s="283">
        <v>2</v>
      </c>
      <c r="H2159" s="283">
        <v>0</v>
      </c>
      <c r="I2159" s="283">
        <v>0</v>
      </c>
      <c r="J2159" s="284">
        <v>0</v>
      </c>
    </row>
    <row r="2160" spans="3:10" x14ac:dyDescent="0.25">
      <c r="C2160" s="300" t="s">
        <v>1064</v>
      </c>
      <c r="D2160" s="283" t="s">
        <v>1077</v>
      </c>
      <c r="E2160" s="283" t="s">
        <v>1075</v>
      </c>
      <c r="F2160" s="283" t="s">
        <v>1089</v>
      </c>
      <c r="G2160" s="283">
        <v>2</v>
      </c>
      <c r="H2160" s="283">
        <v>0</v>
      </c>
      <c r="I2160" s="283">
        <v>0</v>
      </c>
      <c r="J2160" s="284">
        <v>0</v>
      </c>
    </row>
    <row r="2161" spans="3:10" x14ac:dyDescent="0.25">
      <c r="C2161" s="300" t="s">
        <v>1061</v>
      </c>
      <c r="D2161" s="283" t="s">
        <v>1077</v>
      </c>
      <c r="E2161" s="283" t="s">
        <v>1089</v>
      </c>
      <c r="F2161" s="283" t="s">
        <v>1075</v>
      </c>
      <c r="G2161" s="283">
        <v>3</v>
      </c>
      <c r="H2161" s="283">
        <v>0</v>
      </c>
      <c r="I2161" s="283">
        <v>0</v>
      </c>
      <c r="J2161" s="284">
        <v>1</v>
      </c>
    </row>
    <row r="2162" spans="3:10" x14ac:dyDescent="0.25">
      <c r="C2162" s="300" t="s">
        <v>1064</v>
      </c>
      <c r="D2162" s="283" t="s">
        <v>1079</v>
      </c>
      <c r="E2162" s="283" t="s">
        <v>1084</v>
      </c>
      <c r="F2162" s="283" t="s">
        <v>1075</v>
      </c>
      <c r="G2162" s="283">
        <v>2</v>
      </c>
      <c r="H2162" s="283">
        <v>0</v>
      </c>
      <c r="I2162" s="283">
        <v>0</v>
      </c>
      <c r="J2162" s="284">
        <v>0</v>
      </c>
    </row>
    <row r="2163" spans="3:10" x14ac:dyDescent="0.25">
      <c r="C2163" s="300" t="s">
        <v>1059</v>
      </c>
      <c r="D2163" s="283" t="s">
        <v>1087</v>
      </c>
      <c r="E2163" s="283" t="s">
        <v>1075</v>
      </c>
      <c r="F2163" s="283" t="s">
        <v>524</v>
      </c>
      <c r="G2163" s="283">
        <v>1</v>
      </c>
      <c r="H2163" s="283">
        <v>0</v>
      </c>
      <c r="I2163" s="283">
        <v>0</v>
      </c>
      <c r="J2163" s="284">
        <v>0</v>
      </c>
    </row>
    <row r="2164" spans="3:10" x14ac:dyDescent="0.25">
      <c r="C2164" s="300" t="s">
        <v>1062</v>
      </c>
      <c r="D2164" s="283" t="s">
        <v>1079</v>
      </c>
      <c r="E2164" s="283" t="s">
        <v>1075</v>
      </c>
      <c r="F2164" s="283" t="s">
        <v>1076</v>
      </c>
      <c r="G2164" s="283">
        <v>2</v>
      </c>
      <c r="H2164" s="283">
        <v>0</v>
      </c>
      <c r="I2164" s="283">
        <v>0</v>
      </c>
      <c r="J2164" s="284">
        <v>0</v>
      </c>
    </row>
    <row r="2165" spans="3:10" x14ac:dyDescent="0.25">
      <c r="C2165" s="300" t="s">
        <v>1066</v>
      </c>
      <c r="D2165" s="283" t="s">
        <v>1074</v>
      </c>
      <c r="E2165" s="283" t="s">
        <v>1094</v>
      </c>
      <c r="F2165" s="283" t="s">
        <v>1075</v>
      </c>
      <c r="G2165" s="283">
        <v>2</v>
      </c>
      <c r="H2165" s="283">
        <v>0</v>
      </c>
      <c r="I2165" s="283">
        <v>0</v>
      </c>
      <c r="J2165" s="284">
        <v>0</v>
      </c>
    </row>
    <row r="2166" spans="3:10" x14ac:dyDescent="0.25">
      <c r="C2166" s="300" t="s">
        <v>1060</v>
      </c>
      <c r="D2166" s="283" t="s">
        <v>1079</v>
      </c>
      <c r="E2166" s="283" t="s">
        <v>1076</v>
      </c>
      <c r="F2166" s="283" t="s">
        <v>1075</v>
      </c>
      <c r="G2166" s="283">
        <v>2</v>
      </c>
      <c r="H2166" s="283">
        <v>0</v>
      </c>
      <c r="I2166" s="283">
        <v>0</v>
      </c>
      <c r="J2166" s="284">
        <v>0</v>
      </c>
    </row>
    <row r="2167" spans="3:10" x14ac:dyDescent="0.25">
      <c r="C2167" s="300" t="s">
        <v>1063</v>
      </c>
      <c r="D2167" s="283" t="s">
        <v>1079</v>
      </c>
      <c r="E2167" s="283" t="s">
        <v>1075</v>
      </c>
      <c r="F2167" s="283" t="s">
        <v>1075</v>
      </c>
      <c r="G2167" s="283">
        <v>2</v>
      </c>
      <c r="H2167" s="283">
        <v>0</v>
      </c>
      <c r="I2167" s="283">
        <v>0</v>
      </c>
      <c r="J2167" s="284">
        <v>0</v>
      </c>
    </row>
    <row r="2168" spans="3:10" x14ac:dyDescent="0.25">
      <c r="C2168" s="300" t="s">
        <v>1068</v>
      </c>
      <c r="D2168" s="283" t="s">
        <v>1087</v>
      </c>
      <c r="E2168" s="283" t="s">
        <v>1078</v>
      </c>
      <c r="F2168" s="283" t="s">
        <v>524</v>
      </c>
      <c r="G2168" s="283">
        <v>1</v>
      </c>
      <c r="H2168" s="283">
        <v>0</v>
      </c>
      <c r="I2168" s="283">
        <v>0</v>
      </c>
      <c r="J2168" s="284">
        <v>0</v>
      </c>
    </row>
    <row r="2169" spans="3:10" x14ac:dyDescent="0.25">
      <c r="C2169" s="300" t="s">
        <v>1061</v>
      </c>
      <c r="D2169" s="283" t="s">
        <v>1043</v>
      </c>
      <c r="E2169" s="283" t="s">
        <v>1081</v>
      </c>
      <c r="F2169" s="283" t="s">
        <v>1092</v>
      </c>
      <c r="G2169" s="283">
        <v>2</v>
      </c>
      <c r="H2169" s="283">
        <v>0</v>
      </c>
      <c r="I2169" s="283">
        <v>0</v>
      </c>
      <c r="J2169" s="284">
        <v>1</v>
      </c>
    </row>
    <row r="2170" spans="3:10" x14ac:dyDescent="0.25">
      <c r="C2170" s="300" t="s">
        <v>1066</v>
      </c>
      <c r="D2170" s="283" t="s">
        <v>1079</v>
      </c>
      <c r="E2170" s="283" t="s">
        <v>1084</v>
      </c>
      <c r="F2170" s="283" t="s">
        <v>1083</v>
      </c>
      <c r="G2170" s="283">
        <v>2</v>
      </c>
      <c r="H2170" s="283">
        <v>0</v>
      </c>
      <c r="I2170" s="283">
        <v>1</v>
      </c>
      <c r="J2170" s="284">
        <v>0</v>
      </c>
    </row>
    <row r="2171" spans="3:10" x14ac:dyDescent="0.25">
      <c r="C2171" s="300" t="s">
        <v>1068</v>
      </c>
      <c r="D2171" s="283" t="s">
        <v>1090</v>
      </c>
      <c r="E2171" s="283" t="s">
        <v>1083</v>
      </c>
      <c r="F2171" s="283" t="s">
        <v>524</v>
      </c>
      <c r="G2171" s="283">
        <v>3</v>
      </c>
      <c r="H2171" s="283">
        <v>0</v>
      </c>
      <c r="I2171" s="283">
        <v>1</v>
      </c>
      <c r="J2171" s="284">
        <v>0</v>
      </c>
    </row>
    <row r="2172" spans="3:10" x14ac:dyDescent="0.25">
      <c r="C2172" s="300" t="s">
        <v>1063</v>
      </c>
      <c r="D2172" s="283" t="s">
        <v>1079</v>
      </c>
      <c r="E2172" s="283" t="s">
        <v>1088</v>
      </c>
      <c r="F2172" s="283" t="s">
        <v>1075</v>
      </c>
      <c r="G2172" s="283">
        <v>2</v>
      </c>
      <c r="H2172" s="283">
        <v>0</v>
      </c>
      <c r="I2172" s="283">
        <v>0</v>
      </c>
      <c r="J2172" s="284">
        <v>0</v>
      </c>
    </row>
    <row r="2173" spans="3:10" x14ac:dyDescent="0.25">
      <c r="C2173" s="300" t="s">
        <v>1066</v>
      </c>
      <c r="D2173" s="283" t="s">
        <v>1079</v>
      </c>
      <c r="E2173" s="283" t="s">
        <v>1075</v>
      </c>
      <c r="F2173" s="283" t="s">
        <v>1083</v>
      </c>
      <c r="G2173" s="283">
        <v>2</v>
      </c>
      <c r="H2173" s="283">
        <v>0</v>
      </c>
      <c r="I2173" s="283">
        <v>0</v>
      </c>
      <c r="J2173" s="284">
        <v>0</v>
      </c>
    </row>
    <row r="2174" spans="3:10" x14ac:dyDescent="0.25">
      <c r="C2174" s="300" t="s">
        <v>1060</v>
      </c>
      <c r="D2174" s="283" t="s">
        <v>1074</v>
      </c>
      <c r="E2174" s="283" t="s">
        <v>1089</v>
      </c>
      <c r="F2174" s="283" t="s">
        <v>1084</v>
      </c>
      <c r="G2174" s="283">
        <v>2</v>
      </c>
      <c r="H2174" s="283">
        <v>0</v>
      </c>
      <c r="I2174" s="283">
        <v>0</v>
      </c>
      <c r="J2174" s="284">
        <v>0</v>
      </c>
    </row>
    <row r="2175" spans="3:10" x14ac:dyDescent="0.25">
      <c r="C2175" s="300" t="s">
        <v>1066</v>
      </c>
      <c r="D2175" s="283" t="s">
        <v>1074</v>
      </c>
      <c r="E2175" s="283" t="s">
        <v>1085</v>
      </c>
      <c r="F2175" s="283" t="s">
        <v>1093</v>
      </c>
      <c r="G2175" s="283">
        <v>2</v>
      </c>
      <c r="H2175" s="283">
        <v>0</v>
      </c>
      <c r="I2175" s="283">
        <v>0</v>
      </c>
      <c r="J2175" s="284">
        <v>1</v>
      </c>
    </row>
    <row r="2176" spans="3:10" x14ac:dyDescent="0.25">
      <c r="C2176" s="300" t="s">
        <v>1058</v>
      </c>
      <c r="D2176" s="283" t="s">
        <v>1087</v>
      </c>
      <c r="E2176" s="283" t="s">
        <v>1075</v>
      </c>
      <c r="F2176" s="283" t="s">
        <v>524</v>
      </c>
      <c r="G2176" s="283">
        <v>1</v>
      </c>
      <c r="H2176" s="283">
        <v>0</v>
      </c>
      <c r="I2176" s="283">
        <v>0</v>
      </c>
      <c r="J2176" s="284">
        <v>0</v>
      </c>
    </row>
    <row r="2177" spans="3:10" x14ac:dyDescent="0.25">
      <c r="C2177" s="300" t="s">
        <v>1063</v>
      </c>
      <c r="D2177" s="283" t="s">
        <v>1079</v>
      </c>
      <c r="E2177" s="283" t="s">
        <v>1080</v>
      </c>
      <c r="F2177" s="283" t="s">
        <v>1093</v>
      </c>
      <c r="G2177" s="283">
        <v>2</v>
      </c>
      <c r="H2177" s="283">
        <v>0</v>
      </c>
      <c r="I2177" s="283">
        <v>1</v>
      </c>
      <c r="J2177" s="284">
        <v>1</v>
      </c>
    </row>
    <row r="2178" spans="3:10" x14ac:dyDescent="0.25">
      <c r="C2178" s="300" t="s">
        <v>1068</v>
      </c>
      <c r="D2178" s="283" t="s">
        <v>1087</v>
      </c>
      <c r="E2178" s="283" t="s">
        <v>1075</v>
      </c>
      <c r="F2178" s="283" t="s">
        <v>524</v>
      </c>
      <c r="G2178" s="283">
        <v>1</v>
      </c>
      <c r="H2178" s="283">
        <v>0</v>
      </c>
      <c r="I2178" s="283">
        <v>1</v>
      </c>
      <c r="J2178" s="284">
        <v>0</v>
      </c>
    </row>
    <row r="2179" spans="3:10" x14ac:dyDescent="0.25">
      <c r="C2179" s="300" t="s">
        <v>1057</v>
      </c>
      <c r="D2179" s="283" t="s">
        <v>1079</v>
      </c>
      <c r="E2179" s="283" t="s">
        <v>1075</v>
      </c>
      <c r="F2179" s="283" t="s">
        <v>1084</v>
      </c>
      <c r="G2179" s="283">
        <v>5</v>
      </c>
      <c r="H2179" s="283">
        <v>0</v>
      </c>
      <c r="I2179" s="283">
        <v>0</v>
      </c>
      <c r="J2179" s="284">
        <v>0</v>
      </c>
    </row>
    <row r="2180" spans="3:10" x14ac:dyDescent="0.25">
      <c r="C2180" s="300" t="s">
        <v>1064</v>
      </c>
      <c r="D2180" s="283" t="s">
        <v>1043</v>
      </c>
      <c r="E2180" s="283" t="s">
        <v>1078</v>
      </c>
      <c r="F2180" s="283" t="s">
        <v>1092</v>
      </c>
      <c r="G2180" s="283">
        <v>2</v>
      </c>
      <c r="H2180" s="283">
        <v>0</v>
      </c>
      <c r="I2180" s="283">
        <v>0</v>
      </c>
      <c r="J2180" s="284">
        <v>1</v>
      </c>
    </row>
    <row r="2181" spans="3:10" x14ac:dyDescent="0.25">
      <c r="C2181" s="300" t="s">
        <v>1062</v>
      </c>
      <c r="D2181" s="283" t="s">
        <v>1074</v>
      </c>
      <c r="E2181" s="283" t="s">
        <v>1089</v>
      </c>
      <c r="F2181" s="283" t="s">
        <v>1080</v>
      </c>
      <c r="G2181" s="283">
        <v>2</v>
      </c>
      <c r="H2181" s="283">
        <v>0</v>
      </c>
      <c r="I2181" s="283">
        <v>0</v>
      </c>
      <c r="J2181" s="284">
        <v>1</v>
      </c>
    </row>
    <row r="2182" spans="3:10" x14ac:dyDescent="0.25">
      <c r="C2182" s="300" t="s">
        <v>1057</v>
      </c>
      <c r="D2182" s="283" t="s">
        <v>1087</v>
      </c>
      <c r="E2182" s="283" t="s">
        <v>1075</v>
      </c>
      <c r="F2182" s="283" t="s">
        <v>524</v>
      </c>
      <c r="G2182" s="283">
        <v>1</v>
      </c>
      <c r="H2182" s="283">
        <v>0</v>
      </c>
      <c r="I2182" s="283">
        <v>0</v>
      </c>
      <c r="J2182" s="284">
        <v>1</v>
      </c>
    </row>
    <row r="2183" spans="3:10" x14ac:dyDescent="0.25">
      <c r="C2183" s="300" t="s">
        <v>1068</v>
      </c>
      <c r="D2183" s="283" t="s">
        <v>1079</v>
      </c>
      <c r="E2183" s="283" t="s">
        <v>1081</v>
      </c>
      <c r="F2183" s="283" t="s">
        <v>1089</v>
      </c>
      <c r="G2183" s="283">
        <v>2</v>
      </c>
      <c r="H2183" s="283">
        <v>0</v>
      </c>
      <c r="I2183" s="283">
        <v>0</v>
      </c>
      <c r="J2183" s="284">
        <v>0</v>
      </c>
    </row>
    <row r="2184" spans="3:10" x14ac:dyDescent="0.25">
      <c r="C2184" s="300" t="s">
        <v>1065</v>
      </c>
      <c r="D2184" s="283" t="s">
        <v>1077</v>
      </c>
      <c r="E2184" s="283" t="s">
        <v>1089</v>
      </c>
      <c r="F2184" s="283" t="s">
        <v>1075</v>
      </c>
      <c r="G2184" s="283">
        <v>2</v>
      </c>
      <c r="H2184" s="283">
        <v>0</v>
      </c>
      <c r="I2184" s="283">
        <v>0</v>
      </c>
      <c r="J2184" s="284">
        <v>0</v>
      </c>
    </row>
    <row r="2185" spans="3:10" x14ac:dyDescent="0.25">
      <c r="C2185" s="300" t="s">
        <v>1064</v>
      </c>
      <c r="D2185" s="283" t="s">
        <v>1082</v>
      </c>
      <c r="E2185" s="283" t="s">
        <v>1075</v>
      </c>
      <c r="F2185" s="283" t="s">
        <v>1075</v>
      </c>
      <c r="G2185" s="283">
        <v>4</v>
      </c>
      <c r="H2185" s="283">
        <v>0</v>
      </c>
      <c r="I2185" s="283">
        <v>0</v>
      </c>
      <c r="J2185" s="284">
        <v>0</v>
      </c>
    </row>
    <row r="2186" spans="3:10" x14ac:dyDescent="0.25">
      <c r="C2186" s="300" t="s">
        <v>1067</v>
      </c>
      <c r="D2186" s="283" t="s">
        <v>1079</v>
      </c>
      <c r="E2186" s="283" t="s">
        <v>1076</v>
      </c>
      <c r="F2186" s="283" t="s">
        <v>1083</v>
      </c>
      <c r="G2186" s="283">
        <v>2</v>
      </c>
      <c r="H2186" s="283">
        <v>0</v>
      </c>
      <c r="I2186" s="283">
        <v>1</v>
      </c>
      <c r="J2186" s="284">
        <v>0</v>
      </c>
    </row>
    <row r="2187" spans="3:10" x14ac:dyDescent="0.25">
      <c r="C2187" s="300" t="s">
        <v>1062</v>
      </c>
      <c r="D2187" s="283" t="s">
        <v>1079</v>
      </c>
      <c r="E2187" s="283" t="s">
        <v>1075</v>
      </c>
      <c r="F2187" s="283" t="s">
        <v>1078</v>
      </c>
      <c r="G2187" s="283">
        <v>2</v>
      </c>
      <c r="H2187" s="283">
        <v>0</v>
      </c>
      <c r="I2187" s="283">
        <v>0</v>
      </c>
      <c r="J2187" s="284">
        <v>0</v>
      </c>
    </row>
    <row r="2188" spans="3:10" x14ac:dyDescent="0.25">
      <c r="C2188" s="300" t="s">
        <v>1065</v>
      </c>
      <c r="D2188" s="283" t="s">
        <v>1077</v>
      </c>
      <c r="E2188" s="283" t="s">
        <v>1076</v>
      </c>
      <c r="F2188" s="283" t="s">
        <v>1078</v>
      </c>
      <c r="G2188" s="283">
        <v>3</v>
      </c>
      <c r="H2188" s="283">
        <v>0</v>
      </c>
      <c r="I2188" s="283">
        <v>0</v>
      </c>
      <c r="J2188" s="284">
        <v>0</v>
      </c>
    </row>
    <row r="2189" spans="3:10" x14ac:dyDescent="0.25">
      <c r="C2189" s="300" t="s">
        <v>1062</v>
      </c>
      <c r="D2189" s="283" t="s">
        <v>1087</v>
      </c>
      <c r="E2189" s="283" t="s">
        <v>1089</v>
      </c>
      <c r="F2189" s="283" t="s">
        <v>524</v>
      </c>
      <c r="G2189" s="283">
        <v>1</v>
      </c>
      <c r="H2189" s="283">
        <v>0</v>
      </c>
      <c r="I2189" s="283">
        <v>1</v>
      </c>
      <c r="J2189" s="284">
        <v>0</v>
      </c>
    </row>
    <row r="2190" spans="3:10" x14ac:dyDescent="0.25">
      <c r="C2190" s="300" t="s">
        <v>1064</v>
      </c>
      <c r="D2190" s="283" t="s">
        <v>1079</v>
      </c>
      <c r="E2190" s="283" t="s">
        <v>1084</v>
      </c>
      <c r="F2190" s="283" t="s">
        <v>1075</v>
      </c>
      <c r="G2190" s="283">
        <v>2</v>
      </c>
      <c r="H2190" s="283">
        <v>0</v>
      </c>
      <c r="I2190" s="283">
        <v>0</v>
      </c>
      <c r="J2190" s="284">
        <v>0</v>
      </c>
    </row>
    <row r="2191" spans="3:10" x14ac:dyDescent="0.25">
      <c r="C2191" s="300" t="s">
        <v>1061</v>
      </c>
      <c r="D2191" s="283" t="s">
        <v>1077</v>
      </c>
      <c r="E2191" s="283" t="s">
        <v>1078</v>
      </c>
      <c r="F2191" s="283" t="s">
        <v>1089</v>
      </c>
      <c r="G2191" s="283">
        <v>3</v>
      </c>
      <c r="H2191" s="283">
        <v>0</v>
      </c>
      <c r="I2191" s="283">
        <v>0</v>
      </c>
      <c r="J2191" s="284">
        <v>0</v>
      </c>
    </row>
    <row r="2192" spans="3:10" x14ac:dyDescent="0.25">
      <c r="C2192" s="300" t="s">
        <v>1061</v>
      </c>
      <c r="D2192" s="283" t="s">
        <v>1077</v>
      </c>
      <c r="E2192" s="283" t="s">
        <v>1075</v>
      </c>
      <c r="F2192" s="283" t="s">
        <v>1075</v>
      </c>
      <c r="G2192" s="283">
        <v>2</v>
      </c>
      <c r="H2192" s="283">
        <v>0</v>
      </c>
      <c r="I2192" s="283">
        <v>0</v>
      </c>
      <c r="J2192" s="284">
        <v>0</v>
      </c>
    </row>
    <row r="2193" spans="3:10" x14ac:dyDescent="0.25">
      <c r="C2193" s="300" t="s">
        <v>1065</v>
      </c>
      <c r="D2193" s="283" t="s">
        <v>1077</v>
      </c>
      <c r="E2193" s="283" t="s">
        <v>1075</v>
      </c>
      <c r="F2193" s="283" t="s">
        <v>1089</v>
      </c>
      <c r="G2193" s="283">
        <v>2</v>
      </c>
      <c r="H2193" s="283">
        <v>0</v>
      </c>
      <c r="I2193" s="283">
        <v>0</v>
      </c>
      <c r="J2193" s="284">
        <v>0</v>
      </c>
    </row>
    <row r="2194" spans="3:10" x14ac:dyDescent="0.25">
      <c r="C2194" s="300" t="s">
        <v>1065</v>
      </c>
      <c r="D2194" s="283" t="s">
        <v>1077</v>
      </c>
      <c r="E2194" s="283" t="s">
        <v>1075</v>
      </c>
      <c r="F2194" s="283" t="s">
        <v>1081</v>
      </c>
      <c r="G2194" s="283">
        <v>3</v>
      </c>
      <c r="H2194" s="283">
        <v>0</v>
      </c>
      <c r="I2194" s="283">
        <v>0</v>
      </c>
      <c r="J2194" s="284">
        <v>0</v>
      </c>
    </row>
    <row r="2195" spans="3:10" x14ac:dyDescent="0.25">
      <c r="C2195" s="300" t="s">
        <v>1063</v>
      </c>
      <c r="D2195" s="283" t="s">
        <v>1077</v>
      </c>
      <c r="E2195" s="283" t="s">
        <v>1089</v>
      </c>
      <c r="F2195" s="283" t="s">
        <v>1075</v>
      </c>
      <c r="G2195" s="283">
        <v>2</v>
      </c>
      <c r="H2195" s="283">
        <v>0</v>
      </c>
      <c r="I2195" s="283">
        <v>0</v>
      </c>
      <c r="J2195" s="284">
        <v>0</v>
      </c>
    </row>
    <row r="2196" spans="3:10" x14ac:dyDescent="0.25">
      <c r="C2196" s="300" t="s">
        <v>1062</v>
      </c>
      <c r="D2196" s="283" t="s">
        <v>1074</v>
      </c>
      <c r="E2196" s="283" t="s">
        <v>1075</v>
      </c>
      <c r="F2196" s="283" t="s">
        <v>1089</v>
      </c>
      <c r="G2196" s="283">
        <v>2</v>
      </c>
      <c r="H2196" s="283">
        <v>0</v>
      </c>
      <c r="I2196" s="283">
        <v>0</v>
      </c>
      <c r="J2196" s="284">
        <v>0</v>
      </c>
    </row>
    <row r="2197" spans="3:10" x14ac:dyDescent="0.25">
      <c r="C2197" s="300" t="s">
        <v>1068</v>
      </c>
      <c r="D2197" s="283" t="s">
        <v>1077</v>
      </c>
      <c r="E2197" s="283" t="s">
        <v>1075</v>
      </c>
      <c r="F2197" s="283" t="s">
        <v>1075</v>
      </c>
      <c r="G2197" s="283">
        <v>2</v>
      </c>
      <c r="H2197" s="283">
        <v>0</v>
      </c>
      <c r="I2197" s="283">
        <v>0</v>
      </c>
      <c r="J2197" s="284">
        <v>0</v>
      </c>
    </row>
    <row r="2198" spans="3:10" x14ac:dyDescent="0.25">
      <c r="C2198" s="300" t="s">
        <v>1064</v>
      </c>
      <c r="D2198" s="283" t="s">
        <v>1079</v>
      </c>
      <c r="E2198" s="283" t="s">
        <v>1076</v>
      </c>
      <c r="F2198" s="283" t="s">
        <v>1075</v>
      </c>
      <c r="G2198" s="283">
        <v>2</v>
      </c>
      <c r="H2198" s="283">
        <v>0</v>
      </c>
      <c r="I2198" s="283">
        <v>0</v>
      </c>
      <c r="J2198" s="284">
        <v>0</v>
      </c>
    </row>
    <row r="2199" spans="3:10" x14ac:dyDescent="0.25">
      <c r="C2199" s="300" t="s">
        <v>1058</v>
      </c>
      <c r="D2199" s="283" t="s">
        <v>1079</v>
      </c>
      <c r="E2199" s="283" t="s">
        <v>1075</v>
      </c>
      <c r="F2199" s="283" t="s">
        <v>1076</v>
      </c>
      <c r="G2199" s="283">
        <v>2</v>
      </c>
      <c r="H2199" s="283">
        <v>0</v>
      </c>
      <c r="I2199" s="283">
        <v>0</v>
      </c>
      <c r="J2199" s="284">
        <v>0</v>
      </c>
    </row>
    <row r="2200" spans="3:10" x14ac:dyDescent="0.25">
      <c r="C2200" s="300" t="s">
        <v>1060</v>
      </c>
      <c r="D2200" s="283" t="s">
        <v>1077</v>
      </c>
      <c r="E2200" s="283" t="s">
        <v>1080</v>
      </c>
      <c r="F2200" s="283" t="s">
        <v>1078</v>
      </c>
      <c r="G2200" s="283">
        <v>2</v>
      </c>
      <c r="H2200" s="283">
        <v>0</v>
      </c>
      <c r="I2200" s="283">
        <v>0</v>
      </c>
      <c r="J2200" s="284">
        <v>0</v>
      </c>
    </row>
    <row r="2201" spans="3:10" x14ac:dyDescent="0.25">
      <c r="C2201" s="300" t="s">
        <v>1066</v>
      </c>
      <c r="D2201" s="283" t="s">
        <v>1087</v>
      </c>
      <c r="E2201" s="283" t="s">
        <v>1075</v>
      </c>
      <c r="F2201" s="283" t="s">
        <v>524</v>
      </c>
      <c r="G2201" s="283">
        <v>1</v>
      </c>
      <c r="H2201" s="283">
        <v>0</v>
      </c>
      <c r="I2201" s="283">
        <v>0</v>
      </c>
      <c r="J2201" s="284">
        <v>1</v>
      </c>
    </row>
    <row r="2202" spans="3:10" x14ac:dyDescent="0.25">
      <c r="C2202" s="300" t="s">
        <v>1062</v>
      </c>
      <c r="D2202" s="283" t="s">
        <v>1043</v>
      </c>
      <c r="E2202" s="283" t="s">
        <v>1084</v>
      </c>
      <c r="F2202" s="283" t="s">
        <v>1092</v>
      </c>
      <c r="G2202" s="283">
        <v>3</v>
      </c>
      <c r="H2202" s="283">
        <v>0</v>
      </c>
      <c r="I2202" s="283">
        <v>1</v>
      </c>
      <c r="J2202" s="284">
        <v>0</v>
      </c>
    </row>
    <row r="2203" spans="3:10" x14ac:dyDescent="0.25">
      <c r="C2203" s="300" t="s">
        <v>1062</v>
      </c>
      <c r="D2203" s="283" t="s">
        <v>1079</v>
      </c>
      <c r="E2203" s="283" t="s">
        <v>1086</v>
      </c>
      <c r="F2203" s="283" t="s">
        <v>1089</v>
      </c>
      <c r="G2203" s="283">
        <v>2</v>
      </c>
      <c r="H2203" s="283">
        <v>0</v>
      </c>
      <c r="I2203" s="283">
        <v>0</v>
      </c>
      <c r="J2203" s="284">
        <v>0</v>
      </c>
    </row>
    <row r="2204" spans="3:10" x14ac:dyDescent="0.25">
      <c r="C2204" s="300" t="s">
        <v>1064</v>
      </c>
      <c r="D2204" s="283" t="s">
        <v>1079</v>
      </c>
      <c r="E2204" s="283" t="s">
        <v>1089</v>
      </c>
      <c r="F2204" s="283" t="s">
        <v>1078</v>
      </c>
      <c r="G2204" s="283">
        <v>2</v>
      </c>
      <c r="H2204" s="283">
        <v>0</v>
      </c>
      <c r="I2204" s="283">
        <v>1</v>
      </c>
      <c r="J2204" s="284">
        <v>0</v>
      </c>
    </row>
    <row r="2205" spans="3:10" x14ac:dyDescent="0.25">
      <c r="C2205" s="300" t="s">
        <v>1063</v>
      </c>
      <c r="D2205" s="283" t="s">
        <v>1077</v>
      </c>
      <c r="E2205" s="283" t="s">
        <v>1089</v>
      </c>
      <c r="F2205" s="283" t="s">
        <v>1075</v>
      </c>
      <c r="G2205" s="283">
        <v>2</v>
      </c>
      <c r="H2205" s="283">
        <v>0</v>
      </c>
      <c r="I2205" s="283">
        <v>0</v>
      </c>
      <c r="J2205" s="284">
        <v>0</v>
      </c>
    </row>
    <row r="2206" spans="3:10" x14ac:dyDescent="0.25">
      <c r="C2206" s="300" t="s">
        <v>1063</v>
      </c>
      <c r="D2206" s="283" t="s">
        <v>1079</v>
      </c>
      <c r="E2206" s="283" t="s">
        <v>1094</v>
      </c>
      <c r="F2206" s="283" t="s">
        <v>1075</v>
      </c>
      <c r="G2206" s="283">
        <v>4</v>
      </c>
      <c r="H2206" s="283">
        <v>0</v>
      </c>
      <c r="I2206" s="283">
        <v>0</v>
      </c>
      <c r="J2206" s="284">
        <v>0</v>
      </c>
    </row>
    <row r="2207" spans="3:10" x14ac:dyDescent="0.25">
      <c r="C2207" s="300" t="s">
        <v>1063</v>
      </c>
      <c r="D2207" s="283" t="s">
        <v>1106</v>
      </c>
      <c r="E2207" s="283" t="s">
        <v>1085</v>
      </c>
      <c r="F2207" s="283" t="s">
        <v>524</v>
      </c>
      <c r="G2207" s="283">
        <v>1</v>
      </c>
      <c r="H2207" s="283">
        <v>0</v>
      </c>
      <c r="I2207" s="283">
        <v>0</v>
      </c>
      <c r="J2207" s="284">
        <v>1</v>
      </c>
    </row>
    <row r="2208" spans="3:10" x14ac:dyDescent="0.25">
      <c r="C2208" s="300" t="s">
        <v>1065</v>
      </c>
      <c r="D2208" s="283" t="s">
        <v>1077</v>
      </c>
      <c r="E2208" s="283" t="s">
        <v>1075</v>
      </c>
      <c r="F2208" s="283" t="s">
        <v>1078</v>
      </c>
      <c r="G2208" s="283">
        <v>2</v>
      </c>
      <c r="H2208" s="283">
        <v>0</v>
      </c>
      <c r="I2208" s="283">
        <v>0</v>
      </c>
      <c r="J2208" s="284">
        <v>0</v>
      </c>
    </row>
    <row r="2209" spans="3:10" x14ac:dyDescent="0.25">
      <c r="C2209" s="300" t="s">
        <v>1067</v>
      </c>
      <c r="D2209" s="283" t="s">
        <v>1074</v>
      </c>
      <c r="E2209" s="283" t="s">
        <v>1075</v>
      </c>
      <c r="F2209" s="283" t="s">
        <v>1075</v>
      </c>
      <c r="G2209" s="283">
        <v>2</v>
      </c>
      <c r="H2209" s="283">
        <v>0</v>
      </c>
      <c r="I2209" s="283">
        <v>0</v>
      </c>
      <c r="J2209" s="284">
        <v>0</v>
      </c>
    </row>
    <row r="2210" spans="3:10" x14ac:dyDescent="0.25">
      <c r="C2210" s="300" t="s">
        <v>1063</v>
      </c>
      <c r="D2210" s="283" t="s">
        <v>1077</v>
      </c>
      <c r="E2210" s="283" t="s">
        <v>1075</v>
      </c>
      <c r="F2210" s="283" t="s">
        <v>1075</v>
      </c>
      <c r="G2210" s="283">
        <v>2</v>
      </c>
      <c r="H2210" s="283">
        <v>0</v>
      </c>
      <c r="I2210" s="283">
        <v>0</v>
      </c>
      <c r="J2210" s="284">
        <v>0</v>
      </c>
    </row>
    <row r="2211" spans="3:10" x14ac:dyDescent="0.25">
      <c r="C2211" s="300" t="s">
        <v>1060</v>
      </c>
      <c r="D2211" s="283" t="s">
        <v>1043</v>
      </c>
      <c r="E2211" s="283" t="s">
        <v>1075</v>
      </c>
      <c r="F2211" s="283" t="s">
        <v>1092</v>
      </c>
      <c r="G2211" s="283">
        <v>2</v>
      </c>
      <c r="H2211" s="283">
        <v>0</v>
      </c>
      <c r="I2211" s="283">
        <v>0</v>
      </c>
      <c r="J2211" s="284">
        <v>0</v>
      </c>
    </row>
    <row r="2212" spans="3:10" x14ac:dyDescent="0.25">
      <c r="C2212" s="300" t="s">
        <v>1067</v>
      </c>
      <c r="D2212" s="283" t="s">
        <v>1077</v>
      </c>
      <c r="E2212" s="283" t="s">
        <v>1076</v>
      </c>
      <c r="F2212" s="283" t="s">
        <v>1075</v>
      </c>
      <c r="G2212" s="283">
        <v>2</v>
      </c>
      <c r="H2212" s="283">
        <v>0</v>
      </c>
      <c r="I2212" s="283">
        <v>0</v>
      </c>
      <c r="J2212" s="284">
        <v>0</v>
      </c>
    </row>
    <row r="2213" spans="3:10" x14ac:dyDescent="0.25">
      <c r="C2213" s="300" t="s">
        <v>1058</v>
      </c>
      <c r="D2213" s="283" t="s">
        <v>1077</v>
      </c>
      <c r="E2213" s="283" t="s">
        <v>1075</v>
      </c>
      <c r="F2213" s="283" t="s">
        <v>1075</v>
      </c>
      <c r="G2213" s="283">
        <v>2</v>
      </c>
      <c r="H2213" s="283">
        <v>0</v>
      </c>
      <c r="I2213" s="283">
        <v>0</v>
      </c>
      <c r="J2213" s="284">
        <v>0</v>
      </c>
    </row>
    <row r="2214" spans="3:10" x14ac:dyDescent="0.25">
      <c r="C2214" s="300" t="s">
        <v>1062</v>
      </c>
      <c r="D2214" s="283" t="s">
        <v>1077</v>
      </c>
      <c r="E2214" s="283" t="s">
        <v>1078</v>
      </c>
      <c r="F2214" s="283" t="s">
        <v>1089</v>
      </c>
      <c r="G2214" s="283">
        <v>2</v>
      </c>
      <c r="H2214" s="283">
        <v>0</v>
      </c>
      <c r="I2214" s="283">
        <v>0</v>
      </c>
      <c r="J2214" s="284">
        <v>0</v>
      </c>
    </row>
    <row r="2215" spans="3:10" x14ac:dyDescent="0.25">
      <c r="C2215" s="300" t="s">
        <v>1065</v>
      </c>
      <c r="D2215" s="283" t="s">
        <v>1079</v>
      </c>
      <c r="E2215" s="283" t="s">
        <v>1075</v>
      </c>
      <c r="F2215" s="283" t="s">
        <v>1089</v>
      </c>
      <c r="G2215" s="283">
        <v>3</v>
      </c>
      <c r="H2215" s="283">
        <v>0</v>
      </c>
      <c r="I2215" s="283">
        <v>0</v>
      </c>
      <c r="J2215" s="284">
        <v>0</v>
      </c>
    </row>
    <row r="2216" spans="3:10" x14ac:dyDescent="0.25">
      <c r="C2216" s="300" t="s">
        <v>1066</v>
      </c>
      <c r="D2216" s="283" t="s">
        <v>1077</v>
      </c>
      <c r="E2216" s="283" t="s">
        <v>1075</v>
      </c>
      <c r="F2216" s="283" t="s">
        <v>1075</v>
      </c>
      <c r="G2216" s="283">
        <v>3</v>
      </c>
      <c r="H2216" s="283">
        <v>0</v>
      </c>
      <c r="I2216" s="283">
        <v>0</v>
      </c>
      <c r="J2216" s="284">
        <v>0</v>
      </c>
    </row>
    <row r="2217" spans="3:10" x14ac:dyDescent="0.25">
      <c r="C2217" s="300" t="s">
        <v>1060</v>
      </c>
      <c r="D2217" s="283" t="s">
        <v>1077</v>
      </c>
      <c r="E2217" s="283" t="s">
        <v>1075</v>
      </c>
      <c r="F2217" s="283" t="s">
        <v>1089</v>
      </c>
      <c r="G2217" s="283">
        <v>2</v>
      </c>
      <c r="H2217" s="283">
        <v>0</v>
      </c>
      <c r="I2217" s="283">
        <v>0</v>
      </c>
      <c r="J2217" s="284">
        <v>1</v>
      </c>
    </row>
    <row r="2218" spans="3:10" x14ac:dyDescent="0.25">
      <c r="C2218" s="300" t="s">
        <v>1061</v>
      </c>
      <c r="D2218" s="283" t="s">
        <v>1082</v>
      </c>
      <c r="E2218" s="283" t="s">
        <v>1075</v>
      </c>
      <c r="F2218" s="283" t="s">
        <v>1080</v>
      </c>
      <c r="G2218" s="283">
        <v>2</v>
      </c>
      <c r="H2218" s="283">
        <v>0</v>
      </c>
      <c r="I2218" s="283">
        <v>0</v>
      </c>
      <c r="J2218" s="284">
        <v>1</v>
      </c>
    </row>
    <row r="2219" spans="3:10" x14ac:dyDescent="0.25">
      <c r="C2219" s="300" t="s">
        <v>1065</v>
      </c>
      <c r="D2219" s="283" t="s">
        <v>1074</v>
      </c>
      <c r="E2219" s="283" t="s">
        <v>1075</v>
      </c>
      <c r="F2219" s="283" t="s">
        <v>1078</v>
      </c>
      <c r="G2219" s="283">
        <v>2</v>
      </c>
      <c r="H2219" s="283">
        <v>0</v>
      </c>
      <c r="I2219" s="283">
        <v>1</v>
      </c>
      <c r="J2219" s="284">
        <v>0</v>
      </c>
    </row>
    <row r="2220" spans="3:10" x14ac:dyDescent="0.25">
      <c r="C2220" s="300" t="s">
        <v>1059</v>
      </c>
      <c r="D2220" s="283" t="s">
        <v>1079</v>
      </c>
      <c r="E2220" s="283" t="s">
        <v>1075</v>
      </c>
      <c r="F2220" s="283" t="s">
        <v>1075</v>
      </c>
      <c r="G2220" s="283">
        <v>2</v>
      </c>
      <c r="H2220" s="283">
        <v>0</v>
      </c>
      <c r="I2220" s="283">
        <v>0</v>
      </c>
      <c r="J2220" s="284">
        <v>1</v>
      </c>
    </row>
    <row r="2221" spans="3:10" x14ac:dyDescent="0.25">
      <c r="C2221" s="300" t="s">
        <v>1067</v>
      </c>
      <c r="D2221" s="283" t="s">
        <v>1079</v>
      </c>
      <c r="E2221" s="283" t="s">
        <v>1081</v>
      </c>
      <c r="F2221" s="283" t="s">
        <v>1075</v>
      </c>
      <c r="G2221" s="283">
        <v>4</v>
      </c>
      <c r="H2221" s="283">
        <v>0</v>
      </c>
      <c r="I2221" s="283">
        <v>1</v>
      </c>
      <c r="J2221" s="284">
        <v>0</v>
      </c>
    </row>
    <row r="2222" spans="3:10" x14ac:dyDescent="0.25">
      <c r="C2222" s="300" t="s">
        <v>1067</v>
      </c>
      <c r="D2222" s="283" t="s">
        <v>1074</v>
      </c>
      <c r="E2222" s="283" t="s">
        <v>1078</v>
      </c>
      <c r="F2222" s="283" t="s">
        <v>1083</v>
      </c>
      <c r="G2222" s="283">
        <v>2</v>
      </c>
      <c r="H2222" s="283">
        <v>0</v>
      </c>
      <c r="I2222" s="283">
        <v>0</v>
      </c>
      <c r="J2222" s="284">
        <v>0</v>
      </c>
    </row>
    <row r="2223" spans="3:10" x14ac:dyDescent="0.25">
      <c r="C2223" s="300" t="s">
        <v>1065</v>
      </c>
      <c r="D2223" s="283" t="s">
        <v>1077</v>
      </c>
      <c r="E2223" s="283" t="s">
        <v>1075</v>
      </c>
      <c r="F2223" s="283" t="s">
        <v>1075</v>
      </c>
      <c r="G2223" s="283">
        <v>2</v>
      </c>
      <c r="H2223" s="283">
        <v>0</v>
      </c>
      <c r="I2223" s="283">
        <v>0</v>
      </c>
      <c r="J2223" s="284">
        <v>0</v>
      </c>
    </row>
    <row r="2224" spans="3:10" x14ac:dyDescent="0.25">
      <c r="C2224" s="300" t="s">
        <v>1063</v>
      </c>
      <c r="D2224" s="283" t="s">
        <v>1074</v>
      </c>
      <c r="E2224" s="283" t="s">
        <v>1075</v>
      </c>
      <c r="F2224" s="283" t="s">
        <v>1089</v>
      </c>
      <c r="G2224" s="283">
        <v>2</v>
      </c>
      <c r="H2224" s="283">
        <v>0</v>
      </c>
      <c r="I2224" s="283">
        <v>0</v>
      </c>
      <c r="J2224" s="284">
        <v>0</v>
      </c>
    </row>
    <row r="2225" spans="3:10" x14ac:dyDescent="0.25">
      <c r="C2225" s="300" t="s">
        <v>1060</v>
      </c>
      <c r="D2225" s="283" t="s">
        <v>1079</v>
      </c>
      <c r="E2225" s="283" t="s">
        <v>1086</v>
      </c>
      <c r="F2225" s="283" t="s">
        <v>1075</v>
      </c>
      <c r="G2225" s="283">
        <v>2</v>
      </c>
      <c r="H2225" s="283">
        <v>0</v>
      </c>
      <c r="I2225" s="283">
        <v>0</v>
      </c>
      <c r="J2225" s="284">
        <v>0</v>
      </c>
    </row>
    <row r="2226" spans="3:10" x14ac:dyDescent="0.25">
      <c r="C2226" s="300" t="s">
        <v>1066</v>
      </c>
      <c r="D2226" s="283" t="s">
        <v>1077</v>
      </c>
      <c r="E2226" s="283" t="s">
        <v>1044</v>
      </c>
      <c r="F2226" s="283" t="s">
        <v>1075</v>
      </c>
      <c r="G2226" s="283">
        <v>2</v>
      </c>
      <c r="H2226" s="283">
        <v>0</v>
      </c>
      <c r="I2226" s="283">
        <v>0</v>
      </c>
      <c r="J2226" s="284">
        <v>1</v>
      </c>
    </row>
    <row r="2227" spans="3:10" x14ac:dyDescent="0.25">
      <c r="C2227" s="300" t="s">
        <v>1062</v>
      </c>
      <c r="D2227" s="283" t="s">
        <v>1077</v>
      </c>
      <c r="E2227" s="283" t="s">
        <v>1089</v>
      </c>
      <c r="F2227" s="283" t="s">
        <v>1081</v>
      </c>
      <c r="G2227" s="283">
        <v>2</v>
      </c>
      <c r="H2227" s="283">
        <v>0</v>
      </c>
      <c r="I2227" s="283">
        <v>1</v>
      </c>
      <c r="J2227" s="284">
        <v>0</v>
      </c>
    </row>
    <row r="2228" spans="3:10" x14ac:dyDescent="0.25">
      <c r="C2228" s="300" t="s">
        <v>1068</v>
      </c>
      <c r="D2228" s="283" t="s">
        <v>1074</v>
      </c>
      <c r="E2228" s="283" t="s">
        <v>1089</v>
      </c>
      <c r="F2228" s="283" t="s">
        <v>1081</v>
      </c>
      <c r="G2228" s="283">
        <v>2</v>
      </c>
      <c r="H2228" s="283">
        <v>0</v>
      </c>
      <c r="I2228" s="283">
        <v>0</v>
      </c>
      <c r="J2228" s="284">
        <v>0</v>
      </c>
    </row>
    <row r="2229" spans="3:10" x14ac:dyDescent="0.25">
      <c r="C2229" s="300" t="s">
        <v>1063</v>
      </c>
      <c r="D2229" s="283" t="s">
        <v>1079</v>
      </c>
      <c r="E2229" s="283" t="s">
        <v>1084</v>
      </c>
      <c r="F2229" s="283" t="s">
        <v>1044</v>
      </c>
      <c r="G2229" s="283">
        <v>2</v>
      </c>
      <c r="H2229" s="283">
        <v>0</v>
      </c>
      <c r="I2229" s="283">
        <v>0</v>
      </c>
      <c r="J2229" s="284">
        <v>0</v>
      </c>
    </row>
    <row r="2230" spans="3:10" x14ac:dyDescent="0.25">
      <c r="C2230" s="300" t="s">
        <v>1064</v>
      </c>
      <c r="D2230" s="283" t="s">
        <v>1074</v>
      </c>
      <c r="E2230" s="283" t="s">
        <v>1075</v>
      </c>
      <c r="F2230" s="283" t="s">
        <v>1089</v>
      </c>
      <c r="G2230" s="283">
        <v>2</v>
      </c>
      <c r="H2230" s="283">
        <v>0</v>
      </c>
      <c r="I2230" s="283">
        <v>0</v>
      </c>
      <c r="J2230" s="284">
        <v>0</v>
      </c>
    </row>
    <row r="2231" spans="3:10" x14ac:dyDescent="0.25">
      <c r="C2231" s="300" t="s">
        <v>1064</v>
      </c>
      <c r="D2231" s="283" t="s">
        <v>1079</v>
      </c>
      <c r="E2231" s="283" t="s">
        <v>1080</v>
      </c>
      <c r="F2231" s="283" t="s">
        <v>1076</v>
      </c>
      <c r="G2231" s="283">
        <v>2</v>
      </c>
      <c r="H2231" s="283">
        <v>0</v>
      </c>
      <c r="I2231" s="283">
        <v>0</v>
      </c>
      <c r="J2231" s="284">
        <v>0</v>
      </c>
    </row>
    <row r="2232" spans="3:10" x14ac:dyDescent="0.25">
      <c r="C2232" s="300" t="s">
        <v>1061</v>
      </c>
      <c r="D2232" s="283" t="s">
        <v>1077</v>
      </c>
      <c r="E2232" s="283" t="s">
        <v>1075</v>
      </c>
      <c r="F2232" s="283" t="s">
        <v>1075</v>
      </c>
      <c r="G2232" s="283">
        <v>2</v>
      </c>
      <c r="H2232" s="283">
        <v>0</v>
      </c>
      <c r="I2232" s="283">
        <v>0</v>
      </c>
      <c r="J2232" s="284">
        <v>0</v>
      </c>
    </row>
    <row r="2233" spans="3:10" x14ac:dyDescent="0.25">
      <c r="C2233" s="300" t="s">
        <v>1061</v>
      </c>
      <c r="D2233" s="283" t="s">
        <v>1077</v>
      </c>
      <c r="E2233" s="283" t="s">
        <v>1084</v>
      </c>
      <c r="F2233" s="283" t="s">
        <v>1075</v>
      </c>
      <c r="G2233" s="283">
        <v>3</v>
      </c>
      <c r="H2233" s="283">
        <v>0</v>
      </c>
      <c r="I2233" s="283">
        <v>0</v>
      </c>
      <c r="J2233" s="284">
        <v>0</v>
      </c>
    </row>
    <row r="2234" spans="3:10" x14ac:dyDescent="0.25">
      <c r="C2234" s="300" t="s">
        <v>1061</v>
      </c>
      <c r="D2234" s="283" t="s">
        <v>1074</v>
      </c>
      <c r="E2234" s="283" t="s">
        <v>1075</v>
      </c>
      <c r="F2234" s="283" t="s">
        <v>1089</v>
      </c>
      <c r="G2234" s="283">
        <v>2</v>
      </c>
      <c r="H2234" s="283">
        <v>0</v>
      </c>
      <c r="I2234" s="283">
        <v>0</v>
      </c>
      <c r="J2234" s="284">
        <v>0</v>
      </c>
    </row>
    <row r="2235" spans="3:10" x14ac:dyDescent="0.25">
      <c r="C2235" s="300" t="s">
        <v>1065</v>
      </c>
      <c r="D2235" s="283" t="s">
        <v>1077</v>
      </c>
      <c r="E2235" s="283" t="s">
        <v>1094</v>
      </c>
      <c r="F2235" s="283" t="s">
        <v>1086</v>
      </c>
      <c r="G2235" s="283">
        <v>2</v>
      </c>
      <c r="H2235" s="283">
        <v>0</v>
      </c>
      <c r="I2235" s="283">
        <v>0</v>
      </c>
      <c r="J2235" s="284">
        <v>0</v>
      </c>
    </row>
    <row r="2236" spans="3:10" x14ac:dyDescent="0.25">
      <c r="C2236" s="300" t="s">
        <v>1060</v>
      </c>
      <c r="D2236" s="283" t="s">
        <v>1079</v>
      </c>
      <c r="E2236" s="283" t="s">
        <v>1075</v>
      </c>
      <c r="F2236" s="283" t="s">
        <v>1075</v>
      </c>
      <c r="G2236" s="283">
        <v>3</v>
      </c>
      <c r="H2236" s="283">
        <v>0</v>
      </c>
      <c r="I2236" s="283">
        <v>1</v>
      </c>
      <c r="J2236" s="284">
        <v>0</v>
      </c>
    </row>
    <row r="2237" spans="3:10" x14ac:dyDescent="0.25">
      <c r="C2237" s="300" t="s">
        <v>1068</v>
      </c>
      <c r="D2237" s="283" t="s">
        <v>1079</v>
      </c>
      <c r="E2237" s="283" t="s">
        <v>1089</v>
      </c>
      <c r="F2237" s="283" t="s">
        <v>1075</v>
      </c>
      <c r="G2237" s="283">
        <v>2</v>
      </c>
      <c r="H2237" s="283">
        <v>0</v>
      </c>
      <c r="I2237" s="283">
        <v>1</v>
      </c>
      <c r="J2237" s="284">
        <v>0</v>
      </c>
    </row>
    <row r="2238" spans="3:10" x14ac:dyDescent="0.25">
      <c r="C2238" s="300" t="s">
        <v>1064</v>
      </c>
      <c r="D2238" s="283" t="s">
        <v>1043</v>
      </c>
      <c r="E2238" s="283" t="s">
        <v>1075</v>
      </c>
      <c r="F2238" s="283" t="s">
        <v>1092</v>
      </c>
      <c r="G2238" s="283">
        <v>2</v>
      </c>
      <c r="H2238" s="283">
        <v>0</v>
      </c>
      <c r="I2238" s="283">
        <v>1</v>
      </c>
      <c r="J2238" s="284">
        <v>0</v>
      </c>
    </row>
    <row r="2239" spans="3:10" x14ac:dyDescent="0.25">
      <c r="C2239" s="300" t="s">
        <v>1063</v>
      </c>
      <c r="D2239" s="283" t="s">
        <v>1074</v>
      </c>
      <c r="E2239" s="283" t="s">
        <v>1078</v>
      </c>
      <c r="F2239" s="283" t="s">
        <v>1044</v>
      </c>
      <c r="G2239" s="283">
        <v>2</v>
      </c>
      <c r="H2239" s="283">
        <v>0</v>
      </c>
      <c r="I2239" s="283">
        <v>0</v>
      </c>
      <c r="J2239" s="284">
        <v>1</v>
      </c>
    </row>
    <row r="2240" spans="3:10" x14ac:dyDescent="0.25">
      <c r="C2240" s="300" t="s">
        <v>1060</v>
      </c>
      <c r="D2240" s="283" t="s">
        <v>1079</v>
      </c>
      <c r="E2240" s="283" t="s">
        <v>1076</v>
      </c>
      <c r="F2240" s="283" t="s">
        <v>1093</v>
      </c>
      <c r="G2240" s="283">
        <v>2</v>
      </c>
      <c r="H2240" s="283">
        <v>0</v>
      </c>
      <c r="I2240" s="283">
        <v>1</v>
      </c>
      <c r="J2240" s="284">
        <v>0</v>
      </c>
    </row>
    <row r="2241" spans="3:10" x14ac:dyDescent="0.25">
      <c r="C2241" s="300" t="s">
        <v>1064</v>
      </c>
      <c r="D2241" s="283" t="s">
        <v>1074</v>
      </c>
      <c r="E2241" s="283" t="s">
        <v>1075</v>
      </c>
      <c r="F2241" s="283" t="s">
        <v>1093</v>
      </c>
      <c r="G2241" s="283">
        <v>2</v>
      </c>
      <c r="H2241" s="283">
        <v>0</v>
      </c>
      <c r="I2241" s="283">
        <v>1</v>
      </c>
      <c r="J2241" s="284">
        <v>0</v>
      </c>
    </row>
    <row r="2242" spans="3:10" x14ac:dyDescent="0.25">
      <c r="C2242" s="300" t="s">
        <v>1060</v>
      </c>
      <c r="D2242" s="283" t="s">
        <v>1079</v>
      </c>
      <c r="E2242" s="283" t="s">
        <v>1075</v>
      </c>
      <c r="F2242" s="283" t="s">
        <v>1075</v>
      </c>
      <c r="G2242" s="283">
        <v>2</v>
      </c>
      <c r="H2242" s="283">
        <v>0</v>
      </c>
      <c r="I2242" s="283">
        <v>1</v>
      </c>
      <c r="J2242" s="284">
        <v>0</v>
      </c>
    </row>
    <row r="2243" spans="3:10" x14ac:dyDescent="0.25">
      <c r="C2243" s="300" t="s">
        <v>1068</v>
      </c>
      <c r="D2243" s="283" t="s">
        <v>1079</v>
      </c>
      <c r="E2243" s="283" t="s">
        <v>1075</v>
      </c>
      <c r="F2243" s="283" t="s">
        <v>1089</v>
      </c>
      <c r="G2243" s="283">
        <v>3</v>
      </c>
      <c r="H2243" s="283">
        <v>0</v>
      </c>
      <c r="I2243" s="283">
        <v>0</v>
      </c>
      <c r="J2243" s="284">
        <v>0</v>
      </c>
    </row>
    <row r="2244" spans="3:10" x14ac:dyDescent="0.25">
      <c r="C2244" s="300" t="s">
        <v>1064</v>
      </c>
      <c r="D2244" s="283" t="s">
        <v>1087</v>
      </c>
      <c r="E2244" s="283" t="s">
        <v>1078</v>
      </c>
      <c r="F2244" s="283" t="s">
        <v>524</v>
      </c>
      <c r="G2244" s="283">
        <v>1</v>
      </c>
      <c r="H2244" s="283">
        <v>0</v>
      </c>
      <c r="I2244" s="283">
        <v>0</v>
      </c>
      <c r="J2244" s="284">
        <v>0</v>
      </c>
    </row>
    <row r="2245" spans="3:10" x14ac:dyDescent="0.25">
      <c r="C2245" s="300" t="s">
        <v>1063</v>
      </c>
      <c r="D2245" s="283" t="s">
        <v>1079</v>
      </c>
      <c r="E2245" s="283" t="s">
        <v>1076</v>
      </c>
      <c r="F2245" s="283" t="s">
        <v>1089</v>
      </c>
      <c r="G2245" s="283">
        <v>2</v>
      </c>
      <c r="H2245" s="283">
        <v>0</v>
      </c>
      <c r="I2245" s="283">
        <v>0</v>
      </c>
      <c r="J2245" s="284">
        <v>0</v>
      </c>
    </row>
    <row r="2246" spans="3:10" x14ac:dyDescent="0.25">
      <c r="C2246" s="300" t="s">
        <v>1063</v>
      </c>
      <c r="D2246" s="283" t="s">
        <v>1043</v>
      </c>
      <c r="E2246" s="283" t="s">
        <v>1075</v>
      </c>
      <c r="F2246" s="283" t="s">
        <v>1092</v>
      </c>
      <c r="G2246" s="283">
        <v>2</v>
      </c>
      <c r="H2246" s="283">
        <v>0</v>
      </c>
      <c r="I2246" s="283">
        <v>0</v>
      </c>
      <c r="J2246" s="284">
        <v>0</v>
      </c>
    </row>
    <row r="2247" spans="3:10" x14ac:dyDescent="0.25">
      <c r="C2247" s="300" t="s">
        <v>1059</v>
      </c>
      <c r="D2247" s="283" t="s">
        <v>1087</v>
      </c>
      <c r="E2247" s="283" t="s">
        <v>1075</v>
      </c>
      <c r="F2247" s="283" t="s">
        <v>524</v>
      </c>
      <c r="G2247" s="283">
        <v>1</v>
      </c>
      <c r="H2247" s="283">
        <v>0</v>
      </c>
      <c r="I2247" s="283">
        <v>0</v>
      </c>
      <c r="J2247" s="284">
        <v>0</v>
      </c>
    </row>
    <row r="2248" spans="3:10" x14ac:dyDescent="0.25">
      <c r="C2248" s="300" t="s">
        <v>1067</v>
      </c>
      <c r="D2248" s="283" t="s">
        <v>1077</v>
      </c>
      <c r="E2248" s="283" t="s">
        <v>1089</v>
      </c>
      <c r="F2248" s="283" t="s">
        <v>1075</v>
      </c>
      <c r="G2248" s="283">
        <v>4</v>
      </c>
      <c r="H2248" s="283">
        <v>0</v>
      </c>
      <c r="I2248" s="283">
        <v>0</v>
      </c>
      <c r="J2248" s="284">
        <v>0</v>
      </c>
    </row>
    <row r="2249" spans="3:10" x14ac:dyDescent="0.25">
      <c r="C2249" s="300" t="s">
        <v>1063</v>
      </c>
      <c r="D2249" s="283" t="s">
        <v>1090</v>
      </c>
      <c r="E2249" s="283" t="s">
        <v>1075</v>
      </c>
      <c r="F2249" s="283" t="s">
        <v>524</v>
      </c>
      <c r="G2249" s="283">
        <v>1</v>
      </c>
      <c r="H2249" s="283">
        <v>0</v>
      </c>
      <c r="I2249" s="283">
        <v>0</v>
      </c>
      <c r="J2249" s="284">
        <v>1</v>
      </c>
    </row>
    <row r="2250" spans="3:10" x14ac:dyDescent="0.25">
      <c r="C2250" s="300" t="s">
        <v>1065</v>
      </c>
      <c r="D2250" s="283" t="s">
        <v>1077</v>
      </c>
      <c r="E2250" s="283" t="s">
        <v>1083</v>
      </c>
      <c r="F2250" s="283" t="s">
        <v>1078</v>
      </c>
      <c r="G2250" s="283">
        <v>2</v>
      </c>
      <c r="H2250" s="283">
        <v>0</v>
      </c>
      <c r="I2250" s="283">
        <v>0</v>
      </c>
      <c r="J2250" s="284">
        <v>1</v>
      </c>
    </row>
    <row r="2251" spans="3:10" x14ac:dyDescent="0.25">
      <c r="C2251" s="300" t="s">
        <v>1064</v>
      </c>
      <c r="D2251" s="283" t="s">
        <v>1079</v>
      </c>
      <c r="E2251" s="283" t="s">
        <v>1080</v>
      </c>
      <c r="F2251" s="283" t="s">
        <v>1075</v>
      </c>
      <c r="G2251" s="283">
        <v>2</v>
      </c>
      <c r="H2251" s="283">
        <v>0</v>
      </c>
      <c r="I2251" s="283">
        <v>1</v>
      </c>
      <c r="J2251" s="284">
        <v>0</v>
      </c>
    </row>
    <row r="2252" spans="3:10" x14ac:dyDescent="0.25">
      <c r="C2252" s="300" t="s">
        <v>1062</v>
      </c>
      <c r="D2252" s="283" t="s">
        <v>1043</v>
      </c>
      <c r="E2252" s="283" t="s">
        <v>1099</v>
      </c>
      <c r="F2252" s="283" t="s">
        <v>1092</v>
      </c>
      <c r="G2252" s="283">
        <v>2</v>
      </c>
      <c r="H2252" s="283">
        <v>0</v>
      </c>
      <c r="I2252" s="283">
        <v>0</v>
      </c>
      <c r="J2252" s="284">
        <v>1</v>
      </c>
    </row>
    <row r="2253" spans="3:10" x14ac:dyDescent="0.25">
      <c r="C2253" s="300" t="s">
        <v>1060</v>
      </c>
      <c r="D2253" s="283" t="s">
        <v>1077</v>
      </c>
      <c r="E2253" s="283" t="s">
        <v>1084</v>
      </c>
      <c r="F2253" s="283" t="s">
        <v>1076</v>
      </c>
      <c r="G2253" s="283">
        <v>2</v>
      </c>
      <c r="H2253" s="283">
        <v>0</v>
      </c>
      <c r="I2253" s="283">
        <v>0</v>
      </c>
      <c r="J2253" s="284">
        <v>1</v>
      </c>
    </row>
    <row r="2254" spans="3:10" x14ac:dyDescent="0.25">
      <c r="C2254" s="300" t="s">
        <v>1065</v>
      </c>
      <c r="D2254" s="283" t="s">
        <v>1074</v>
      </c>
      <c r="E2254" s="283" t="s">
        <v>1075</v>
      </c>
      <c r="F2254" s="283" t="s">
        <v>1075</v>
      </c>
      <c r="G2254" s="283">
        <v>2</v>
      </c>
      <c r="H2254" s="283">
        <v>0</v>
      </c>
      <c r="I2254" s="283">
        <v>0</v>
      </c>
      <c r="J2254" s="284">
        <v>0</v>
      </c>
    </row>
    <row r="2255" spans="3:10" x14ac:dyDescent="0.25">
      <c r="C2255" s="300" t="s">
        <v>1066</v>
      </c>
      <c r="D2255" s="283" t="s">
        <v>1079</v>
      </c>
      <c r="E2255" s="283" t="s">
        <v>1075</v>
      </c>
      <c r="F2255" s="283" t="s">
        <v>1075</v>
      </c>
      <c r="G2255" s="283">
        <v>4</v>
      </c>
      <c r="H2255" s="283">
        <v>0</v>
      </c>
      <c r="I2255" s="283">
        <v>0</v>
      </c>
      <c r="J2255" s="284">
        <v>0</v>
      </c>
    </row>
    <row r="2256" spans="3:10" x14ac:dyDescent="0.25">
      <c r="C2256" s="300" t="s">
        <v>1063</v>
      </c>
      <c r="D2256" s="283" t="s">
        <v>1079</v>
      </c>
      <c r="E2256" s="283" t="s">
        <v>1075</v>
      </c>
      <c r="F2256" s="283" t="s">
        <v>1083</v>
      </c>
      <c r="G2256" s="283">
        <v>2</v>
      </c>
      <c r="H2256" s="283">
        <v>0</v>
      </c>
      <c r="I2256" s="283">
        <v>0</v>
      </c>
      <c r="J2256" s="284">
        <v>0</v>
      </c>
    </row>
    <row r="2257" spans="3:10" x14ac:dyDescent="0.25">
      <c r="C2257" s="300" t="s">
        <v>1066</v>
      </c>
      <c r="D2257" s="283" t="s">
        <v>1079</v>
      </c>
      <c r="E2257" s="283" t="s">
        <v>1083</v>
      </c>
      <c r="F2257" s="283" t="s">
        <v>1086</v>
      </c>
      <c r="G2257" s="283">
        <v>2</v>
      </c>
      <c r="H2257" s="283">
        <v>0</v>
      </c>
      <c r="I2257" s="283">
        <v>0</v>
      </c>
      <c r="J2257" s="284">
        <v>1</v>
      </c>
    </row>
    <row r="2258" spans="3:10" x14ac:dyDescent="0.25">
      <c r="C2258" s="300" t="s">
        <v>1066</v>
      </c>
      <c r="D2258" s="283" t="s">
        <v>1079</v>
      </c>
      <c r="E2258" s="283" t="s">
        <v>1086</v>
      </c>
      <c r="F2258" s="283" t="s">
        <v>1083</v>
      </c>
      <c r="G2258" s="283">
        <v>2</v>
      </c>
      <c r="H2258" s="283">
        <v>0</v>
      </c>
      <c r="I2258" s="283">
        <v>1</v>
      </c>
      <c r="J2258" s="284">
        <v>0</v>
      </c>
    </row>
    <row r="2259" spans="3:10" x14ac:dyDescent="0.25">
      <c r="C2259" s="300" t="s">
        <v>1065</v>
      </c>
      <c r="D2259" s="283" t="s">
        <v>1082</v>
      </c>
      <c r="E2259" s="283" t="s">
        <v>1084</v>
      </c>
      <c r="F2259" s="283" t="s">
        <v>1075</v>
      </c>
      <c r="G2259" s="283">
        <v>2</v>
      </c>
      <c r="H2259" s="283">
        <v>1</v>
      </c>
      <c r="I2259" s="283">
        <v>0</v>
      </c>
      <c r="J2259" s="284">
        <v>1</v>
      </c>
    </row>
    <row r="2260" spans="3:10" x14ac:dyDescent="0.25">
      <c r="C2260" s="300" t="s">
        <v>1063</v>
      </c>
      <c r="D2260" s="283" t="s">
        <v>1079</v>
      </c>
      <c r="E2260" s="283" t="s">
        <v>1080</v>
      </c>
      <c r="F2260" s="283" t="s">
        <v>1083</v>
      </c>
      <c r="G2260" s="283">
        <v>2</v>
      </c>
      <c r="H2260" s="283">
        <v>1</v>
      </c>
      <c r="I2260" s="283">
        <v>0</v>
      </c>
      <c r="J2260" s="284">
        <v>1</v>
      </c>
    </row>
    <row r="2261" spans="3:10" x14ac:dyDescent="0.25">
      <c r="C2261" s="300" t="s">
        <v>1060</v>
      </c>
      <c r="D2261" s="283" t="s">
        <v>1079</v>
      </c>
      <c r="E2261" s="283" t="s">
        <v>1076</v>
      </c>
      <c r="F2261" s="283" t="s">
        <v>1075</v>
      </c>
      <c r="G2261" s="283">
        <v>2</v>
      </c>
      <c r="H2261" s="283">
        <v>0</v>
      </c>
      <c r="I2261" s="283">
        <v>1</v>
      </c>
      <c r="J2261" s="284">
        <v>0</v>
      </c>
    </row>
    <row r="2262" spans="3:10" x14ac:dyDescent="0.25">
      <c r="C2262" s="300" t="s">
        <v>1059</v>
      </c>
      <c r="D2262" s="283" t="s">
        <v>1077</v>
      </c>
      <c r="E2262" s="283" t="s">
        <v>1076</v>
      </c>
      <c r="F2262" s="283" t="s">
        <v>1075</v>
      </c>
      <c r="G2262" s="283">
        <v>2</v>
      </c>
      <c r="H2262" s="283">
        <v>0</v>
      </c>
      <c r="I2262" s="283">
        <v>0</v>
      </c>
      <c r="J2262" s="284">
        <v>0</v>
      </c>
    </row>
    <row r="2263" spans="3:10" x14ac:dyDescent="0.25">
      <c r="C2263" s="300" t="s">
        <v>1061</v>
      </c>
      <c r="D2263" s="283" t="s">
        <v>1079</v>
      </c>
      <c r="E2263" s="283" t="s">
        <v>1075</v>
      </c>
      <c r="F2263" s="283" t="s">
        <v>1083</v>
      </c>
      <c r="G2263" s="283">
        <v>2</v>
      </c>
      <c r="H2263" s="283">
        <v>0</v>
      </c>
      <c r="I2263" s="283">
        <v>1</v>
      </c>
      <c r="J2263" s="284">
        <v>0</v>
      </c>
    </row>
    <row r="2264" spans="3:10" x14ac:dyDescent="0.25">
      <c r="C2264" s="300" t="s">
        <v>1059</v>
      </c>
      <c r="D2264" s="283" t="s">
        <v>1043</v>
      </c>
      <c r="E2264" s="283" t="s">
        <v>1088</v>
      </c>
      <c r="F2264" s="283" t="s">
        <v>1092</v>
      </c>
      <c r="G2264" s="283">
        <v>2</v>
      </c>
      <c r="H2264" s="283">
        <v>0</v>
      </c>
      <c r="I2264" s="283">
        <v>1</v>
      </c>
      <c r="J2264" s="284">
        <v>0</v>
      </c>
    </row>
    <row r="2265" spans="3:10" x14ac:dyDescent="0.25">
      <c r="C2265" s="300" t="s">
        <v>1060</v>
      </c>
      <c r="D2265" s="283" t="s">
        <v>1079</v>
      </c>
      <c r="E2265" s="283" t="s">
        <v>1080</v>
      </c>
      <c r="F2265" s="283" t="s">
        <v>1075</v>
      </c>
      <c r="G2265" s="283">
        <v>2</v>
      </c>
      <c r="H2265" s="283">
        <v>0</v>
      </c>
      <c r="I2265" s="283">
        <v>0</v>
      </c>
      <c r="J2265" s="284">
        <v>0</v>
      </c>
    </row>
    <row r="2266" spans="3:10" x14ac:dyDescent="0.25">
      <c r="C2266" s="300" t="s">
        <v>1062</v>
      </c>
      <c r="D2266" s="283" t="s">
        <v>1074</v>
      </c>
      <c r="E2266" s="283" t="s">
        <v>1075</v>
      </c>
      <c r="F2266" s="283" t="s">
        <v>1076</v>
      </c>
      <c r="G2266" s="283">
        <v>2</v>
      </c>
      <c r="H2266" s="283">
        <v>0</v>
      </c>
      <c r="I2266" s="283">
        <v>1</v>
      </c>
      <c r="J2266" s="284">
        <v>1</v>
      </c>
    </row>
    <row r="2267" spans="3:10" x14ac:dyDescent="0.25">
      <c r="C2267" s="300" t="s">
        <v>1066</v>
      </c>
      <c r="D2267" s="283" t="s">
        <v>1043</v>
      </c>
      <c r="E2267" s="283" t="s">
        <v>1075</v>
      </c>
      <c r="F2267" s="283" t="s">
        <v>1092</v>
      </c>
      <c r="G2267" s="283">
        <v>2</v>
      </c>
      <c r="H2267" s="283">
        <v>0</v>
      </c>
      <c r="I2267" s="283">
        <v>0</v>
      </c>
      <c r="J2267" s="284">
        <v>0</v>
      </c>
    </row>
    <row r="2268" spans="3:10" x14ac:dyDescent="0.25">
      <c r="C2268" s="300" t="s">
        <v>1064</v>
      </c>
      <c r="D2268" s="283" t="s">
        <v>1074</v>
      </c>
      <c r="E2268" s="283" t="s">
        <v>1089</v>
      </c>
      <c r="F2268" s="283" t="s">
        <v>1075</v>
      </c>
      <c r="G2268" s="283">
        <v>2</v>
      </c>
      <c r="H2268" s="283">
        <v>0</v>
      </c>
      <c r="I2268" s="283">
        <v>0</v>
      </c>
      <c r="J2268" s="284">
        <v>0</v>
      </c>
    </row>
    <row r="2269" spans="3:10" x14ac:dyDescent="0.25">
      <c r="C2269" s="300" t="s">
        <v>1062</v>
      </c>
      <c r="D2269" s="283" t="s">
        <v>1079</v>
      </c>
      <c r="E2269" s="283" t="s">
        <v>1044</v>
      </c>
      <c r="F2269" s="283" t="s">
        <v>1089</v>
      </c>
      <c r="G2269" s="283">
        <v>2</v>
      </c>
      <c r="H2269" s="283">
        <v>0</v>
      </c>
      <c r="I2269" s="283">
        <v>0</v>
      </c>
      <c r="J2269" s="284">
        <v>1</v>
      </c>
    </row>
    <row r="2270" spans="3:10" x14ac:dyDescent="0.25">
      <c r="C2270" s="300" t="s">
        <v>1064</v>
      </c>
      <c r="D2270" s="283" t="s">
        <v>1043</v>
      </c>
      <c r="E2270" s="283" t="s">
        <v>1075</v>
      </c>
      <c r="F2270" s="283" t="s">
        <v>1092</v>
      </c>
      <c r="G2270" s="283">
        <v>2</v>
      </c>
      <c r="H2270" s="283">
        <v>0</v>
      </c>
      <c r="I2270" s="283">
        <v>0</v>
      </c>
      <c r="J2270" s="284">
        <v>1</v>
      </c>
    </row>
    <row r="2271" spans="3:10" x14ac:dyDescent="0.25">
      <c r="C2271" s="300" t="s">
        <v>1060</v>
      </c>
      <c r="D2271" s="283" t="s">
        <v>1082</v>
      </c>
      <c r="E2271" s="283" t="s">
        <v>1044</v>
      </c>
      <c r="F2271" s="283" t="s">
        <v>1089</v>
      </c>
      <c r="G2271" s="283">
        <v>2</v>
      </c>
      <c r="H2271" s="283">
        <v>0</v>
      </c>
      <c r="I2271" s="283">
        <v>1</v>
      </c>
      <c r="J2271" s="284">
        <v>0</v>
      </c>
    </row>
    <row r="2272" spans="3:10" x14ac:dyDescent="0.25">
      <c r="C2272" s="300" t="s">
        <v>1057</v>
      </c>
      <c r="D2272" s="283" t="s">
        <v>1077</v>
      </c>
      <c r="E2272" s="283" t="s">
        <v>1075</v>
      </c>
      <c r="F2272" s="283" t="s">
        <v>1075</v>
      </c>
      <c r="G2272" s="283">
        <v>2</v>
      </c>
      <c r="H2272" s="283">
        <v>0</v>
      </c>
      <c r="I2272" s="283">
        <v>0</v>
      </c>
      <c r="J2272" s="284">
        <v>1</v>
      </c>
    </row>
    <row r="2273" spans="3:10" x14ac:dyDescent="0.25">
      <c r="C2273" s="300" t="s">
        <v>1061</v>
      </c>
      <c r="D2273" s="283" t="s">
        <v>1077</v>
      </c>
      <c r="E2273" s="283" t="s">
        <v>1076</v>
      </c>
      <c r="F2273" s="283" t="s">
        <v>1075</v>
      </c>
      <c r="G2273" s="283">
        <v>3</v>
      </c>
      <c r="H2273" s="283">
        <v>0</v>
      </c>
      <c r="I2273" s="283">
        <v>1</v>
      </c>
      <c r="J2273" s="284">
        <v>1</v>
      </c>
    </row>
    <row r="2274" spans="3:10" x14ac:dyDescent="0.25">
      <c r="C2274" s="300" t="s">
        <v>1059</v>
      </c>
      <c r="D2274" s="283" t="s">
        <v>1043</v>
      </c>
      <c r="E2274" s="283" t="s">
        <v>1076</v>
      </c>
      <c r="F2274" s="283" t="s">
        <v>1092</v>
      </c>
      <c r="G2274" s="283">
        <v>2</v>
      </c>
      <c r="H2274" s="283">
        <v>0</v>
      </c>
      <c r="I2274" s="283">
        <v>1</v>
      </c>
      <c r="J2274" s="284">
        <v>0</v>
      </c>
    </row>
    <row r="2275" spans="3:10" x14ac:dyDescent="0.25">
      <c r="C2275" s="300" t="s">
        <v>1062</v>
      </c>
      <c r="D2275" s="283" t="s">
        <v>1087</v>
      </c>
      <c r="E2275" s="283" t="s">
        <v>1089</v>
      </c>
      <c r="F2275" s="283" t="s">
        <v>524</v>
      </c>
      <c r="G2275" s="283">
        <v>1</v>
      </c>
      <c r="H2275" s="283">
        <v>0</v>
      </c>
      <c r="I2275" s="283">
        <v>0</v>
      </c>
      <c r="J2275" s="284">
        <v>1</v>
      </c>
    </row>
    <row r="2276" spans="3:10" x14ac:dyDescent="0.25">
      <c r="C2276" s="300" t="s">
        <v>1068</v>
      </c>
      <c r="D2276" s="283" t="s">
        <v>1079</v>
      </c>
      <c r="E2276" s="283" t="s">
        <v>1075</v>
      </c>
      <c r="F2276" s="283" t="s">
        <v>1075</v>
      </c>
      <c r="G2276" s="283">
        <v>2</v>
      </c>
      <c r="H2276" s="283">
        <v>0</v>
      </c>
      <c r="I2276" s="283">
        <v>0</v>
      </c>
      <c r="J2276" s="284">
        <v>1</v>
      </c>
    </row>
    <row r="2277" spans="3:10" x14ac:dyDescent="0.25">
      <c r="C2277" s="300" t="s">
        <v>1065</v>
      </c>
      <c r="D2277" s="283" t="s">
        <v>1077</v>
      </c>
      <c r="E2277" s="283" t="s">
        <v>1075</v>
      </c>
      <c r="F2277" s="283" t="s">
        <v>1094</v>
      </c>
      <c r="G2277" s="283">
        <v>2</v>
      </c>
      <c r="H2277" s="283">
        <v>0</v>
      </c>
      <c r="I2277" s="283">
        <v>0</v>
      </c>
      <c r="J2277" s="284">
        <v>1</v>
      </c>
    </row>
    <row r="2278" spans="3:10" x14ac:dyDescent="0.25">
      <c r="C2278" s="300" t="s">
        <v>1065</v>
      </c>
      <c r="D2278" s="283" t="s">
        <v>1043</v>
      </c>
      <c r="E2278" s="283" t="s">
        <v>1086</v>
      </c>
      <c r="F2278" s="283" t="s">
        <v>1092</v>
      </c>
      <c r="G2278" s="283">
        <v>2</v>
      </c>
      <c r="H2278" s="283">
        <v>0</v>
      </c>
      <c r="I2278" s="283">
        <v>0</v>
      </c>
      <c r="J2278" s="284">
        <v>0</v>
      </c>
    </row>
    <row r="2279" spans="3:10" x14ac:dyDescent="0.25">
      <c r="C2279" s="300" t="s">
        <v>1066</v>
      </c>
      <c r="D2279" s="283" t="s">
        <v>1074</v>
      </c>
      <c r="E2279" s="283" t="s">
        <v>1078</v>
      </c>
      <c r="F2279" s="283" t="s">
        <v>1075</v>
      </c>
      <c r="G2279" s="283">
        <v>2</v>
      </c>
      <c r="H2279" s="283">
        <v>0</v>
      </c>
      <c r="I2279" s="283">
        <v>1</v>
      </c>
      <c r="J2279" s="284">
        <v>0</v>
      </c>
    </row>
    <row r="2280" spans="3:10" x14ac:dyDescent="0.25">
      <c r="C2280" s="300" t="s">
        <v>1062</v>
      </c>
      <c r="D2280" s="283" t="s">
        <v>1043</v>
      </c>
      <c r="E2280" s="283" t="s">
        <v>1089</v>
      </c>
      <c r="F2280" s="283" t="s">
        <v>1092</v>
      </c>
      <c r="G2280" s="283">
        <v>2</v>
      </c>
      <c r="H2280" s="283">
        <v>0</v>
      </c>
      <c r="I2280" s="283">
        <v>0</v>
      </c>
      <c r="J2280" s="284">
        <v>0</v>
      </c>
    </row>
    <row r="2281" spans="3:10" x14ac:dyDescent="0.25">
      <c r="C2281" s="300" t="s">
        <v>1062</v>
      </c>
      <c r="D2281" s="283" t="s">
        <v>1079</v>
      </c>
      <c r="E2281" s="283" t="s">
        <v>1075</v>
      </c>
      <c r="F2281" s="283" t="s">
        <v>1075</v>
      </c>
      <c r="G2281" s="283">
        <v>2</v>
      </c>
      <c r="H2281" s="283">
        <v>0</v>
      </c>
      <c r="I2281" s="283">
        <v>0</v>
      </c>
      <c r="J2281" s="284">
        <v>0</v>
      </c>
    </row>
    <row r="2282" spans="3:10" x14ac:dyDescent="0.25">
      <c r="C2282" s="300" t="s">
        <v>1065</v>
      </c>
      <c r="D2282" s="283" t="s">
        <v>1074</v>
      </c>
      <c r="E2282" s="283" t="s">
        <v>1075</v>
      </c>
      <c r="F2282" s="283" t="s">
        <v>1089</v>
      </c>
      <c r="G2282" s="283">
        <v>3</v>
      </c>
      <c r="H2282" s="283">
        <v>0</v>
      </c>
      <c r="I2282" s="283">
        <v>0</v>
      </c>
      <c r="J2282" s="284">
        <v>1</v>
      </c>
    </row>
    <row r="2283" spans="3:10" x14ac:dyDescent="0.25">
      <c r="C2283" s="300" t="s">
        <v>1064</v>
      </c>
      <c r="D2283" s="283" t="s">
        <v>1077</v>
      </c>
      <c r="E2283" s="283" t="s">
        <v>1075</v>
      </c>
      <c r="F2283" s="283" t="s">
        <v>1075</v>
      </c>
      <c r="G2283" s="283">
        <v>2</v>
      </c>
      <c r="H2283" s="283">
        <v>0</v>
      </c>
      <c r="I2283" s="283">
        <v>0</v>
      </c>
      <c r="J2283" s="284">
        <v>0</v>
      </c>
    </row>
    <row r="2284" spans="3:10" x14ac:dyDescent="0.25">
      <c r="C2284" s="300" t="s">
        <v>1065</v>
      </c>
      <c r="D2284" s="283" t="s">
        <v>1077</v>
      </c>
      <c r="E2284" s="283" t="s">
        <v>1075</v>
      </c>
      <c r="F2284" s="283" t="s">
        <v>1075</v>
      </c>
      <c r="G2284" s="283">
        <v>2</v>
      </c>
      <c r="H2284" s="283">
        <v>0</v>
      </c>
      <c r="I2284" s="283">
        <v>0</v>
      </c>
      <c r="J2284" s="284">
        <v>0</v>
      </c>
    </row>
    <row r="2285" spans="3:10" x14ac:dyDescent="0.25">
      <c r="C2285" s="300" t="s">
        <v>1065</v>
      </c>
      <c r="D2285" s="283" t="s">
        <v>1096</v>
      </c>
      <c r="E2285" s="283" t="s">
        <v>1084</v>
      </c>
      <c r="F2285" s="283" t="s">
        <v>524</v>
      </c>
      <c r="G2285" s="283">
        <v>1</v>
      </c>
      <c r="H2285" s="283">
        <v>0</v>
      </c>
      <c r="I2285" s="283">
        <v>0</v>
      </c>
      <c r="J2285" s="284">
        <v>0</v>
      </c>
    </row>
    <row r="2286" spans="3:10" x14ac:dyDescent="0.25">
      <c r="C2286" s="300" t="s">
        <v>1063</v>
      </c>
      <c r="D2286" s="283" t="s">
        <v>1079</v>
      </c>
      <c r="E2286" s="283" t="s">
        <v>1089</v>
      </c>
      <c r="F2286" s="283" t="s">
        <v>1075</v>
      </c>
      <c r="G2286" s="283">
        <v>2</v>
      </c>
      <c r="H2286" s="283">
        <v>0</v>
      </c>
      <c r="I2286" s="283">
        <v>0</v>
      </c>
      <c r="J2286" s="284">
        <v>1</v>
      </c>
    </row>
    <row r="2287" spans="3:10" x14ac:dyDescent="0.25">
      <c r="C2287" s="300" t="s">
        <v>1064</v>
      </c>
      <c r="D2287" s="283" t="s">
        <v>1087</v>
      </c>
      <c r="E2287" s="283" t="s">
        <v>1075</v>
      </c>
      <c r="F2287" s="283" t="s">
        <v>524</v>
      </c>
      <c r="G2287" s="283">
        <v>1</v>
      </c>
      <c r="H2287" s="283">
        <v>0</v>
      </c>
      <c r="I2287" s="283">
        <v>0</v>
      </c>
      <c r="J2287" s="284">
        <v>0</v>
      </c>
    </row>
    <row r="2288" spans="3:10" x14ac:dyDescent="0.25">
      <c r="C2288" s="300" t="s">
        <v>1063</v>
      </c>
      <c r="D2288" s="283" t="s">
        <v>1090</v>
      </c>
      <c r="E2288" s="283" t="s">
        <v>1044</v>
      </c>
      <c r="F2288" s="283" t="s">
        <v>524</v>
      </c>
      <c r="G2288" s="283">
        <v>1</v>
      </c>
      <c r="H2288" s="283">
        <v>0</v>
      </c>
      <c r="I2288" s="283">
        <v>1</v>
      </c>
      <c r="J2288" s="284">
        <v>0</v>
      </c>
    </row>
    <row r="2289" spans="3:10" x14ac:dyDescent="0.25">
      <c r="C2289" s="300" t="s">
        <v>1068</v>
      </c>
      <c r="D2289" s="283" t="s">
        <v>1074</v>
      </c>
      <c r="E2289" s="283" t="s">
        <v>1078</v>
      </c>
      <c r="F2289" s="283" t="s">
        <v>1075</v>
      </c>
      <c r="G2289" s="283">
        <v>2</v>
      </c>
      <c r="H2289" s="283">
        <v>0</v>
      </c>
      <c r="I2289" s="283">
        <v>0</v>
      </c>
      <c r="J2289" s="284">
        <v>2</v>
      </c>
    </row>
    <row r="2290" spans="3:10" x14ac:dyDescent="0.25">
      <c r="C2290" s="300" t="s">
        <v>1063</v>
      </c>
      <c r="D2290" s="283" t="s">
        <v>1074</v>
      </c>
      <c r="E2290" s="283" t="s">
        <v>1093</v>
      </c>
      <c r="F2290" s="283" t="s">
        <v>1075</v>
      </c>
      <c r="G2290" s="283">
        <v>2</v>
      </c>
      <c r="H2290" s="283">
        <v>0</v>
      </c>
      <c r="I2290" s="283">
        <v>0</v>
      </c>
      <c r="J2290" s="284">
        <v>0</v>
      </c>
    </row>
    <row r="2291" spans="3:10" x14ac:dyDescent="0.25">
      <c r="C2291" s="300" t="s">
        <v>1060</v>
      </c>
      <c r="D2291" s="283" t="s">
        <v>1077</v>
      </c>
      <c r="E2291" s="283" t="s">
        <v>1076</v>
      </c>
      <c r="F2291" s="283" t="s">
        <v>1078</v>
      </c>
      <c r="G2291" s="283">
        <v>2</v>
      </c>
      <c r="H2291" s="283">
        <v>0</v>
      </c>
      <c r="I2291" s="283">
        <v>0</v>
      </c>
      <c r="J2291" s="284">
        <v>0</v>
      </c>
    </row>
    <row r="2292" spans="3:10" x14ac:dyDescent="0.25">
      <c r="C2292" s="300" t="s">
        <v>1061</v>
      </c>
      <c r="D2292" s="283" t="s">
        <v>1087</v>
      </c>
      <c r="E2292" s="283" t="s">
        <v>1075</v>
      </c>
      <c r="F2292" s="283" t="s">
        <v>524</v>
      </c>
      <c r="G2292" s="283">
        <v>1</v>
      </c>
      <c r="H2292" s="283">
        <v>0</v>
      </c>
      <c r="I2292" s="283">
        <v>0</v>
      </c>
      <c r="J2292" s="284">
        <v>1</v>
      </c>
    </row>
    <row r="2293" spans="3:10" x14ac:dyDescent="0.25">
      <c r="C2293" s="300" t="s">
        <v>1062</v>
      </c>
      <c r="D2293" s="283" t="s">
        <v>1077</v>
      </c>
      <c r="E2293" s="283" t="s">
        <v>1075</v>
      </c>
      <c r="F2293" s="283" t="s">
        <v>1075</v>
      </c>
      <c r="G2293" s="283">
        <v>4</v>
      </c>
      <c r="H2293" s="283">
        <v>0</v>
      </c>
      <c r="I2293" s="283">
        <v>0</v>
      </c>
      <c r="J2293" s="284">
        <v>1</v>
      </c>
    </row>
    <row r="2294" spans="3:10" x14ac:dyDescent="0.25">
      <c r="C2294" s="300" t="s">
        <v>1060</v>
      </c>
      <c r="D2294" s="283" t="s">
        <v>1074</v>
      </c>
      <c r="E2294" s="283" t="s">
        <v>1076</v>
      </c>
      <c r="F2294" s="283" t="s">
        <v>1044</v>
      </c>
      <c r="G2294" s="283">
        <v>2</v>
      </c>
      <c r="H2294" s="283">
        <v>0</v>
      </c>
      <c r="I2294" s="283">
        <v>0</v>
      </c>
      <c r="J2294" s="284">
        <v>1</v>
      </c>
    </row>
    <row r="2295" spans="3:10" x14ac:dyDescent="0.25">
      <c r="C2295" s="300" t="s">
        <v>1061</v>
      </c>
      <c r="D2295" s="283" t="s">
        <v>1079</v>
      </c>
      <c r="E2295" s="283" t="s">
        <v>1083</v>
      </c>
      <c r="F2295" s="283" t="s">
        <v>1080</v>
      </c>
      <c r="G2295" s="283">
        <v>2</v>
      </c>
      <c r="H2295" s="283">
        <v>0</v>
      </c>
      <c r="I2295" s="283">
        <v>1</v>
      </c>
      <c r="J2295" s="284">
        <v>0</v>
      </c>
    </row>
    <row r="2296" spans="3:10" x14ac:dyDescent="0.25">
      <c r="C2296" s="300" t="s">
        <v>1061</v>
      </c>
      <c r="D2296" s="283" t="s">
        <v>1079</v>
      </c>
      <c r="E2296" s="283" t="s">
        <v>1075</v>
      </c>
      <c r="F2296" s="283" t="s">
        <v>1078</v>
      </c>
      <c r="G2296" s="283">
        <v>2</v>
      </c>
      <c r="H2296" s="283">
        <v>0</v>
      </c>
      <c r="I2296" s="283">
        <v>0</v>
      </c>
      <c r="J2296" s="284">
        <v>0</v>
      </c>
    </row>
    <row r="2297" spans="3:10" x14ac:dyDescent="0.25">
      <c r="C2297" s="300" t="s">
        <v>1065</v>
      </c>
      <c r="D2297" s="283" t="s">
        <v>1077</v>
      </c>
      <c r="E2297" s="283" t="s">
        <v>1075</v>
      </c>
      <c r="F2297" s="283" t="s">
        <v>1075</v>
      </c>
      <c r="G2297" s="283">
        <v>2</v>
      </c>
      <c r="H2297" s="283">
        <v>0</v>
      </c>
      <c r="I2297" s="283">
        <v>0</v>
      </c>
      <c r="J2297" s="284">
        <v>0</v>
      </c>
    </row>
    <row r="2298" spans="3:10" x14ac:dyDescent="0.25">
      <c r="C2298" s="300" t="s">
        <v>1063</v>
      </c>
      <c r="D2298" s="283" t="s">
        <v>1079</v>
      </c>
      <c r="E2298" s="283" t="s">
        <v>1086</v>
      </c>
      <c r="F2298" s="283" t="s">
        <v>1075</v>
      </c>
      <c r="G2298" s="283">
        <v>2</v>
      </c>
      <c r="H2298" s="283">
        <v>0</v>
      </c>
      <c r="I2298" s="283">
        <v>1</v>
      </c>
      <c r="J2298" s="284">
        <v>0</v>
      </c>
    </row>
    <row r="2299" spans="3:10" x14ac:dyDescent="0.25">
      <c r="C2299" s="300" t="s">
        <v>1063</v>
      </c>
      <c r="D2299" s="283" t="s">
        <v>1079</v>
      </c>
      <c r="E2299" s="283" t="s">
        <v>1075</v>
      </c>
      <c r="F2299" s="283" t="s">
        <v>1076</v>
      </c>
      <c r="G2299" s="283">
        <v>3</v>
      </c>
      <c r="H2299" s="283">
        <v>0</v>
      </c>
      <c r="I2299" s="283">
        <v>0</v>
      </c>
      <c r="J2299" s="284">
        <v>1</v>
      </c>
    </row>
    <row r="2300" spans="3:10" x14ac:dyDescent="0.25">
      <c r="C2300" s="300" t="s">
        <v>1065</v>
      </c>
      <c r="D2300" s="283" t="s">
        <v>1079</v>
      </c>
      <c r="E2300" s="283" t="s">
        <v>1075</v>
      </c>
      <c r="F2300" s="283" t="s">
        <v>1083</v>
      </c>
      <c r="G2300" s="283">
        <v>2</v>
      </c>
      <c r="H2300" s="283">
        <v>0</v>
      </c>
      <c r="I2300" s="283">
        <v>1</v>
      </c>
      <c r="J2300" s="284">
        <v>1</v>
      </c>
    </row>
    <row r="2301" spans="3:10" x14ac:dyDescent="0.25">
      <c r="C2301" s="300" t="s">
        <v>1067</v>
      </c>
      <c r="D2301" s="283" t="s">
        <v>1077</v>
      </c>
      <c r="E2301" s="283" t="s">
        <v>1086</v>
      </c>
      <c r="F2301" s="283" t="s">
        <v>1044</v>
      </c>
      <c r="G2301" s="283">
        <v>2</v>
      </c>
      <c r="H2301" s="283">
        <v>0</v>
      </c>
      <c r="I2301" s="283">
        <v>0</v>
      </c>
      <c r="J2301" s="284">
        <v>1</v>
      </c>
    </row>
    <row r="2302" spans="3:10" x14ac:dyDescent="0.25">
      <c r="C2302" s="300" t="s">
        <v>1065</v>
      </c>
      <c r="D2302" s="283" t="s">
        <v>1079</v>
      </c>
      <c r="E2302" s="283" t="s">
        <v>1075</v>
      </c>
      <c r="F2302" s="283" t="s">
        <v>1083</v>
      </c>
      <c r="G2302" s="283">
        <v>2</v>
      </c>
      <c r="H2302" s="283">
        <v>0</v>
      </c>
      <c r="I2302" s="283">
        <v>0</v>
      </c>
      <c r="J2302" s="284">
        <v>0</v>
      </c>
    </row>
    <row r="2303" spans="3:10" x14ac:dyDescent="0.25">
      <c r="C2303" s="300" t="s">
        <v>1060</v>
      </c>
      <c r="D2303" s="283" t="s">
        <v>1077</v>
      </c>
      <c r="E2303" s="283" t="s">
        <v>1075</v>
      </c>
      <c r="F2303" s="283" t="s">
        <v>1078</v>
      </c>
      <c r="G2303" s="283">
        <v>2</v>
      </c>
      <c r="H2303" s="283">
        <v>0</v>
      </c>
      <c r="I2303" s="283">
        <v>0</v>
      </c>
      <c r="J2303" s="284">
        <v>0</v>
      </c>
    </row>
    <row r="2304" spans="3:10" x14ac:dyDescent="0.25">
      <c r="C2304" s="300" t="s">
        <v>1060</v>
      </c>
      <c r="D2304" s="283" t="s">
        <v>1043</v>
      </c>
      <c r="E2304" s="283" t="s">
        <v>1078</v>
      </c>
      <c r="F2304" s="283" t="s">
        <v>1092</v>
      </c>
      <c r="G2304" s="283">
        <v>2</v>
      </c>
      <c r="H2304" s="283">
        <v>0</v>
      </c>
      <c r="I2304" s="283">
        <v>1</v>
      </c>
      <c r="J2304" s="284">
        <v>0</v>
      </c>
    </row>
    <row r="2305" spans="3:10" x14ac:dyDescent="0.25">
      <c r="C2305" s="300" t="s">
        <v>1062</v>
      </c>
      <c r="D2305" s="283" t="s">
        <v>1077</v>
      </c>
      <c r="E2305" s="283" t="s">
        <v>1076</v>
      </c>
      <c r="F2305" s="283" t="s">
        <v>1075</v>
      </c>
      <c r="G2305" s="283">
        <v>2</v>
      </c>
      <c r="H2305" s="283">
        <v>0</v>
      </c>
      <c r="I2305" s="283">
        <v>0</v>
      </c>
      <c r="J2305" s="284">
        <v>0</v>
      </c>
    </row>
    <row r="2306" spans="3:10" x14ac:dyDescent="0.25">
      <c r="C2306" s="300" t="s">
        <v>1065</v>
      </c>
      <c r="D2306" s="283" t="s">
        <v>1087</v>
      </c>
      <c r="E2306" s="283" t="s">
        <v>1076</v>
      </c>
      <c r="F2306" s="283" t="s">
        <v>524</v>
      </c>
      <c r="G2306" s="283">
        <v>2</v>
      </c>
      <c r="H2306" s="283">
        <v>0</v>
      </c>
      <c r="I2306" s="283">
        <v>0</v>
      </c>
      <c r="J2306" s="284">
        <v>1</v>
      </c>
    </row>
    <row r="2307" spans="3:10" x14ac:dyDescent="0.25">
      <c r="C2307" s="300" t="s">
        <v>1068</v>
      </c>
      <c r="D2307" s="283" t="s">
        <v>1087</v>
      </c>
      <c r="E2307" s="283" t="s">
        <v>1075</v>
      </c>
      <c r="F2307" s="283" t="s">
        <v>524</v>
      </c>
      <c r="G2307" s="283">
        <v>1</v>
      </c>
      <c r="H2307" s="283">
        <v>0</v>
      </c>
      <c r="I2307" s="283">
        <v>0</v>
      </c>
      <c r="J2307" s="284">
        <v>0</v>
      </c>
    </row>
    <row r="2308" spans="3:10" x14ac:dyDescent="0.25">
      <c r="C2308" s="300" t="s">
        <v>1066</v>
      </c>
      <c r="D2308" s="283" t="s">
        <v>1074</v>
      </c>
      <c r="E2308" s="283" t="s">
        <v>1076</v>
      </c>
      <c r="F2308" s="283" t="s">
        <v>1089</v>
      </c>
      <c r="G2308" s="283">
        <v>2</v>
      </c>
      <c r="H2308" s="283">
        <v>0</v>
      </c>
      <c r="I2308" s="283">
        <v>0</v>
      </c>
      <c r="J2308" s="284">
        <v>0</v>
      </c>
    </row>
    <row r="2309" spans="3:10" x14ac:dyDescent="0.25">
      <c r="C2309" s="300" t="s">
        <v>1064</v>
      </c>
      <c r="D2309" s="283" t="s">
        <v>1077</v>
      </c>
      <c r="E2309" s="283" t="s">
        <v>1089</v>
      </c>
      <c r="F2309" s="283" t="s">
        <v>1075</v>
      </c>
      <c r="G2309" s="283">
        <v>3</v>
      </c>
      <c r="H2309" s="283">
        <v>0</v>
      </c>
      <c r="I2309" s="283">
        <v>1</v>
      </c>
      <c r="J2309" s="284">
        <v>0</v>
      </c>
    </row>
    <row r="2310" spans="3:10" x14ac:dyDescent="0.25">
      <c r="C2310" s="300" t="s">
        <v>1063</v>
      </c>
      <c r="D2310" s="283" t="s">
        <v>1079</v>
      </c>
      <c r="E2310" s="283" t="s">
        <v>1076</v>
      </c>
      <c r="F2310" s="283" t="s">
        <v>1075</v>
      </c>
      <c r="G2310" s="283">
        <v>2</v>
      </c>
      <c r="H2310" s="283">
        <v>0</v>
      </c>
      <c r="I2310" s="283">
        <v>0</v>
      </c>
      <c r="J2310" s="284">
        <v>0</v>
      </c>
    </row>
    <row r="2311" spans="3:10" x14ac:dyDescent="0.25">
      <c r="C2311" s="300" t="s">
        <v>1068</v>
      </c>
      <c r="D2311" s="283" t="s">
        <v>1079</v>
      </c>
      <c r="E2311" s="283" t="s">
        <v>1089</v>
      </c>
      <c r="F2311" s="283" t="s">
        <v>1075</v>
      </c>
      <c r="G2311" s="283">
        <v>3</v>
      </c>
      <c r="H2311" s="283">
        <v>0</v>
      </c>
      <c r="I2311" s="283">
        <v>0</v>
      </c>
      <c r="J2311" s="284">
        <v>1</v>
      </c>
    </row>
    <row r="2312" spans="3:10" x14ac:dyDescent="0.25">
      <c r="C2312" s="300" t="s">
        <v>1065</v>
      </c>
      <c r="D2312" s="283" t="s">
        <v>1077</v>
      </c>
      <c r="E2312" s="283" t="s">
        <v>1076</v>
      </c>
      <c r="F2312" s="283" t="s">
        <v>1075</v>
      </c>
      <c r="G2312" s="283">
        <v>2</v>
      </c>
      <c r="H2312" s="283">
        <v>0</v>
      </c>
      <c r="I2312" s="283">
        <v>0</v>
      </c>
      <c r="J2312" s="284">
        <v>0</v>
      </c>
    </row>
    <row r="2313" spans="3:10" x14ac:dyDescent="0.25">
      <c r="C2313" s="300" t="s">
        <v>1061</v>
      </c>
      <c r="D2313" s="283" t="s">
        <v>1079</v>
      </c>
      <c r="E2313" s="283" t="s">
        <v>1089</v>
      </c>
      <c r="F2313" s="283" t="s">
        <v>1075</v>
      </c>
      <c r="G2313" s="283">
        <v>2</v>
      </c>
      <c r="H2313" s="283">
        <v>0</v>
      </c>
      <c r="I2313" s="283">
        <v>0</v>
      </c>
      <c r="J2313" s="284">
        <v>0</v>
      </c>
    </row>
    <row r="2314" spans="3:10" x14ac:dyDescent="0.25">
      <c r="C2314" s="300" t="s">
        <v>1062</v>
      </c>
      <c r="D2314" s="283" t="s">
        <v>1079</v>
      </c>
      <c r="E2314" s="283" t="s">
        <v>1089</v>
      </c>
      <c r="F2314" s="283" t="s">
        <v>1083</v>
      </c>
      <c r="G2314" s="283">
        <v>2</v>
      </c>
      <c r="H2314" s="283">
        <v>0</v>
      </c>
      <c r="I2314" s="283">
        <v>0</v>
      </c>
      <c r="J2314" s="284">
        <v>1</v>
      </c>
    </row>
    <row r="2315" spans="3:10" x14ac:dyDescent="0.25">
      <c r="C2315" s="300" t="s">
        <v>1063</v>
      </c>
      <c r="D2315" s="283" t="s">
        <v>1079</v>
      </c>
      <c r="E2315" s="283" t="s">
        <v>1075</v>
      </c>
      <c r="F2315" s="283" t="s">
        <v>1084</v>
      </c>
      <c r="G2315" s="283">
        <v>2</v>
      </c>
      <c r="H2315" s="283">
        <v>0</v>
      </c>
      <c r="I2315" s="283">
        <v>0</v>
      </c>
      <c r="J2315" s="284">
        <v>0</v>
      </c>
    </row>
    <row r="2316" spans="3:10" x14ac:dyDescent="0.25">
      <c r="C2316" s="300" t="s">
        <v>1062</v>
      </c>
      <c r="D2316" s="283" t="s">
        <v>1079</v>
      </c>
      <c r="E2316" s="283" t="s">
        <v>1075</v>
      </c>
      <c r="F2316" s="283" t="s">
        <v>1075</v>
      </c>
      <c r="G2316" s="283">
        <v>2</v>
      </c>
      <c r="H2316" s="283">
        <v>0</v>
      </c>
      <c r="I2316" s="283">
        <v>0</v>
      </c>
      <c r="J2316" s="284">
        <v>0</v>
      </c>
    </row>
    <row r="2317" spans="3:10" x14ac:dyDescent="0.25">
      <c r="C2317" s="300" t="s">
        <v>1062</v>
      </c>
      <c r="D2317" s="283" t="s">
        <v>1077</v>
      </c>
      <c r="E2317" s="283" t="s">
        <v>1089</v>
      </c>
      <c r="F2317" s="283" t="s">
        <v>1076</v>
      </c>
      <c r="G2317" s="283">
        <v>2</v>
      </c>
      <c r="H2317" s="283">
        <v>0</v>
      </c>
      <c r="I2317" s="283">
        <v>0</v>
      </c>
      <c r="J2317" s="284">
        <v>0</v>
      </c>
    </row>
    <row r="2318" spans="3:10" x14ac:dyDescent="0.25">
      <c r="C2318" s="300" t="s">
        <v>1067</v>
      </c>
      <c r="D2318" s="283" t="s">
        <v>1079</v>
      </c>
      <c r="E2318" s="283" t="s">
        <v>1075</v>
      </c>
      <c r="F2318" s="283" t="s">
        <v>1080</v>
      </c>
      <c r="G2318" s="283">
        <v>2</v>
      </c>
      <c r="H2318" s="283">
        <v>0</v>
      </c>
      <c r="I2318" s="283">
        <v>0</v>
      </c>
      <c r="J2318" s="284">
        <v>0</v>
      </c>
    </row>
    <row r="2319" spans="3:10" x14ac:dyDescent="0.25">
      <c r="C2319" s="300" t="s">
        <v>1062</v>
      </c>
      <c r="D2319" s="283" t="s">
        <v>1079</v>
      </c>
      <c r="E2319" s="283" t="s">
        <v>1076</v>
      </c>
      <c r="F2319" s="283" t="s">
        <v>1075</v>
      </c>
      <c r="G2319" s="283">
        <v>2</v>
      </c>
      <c r="H2319" s="283">
        <v>0</v>
      </c>
      <c r="I2319" s="283">
        <v>0</v>
      </c>
      <c r="J2319" s="284">
        <v>0</v>
      </c>
    </row>
    <row r="2320" spans="3:10" x14ac:dyDescent="0.25">
      <c r="C2320" s="300" t="s">
        <v>1067</v>
      </c>
      <c r="D2320" s="283" t="s">
        <v>1079</v>
      </c>
      <c r="E2320" s="283" t="s">
        <v>1075</v>
      </c>
      <c r="F2320" s="283" t="s">
        <v>1089</v>
      </c>
      <c r="G2320" s="283">
        <v>2</v>
      </c>
      <c r="H2320" s="283">
        <v>0</v>
      </c>
      <c r="I2320" s="283">
        <v>0</v>
      </c>
      <c r="J2320" s="284">
        <v>0</v>
      </c>
    </row>
    <row r="2321" spans="3:10" x14ac:dyDescent="0.25">
      <c r="C2321" s="300" t="s">
        <v>1066</v>
      </c>
      <c r="D2321" s="283" t="s">
        <v>1087</v>
      </c>
      <c r="E2321" s="283" t="s">
        <v>1075</v>
      </c>
      <c r="F2321" s="283" t="s">
        <v>524</v>
      </c>
      <c r="G2321" s="283">
        <v>1</v>
      </c>
      <c r="H2321" s="283">
        <v>0</v>
      </c>
      <c r="I2321" s="283">
        <v>0</v>
      </c>
      <c r="J2321" s="284">
        <v>0</v>
      </c>
    </row>
    <row r="2322" spans="3:10" x14ac:dyDescent="0.25">
      <c r="C2322" s="300" t="s">
        <v>1067</v>
      </c>
      <c r="D2322" s="283" t="s">
        <v>1090</v>
      </c>
      <c r="E2322" s="283" t="s">
        <v>1075</v>
      </c>
      <c r="F2322" s="283" t="s">
        <v>524</v>
      </c>
      <c r="G2322" s="283">
        <v>1</v>
      </c>
      <c r="H2322" s="283">
        <v>0</v>
      </c>
      <c r="I2322" s="283">
        <v>0</v>
      </c>
      <c r="J2322" s="284">
        <v>0</v>
      </c>
    </row>
    <row r="2323" spans="3:10" x14ac:dyDescent="0.25">
      <c r="C2323" s="300" t="s">
        <v>1062</v>
      </c>
      <c r="D2323" s="283" t="s">
        <v>1079</v>
      </c>
      <c r="E2323" s="283" t="s">
        <v>1075</v>
      </c>
      <c r="F2323" s="283" t="s">
        <v>1089</v>
      </c>
      <c r="G2323" s="283">
        <v>2</v>
      </c>
      <c r="H2323" s="283">
        <v>0</v>
      </c>
      <c r="I2323" s="283">
        <v>0</v>
      </c>
      <c r="J2323" s="284">
        <v>1</v>
      </c>
    </row>
    <row r="2324" spans="3:10" x14ac:dyDescent="0.25">
      <c r="C2324" s="300" t="s">
        <v>1064</v>
      </c>
      <c r="D2324" s="283" t="s">
        <v>1077</v>
      </c>
      <c r="E2324" s="283" t="s">
        <v>1076</v>
      </c>
      <c r="F2324" s="283" t="s">
        <v>1084</v>
      </c>
      <c r="G2324" s="283">
        <v>2</v>
      </c>
      <c r="H2324" s="283">
        <v>0</v>
      </c>
      <c r="I2324" s="283">
        <v>0</v>
      </c>
      <c r="J2324" s="284">
        <v>0</v>
      </c>
    </row>
    <row r="2325" spans="3:10" x14ac:dyDescent="0.25">
      <c r="C2325" s="300" t="s">
        <v>1062</v>
      </c>
      <c r="D2325" s="283" t="s">
        <v>1079</v>
      </c>
      <c r="E2325" s="283" t="s">
        <v>1075</v>
      </c>
      <c r="F2325" s="283" t="s">
        <v>1075</v>
      </c>
      <c r="G2325" s="283">
        <v>2</v>
      </c>
      <c r="H2325" s="283">
        <v>0</v>
      </c>
      <c r="I2325" s="283">
        <v>0</v>
      </c>
      <c r="J2325" s="284">
        <v>0</v>
      </c>
    </row>
    <row r="2326" spans="3:10" x14ac:dyDescent="0.25">
      <c r="C2326" s="300" t="s">
        <v>1065</v>
      </c>
      <c r="D2326" s="283" t="s">
        <v>1077</v>
      </c>
      <c r="E2326" s="283" t="s">
        <v>1075</v>
      </c>
      <c r="F2326" s="283" t="s">
        <v>1076</v>
      </c>
      <c r="G2326" s="283">
        <v>2</v>
      </c>
      <c r="H2326" s="283">
        <v>0</v>
      </c>
      <c r="I2326" s="283">
        <v>0</v>
      </c>
      <c r="J2326" s="284">
        <v>0</v>
      </c>
    </row>
    <row r="2327" spans="3:10" x14ac:dyDescent="0.25">
      <c r="C2327" s="300" t="s">
        <v>1065</v>
      </c>
      <c r="D2327" s="283" t="s">
        <v>1079</v>
      </c>
      <c r="E2327" s="283" t="s">
        <v>1075</v>
      </c>
      <c r="F2327" s="283" t="s">
        <v>1075</v>
      </c>
      <c r="G2327" s="283">
        <v>2</v>
      </c>
      <c r="H2327" s="283">
        <v>0</v>
      </c>
      <c r="I2327" s="283">
        <v>0</v>
      </c>
      <c r="J2327" s="284">
        <v>0</v>
      </c>
    </row>
    <row r="2328" spans="3:10" x14ac:dyDescent="0.25">
      <c r="C2328" s="300" t="s">
        <v>1064</v>
      </c>
      <c r="D2328" s="283" t="s">
        <v>1079</v>
      </c>
      <c r="E2328" s="283" t="s">
        <v>1078</v>
      </c>
      <c r="F2328" s="283" t="s">
        <v>1089</v>
      </c>
      <c r="G2328" s="283">
        <v>2</v>
      </c>
      <c r="H2328" s="283">
        <v>0</v>
      </c>
      <c r="I2328" s="283">
        <v>0</v>
      </c>
      <c r="J2328" s="284">
        <v>1</v>
      </c>
    </row>
    <row r="2329" spans="3:10" x14ac:dyDescent="0.25">
      <c r="C2329" s="300" t="s">
        <v>1065</v>
      </c>
      <c r="D2329" s="283" t="s">
        <v>1087</v>
      </c>
      <c r="E2329" s="283" t="s">
        <v>1089</v>
      </c>
      <c r="F2329" s="283" t="s">
        <v>524</v>
      </c>
      <c r="G2329" s="283">
        <v>1</v>
      </c>
      <c r="H2329" s="283">
        <v>0</v>
      </c>
      <c r="I2329" s="283">
        <v>0</v>
      </c>
      <c r="J2329" s="284">
        <v>0</v>
      </c>
    </row>
    <row r="2330" spans="3:10" x14ac:dyDescent="0.25">
      <c r="C2330" s="300" t="s">
        <v>1065</v>
      </c>
      <c r="D2330" s="283" t="s">
        <v>1077</v>
      </c>
      <c r="E2330" s="283" t="s">
        <v>1075</v>
      </c>
      <c r="F2330" s="283" t="s">
        <v>1075</v>
      </c>
      <c r="G2330" s="283">
        <v>2</v>
      </c>
      <c r="H2330" s="283">
        <v>0</v>
      </c>
      <c r="I2330" s="283">
        <v>0</v>
      </c>
      <c r="J2330" s="284">
        <v>0</v>
      </c>
    </row>
    <row r="2331" spans="3:10" x14ac:dyDescent="0.25">
      <c r="C2331" s="300" t="s">
        <v>1061</v>
      </c>
      <c r="D2331" s="283" t="s">
        <v>1079</v>
      </c>
      <c r="E2331" s="283" t="s">
        <v>1075</v>
      </c>
      <c r="F2331" s="283" t="s">
        <v>1078</v>
      </c>
      <c r="G2331" s="283">
        <v>2</v>
      </c>
      <c r="H2331" s="283">
        <v>0</v>
      </c>
      <c r="I2331" s="283">
        <v>0</v>
      </c>
      <c r="J2331" s="284">
        <v>0</v>
      </c>
    </row>
    <row r="2332" spans="3:10" x14ac:dyDescent="0.25">
      <c r="C2332" s="300" t="s">
        <v>1064</v>
      </c>
      <c r="D2332" s="283" t="s">
        <v>1079</v>
      </c>
      <c r="E2332" s="283" t="s">
        <v>1089</v>
      </c>
      <c r="F2332" s="283" t="s">
        <v>1075</v>
      </c>
      <c r="G2332" s="283">
        <v>2</v>
      </c>
      <c r="H2332" s="283">
        <v>0</v>
      </c>
      <c r="I2332" s="283">
        <v>0</v>
      </c>
      <c r="J2332" s="284">
        <v>0</v>
      </c>
    </row>
    <row r="2333" spans="3:10" x14ac:dyDescent="0.25">
      <c r="C2333" s="300" t="s">
        <v>1060</v>
      </c>
      <c r="D2333" s="283" t="s">
        <v>1074</v>
      </c>
      <c r="E2333" s="283" t="s">
        <v>1075</v>
      </c>
      <c r="F2333" s="283" t="s">
        <v>1089</v>
      </c>
      <c r="G2333" s="283">
        <v>2</v>
      </c>
      <c r="H2333" s="283">
        <v>0</v>
      </c>
      <c r="I2333" s="283">
        <v>0</v>
      </c>
      <c r="J2333" s="284">
        <v>0</v>
      </c>
    </row>
    <row r="2334" spans="3:10" x14ac:dyDescent="0.25">
      <c r="C2334" s="300" t="s">
        <v>1065</v>
      </c>
      <c r="D2334" s="283" t="s">
        <v>1077</v>
      </c>
      <c r="E2334" s="283" t="s">
        <v>1075</v>
      </c>
      <c r="F2334" s="283" t="s">
        <v>1075</v>
      </c>
      <c r="G2334" s="283">
        <v>2</v>
      </c>
      <c r="H2334" s="283">
        <v>0</v>
      </c>
      <c r="I2334" s="283">
        <v>0</v>
      </c>
      <c r="J2334" s="284">
        <v>0</v>
      </c>
    </row>
    <row r="2335" spans="3:10" x14ac:dyDescent="0.25">
      <c r="C2335" s="300" t="s">
        <v>1066</v>
      </c>
      <c r="D2335" s="283" t="s">
        <v>1077</v>
      </c>
      <c r="E2335" s="283" t="s">
        <v>1084</v>
      </c>
      <c r="F2335" s="283" t="s">
        <v>1093</v>
      </c>
      <c r="G2335" s="283">
        <v>2</v>
      </c>
      <c r="H2335" s="283">
        <v>0</v>
      </c>
      <c r="I2335" s="283">
        <v>1</v>
      </c>
      <c r="J2335" s="284">
        <v>0</v>
      </c>
    </row>
    <row r="2336" spans="3:10" x14ac:dyDescent="0.25">
      <c r="C2336" s="300" t="s">
        <v>1066</v>
      </c>
      <c r="D2336" s="283" t="s">
        <v>1082</v>
      </c>
      <c r="E2336" s="283" t="s">
        <v>1075</v>
      </c>
      <c r="F2336" s="283" t="s">
        <v>1075</v>
      </c>
      <c r="G2336" s="283">
        <v>4</v>
      </c>
      <c r="H2336" s="283">
        <v>0</v>
      </c>
      <c r="I2336" s="283">
        <v>0</v>
      </c>
      <c r="J2336" s="284">
        <v>1</v>
      </c>
    </row>
    <row r="2337" spans="3:10" x14ac:dyDescent="0.25">
      <c r="C2337" s="300" t="s">
        <v>1058</v>
      </c>
      <c r="D2337" s="283" t="s">
        <v>1079</v>
      </c>
      <c r="E2337" s="283" t="s">
        <v>1075</v>
      </c>
      <c r="F2337" s="283" t="s">
        <v>1075</v>
      </c>
      <c r="G2337" s="283">
        <v>4</v>
      </c>
      <c r="H2337" s="283">
        <v>0</v>
      </c>
      <c r="I2337" s="283">
        <v>0</v>
      </c>
      <c r="J2337" s="284">
        <v>0</v>
      </c>
    </row>
    <row r="2338" spans="3:10" x14ac:dyDescent="0.25">
      <c r="C2338" s="300" t="s">
        <v>1063</v>
      </c>
      <c r="D2338" s="283" t="s">
        <v>1087</v>
      </c>
      <c r="E2338" s="283" t="s">
        <v>1076</v>
      </c>
      <c r="F2338" s="283" t="s">
        <v>524</v>
      </c>
      <c r="G2338" s="283">
        <v>1</v>
      </c>
      <c r="H2338" s="283">
        <v>0</v>
      </c>
      <c r="I2338" s="283">
        <v>1</v>
      </c>
      <c r="J2338" s="284">
        <v>0</v>
      </c>
    </row>
    <row r="2339" spans="3:10" x14ac:dyDescent="0.25">
      <c r="C2339" s="300" t="s">
        <v>1063</v>
      </c>
      <c r="D2339" s="283" t="s">
        <v>1079</v>
      </c>
      <c r="E2339" s="283" t="s">
        <v>1075</v>
      </c>
      <c r="F2339" s="283" t="s">
        <v>1075</v>
      </c>
      <c r="G2339" s="283">
        <v>2</v>
      </c>
      <c r="H2339" s="283">
        <v>0</v>
      </c>
      <c r="I2339" s="283">
        <v>1</v>
      </c>
      <c r="J2339" s="284">
        <v>1</v>
      </c>
    </row>
    <row r="2340" spans="3:10" x14ac:dyDescent="0.25">
      <c r="C2340" s="300" t="s">
        <v>1067</v>
      </c>
      <c r="D2340" s="283" t="s">
        <v>1087</v>
      </c>
      <c r="E2340" s="283" t="s">
        <v>1075</v>
      </c>
      <c r="F2340" s="283" t="s">
        <v>524</v>
      </c>
      <c r="G2340" s="283">
        <v>1</v>
      </c>
      <c r="H2340" s="283">
        <v>0</v>
      </c>
      <c r="I2340" s="283">
        <v>0</v>
      </c>
      <c r="J2340" s="284">
        <v>0</v>
      </c>
    </row>
    <row r="2341" spans="3:10" x14ac:dyDescent="0.25">
      <c r="C2341" s="300" t="s">
        <v>1061</v>
      </c>
      <c r="D2341" s="283" t="s">
        <v>1077</v>
      </c>
      <c r="E2341" s="283" t="s">
        <v>1088</v>
      </c>
      <c r="F2341" s="283" t="s">
        <v>1075</v>
      </c>
      <c r="G2341" s="283">
        <v>3</v>
      </c>
      <c r="H2341" s="283">
        <v>0</v>
      </c>
      <c r="I2341" s="283">
        <v>0</v>
      </c>
      <c r="J2341" s="284">
        <v>1</v>
      </c>
    </row>
    <row r="2342" spans="3:10" x14ac:dyDescent="0.25">
      <c r="C2342" s="300" t="s">
        <v>1063</v>
      </c>
      <c r="D2342" s="283" t="s">
        <v>1082</v>
      </c>
      <c r="E2342" s="283" t="s">
        <v>1075</v>
      </c>
      <c r="F2342" s="283" t="s">
        <v>1075</v>
      </c>
      <c r="G2342" s="283">
        <v>2</v>
      </c>
      <c r="H2342" s="283">
        <v>0</v>
      </c>
      <c r="I2342" s="283">
        <v>0</v>
      </c>
      <c r="J2342" s="284">
        <v>0</v>
      </c>
    </row>
    <row r="2343" spans="3:10" x14ac:dyDescent="0.25">
      <c r="C2343" s="300" t="s">
        <v>1064</v>
      </c>
      <c r="D2343" s="283" t="s">
        <v>1079</v>
      </c>
      <c r="E2343" s="283" t="s">
        <v>1075</v>
      </c>
      <c r="F2343" s="283" t="s">
        <v>1075</v>
      </c>
      <c r="G2343" s="283">
        <v>2</v>
      </c>
      <c r="H2343" s="283">
        <v>0</v>
      </c>
      <c r="I2343" s="283">
        <v>0</v>
      </c>
      <c r="J2343" s="284">
        <v>0</v>
      </c>
    </row>
    <row r="2344" spans="3:10" x14ac:dyDescent="0.25">
      <c r="C2344" s="300" t="s">
        <v>1064</v>
      </c>
      <c r="D2344" s="283" t="s">
        <v>1087</v>
      </c>
      <c r="E2344" s="283" t="s">
        <v>1076</v>
      </c>
      <c r="F2344" s="283" t="s">
        <v>524</v>
      </c>
      <c r="G2344" s="283">
        <v>1</v>
      </c>
      <c r="H2344" s="283">
        <v>0</v>
      </c>
      <c r="I2344" s="283">
        <v>0</v>
      </c>
      <c r="J2344" s="284">
        <v>0</v>
      </c>
    </row>
    <row r="2345" spans="3:10" x14ac:dyDescent="0.25">
      <c r="C2345" s="300" t="s">
        <v>1064</v>
      </c>
      <c r="D2345" s="283" t="s">
        <v>1043</v>
      </c>
      <c r="E2345" s="283" t="s">
        <v>1089</v>
      </c>
      <c r="F2345" s="283" t="s">
        <v>1092</v>
      </c>
      <c r="G2345" s="283">
        <v>2</v>
      </c>
      <c r="H2345" s="283">
        <v>0</v>
      </c>
      <c r="I2345" s="283">
        <v>1</v>
      </c>
      <c r="J2345" s="284">
        <v>0</v>
      </c>
    </row>
    <row r="2346" spans="3:10" x14ac:dyDescent="0.25">
      <c r="C2346" s="300" t="s">
        <v>1061</v>
      </c>
      <c r="D2346" s="283" t="s">
        <v>1077</v>
      </c>
      <c r="E2346" s="283" t="s">
        <v>1075</v>
      </c>
      <c r="F2346" s="283" t="s">
        <v>1081</v>
      </c>
      <c r="G2346" s="283">
        <v>2</v>
      </c>
      <c r="H2346" s="283">
        <v>0</v>
      </c>
      <c r="I2346" s="283">
        <v>0</v>
      </c>
      <c r="J2346" s="284">
        <v>1</v>
      </c>
    </row>
    <row r="2347" spans="3:10" x14ac:dyDescent="0.25">
      <c r="C2347" s="300" t="s">
        <v>1065</v>
      </c>
      <c r="D2347" s="283" t="s">
        <v>1087</v>
      </c>
      <c r="E2347" s="283" t="s">
        <v>1075</v>
      </c>
      <c r="F2347" s="283" t="s">
        <v>524</v>
      </c>
      <c r="G2347" s="283">
        <v>1</v>
      </c>
      <c r="H2347" s="283">
        <v>0</v>
      </c>
      <c r="I2347" s="283">
        <v>0</v>
      </c>
      <c r="J2347" s="284">
        <v>0</v>
      </c>
    </row>
    <row r="2348" spans="3:10" x14ac:dyDescent="0.25">
      <c r="C2348" s="300" t="s">
        <v>1060</v>
      </c>
      <c r="D2348" s="283" t="s">
        <v>1079</v>
      </c>
      <c r="E2348" s="283" t="s">
        <v>1075</v>
      </c>
      <c r="F2348" s="283" t="s">
        <v>1083</v>
      </c>
      <c r="G2348" s="283">
        <v>2</v>
      </c>
      <c r="H2348" s="283">
        <v>0</v>
      </c>
      <c r="I2348" s="283">
        <v>0</v>
      </c>
      <c r="J2348" s="284">
        <v>1</v>
      </c>
    </row>
    <row r="2349" spans="3:10" x14ac:dyDescent="0.25">
      <c r="C2349" s="300" t="s">
        <v>1067</v>
      </c>
      <c r="D2349" s="283" t="s">
        <v>1079</v>
      </c>
      <c r="E2349" s="283" t="s">
        <v>1086</v>
      </c>
      <c r="F2349" s="283" t="s">
        <v>1089</v>
      </c>
      <c r="G2349" s="283">
        <v>2</v>
      </c>
      <c r="H2349" s="283">
        <v>0</v>
      </c>
      <c r="I2349" s="283">
        <v>0</v>
      </c>
      <c r="J2349" s="284">
        <v>0</v>
      </c>
    </row>
    <row r="2350" spans="3:10" x14ac:dyDescent="0.25">
      <c r="C2350" s="300" t="s">
        <v>1065</v>
      </c>
      <c r="D2350" s="283" t="s">
        <v>1087</v>
      </c>
      <c r="E2350" s="283" t="s">
        <v>1083</v>
      </c>
      <c r="F2350" s="283" t="s">
        <v>524</v>
      </c>
      <c r="G2350" s="283">
        <v>1</v>
      </c>
      <c r="H2350" s="283">
        <v>0</v>
      </c>
      <c r="I2350" s="283">
        <v>1</v>
      </c>
      <c r="J2350" s="284">
        <v>0</v>
      </c>
    </row>
    <row r="2351" spans="3:10" x14ac:dyDescent="0.25">
      <c r="C2351" s="300" t="s">
        <v>1066</v>
      </c>
      <c r="D2351" s="283" t="s">
        <v>1079</v>
      </c>
      <c r="E2351" s="283" t="s">
        <v>1075</v>
      </c>
      <c r="F2351" s="283" t="s">
        <v>1075</v>
      </c>
      <c r="G2351" s="283">
        <v>3</v>
      </c>
      <c r="H2351" s="283">
        <v>0</v>
      </c>
      <c r="I2351" s="283">
        <v>0</v>
      </c>
      <c r="J2351" s="284">
        <v>0</v>
      </c>
    </row>
    <row r="2352" spans="3:10" x14ac:dyDescent="0.25">
      <c r="C2352" s="300" t="s">
        <v>1062</v>
      </c>
      <c r="D2352" s="283" t="s">
        <v>1079</v>
      </c>
      <c r="E2352" s="283" t="s">
        <v>1075</v>
      </c>
      <c r="F2352" s="283" t="s">
        <v>1075</v>
      </c>
      <c r="G2352" s="283">
        <v>2</v>
      </c>
      <c r="H2352" s="283">
        <v>0</v>
      </c>
      <c r="I2352" s="283">
        <v>0</v>
      </c>
      <c r="J2352" s="284">
        <v>0</v>
      </c>
    </row>
    <row r="2353" spans="3:10" x14ac:dyDescent="0.25">
      <c r="C2353" s="300" t="s">
        <v>1067</v>
      </c>
      <c r="D2353" s="283" t="s">
        <v>1074</v>
      </c>
      <c r="E2353" s="283" t="s">
        <v>1075</v>
      </c>
      <c r="F2353" s="283" t="s">
        <v>1075</v>
      </c>
      <c r="G2353" s="283">
        <v>2</v>
      </c>
      <c r="H2353" s="283">
        <v>0</v>
      </c>
      <c r="I2353" s="283">
        <v>0</v>
      </c>
      <c r="J2353" s="284">
        <v>0</v>
      </c>
    </row>
    <row r="2354" spans="3:10" x14ac:dyDescent="0.25">
      <c r="C2354" s="300" t="s">
        <v>1064</v>
      </c>
      <c r="D2354" s="283" t="s">
        <v>1079</v>
      </c>
      <c r="E2354" s="283" t="s">
        <v>1075</v>
      </c>
      <c r="F2354" s="283" t="s">
        <v>1083</v>
      </c>
      <c r="G2354" s="283">
        <v>2</v>
      </c>
      <c r="H2354" s="283">
        <v>0</v>
      </c>
      <c r="I2354" s="283">
        <v>1</v>
      </c>
      <c r="J2354" s="284">
        <v>0</v>
      </c>
    </row>
    <row r="2355" spans="3:10" x14ac:dyDescent="0.25">
      <c r="C2355" s="300" t="s">
        <v>1060</v>
      </c>
      <c r="D2355" s="283" t="s">
        <v>1043</v>
      </c>
      <c r="E2355" s="283" t="s">
        <v>1089</v>
      </c>
      <c r="F2355" s="283" t="s">
        <v>1092</v>
      </c>
      <c r="G2355" s="283">
        <v>2</v>
      </c>
      <c r="H2355" s="283">
        <v>0</v>
      </c>
      <c r="I2355" s="283">
        <v>1</v>
      </c>
      <c r="J2355" s="284">
        <v>0</v>
      </c>
    </row>
    <row r="2356" spans="3:10" x14ac:dyDescent="0.25">
      <c r="C2356" s="300" t="s">
        <v>1066</v>
      </c>
      <c r="D2356" s="283" t="s">
        <v>1079</v>
      </c>
      <c r="E2356" s="283" t="s">
        <v>1075</v>
      </c>
      <c r="F2356" s="283" t="s">
        <v>1075</v>
      </c>
      <c r="G2356" s="283">
        <v>3</v>
      </c>
      <c r="H2356" s="283">
        <v>0</v>
      </c>
      <c r="I2356" s="283">
        <v>0</v>
      </c>
      <c r="J2356" s="284">
        <v>1</v>
      </c>
    </row>
    <row r="2357" spans="3:10" x14ac:dyDescent="0.25">
      <c r="C2357" s="300" t="s">
        <v>1060</v>
      </c>
      <c r="D2357" s="283" t="s">
        <v>1087</v>
      </c>
      <c r="E2357" s="283" t="s">
        <v>1075</v>
      </c>
      <c r="F2357" s="283" t="s">
        <v>524</v>
      </c>
      <c r="G2357" s="283">
        <v>1</v>
      </c>
      <c r="H2357" s="283">
        <v>0</v>
      </c>
      <c r="I2357" s="283">
        <v>0</v>
      </c>
      <c r="J2357" s="284">
        <v>0</v>
      </c>
    </row>
    <row r="2358" spans="3:10" x14ac:dyDescent="0.25">
      <c r="C2358" s="300" t="s">
        <v>1060</v>
      </c>
      <c r="D2358" s="283" t="s">
        <v>1079</v>
      </c>
      <c r="E2358" s="283" t="s">
        <v>1086</v>
      </c>
      <c r="F2358" s="283" t="s">
        <v>1075</v>
      </c>
      <c r="G2358" s="283">
        <v>2</v>
      </c>
      <c r="H2358" s="283">
        <v>0</v>
      </c>
      <c r="I2358" s="283">
        <v>0</v>
      </c>
      <c r="J2358" s="284">
        <v>0</v>
      </c>
    </row>
    <row r="2359" spans="3:10" x14ac:dyDescent="0.25">
      <c r="C2359" s="300" t="s">
        <v>1062</v>
      </c>
      <c r="D2359" s="283" t="s">
        <v>1090</v>
      </c>
      <c r="E2359" s="283" t="s">
        <v>1083</v>
      </c>
      <c r="F2359" s="283" t="s">
        <v>524</v>
      </c>
      <c r="G2359" s="283">
        <v>1</v>
      </c>
      <c r="H2359" s="283">
        <v>0</v>
      </c>
      <c r="I2359" s="283">
        <v>0</v>
      </c>
      <c r="J2359" s="284">
        <v>0</v>
      </c>
    </row>
    <row r="2360" spans="3:10" x14ac:dyDescent="0.25">
      <c r="C2360" s="300" t="s">
        <v>1065</v>
      </c>
      <c r="D2360" s="283" t="s">
        <v>1077</v>
      </c>
      <c r="E2360" s="283" t="s">
        <v>1083</v>
      </c>
      <c r="F2360" s="283" t="s">
        <v>1076</v>
      </c>
      <c r="G2360" s="283">
        <v>2</v>
      </c>
      <c r="H2360" s="283">
        <v>0</v>
      </c>
      <c r="I2360" s="283">
        <v>1</v>
      </c>
      <c r="J2360" s="284">
        <v>1</v>
      </c>
    </row>
    <row r="2361" spans="3:10" x14ac:dyDescent="0.25">
      <c r="C2361" s="300" t="s">
        <v>1066</v>
      </c>
      <c r="D2361" s="283" t="s">
        <v>1087</v>
      </c>
      <c r="E2361" s="283" t="s">
        <v>1075</v>
      </c>
      <c r="F2361" s="283" t="s">
        <v>524</v>
      </c>
      <c r="G2361" s="283">
        <v>1</v>
      </c>
      <c r="H2361" s="283">
        <v>0</v>
      </c>
      <c r="I2361" s="283">
        <v>0</v>
      </c>
      <c r="J2361" s="284">
        <v>0</v>
      </c>
    </row>
    <row r="2362" spans="3:10" x14ac:dyDescent="0.25">
      <c r="C2362" s="300" t="s">
        <v>1067</v>
      </c>
      <c r="D2362" s="283" t="s">
        <v>1082</v>
      </c>
      <c r="E2362" s="283" t="s">
        <v>1075</v>
      </c>
      <c r="F2362" s="283" t="s">
        <v>1083</v>
      </c>
      <c r="G2362" s="283">
        <v>2</v>
      </c>
      <c r="H2362" s="283">
        <v>0</v>
      </c>
      <c r="I2362" s="283">
        <v>1</v>
      </c>
      <c r="J2362" s="284">
        <v>1</v>
      </c>
    </row>
    <row r="2363" spans="3:10" x14ac:dyDescent="0.25">
      <c r="C2363" s="300" t="s">
        <v>1062</v>
      </c>
      <c r="D2363" s="283" t="s">
        <v>1079</v>
      </c>
      <c r="E2363" s="283" t="s">
        <v>1089</v>
      </c>
      <c r="F2363" s="283" t="s">
        <v>1094</v>
      </c>
      <c r="G2363" s="283">
        <v>2</v>
      </c>
      <c r="H2363" s="283">
        <v>0</v>
      </c>
      <c r="I2363" s="283">
        <v>0</v>
      </c>
      <c r="J2363" s="284">
        <v>1</v>
      </c>
    </row>
    <row r="2364" spans="3:10" x14ac:dyDescent="0.25">
      <c r="C2364" s="300" t="s">
        <v>1065</v>
      </c>
      <c r="D2364" s="283" t="s">
        <v>1079</v>
      </c>
      <c r="E2364" s="283" t="s">
        <v>1075</v>
      </c>
      <c r="F2364" s="283" t="s">
        <v>1078</v>
      </c>
      <c r="G2364" s="283">
        <v>2</v>
      </c>
      <c r="H2364" s="283">
        <v>0</v>
      </c>
      <c r="I2364" s="283">
        <v>0</v>
      </c>
      <c r="J2364" s="284">
        <v>0</v>
      </c>
    </row>
    <row r="2365" spans="3:10" x14ac:dyDescent="0.25">
      <c r="C2365" s="300" t="s">
        <v>1063</v>
      </c>
      <c r="D2365" s="283" t="s">
        <v>1077</v>
      </c>
      <c r="E2365" s="283" t="s">
        <v>1075</v>
      </c>
      <c r="F2365" s="283" t="s">
        <v>1075</v>
      </c>
      <c r="G2365" s="283">
        <v>2</v>
      </c>
      <c r="H2365" s="283">
        <v>0</v>
      </c>
      <c r="I2365" s="283">
        <v>0</v>
      </c>
      <c r="J2365" s="284">
        <v>0</v>
      </c>
    </row>
    <row r="2366" spans="3:10" x14ac:dyDescent="0.25">
      <c r="C2366" s="300" t="s">
        <v>1062</v>
      </c>
      <c r="D2366" s="283" t="s">
        <v>1077</v>
      </c>
      <c r="E2366" s="283" t="s">
        <v>1084</v>
      </c>
      <c r="F2366" s="283" t="s">
        <v>1089</v>
      </c>
      <c r="G2366" s="283">
        <v>2</v>
      </c>
      <c r="H2366" s="283">
        <v>0</v>
      </c>
      <c r="I2366" s="283">
        <v>0</v>
      </c>
      <c r="J2366" s="284">
        <v>0</v>
      </c>
    </row>
    <row r="2367" spans="3:10" x14ac:dyDescent="0.25">
      <c r="C2367" s="300" t="s">
        <v>1062</v>
      </c>
      <c r="D2367" s="283" t="s">
        <v>1082</v>
      </c>
      <c r="E2367" s="283" t="s">
        <v>1075</v>
      </c>
      <c r="F2367" s="283" t="s">
        <v>1081</v>
      </c>
      <c r="G2367" s="283">
        <v>2</v>
      </c>
      <c r="H2367" s="283">
        <v>0</v>
      </c>
      <c r="I2367" s="283">
        <v>2</v>
      </c>
      <c r="J2367" s="284">
        <v>0</v>
      </c>
    </row>
    <row r="2368" spans="3:10" x14ac:dyDescent="0.25">
      <c r="C2368" s="300" t="s">
        <v>1068</v>
      </c>
      <c r="D2368" s="283" t="s">
        <v>1082</v>
      </c>
      <c r="E2368" s="283" t="s">
        <v>1075</v>
      </c>
      <c r="F2368" s="283" t="s">
        <v>1078</v>
      </c>
      <c r="G2368" s="283">
        <v>2</v>
      </c>
      <c r="H2368" s="283">
        <v>0</v>
      </c>
      <c r="I2368" s="283">
        <v>0</v>
      </c>
      <c r="J2368" s="284">
        <v>0</v>
      </c>
    </row>
    <row r="2369" spans="3:10" x14ac:dyDescent="0.25">
      <c r="C2369" s="300" t="s">
        <v>1059</v>
      </c>
      <c r="D2369" s="283" t="s">
        <v>1077</v>
      </c>
      <c r="E2369" s="283" t="s">
        <v>1076</v>
      </c>
      <c r="F2369" s="283" t="s">
        <v>1075</v>
      </c>
      <c r="G2369" s="283">
        <v>2</v>
      </c>
      <c r="H2369" s="283">
        <v>0</v>
      </c>
      <c r="I2369" s="283">
        <v>0</v>
      </c>
      <c r="J2369" s="284">
        <v>0</v>
      </c>
    </row>
    <row r="2370" spans="3:10" x14ac:dyDescent="0.25">
      <c r="C2370" s="300" t="s">
        <v>1064</v>
      </c>
      <c r="D2370" s="283" t="s">
        <v>1043</v>
      </c>
      <c r="E2370" s="283" t="s">
        <v>1075</v>
      </c>
      <c r="F2370" s="283" t="s">
        <v>1092</v>
      </c>
      <c r="G2370" s="283">
        <v>2</v>
      </c>
      <c r="H2370" s="283">
        <v>0</v>
      </c>
      <c r="I2370" s="283">
        <v>1</v>
      </c>
      <c r="J2370" s="284">
        <v>0</v>
      </c>
    </row>
    <row r="2371" spans="3:10" x14ac:dyDescent="0.25">
      <c r="C2371" s="300" t="s">
        <v>1066</v>
      </c>
      <c r="D2371" s="283" t="s">
        <v>1074</v>
      </c>
      <c r="E2371" s="283" t="s">
        <v>1075</v>
      </c>
      <c r="F2371" s="283" t="s">
        <v>1075</v>
      </c>
      <c r="G2371" s="283">
        <v>3</v>
      </c>
      <c r="H2371" s="283">
        <v>0</v>
      </c>
      <c r="I2371" s="283">
        <v>1</v>
      </c>
      <c r="J2371" s="284">
        <v>0</v>
      </c>
    </row>
    <row r="2372" spans="3:10" x14ac:dyDescent="0.25">
      <c r="C2372" s="300" t="s">
        <v>1065</v>
      </c>
      <c r="D2372" s="283" t="s">
        <v>1074</v>
      </c>
      <c r="E2372" s="283" t="s">
        <v>1075</v>
      </c>
      <c r="F2372" s="283" t="s">
        <v>1093</v>
      </c>
      <c r="G2372" s="283">
        <v>2</v>
      </c>
      <c r="H2372" s="283">
        <v>0</v>
      </c>
      <c r="I2372" s="283">
        <v>0</v>
      </c>
      <c r="J2372" s="284">
        <v>1</v>
      </c>
    </row>
    <row r="2373" spans="3:10" x14ac:dyDescent="0.25">
      <c r="C2373" s="300" t="s">
        <v>1059</v>
      </c>
      <c r="D2373" s="283" t="s">
        <v>1079</v>
      </c>
      <c r="E2373" s="283" t="s">
        <v>1080</v>
      </c>
      <c r="F2373" s="283" t="s">
        <v>1099</v>
      </c>
      <c r="G2373" s="283">
        <v>2</v>
      </c>
      <c r="H2373" s="283">
        <v>0</v>
      </c>
      <c r="I2373" s="283">
        <v>0</v>
      </c>
      <c r="J2373" s="284">
        <v>1</v>
      </c>
    </row>
    <row r="2374" spans="3:10" x14ac:dyDescent="0.25">
      <c r="C2374" s="300" t="s">
        <v>1064</v>
      </c>
      <c r="D2374" s="283" t="s">
        <v>1043</v>
      </c>
      <c r="E2374" s="283" t="s">
        <v>1075</v>
      </c>
      <c r="F2374" s="283" t="s">
        <v>1092</v>
      </c>
      <c r="G2374" s="283">
        <v>2</v>
      </c>
      <c r="H2374" s="283">
        <v>0</v>
      </c>
      <c r="I2374" s="283">
        <v>0</v>
      </c>
      <c r="J2374" s="284">
        <v>1</v>
      </c>
    </row>
    <row r="2375" spans="3:10" x14ac:dyDescent="0.25">
      <c r="C2375" s="300" t="s">
        <v>1068</v>
      </c>
      <c r="D2375" s="283" t="s">
        <v>1087</v>
      </c>
      <c r="E2375" s="283" t="s">
        <v>1075</v>
      </c>
      <c r="F2375" s="283" t="s">
        <v>524</v>
      </c>
      <c r="G2375" s="283">
        <v>1</v>
      </c>
      <c r="H2375" s="283">
        <v>0</v>
      </c>
      <c r="I2375" s="283">
        <v>0</v>
      </c>
      <c r="J2375" s="284">
        <v>0</v>
      </c>
    </row>
    <row r="2376" spans="3:10" x14ac:dyDescent="0.25">
      <c r="C2376" s="300" t="s">
        <v>1063</v>
      </c>
      <c r="D2376" s="283" t="s">
        <v>1079</v>
      </c>
      <c r="E2376" s="283" t="s">
        <v>1075</v>
      </c>
      <c r="F2376" s="283" t="s">
        <v>1044</v>
      </c>
      <c r="G2376" s="283">
        <v>2</v>
      </c>
      <c r="H2376" s="283">
        <v>0</v>
      </c>
      <c r="I2376" s="283">
        <v>0</v>
      </c>
      <c r="J2376" s="284">
        <v>0</v>
      </c>
    </row>
    <row r="2377" spans="3:10" x14ac:dyDescent="0.25">
      <c r="C2377" s="300" t="s">
        <v>1059</v>
      </c>
      <c r="D2377" s="283" t="s">
        <v>1082</v>
      </c>
      <c r="E2377" s="283" t="s">
        <v>1075</v>
      </c>
      <c r="F2377" s="283" t="s">
        <v>1075</v>
      </c>
      <c r="G2377" s="283">
        <v>2</v>
      </c>
      <c r="H2377" s="283">
        <v>0</v>
      </c>
      <c r="I2377" s="283">
        <v>2</v>
      </c>
      <c r="J2377" s="284">
        <v>0</v>
      </c>
    </row>
    <row r="2378" spans="3:10" x14ac:dyDescent="0.25">
      <c r="C2378" s="300" t="s">
        <v>1060</v>
      </c>
      <c r="D2378" s="283" t="s">
        <v>1043</v>
      </c>
      <c r="E2378" s="283" t="s">
        <v>1084</v>
      </c>
      <c r="F2378" s="283" t="s">
        <v>1092</v>
      </c>
      <c r="G2378" s="283">
        <v>2</v>
      </c>
      <c r="H2378" s="283">
        <v>0</v>
      </c>
      <c r="I2378" s="283">
        <v>1</v>
      </c>
      <c r="J2378" s="284">
        <v>0</v>
      </c>
    </row>
    <row r="2379" spans="3:10" x14ac:dyDescent="0.25">
      <c r="C2379" s="300" t="s">
        <v>1063</v>
      </c>
      <c r="D2379" s="283" t="s">
        <v>1043</v>
      </c>
      <c r="E2379" s="283" t="s">
        <v>1107</v>
      </c>
      <c r="F2379" s="283" t="s">
        <v>1092</v>
      </c>
      <c r="G2379" s="283">
        <v>2</v>
      </c>
      <c r="H2379" s="283">
        <v>0</v>
      </c>
      <c r="I2379" s="283">
        <v>0</v>
      </c>
      <c r="J2379" s="284">
        <v>0</v>
      </c>
    </row>
    <row r="2380" spans="3:10" x14ac:dyDescent="0.25">
      <c r="C2380" s="300" t="s">
        <v>1063</v>
      </c>
      <c r="D2380" s="283" t="s">
        <v>1074</v>
      </c>
      <c r="E2380" s="283" t="s">
        <v>1075</v>
      </c>
      <c r="F2380" s="283" t="s">
        <v>1084</v>
      </c>
      <c r="G2380" s="283">
        <v>2</v>
      </c>
      <c r="H2380" s="283">
        <v>0</v>
      </c>
      <c r="I2380" s="283">
        <v>0</v>
      </c>
      <c r="J2380" s="284">
        <v>2</v>
      </c>
    </row>
    <row r="2381" spans="3:10" x14ac:dyDescent="0.25">
      <c r="C2381" s="300" t="s">
        <v>1063</v>
      </c>
      <c r="D2381" s="283" t="s">
        <v>1043</v>
      </c>
      <c r="E2381" s="283" t="s">
        <v>1076</v>
      </c>
      <c r="F2381" s="283" t="s">
        <v>1092</v>
      </c>
      <c r="G2381" s="283">
        <v>2</v>
      </c>
      <c r="H2381" s="283">
        <v>0</v>
      </c>
      <c r="I2381" s="283">
        <v>0</v>
      </c>
      <c r="J2381" s="284">
        <v>0</v>
      </c>
    </row>
    <row r="2382" spans="3:10" x14ac:dyDescent="0.25">
      <c r="C2382" s="300" t="s">
        <v>1066</v>
      </c>
      <c r="D2382" s="283" t="s">
        <v>1074</v>
      </c>
      <c r="E2382" s="283" t="s">
        <v>1076</v>
      </c>
      <c r="F2382" s="283" t="s">
        <v>1044</v>
      </c>
      <c r="G2382" s="283">
        <v>2</v>
      </c>
      <c r="H2382" s="283">
        <v>0</v>
      </c>
      <c r="I2382" s="283">
        <v>0</v>
      </c>
      <c r="J2382" s="284">
        <v>0</v>
      </c>
    </row>
    <row r="2383" spans="3:10" x14ac:dyDescent="0.25">
      <c r="C2383" s="300" t="s">
        <v>1067</v>
      </c>
      <c r="D2383" s="283" t="s">
        <v>1096</v>
      </c>
      <c r="E2383" s="283" t="s">
        <v>1075</v>
      </c>
      <c r="F2383" s="283" t="s">
        <v>524</v>
      </c>
      <c r="G2383" s="283">
        <v>1</v>
      </c>
      <c r="H2383" s="283">
        <v>0</v>
      </c>
      <c r="I2383" s="283">
        <v>0</v>
      </c>
      <c r="J2383" s="284">
        <v>0</v>
      </c>
    </row>
    <row r="2384" spans="3:10" x14ac:dyDescent="0.25">
      <c r="C2384" s="300" t="s">
        <v>1063</v>
      </c>
      <c r="D2384" s="283" t="s">
        <v>1079</v>
      </c>
      <c r="E2384" s="283" t="s">
        <v>1075</v>
      </c>
      <c r="F2384" s="283" t="s">
        <v>1089</v>
      </c>
      <c r="G2384" s="283">
        <v>3</v>
      </c>
      <c r="H2384" s="283">
        <v>0</v>
      </c>
      <c r="I2384" s="283">
        <v>1</v>
      </c>
      <c r="J2384" s="284">
        <v>0</v>
      </c>
    </row>
    <row r="2385" spans="3:10" x14ac:dyDescent="0.25">
      <c r="C2385" s="300" t="s">
        <v>1061</v>
      </c>
      <c r="D2385" s="283" t="s">
        <v>1077</v>
      </c>
      <c r="E2385" s="283" t="s">
        <v>1089</v>
      </c>
      <c r="F2385" s="283" t="s">
        <v>1075</v>
      </c>
      <c r="G2385" s="283">
        <v>2</v>
      </c>
      <c r="H2385" s="283">
        <v>0</v>
      </c>
      <c r="I2385" s="283">
        <v>0</v>
      </c>
      <c r="J2385" s="284">
        <v>0</v>
      </c>
    </row>
    <row r="2386" spans="3:10" x14ac:dyDescent="0.25">
      <c r="C2386" s="300" t="s">
        <v>1063</v>
      </c>
      <c r="D2386" s="283" t="s">
        <v>1077</v>
      </c>
      <c r="E2386" s="283" t="s">
        <v>1084</v>
      </c>
      <c r="F2386" s="283" t="s">
        <v>1076</v>
      </c>
      <c r="G2386" s="283">
        <v>2</v>
      </c>
      <c r="H2386" s="283">
        <v>0</v>
      </c>
      <c r="I2386" s="283">
        <v>0</v>
      </c>
      <c r="J2386" s="284">
        <v>0</v>
      </c>
    </row>
    <row r="2387" spans="3:10" x14ac:dyDescent="0.25">
      <c r="C2387" s="300" t="s">
        <v>1063</v>
      </c>
      <c r="D2387" s="283" t="s">
        <v>1077</v>
      </c>
      <c r="E2387" s="283" t="s">
        <v>1083</v>
      </c>
      <c r="F2387" s="283" t="s">
        <v>1086</v>
      </c>
      <c r="G2387" s="283">
        <v>2</v>
      </c>
      <c r="H2387" s="283">
        <v>0</v>
      </c>
      <c r="I2387" s="283">
        <v>0</v>
      </c>
      <c r="J2387" s="284">
        <v>1</v>
      </c>
    </row>
    <row r="2388" spans="3:10" x14ac:dyDescent="0.25">
      <c r="C2388" s="300" t="s">
        <v>1067</v>
      </c>
      <c r="D2388" s="283" t="s">
        <v>1079</v>
      </c>
      <c r="E2388" s="283" t="s">
        <v>1076</v>
      </c>
      <c r="F2388" s="283" t="s">
        <v>1075</v>
      </c>
      <c r="G2388" s="283">
        <v>2</v>
      </c>
      <c r="H2388" s="283">
        <v>0</v>
      </c>
      <c r="I2388" s="283">
        <v>0</v>
      </c>
      <c r="J2388" s="284">
        <v>0</v>
      </c>
    </row>
    <row r="2389" spans="3:10" x14ac:dyDescent="0.25">
      <c r="C2389" s="300" t="s">
        <v>1065</v>
      </c>
      <c r="D2389" s="283" t="s">
        <v>1077</v>
      </c>
      <c r="E2389" s="283" t="s">
        <v>1076</v>
      </c>
      <c r="F2389" s="283" t="s">
        <v>1075</v>
      </c>
      <c r="G2389" s="283">
        <v>2</v>
      </c>
      <c r="H2389" s="283">
        <v>0</v>
      </c>
      <c r="I2389" s="283">
        <v>0</v>
      </c>
      <c r="J2389" s="284">
        <v>0</v>
      </c>
    </row>
    <row r="2390" spans="3:10" x14ac:dyDescent="0.25">
      <c r="C2390" s="300" t="s">
        <v>1064</v>
      </c>
      <c r="D2390" s="283" t="s">
        <v>1090</v>
      </c>
      <c r="E2390" s="283" t="s">
        <v>1083</v>
      </c>
      <c r="F2390" s="283" t="s">
        <v>524</v>
      </c>
      <c r="G2390" s="283">
        <v>1</v>
      </c>
      <c r="H2390" s="283">
        <v>0</v>
      </c>
      <c r="I2390" s="283">
        <v>0</v>
      </c>
      <c r="J2390" s="284">
        <v>0</v>
      </c>
    </row>
    <row r="2391" spans="3:10" x14ac:dyDescent="0.25">
      <c r="C2391" s="300" t="s">
        <v>1066</v>
      </c>
      <c r="D2391" s="283" t="s">
        <v>1079</v>
      </c>
      <c r="E2391" s="283" t="s">
        <v>1044</v>
      </c>
      <c r="F2391" s="283" t="s">
        <v>1094</v>
      </c>
      <c r="G2391" s="283">
        <v>2</v>
      </c>
      <c r="H2391" s="283">
        <v>0</v>
      </c>
      <c r="I2391" s="283">
        <v>0</v>
      </c>
      <c r="J2391" s="284">
        <v>1</v>
      </c>
    </row>
    <row r="2392" spans="3:10" x14ac:dyDescent="0.25">
      <c r="C2392" s="300" t="s">
        <v>1061</v>
      </c>
      <c r="D2392" s="283" t="s">
        <v>1043</v>
      </c>
      <c r="E2392" s="283" t="s">
        <v>1078</v>
      </c>
      <c r="F2392" s="283" t="s">
        <v>1092</v>
      </c>
      <c r="G2392" s="283">
        <v>2</v>
      </c>
      <c r="H2392" s="283">
        <v>0</v>
      </c>
      <c r="I2392" s="283">
        <v>0</v>
      </c>
      <c r="J2392" s="284">
        <v>1</v>
      </c>
    </row>
    <row r="2393" spans="3:10" x14ac:dyDescent="0.25">
      <c r="C2393" s="300" t="s">
        <v>1067</v>
      </c>
      <c r="D2393" s="283" t="s">
        <v>1079</v>
      </c>
      <c r="E2393" s="283" t="s">
        <v>1075</v>
      </c>
      <c r="F2393" s="283" t="s">
        <v>1075</v>
      </c>
      <c r="G2393" s="283">
        <v>2</v>
      </c>
      <c r="H2393" s="283">
        <v>0</v>
      </c>
      <c r="I2393" s="283">
        <v>0</v>
      </c>
      <c r="J2393" s="284">
        <v>0</v>
      </c>
    </row>
    <row r="2394" spans="3:10" x14ac:dyDescent="0.25">
      <c r="C2394" s="300" t="s">
        <v>1065</v>
      </c>
      <c r="D2394" s="283" t="s">
        <v>1079</v>
      </c>
      <c r="E2394" s="283" t="s">
        <v>1078</v>
      </c>
      <c r="F2394" s="283" t="s">
        <v>1044</v>
      </c>
      <c r="G2394" s="283">
        <v>2</v>
      </c>
      <c r="H2394" s="283">
        <v>0</v>
      </c>
      <c r="I2394" s="283">
        <v>0</v>
      </c>
      <c r="J2394" s="284">
        <v>1</v>
      </c>
    </row>
    <row r="2395" spans="3:10" x14ac:dyDescent="0.25">
      <c r="C2395" s="300" t="s">
        <v>1060</v>
      </c>
      <c r="D2395" s="283" t="s">
        <v>1077</v>
      </c>
      <c r="E2395" s="283" t="s">
        <v>1086</v>
      </c>
      <c r="F2395" s="283" t="s">
        <v>1075</v>
      </c>
      <c r="G2395" s="283">
        <v>2</v>
      </c>
      <c r="H2395" s="283">
        <v>0</v>
      </c>
      <c r="I2395" s="283">
        <v>0</v>
      </c>
      <c r="J2395" s="284">
        <v>0</v>
      </c>
    </row>
    <row r="2396" spans="3:10" x14ac:dyDescent="0.25">
      <c r="C2396" s="300" t="s">
        <v>1067</v>
      </c>
      <c r="D2396" s="283" t="s">
        <v>1074</v>
      </c>
      <c r="E2396" s="283" t="s">
        <v>1075</v>
      </c>
      <c r="F2396" s="283" t="s">
        <v>1076</v>
      </c>
      <c r="G2396" s="283">
        <v>2</v>
      </c>
      <c r="H2396" s="283">
        <v>0</v>
      </c>
      <c r="I2396" s="283">
        <v>1</v>
      </c>
      <c r="J2396" s="284">
        <v>0</v>
      </c>
    </row>
    <row r="2397" spans="3:10" x14ac:dyDescent="0.25">
      <c r="C2397" s="300" t="s">
        <v>1067</v>
      </c>
      <c r="D2397" s="283" t="s">
        <v>1043</v>
      </c>
      <c r="E2397" s="283" t="s">
        <v>1086</v>
      </c>
      <c r="F2397" s="283" t="s">
        <v>1092</v>
      </c>
      <c r="G2397" s="283">
        <v>2</v>
      </c>
      <c r="H2397" s="283">
        <v>0</v>
      </c>
      <c r="I2397" s="283">
        <v>1</v>
      </c>
      <c r="J2397" s="284">
        <v>0</v>
      </c>
    </row>
    <row r="2398" spans="3:10" x14ac:dyDescent="0.25">
      <c r="C2398" s="300" t="s">
        <v>1064</v>
      </c>
      <c r="D2398" s="283" t="s">
        <v>1077</v>
      </c>
      <c r="E2398" s="283" t="s">
        <v>1075</v>
      </c>
      <c r="F2398" s="283" t="s">
        <v>1078</v>
      </c>
      <c r="G2398" s="283">
        <v>2</v>
      </c>
      <c r="H2398" s="283">
        <v>0</v>
      </c>
      <c r="I2398" s="283">
        <v>0</v>
      </c>
      <c r="J2398" s="284">
        <v>0</v>
      </c>
    </row>
    <row r="2399" spans="3:10" x14ac:dyDescent="0.25">
      <c r="C2399" s="300" t="s">
        <v>1066</v>
      </c>
      <c r="D2399" s="283" t="s">
        <v>1079</v>
      </c>
      <c r="E2399" s="283" t="s">
        <v>1075</v>
      </c>
      <c r="F2399" s="283" t="s">
        <v>1083</v>
      </c>
      <c r="G2399" s="283">
        <v>2</v>
      </c>
      <c r="H2399" s="283">
        <v>0</v>
      </c>
      <c r="I2399" s="283">
        <v>0</v>
      </c>
      <c r="J2399" s="284">
        <v>1</v>
      </c>
    </row>
    <row r="2400" spans="3:10" x14ac:dyDescent="0.25">
      <c r="C2400" s="300" t="s">
        <v>1064</v>
      </c>
      <c r="D2400" s="283" t="s">
        <v>1077</v>
      </c>
      <c r="E2400" s="283" t="s">
        <v>1081</v>
      </c>
      <c r="F2400" s="283" t="s">
        <v>1075</v>
      </c>
      <c r="G2400" s="283">
        <v>2</v>
      </c>
      <c r="H2400" s="283">
        <v>0</v>
      </c>
      <c r="I2400" s="283">
        <v>0</v>
      </c>
      <c r="J2400" s="284">
        <v>0</v>
      </c>
    </row>
    <row r="2401" spans="3:10" x14ac:dyDescent="0.25">
      <c r="C2401" s="300" t="s">
        <v>1067</v>
      </c>
      <c r="D2401" s="283" t="s">
        <v>1079</v>
      </c>
      <c r="E2401" s="283" t="s">
        <v>1075</v>
      </c>
      <c r="F2401" s="283" t="s">
        <v>1084</v>
      </c>
      <c r="G2401" s="283">
        <v>2</v>
      </c>
      <c r="H2401" s="283">
        <v>0</v>
      </c>
      <c r="I2401" s="283">
        <v>0</v>
      </c>
      <c r="J2401" s="284">
        <v>0</v>
      </c>
    </row>
    <row r="2402" spans="3:10" x14ac:dyDescent="0.25">
      <c r="C2402" s="300" t="s">
        <v>1067</v>
      </c>
      <c r="D2402" s="283" t="s">
        <v>1079</v>
      </c>
      <c r="E2402" s="283" t="s">
        <v>1075</v>
      </c>
      <c r="F2402" s="283" t="s">
        <v>1083</v>
      </c>
      <c r="G2402" s="283">
        <v>2</v>
      </c>
      <c r="H2402" s="283">
        <v>0</v>
      </c>
      <c r="I2402" s="283">
        <v>0</v>
      </c>
      <c r="J2402" s="284">
        <v>1</v>
      </c>
    </row>
    <row r="2403" spans="3:10" x14ac:dyDescent="0.25">
      <c r="C2403" s="300" t="s">
        <v>1067</v>
      </c>
      <c r="D2403" s="283" t="s">
        <v>1087</v>
      </c>
      <c r="E2403" s="283" t="s">
        <v>1094</v>
      </c>
      <c r="F2403" s="283" t="s">
        <v>524</v>
      </c>
      <c r="G2403" s="283">
        <v>1</v>
      </c>
      <c r="H2403" s="283">
        <v>0</v>
      </c>
      <c r="I2403" s="283">
        <v>0</v>
      </c>
      <c r="J2403" s="284">
        <v>0</v>
      </c>
    </row>
    <row r="2404" spans="3:10" x14ac:dyDescent="0.25">
      <c r="C2404" s="300" t="s">
        <v>1063</v>
      </c>
      <c r="D2404" s="283" t="s">
        <v>1074</v>
      </c>
      <c r="E2404" s="283" t="s">
        <v>1075</v>
      </c>
      <c r="F2404" s="283" t="s">
        <v>1075</v>
      </c>
      <c r="G2404" s="283">
        <v>2</v>
      </c>
      <c r="H2404" s="283">
        <v>0</v>
      </c>
      <c r="I2404" s="283">
        <v>0</v>
      </c>
      <c r="J2404" s="284">
        <v>1</v>
      </c>
    </row>
    <row r="2405" spans="3:10" x14ac:dyDescent="0.25">
      <c r="C2405" s="300" t="s">
        <v>1065</v>
      </c>
      <c r="D2405" s="283" t="s">
        <v>1079</v>
      </c>
      <c r="E2405" s="283" t="s">
        <v>1075</v>
      </c>
      <c r="F2405" s="283" t="s">
        <v>1089</v>
      </c>
      <c r="G2405" s="283">
        <v>2</v>
      </c>
      <c r="H2405" s="283">
        <v>0</v>
      </c>
      <c r="I2405" s="283">
        <v>0</v>
      </c>
      <c r="J2405" s="284">
        <v>0</v>
      </c>
    </row>
    <row r="2406" spans="3:10" x14ac:dyDescent="0.25">
      <c r="C2406" s="300" t="s">
        <v>1064</v>
      </c>
      <c r="D2406" s="283" t="s">
        <v>1079</v>
      </c>
      <c r="E2406" s="283" t="s">
        <v>1089</v>
      </c>
      <c r="F2406" s="283" t="s">
        <v>1088</v>
      </c>
      <c r="G2406" s="283">
        <v>2</v>
      </c>
      <c r="H2406" s="283">
        <v>0</v>
      </c>
      <c r="I2406" s="283">
        <v>0</v>
      </c>
      <c r="J2406" s="284">
        <v>0</v>
      </c>
    </row>
    <row r="2407" spans="3:10" x14ac:dyDescent="0.25">
      <c r="C2407" s="300" t="s">
        <v>1065</v>
      </c>
      <c r="D2407" s="283" t="s">
        <v>1077</v>
      </c>
      <c r="E2407" s="283" t="s">
        <v>1075</v>
      </c>
      <c r="F2407" s="283" t="s">
        <v>1075</v>
      </c>
      <c r="G2407" s="283">
        <v>3</v>
      </c>
      <c r="H2407" s="283">
        <v>0</v>
      </c>
      <c r="I2407" s="283">
        <v>0</v>
      </c>
      <c r="J2407" s="284">
        <v>0</v>
      </c>
    </row>
    <row r="2408" spans="3:10" x14ac:dyDescent="0.25">
      <c r="C2408" s="300" t="s">
        <v>1061</v>
      </c>
      <c r="D2408" s="283" t="s">
        <v>1079</v>
      </c>
      <c r="E2408" s="283" t="s">
        <v>1083</v>
      </c>
      <c r="F2408" s="283" t="s">
        <v>1075</v>
      </c>
      <c r="G2408" s="283">
        <v>2</v>
      </c>
      <c r="H2408" s="283">
        <v>0</v>
      </c>
      <c r="I2408" s="283">
        <v>0</v>
      </c>
      <c r="J2408" s="284">
        <v>0</v>
      </c>
    </row>
    <row r="2409" spans="3:10" x14ac:dyDescent="0.25">
      <c r="C2409" s="300" t="s">
        <v>1064</v>
      </c>
      <c r="D2409" s="283" t="s">
        <v>1043</v>
      </c>
      <c r="E2409" s="283" t="s">
        <v>1075</v>
      </c>
      <c r="F2409" s="283" t="s">
        <v>1092</v>
      </c>
      <c r="G2409" s="283">
        <v>2</v>
      </c>
      <c r="H2409" s="283">
        <v>0</v>
      </c>
      <c r="I2409" s="283">
        <v>0</v>
      </c>
      <c r="J2409" s="284">
        <v>1</v>
      </c>
    </row>
    <row r="2410" spans="3:10" x14ac:dyDescent="0.25">
      <c r="C2410" s="300" t="s">
        <v>1065</v>
      </c>
      <c r="D2410" s="283" t="s">
        <v>1079</v>
      </c>
      <c r="E2410" s="283" t="s">
        <v>1076</v>
      </c>
      <c r="F2410" s="283" t="s">
        <v>1083</v>
      </c>
      <c r="G2410" s="283">
        <v>2</v>
      </c>
      <c r="H2410" s="283">
        <v>0</v>
      </c>
      <c r="I2410" s="283">
        <v>0</v>
      </c>
      <c r="J2410" s="284">
        <v>1</v>
      </c>
    </row>
    <row r="2411" spans="3:10" x14ac:dyDescent="0.25">
      <c r="C2411" s="300" t="s">
        <v>1063</v>
      </c>
      <c r="D2411" s="283" t="s">
        <v>1087</v>
      </c>
      <c r="E2411" s="283" t="s">
        <v>1075</v>
      </c>
      <c r="F2411" s="283" t="s">
        <v>524</v>
      </c>
      <c r="G2411" s="283">
        <v>1</v>
      </c>
      <c r="H2411" s="283">
        <v>0</v>
      </c>
      <c r="I2411" s="283">
        <v>0</v>
      </c>
      <c r="J2411" s="284">
        <v>1</v>
      </c>
    </row>
    <row r="2412" spans="3:10" x14ac:dyDescent="0.25">
      <c r="C2412" s="300" t="s">
        <v>1064</v>
      </c>
      <c r="D2412" s="283" t="s">
        <v>1079</v>
      </c>
      <c r="E2412" s="283" t="s">
        <v>1075</v>
      </c>
      <c r="F2412" s="283" t="s">
        <v>1078</v>
      </c>
      <c r="G2412" s="283">
        <v>2</v>
      </c>
      <c r="H2412" s="283">
        <v>0</v>
      </c>
      <c r="I2412" s="283">
        <v>0</v>
      </c>
      <c r="J2412" s="284">
        <v>0</v>
      </c>
    </row>
    <row r="2413" spans="3:10" x14ac:dyDescent="0.25">
      <c r="C2413" s="300" t="s">
        <v>1064</v>
      </c>
      <c r="D2413" s="283" t="s">
        <v>1079</v>
      </c>
      <c r="E2413" s="283" t="s">
        <v>1075</v>
      </c>
      <c r="F2413" s="283" t="s">
        <v>1089</v>
      </c>
      <c r="G2413" s="283">
        <v>2</v>
      </c>
      <c r="H2413" s="283">
        <v>0</v>
      </c>
      <c r="I2413" s="283">
        <v>0</v>
      </c>
      <c r="J2413" s="284">
        <v>0</v>
      </c>
    </row>
    <row r="2414" spans="3:10" x14ac:dyDescent="0.25">
      <c r="C2414" s="300" t="s">
        <v>1061</v>
      </c>
      <c r="D2414" s="283" t="s">
        <v>1079</v>
      </c>
      <c r="E2414" s="283" t="s">
        <v>1089</v>
      </c>
      <c r="F2414" s="283" t="s">
        <v>1083</v>
      </c>
      <c r="G2414" s="283">
        <v>2</v>
      </c>
      <c r="H2414" s="283">
        <v>0</v>
      </c>
      <c r="I2414" s="283">
        <v>0</v>
      </c>
      <c r="J2414" s="284">
        <v>1</v>
      </c>
    </row>
    <row r="2415" spans="3:10" x14ac:dyDescent="0.25">
      <c r="C2415" s="300" t="s">
        <v>1062</v>
      </c>
      <c r="D2415" s="283" t="s">
        <v>1077</v>
      </c>
      <c r="E2415" s="283" t="s">
        <v>1076</v>
      </c>
      <c r="F2415" s="283" t="s">
        <v>1075</v>
      </c>
      <c r="G2415" s="283">
        <v>2</v>
      </c>
      <c r="H2415" s="283">
        <v>0</v>
      </c>
      <c r="I2415" s="283">
        <v>0</v>
      </c>
      <c r="J2415" s="284">
        <v>0</v>
      </c>
    </row>
    <row r="2416" spans="3:10" x14ac:dyDescent="0.25">
      <c r="C2416" s="300" t="s">
        <v>1063</v>
      </c>
      <c r="D2416" s="283" t="s">
        <v>1074</v>
      </c>
      <c r="E2416" s="283" t="s">
        <v>1075</v>
      </c>
      <c r="F2416" s="283" t="s">
        <v>1075</v>
      </c>
      <c r="G2416" s="283">
        <v>2</v>
      </c>
      <c r="H2416" s="283">
        <v>0</v>
      </c>
      <c r="I2416" s="283">
        <v>0</v>
      </c>
      <c r="J2416" s="284">
        <v>0</v>
      </c>
    </row>
    <row r="2417" spans="3:10" x14ac:dyDescent="0.25">
      <c r="C2417" s="300" t="s">
        <v>1060</v>
      </c>
      <c r="D2417" s="283" t="s">
        <v>1077</v>
      </c>
      <c r="E2417" s="283" t="s">
        <v>1075</v>
      </c>
      <c r="F2417" s="283" t="s">
        <v>1075</v>
      </c>
      <c r="G2417" s="283">
        <v>2</v>
      </c>
      <c r="H2417" s="283">
        <v>0</v>
      </c>
      <c r="I2417" s="283">
        <v>0</v>
      </c>
      <c r="J2417" s="284">
        <v>0</v>
      </c>
    </row>
    <row r="2418" spans="3:10" x14ac:dyDescent="0.25">
      <c r="C2418" s="300" t="s">
        <v>1064</v>
      </c>
      <c r="D2418" s="283" t="s">
        <v>1077</v>
      </c>
      <c r="E2418" s="283" t="s">
        <v>1075</v>
      </c>
      <c r="F2418" s="283" t="s">
        <v>1078</v>
      </c>
      <c r="G2418" s="283">
        <v>2</v>
      </c>
      <c r="H2418" s="283">
        <v>0</v>
      </c>
      <c r="I2418" s="283">
        <v>0</v>
      </c>
      <c r="J2418" s="284">
        <v>0</v>
      </c>
    </row>
    <row r="2419" spans="3:10" x14ac:dyDescent="0.25">
      <c r="C2419" s="300" t="s">
        <v>1065</v>
      </c>
      <c r="D2419" s="283" t="s">
        <v>1077</v>
      </c>
      <c r="E2419" s="283" t="s">
        <v>1084</v>
      </c>
      <c r="F2419" s="283" t="s">
        <v>1075</v>
      </c>
      <c r="G2419" s="283">
        <v>2</v>
      </c>
      <c r="H2419" s="283">
        <v>0</v>
      </c>
      <c r="I2419" s="283">
        <v>0</v>
      </c>
      <c r="J2419" s="284">
        <v>0</v>
      </c>
    </row>
    <row r="2420" spans="3:10" x14ac:dyDescent="0.25">
      <c r="C2420" s="300" t="s">
        <v>1064</v>
      </c>
      <c r="D2420" s="283" t="s">
        <v>1074</v>
      </c>
      <c r="E2420" s="283" t="s">
        <v>1075</v>
      </c>
      <c r="F2420" s="283" t="s">
        <v>1075</v>
      </c>
      <c r="G2420" s="283">
        <v>2</v>
      </c>
      <c r="H2420" s="283">
        <v>0</v>
      </c>
      <c r="I2420" s="283">
        <v>0</v>
      </c>
      <c r="J2420" s="284">
        <v>0</v>
      </c>
    </row>
    <row r="2421" spans="3:10" x14ac:dyDescent="0.25">
      <c r="C2421" s="300" t="s">
        <v>1062</v>
      </c>
      <c r="D2421" s="283" t="s">
        <v>1077</v>
      </c>
      <c r="E2421" s="283" t="s">
        <v>1076</v>
      </c>
      <c r="F2421" s="283" t="s">
        <v>1089</v>
      </c>
      <c r="G2421" s="283">
        <v>2</v>
      </c>
      <c r="H2421" s="283">
        <v>0</v>
      </c>
      <c r="I2421" s="283">
        <v>0</v>
      </c>
      <c r="J2421" s="284">
        <v>0</v>
      </c>
    </row>
    <row r="2422" spans="3:10" x14ac:dyDescent="0.25">
      <c r="C2422" s="300" t="s">
        <v>1059</v>
      </c>
      <c r="D2422" s="283" t="s">
        <v>1077</v>
      </c>
      <c r="E2422" s="283" t="s">
        <v>1076</v>
      </c>
      <c r="F2422" s="283" t="s">
        <v>1075</v>
      </c>
      <c r="G2422" s="283">
        <v>2</v>
      </c>
      <c r="H2422" s="283">
        <v>0</v>
      </c>
      <c r="I2422" s="283">
        <v>0</v>
      </c>
      <c r="J2422" s="284">
        <v>0</v>
      </c>
    </row>
    <row r="2423" spans="3:10" x14ac:dyDescent="0.25">
      <c r="C2423" s="300" t="s">
        <v>1060</v>
      </c>
      <c r="D2423" s="283" t="s">
        <v>1077</v>
      </c>
      <c r="E2423" s="283" t="s">
        <v>1075</v>
      </c>
      <c r="F2423" s="283" t="s">
        <v>1075</v>
      </c>
      <c r="G2423" s="283">
        <v>2</v>
      </c>
      <c r="H2423" s="283">
        <v>0</v>
      </c>
      <c r="I2423" s="283">
        <v>0</v>
      </c>
      <c r="J2423" s="284">
        <v>0</v>
      </c>
    </row>
    <row r="2424" spans="3:10" x14ac:dyDescent="0.25">
      <c r="C2424" s="300" t="s">
        <v>1061</v>
      </c>
      <c r="D2424" s="283" t="s">
        <v>1077</v>
      </c>
      <c r="E2424" s="283" t="s">
        <v>1075</v>
      </c>
      <c r="F2424" s="283" t="s">
        <v>1075</v>
      </c>
      <c r="G2424" s="283">
        <v>2</v>
      </c>
      <c r="H2424" s="283">
        <v>0</v>
      </c>
      <c r="I2424" s="283">
        <v>0</v>
      </c>
      <c r="J2424" s="284">
        <v>0</v>
      </c>
    </row>
    <row r="2425" spans="3:10" x14ac:dyDescent="0.25">
      <c r="C2425" s="300" t="s">
        <v>1060</v>
      </c>
      <c r="D2425" s="283" t="s">
        <v>1043</v>
      </c>
      <c r="E2425" s="283" t="s">
        <v>1078</v>
      </c>
      <c r="F2425" s="283" t="s">
        <v>1092</v>
      </c>
      <c r="G2425" s="283">
        <v>2</v>
      </c>
      <c r="H2425" s="283">
        <v>0</v>
      </c>
      <c r="I2425" s="283">
        <v>0</v>
      </c>
      <c r="J2425" s="284">
        <v>1</v>
      </c>
    </row>
    <row r="2426" spans="3:10" x14ac:dyDescent="0.25">
      <c r="C2426" s="300" t="s">
        <v>1065</v>
      </c>
      <c r="D2426" s="283" t="s">
        <v>1077</v>
      </c>
      <c r="E2426" s="283" t="s">
        <v>1075</v>
      </c>
      <c r="F2426" s="283" t="s">
        <v>1084</v>
      </c>
      <c r="G2426" s="283">
        <v>2</v>
      </c>
      <c r="H2426" s="283">
        <v>0</v>
      </c>
      <c r="I2426" s="283">
        <v>0</v>
      </c>
      <c r="J2426" s="284">
        <v>0</v>
      </c>
    </row>
    <row r="2427" spans="3:10" x14ac:dyDescent="0.25">
      <c r="C2427" s="300" t="s">
        <v>1057</v>
      </c>
      <c r="D2427" s="283" t="s">
        <v>1087</v>
      </c>
      <c r="E2427" s="283" t="s">
        <v>1075</v>
      </c>
      <c r="F2427" s="283" t="s">
        <v>524</v>
      </c>
      <c r="G2427" s="283">
        <v>1</v>
      </c>
      <c r="H2427" s="283">
        <v>0</v>
      </c>
      <c r="I2427" s="283">
        <v>0</v>
      </c>
      <c r="J2427" s="284">
        <v>0</v>
      </c>
    </row>
    <row r="2428" spans="3:10" x14ac:dyDescent="0.25">
      <c r="C2428" s="300" t="s">
        <v>1061</v>
      </c>
      <c r="D2428" s="283" t="s">
        <v>1074</v>
      </c>
      <c r="E2428" s="283" t="s">
        <v>1075</v>
      </c>
      <c r="F2428" s="283" t="s">
        <v>1089</v>
      </c>
      <c r="G2428" s="283">
        <v>2</v>
      </c>
      <c r="H2428" s="283">
        <v>0</v>
      </c>
      <c r="I2428" s="283">
        <v>0</v>
      </c>
      <c r="J2428" s="284">
        <v>0</v>
      </c>
    </row>
    <row r="2429" spans="3:10" x14ac:dyDescent="0.25">
      <c r="C2429" s="300" t="s">
        <v>1062</v>
      </c>
      <c r="D2429" s="283" t="s">
        <v>1074</v>
      </c>
      <c r="E2429" s="283" t="s">
        <v>1084</v>
      </c>
      <c r="F2429" s="283" t="s">
        <v>1089</v>
      </c>
      <c r="G2429" s="283">
        <v>2</v>
      </c>
      <c r="H2429" s="283">
        <v>0</v>
      </c>
      <c r="I2429" s="283">
        <v>1</v>
      </c>
      <c r="J2429" s="284">
        <v>1</v>
      </c>
    </row>
    <row r="2430" spans="3:10" x14ac:dyDescent="0.25">
      <c r="C2430" s="300" t="s">
        <v>1064</v>
      </c>
      <c r="D2430" s="283" t="s">
        <v>1043</v>
      </c>
      <c r="E2430" s="283" t="s">
        <v>1075</v>
      </c>
      <c r="F2430" s="283" t="s">
        <v>1092</v>
      </c>
      <c r="G2430" s="283">
        <v>2</v>
      </c>
      <c r="H2430" s="283">
        <v>0</v>
      </c>
      <c r="I2430" s="283">
        <v>1</v>
      </c>
      <c r="J2430" s="284">
        <v>0</v>
      </c>
    </row>
    <row r="2431" spans="3:10" x14ac:dyDescent="0.25">
      <c r="C2431" s="300" t="s">
        <v>1063</v>
      </c>
      <c r="D2431" s="283" t="s">
        <v>1079</v>
      </c>
      <c r="E2431" s="283" t="s">
        <v>1044</v>
      </c>
      <c r="F2431" s="283" t="s">
        <v>1089</v>
      </c>
      <c r="G2431" s="283">
        <v>2</v>
      </c>
      <c r="H2431" s="283">
        <v>0</v>
      </c>
      <c r="I2431" s="283">
        <v>1</v>
      </c>
      <c r="J2431" s="284">
        <v>0</v>
      </c>
    </row>
    <row r="2432" spans="3:10" x14ac:dyDescent="0.25">
      <c r="C2432" s="300" t="s">
        <v>1068</v>
      </c>
      <c r="D2432" s="283" t="s">
        <v>1079</v>
      </c>
      <c r="E2432" s="283" t="s">
        <v>1075</v>
      </c>
      <c r="F2432" s="283" t="s">
        <v>1075</v>
      </c>
      <c r="G2432" s="283">
        <v>2</v>
      </c>
      <c r="H2432" s="283">
        <v>0</v>
      </c>
      <c r="I2432" s="283">
        <v>0</v>
      </c>
      <c r="J2432" s="284">
        <v>0</v>
      </c>
    </row>
    <row r="2433" spans="3:10" x14ac:dyDescent="0.25">
      <c r="C2433" s="300" t="s">
        <v>1065</v>
      </c>
      <c r="D2433" s="283" t="s">
        <v>1079</v>
      </c>
      <c r="E2433" s="283" t="s">
        <v>1075</v>
      </c>
      <c r="F2433" s="283" t="s">
        <v>1089</v>
      </c>
      <c r="G2433" s="283">
        <v>2</v>
      </c>
      <c r="H2433" s="283">
        <v>0</v>
      </c>
      <c r="I2433" s="283">
        <v>1</v>
      </c>
      <c r="J2433" s="284">
        <v>0</v>
      </c>
    </row>
    <row r="2434" spans="3:10" x14ac:dyDescent="0.25">
      <c r="C2434" s="300" t="s">
        <v>1064</v>
      </c>
      <c r="D2434" s="283" t="s">
        <v>1079</v>
      </c>
      <c r="E2434" s="283" t="s">
        <v>1075</v>
      </c>
      <c r="F2434" s="283" t="s">
        <v>1076</v>
      </c>
      <c r="G2434" s="283">
        <v>2</v>
      </c>
      <c r="H2434" s="283">
        <v>0</v>
      </c>
      <c r="I2434" s="283">
        <v>0</v>
      </c>
      <c r="J2434" s="284">
        <v>0</v>
      </c>
    </row>
    <row r="2435" spans="3:10" x14ac:dyDescent="0.25">
      <c r="C2435" s="300" t="s">
        <v>1064</v>
      </c>
      <c r="D2435" s="283" t="s">
        <v>1079</v>
      </c>
      <c r="E2435" s="283" t="s">
        <v>1075</v>
      </c>
      <c r="F2435" s="283" t="s">
        <v>1075</v>
      </c>
      <c r="G2435" s="283">
        <v>2</v>
      </c>
      <c r="H2435" s="283">
        <v>0</v>
      </c>
      <c r="I2435" s="283">
        <v>0</v>
      </c>
      <c r="J2435" s="284">
        <v>0</v>
      </c>
    </row>
    <row r="2436" spans="3:10" x14ac:dyDescent="0.25">
      <c r="C2436" s="300" t="s">
        <v>1062</v>
      </c>
      <c r="D2436" s="283" t="s">
        <v>1077</v>
      </c>
      <c r="E2436" s="283" t="s">
        <v>1076</v>
      </c>
      <c r="F2436" s="283" t="s">
        <v>1084</v>
      </c>
      <c r="G2436" s="283">
        <v>2</v>
      </c>
      <c r="H2436" s="283">
        <v>0</v>
      </c>
      <c r="I2436" s="283">
        <v>0</v>
      </c>
      <c r="J2436" s="284">
        <v>0</v>
      </c>
    </row>
    <row r="2437" spans="3:10" x14ac:dyDescent="0.25">
      <c r="C2437" s="300" t="s">
        <v>1059</v>
      </c>
      <c r="D2437" s="283" t="s">
        <v>1077</v>
      </c>
      <c r="E2437" s="283" t="s">
        <v>1075</v>
      </c>
      <c r="F2437" s="283" t="s">
        <v>1075</v>
      </c>
      <c r="G2437" s="283">
        <v>2</v>
      </c>
      <c r="H2437" s="283">
        <v>0</v>
      </c>
      <c r="I2437" s="283">
        <v>0</v>
      </c>
      <c r="J2437" s="284">
        <v>0</v>
      </c>
    </row>
    <row r="2438" spans="3:10" x14ac:dyDescent="0.25">
      <c r="C2438" s="300" t="s">
        <v>1064</v>
      </c>
      <c r="D2438" s="283" t="s">
        <v>1077</v>
      </c>
      <c r="E2438" s="283" t="s">
        <v>1076</v>
      </c>
      <c r="F2438" s="283" t="s">
        <v>1075</v>
      </c>
      <c r="G2438" s="283">
        <v>2</v>
      </c>
      <c r="H2438" s="283">
        <v>0</v>
      </c>
      <c r="I2438" s="283">
        <v>0</v>
      </c>
      <c r="J2438" s="284">
        <v>0</v>
      </c>
    </row>
    <row r="2439" spans="3:10" x14ac:dyDescent="0.25">
      <c r="C2439" s="300" t="s">
        <v>1066</v>
      </c>
      <c r="D2439" s="283" t="s">
        <v>1077</v>
      </c>
      <c r="E2439" s="283" t="s">
        <v>1075</v>
      </c>
      <c r="F2439" s="283" t="s">
        <v>1076</v>
      </c>
      <c r="G2439" s="283">
        <v>2</v>
      </c>
      <c r="H2439" s="283">
        <v>0</v>
      </c>
      <c r="I2439" s="283">
        <v>0</v>
      </c>
      <c r="J2439" s="284">
        <v>0</v>
      </c>
    </row>
    <row r="2440" spans="3:10" x14ac:dyDescent="0.25">
      <c r="C2440" s="300" t="s">
        <v>1064</v>
      </c>
      <c r="D2440" s="283" t="s">
        <v>1077</v>
      </c>
      <c r="E2440" s="283" t="s">
        <v>1089</v>
      </c>
      <c r="F2440" s="283" t="s">
        <v>1075</v>
      </c>
      <c r="G2440" s="283">
        <v>3</v>
      </c>
      <c r="H2440" s="283">
        <v>0</v>
      </c>
      <c r="I2440" s="283">
        <v>0</v>
      </c>
      <c r="J2440" s="284">
        <v>0</v>
      </c>
    </row>
    <row r="2441" spans="3:10" x14ac:dyDescent="0.25">
      <c r="C2441" s="300" t="s">
        <v>1065</v>
      </c>
      <c r="D2441" s="283" t="s">
        <v>1043</v>
      </c>
      <c r="E2441" s="283" t="s">
        <v>1089</v>
      </c>
      <c r="F2441" s="283" t="s">
        <v>1092</v>
      </c>
      <c r="G2441" s="283">
        <v>2</v>
      </c>
      <c r="H2441" s="283">
        <v>0</v>
      </c>
      <c r="I2441" s="283">
        <v>0</v>
      </c>
      <c r="J2441" s="284">
        <v>0</v>
      </c>
    </row>
    <row r="2442" spans="3:10" x14ac:dyDescent="0.25">
      <c r="C2442" s="300" t="s">
        <v>1064</v>
      </c>
      <c r="D2442" s="283" t="s">
        <v>1043</v>
      </c>
      <c r="E2442" s="283" t="s">
        <v>1075</v>
      </c>
      <c r="F2442" s="283" t="s">
        <v>1092</v>
      </c>
      <c r="G2442" s="283">
        <v>2</v>
      </c>
      <c r="H2442" s="283">
        <v>0</v>
      </c>
      <c r="I2442" s="283">
        <v>0</v>
      </c>
      <c r="J2442" s="284">
        <v>1</v>
      </c>
    </row>
    <row r="2443" spans="3:10" x14ac:dyDescent="0.25">
      <c r="C2443" s="300" t="s">
        <v>1061</v>
      </c>
      <c r="D2443" s="283" t="s">
        <v>1090</v>
      </c>
      <c r="E2443" s="283" t="s">
        <v>1076</v>
      </c>
      <c r="F2443" s="283" t="s">
        <v>524</v>
      </c>
      <c r="G2443" s="283">
        <v>1</v>
      </c>
      <c r="H2443" s="283">
        <v>0</v>
      </c>
      <c r="I2443" s="283">
        <v>0</v>
      </c>
      <c r="J2443" s="284">
        <v>1</v>
      </c>
    </row>
    <row r="2444" spans="3:10" x14ac:dyDescent="0.25">
      <c r="C2444" s="300" t="s">
        <v>1063</v>
      </c>
      <c r="D2444" s="283" t="s">
        <v>1043</v>
      </c>
      <c r="E2444" s="283" t="s">
        <v>1075</v>
      </c>
      <c r="F2444" s="283" t="s">
        <v>1092</v>
      </c>
      <c r="G2444" s="283">
        <v>2</v>
      </c>
      <c r="H2444" s="283">
        <v>0</v>
      </c>
      <c r="I2444" s="283">
        <v>1</v>
      </c>
      <c r="J2444" s="284">
        <v>0</v>
      </c>
    </row>
    <row r="2445" spans="3:10" x14ac:dyDescent="0.25">
      <c r="C2445" s="300" t="s">
        <v>1066</v>
      </c>
      <c r="D2445" s="283" t="s">
        <v>1079</v>
      </c>
      <c r="E2445" s="283" t="s">
        <v>1075</v>
      </c>
      <c r="F2445" s="283" t="s">
        <v>1086</v>
      </c>
      <c r="G2445" s="283">
        <v>2</v>
      </c>
      <c r="H2445" s="283">
        <v>0</v>
      </c>
      <c r="I2445" s="283">
        <v>0</v>
      </c>
      <c r="J2445" s="284">
        <v>0</v>
      </c>
    </row>
    <row r="2446" spans="3:10" x14ac:dyDescent="0.25">
      <c r="C2446" s="300" t="s">
        <v>1063</v>
      </c>
      <c r="D2446" s="283" t="s">
        <v>1077</v>
      </c>
      <c r="E2446" s="283" t="s">
        <v>1084</v>
      </c>
      <c r="F2446" s="283" t="s">
        <v>1075</v>
      </c>
      <c r="G2446" s="283">
        <v>2</v>
      </c>
      <c r="H2446" s="283">
        <v>0</v>
      </c>
      <c r="I2446" s="283">
        <v>1</v>
      </c>
      <c r="J2446" s="284">
        <v>0</v>
      </c>
    </row>
    <row r="2447" spans="3:10" x14ac:dyDescent="0.25">
      <c r="C2447" s="300" t="s">
        <v>1063</v>
      </c>
      <c r="D2447" s="283" t="s">
        <v>1082</v>
      </c>
      <c r="E2447" s="283" t="s">
        <v>1075</v>
      </c>
      <c r="F2447" s="283" t="s">
        <v>1075</v>
      </c>
      <c r="G2447" s="283">
        <v>2</v>
      </c>
      <c r="H2447" s="283">
        <v>0</v>
      </c>
      <c r="I2447" s="283">
        <v>0</v>
      </c>
      <c r="J2447" s="284">
        <v>1</v>
      </c>
    </row>
    <row r="2448" spans="3:10" x14ac:dyDescent="0.25">
      <c r="C2448" s="300" t="s">
        <v>1063</v>
      </c>
      <c r="D2448" s="283" t="s">
        <v>1077</v>
      </c>
      <c r="E2448" s="283" t="s">
        <v>1075</v>
      </c>
      <c r="F2448" s="283" t="s">
        <v>1075</v>
      </c>
      <c r="G2448" s="283">
        <v>3</v>
      </c>
      <c r="H2448" s="283">
        <v>0</v>
      </c>
      <c r="I2448" s="283">
        <v>0</v>
      </c>
      <c r="J2448" s="284">
        <v>0</v>
      </c>
    </row>
    <row r="2449" spans="3:10" x14ac:dyDescent="0.25">
      <c r="C2449" s="300" t="s">
        <v>1066</v>
      </c>
      <c r="D2449" s="283" t="s">
        <v>1077</v>
      </c>
      <c r="E2449" s="283" t="s">
        <v>1075</v>
      </c>
      <c r="F2449" s="283" t="s">
        <v>1078</v>
      </c>
      <c r="G2449" s="283">
        <v>2</v>
      </c>
      <c r="H2449" s="283">
        <v>0</v>
      </c>
      <c r="I2449" s="283">
        <v>0</v>
      </c>
      <c r="J2449" s="284">
        <v>0</v>
      </c>
    </row>
    <row r="2450" spans="3:10" x14ac:dyDescent="0.25">
      <c r="C2450" s="300" t="s">
        <v>1064</v>
      </c>
      <c r="D2450" s="283" t="s">
        <v>1077</v>
      </c>
      <c r="E2450" s="283" t="s">
        <v>1088</v>
      </c>
      <c r="F2450" s="283" t="s">
        <v>1088</v>
      </c>
      <c r="G2450" s="283">
        <v>2</v>
      </c>
      <c r="H2450" s="283">
        <v>0</v>
      </c>
      <c r="I2450" s="283">
        <v>0</v>
      </c>
      <c r="J2450" s="284">
        <v>0</v>
      </c>
    </row>
    <row r="2451" spans="3:10" x14ac:dyDescent="0.25">
      <c r="C2451" s="300" t="s">
        <v>1063</v>
      </c>
      <c r="D2451" s="283" t="s">
        <v>1077</v>
      </c>
      <c r="E2451" s="283" t="s">
        <v>1094</v>
      </c>
      <c r="F2451" s="283" t="s">
        <v>1089</v>
      </c>
      <c r="G2451" s="283">
        <v>2</v>
      </c>
      <c r="H2451" s="283">
        <v>0</v>
      </c>
      <c r="I2451" s="283">
        <v>0</v>
      </c>
      <c r="J2451" s="284">
        <v>1</v>
      </c>
    </row>
    <row r="2452" spans="3:10" x14ac:dyDescent="0.25">
      <c r="C2452" s="300" t="s">
        <v>1057</v>
      </c>
      <c r="D2452" s="283" t="s">
        <v>1090</v>
      </c>
      <c r="E2452" s="283" t="s">
        <v>1075</v>
      </c>
      <c r="F2452" s="283" t="s">
        <v>524</v>
      </c>
      <c r="G2452" s="283">
        <v>2</v>
      </c>
      <c r="H2452" s="283">
        <v>0</v>
      </c>
      <c r="I2452" s="283">
        <v>0</v>
      </c>
      <c r="J2452" s="284">
        <v>0</v>
      </c>
    </row>
    <row r="2453" spans="3:10" x14ac:dyDescent="0.25">
      <c r="C2453" s="300" t="s">
        <v>1066</v>
      </c>
      <c r="D2453" s="283" t="s">
        <v>1074</v>
      </c>
      <c r="E2453" s="283" t="s">
        <v>1078</v>
      </c>
      <c r="F2453" s="283" t="s">
        <v>1089</v>
      </c>
      <c r="G2453" s="283">
        <v>2</v>
      </c>
      <c r="H2453" s="283">
        <v>0</v>
      </c>
      <c r="I2453" s="283">
        <v>0</v>
      </c>
      <c r="J2453" s="284">
        <v>1</v>
      </c>
    </row>
    <row r="2454" spans="3:10" x14ac:dyDescent="0.25">
      <c r="C2454" s="300" t="s">
        <v>1057</v>
      </c>
      <c r="D2454" s="283" t="s">
        <v>1079</v>
      </c>
      <c r="E2454" s="283" t="s">
        <v>1075</v>
      </c>
      <c r="F2454" s="283" t="s">
        <v>1076</v>
      </c>
      <c r="G2454" s="283">
        <v>2</v>
      </c>
      <c r="H2454" s="283">
        <v>0</v>
      </c>
      <c r="I2454" s="283">
        <v>0</v>
      </c>
      <c r="J2454" s="284">
        <v>0</v>
      </c>
    </row>
    <row r="2455" spans="3:10" x14ac:dyDescent="0.25">
      <c r="C2455" s="300" t="s">
        <v>1062</v>
      </c>
      <c r="D2455" s="283" t="s">
        <v>1074</v>
      </c>
      <c r="E2455" s="283" t="s">
        <v>1075</v>
      </c>
      <c r="F2455" s="283" t="s">
        <v>1044</v>
      </c>
      <c r="G2455" s="283">
        <v>2</v>
      </c>
      <c r="H2455" s="283">
        <v>0</v>
      </c>
      <c r="I2455" s="283">
        <v>0</v>
      </c>
      <c r="J2455" s="284">
        <v>1</v>
      </c>
    </row>
    <row r="2456" spans="3:10" x14ac:dyDescent="0.25">
      <c r="C2456" s="300" t="s">
        <v>1060</v>
      </c>
      <c r="D2456" s="283" t="s">
        <v>1074</v>
      </c>
      <c r="E2456" s="283" t="s">
        <v>1089</v>
      </c>
      <c r="F2456" s="283" t="s">
        <v>1075</v>
      </c>
      <c r="G2456" s="283">
        <v>2</v>
      </c>
      <c r="H2456" s="283">
        <v>0</v>
      </c>
      <c r="I2456" s="283">
        <v>0</v>
      </c>
      <c r="J2456" s="284">
        <v>0</v>
      </c>
    </row>
    <row r="2457" spans="3:10" x14ac:dyDescent="0.25">
      <c r="C2457" s="300" t="s">
        <v>1063</v>
      </c>
      <c r="D2457" s="283" t="s">
        <v>1043</v>
      </c>
      <c r="E2457" s="283" t="s">
        <v>1084</v>
      </c>
      <c r="F2457" s="283" t="s">
        <v>1092</v>
      </c>
      <c r="G2457" s="283">
        <v>2</v>
      </c>
      <c r="H2457" s="283">
        <v>0</v>
      </c>
      <c r="I2457" s="283">
        <v>1</v>
      </c>
      <c r="J2457" s="284">
        <v>0</v>
      </c>
    </row>
    <row r="2458" spans="3:10" x14ac:dyDescent="0.25">
      <c r="C2458" s="300" t="s">
        <v>1068</v>
      </c>
      <c r="D2458" s="283" t="s">
        <v>1087</v>
      </c>
      <c r="E2458" s="283" t="s">
        <v>1076</v>
      </c>
      <c r="F2458" s="283" t="s">
        <v>524</v>
      </c>
      <c r="G2458" s="283">
        <v>1</v>
      </c>
      <c r="H2458" s="283">
        <v>0</v>
      </c>
      <c r="I2458" s="283">
        <v>0</v>
      </c>
      <c r="J2458" s="284">
        <v>0</v>
      </c>
    </row>
    <row r="2459" spans="3:10" x14ac:dyDescent="0.25">
      <c r="C2459" s="300" t="s">
        <v>1063</v>
      </c>
      <c r="D2459" s="283" t="s">
        <v>1077</v>
      </c>
      <c r="E2459" s="283" t="s">
        <v>1080</v>
      </c>
      <c r="F2459" s="283" t="s">
        <v>1075</v>
      </c>
      <c r="G2459" s="283">
        <v>2</v>
      </c>
      <c r="H2459" s="283">
        <v>0</v>
      </c>
      <c r="I2459" s="283">
        <v>0</v>
      </c>
      <c r="J2459" s="284">
        <v>1</v>
      </c>
    </row>
    <row r="2460" spans="3:10" x14ac:dyDescent="0.25">
      <c r="C2460" s="300" t="s">
        <v>1060</v>
      </c>
      <c r="D2460" s="283" t="s">
        <v>1079</v>
      </c>
      <c r="E2460" s="283" t="s">
        <v>1075</v>
      </c>
      <c r="F2460" s="283" t="s">
        <v>1075</v>
      </c>
      <c r="G2460" s="283">
        <v>2</v>
      </c>
      <c r="H2460" s="283">
        <v>0</v>
      </c>
      <c r="I2460" s="283">
        <v>0</v>
      </c>
      <c r="J2460" s="284">
        <v>1</v>
      </c>
    </row>
    <row r="2461" spans="3:10" x14ac:dyDescent="0.25">
      <c r="C2461" s="300" t="s">
        <v>1066</v>
      </c>
      <c r="D2461" s="283" t="s">
        <v>1079</v>
      </c>
      <c r="E2461" s="283" t="s">
        <v>1075</v>
      </c>
      <c r="F2461" s="283" t="s">
        <v>1076</v>
      </c>
      <c r="G2461" s="283">
        <v>2</v>
      </c>
      <c r="H2461" s="283">
        <v>0</v>
      </c>
      <c r="I2461" s="283">
        <v>0</v>
      </c>
      <c r="J2461" s="284">
        <v>0</v>
      </c>
    </row>
    <row r="2462" spans="3:10" x14ac:dyDescent="0.25">
      <c r="C2462" s="300" t="s">
        <v>1067</v>
      </c>
      <c r="D2462" s="283" t="s">
        <v>1079</v>
      </c>
      <c r="E2462" s="283" t="s">
        <v>1089</v>
      </c>
      <c r="F2462" s="283" t="s">
        <v>1089</v>
      </c>
      <c r="G2462" s="283">
        <v>2</v>
      </c>
      <c r="H2462" s="283">
        <v>0</v>
      </c>
      <c r="I2462" s="283">
        <v>0</v>
      </c>
      <c r="J2462" s="284">
        <v>0</v>
      </c>
    </row>
    <row r="2463" spans="3:10" x14ac:dyDescent="0.25">
      <c r="C2463" s="300" t="s">
        <v>1066</v>
      </c>
      <c r="D2463" s="283" t="s">
        <v>1077</v>
      </c>
      <c r="E2463" s="283" t="s">
        <v>1089</v>
      </c>
      <c r="F2463" s="283" t="s">
        <v>1089</v>
      </c>
      <c r="G2463" s="283">
        <v>2</v>
      </c>
      <c r="H2463" s="283">
        <v>0</v>
      </c>
      <c r="I2463" s="283">
        <v>0</v>
      </c>
      <c r="J2463" s="284">
        <v>0</v>
      </c>
    </row>
    <row r="2464" spans="3:10" x14ac:dyDescent="0.25">
      <c r="C2464" s="300" t="s">
        <v>1061</v>
      </c>
      <c r="D2464" s="283" t="s">
        <v>1077</v>
      </c>
      <c r="E2464" s="283" t="s">
        <v>1075</v>
      </c>
      <c r="F2464" s="283" t="s">
        <v>1089</v>
      </c>
      <c r="G2464" s="283">
        <v>2</v>
      </c>
      <c r="H2464" s="283">
        <v>0</v>
      </c>
      <c r="I2464" s="283">
        <v>0</v>
      </c>
      <c r="J2464" s="284">
        <v>1</v>
      </c>
    </row>
    <row r="2465" spans="3:10" x14ac:dyDescent="0.25">
      <c r="C2465" s="300" t="s">
        <v>1061</v>
      </c>
      <c r="D2465" s="283" t="s">
        <v>1074</v>
      </c>
      <c r="E2465" s="283" t="s">
        <v>1075</v>
      </c>
      <c r="F2465" s="283" t="s">
        <v>1075</v>
      </c>
      <c r="G2465" s="283">
        <v>2</v>
      </c>
      <c r="H2465" s="283">
        <v>0</v>
      </c>
      <c r="I2465" s="283">
        <v>0</v>
      </c>
      <c r="J2465" s="284">
        <v>1</v>
      </c>
    </row>
    <row r="2466" spans="3:10" x14ac:dyDescent="0.25">
      <c r="C2466" s="300" t="s">
        <v>1067</v>
      </c>
      <c r="D2466" s="283" t="s">
        <v>1077</v>
      </c>
      <c r="E2466" s="283" t="s">
        <v>1078</v>
      </c>
      <c r="F2466" s="283" t="s">
        <v>1075</v>
      </c>
      <c r="G2466" s="283">
        <v>3</v>
      </c>
      <c r="H2466" s="283">
        <v>0</v>
      </c>
      <c r="I2466" s="283">
        <v>0</v>
      </c>
      <c r="J2466" s="284">
        <v>1</v>
      </c>
    </row>
    <row r="2467" spans="3:10" x14ac:dyDescent="0.25">
      <c r="C2467" s="300" t="s">
        <v>1060</v>
      </c>
      <c r="D2467" s="283" t="s">
        <v>1079</v>
      </c>
      <c r="E2467" s="283" t="s">
        <v>1075</v>
      </c>
      <c r="F2467" s="283" t="s">
        <v>1081</v>
      </c>
      <c r="G2467" s="283">
        <v>2</v>
      </c>
      <c r="H2467" s="283">
        <v>0</v>
      </c>
      <c r="I2467" s="283">
        <v>0</v>
      </c>
      <c r="J2467" s="284">
        <v>1</v>
      </c>
    </row>
    <row r="2468" spans="3:10" x14ac:dyDescent="0.25">
      <c r="C2468" s="300" t="s">
        <v>1059</v>
      </c>
      <c r="D2468" s="283" t="s">
        <v>1087</v>
      </c>
      <c r="E2468" s="283" t="s">
        <v>1075</v>
      </c>
      <c r="F2468" s="283" t="s">
        <v>524</v>
      </c>
      <c r="G2468" s="283">
        <v>1</v>
      </c>
      <c r="H2468" s="283">
        <v>0</v>
      </c>
      <c r="I2468" s="283">
        <v>1</v>
      </c>
      <c r="J2468" s="284">
        <v>0</v>
      </c>
    </row>
    <row r="2469" spans="3:10" x14ac:dyDescent="0.25">
      <c r="C2469" s="300" t="s">
        <v>1059</v>
      </c>
      <c r="D2469" s="283" t="s">
        <v>1077</v>
      </c>
      <c r="E2469" s="283" t="s">
        <v>1075</v>
      </c>
      <c r="F2469" s="283" t="s">
        <v>1044</v>
      </c>
      <c r="G2469" s="283">
        <v>2</v>
      </c>
      <c r="H2469" s="283">
        <v>0</v>
      </c>
      <c r="I2469" s="283">
        <v>0</v>
      </c>
      <c r="J2469" s="284">
        <v>1</v>
      </c>
    </row>
    <row r="2470" spans="3:10" x14ac:dyDescent="0.25">
      <c r="C2470" s="300" t="s">
        <v>1064</v>
      </c>
      <c r="D2470" s="283" t="s">
        <v>1079</v>
      </c>
      <c r="E2470" s="283" t="s">
        <v>1078</v>
      </c>
      <c r="F2470" s="283" t="s">
        <v>1075</v>
      </c>
      <c r="G2470" s="283">
        <v>2</v>
      </c>
      <c r="H2470" s="283">
        <v>0</v>
      </c>
      <c r="I2470" s="283">
        <v>0</v>
      </c>
      <c r="J2470" s="284">
        <v>1</v>
      </c>
    </row>
    <row r="2471" spans="3:10" x14ac:dyDescent="0.25">
      <c r="C2471" s="300" t="s">
        <v>1067</v>
      </c>
      <c r="D2471" s="283" t="s">
        <v>1087</v>
      </c>
      <c r="E2471" s="283" t="s">
        <v>1083</v>
      </c>
      <c r="F2471" s="283" t="s">
        <v>524</v>
      </c>
      <c r="G2471" s="283">
        <v>1</v>
      </c>
      <c r="H2471" s="283">
        <v>0</v>
      </c>
      <c r="I2471" s="283">
        <v>1</v>
      </c>
      <c r="J2471" s="284">
        <v>0</v>
      </c>
    </row>
    <row r="2472" spans="3:10" x14ac:dyDescent="0.25">
      <c r="C2472" s="300" t="s">
        <v>1063</v>
      </c>
      <c r="D2472" s="283" t="s">
        <v>1077</v>
      </c>
      <c r="E2472" s="283" t="s">
        <v>1075</v>
      </c>
      <c r="F2472" s="283" t="s">
        <v>1100</v>
      </c>
      <c r="G2472" s="283">
        <v>2</v>
      </c>
      <c r="H2472" s="283">
        <v>0</v>
      </c>
      <c r="I2472" s="283">
        <v>0</v>
      </c>
      <c r="J2472" s="284">
        <v>1</v>
      </c>
    </row>
    <row r="2473" spans="3:10" x14ac:dyDescent="0.25">
      <c r="C2473" s="300" t="s">
        <v>1060</v>
      </c>
      <c r="D2473" s="283" t="s">
        <v>1074</v>
      </c>
      <c r="E2473" s="283" t="s">
        <v>1078</v>
      </c>
      <c r="F2473" s="283" t="s">
        <v>1075</v>
      </c>
      <c r="G2473" s="283">
        <v>2</v>
      </c>
      <c r="H2473" s="283">
        <v>0</v>
      </c>
      <c r="I2473" s="283">
        <v>0</v>
      </c>
      <c r="J2473" s="284">
        <v>0</v>
      </c>
    </row>
    <row r="2474" spans="3:10" x14ac:dyDescent="0.25">
      <c r="C2474" s="300" t="s">
        <v>1065</v>
      </c>
      <c r="D2474" s="283" t="s">
        <v>1077</v>
      </c>
      <c r="E2474" s="283" t="s">
        <v>1075</v>
      </c>
      <c r="F2474" s="283" t="s">
        <v>1089</v>
      </c>
      <c r="G2474" s="283">
        <v>2</v>
      </c>
      <c r="H2474" s="283">
        <v>0</v>
      </c>
      <c r="I2474" s="283">
        <v>0</v>
      </c>
      <c r="J2474" s="284">
        <v>0</v>
      </c>
    </row>
    <row r="2475" spans="3:10" x14ac:dyDescent="0.25">
      <c r="C2475" s="300" t="s">
        <v>1064</v>
      </c>
      <c r="D2475" s="283" t="s">
        <v>1077</v>
      </c>
      <c r="E2475" s="283" t="s">
        <v>1076</v>
      </c>
      <c r="F2475" s="283" t="s">
        <v>1086</v>
      </c>
      <c r="G2475" s="283">
        <v>3</v>
      </c>
      <c r="H2475" s="283">
        <v>0</v>
      </c>
      <c r="I2475" s="283">
        <v>0</v>
      </c>
      <c r="J2475" s="284">
        <v>0</v>
      </c>
    </row>
    <row r="2476" spans="3:10" x14ac:dyDescent="0.25">
      <c r="C2476" s="300" t="s">
        <v>1065</v>
      </c>
      <c r="D2476" s="283" t="s">
        <v>1077</v>
      </c>
      <c r="E2476" s="283" t="s">
        <v>1075</v>
      </c>
      <c r="F2476" s="283" t="s">
        <v>1075</v>
      </c>
      <c r="G2476" s="283">
        <v>3</v>
      </c>
      <c r="H2476" s="283">
        <v>0</v>
      </c>
      <c r="I2476" s="283">
        <v>0</v>
      </c>
      <c r="J2476" s="284">
        <v>0</v>
      </c>
    </row>
    <row r="2477" spans="3:10" x14ac:dyDescent="0.25">
      <c r="C2477" s="300" t="s">
        <v>1061</v>
      </c>
      <c r="D2477" s="283" t="s">
        <v>1074</v>
      </c>
      <c r="E2477" s="283" t="s">
        <v>1075</v>
      </c>
      <c r="F2477" s="283" t="s">
        <v>1076</v>
      </c>
      <c r="G2477" s="283">
        <v>2</v>
      </c>
      <c r="H2477" s="283">
        <v>0</v>
      </c>
      <c r="I2477" s="283">
        <v>0</v>
      </c>
      <c r="J2477" s="284">
        <v>0</v>
      </c>
    </row>
    <row r="2478" spans="3:10" x14ac:dyDescent="0.25">
      <c r="C2478" s="300" t="s">
        <v>1066</v>
      </c>
      <c r="D2478" s="283" t="s">
        <v>1074</v>
      </c>
      <c r="E2478" s="283" t="s">
        <v>1075</v>
      </c>
      <c r="F2478" s="283" t="s">
        <v>1078</v>
      </c>
      <c r="G2478" s="283">
        <v>3</v>
      </c>
      <c r="H2478" s="283">
        <v>0</v>
      </c>
      <c r="I2478" s="283">
        <v>0</v>
      </c>
      <c r="J2478" s="284">
        <v>1</v>
      </c>
    </row>
    <row r="2479" spans="3:10" x14ac:dyDescent="0.25">
      <c r="C2479" s="300" t="s">
        <v>1065</v>
      </c>
      <c r="D2479" s="283" t="s">
        <v>1077</v>
      </c>
      <c r="E2479" s="283" t="s">
        <v>1075</v>
      </c>
      <c r="F2479" s="283" t="s">
        <v>1089</v>
      </c>
      <c r="G2479" s="283">
        <v>2</v>
      </c>
      <c r="H2479" s="283">
        <v>0</v>
      </c>
      <c r="I2479" s="283">
        <v>0</v>
      </c>
      <c r="J2479" s="284">
        <v>0</v>
      </c>
    </row>
    <row r="2480" spans="3:10" x14ac:dyDescent="0.25">
      <c r="C2480" s="300" t="s">
        <v>1065</v>
      </c>
      <c r="D2480" s="283" t="s">
        <v>1077</v>
      </c>
      <c r="E2480" s="283" t="s">
        <v>1075</v>
      </c>
      <c r="F2480" s="283" t="s">
        <v>1076</v>
      </c>
      <c r="G2480" s="283">
        <v>2</v>
      </c>
      <c r="H2480" s="283">
        <v>0</v>
      </c>
      <c r="I2480" s="283">
        <v>0</v>
      </c>
      <c r="J2480" s="284">
        <v>0</v>
      </c>
    </row>
    <row r="2481" spans="3:10" x14ac:dyDescent="0.25">
      <c r="C2481" s="300" t="s">
        <v>1065</v>
      </c>
      <c r="D2481" s="283" t="s">
        <v>1079</v>
      </c>
      <c r="E2481" s="283" t="s">
        <v>1075</v>
      </c>
      <c r="F2481" s="283" t="s">
        <v>1075</v>
      </c>
      <c r="G2481" s="283">
        <v>2</v>
      </c>
      <c r="H2481" s="283">
        <v>0</v>
      </c>
      <c r="I2481" s="283">
        <v>0</v>
      </c>
      <c r="J2481" s="284">
        <v>0</v>
      </c>
    </row>
    <row r="2482" spans="3:10" x14ac:dyDescent="0.25">
      <c r="C2482" s="300" t="s">
        <v>1064</v>
      </c>
      <c r="D2482" s="283" t="s">
        <v>1077</v>
      </c>
      <c r="E2482" s="283" t="s">
        <v>1075</v>
      </c>
      <c r="F2482" s="283" t="s">
        <v>1075</v>
      </c>
      <c r="G2482" s="283">
        <v>2</v>
      </c>
      <c r="H2482" s="283">
        <v>0</v>
      </c>
      <c r="I2482" s="283">
        <v>1</v>
      </c>
      <c r="J2482" s="284">
        <v>1</v>
      </c>
    </row>
    <row r="2483" spans="3:10" x14ac:dyDescent="0.25">
      <c r="C2483" s="300" t="s">
        <v>1060</v>
      </c>
      <c r="D2483" s="283" t="s">
        <v>1077</v>
      </c>
      <c r="E2483" s="283" t="s">
        <v>1089</v>
      </c>
      <c r="F2483" s="283" t="s">
        <v>1089</v>
      </c>
      <c r="G2483" s="283">
        <v>3</v>
      </c>
      <c r="H2483" s="283">
        <v>0</v>
      </c>
      <c r="I2483" s="283">
        <v>0</v>
      </c>
      <c r="J2483" s="284">
        <v>0</v>
      </c>
    </row>
    <row r="2484" spans="3:10" x14ac:dyDescent="0.25">
      <c r="C2484" s="300" t="s">
        <v>1061</v>
      </c>
      <c r="D2484" s="283" t="s">
        <v>1074</v>
      </c>
      <c r="E2484" s="283" t="s">
        <v>1075</v>
      </c>
      <c r="F2484" s="283" t="s">
        <v>1080</v>
      </c>
      <c r="G2484" s="283">
        <v>2</v>
      </c>
      <c r="H2484" s="283">
        <v>0</v>
      </c>
      <c r="I2484" s="283">
        <v>0</v>
      </c>
      <c r="J2484" s="284">
        <v>0</v>
      </c>
    </row>
    <row r="2485" spans="3:10" x14ac:dyDescent="0.25">
      <c r="C2485" s="300" t="s">
        <v>1063</v>
      </c>
      <c r="D2485" s="283" t="s">
        <v>1077</v>
      </c>
      <c r="E2485" s="283" t="s">
        <v>1075</v>
      </c>
      <c r="F2485" s="283" t="s">
        <v>1075</v>
      </c>
      <c r="G2485" s="283">
        <v>3</v>
      </c>
      <c r="H2485" s="283">
        <v>0</v>
      </c>
      <c r="I2485" s="283">
        <v>0</v>
      </c>
      <c r="J2485" s="284">
        <v>0</v>
      </c>
    </row>
    <row r="2486" spans="3:10" x14ac:dyDescent="0.25">
      <c r="C2486" s="300" t="s">
        <v>1067</v>
      </c>
      <c r="D2486" s="283" t="s">
        <v>1079</v>
      </c>
      <c r="E2486" s="283" t="s">
        <v>1075</v>
      </c>
      <c r="F2486" s="283" t="s">
        <v>1081</v>
      </c>
      <c r="G2486" s="283">
        <v>2</v>
      </c>
      <c r="H2486" s="283">
        <v>0</v>
      </c>
      <c r="I2486" s="283">
        <v>0</v>
      </c>
      <c r="J2486" s="284">
        <v>0</v>
      </c>
    </row>
    <row r="2487" spans="3:10" x14ac:dyDescent="0.25">
      <c r="C2487" s="300" t="s">
        <v>1061</v>
      </c>
      <c r="D2487" s="283" t="s">
        <v>1079</v>
      </c>
      <c r="E2487" s="283" t="s">
        <v>1075</v>
      </c>
      <c r="F2487" s="283" t="s">
        <v>1084</v>
      </c>
      <c r="G2487" s="283">
        <v>2</v>
      </c>
      <c r="H2487" s="283">
        <v>0</v>
      </c>
      <c r="I2487" s="283">
        <v>0</v>
      </c>
      <c r="J2487" s="284">
        <v>1</v>
      </c>
    </row>
    <row r="2488" spans="3:10" x14ac:dyDescent="0.25">
      <c r="C2488" s="300" t="s">
        <v>1066</v>
      </c>
      <c r="D2488" s="283" t="s">
        <v>1077</v>
      </c>
      <c r="E2488" s="283" t="s">
        <v>1076</v>
      </c>
      <c r="F2488" s="283" t="s">
        <v>1075</v>
      </c>
      <c r="G2488" s="283">
        <v>3</v>
      </c>
      <c r="H2488" s="283">
        <v>0</v>
      </c>
      <c r="I2488" s="283">
        <v>0</v>
      </c>
      <c r="J2488" s="284">
        <v>0</v>
      </c>
    </row>
    <row r="2489" spans="3:10" x14ac:dyDescent="0.25">
      <c r="C2489" s="300" t="s">
        <v>1062</v>
      </c>
      <c r="D2489" s="283" t="s">
        <v>1077</v>
      </c>
      <c r="E2489" s="283" t="s">
        <v>1084</v>
      </c>
      <c r="F2489" s="283" t="s">
        <v>1075</v>
      </c>
      <c r="G2489" s="283">
        <v>3</v>
      </c>
      <c r="H2489" s="283">
        <v>0</v>
      </c>
      <c r="I2489" s="283">
        <v>0</v>
      </c>
      <c r="J2489" s="284">
        <v>0</v>
      </c>
    </row>
    <row r="2490" spans="3:10" x14ac:dyDescent="0.25">
      <c r="C2490" s="300" t="s">
        <v>1064</v>
      </c>
      <c r="D2490" s="283" t="s">
        <v>1077</v>
      </c>
      <c r="E2490" s="283" t="s">
        <v>1075</v>
      </c>
      <c r="F2490" s="283" t="s">
        <v>1076</v>
      </c>
      <c r="G2490" s="283">
        <v>2</v>
      </c>
      <c r="H2490" s="283">
        <v>0</v>
      </c>
      <c r="I2490" s="283">
        <v>0</v>
      </c>
      <c r="J2490" s="284">
        <v>0</v>
      </c>
    </row>
    <row r="2491" spans="3:10" x14ac:dyDescent="0.25">
      <c r="C2491" s="300" t="s">
        <v>1063</v>
      </c>
      <c r="D2491" s="283" t="s">
        <v>1079</v>
      </c>
      <c r="E2491" s="283" t="s">
        <v>1075</v>
      </c>
      <c r="F2491" s="283" t="s">
        <v>1088</v>
      </c>
      <c r="G2491" s="283">
        <v>2</v>
      </c>
      <c r="H2491" s="283">
        <v>0</v>
      </c>
      <c r="I2491" s="283">
        <v>0</v>
      </c>
      <c r="J2491" s="284">
        <v>0</v>
      </c>
    </row>
    <row r="2492" spans="3:10" x14ac:dyDescent="0.25">
      <c r="C2492" s="300" t="s">
        <v>1065</v>
      </c>
      <c r="D2492" s="283" t="s">
        <v>1077</v>
      </c>
      <c r="E2492" s="283" t="s">
        <v>1076</v>
      </c>
      <c r="F2492" s="283" t="s">
        <v>1083</v>
      </c>
      <c r="G2492" s="283">
        <v>2</v>
      </c>
      <c r="H2492" s="283">
        <v>0</v>
      </c>
      <c r="I2492" s="283">
        <v>0</v>
      </c>
      <c r="J2492" s="284">
        <v>0</v>
      </c>
    </row>
    <row r="2493" spans="3:10" x14ac:dyDescent="0.25">
      <c r="C2493" s="300" t="s">
        <v>1063</v>
      </c>
      <c r="D2493" s="283" t="s">
        <v>1087</v>
      </c>
      <c r="E2493" s="283" t="s">
        <v>1075</v>
      </c>
      <c r="F2493" s="283" t="s">
        <v>524</v>
      </c>
      <c r="G2493" s="283">
        <v>1</v>
      </c>
      <c r="H2493" s="283">
        <v>0</v>
      </c>
      <c r="I2493" s="283">
        <v>0</v>
      </c>
      <c r="J2493" s="284">
        <v>0</v>
      </c>
    </row>
    <row r="2494" spans="3:10" x14ac:dyDescent="0.25">
      <c r="C2494" s="300" t="s">
        <v>1060</v>
      </c>
      <c r="D2494" s="283" t="s">
        <v>1087</v>
      </c>
      <c r="E2494" s="283" t="s">
        <v>1078</v>
      </c>
      <c r="F2494" s="283" t="s">
        <v>524</v>
      </c>
      <c r="G2494" s="283">
        <v>1</v>
      </c>
      <c r="H2494" s="283">
        <v>0</v>
      </c>
      <c r="I2494" s="283">
        <v>0</v>
      </c>
      <c r="J2494" s="284">
        <v>0</v>
      </c>
    </row>
    <row r="2495" spans="3:10" x14ac:dyDescent="0.25">
      <c r="C2495" s="300" t="s">
        <v>1067</v>
      </c>
      <c r="D2495" s="283" t="s">
        <v>1079</v>
      </c>
      <c r="E2495" s="283" t="s">
        <v>1075</v>
      </c>
      <c r="F2495" s="283" t="s">
        <v>1076</v>
      </c>
      <c r="G2495" s="283">
        <v>2</v>
      </c>
      <c r="H2495" s="283">
        <v>0</v>
      </c>
      <c r="I2495" s="283">
        <v>2</v>
      </c>
      <c r="J2495" s="284">
        <v>0</v>
      </c>
    </row>
    <row r="2496" spans="3:10" x14ac:dyDescent="0.25">
      <c r="C2496" s="300" t="s">
        <v>1061</v>
      </c>
      <c r="D2496" s="283" t="s">
        <v>1074</v>
      </c>
      <c r="E2496" s="283" t="s">
        <v>1089</v>
      </c>
      <c r="F2496" s="283" t="s">
        <v>1044</v>
      </c>
      <c r="G2496" s="283">
        <v>2</v>
      </c>
      <c r="H2496" s="283">
        <v>0</v>
      </c>
      <c r="I2496" s="283">
        <v>0</v>
      </c>
      <c r="J2496" s="284">
        <v>1</v>
      </c>
    </row>
    <row r="2497" spans="3:10" x14ac:dyDescent="0.25">
      <c r="C2497" s="300" t="s">
        <v>1062</v>
      </c>
      <c r="D2497" s="283" t="s">
        <v>1079</v>
      </c>
      <c r="E2497" s="283" t="s">
        <v>1078</v>
      </c>
      <c r="F2497" s="283" t="s">
        <v>1075</v>
      </c>
      <c r="G2497" s="283">
        <v>2</v>
      </c>
      <c r="H2497" s="283">
        <v>0</v>
      </c>
      <c r="I2497" s="283">
        <v>1</v>
      </c>
      <c r="J2497" s="284">
        <v>0</v>
      </c>
    </row>
    <row r="2498" spans="3:10" x14ac:dyDescent="0.25">
      <c r="C2498" s="300" t="s">
        <v>1060</v>
      </c>
      <c r="D2498" s="283" t="s">
        <v>1082</v>
      </c>
      <c r="E2498" s="283" t="s">
        <v>1075</v>
      </c>
      <c r="F2498" s="283" t="s">
        <v>1075</v>
      </c>
      <c r="G2498" s="283">
        <v>2</v>
      </c>
      <c r="H2498" s="283">
        <v>0</v>
      </c>
      <c r="I2498" s="283">
        <v>1</v>
      </c>
      <c r="J2498" s="284">
        <v>1</v>
      </c>
    </row>
    <row r="2499" spans="3:10" x14ac:dyDescent="0.25">
      <c r="C2499" s="300" t="s">
        <v>1065</v>
      </c>
      <c r="D2499" s="283" t="s">
        <v>1077</v>
      </c>
      <c r="E2499" s="283" t="s">
        <v>1076</v>
      </c>
      <c r="F2499" s="283" t="s">
        <v>1076</v>
      </c>
      <c r="G2499" s="283">
        <v>3</v>
      </c>
      <c r="H2499" s="283">
        <v>0</v>
      </c>
      <c r="I2499" s="283">
        <v>0</v>
      </c>
      <c r="J2499" s="284">
        <v>2</v>
      </c>
    </row>
    <row r="2500" spans="3:10" x14ac:dyDescent="0.25">
      <c r="C2500" s="300" t="s">
        <v>1065</v>
      </c>
      <c r="D2500" s="283" t="s">
        <v>1077</v>
      </c>
      <c r="E2500" s="283" t="s">
        <v>1088</v>
      </c>
      <c r="F2500" s="283" t="s">
        <v>1075</v>
      </c>
      <c r="G2500" s="283">
        <v>2</v>
      </c>
      <c r="H2500" s="283">
        <v>0</v>
      </c>
      <c r="I2500" s="283">
        <v>0</v>
      </c>
      <c r="J2500" s="284">
        <v>1</v>
      </c>
    </row>
    <row r="2501" spans="3:10" x14ac:dyDescent="0.25">
      <c r="C2501" s="300" t="s">
        <v>1061</v>
      </c>
      <c r="D2501" s="283" t="s">
        <v>1074</v>
      </c>
      <c r="E2501" s="283" t="s">
        <v>1075</v>
      </c>
      <c r="F2501" s="283" t="s">
        <v>1078</v>
      </c>
      <c r="G2501" s="283">
        <v>3</v>
      </c>
      <c r="H2501" s="283">
        <v>0</v>
      </c>
      <c r="I2501" s="283">
        <v>0</v>
      </c>
      <c r="J2501" s="284">
        <v>0</v>
      </c>
    </row>
    <row r="2502" spans="3:10" x14ac:dyDescent="0.25">
      <c r="C2502" s="300" t="s">
        <v>1064</v>
      </c>
      <c r="D2502" s="283" t="s">
        <v>1079</v>
      </c>
      <c r="E2502" s="283" t="s">
        <v>1075</v>
      </c>
      <c r="F2502" s="283" t="s">
        <v>1075</v>
      </c>
      <c r="G2502" s="283">
        <v>2</v>
      </c>
      <c r="H2502" s="283">
        <v>0</v>
      </c>
      <c r="I2502" s="283">
        <v>0</v>
      </c>
      <c r="J2502" s="284">
        <v>2</v>
      </c>
    </row>
    <row r="2503" spans="3:10" x14ac:dyDescent="0.25">
      <c r="C2503" s="300" t="s">
        <v>1060</v>
      </c>
      <c r="D2503" s="283" t="s">
        <v>1082</v>
      </c>
      <c r="E2503" s="283" t="s">
        <v>1089</v>
      </c>
      <c r="F2503" s="283" t="s">
        <v>1089</v>
      </c>
      <c r="G2503" s="283">
        <v>3</v>
      </c>
      <c r="H2503" s="283">
        <v>0</v>
      </c>
      <c r="I2503" s="283">
        <v>0</v>
      </c>
      <c r="J2503" s="284">
        <v>1</v>
      </c>
    </row>
    <row r="2504" spans="3:10" x14ac:dyDescent="0.25">
      <c r="C2504" s="300" t="s">
        <v>1061</v>
      </c>
      <c r="D2504" s="283" t="s">
        <v>1079</v>
      </c>
      <c r="E2504" s="283" t="s">
        <v>1089</v>
      </c>
      <c r="F2504" s="283" t="s">
        <v>1086</v>
      </c>
      <c r="G2504" s="283">
        <v>4</v>
      </c>
      <c r="H2504" s="283">
        <v>0</v>
      </c>
      <c r="I2504" s="283">
        <v>0</v>
      </c>
      <c r="J2504" s="284">
        <v>0</v>
      </c>
    </row>
    <row r="2505" spans="3:10" x14ac:dyDescent="0.25">
      <c r="C2505" s="300" t="s">
        <v>1065</v>
      </c>
      <c r="D2505" s="283" t="s">
        <v>1077</v>
      </c>
      <c r="E2505" s="283" t="s">
        <v>1089</v>
      </c>
      <c r="F2505" s="283" t="s">
        <v>1078</v>
      </c>
      <c r="G2505" s="283">
        <v>2</v>
      </c>
      <c r="H2505" s="283">
        <v>0</v>
      </c>
      <c r="I2505" s="283">
        <v>0</v>
      </c>
      <c r="J2505" s="284">
        <v>1</v>
      </c>
    </row>
    <row r="2506" spans="3:10" x14ac:dyDescent="0.25">
      <c r="C2506" s="300" t="s">
        <v>1066</v>
      </c>
      <c r="D2506" s="283" t="s">
        <v>1074</v>
      </c>
      <c r="E2506" s="283" t="s">
        <v>1075</v>
      </c>
      <c r="F2506" s="283" t="s">
        <v>1075</v>
      </c>
      <c r="G2506" s="283">
        <v>2</v>
      </c>
      <c r="H2506" s="283">
        <v>0</v>
      </c>
      <c r="I2506" s="283">
        <v>0</v>
      </c>
      <c r="J2506" s="284">
        <v>0</v>
      </c>
    </row>
    <row r="2507" spans="3:10" x14ac:dyDescent="0.25">
      <c r="C2507" s="300" t="s">
        <v>1062</v>
      </c>
      <c r="D2507" s="283" t="s">
        <v>1043</v>
      </c>
      <c r="E2507" s="283" t="s">
        <v>1076</v>
      </c>
      <c r="F2507" s="283" t="s">
        <v>1092</v>
      </c>
      <c r="G2507" s="283">
        <v>2</v>
      </c>
      <c r="H2507" s="283">
        <v>0</v>
      </c>
      <c r="I2507" s="283">
        <v>1</v>
      </c>
      <c r="J2507" s="284">
        <v>0</v>
      </c>
    </row>
    <row r="2508" spans="3:10" x14ac:dyDescent="0.25">
      <c r="C2508" s="300" t="s">
        <v>1061</v>
      </c>
      <c r="D2508" s="283" t="s">
        <v>1043</v>
      </c>
      <c r="E2508" s="283" t="s">
        <v>1089</v>
      </c>
      <c r="F2508" s="283" t="s">
        <v>1092</v>
      </c>
      <c r="G2508" s="283">
        <v>2</v>
      </c>
      <c r="H2508" s="283">
        <v>0</v>
      </c>
      <c r="I2508" s="283">
        <v>0</v>
      </c>
      <c r="J2508" s="284">
        <v>1</v>
      </c>
    </row>
    <row r="2509" spans="3:10" x14ac:dyDescent="0.25">
      <c r="C2509" s="300" t="s">
        <v>1065</v>
      </c>
      <c r="D2509" s="283" t="s">
        <v>1079</v>
      </c>
      <c r="E2509" s="283" t="s">
        <v>1086</v>
      </c>
      <c r="F2509" s="283" t="s">
        <v>1078</v>
      </c>
      <c r="G2509" s="283">
        <v>2</v>
      </c>
      <c r="H2509" s="283">
        <v>0</v>
      </c>
      <c r="I2509" s="283">
        <v>0</v>
      </c>
      <c r="J2509" s="284">
        <v>0</v>
      </c>
    </row>
    <row r="2510" spans="3:10" x14ac:dyDescent="0.25">
      <c r="C2510" s="300" t="s">
        <v>1067</v>
      </c>
      <c r="D2510" s="283" t="s">
        <v>1043</v>
      </c>
      <c r="E2510" s="283" t="s">
        <v>1075</v>
      </c>
      <c r="F2510" s="283" t="s">
        <v>1092</v>
      </c>
      <c r="G2510" s="283">
        <v>2</v>
      </c>
      <c r="H2510" s="283">
        <v>0</v>
      </c>
      <c r="I2510" s="283">
        <v>0</v>
      </c>
      <c r="J2510" s="284">
        <v>1</v>
      </c>
    </row>
    <row r="2511" spans="3:10" x14ac:dyDescent="0.25">
      <c r="C2511" s="300" t="s">
        <v>1066</v>
      </c>
      <c r="D2511" s="283" t="s">
        <v>1087</v>
      </c>
      <c r="E2511" s="283" t="s">
        <v>1075</v>
      </c>
      <c r="F2511" s="283" t="s">
        <v>524</v>
      </c>
      <c r="G2511" s="283">
        <v>1</v>
      </c>
      <c r="H2511" s="283">
        <v>0</v>
      </c>
      <c r="I2511" s="283">
        <v>1</v>
      </c>
      <c r="J2511" s="284">
        <v>0</v>
      </c>
    </row>
    <row r="2512" spans="3:10" x14ac:dyDescent="0.25">
      <c r="C2512" s="300" t="s">
        <v>1061</v>
      </c>
      <c r="D2512" s="283" t="s">
        <v>1079</v>
      </c>
      <c r="E2512" s="283" t="s">
        <v>1078</v>
      </c>
      <c r="F2512" s="283" t="s">
        <v>1075</v>
      </c>
      <c r="G2512" s="283">
        <v>2</v>
      </c>
      <c r="H2512" s="283">
        <v>0</v>
      </c>
      <c r="I2512" s="283">
        <v>1</v>
      </c>
      <c r="J2512" s="284">
        <v>0</v>
      </c>
    </row>
    <row r="2513" spans="3:10" x14ac:dyDescent="0.25">
      <c r="C2513" s="300" t="s">
        <v>1066</v>
      </c>
      <c r="D2513" s="283" t="s">
        <v>1074</v>
      </c>
      <c r="E2513" s="283" t="s">
        <v>1089</v>
      </c>
      <c r="F2513" s="283" t="s">
        <v>1075</v>
      </c>
      <c r="G2513" s="283">
        <v>2</v>
      </c>
      <c r="H2513" s="283">
        <v>0</v>
      </c>
      <c r="I2513" s="283">
        <v>0</v>
      </c>
      <c r="J2513" s="284">
        <v>1</v>
      </c>
    </row>
    <row r="2514" spans="3:10" x14ac:dyDescent="0.25">
      <c r="C2514" s="300" t="s">
        <v>1061</v>
      </c>
      <c r="D2514" s="283" t="s">
        <v>1074</v>
      </c>
      <c r="E2514" s="283" t="s">
        <v>1075</v>
      </c>
      <c r="F2514" s="283" t="s">
        <v>1075</v>
      </c>
      <c r="G2514" s="283">
        <v>2</v>
      </c>
      <c r="H2514" s="283">
        <v>0</v>
      </c>
      <c r="I2514" s="283">
        <v>0</v>
      </c>
      <c r="J2514" s="284">
        <v>1</v>
      </c>
    </row>
    <row r="2515" spans="3:10" x14ac:dyDescent="0.25">
      <c r="C2515" s="300" t="s">
        <v>1065</v>
      </c>
      <c r="D2515" s="283" t="s">
        <v>1077</v>
      </c>
      <c r="E2515" s="283" t="s">
        <v>1075</v>
      </c>
      <c r="F2515" s="283" t="s">
        <v>1075</v>
      </c>
      <c r="G2515" s="283">
        <v>2</v>
      </c>
      <c r="H2515" s="283">
        <v>0</v>
      </c>
      <c r="I2515" s="283">
        <v>0</v>
      </c>
      <c r="J2515" s="284">
        <v>0</v>
      </c>
    </row>
    <row r="2516" spans="3:10" x14ac:dyDescent="0.25">
      <c r="C2516" s="300" t="s">
        <v>1065</v>
      </c>
      <c r="D2516" s="283" t="s">
        <v>1079</v>
      </c>
      <c r="E2516" s="283" t="s">
        <v>1075</v>
      </c>
      <c r="F2516" s="283" t="s">
        <v>1084</v>
      </c>
      <c r="G2516" s="283">
        <v>2</v>
      </c>
      <c r="H2516" s="283">
        <v>0</v>
      </c>
      <c r="I2516" s="283">
        <v>0</v>
      </c>
      <c r="J2516" s="284">
        <v>0</v>
      </c>
    </row>
    <row r="2517" spans="3:10" x14ac:dyDescent="0.25">
      <c r="C2517" s="300" t="s">
        <v>1060</v>
      </c>
      <c r="D2517" s="283" t="s">
        <v>1079</v>
      </c>
      <c r="E2517" s="283" t="s">
        <v>1075</v>
      </c>
      <c r="F2517" s="283" t="s">
        <v>1083</v>
      </c>
      <c r="G2517" s="283">
        <v>2</v>
      </c>
      <c r="H2517" s="283">
        <v>0</v>
      </c>
      <c r="I2517" s="283">
        <v>0</v>
      </c>
      <c r="J2517" s="284">
        <v>0</v>
      </c>
    </row>
    <row r="2518" spans="3:10" x14ac:dyDescent="0.25">
      <c r="C2518" s="300" t="s">
        <v>1063</v>
      </c>
      <c r="D2518" s="283" t="s">
        <v>1077</v>
      </c>
      <c r="E2518" s="283" t="s">
        <v>1084</v>
      </c>
      <c r="F2518" s="283" t="s">
        <v>1089</v>
      </c>
      <c r="G2518" s="283">
        <v>2</v>
      </c>
      <c r="H2518" s="283">
        <v>0</v>
      </c>
      <c r="I2518" s="283">
        <v>0</v>
      </c>
      <c r="J2518" s="284">
        <v>0</v>
      </c>
    </row>
    <row r="2519" spans="3:10" x14ac:dyDescent="0.25">
      <c r="C2519" s="300" t="s">
        <v>1061</v>
      </c>
      <c r="D2519" s="283" t="s">
        <v>1077</v>
      </c>
      <c r="E2519" s="283" t="s">
        <v>1089</v>
      </c>
      <c r="F2519" s="283" t="s">
        <v>1075</v>
      </c>
      <c r="G2519" s="283">
        <v>2</v>
      </c>
      <c r="H2519" s="283">
        <v>0</v>
      </c>
      <c r="I2519" s="283">
        <v>0</v>
      </c>
      <c r="J2519" s="284">
        <v>0</v>
      </c>
    </row>
    <row r="2520" spans="3:10" x14ac:dyDescent="0.25">
      <c r="C2520" s="300" t="s">
        <v>1066</v>
      </c>
      <c r="D2520" s="283" t="s">
        <v>1079</v>
      </c>
      <c r="E2520" s="283" t="s">
        <v>1089</v>
      </c>
      <c r="F2520" s="283" t="s">
        <v>1075</v>
      </c>
      <c r="G2520" s="283">
        <v>2</v>
      </c>
      <c r="H2520" s="283">
        <v>0</v>
      </c>
      <c r="I2520" s="283">
        <v>0</v>
      </c>
      <c r="J2520" s="284">
        <v>1</v>
      </c>
    </row>
    <row r="2521" spans="3:10" x14ac:dyDescent="0.25">
      <c r="C2521" s="300" t="s">
        <v>1063</v>
      </c>
      <c r="D2521" s="283" t="s">
        <v>1077</v>
      </c>
      <c r="E2521" s="283" t="s">
        <v>1075</v>
      </c>
      <c r="F2521" s="283" t="s">
        <v>1086</v>
      </c>
      <c r="G2521" s="283">
        <v>2</v>
      </c>
      <c r="H2521" s="283">
        <v>0</v>
      </c>
      <c r="I2521" s="283">
        <v>0</v>
      </c>
      <c r="J2521" s="284">
        <v>0</v>
      </c>
    </row>
    <row r="2522" spans="3:10" x14ac:dyDescent="0.25">
      <c r="C2522" s="300" t="s">
        <v>1066</v>
      </c>
      <c r="D2522" s="283" t="s">
        <v>1077</v>
      </c>
      <c r="E2522" s="283" t="s">
        <v>1075</v>
      </c>
      <c r="F2522" s="283" t="s">
        <v>1075</v>
      </c>
      <c r="G2522" s="283">
        <v>2</v>
      </c>
      <c r="H2522" s="283">
        <v>0</v>
      </c>
      <c r="I2522" s="283">
        <v>0</v>
      </c>
      <c r="J2522" s="284">
        <v>0</v>
      </c>
    </row>
    <row r="2523" spans="3:10" x14ac:dyDescent="0.25">
      <c r="C2523" s="300" t="s">
        <v>1065</v>
      </c>
      <c r="D2523" s="283" t="s">
        <v>1077</v>
      </c>
      <c r="E2523" s="283" t="s">
        <v>1078</v>
      </c>
      <c r="F2523" s="283" t="s">
        <v>1086</v>
      </c>
      <c r="G2523" s="283">
        <v>2</v>
      </c>
      <c r="H2523" s="283">
        <v>0</v>
      </c>
      <c r="I2523" s="283">
        <v>0</v>
      </c>
      <c r="J2523" s="284">
        <v>1</v>
      </c>
    </row>
    <row r="2524" spans="3:10" x14ac:dyDescent="0.25">
      <c r="C2524" s="300" t="s">
        <v>1065</v>
      </c>
      <c r="D2524" s="283" t="s">
        <v>1077</v>
      </c>
      <c r="E2524" s="283" t="s">
        <v>1078</v>
      </c>
      <c r="F2524" s="283" t="s">
        <v>1075</v>
      </c>
      <c r="G2524" s="283">
        <v>2</v>
      </c>
      <c r="H2524" s="283">
        <v>0</v>
      </c>
      <c r="I2524" s="283">
        <v>0</v>
      </c>
      <c r="J2524" s="284">
        <v>1</v>
      </c>
    </row>
    <row r="2525" spans="3:10" x14ac:dyDescent="0.25">
      <c r="C2525" s="300" t="s">
        <v>1064</v>
      </c>
      <c r="D2525" s="283" t="s">
        <v>1087</v>
      </c>
      <c r="E2525" s="283" t="s">
        <v>1075</v>
      </c>
      <c r="F2525" s="283" t="s">
        <v>524</v>
      </c>
      <c r="G2525" s="283">
        <v>1</v>
      </c>
      <c r="H2525" s="283">
        <v>0</v>
      </c>
      <c r="I2525" s="283">
        <v>0</v>
      </c>
      <c r="J2525" s="284">
        <v>1</v>
      </c>
    </row>
    <row r="2526" spans="3:10" x14ac:dyDescent="0.25">
      <c r="C2526" s="300" t="s">
        <v>1062</v>
      </c>
      <c r="D2526" s="283" t="s">
        <v>1087</v>
      </c>
      <c r="E2526" s="283" t="s">
        <v>1075</v>
      </c>
      <c r="F2526" s="283" t="s">
        <v>524</v>
      </c>
      <c r="G2526" s="283">
        <v>1</v>
      </c>
      <c r="H2526" s="283">
        <v>0</v>
      </c>
      <c r="I2526" s="283">
        <v>0</v>
      </c>
      <c r="J2526" s="284">
        <v>0</v>
      </c>
    </row>
    <row r="2527" spans="3:10" x14ac:dyDescent="0.25">
      <c r="C2527" s="300" t="s">
        <v>1064</v>
      </c>
      <c r="D2527" s="283" t="s">
        <v>1074</v>
      </c>
      <c r="E2527" s="283" t="s">
        <v>1089</v>
      </c>
      <c r="F2527" s="283" t="s">
        <v>1075</v>
      </c>
      <c r="G2527" s="283">
        <v>2</v>
      </c>
      <c r="H2527" s="283">
        <v>0</v>
      </c>
      <c r="I2527" s="283">
        <v>0</v>
      </c>
      <c r="J2527" s="284">
        <v>0</v>
      </c>
    </row>
    <row r="2528" spans="3:10" x14ac:dyDescent="0.25">
      <c r="C2528" s="300" t="s">
        <v>1067</v>
      </c>
      <c r="D2528" s="283" t="s">
        <v>1074</v>
      </c>
      <c r="E2528" s="283" t="s">
        <v>1078</v>
      </c>
      <c r="F2528" s="283" t="s">
        <v>1076</v>
      </c>
      <c r="G2528" s="283">
        <v>3</v>
      </c>
      <c r="H2528" s="283">
        <v>0</v>
      </c>
      <c r="I2528" s="283">
        <v>0</v>
      </c>
      <c r="J2528" s="284">
        <v>0</v>
      </c>
    </row>
    <row r="2529" spans="3:10" x14ac:dyDescent="0.25">
      <c r="C2529" s="300" t="s">
        <v>1064</v>
      </c>
      <c r="D2529" s="283" t="s">
        <v>1079</v>
      </c>
      <c r="E2529" s="283" t="s">
        <v>1075</v>
      </c>
      <c r="F2529" s="283" t="s">
        <v>1080</v>
      </c>
      <c r="G2529" s="283">
        <v>3</v>
      </c>
      <c r="H2529" s="283">
        <v>0</v>
      </c>
      <c r="I2529" s="283">
        <v>0</v>
      </c>
      <c r="J2529" s="284">
        <v>0</v>
      </c>
    </row>
    <row r="2530" spans="3:10" x14ac:dyDescent="0.25">
      <c r="C2530" s="300" t="s">
        <v>1064</v>
      </c>
      <c r="D2530" s="283" t="s">
        <v>1079</v>
      </c>
      <c r="E2530" s="283" t="s">
        <v>1080</v>
      </c>
      <c r="F2530" s="283" t="s">
        <v>1075</v>
      </c>
      <c r="G2530" s="283">
        <v>2</v>
      </c>
      <c r="H2530" s="283">
        <v>0</v>
      </c>
      <c r="I2530" s="283">
        <v>0</v>
      </c>
      <c r="J2530" s="284">
        <v>0</v>
      </c>
    </row>
    <row r="2531" spans="3:10" x14ac:dyDescent="0.25">
      <c r="C2531" s="300" t="s">
        <v>1065</v>
      </c>
      <c r="D2531" s="283" t="s">
        <v>1079</v>
      </c>
      <c r="E2531" s="283" t="s">
        <v>1078</v>
      </c>
      <c r="F2531" s="283" t="s">
        <v>1075</v>
      </c>
      <c r="G2531" s="283">
        <v>2</v>
      </c>
      <c r="H2531" s="283">
        <v>0</v>
      </c>
      <c r="I2531" s="283">
        <v>0</v>
      </c>
      <c r="J2531" s="284">
        <v>0</v>
      </c>
    </row>
    <row r="2532" spans="3:10" x14ac:dyDescent="0.25">
      <c r="C2532" s="300" t="s">
        <v>1065</v>
      </c>
      <c r="D2532" s="283" t="s">
        <v>1079</v>
      </c>
      <c r="E2532" s="283" t="s">
        <v>1075</v>
      </c>
      <c r="F2532" s="283" t="s">
        <v>1075</v>
      </c>
      <c r="G2532" s="283">
        <v>2</v>
      </c>
      <c r="H2532" s="283">
        <v>0</v>
      </c>
      <c r="I2532" s="283">
        <v>0</v>
      </c>
      <c r="J2532" s="284">
        <v>1</v>
      </c>
    </row>
    <row r="2533" spans="3:10" x14ac:dyDescent="0.25">
      <c r="C2533" s="300" t="s">
        <v>1064</v>
      </c>
      <c r="D2533" s="283" t="s">
        <v>1077</v>
      </c>
      <c r="E2533" s="283" t="s">
        <v>1084</v>
      </c>
      <c r="F2533" s="283" t="s">
        <v>1076</v>
      </c>
      <c r="G2533" s="283">
        <v>2</v>
      </c>
      <c r="H2533" s="283">
        <v>0</v>
      </c>
      <c r="I2533" s="283">
        <v>0</v>
      </c>
      <c r="J2533" s="284">
        <v>0</v>
      </c>
    </row>
    <row r="2534" spans="3:10" x14ac:dyDescent="0.25">
      <c r="C2534" s="300" t="s">
        <v>1060</v>
      </c>
      <c r="D2534" s="283" t="s">
        <v>1087</v>
      </c>
      <c r="E2534" s="283" t="s">
        <v>1075</v>
      </c>
      <c r="F2534" s="283" t="s">
        <v>524</v>
      </c>
      <c r="G2534" s="283">
        <v>1</v>
      </c>
      <c r="H2534" s="283">
        <v>0</v>
      </c>
      <c r="I2534" s="283">
        <v>0</v>
      </c>
      <c r="J2534" s="284">
        <v>0</v>
      </c>
    </row>
    <row r="2535" spans="3:10" x14ac:dyDescent="0.25">
      <c r="C2535" s="300" t="s">
        <v>1064</v>
      </c>
      <c r="D2535" s="283" t="s">
        <v>1082</v>
      </c>
      <c r="E2535" s="283" t="s">
        <v>1078</v>
      </c>
      <c r="F2535" s="283" t="s">
        <v>1076</v>
      </c>
      <c r="G2535" s="283">
        <v>2</v>
      </c>
      <c r="H2535" s="283">
        <v>0</v>
      </c>
      <c r="I2535" s="283">
        <v>0</v>
      </c>
      <c r="J2535" s="284">
        <v>0</v>
      </c>
    </row>
    <row r="2536" spans="3:10" x14ac:dyDescent="0.25">
      <c r="C2536" s="300" t="s">
        <v>1065</v>
      </c>
      <c r="D2536" s="283" t="s">
        <v>1079</v>
      </c>
      <c r="E2536" s="283" t="s">
        <v>1086</v>
      </c>
      <c r="F2536" s="283" t="s">
        <v>1075</v>
      </c>
      <c r="G2536" s="283">
        <v>2</v>
      </c>
      <c r="H2536" s="283">
        <v>0</v>
      </c>
      <c r="I2536" s="283">
        <v>0</v>
      </c>
      <c r="J2536" s="284">
        <v>0</v>
      </c>
    </row>
    <row r="2537" spans="3:10" x14ac:dyDescent="0.25">
      <c r="C2537" s="300" t="s">
        <v>1058</v>
      </c>
      <c r="D2537" s="283" t="s">
        <v>1074</v>
      </c>
      <c r="E2537" s="283" t="s">
        <v>1086</v>
      </c>
      <c r="F2537" s="283" t="s">
        <v>1044</v>
      </c>
      <c r="G2537" s="283">
        <v>2</v>
      </c>
      <c r="H2537" s="283">
        <v>0</v>
      </c>
      <c r="I2537" s="283">
        <v>1</v>
      </c>
      <c r="J2537" s="284">
        <v>0</v>
      </c>
    </row>
    <row r="2538" spans="3:10" x14ac:dyDescent="0.25">
      <c r="C2538" s="300" t="s">
        <v>1062</v>
      </c>
      <c r="D2538" s="283" t="s">
        <v>1087</v>
      </c>
      <c r="E2538" s="283" t="s">
        <v>1080</v>
      </c>
      <c r="F2538" s="283" t="s">
        <v>524</v>
      </c>
      <c r="G2538" s="283">
        <v>1</v>
      </c>
      <c r="H2538" s="283">
        <v>0</v>
      </c>
      <c r="I2538" s="283">
        <v>0</v>
      </c>
      <c r="J2538" s="284">
        <v>0</v>
      </c>
    </row>
    <row r="2539" spans="3:10" x14ac:dyDescent="0.25">
      <c r="C2539" s="300" t="s">
        <v>1059</v>
      </c>
      <c r="D2539" s="283" t="s">
        <v>1077</v>
      </c>
      <c r="E2539" s="283" t="s">
        <v>1080</v>
      </c>
      <c r="F2539" s="283" t="s">
        <v>1076</v>
      </c>
      <c r="G2539" s="283">
        <v>2</v>
      </c>
      <c r="H2539" s="283">
        <v>0</v>
      </c>
      <c r="I2539" s="283">
        <v>0</v>
      </c>
      <c r="J2539" s="284">
        <v>0</v>
      </c>
    </row>
    <row r="2540" spans="3:10" x14ac:dyDescent="0.25">
      <c r="C2540" s="300" t="s">
        <v>1067</v>
      </c>
      <c r="D2540" s="283" t="s">
        <v>1087</v>
      </c>
      <c r="E2540" s="283" t="s">
        <v>1075</v>
      </c>
      <c r="F2540" s="283" t="s">
        <v>524</v>
      </c>
      <c r="G2540" s="283">
        <v>1</v>
      </c>
      <c r="H2540" s="283">
        <v>0</v>
      </c>
      <c r="I2540" s="283">
        <v>0</v>
      </c>
      <c r="J2540" s="284">
        <v>0</v>
      </c>
    </row>
    <row r="2541" spans="3:10" x14ac:dyDescent="0.25">
      <c r="C2541" s="300" t="s">
        <v>1064</v>
      </c>
      <c r="D2541" s="283" t="s">
        <v>1077</v>
      </c>
      <c r="E2541" s="283" t="s">
        <v>1089</v>
      </c>
      <c r="F2541" s="283" t="s">
        <v>1089</v>
      </c>
      <c r="G2541" s="283">
        <v>3</v>
      </c>
      <c r="H2541" s="283">
        <v>0</v>
      </c>
      <c r="I2541" s="283">
        <v>0</v>
      </c>
      <c r="J2541" s="284">
        <v>1</v>
      </c>
    </row>
    <row r="2542" spans="3:10" x14ac:dyDescent="0.25">
      <c r="C2542" s="300" t="s">
        <v>1065</v>
      </c>
      <c r="D2542" s="283" t="s">
        <v>1079</v>
      </c>
      <c r="E2542" s="283" t="s">
        <v>1078</v>
      </c>
      <c r="F2542" s="283" t="s">
        <v>1075</v>
      </c>
      <c r="G2542" s="283">
        <v>2</v>
      </c>
      <c r="H2542" s="283">
        <v>0</v>
      </c>
      <c r="I2542" s="283">
        <v>0</v>
      </c>
      <c r="J2542" s="284">
        <v>0</v>
      </c>
    </row>
    <row r="2543" spans="3:10" x14ac:dyDescent="0.25">
      <c r="C2543" s="300" t="s">
        <v>1065</v>
      </c>
      <c r="D2543" s="283" t="s">
        <v>1090</v>
      </c>
      <c r="E2543" s="283" t="s">
        <v>1083</v>
      </c>
      <c r="F2543" s="283" t="s">
        <v>524</v>
      </c>
      <c r="G2543" s="283">
        <v>1</v>
      </c>
      <c r="H2543" s="283">
        <v>0</v>
      </c>
      <c r="I2543" s="283">
        <v>1</v>
      </c>
      <c r="J2543" s="284">
        <v>0</v>
      </c>
    </row>
    <row r="2544" spans="3:10" x14ac:dyDescent="0.25">
      <c r="C2544" s="300" t="s">
        <v>1061</v>
      </c>
      <c r="D2544" s="283" t="s">
        <v>1079</v>
      </c>
      <c r="E2544" s="283" t="s">
        <v>1093</v>
      </c>
      <c r="F2544" s="283" t="s">
        <v>1075</v>
      </c>
      <c r="G2544" s="283">
        <v>2</v>
      </c>
      <c r="H2544" s="283">
        <v>0</v>
      </c>
      <c r="I2544" s="283">
        <v>0</v>
      </c>
      <c r="J2544" s="284">
        <v>1</v>
      </c>
    </row>
    <row r="2545" spans="3:10" x14ac:dyDescent="0.25">
      <c r="C2545" s="300" t="s">
        <v>1065</v>
      </c>
      <c r="D2545" s="283" t="s">
        <v>1077</v>
      </c>
      <c r="E2545" s="283" t="s">
        <v>1075</v>
      </c>
      <c r="F2545" s="283" t="s">
        <v>1081</v>
      </c>
      <c r="G2545" s="283">
        <v>5</v>
      </c>
      <c r="H2545" s="283">
        <v>0</v>
      </c>
      <c r="I2545" s="283">
        <v>2</v>
      </c>
      <c r="J2545" s="284">
        <v>0</v>
      </c>
    </row>
    <row r="2546" spans="3:10" x14ac:dyDescent="0.25">
      <c r="C2546" s="300" t="s">
        <v>1061</v>
      </c>
      <c r="D2546" s="283" t="s">
        <v>1077</v>
      </c>
      <c r="E2546" s="283" t="s">
        <v>1075</v>
      </c>
      <c r="F2546" s="283" t="s">
        <v>1075</v>
      </c>
      <c r="G2546" s="283">
        <v>2</v>
      </c>
      <c r="H2546" s="283">
        <v>0</v>
      </c>
      <c r="I2546" s="283">
        <v>0</v>
      </c>
      <c r="J2546" s="284">
        <v>0</v>
      </c>
    </row>
    <row r="2547" spans="3:10" x14ac:dyDescent="0.25">
      <c r="C2547" s="300" t="s">
        <v>1064</v>
      </c>
      <c r="D2547" s="283" t="s">
        <v>1077</v>
      </c>
      <c r="E2547" s="283" t="s">
        <v>1075</v>
      </c>
      <c r="F2547" s="283" t="s">
        <v>1075</v>
      </c>
      <c r="G2547" s="283">
        <v>2</v>
      </c>
      <c r="H2547" s="283">
        <v>0</v>
      </c>
      <c r="I2547" s="283">
        <v>1</v>
      </c>
      <c r="J2547" s="284">
        <v>0</v>
      </c>
    </row>
    <row r="2548" spans="3:10" x14ac:dyDescent="0.25">
      <c r="C2548" s="300" t="s">
        <v>1061</v>
      </c>
      <c r="D2548" s="283" t="s">
        <v>1074</v>
      </c>
      <c r="E2548" s="283" t="s">
        <v>1076</v>
      </c>
      <c r="F2548" s="283" t="s">
        <v>1081</v>
      </c>
      <c r="G2548" s="283">
        <v>2</v>
      </c>
      <c r="H2548" s="283">
        <v>0</v>
      </c>
      <c r="I2548" s="283">
        <v>1</v>
      </c>
      <c r="J2548" s="284">
        <v>1</v>
      </c>
    </row>
    <row r="2549" spans="3:10" x14ac:dyDescent="0.25">
      <c r="C2549" s="300" t="s">
        <v>1063</v>
      </c>
      <c r="D2549" s="283" t="s">
        <v>1079</v>
      </c>
      <c r="E2549" s="283" t="s">
        <v>1075</v>
      </c>
      <c r="F2549" s="283" t="s">
        <v>1089</v>
      </c>
      <c r="G2549" s="283">
        <v>3</v>
      </c>
      <c r="H2549" s="283">
        <v>0</v>
      </c>
      <c r="I2549" s="283">
        <v>0</v>
      </c>
      <c r="J2549" s="284">
        <v>1</v>
      </c>
    </row>
    <row r="2550" spans="3:10" x14ac:dyDescent="0.25">
      <c r="C2550" s="300" t="s">
        <v>1060</v>
      </c>
      <c r="D2550" s="283" t="s">
        <v>1074</v>
      </c>
      <c r="E2550" s="283" t="s">
        <v>1075</v>
      </c>
      <c r="F2550" s="283" t="s">
        <v>1075</v>
      </c>
      <c r="G2550" s="283">
        <v>2</v>
      </c>
      <c r="H2550" s="283">
        <v>0</v>
      </c>
      <c r="I2550" s="283">
        <v>0</v>
      </c>
      <c r="J2550" s="284">
        <v>2</v>
      </c>
    </row>
    <row r="2551" spans="3:10" x14ac:dyDescent="0.25">
      <c r="C2551" s="300" t="s">
        <v>1064</v>
      </c>
      <c r="D2551" s="283" t="s">
        <v>1077</v>
      </c>
      <c r="E2551" s="283" t="s">
        <v>1089</v>
      </c>
      <c r="F2551" s="283" t="s">
        <v>1078</v>
      </c>
      <c r="G2551" s="283">
        <v>2</v>
      </c>
      <c r="H2551" s="283">
        <v>0</v>
      </c>
      <c r="I2551" s="283">
        <v>0</v>
      </c>
      <c r="J2551" s="284">
        <v>0</v>
      </c>
    </row>
    <row r="2552" spans="3:10" x14ac:dyDescent="0.25">
      <c r="C2552" s="300" t="s">
        <v>1066</v>
      </c>
      <c r="D2552" s="283" t="s">
        <v>1079</v>
      </c>
      <c r="E2552" s="283" t="s">
        <v>1075</v>
      </c>
      <c r="F2552" s="283" t="s">
        <v>1076</v>
      </c>
      <c r="G2552" s="283">
        <v>2</v>
      </c>
      <c r="H2552" s="283">
        <v>0</v>
      </c>
      <c r="I2552" s="283">
        <v>0</v>
      </c>
      <c r="J2552" s="284">
        <v>1</v>
      </c>
    </row>
    <row r="2553" spans="3:10" x14ac:dyDescent="0.25">
      <c r="C2553" s="300" t="s">
        <v>1063</v>
      </c>
      <c r="D2553" s="283" t="s">
        <v>1079</v>
      </c>
      <c r="E2553" s="283" t="s">
        <v>1075</v>
      </c>
      <c r="F2553" s="283" t="s">
        <v>1075</v>
      </c>
      <c r="G2553" s="283">
        <v>2</v>
      </c>
      <c r="H2553" s="283">
        <v>0</v>
      </c>
      <c r="I2553" s="283">
        <v>0</v>
      </c>
      <c r="J2553" s="284">
        <v>0</v>
      </c>
    </row>
    <row r="2554" spans="3:10" x14ac:dyDescent="0.25">
      <c r="C2554" s="300" t="s">
        <v>1061</v>
      </c>
      <c r="D2554" s="283" t="s">
        <v>1090</v>
      </c>
      <c r="E2554" s="283" t="s">
        <v>1093</v>
      </c>
      <c r="F2554" s="283" t="s">
        <v>524</v>
      </c>
      <c r="G2554" s="283">
        <v>1</v>
      </c>
      <c r="H2554" s="283">
        <v>0</v>
      </c>
      <c r="I2554" s="283">
        <v>0</v>
      </c>
      <c r="J2554" s="284">
        <v>0</v>
      </c>
    </row>
    <row r="2555" spans="3:10" x14ac:dyDescent="0.25">
      <c r="C2555" s="300" t="s">
        <v>1065</v>
      </c>
      <c r="D2555" s="283" t="s">
        <v>1074</v>
      </c>
      <c r="E2555" s="283" t="s">
        <v>1075</v>
      </c>
      <c r="F2555" s="283" t="s">
        <v>1080</v>
      </c>
      <c r="G2555" s="283">
        <v>2</v>
      </c>
      <c r="H2555" s="283">
        <v>0</v>
      </c>
      <c r="I2555" s="283">
        <v>2</v>
      </c>
      <c r="J2555" s="284">
        <v>0</v>
      </c>
    </row>
    <row r="2556" spans="3:10" x14ac:dyDescent="0.25">
      <c r="C2556" s="300" t="s">
        <v>1066</v>
      </c>
      <c r="D2556" s="283" t="s">
        <v>1077</v>
      </c>
      <c r="E2556" s="283" t="s">
        <v>1076</v>
      </c>
      <c r="F2556" s="283" t="s">
        <v>1075</v>
      </c>
      <c r="G2556" s="283">
        <v>2</v>
      </c>
      <c r="H2556" s="283">
        <v>0</v>
      </c>
      <c r="I2556" s="283">
        <v>1</v>
      </c>
      <c r="J2556" s="284">
        <v>0</v>
      </c>
    </row>
    <row r="2557" spans="3:10" x14ac:dyDescent="0.25">
      <c r="C2557" s="300" t="s">
        <v>1060</v>
      </c>
      <c r="D2557" s="283" t="s">
        <v>1079</v>
      </c>
      <c r="E2557" s="283" t="s">
        <v>1075</v>
      </c>
      <c r="F2557" s="283" t="s">
        <v>1075</v>
      </c>
      <c r="G2557" s="283">
        <v>3</v>
      </c>
      <c r="H2557" s="283">
        <v>0</v>
      </c>
      <c r="I2557" s="283">
        <v>1</v>
      </c>
      <c r="J2557" s="284">
        <v>0</v>
      </c>
    </row>
    <row r="2558" spans="3:10" x14ac:dyDescent="0.25">
      <c r="C2558" s="300" t="s">
        <v>1061</v>
      </c>
      <c r="D2558" s="283" t="s">
        <v>1043</v>
      </c>
      <c r="E2558" s="283" t="s">
        <v>1044</v>
      </c>
      <c r="F2558" s="283" t="s">
        <v>1092</v>
      </c>
      <c r="G2558" s="283">
        <v>2</v>
      </c>
      <c r="H2558" s="283">
        <v>0</v>
      </c>
      <c r="I2558" s="283">
        <v>0</v>
      </c>
      <c r="J2558" s="284">
        <v>0</v>
      </c>
    </row>
    <row r="2559" spans="3:10" x14ac:dyDescent="0.25">
      <c r="C2559" s="300" t="s">
        <v>1064</v>
      </c>
      <c r="D2559" s="283" t="s">
        <v>1082</v>
      </c>
      <c r="E2559" s="283" t="s">
        <v>1084</v>
      </c>
      <c r="F2559" s="283" t="s">
        <v>1075</v>
      </c>
      <c r="G2559" s="283">
        <v>2</v>
      </c>
      <c r="H2559" s="283">
        <v>0</v>
      </c>
      <c r="I2559" s="283">
        <v>1</v>
      </c>
      <c r="J2559" s="284">
        <v>1</v>
      </c>
    </row>
    <row r="2560" spans="3:10" x14ac:dyDescent="0.25">
      <c r="C2560" s="300" t="s">
        <v>1060</v>
      </c>
      <c r="D2560" s="283" t="s">
        <v>1079</v>
      </c>
      <c r="E2560" s="283" t="s">
        <v>1084</v>
      </c>
      <c r="F2560" s="283" t="s">
        <v>1076</v>
      </c>
      <c r="G2560" s="283">
        <v>2</v>
      </c>
      <c r="H2560" s="283">
        <v>0</v>
      </c>
      <c r="I2560" s="283">
        <v>0</v>
      </c>
      <c r="J2560" s="284">
        <v>0</v>
      </c>
    </row>
    <row r="2561" spans="3:10" x14ac:dyDescent="0.25">
      <c r="C2561" s="300" t="s">
        <v>1065</v>
      </c>
      <c r="D2561" s="283" t="s">
        <v>1079</v>
      </c>
      <c r="E2561" s="283" t="s">
        <v>1078</v>
      </c>
      <c r="F2561" s="283" t="s">
        <v>1093</v>
      </c>
      <c r="G2561" s="283">
        <v>2</v>
      </c>
      <c r="H2561" s="283">
        <v>0</v>
      </c>
      <c r="I2561" s="283">
        <v>0</v>
      </c>
      <c r="J2561" s="284">
        <v>0</v>
      </c>
    </row>
    <row r="2562" spans="3:10" x14ac:dyDescent="0.25">
      <c r="C2562" s="300" t="s">
        <v>1068</v>
      </c>
      <c r="D2562" s="283" t="s">
        <v>1079</v>
      </c>
      <c r="E2562" s="283" t="s">
        <v>1094</v>
      </c>
      <c r="F2562" s="283" t="s">
        <v>1075</v>
      </c>
      <c r="G2562" s="283">
        <v>2</v>
      </c>
      <c r="H2562" s="283">
        <v>0</v>
      </c>
      <c r="I2562" s="283">
        <v>0</v>
      </c>
      <c r="J2562" s="284">
        <v>0</v>
      </c>
    </row>
    <row r="2563" spans="3:10" x14ac:dyDescent="0.25">
      <c r="C2563" s="300" t="s">
        <v>1067</v>
      </c>
      <c r="D2563" s="283" t="s">
        <v>1043</v>
      </c>
      <c r="E2563" s="283" t="s">
        <v>1085</v>
      </c>
      <c r="F2563" s="283" t="s">
        <v>1092</v>
      </c>
      <c r="G2563" s="283">
        <v>2</v>
      </c>
      <c r="H2563" s="283">
        <v>0</v>
      </c>
      <c r="I2563" s="283">
        <v>0</v>
      </c>
      <c r="J2563" s="284">
        <v>0</v>
      </c>
    </row>
    <row r="2564" spans="3:10" x14ac:dyDescent="0.25">
      <c r="C2564" s="300" t="s">
        <v>1065</v>
      </c>
      <c r="D2564" s="283" t="s">
        <v>1082</v>
      </c>
      <c r="E2564" s="283" t="s">
        <v>1044</v>
      </c>
      <c r="F2564" s="283" t="s">
        <v>1083</v>
      </c>
      <c r="G2564" s="283">
        <v>2</v>
      </c>
      <c r="H2564" s="283">
        <v>0</v>
      </c>
      <c r="I2564" s="283">
        <v>1</v>
      </c>
      <c r="J2564" s="284">
        <v>0</v>
      </c>
    </row>
    <row r="2565" spans="3:10" x14ac:dyDescent="0.25">
      <c r="C2565" s="300" t="s">
        <v>1060</v>
      </c>
      <c r="D2565" s="283" t="s">
        <v>1079</v>
      </c>
      <c r="E2565" s="283" t="s">
        <v>1088</v>
      </c>
      <c r="F2565" s="283" t="s">
        <v>1075</v>
      </c>
      <c r="G2565" s="283">
        <v>2</v>
      </c>
      <c r="H2565" s="283">
        <v>0</v>
      </c>
      <c r="I2565" s="283">
        <v>0</v>
      </c>
      <c r="J2565" s="284">
        <v>0</v>
      </c>
    </row>
    <row r="2566" spans="3:10" x14ac:dyDescent="0.25">
      <c r="C2566" s="300" t="s">
        <v>1066</v>
      </c>
      <c r="D2566" s="283" t="s">
        <v>1077</v>
      </c>
      <c r="E2566" s="283" t="s">
        <v>1075</v>
      </c>
      <c r="F2566" s="283" t="s">
        <v>1075</v>
      </c>
      <c r="G2566" s="283">
        <v>2</v>
      </c>
      <c r="H2566" s="283">
        <v>0</v>
      </c>
      <c r="I2566" s="283">
        <v>0</v>
      </c>
      <c r="J2566" s="284">
        <v>0</v>
      </c>
    </row>
    <row r="2567" spans="3:10" x14ac:dyDescent="0.25">
      <c r="C2567" s="300" t="s">
        <v>1057</v>
      </c>
      <c r="D2567" s="283" t="s">
        <v>1087</v>
      </c>
      <c r="E2567" s="283" t="s">
        <v>1075</v>
      </c>
      <c r="F2567" s="283" t="s">
        <v>524</v>
      </c>
      <c r="G2567" s="283">
        <v>1</v>
      </c>
      <c r="H2567" s="283">
        <v>0</v>
      </c>
      <c r="I2567" s="283">
        <v>2</v>
      </c>
      <c r="J2567" s="284">
        <v>0</v>
      </c>
    </row>
    <row r="2568" spans="3:10" x14ac:dyDescent="0.25">
      <c r="C2568" s="300" t="s">
        <v>1062</v>
      </c>
      <c r="D2568" s="283" t="s">
        <v>1079</v>
      </c>
      <c r="E2568" s="283" t="s">
        <v>1084</v>
      </c>
      <c r="F2568" s="283" t="s">
        <v>1076</v>
      </c>
      <c r="G2568" s="283">
        <v>2</v>
      </c>
      <c r="H2568" s="283">
        <v>0</v>
      </c>
      <c r="I2568" s="283">
        <v>0</v>
      </c>
      <c r="J2568" s="284">
        <v>1</v>
      </c>
    </row>
    <row r="2569" spans="3:10" x14ac:dyDescent="0.25">
      <c r="C2569" s="300" t="s">
        <v>1063</v>
      </c>
      <c r="D2569" s="283" t="s">
        <v>1079</v>
      </c>
      <c r="E2569" s="283" t="s">
        <v>1080</v>
      </c>
      <c r="F2569" s="283" t="s">
        <v>1075</v>
      </c>
      <c r="G2569" s="283">
        <v>16</v>
      </c>
      <c r="H2569" s="283">
        <v>0</v>
      </c>
      <c r="I2569" s="283">
        <v>1</v>
      </c>
      <c r="J2569" s="284">
        <v>0</v>
      </c>
    </row>
    <row r="2570" spans="3:10" x14ac:dyDescent="0.25">
      <c r="C2570" s="300" t="s">
        <v>1067</v>
      </c>
      <c r="D2570" s="283" t="s">
        <v>1087</v>
      </c>
      <c r="E2570" s="283" t="s">
        <v>1075</v>
      </c>
      <c r="F2570" s="283" t="s">
        <v>524</v>
      </c>
      <c r="G2570" s="283">
        <v>1</v>
      </c>
      <c r="H2570" s="283">
        <v>0</v>
      </c>
      <c r="I2570" s="283">
        <v>0</v>
      </c>
      <c r="J2570" s="284">
        <v>0</v>
      </c>
    </row>
    <row r="2571" spans="3:10" x14ac:dyDescent="0.25">
      <c r="C2571" s="300" t="s">
        <v>1064</v>
      </c>
      <c r="D2571" s="283" t="s">
        <v>1074</v>
      </c>
      <c r="E2571" s="283" t="s">
        <v>1075</v>
      </c>
      <c r="F2571" s="283" t="s">
        <v>1075</v>
      </c>
      <c r="G2571" s="283">
        <v>2</v>
      </c>
      <c r="H2571" s="283">
        <v>0</v>
      </c>
      <c r="I2571" s="283">
        <v>0</v>
      </c>
      <c r="J2571" s="284">
        <v>1</v>
      </c>
    </row>
    <row r="2572" spans="3:10" x14ac:dyDescent="0.25">
      <c r="C2572" s="300" t="s">
        <v>1063</v>
      </c>
      <c r="D2572" s="283" t="s">
        <v>1079</v>
      </c>
      <c r="E2572" s="283" t="s">
        <v>1075</v>
      </c>
      <c r="F2572" s="283" t="s">
        <v>1075</v>
      </c>
      <c r="G2572" s="283">
        <v>3</v>
      </c>
      <c r="H2572" s="283">
        <v>0</v>
      </c>
      <c r="I2572" s="283">
        <v>0</v>
      </c>
      <c r="J2572" s="284">
        <v>0</v>
      </c>
    </row>
    <row r="2573" spans="3:10" x14ac:dyDescent="0.25">
      <c r="C2573" s="300" t="s">
        <v>1061</v>
      </c>
      <c r="D2573" s="283" t="s">
        <v>1079</v>
      </c>
      <c r="E2573" s="283" t="s">
        <v>1075</v>
      </c>
      <c r="F2573" s="283" t="s">
        <v>1075</v>
      </c>
      <c r="G2573" s="283">
        <v>2</v>
      </c>
      <c r="H2573" s="283">
        <v>0</v>
      </c>
      <c r="I2573" s="283">
        <v>0</v>
      </c>
      <c r="J2573" s="284">
        <v>0</v>
      </c>
    </row>
    <row r="2574" spans="3:10" x14ac:dyDescent="0.25">
      <c r="C2574" s="300" t="s">
        <v>1065</v>
      </c>
      <c r="D2574" s="283" t="s">
        <v>1077</v>
      </c>
      <c r="E2574" s="283" t="s">
        <v>1089</v>
      </c>
      <c r="F2574" s="283" t="s">
        <v>1089</v>
      </c>
      <c r="G2574" s="283">
        <v>2</v>
      </c>
      <c r="H2574" s="283">
        <v>0</v>
      </c>
      <c r="I2574" s="283">
        <v>0</v>
      </c>
      <c r="J2574" s="284">
        <v>0</v>
      </c>
    </row>
    <row r="2575" spans="3:10" x14ac:dyDescent="0.25">
      <c r="C2575" s="300" t="s">
        <v>1062</v>
      </c>
      <c r="D2575" s="283" t="s">
        <v>1074</v>
      </c>
      <c r="E2575" s="283" t="s">
        <v>1076</v>
      </c>
      <c r="F2575" s="283" t="s">
        <v>1075</v>
      </c>
      <c r="G2575" s="283">
        <v>2</v>
      </c>
      <c r="H2575" s="283">
        <v>0</v>
      </c>
      <c r="I2575" s="283">
        <v>0</v>
      </c>
      <c r="J2575" s="284">
        <v>0</v>
      </c>
    </row>
    <row r="2576" spans="3:10" x14ac:dyDescent="0.25">
      <c r="C2576" s="300" t="s">
        <v>1065</v>
      </c>
      <c r="D2576" s="283" t="s">
        <v>1079</v>
      </c>
      <c r="E2576" s="283" t="s">
        <v>1083</v>
      </c>
      <c r="F2576" s="283" t="s">
        <v>1094</v>
      </c>
      <c r="G2576" s="283">
        <v>2</v>
      </c>
      <c r="H2576" s="283">
        <v>0</v>
      </c>
      <c r="I2576" s="283">
        <v>1</v>
      </c>
      <c r="J2576" s="284">
        <v>0</v>
      </c>
    </row>
    <row r="2577" spans="3:10" x14ac:dyDescent="0.25">
      <c r="C2577" s="300" t="s">
        <v>1060</v>
      </c>
      <c r="D2577" s="283" t="s">
        <v>1090</v>
      </c>
      <c r="E2577" s="283" t="s">
        <v>1083</v>
      </c>
      <c r="F2577" s="283" t="s">
        <v>524</v>
      </c>
      <c r="G2577" s="283">
        <v>1</v>
      </c>
      <c r="H2577" s="283">
        <v>0</v>
      </c>
      <c r="I2577" s="283">
        <v>0</v>
      </c>
      <c r="J2577" s="284">
        <v>1</v>
      </c>
    </row>
    <row r="2578" spans="3:10" x14ac:dyDescent="0.25">
      <c r="C2578" s="300" t="s">
        <v>1061</v>
      </c>
      <c r="D2578" s="283" t="s">
        <v>1077</v>
      </c>
      <c r="E2578" s="283" t="s">
        <v>1075</v>
      </c>
      <c r="F2578" s="283" t="s">
        <v>1075</v>
      </c>
      <c r="G2578" s="283">
        <v>2</v>
      </c>
      <c r="H2578" s="283">
        <v>0</v>
      </c>
      <c r="I2578" s="283">
        <v>0</v>
      </c>
      <c r="J2578" s="284">
        <v>1</v>
      </c>
    </row>
    <row r="2579" spans="3:10" x14ac:dyDescent="0.25">
      <c r="C2579" s="300" t="s">
        <v>1061</v>
      </c>
      <c r="D2579" s="283" t="s">
        <v>1079</v>
      </c>
      <c r="E2579" s="283" t="s">
        <v>1076</v>
      </c>
      <c r="F2579" s="283" t="s">
        <v>1078</v>
      </c>
      <c r="G2579" s="283">
        <v>2</v>
      </c>
      <c r="H2579" s="283">
        <v>0</v>
      </c>
      <c r="I2579" s="283">
        <v>0</v>
      </c>
      <c r="J2579" s="284">
        <v>0</v>
      </c>
    </row>
    <row r="2580" spans="3:10" x14ac:dyDescent="0.25">
      <c r="C2580" s="300" t="s">
        <v>1066</v>
      </c>
      <c r="D2580" s="283" t="s">
        <v>1079</v>
      </c>
      <c r="E2580" s="283" t="s">
        <v>1075</v>
      </c>
      <c r="F2580" s="283" t="s">
        <v>1083</v>
      </c>
      <c r="G2580" s="283">
        <v>2</v>
      </c>
      <c r="H2580" s="283">
        <v>0</v>
      </c>
      <c r="I2580" s="283">
        <v>1</v>
      </c>
      <c r="J2580" s="284">
        <v>1</v>
      </c>
    </row>
    <row r="2581" spans="3:10" x14ac:dyDescent="0.25">
      <c r="C2581" s="300" t="s">
        <v>1063</v>
      </c>
      <c r="D2581" s="283" t="s">
        <v>1074</v>
      </c>
      <c r="E2581" s="283" t="s">
        <v>1075</v>
      </c>
      <c r="F2581" s="283" t="s">
        <v>1075</v>
      </c>
      <c r="G2581" s="283">
        <v>2</v>
      </c>
      <c r="H2581" s="283">
        <v>0</v>
      </c>
      <c r="I2581" s="283">
        <v>0</v>
      </c>
      <c r="J2581" s="284">
        <v>0</v>
      </c>
    </row>
    <row r="2582" spans="3:10" x14ac:dyDescent="0.25">
      <c r="C2582" s="300" t="s">
        <v>1065</v>
      </c>
      <c r="D2582" s="283" t="s">
        <v>1074</v>
      </c>
      <c r="E2582" s="283" t="s">
        <v>1076</v>
      </c>
      <c r="F2582" s="283" t="s">
        <v>1075</v>
      </c>
      <c r="G2582" s="283">
        <v>2</v>
      </c>
      <c r="H2582" s="283">
        <v>0</v>
      </c>
      <c r="I2582" s="283">
        <v>0</v>
      </c>
      <c r="J2582" s="284">
        <v>0</v>
      </c>
    </row>
    <row r="2583" spans="3:10" x14ac:dyDescent="0.25">
      <c r="C2583" s="300" t="s">
        <v>1062</v>
      </c>
      <c r="D2583" s="283" t="s">
        <v>1077</v>
      </c>
      <c r="E2583" s="283" t="s">
        <v>1089</v>
      </c>
      <c r="F2583" s="283" t="s">
        <v>1089</v>
      </c>
      <c r="G2583" s="283">
        <v>2</v>
      </c>
      <c r="H2583" s="283">
        <v>0</v>
      </c>
      <c r="I2583" s="283">
        <v>0</v>
      </c>
      <c r="J2583" s="284">
        <v>0</v>
      </c>
    </row>
    <row r="2584" spans="3:10" x14ac:dyDescent="0.25">
      <c r="C2584" s="300" t="s">
        <v>1061</v>
      </c>
      <c r="D2584" s="283" t="s">
        <v>1087</v>
      </c>
      <c r="E2584" s="283" t="s">
        <v>1078</v>
      </c>
      <c r="F2584" s="283" t="s">
        <v>524</v>
      </c>
      <c r="G2584" s="283">
        <v>1</v>
      </c>
      <c r="H2584" s="283">
        <v>0</v>
      </c>
      <c r="I2584" s="283">
        <v>0</v>
      </c>
      <c r="J2584" s="284">
        <v>0</v>
      </c>
    </row>
    <row r="2585" spans="3:10" x14ac:dyDescent="0.25">
      <c r="C2585" s="300" t="s">
        <v>1062</v>
      </c>
      <c r="D2585" s="283" t="s">
        <v>1074</v>
      </c>
      <c r="E2585" s="283" t="s">
        <v>1075</v>
      </c>
      <c r="F2585" s="283" t="s">
        <v>1089</v>
      </c>
      <c r="G2585" s="283">
        <v>2</v>
      </c>
      <c r="H2585" s="283">
        <v>0</v>
      </c>
      <c r="I2585" s="283">
        <v>0</v>
      </c>
      <c r="J2585" s="284">
        <v>0</v>
      </c>
    </row>
    <row r="2586" spans="3:10" x14ac:dyDescent="0.25">
      <c r="C2586" s="300" t="s">
        <v>1061</v>
      </c>
      <c r="D2586" s="283" t="s">
        <v>1043</v>
      </c>
      <c r="E2586" s="283" t="s">
        <v>1075</v>
      </c>
      <c r="F2586" s="283" t="s">
        <v>1092</v>
      </c>
      <c r="G2586" s="283">
        <v>2</v>
      </c>
      <c r="H2586" s="283">
        <v>0</v>
      </c>
      <c r="I2586" s="283">
        <v>0</v>
      </c>
      <c r="J2586" s="284">
        <v>0</v>
      </c>
    </row>
    <row r="2587" spans="3:10" x14ac:dyDescent="0.25">
      <c r="C2587" s="300" t="s">
        <v>1064</v>
      </c>
      <c r="D2587" s="283" t="s">
        <v>1077</v>
      </c>
      <c r="E2587" s="283" t="s">
        <v>1084</v>
      </c>
      <c r="F2587" s="283" t="s">
        <v>1089</v>
      </c>
      <c r="G2587" s="283">
        <v>2</v>
      </c>
      <c r="H2587" s="283">
        <v>0</v>
      </c>
      <c r="I2587" s="283">
        <v>0</v>
      </c>
      <c r="J2587" s="284">
        <v>0</v>
      </c>
    </row>
    <row r="2588" spans="3:10" x14ac:dyDescent="0.25">
      <c r="C2588" s="300" t="s">
        <v>1065</v>
      </c>
      <c r="D2588" s="283" t="s">
        <v>1079</v>
      </c>
      <c r="E2588" s="283" t="s">
        <v>1078</v>
      </c>
      <c r="F2588" s="283" t="s">
        <v>1078</v>
      </c>
      <c r="G2588" s="283">
        <v>2</v>
      </c>
      <c r="H2588" s="283">
        <v>0</v>
      </c>
      <c r="I2588" s="283">
        <v>0</v>
      </c>
      <c r="J2588" s="284">
        <v>0</v>
      </c>
    </row>
    <row r="2589" spans="3:10" x14ac:dyDescent="0.25">
      <c r="C2589" s="300" t="s">
        <v>1061</v>
      </c>
      <c r="D2589" s="283" t="s">
        <v>1077</v>
      </c>
      <c r="E2589" s="283" t="s">
        <v>1078</v>
      </c>
      <c r="F2589" s="283" t="s">
        <v>1080</v>
      </c>
      <c r="G2589" s="283">
        <v>2</v>
      </c>
      <c r="H2589" s="283">
        <v>0</v>
      </c>
      <c r="I2589" s="283">
        <v>0</v>
      </c>
      <c r="J2589" s="284">
        <v>0</v>
      </c>
    </row>
    <row r="2590" spans="3:10" x14ac:dyDescent="0.25">
      <c r="C2590" s="300" t="s">
        <v>1061</v>
      </c>
      <c r="D2590" s="283" t="s">
        <v>1077</v>
      </c>
      <c r="E2590" s="283" t="s">
        <v>1075</v>
      </c>
      <c r="F2590" s="283" t="s">
        <v>1075</v>
      </c>
      <c r="G2590" s="283">
        <v>3</v>
      </c>
      <c r="H2590" s="283">
        <v>0</v>
      </c>
      <c r="I2590" s="283">
        <v>0</v>
      </c>
      <c r="J2590" s="284">
        <v>0</v>
      </c>
    </row>
    <row r="2591" spans="3:10" x14ac:dyDescent="0.25">
      <c r="C2591" s="300" t="s">
        <v>1061</v>
      </c>
      <c r="D2591" s="283" t="s">
        <v>1079</v>
      </c>
      <c r="E2591" s="283" t="s">
        <v>1076</v>
      </c>
      <c r="F2591" s="283" t="s">
        <v>1075</v>
      </c>
      <c r="G2591" s="283">
        <v>2</v>
      </c>
      <c r="H2591" s="283">
        <v>0</v>
      </c>
      <c r="I2591" s="283">
        <v>0</v>
      </c>
      <c r="J2591" s="284">
        <v>0</v>
      </c>
    </row>
    <row r="2592" spans="3:10" x14ac:dyDescent="0.25">
      <c r="C2592" s="300" t="s">
        <v>1062</v>
      </c>
      <c r="D2592" s="283" t="s">
        <v>1079</v>
      </c>
      <c r="E2592" s="283" t="s">
        <v>1044</v>
      </c>
      <c r="F2592" s="283" t="s">
        <v>1075</v>
      </c>
      <c r="G2592" s="283">
        <v>2</v>
      </c>
      <c r="H2592" s="283">
        <v>0</v>
      </c>
      <c r="I2592" s="283">
        <v>0</v>
      </c>
      <c r="J2592" s="284">
        <v>0</v>
      </c>
    </row>
    <row r="2593" spans="3:10" x14ac:dyDescent="0.25">
      <c r="C2593" s="300" t="s">
        <v>1065</v>
      </c>
      <c r="D2593" s="283" t="s">
        <v>1087</v>
      </c>
      <c r="E2593" s="283" t="s">
        <v>1075</v>
      </c>
      <c r="F2593" s="283" t="s">
        <v>524</v>
      </c>
      <c r="G2593" s="283">
        <v>1</v>
      </c>
      <c r="H2593" s="283">
        <v>0</v>
      </c>
      <c r="I2593" s="283">
        <v>0</v>
      </c>
      <c r="J2593" s="284">
        <v>0</v>
      </c>
    </row>
    <row r="2594" spans="3:10" x14ac:dyDescent="0.25">
      <c r="C2594" s="300" t="s">
        <v>1066</v>
      </c>
      <c r="D2594" s="283" t="s">
        <v>1077</v>
      </c>
      <c r="E2594" s="283" t="s">
        <v>1075</v>
      </c>
      <c r="F2594" s="283" t="s">
        <v>1089</v>
      </c>
      <c r="G2594" s="283">
        <v>3</v>
      </c>
      <c r="H2594" s="283">
        <v>0</v>
      </c>
      <c r="I2594" s="283">
        <v>0</v>
      </c>
      <c r="J2594" s="284">
        <v>0</v>
      </c>
    </row>
    <row r="2595" spans="3:10" x14ac:dyDescent="0.25">
      <c r="C2595" s="300" t="s">
        <v>1060</v>
      </c>
      <c r="D2595" s="283" t="s">
        <v>1079</v>
      </c>
      <c r="E2595" s="283" t="s">
        <v>1084</v>
      </c>
      <c r="F2595" s="283" t="s">
        <v>1075</v>
      </c>
      <c r="G2595" s="283">
        <v>2</v>
      </c>
      <c r="H2595" s="283">
        <v>0</v>
      </c>
      <c r="I2595" s="283">
        <v>0</v>
      </c>
      <c r="J2595" s="284">
        <v>0</v>
      </c>
    </row>
    <row r="2596" spans="3:10" x14ac:dyDescent="0.25">
      <c r="C2596" s="300" t="s">
        <v>1065</v>
      </c>
      <c r="D2596" s="283" t="s">
        <v>1077</v>
      </c>
      <c r="E2596" s="283" t="s">
        <v>1075</v>
      </c>
      <c r="F2596" s="283" t="s">
        <v>1089</v>
      </c>
      <c r="G2596" s="283">
        <v>2</v>
      </c>
      <c r="H2596" s="283">
        <v>0</v>
      </c>
      <c r="I2596" s="283">
        <v>0</v>
      </c>
      <c r="J2596" s="284">
        <v>0</v>
      </c>
    </row>
    <row r="2597" spans="3:10" x14ac:dyDescent="0.25">
      <c r="C2597" s="300" t="s">
        <v>1063</v>
      </c>
      <c r="D2597" s="283" t="s">
        <v>1079</v>
      </c>
      <c r="E2597" s="283" t="s">
        <v>1075</v>
      </c>
      <c r="F2597" s="283" t="s">
        <v>1084</v>
      </c>
      <c r="G2597" s="283">
        <v>2</v>
      </c>
      <c r="H2597" s="283">
        <v>0</v>
      </c>
      <c r="I2597" s="283">
        <v>0</v>
      </c>
      <c r="J2597" s="284">
        <v>0</v>
      </c>
    </row>
    <row r="2598" spans="3:10" x14ac:dyDescent="0.25">
      <c r="C2598" s="300" t="s">
        <v>1064</v>
      </c>
      <c r="D2598" s="283" t="s">
        <v>1077</v>
      </c>
      <c r="E2598" s="283" t="s">
        <v>1076</v>
      </c>
      <c r="F2598" s="283" t="s">
        <v>1078</v>
      </c>
      <c r="G2598" s="283">
        <v>2</v>
      </c>
      <c r="H2598" s="283">
        <v>0</v>
      </c>
      <c r="I2598" s="283">
        <v>0</v>
      </c>
      <c r="J2598" s="284">
        <v>0</v>
      </c>
    </row>
    <row r="2599" spans="3:10" x14ac:dyDescent="0.25">
      <c r="C2599" s="300" t="s">
        <v>1062</v>
      </c>
      <c r="D2599" s="283" t="s">
        <v>1077</v>
      </c>
      <c r="E2599" s="283" t="s">
        <v>1080</v>
      </c>
      <c r="F2599" s="283" t="s">
        <v>1089</v>
      </c>
      <c r="G2599" s="283">
        <v>2</v>
      </c>
      <c r="H2599" s="283">
        <v>0</v>
      </c>
      <c r="I2599" s="283">
        <v>0</v>
      </c>
      <c r="J2599" s="284">
        <v>0</v>
      </c>
    </row>
    <row r="2600" spans="3:10" x14ac:dyDescent="0.25">
      <c r="C2600" s="300" t="s">
        <v>1065</v>
      </c>
      <c r="D2600" s="283" t="s">
        <v>1079</v>
      </c>
      <c r="E2600" s="283" t="s">
        <v>1075</v>
      </c>
      <c r="F2600" s="283" t="s">
        <v>1084</v>
      </c>
      <c r="G2600" s="283">
        <v>2</v>
      </c>
      <c r="H2600" s="283">
        <v>0</v>
      </c>
      <c r="I2600" s="283">
        <v>0</v>
      </c>
      <c r="J2600" s="284">
        <v>0</v>
      </c>
    </row>
    <row r="2601" spans="3:10" x14ac:dyDescent="0.25">
      <c r="C2601" s="300" t="s">
        <v>1064</v>
      </c>
      <c r="D2601" s="283" t="s">
        <v>1087</v>
      </c>
      <c r="E2601" s="283" t="s">
        <v>1075</v>
      </c>
      <c r="F2601" s="283" t="s">
        <v>524</v>
      </c>
      <c r="G2601" s="283">
        <v>1</v>
      </c>
      <c r="H2601" s="283">
        <v>0</v>
      </c>
      <c r="I2601" s="283">
        <v>0</v>
      </c>
      <c r="J2601" s="284">
        <v>0</v>
      </c>
    </row>
    <row r="2602" spans="3:10" x14ac:dyDescent="0.25">
      <c r="C2602" s="300" t="s">
        <v>1065</v>
      </c>
      <c r="D2602" s="283" t="s">
        <v>1074</v>
      </c>
      <c r="E2602" s="283" t="s">
        <v>1075</v>
      </c>
      <c r="F2602" s="283" t="s">
        <v>1075</v>
      </c>
      <c r="G2602" s="283">
        <v>2</v>
      </c>
      <c r="H2602" s="283">
        <v>0</v>
      </c>
      <c r="I2602" s="283">
        <v>0</v>
      </c>
      <c r="J2602" s="284">
        <v>1</v>
      </c>
    </row>
    <row r="2603" spans="3:10" x14ac:dyDescent="0.25">
      <c r="C2603" s="300" t="s">
        <v>1062</v>
      </c>
      <c r="D2603" s="283" t="s">
        <v>1074</v>
      </c>
      <c r="E2603" s="283" t="s">
        <v>1075</v>
      </c>
      <c r="F2603" s="283" t="s">
        <v>1075</v>
      </c>
      <c r="G2603" s="283">
        <v>2</v>
      </c>
      <c r="H2603" s="283">
        <v>0</v>
      </c>
      <c r="I2603" s="283">
        <v>0</v>
      </c>
      <c r="J2603" s="284">
        <v>0</v>
      </c>
    </row>
    <row r="2604" spans="3:10" x14ac:dyDescent="0.25">
      <c r="C2604" s="300" t="s">
        <v>1065</v>
      </c>
      <c r="D2604" s="283" t="s">
        <v>1087</v>
      </c>
      <c r="E2604" s="283" t="s">
        <v>1075</v>
      </c>
      <c r="F2604" s="283" t="s">
        <v>524</v>
      </c>
      <c r="G2604" s="283">
        <v>1</v>
      </c>
      <c r="H2604" s="283">
        <v>0</v>
      </c>
      <c r="I2604" s="283">
        <v>1</v>
      </c>
      <c r="J2604" s="284">
        <v>0</v>
      </c>
    </row>
    <row r="2605" spans="3:10" x14ac:dyDescent="0.25">
      <c r="C2605" s="300" t="s">
        <v>1062</v>
      </c>
      <c r="D2605" s="283" t="s">
        <v>1090</v>
      </c>
      <c r="E2605" s="283" t="s">
        <v>1075</v>
      </c>
      <c r="F2605" s="283" t="s">
        <v>524</v>
      </c>
      <c r="G2605" s="283">
        <v>1</v>
      </c>
      <c r="H2605" s="283">
        <v>0</v>
      </c>
      <c r="I2605" s="283">
        <v>1</v>
      </c>
      <c r="J2605" s="284">
        <v>0</v>
      </c>
    </row>
    <row r="2606" spans="3:10" x14ac:dyDescent="0.25">
      <c r="C2606" s="300" t="s">
        <v>1061</v>
      </c>
      <c r="D2606" s="283" t="s">
        <v>1074</v>
      </c>
      <c r="E2606" s="283" t="s">
        <v>1075</v>
      </c>
      <c r="F2606" s="283" t="s">
        <v>1044</v>
      </c>
      <c r="G2606" s="283">
        <v>2</v>
      </c>
      <c r="H2606" s="283">
        <v>0</v>
      </c>
      <c r="I2606" s="283">
        <v>0</v>
      </c>
      <c r="J2606" s="284">
        <v>0</v>
      </c>
    </row>
    <row r="2607" spans="3:10" x14ac:dyDescent="0.25">
      <c r="C2607" s="300" t="s">
        <v>1063</v>
      </c>
      <c r="D2607" s="283" t="s">
        <v>1079</v>
      </c>
      <c r="E2607" s="283" t="s">
        <v>1075</v>
      </c>
      <c r="F2607" s="283" t="s">
        <v>1075</v>
      </c>
      <c r="G2607" s="283">
        <v>2</v>
      </c>
      <c r="H2607" s="283">
        <v>0</v>
      </c>
      <c r="I2607" s="283">
        <v>0</v>
      </c>
      <c r="J2607" s="284">
        <v>0</v>
      </c>
    </row>
    <row r="2608" spans="3:10" x14ac:dyDescent="0.25">
      <c r="C2608" s="300" t="s">
        <v>1066</v>
      </c>
      <c r="D2608" s="283" t="s">
        <v>1079</v>
      </c>
      <c r="E2608" s="283" t="s">
        <v>1089</v>
      </c>
      <c r="F2608" s="283" t="s">
        <v>1075</v>
      </c>
      <c r="G2608" s="283">
        <v>3</v>
      </c>
      <c r="H2608" s="283">
        <v>0</v>
      </c>
      <c r="I2608" s="283">
        <v>0</v>
      </c>
      <c r="J2608" s="284">
        <v>0</v>
      </c>
    </row>
    <row r="2609" spans="3:10" x14ac:dyDescent="0.25">
      <c r="C2609" s="300" t="s">
        <v>1065</v>
      </c>
      <c r="D2609" s="283" t="s">
        <v>1074</v>
      </c>
      <c r="E2609" s="283" t="s">
        <v>1075</v>
      </c>
      <c r="F2609" s="283" t="s">
        <v>1089</v>
      </c>
      <c r="G2609" s="283">
        <v>2</v>
      </c>
      <c r="H2609" s="283">
        <v>0</v>
      </c>
      <c r="I2609" s="283">
        <v>1</v>
      </c>
      <c r="J2609" s="284">
        <v>0</v>
      </c>
    </row>
    <row r="2610" spans="3:10" x14ac:dyDescent="0.25">
      <c r="C2610" s="300" t="s">
        <v>1059</v>
      </c>
      <c r="D2610" s="283" t="s">
        <v>1074</v>
      </c>
      <c r="E2610" s="283" t="s">
        <v>1076</v>
      </c>
      <c r="F2610" s="283" t="s">
        <v>1083</v>
      </c>
      <c r="G2610" s="283">
        <v>2</v>
      </c>
      <c r="H2610" s="283">
        <v>0</v>
      </c>
      <c r="I2610" s="283">
        <v>0</v>
      </c>
      <c r="J2610" s="284">
        <v>1</v>
      </c>
    </row>
    <row r="2611" spans="3:10" x14ac:dyDescent="0.25">
      <c r="C2611" s="300" t="s">
        <v>1057</v>
      </c>
      <c r="D2611" s="283" t="s">
        <v>1087</v>
      </c>
      <c r="E2611" s="283" t="s">
        <v>1089</v>
      </c>
      <c r="F2611" s="283" t="s">
        <v>524</v>
      </c>
      <c r="G2611" s="283">
        <v>1</v>
      </c>
      <c r="H2611" s="283">
        <v>0</v>
      </c>
      <c r="I2611" s="283">
        <v>0</v>
      </c>
      <c r="J2611" s="284">
        <v>0</v>
      </c>
    </row>
    <row r="2612" spans="3:10" x14ac:dyDescent="0.25">
      <c r="C2612" s="300" t="s">
        <v>1060</v>
      </c>
      <c r="D2612" s="283" t="s">
        <v>1077</v>
      </c>
      <c r="E2612" s="283" t="s">
        <v>1075</v>
      </c>
      <c r="F2612" s="283" t="s">
        <v>1094</v>
      </c>
      <c r="G2612" s="283">
        <v>2</v>
      </c>
      <c r="H2612" s="283">
        <v>0</v>
      </c>
      <c r="I2612" s="283">
        <v>0</v>
      </c>
      <c r="J2612" s="284">
        <v>2</v>
      </c>
    </row>
    <row r="2613" spans="3:10" x14ac:dyDescent="0.25">
      <c r="C2613" s="300" t="s">
        <v>1062</v>
      </c>
      <c r="D2613" s="283" t="s">
        <v>1087</v>
      </c>
      <c r="E2613" s="283" t="s">
        <v>1088</v>
      </c>
      <c r="F2613" s="283" t="s">
        <v>524</v>
      </c>
      <c r="G2613" s="283">
        <v>1</v>
      </c>
      <c r="H2613" s="283">
        <v>0</v>
      </c>
      <c r="I2613" s="283">
        <v>0</v>
      </c>
      <c r="J2613" s="284">
        <v>0</v>
      </c>
    </row>
    <row r="2614" spans="3:10" x14ac:dyDescent="0.25">
      <c r="C2614" s="300" t="s">
        <v>1066</v>
      </c>
      <c r="D2614" s="283" t="s">
        <v>1079</v>
      </c>
      <c r="E2614" s="283" t="s">
        <v>1089</v>
      </c>
      <c r="F2614" s="283" t="s">
        <v>1075</v>
      </c>
      <c r="G2614" s="283">
        <v>2</v>
      </c>
      <c r="H2614" s="283">
        <v>0</v>
      </c>
      <c r="I2614" s="283">
        <v>0</v>
      </c>
      <c r="J2614" s="284">
        <v>1</v>
      </c>
    </row>
    <row r="2615" spans="3:10" x14ac:dyDescent="0.25">
      <c r="C2615" s="300" t="s">
        <v>1061</v>
      </c>
      <c r="D2615" s="283" t="s">
        <v>1043</v>
      </c>
      <c r="E2615" s="283" t="s">
        <v>1084</v>
      </c>
      <c r="F2615" s="283" t="s">
        <v>1092</v>
      </c>
      <c r="G2615" s="283">
        <v>2</v>
      </c>
      <c r="H2615" s="283">
        <v>0</v>
      </c>
      <c r="I2615" s="283">
        <v>0</v>
      </c>
      <c r="J2615" s="284">
        <v>1</v>
      </c>
    </row>
    <row r="2616" spans="3:10" x14ac:dyDescent="0.25">
      <c r="C2616" s="300" t="s">
        <v>1064</v>
      </c>
      <c r="D2616" s="283" t="s">
        <v>1079</v>
      </c>
      <c r="E2616" s="283" t="s">
        <v>1075</v>
      </c>
      <c r="F2616" s="283" t="s">
        <v>1078</v>
      </c>
      <c r="G2616" s="283">
        <v>2</v>
      </c>
      <c r="H2616" s="283">
        <v>0</v>
      </c>
      <c r="I2616" s="283">
        <v>0</v>
      </c>
      <c r="J2616" s="284">
        <v>0</v>
      </c>
    </row>
    <row r="2617" spans="3:10" x14ac:dyDescent="0.25">
      <c r="C2617" s="300" t="s">
        <v>1064</v>
      </c>
      <c r="D2617" s="283" t="s">
        <v>1077</v>
      </c>
      <c r="E2617" s="283" t="s">
        <v>1089</v>
      </c>
      <c r="F2617" s="283" t="s">
        <v>1078</v>
      </c>
      <c r="G2617" s="283">
        <v>2</v>
      </c>
      <c r="H2617" s="283">
        <v>0</v>
      </c>
      <c r="I2617" s="283">
        <v>0</v>
      </c>
      <c r="J2617" s="284">
        <v>0</v>
      </c>
    </row>
    <row r="2618" spans="3:10" x14ac:dyDescent="0.25">
      <c r="C2618" s="300" t="s">
        <v>1063</v>
      </c>
      <c r="D2618" s="283" t="s">
        <v>1090</v>
      </c>
      <c r="E2618" s="283" t="s">
        <v>1075</v>
      </c>
      <c r="F2618" s="283" t="s">
        <v>524</v>
      </c>
      <c r="G2618" s="283">
        <v>1</v>
      </c>
      <c r="H2618" s="283">
        <v>0</v>
      </c>
      <c r="I2618" s="283">
        <v>0</v>
      </c>
      <c r="J2618" s="284">
        <v>0</v>
      </c>
    </row>
    <row r="2619" spans="3:10" x14ac:dyDescent="0.25">
      <c r="C2619" s="300" t="s">
        <v>1064</v>
      </c>
      <c r="D2619" s="283" t="s">
        <v>1077</v>
      </c>
      <c r="E2619" s="283" t="s">
        <v>1075</v>
      </c>
      <c r="F2619" s="283" t="s">
        <v>1094</v>
      </c>
      <c r="G2619" s="283">
        <v>2</v>
      </c>
      <c r="H2619" s="283">
        <v>0</v>
      </c>
      <c r="I2619" s="283">
        <v>0</v>
      </c>
      <c r="J2619" s="284">
        <v>0</v>
      </c>
    </row>
    <row r="2620" spans="3:10" x14ac:dyDescent="0.25">
      <c r="C2620" s="300" t="s">
        <v>1065</v>
      </c>
      <c r="D2620" s="283" t="s">
        <v>1077</v>
      </c>
      <c r="E2620" s="283" t="s">
        <v>1075</v>
      </c>
      <c r="F2620" s="283" t="s">
        <v>1075</v>
      </c>
      <c r="G2620" s="283">
        <v>3</v>
      </c>
      <c r="H2620" s="283">
        <v>0</v>
      </c>
      <c r="I2620" s="283">
        <v>0</v>
      </c>
      <c r="J2620" s="284">
        <v>0</v>
      </c>
    </row>
    <row r="2621" spans="3:10" x14ac:dyDescent="0.25">
      <c r="C2621" s="300" t="s">
        <v>1063</v>
      </c>
      <c r="D2621" s="283" t="s">
        <v>1079</v>
      </c>
      <c r="E2621" s="283" t="s">
        <v>1076</v>
      </c>
      <c r="F2621" s="283" t="s">
        <v>1075</v>
      </c>
      <c r="G2621" s="283">
        <v>2</v>
      </c>
      <c r="H2621" s="283">
        <v>0</v>
      </c>
      <c r="I2621" s="283">
        <v>0</v>
      </c>
      <c r="J2621" s="284">
        <v>0</v>
      </c>
    </row>
    <row r="2622" spans="3:10" x14ac:dyDescent="0.25">
      <c r="C2622" s="300" t="s">
        <v>1065</v>
      </c>
      <c r="D2622" s="283" t="s">
        <v>1079</v>
      </c>
      <c r="E2622" s="283" t="s">
        <v>1075</v>
      </c>
      <c r="F2622" s="283" t="s">
        <v>1081</v>
      </c>
      <c r="G2622" s="283">
        <v>2</v>
      </c>
      <c r="H2622" s="283">
        <v>0</v>
      </c>
      <c r="I2622" s="283">
        <v>0</v>
      </c>
      <c r="J2622" s="284">
        <v>0</v>
      </c>
    </row>
    <row r="2623" spans="3:10" x14ac:dyDescent="0.25">
      <c r="C2623" s="300" t="s">
        <v>1059</v>
      </c>
      <c r="D2623" s="283" t="s">
        <v>1079</v>
      </c>
      <c r="E2623" s="283" t="s">
        <v>1076</v>
      </c>
      <c r="F2623" s="283" t="s">
        <v>1076</v>
      </c>
      <c r="G2623" s="283">
        <v>2</v>
      </c>
      <c r="H2623" s="283">
        <v>0</v>
      </c>
      <c r="I2623" s="283">
        <v>1</v>
      </c>
      <c r="J2623" s="284">
        <v>0</v>
      </c>
    </row>
    <row r="2624" spans="3:10" x14ac:dyDescent="0.25">
      <c r="C2624" s="300" t="s">
        <v>1066</v>
      </c>
      <c r="D2624" s="283" t="s">
        <v>1077</v>
      </c>
      <c r="E2624" s="283" t="s">
        <v>1075</v>
      </c>
      <c r="F2624" s="283" t="s">
        <v>1075</v>
      </c>
      <c r="G2624" s="283">
        <v>2</v>
      </c>
      <c r="H2624" s="283">
        <v>0</v>
      </c>
      <c r="I2624" s="283">
        <v>0</v>
      </c>
      <c r="J2624" s="284">
        <v>0</v>
      </c>
    </row>
    <row r="2625" spans="3:10" x14ac:dyDescent="0.25">
      <c r="C2625" s="300" t="s">
        <v>1057</v>
      </c>
      <c r="D2625" s="283" t="s">
        <v>1074</v>
      </c>
      <c r="E2625" s="283" t="s">
        <v>1075</v>
      </c>
      <c r="F2625" s="283" t="s">
        <v>1084</v>
      </c>
      <c r="G2625" s="283">
        <v>2</v>
      </c>
      <c r="H2625" s="283">
        <v>0</v>
      </c>
      <c r="I2625" s="283">
        <v>0</v>
      </c>
      <c r="J2625" s="284">
        <v>1</v>
      </c>
    </row>
    <row r="2626" spans="3:10" x14ac:dyDescent="0.25">
      <c r="C2626" s="300" t="s">
        <v>1062</v>
      </c>
      <c r="D2626" s="283" t="s">
        <v>1079</v>
      </c>
      <c r="E2626" s="283" t="s">
        <v>1075</v>
      </c>
      <c r="F2626" s="283" t="s">
        <v>1075</v>
      </c>
      <c r="G2626" s="283">
        <v>2</v>
      </c>
      <c r="H2626" s="283">
        <v>0</v>
      </c>
      <c r="I2626" s="283">
        <v>0</v>
      </c>
      <c r="J2626" s="284">
        <v>0</v>
      </c>
    </row>
    <row r="2627" spans="3:10" x14ac:dyDescent="0.25">
      <c r="C2627" s="300" t="s">
        <v>1065</v>
      </c>
      <c r="D2627" s="283" t="s">
        <v>1106</v>
      </c>
      <c r="E2627" s="283" t="s">
        <v>1085</v>
      </c>
      <c r="F2627" s="283" t="s">
        <v>524</v>
      </c>
      <c r="G2627" s="283">
        <v>1</v>
      </c>
      <c r="H2627" s="283">
        <v>0</v>
      </c>
      <c r="I2627" s="283">
        <v>0</v>
      </c>
      <c r="J2627" s="284">
        <v>0</v>
      </c>
    </row>
    <row r="2628" spans="3:10" x14ac:dyDescent="0.25">
      <c r="C2628" s="300" t="s">
        <v>1068</v>
      </c>
      <c r="D2628" s="283" t="s">
        <v>1074</v>
      </c>
      <c r="E2628" s="283" t="s">
        <v>1075</v>
      </c>
      <c r="F2628" s="283" t="s">
        <v>1075</v>
      </c>
      <c r="G2628" s="283">
        <v>2</v>
      </c>
      <c r="H2628" s="283">
        <v>0</v>
      </c>
      <c r="I2628" s="283">
        <v>0</v>
      </c>
      <c r="J2628" s="284">
        <v>0</v>
      </c>
    </row>
    <row r="2629" spans="3:10" x14ac:dyDescent="0.25">
      <c r="C2629" s="300" t="s">
        <v>1063</v>
      </c>
      <c r="D2629" s="283" t="s">
        <v>1079</v>
      </c>
      <c r="E2629" s="283" t="s">
        <v>1075</v>
      </c>
      <c r="F2629" s="283" t="s">
        <v>1089</v>
      </c>
      <c r="G2629" s="283">
        <v>2</v>
      </c>
      <c r="H2629" s="283">
        <v>0</v>
      </c>
      <c r="I2629" s="283">
        <v>0</v>
      </c>
      <c r="J2629" s="284">
        <v>0</v>
      </c>
    </row>
    <row r="2630" spans="3:10" x14ac:dyDescent="0.25">
      <c r="C2630" s="300" t="s">
        <v>1066</v>
      </c>
      <c r="D2630" s="283" t="s">
        <v>1074</v>
      </c>
      <c r="E2630" s="283" t="s">
        <v>1075</v>
      </c>
      <c r="F2630" s="283" t="s">
        <v>1075</v>
      </c>
      <c r="G2630" s="283">
        <v>2</v>
      </c>
      <c r="H2630" s="283">
        <v>0</v>
      </c>
      <c r="I2630" s="283">
        <v>0</v>
      </c>
      <c r="J2630" s="284">
        <v>1</v>
      </c>
    </row>
    <row r="2631" spans="3:10" x14ac:dyDescent="0.25">
      <c r="C2631" s="300" t="s">
        <v>1061</v>
      </c>
      <c r="D2631" s="283" t="s">
        <v>1077</v>
      </c>
      <c r="E2631" s="283" t="s">
        <v>1076</v>
      </c>
      <c r="F2631" s="283" t="s">
        <v>1075</v>
      </c>
      <c r="G2631" s="283">
        <v>2</v>
      </c>
      <c r="H2631" s="283">
        <v>0</v>
      </c>
      <c r="I2631" s="283">
        <v>0</v>
      </c>
      <c r="J2631" s="284">
        <v>0</v>
      </c>
    </row>
    <row r="2632" spans="3:10" x14ac:dyDescent="0.25">
      <c r="C2632" s="300" t="s">
        <v>1064</v>
      </c>
      <c r="D2632" s="283" t="s">
        <v>1079</v>
      </c>
      <c r="E2632" s="283" t="s">
        <v>1075</v>
      </c>
      <c r="F2632" s="283" t="s">
        <v>1075</v>
      </c>
      <c r="G2632" s="283">
        <v>2</v>
      </c>
      <c r="H2632" s="283">
        <v>0</v>
      </c>
      <c r="I2632" s="283">
        <v>0</v>
      </c>
      <c r="J2632" s="284">
        <v>0</v>
      </c>
    </row>
    <row r="2633" spans="3:10" x14ac:dyDescent="0.25">
      <c r="C2633" s="300" t="s">
        <v>1063</v>
      </c>
      <c r="D2633" s="283" t="s">
        <v>1090</v>
      </c>
      <c r="E2633" s="283" t="s">
        <v>1083</v>
      </c>
      <c r="F2633" s="283" t="s">
        <v>524</v>
      </c>
      <c r="G2633" s="283">
        <v>1</v>
      </c>
      <c r="H2633" s="283">
        <v>0</v>
      </c>
      <c r="I2633" s="283">
        <v>0</v>
      </c>
      <c r="J2633" s="284">
        <v>0</v>
      </c>
    </row>
    <row r="2634" spans="3:10" x14ac:dyDescent="0.25">
      <c r="C2634" s="300" t="s">
        <v>1061</v>
      </c>
      <c r="D2634" s="283" t="s">
        <v>1074</v>
      </c>
      <c r="E2634" s="283" t="s">
        <v>1044</v>
      </c>
      <c r="F2634" s="283" t="s">
        <v>1086</v>
      </c>
      <c r="G2634" s="283">
        <v>2</v>
      </c>
      <c r="H2634" s="283">
        <v>0</v>
      </c>
      <c r="I2634" s="283">
        <v>0</v>
      </c>
      <c r="J2634" s="284">
        <v>0</v>
      </c>
    </row>
    <row r="2635" spans="3:10" x14ac:dyDescent="0.25">
      <c r="C2635" s="300" t="s">
        <v>1057</v>
      </c>
      <c r="D2635" s="283" t="s">
        <v>1079</v>
      </c>
      <c r="E2635" s="283" t="s">
        <v>1075</v>
      </c>
      <c r="F2635" s="283" t="s">
        <v>1084</v>
      </c>
      <c r="G2635" s="283">
        <v>2</v>
      </c>
      <c r="H2635" s="283">
        <v>0</v>
      </c>
      <c r="I2635" s="283">
        <v>0</v>
      </c>
      <c r="J2635" s="284">
        <v>0</v>
      </c>
    </row>
    <row r="2636" spans="3:10" x14ac:dyDescent="0.25">
      <c r="C2636" s="300" t="s">
        <v>1061</v>
      </c>
      <c r="D2636" s="283" t="s">
        <v>1079</v>
      </c>
      <c r="E2636" s="283" t="s">
        <v>1078</v>
      </c>
      <c r="F2636" s="283" t="s">
        <v>1089</v>
      </c>
      <c r="G2636" s="283">
        <v>2</v>
      </c>
      <c r="H2636" s="283">
        <v>0</v>
      </c>
      <c r="I2636" s="283">
        <v>0</v>
      </c>
      <c r="J2636" s="284">
        <v>0</v>
      </c>
    </row>
    <row r="2637" spans="3:10" x14ac:dyDescent="0.25">
      <c r="C2637" s="300" t="s">
        <v>1057</v>
      </c>
      <c r="D2637" s="283" t="s">
        <v>1079</v>
      </c>
      <c r="E2637" s="283" t="s">
        <v>1075</v>
      </c>
      <c r="F2637" s="283" t="s">
        <v>1076</v>
      </c>
      <c r="G2637" s="283">
        <v>4</v>
      </c>
      <c r="H2637" s="283">
        <v>0</v>
      </c>
      <c r="I2637" s="283">
        <v>0</v>
      </c>
      <c r="J2637" s="284">
        <v>0</v>
      </c>
    </row>
    <row r="2638" spans="3:10" x14ac:dyDescent="0.25">
      <c r="C2638" s="300" t="s">
        <v>1062</v>
      </c>
      <c r="D2638" s="283" t="s">
        <v>1079</v>
      </c>
      <c r="E2638" s="283" t="s">
        <v>1076</v>
      </c>
      <c r="F2638" s="283" t="s">
        <v>1075</v>
      </c>
      <c r="G2638" s="283">
        <v>2</v>
      </c>
      <c r="H2638" s="283">
        <v>0</v>
      </c>
      <c r="I2638" s="283">
        <v>0</v>
      </c>
      <c r="J2638" s="284">
        <v>0</v>
      </c>
    </row>
    <row r="2639" spans="3:10" x14ac:dyDescent="0.25">
      <c r="C2639" s="300" t="s">
        <v>1063</v>
      </c>
      <c r="D2639" s="283" t="s">
        <v>1043</v>
      </c>
      <c r="E2639" s="283" t="s">
        <v>1093</v>
      </c>
      <c r="F2639" s="283" t="s">
        <v>1092</v>
      </c>
      <c r="G2639" s="283">
        <v>2</v>
      </c>
      <c r="H2639" s="283">
        <v>0</v>
      </c>
      <c r="I2639" s="283">
        <v>1</v>
      </c>
      <c r="J2639" s="284">
        <v>0</v>
      </c>
    </row>
    <row r="2640" spans="3:10" x14ac:dyDescent="0.25">
      <c r="C2640" s="300" t="s">
        <v>1057</v>
      </c>
      <c r="D2640" s="283" t="s">
        <v>1087</v>
      </c>
      <c r="E2640" s="283" t="s">
        <v>1089</v>
      </c>
      <c r="F2640" s="283" t="s">
        <v>524</v>
      </c>
      <c r="G2640" s="283">
        <v>1</v>
      </c>
      <c r="H2640" s="283">
        <v>0</v>
      </c>
      <c r="I2640" s="283">
        <v>0</v>
      </c>
      <c r="J2640" s="284">
        <v>1</v>
      </c>
    </row>
    <row r="2641" spans="3:10" x14ac:dyDescent="0.25">
      <c r="C2641" s="300" t="s">
        <v>1065</v>
      </c>
      <c r="D2641" s="283" t="s">
        <v>1079</v>
      </c>
      <c r="E2641" s="283" t="s">
        <v>1075</v>
      </c>
      <c r="F2641" s="283" t="s">
        <v>1089</v>
      </c>
      <c r="G2641" s="283">
        <v>2</v>
      </c>
      <c r="H2641" s="283">
        <v>0</v>
      </c>
      <c r="I2641" s="283">
        <v>0</v>
      </c>
      <c r="J2641" s="284">
        <v>0</v>
      </c>
    </row>
    <row r="2642" spans="3:10" x14ac:dyDescent="0.25">
      <c r="C2642" s="300" t="s">
        <v>1060</v>
      </c>
      <c r="D2642" s="283" t="s">
        <v>1077</v>
      </c>
      <c r="E2642" s="283" t="s">
        <v>1084</v>
      </c>
      <c r="F2642" s="283" t="s">
        <v>1078</v>
      </c>
      <c r="G2642" s="283">
        <v>2</v>
      </c>
      <c r="H2642" s="283">
        <v>0</v>
      </c>
      <c r="I2642" s="283">
        <v>1</v>
      </c>
      <c r="J2642" s="284">
        <v>0</v>
      </c>
    </row>
    <row r="2643" spans="3:10" x14ac:dyDescent="0.25">
      <c r="C2643" s="300" t="s">
        <v>1065</v>
      </c>
      <c r="D2643" s="283" t="s">
        <v>1079</v>
      </c>
      <c r="E2643" s="283" t="s">
        <v>1089</v>
      </c>
      <c r="F2643" s="283" t="s">
        <v>1044</v>
      </c>
      <c r="G2643" s="283">
        <v>2</v>
      </c>
      <c r="H2643" s="283">
        <v>0</v>
      </c>
      <c r="I2643" s="283">
        <v>0</v>
      </c>
      <c r="J2643" s="284">
        <v>0</v>
      </c>
    </row>
    <row r="2644" spans="3:10" x14ac:dyDescent="0.25">
      <c r="C2644" s="300" t="s">
        <v>1060</v>
      </c>
      <c r="D2644" s="283" t="s">
        <v>1079</v>
      </c>
      <c r="E2644" s="283" t="s">
        <v>1075</v>
      </c>
      <c r="F2644" s="283" t="s">
        <v>1080</v>
      </c>
      <c r="G2644" s="283">
        <v>2</v>
      </c>
      <c r="H2644" s="283">
        <v>0</v>
      </c>
      <c r="I2644" s="283">
        <v>0</v>
      </c>
      <c r="J2644" s="284">
        <v>0</v>
      </c>
    </row>
    <row r="2645" spans="3:10" x14ac:dyDescent="0.25">
      <c r="C2645" s="300" t="s">
        <v>1067</v>
      </c>
      <c r="D2645" s="283" t="s">
        <v>1079</v>
      </c>
      <c r="E2645" s="283" t="s">
        <v>1094</v>
      </c>
      <c r="F2645" s="283" t="s">
        <v>1075</v>
      </c>
      <c r="G2645" s="283">
        <v>2</v>
      </c>
      <c r="H2645" s="283">
        <v>0</v>
      </c>
      <c r="I2645" s="283">
        <v>0</v>
      </c>
      <c r="J2645" s="284">
        <v>0</v>
      </c>
    </row>
    <row r="2646" spans="3:10" x14ac:dyDescent="0.25">
      <c r="C2646" s="300" t="s">
        <v>1065</v>
      </c>
      <c r="D2646" s="283" t="s">
        <v>1077</v>
      </c>
      <c r="E2646" s="283" t="s">
        <v>1076</v>
      </c>
      <c r="F2646" s="283" t="s">
        <v>1089</v>
      </c>
      <c r="G2646" s="283">
        <v>3</v>
      </c>
      <c r="H2646" s="283">
        <v>0</v>
      </c>
      <c r="I2646" s="283">
        <v>0</v>
      </c>
      <c r="J2646" s="284">
        <v>0</v>
      </c>
    </row>
    <row r="2647" spans="3:10" x14ac:dyDescent="0.25">
      <c r="C2647" s="300" t="s">
        <v>1065</v>
      </c>
      <c r="D2647" s="283" t="s">
        <v>1079</v>
      </c>
      <c r="E2647" s="283" t="s">
        <v>1075</v>
      </c>
      <c r="F2647" s="283" t="s">
        <v>1078</v>
      </c>
      <c r="G2647" s="283">
        <v>2</v>
      </c>
      <c r="H2647" s="283">
        <v>0</v>
      </c>
      <c r="I2647" s="283">
        <v>0</v>
      </c>
      <c r="J2647" s="284">
        <v>0</v>
      </c>
    </row>
    <row r="2648" spans="3:10" x14ac:dyDescent="0.25">
      <c r="C2648" s="300" t="s">
        <v>1063</v>
      </c>
      <c r="D2648" s="283" t="s">
        <v>1077</v>
      </c>
      <c r="E2648" s="283" t="s">
        <v>1078</v>
      </c>
      <c r="F2648" s="283" t="s">
        <v>1075</v>
      </c>
      <c r="G2648" s="283">
        <v>2</v>
      </c>
      <c r="H2648" s="283">
        <v>0</v>
      </c>
      <c r="I2648" s="283">
        <v>0</v>
      </c>
      <c r="J2648" s="284">
        <v>0</v>
      </c>
    </row>
    <row r="2649" spans="3:10" x14ac:dyDescent="0.25">
      <c r="C2649" s="300" t="s">
        <v>1068</v>
      </c>
      <c r="D2649" s="283" t="s">
        <v>1087</v>
      </c>
      <c r="E2649" s="283" t="s">
        <v>1075</v>
      </c>
      <c r="F2649" s="283" t="s">
        <v>524</v>
      </c>
      <c r="G2649" s="283">
        <v>1</v>
      </c>
      <c r="H2649" s="283">
        <v>0</v>
      </c>
      <c r="I2649" s="283">
        <v>0</v>
      </c>
      <c r="J2649" s="284">
        <v>0</v>
      </c>
    </row>
    <row r="2650" spans="3:10" x14ac:dyDescent="0.25">
      <c r="C2650" s="300" t="s">
        <v>1061</v>
      </c>
      <c r="D2650" s="283" t="s">
        <v>1077</v>
      </c>
      <c r="E2650" s="283" t="s">
        <v>1080</v>
      </c>
      <c r="F2650" s="283" t="s">
        <v>1089</v>
      </c>
      <c r="G2650" s="283">
        <v>4</v>
      </c>
      <c r="H2650" s="283">
        <v>0</v>
      </c>
      <c r="I2650" s="283">
        <v>1</v>
      </c>
      <c r="J2650" s="284">
        <v>0</v>
      </c>
    </row>
    <row r="2651" spans="3:10" x14ac:dyDescent="0.25">
      <c r="C2651" s="300" t="s">
        <v>1064</v>
      </c>
      <c r="D2651" s="283" t="s">
        <v>1079</v>
      </c>
      <c r="E2651" s="283" t="s">
        <v>1075</v>
      </c>
      <c r="F2651" s="283" t="s">
        <v>1089</v>
      </c>
      <c r="G2651" s="283">
        <v>2</v>
      </c>
      <c r="H2651" s="283">
        <v>0</v>
      </c>
      <c r="I2651" s="283">
        <v>0</v>
      </c>
      <c r="J2651" s="284">
        <v>1</v>
      </c>
    </row>
    <row r="2652" spans="3:10" x14ac:dyDescent="0.25">
      <c r="C2652" s="300" t="s">
        <v>1062</v>
      </c>
      <c r="D2652" s="283" t="s">
        <v>1074</v>
      </c>
      <c r="E2652" s="283" t="s">
        <v>1100</v>
      </c>
      <c r="F2652" s="283" t="s">
        <v>1075</v>
      </c>
      <c r="G2652" s="283">
        <v>2</v>
      </c>
      <c r="H2652" s="283">
        <v>0</v>
      </c>
      <c r="I2652" s="283">
        <v>0</v>
      </c>
      <c r="J2652" s="284">
        <v>1</v>
      </c>
    </row>
    <row r="2653" spans="3:10" x14ac:dyDescent="0.25">
      <c r="C2653" s="300" t="s">
        <v>1064</v>
      </c>
      <c r="D2653" s="283" t="s">
        <v>1077</v>
      </c>
      <c r="E2653" s="283" t="s">
        <v>1075</v>
      </c>
      <c r="F2653" s="283" t="s">
        <v>1086</v>
      </c>
      <c r="G2653" s="283">
        <v>2</v>
      </c>
      <c r="H2653" s="283">
        <v>0</v>
      </c>
      <c r="I2653" s="283">
        <v>0</v>
      </c>
      <c r="J2653" s="284">
        <v>0</v>
      </c>
    </row>
    <row r="2654" spans="3:10" x14ac:dyDescent="0.25">
      <c r="C2654" s="300" t="s">
        <v>1060</v>
      </c>
      <c r="D2654" s="283" t="s">
        <v>1043</v>
      </c>
      <c r="E2654" s="283" t="s">
        <v>1076</v>
      </c>
      <c r="F2654" s="283" t="s">
        <v>1092</v>
      </c>
      <c r="G2654" s="283">
        <v>2</v>
      </c>
      <c r="H2654" s="283">
        <v>1</v>
      </c>
      <c r="I2654" s="283">
        <v>0</v>
      </c>
      <c r="J2654" s="284">
        <v>1</v>
      </c>
    </row>
    <row r="2655" spans="3:10" x14ac:dyDescent="0.25">
      <c r="C2655" s="300" t="s">
        <v>1063</v>
      </c>
      <c r="D2655" s="283" t="s">
        <v>1079</v>
      </c>
      <c r="E2655" s="283" t="s">
        <v>1075</v>
      </c>
      <c r="F2655" s="283" t="s">
        <v>1083</v>
      </c>
      <c r="G2655" s="283">
        <v>2</v>
      </c>
      <c r="H2655" s="283">
        <v>0</v>
      </c>
      <c r="I2655" s="283">
        <v>0</v>
      </c>
      <c r="J2655" s="284">
        <v>1</v>
      </c>
    </row>
    <row r="2656" spans="3:10" x14ac:dyDescent="0.25">
      <c r="C2656" s="300" t="s">
        <v>1061</v>
      </c>
      <c r="D2656" s="283" t="s">
        <v>1079</v>
      </c>
      <c r="E2656" s="283" t="s">
        <v>1075</v>
      </c>
      <c r="F2656" s="283" t="s">
        <v>1075</v>
      </c>
      <c r="G2656" s="283">
        <v>2</v>
      </c>
      <c r="H2656" s="283">
        <v>0</v>
      </c>
      <c r="I2656" s="283">
        <v>0</v>
      </c>
      <c r="J2656" s="284">
        <v>0</v>
      </c>
    </row>
    <row r="2657" spans="3:10" x14ac:dyDescent="0.25">
      <c r="C2657" s="300" t="s">
        <v>1066</v>
      </c>
      <c r="D2657" s="283" t="s">
        <v>1077</v>
      </c>
      <c r="E2657" s="283" t="s">
        <v>1075</v>
      </c>
      <c r="F2657" s="283" t="s">
        <v>1075</v>
      </c>
      <c r="G2657" s="283">
        <v>2</v>
      </c>
      <c r="H2657" s="283">
        <v>0</v>
      </c>
      <c r="I2657" s="283">
        <v>0</v>
      </c>
      <c r="J2657" s="284">
        <v>0</v>
      </c>
    </row>
    <row r="2658" spans="3:10" x14ac:dyDescent="0.25">
      <c r="C2658" s="300" t="s">
        <v>1063</v>
      </c>
      <c r="D2658" s="283" t="s">
        <v>1074</v>
      </c>
      <c r="E2658" s="283" t="s">
        <v>1075</v>
      </c>
      <c r="F2658" s="283" t="s">
        <v>1075</v>
      </c>
      <c r="G2658" s="283">
        <v>3</v>
      </c>
      <c r="H2658" s="283">
        <v>0</v>
      </c>
      <c r="I2658" s="283">
        <v>1</v>
      </c>
      <c r="J2658" s="284">
        <v>0</v>
      </c>
    </row>
    <row r="2659" spans="3:10" x14ac:dyDescent="0.25">
      <c r="C2659" s="300" t="s">
        <v>1067</v>
      </c>
      <c r="D2659" s="283" t="s">
        <v>1043</v>
      </c>
      <c r="E2659" s="283" t="s">
        <v>1086</v>
      </c>
      <c r="F2659" s="283" t="s">
        <v>1092</v>
      </c>
      <c r="G2659" s="283">
        <v>2</v>
      </c>
      <c r="H2659" s="283">
        <v>0</v>
      </c>
      <c r="I2659" s="283">
        <v>1</v>
      </c>
      <c r="J2659" s="284">
        <v>0</v>
      </c>
    </row>
    <row r="2660" spans="3:10" x14ac:dyDescent="0.25">
      <c r="C2660" s="300" t="s">
        <v>1066</v>
      </c>
      <c r="D2660" s="283" t="s">
        <v>1077</v>
      </c>
      <c r="E2660" s="283" t="s">
        <v>1075</v>
      </c>
      <c r="F2660" s="283" t="s">
        <v>1044</v>
      </c>
      <c r="G2660" s="283">
        <v>2</v>
      </c>
      <c r="H2660" s="283">
        <v>0</v>
      </c>
      <c r="I2660" s="283">
        <v>0</v>
      </c>
      <c r="J2660" s="284">
        <v>1</v>
      </c>
    </row>
    <row r="2661" spans="3:10" x14ac:dyDescent="0.25">
      <c r="C2661" s="300" t="s">
        <v>1064</v>
      </c>
      <c r="D2661" s="283" t="s">
        <v>1079</v>
      </c>
      <c r="E2661" s="283" t="s">
        <v>1078</v>
      </c>
      <c r="F2661" s="283" t="s">
        <v>1075</v>
      </c>
      <c r="G2661" s="283">
        <v>2</v>
      </c>
      <c r="H2661" s="283">
        <v>0</v>
      </c>
      <c r="I2661" s="283">
        <v>0</v>
      </c>
      <c r="J2661" s="284">
        <v>0</v>
      </c>
    </row>
    <row r="2662" spans="3:10" x14ac:dyDescent="0.25">
      <c r="C2662" s="300" t="s">
        <v>1063</v>
      </c>
      <c r="D2662" s="283" t="s">
        <v>1074</v>
      </c>
      <c r="E2662" s="283" t="s">
        <v>1075</v>
      </c>
      <c r="F2662" s="283" t="s">
        <v>1089</v>
      </c>
      <c r="G2662" s="283">
        <v>2</v>
      </c>
      <c r="H2662" s="283">
        <v>0</v>
      </c>
      <c r="I2662" s="283">
        <v>0</v>
      </c>
      <c r="J2662" s="284">
        <v>0</v>
      </c>
    </row>
    <row r="2663" spans="3:10" x14ac:dyDescent="0.25">
      <c r="C2663" s="300" t="s">
        <v>1068</v>
      </c>
      <c r="D2663" s="283" t="s">
        <v>1077</v>
      </c>
      <c r="E2663" s="283" t="s">
        <v>1075</v>
      </c>
      <c r="F2663" s="283" t="s">
        <v>1089</v>
      </c>
      <c r="G2663" s="283">
        <v>2</v>
      </c>
      <c r="H2663" s="283">
        <v>0</v>
      </c>
      <c r="I2663" s="283">
        <v>0</v>
      </c>
      <c r="J2663" s="284">
        <v>0</v>
      </c>
    </row>
    <row r="2664" spans="3:10" x14ac:dyDescent="0.25">
      <c r="C2664" s="300" t="s">
        <v>1061</v>
      </c>
      <c r="D2664" s="283" t="s">
        <v>1087</v>
      </c>
      <c r="E2664" s="283" t="s">
        <v>1078</v>
      </c>
      <c r="F2664" s="283" t="s">
        <v>524</v>
      </c>
      <c r="G2664" s="283">
        <v>1</v>
      </c>
      <c r="H2664" s="283">
        <v>0</v>
      </c>
      <c r="I2664" s="283">
        <v>0</v>
      </c>
      <c r="J2664" s="284">
        <v>1</v>
      </c>
    </row>
    <row r="2665" spans="3:10" x14ac:dyDescent="0.25">
      <c r="C2665" s="300" t="s">
        <v>1063</v>
      </c>
      <c r="D2665" s="283" t="s">
        <v>1090</v>
      </c>
      <c r="E2665" s="283" t="s">
        <v>1093</v>
      </c>
      <c r="F2665" s="283" t="s">
        <v>524</v>
      </c>
      <c r="G2665" s="283">
        <v>1</v>
      </c>
      <c r="H2665" s="283">
        <v>0</v>
      </c>
      <c r="I2665" s="283">
        <v>1</v>
      </c>
      <c r="J2665" s="284">
        <v>0</v>
      </c>
    </row>
    <row r="2666" spans="3:10" x14ac:dyDescent="0.25">
      <c r="C2666" s="300" t="s">
        <v>1063</v>
      </c>
      <c r="D2666" s="283" t="s">
        <v>1074</v>
      </c>
      <c r="E2666" s="283" t="s">
        <v>1075</v>
      </c>
      <c r="F2666" s="283" t="s">
        <v>1076</v>
      </c>
      <c r="G2666" s="283">
        <v>2</v>
      </c>
      <c r="H2666" s="283">
        <v>0</v>
      </c>
      <c r="I2666" s="283">
        <v>1</v>
      </c>
      <c r="J2666" s="284">
        <v>0</v>
      </c>
    </row>
    <row r="2667" spans="3:10" x14ac:dyDescent="0.25">
      <c r="C2667" s="300" t="s">
        <v>1067</v>
      </c>
      <c r="D2667" s="283" t="s">
        <v>1090</v>
      </c>
      <c r="E2667" s="283" t="s">
        <v>1083</v>
      </c>
      <c r="F2667" s="283" t="s">
        <v>524</v>
      </c>
      <c r="G2667" s="283">
        <v>1</v>
      </c>
      <c r="H2667" s="283">
        <v>0</v>
      </c>
      <c r="I2667" s="283">
        <v>0</v>
      </c>
      <c r="J2667" s="284">
        <v>0</v>
      </c>
    </row>
    <row r="2668" spans="3:10" x14ac:dyDescent="0.25">
      <c r="C2668" s="300" t="s">
        <v>1063</v>
      </c>
      <c r="D2668" s="283" t="s">
        <v>1074</v>
      </c>
      <c r="E2668" s="283" t="s">
        <v>1075</v>
      </c>
      <c r="F2668" s="283" t="s">
        <v>1075</v>
      </c>
      <c r="G2668" s="283">
        <v>2</v>
      </c>
      <c r="H2668" s="283">
        <v>0</v>
      </c>
      <c r="I2668" s="283">
        <v>0</v>
      </c>
      <c r="J2668" s="284">
        <v>1</v>
      </c>
    </row>
    <row r="2669" spans="3:10" x14ac:dyDescent="0.25">
      <c r="C2669" s="300" t="s">
        <v>1062</v>
      </c>
      <c r="D2669" s="283" t="s">
        <v>1079</v>
      </c>
      <c r="E2669" s="283" t="s">
        <v>1075</v>
      </c>
      <c r="F2669" s="283" t="s">
        <v>1075</v>
      </c>
      <c r="G2669" s="283">
        <v>2</v>
      </c>
      <c r="H2669" s="283">
        <v>0</v>
      </c>
      <c r="I2669" s="283">
        <v>0</v>
      </c>
      <c r="J2669" s="284">
        <v>1</v>
      </c>
    </row>
    <row r="2670" spans="3:10" x14ac:dyDescent="0.25">
      <c r="C2670" s="300" t="s">
        <v>1060</v>
      </c>
      <c r="D2670" s="283" t="s">
        <v>1077</v>
      </c>
      <c r="E2670" s="283" t="s">
        <v>1075</v>
      </c>
      <c r="F2670" s="283" t="s">
        <v>1076</v>
      </c>
      <c r="G2670" s="283">
        <v>3</v>
      </c>
      <c r="H2670" s="283">
        <v>0</v>
      </c>
      <c r="I2670" s="283">
        <v>1</v>
      </c>
      <c r="J2670" s="284">
        <v>1</v>
      </c>
    </row>
    <row r="2671" spans="3:10" x14ac:dyDescent="0.25">
      <c r="C2671" s="300" t="s">
        <v>1062</v>
      </c>
      <c r="D2671" s="283" t="s">
        <v>1077</v>
      </c>
      <c r="E2671" s="283" t="s">
        <v>1089</v>
      </c>
      <c r="F2671" s="283" t="s">
        <v>1075</v>
      </c>
      <c r="G2671" s="283">
        <v>2</v>
      </c>
      <c r="H2671" s="283">
        <v>0</v>
      </c>
      <c r="I2671" s="283">
        <v>0</v>
      </c>
      <c r="J2671" s="284">
        <v>0</v>
      </c>
    </row>
    <row r="2672" spans="3:10" x14ac:dyDescent="0.25">
      <c r="C2672" s="300" t="s">
        <v>1066</v>
      </c>
      <c r="D2672" s="283" t="s">
        <v>1074</v>
      </c>
      <c r="E2672" s="283" t="s">
        <v>1075</v>
      </c>
      <c r="F2672" s="283" t="s">
        <v>1075</v>
      </c>
      <c r="G2672" s="283">
        <v>2</v>
      </c>
      <c r="H2672" s="283">
        <v>0</v>
      </c>
      <c r="I2672" s="283">
        <v>0</v>
      </c>
      <c r="J2672" s="284">
        <v>1</v>
      </c>
    </row>
    <row r="2673" spans="3:10" x14ac:dyDescent="0.25">
      <c r="C2673" s="300" t="s">
        <v>1061</v>
      </c>
      <c r="D2673" s="283" t="s">
        <v>1043</v>
      </c>
      <c r="E2673" s="283" t="s">
        <v>1089</v>
      </c>
      <c r="F2673" s="283" t="s">
        <v>1092</v>
      </c>
      <c r="G2673" s="283">
        <v>2</v>
      </c>
      <c r="H2673" s="283">
        <v>0</v>
      </c>
      <c r="I2673" s="283">
        <v>0</v>
      </c>
      <c r="J2673" s="284">
        <v>0</v>
      </c>
    </row>
    <row r="2674" spans="3:10" x14ac:dyDescent="0.25">
      <c r="C2674" s="300" t="s">
        <v>1066</v>
      </c>
      <c r="D2674" s="283" t="s">
        <v>1079</v>
      </c>
      <c r="E2674" s="283" t="s">
        <v>1076</v>
      </c>
      <c r="F2674" s="283" t="s">
        <v>1089</v>
      </c>
      <c r="G2674" s="283">
        <v>2</v>
      </c>
      <c r="H2674" s="283">
        <v>0</v>
      </c>
      <c r="I2674" s="283">
        <v>0</v>
      </c>
      <c r="J2674" s="284">
        <v>1</v>
      </c>
    </row>
    <row r="2675" spans="3:10" x14ac:dyDescent="0.25">
      <c r="C2675" s="300" t="s">
        <v>1060</v>
      </c>
      <c r="D2675" s="283" t="s">
        <v>1074</v>
      </c>
      <c r="E2675" s="283" t="s">
        <v>1076</v>
      </c>
      <c r="F2675" s="283" t="s">
        <v>1044</v>
      </c>
      <c r="G2675" s="283">
        <v>2</v>
      </c>
      <c r="H2675" s="283">
        <v>0</v>
      </c>
      <c r="I2675" s="283">
        <v>0</v>
      </c>
      <c r="J2675" s="284">
        <v>0</v>
      </c>
    </row>
    <row r="2676" spans="3:10" x14ac:dyDescent="0.25">
      <c r="C2676" s="300" t="s">
        <v>1062</v>
      </c>
      <c r="D2676" s="283" t="s">
        <v>1043</v>
      </c>
      <c r="E2676" s="283" t="s">
        <v>1080</v>
      </c>
      <c r="F2676" s="283" t="s">
        <v>1104</v>
      </c>
      <c r="G2676" s="283">
        <v>3</v>
      </c>
      <c r="H2676" s="283">
        <v>0</v>
      </c>
      <c r="I2676" s="283">
        <v>1</v>
      </c>
      <c r="J2676" s="284">
        <v>0</v>
      </c>
    </row>
    <row r="2677" spans="3:10" x14ac:dyDescent="0.25">
      <c r="C2677" s="300" t="s">
        <v>1061</v>
      </c>
      <c r="D2677" s="283" t="s">
        <v>1079</v>
      </c>
      <c r="E2677" s="283" t="s">
        <v>1083</v>
      </c>
      <c r="F2677" s="283" t="s">
        <v>1076</v>
      </c>
      <c r="G2677" s="283">
        <v>2</v>
      </c>
      <c r="H2677" s="283">
        <v>0</v>
      </c>
      <c r="I2677" s="283">
        <v>1</v>
      </c>
      <c r="J2677" s="284">
        <v>0</v>
      </c>
    </row>
    <row r="2678" spans="3:10" x14ac:dyDescent="0.25">
      <c r="C2678" s="300" t="s">
        <v>1060</v>
      </c>
      <c r="D2678" s="283" t="s">
        <v>1087</v>
      </c>
      <c r="E2678" s="283" t="s">
        <v>1076</v>
      </c>
      <c r="F2678" s="283" t="s">
        <v>524</v>
      </c>
      <c r="G2678" s="283">
        <v>1</v>
      </c>
      <c r="H2678" s="283">
        <v>0</v>
      </c>
      <c r="I2678" s="283">
        <v>1</v>
      </c>
      <c r="J2678" s="284">
        <v>0</v>
      </c>
    </row>
    <row r="2679" spans="3:10" x14ac:dyDescent="0.25">
      <c r="C2679" s="300" t="s">
        <v>1059</v>
      </c>
      <c r="D2679" s="283" t="s">
        <v>1079</v>
      </c>
      <c r="E2679" s="283" t="s">
        <v>1075</v>
      </c>
      <c r="F2679" s="283" t="s">
        <v>1075</v>
      </c>
      <c r="G2679" s="283">
        <v>2</v>
      </c>
      <c r="H2679" s="283">
        <v>0</v>
      </c>
      <c r="I2679" s="283">
        <v>0</v>
      </c>
      <c r="J2679" s="284">
        <v>0</v>
      </c>
    </row>
    <row r="2680" spans="3:10" x14ac:dyDescent="0.25">
      <c r="C2680" s="300" t="s">
        <v>1068</v>
      </c>
      <c r="D2680" s="283" t="s">
        <v>1087</v>
      </c>
      <c r="E2680" s="283" t="s">
        <v>1075</v>
      </c>
      <c r="F2680" s="283" t="s">
        <v>524</v>
      </c>
      <c r="G2680" s="283">
        <v>1</v>
      </c>
      <c r="H2680" s="283">
        <v>0</v>
      </c>
      <c r="I2680" s="283">
        <v>0</v>
      </c>
      <c r="J2680" s="284">
        <v>0</v>
      </c>
    </row>
    <row r="2681" spans="3:10" x14ac:dyDescent="0.25">
      <c r="C2681" s="300" t="s">
        <v>1061</v>
      </c>
      <c r="D2681" s="283" t="s">
        <v>1074</v>
      </c>
      <c r="E2681" s="283" t="s">
        <v>1089</v>
      </c>
      <c r="F2681" s="283" t="s">
        <v>1075</v>
      </c>
      <c r="G2681" s="283">
        <v>2</v>
      </c>
      <c r="H2681" s="283">
        <v>0</v>
      </c>
      <c r="I2681" s="283">
        <v>0</v>
      </c>
      <c r="J2681" s="284">
        <v>0</v>
      </c>
    </row>
    <row r="2682" spans="3:10" x14ac:dyDescent="0.25">
      <c r="C2682" s="300" t="s">
        <v>1065</v>
      </c>
      <c r="D2682" s="283" t="s">
        <v>1079</v>
      </c>
      <c r="E2682" s="283" t="s">
        <v>1075</v>
      </c>
      <c r="F2682" s="283" t="s">
        <v>1075</v>
      </c>
      <c r="G2682" s="283">
        <v>3</v>
      </c>
      <c r="H2682" s="283">
        <v>0</v>
      </c>
      <c r="I2682" s="283">
        <v>0</v>
      </c>
      <c r="J2682" s="284">
        <v>1</v>
      </c>
    </row>
    <row r="2683" spans="3:10" x14ac:dyDescent="0.25">
      <c r="C2683" s="300" t="s">
        <v>1064</v>
      </c>
      <c r="D2683" s="283" t="s">
        <v>1077</v>
      </c>
      <c r="E2683" s="283" t="s">
        <v>1075</v>
      </c>
      <c r="F2683" s="283" t="s">
        <v>1075</v>
      </c>
      <c r="G2683" s="283">
        <v>2</v>
      </c>
      <c r="H2683" s="283">
        <v>0</v>
      </c>
      <c r="I2683" s="283">
        <v>0</v>
      </c>
      <c r="J2683" s="284">
        <v>0</v>
      </c>
    </row>
    <row r="2684" spans="3:10" x14ac:dyDescent="0.25">
      <c r="C2684" s="300" t="s">
        <v>1064</v>
      </c>
      <c r="D2684" s="283" t="s">
        <v>1079</v>
      </c>
      <c r="E2684" s="283" t="s">
        <v>1089</v>
      </c>
      <c r="F2684" s="283" t="s">
        <v>1075</v>
      </c>
      <c r="G2684" s="283">
        <v>2</v>
      </c>
      <c r="H2684" s="283">
        <v>0</v>
      </c>
      <c r="I2684" s="283">
        <v>0</v>
      </c>
      <c r="J2684" s="284">
        <v>0</v>
      </c>
    </row>
    <row r="2685" spans="3:10" x14ac:dyDescent="0.25">
      <c r="C2685" s="300" t="s">
        <v>1067</v>
      </c>
      <c r="D2685" s="283" t="s">
        <v>1087</v>
      </c>
      <c r="E2685" s="283" t="s">
        <v>1075</v>
      </c>
      <c r="F2685" s="283" t="s">
        <v>524</v>
      </c>
      <c r="G2685" s="283">
        <v>1</v>
      </c>
      <c r="H2685" s="283">
        <v>0</v>
      </c>
      <c r="I2685" s="283">
        <v>0</v>
      </c>
      <c r="J2685" s="284">
        <v>0</v>
      </c>
    </row>
    <row r="2686" spans="3:10" x14ac:dyDescent="0.25">
      <c r="C2686" s="300" t="s">
        <v>1060</v>
      </c>
      <c r="D2686" s="283" t="s">
        <v>1079</v>
      </c>
      <c r="E2686" s="283" t="s">
        <v>1075</v>
      </c>
      <c r="F2686" s="283" t="s">
        <v>1078</v>
      </c>
      <c r="G2686" s="283">
        <v>2</v>
      </c>
      <c r="H2686" s="283">
        <v>0</v>
      </c>
      <c r="I2686" s="283">
        <v>0</v>
      </c>
      <c r="J2686" s="284">
        <v>0</v>
      </c>
    </row>
    <row r="2687" spans="3:10" x14ac:dyDescent="0.25">
      <c r="C2687" s="300" t="s">
        <v>1065</v>
      </c>
      <c r="D2687" s="283" t="s">
        <v>1077</v>
      </c>
      <c r="E2687" s="283" t="s">
        <v>1075</v>
      </c>
      <c r="F2687" s="283" t="s">
        <v>1075</v>
      </c>
      <c r="G2687" s="283">
        <v>5</v>
      </c>
      <c r="H2687" s="283">
        <v>0</v>
      </c>
      <c r="I2687" s="283">
        <v>0</v>
      </c>
      <c r="J2687" s="284">
        <v>0</v>
      </c>
    </row>
    <row r="2688" spans="3:10" x14ac:dyDescent="0.25">
      <c r="C2688" s="300" t="s">
        <v>1062</v>
      </c>
      <c r="D2688" s="283" t="s">
        <v>1079</v>
      </c>
      <c r="E2688" s="283" t="s">
        <v>1089</v>
      </c>
      <c r="F2688" s="283" t="s">
        <v>1075</v>
      </c>
      <c r="G2688" s="283">
        <v>2</v>
      </c>
      <c r="H2688" s="283">
        <v>0</v>
      </c>
      <c r="I2688" s="283">
        <v>0</v>
      </c>
      <c r="J2688" s="284">
        <v>0</v>
      </c>
    </row>
    <row r="2689" spans="3:10" x14ac:dyDescent="0.25">
      <c r="C2689" s="300" t="s">
        <v>1061</v>
      </c>
      <c r="D2689" s="283" t="s">
        <v>1074</v>
      </c>
      <c r="E2689" s="283" t="s">
        <v>1075</v>
      </c>
      <c r="F2689" s="283" t="s">
        <v>1075</v>
      </c>
      <c r="G2689" s="283">
        <v>2</v>
      </c>
      <c r="H2689" s="283">
        <v>0</v>
      </c>
      <c r="I2689" s="283">
        <v>0</v>
      </c>
      <c r="J2689" s="284">
        <v>0</v>
      </c>
    </row>
    <row r="2690" spans="3:10" x14ac:dyDescent="0.25">
      <c r="C2690" s="300" t="s">
        <v>1064</v>
      </c>
      <c r="D2690" s="283" t="s">
        <v>1074</v>
      </c>
      <c r="E2690" s="283" t="s">
        <v>1089</v>
      </c>
      <c r="F2690" s="283" t="s">
        <v>1075</v>
      </c>
      <c r="G2690" s="283">
        <v>2</v>
      </c>
      <c r="H2690" s="283">
        <v>0</v>
      </c>
      <c r="I2690" s="283">
        <v>0</v>
      </c>
      <c r="J2690" s="284">
        <v>0</v>
      </c>
    </row>
    <row r="2691" spans="3:10" x14ac:dyDescent="0.25">
      <c r="C2691" s="300" t="s">
        <v>1061</v>
      </c>
      <c r="D2691" s="283" t="s">
        <v>1074</v>
      </c>
      <c r="E2691" s="283" t="s">
        <v>1075</v>
      </c>
      <c r="F2691" s="283" t="s">
        <v>1078</v>
      </c>
      <c r="G2691" s="283">
        <v>2</v>
      </c>
      <c r="H2691" s="283">
        <v>0</v>
      </c>
      <c r="I2691" s="283">
        <v>0</v>
      </c>
      <c r="J2691" s="284">
        <v>0</v>
      </c>
    </row>
    <row r="2692" spans="3:10" x14ac:dyDescent="0.25">
      <c r="C2692" s="300" t="s">
        <v>1060</v>
      </c>
      <c r="D2692" s="283" t="s">
        <v>1077</v>
      </c>
      <c r="E2692" s="283" t="s">
        <v>1089</v>
      </c>
      <c r="F2692" s="283" t="s">
        <v>1075</v>
      </c>
      <c r="G2692" s="283">
        <v>3</v>
      </c>
      <c r="H2692" s="283">
        <v>0</v>
      </c>
      <c r="I2692" s="283">
        <v>0</v>
      </c>
      <c r="J2692" s="284">
        <v>0</v>
      </c>
    </row>
    <row r="2693" spans="3:10" x14ac:dyDescent="0.25">
      <c r="C2693" s="300" t="s">
        <v>1064</v>
      </c>
      <c r="D2693" s="283" t="s">
        <v>1077</v>
      </c>
      <c r="E2693" s="283" t="s">
        <v>1089</v>
      </c>
      <c r="F2693" s="283" t="s">
        <v>1075</v>
      </c>
      <c r="G2693" s="283">
        <v>4</v>
      </c>
      <c r="H2693" s="283">
        <v>0</v>
      </c>
      <c r="I2693" s="283">
        <v>0</v>
      </c>
      <c r="J2693" s="284">
        <v>0</v>
      </c>
    </row>
    <row r="2694" spans="3:10" x14ac:dyDescent="0.25">
      <c r="C2694" s="300" t="s">
        <v>1062</v>
      </c>
      <c r="D2694" s="283" t="s">
        <v>1079</v>
      </c>
      <c r="E2694" s="283" t="s">
        <v>1075</v>
      </c>
      <c r="F2694" s="283" t="s">
        <v>1076</v>
      </c>
      <c r="G2694" s="283">
        <v>2</v>
      </c>
      <c r="H2694" s="283">
        <v>0</v>
      </c>
      <c r="I2694" s="283">
        <v>0</v>
      </c>
      <c r="J2694" s="284">
        <v>1</v>
      </c>
    </row>
    <row r="2695" spans="3:10" x14ac:dyDescent="0.25">
      <c r="C2695" s="300" t="s">
        <v>1063</v>
      </c>
      <c r="D2695" s="283" t="s">
        <v>1077</v>
      </c>
      <c r="E2695" s="283" t="s">
        <v>1083</v>
      </c>
      <c r="F2695" s="283" t="s">
        <v>1078</v>
      </c>
      <c r="G2695" s="283">
        <v>2</v>
      </c>
      <c r="H2695" s="283">
        <v>0</v>
      </c>
      <c r="I2695" s="283">
        <v>0</v>
      </c>
      <c r="J2695" s="284">
        <v>1</v>
      </c>
    </row>
    <row r="2696" spans="3:10" x14ac:dyDescent="0.25">
      <c r="C2696" s="300" t="s">
        <v>1065</v>
      </c>
      <c r="D2696" s="283" t="s">
        <v>1079</v>
      </c>
      <c r="E2696" s="283" t="s">
        <v>1089</v>
      </c>
      <c r="F2696" s="283" t="s">
        <v>1089</v>
      </c>
      <c r="G2696" s="283">
        <v>2</v>
      </c>
      <c r="H2696" s="283">
        <v>0</v>
      </c>
      <c r="I2696" s="283">
        <v>0</v>
      </c>
      <c r="J2696" s="284">
        <v>0</v>
      </c>
    </row>
    <row r="2697" spans="3:10" x14ac:dyDescent="0.25">
      <c r="C2697" s="300" t="s">
        <v>1065</v>
      </c>
      <c r="D2697" s="283" t="s">
        <v>1077</v>
      </c>
      <c r="E2697" s="283" t="s">
        <v>1075</v>
      </c>
      <c r="F2697" s="283" t="s">
        <v>1089</v>
      </c>
      <c r="G2697" s="283">
        <v>2</v>
      </c>
      <c r="H2697" s="283">
        <v>0</v>
      </c>
      <c r="I2697" s="283">
        <v>0</v>
      </c>
      <c r="J2697" s="284">
        <v>0</v>
      </c>
    </row>
    <row r="2698" spans="3:10" x14ac:dyDescent="0.25">
      <c r="C2698" s="300" t="s">
        <v>1064</v>
      </c>
      <c r="D2698" s="283" t="s">
        <v>1087</v>
      </c>
      <c r="E2698" s="283" t="s">
        <v>1075</v>
      </c>
      <c r="F2698" s="283" t="s">
        <v>524</v>
      </c>
      <c r="G2698" s="283">
        <v>1</v>
      </c>
      <c r="H2698" s="283">
        <v>0</v>
      </c>
      <c r="I2698" s="283">
        <v>0</v>
      </c>
      <c r="J2698" s="284">
        <v>0</v>
      </c>
    </row>
    <row r="2699" spans="3:10" x14ac:dyDescent="0.25">
      <c r="C2699" s="300" t="s">
        <v>1066</v>
      </c>
      <c r="D2699" s="283" t="s">
        <v>1074</v>
      </c>
      <c r="E2699" s="283" t="s">
        <v>1089</v>
      </c>
      <c r="F2699" s="283" t="s">
        <v>1075</v>
      </c>
      <c r="G2699" s="283">
        <v>2</v>
      </c>
      <c r="H2699" s="283">
        <v>0</v>
      </c>
      <c r="I2699" s="283">
        <v>0</v>
      </c>
      <c r="J2699" s="284">
        <v>0</v>
      </c>
    </row>
    <row r="2700" spans="3:10" x14ac:dyDescent="0.25">
      <c r="C2700" s="300" t="s">
        <v>1064</v>
      </c>
      <c r="D2700" s="283" t="s">
        <v>1079</v>
      </c>
      <c r="E2700" s="283" t="s">
        <v>1075</v>
      </c>
      <c r="F2700" s="283" t="s">
        <v>1080</v>
      </c>
      <c r="G2700" s="283">
        <v>2</v>
      </c>
      <c r="H2700" s="283">
        <v>0</v>
      </c>
      <c r="I2700" s="283">
        <v>0</v>
      </c>
      <c r="J2700" s="284">
        <v>0</v>
      </c>
    </row>
    <row r="2701" spans="3:10" x14ac:dyDescent="0.25">
      <c r="C2701" s="300" t="s">
        <v>1066</v>
      </c>
      <c r="D2701" s="283" t="s">
        <v>1090</v>
      </c>
      <c r="E2701" s="283" t="s">
        <v>1076</v>
      </c>
      <c r="F2701" s="283" t="s">
        <v>524</v>
      </c>
      <c r="G2701" s="283">
        <v>1</v>
      </c>
      <c r="H2701" s="283">
        <v>0</v>
      </c>
      <c r="I2701" s="283">
        <v>0</v>
      </c>
      <c r="J2701" s="284">
        <v>0</v>
      </c>
    </row>
    <row r="2702" spans="3:10" x14ac:dyDescent="0.25">
      <c r="C2702" s="300" t="s">
        <v>1064</v>
      </c>
      <c r="D2702" s="283" t="s">
        <v>1079</v>
      </c>
      <c r="E2702" s="283" t="s">
        <v>1086</v>
      </c>
      <c r="F2702" s="283" t="s">
        <v>1044</v>
      </c>
      <c r="G2702" s="283">
        <v>2</v>
      </c>
      <c r="H2702" s="283">
        <v>0</v>
      </c>
      <c r="I2702" s="283">
        <v>0</v>
      </c>
      <c r="J2702" s="284">
        <v>0</v>
      </c>
    </row>
    <row r="2703" spans="3:10" x14ac:dyDescent="0.25">
      <c r="C2703" s="300" t="s">
        <v>1062</v>
      </c>
      <c r="D2703" s="283" t="s">
        <v>1077</v>
      </c>
      <c r="E2703" s="283" t="s">
        <v>1075</v>
      </c>
      <c r="F2703" s="283" t="s">
        <v>1076</v>
      </c>
      <c r="G2703" s="283">
        <v>3</v>
      </c>
      <c r="H2703" s="283">
        <v>0</v>
      </c>
      <c r="I2703" s="283">
        <v>0</v>
      </c>
      <c r="J2703" s="284">
        <v>1</v>
      </c>
    </row>
    <row r="2704" spans="3:10" x14ac:dyDescent="0.25">
      <c r="C2704" s="300" t="s">
        <v>1060</v>
      </c>
      <c r="D2704" s="283" t="s">
        <v>1077</v>
      </c>
      <c r="E2704" s="283" t="s">
        <v>1075</v>
      </c>
      <c r="F2704" s="283" t="s">
        <v>1083</v>
      </c>
      <c r="G2704" s="283">
        <v>4</v>
      </c>
      <c r="H2704" s="283">
        <v>0</v>
      </c>
      <c r="I2704" s="283">
        <v>0</v>
      </c>
      <c r="J2704" s="284">
        <v>1</v>
      </c>
    </row>
    <row r="2705" spans="3:10" x14ac:dyDescent="0.25">
      <c r="C2705" s="300" t="s">
        <v>1065</v>
      </c>
      <c r="D2705" s="283" t="s">
        <v>1079</v>
      </c>
      <c r="E2705" s="283" t="s">
        <v>1089</v>
      </c>
      <c r="F2705" s="283" t="s">
        <v>1093</v>
      </c>
      <c r="G2705" s="283">
        <v>2</v>
      </c>
      <c r="H2705" s="283">
        <v>0</v>
      </c>
      <c r="I2705" s="283">
        <v>0</v>
      </c>
      <c r="J2705" s="284">
        <v>0</v>
      </c>
    </row>
    <row r="2706" spans="3:10" x14ac:dyDescent="0.25">
      <c r="C2706" s="300" t="s">
        <v>1061</v>
      </c>
      <c r="D2706" s="283" t="s">
        <v>1082</v>
      </c>
      <c r="E2706" s="283" t="s">
        <v>1075</v>
      </c>
      <c r="F2706" s="283" t="s">
        <v>1080</v>
      </c>
      <c r="G2706" s="283">
        <v>2</v>
      </c>
      <c r="H2706" s="283">
        <v>0</v>
      </c>
      <c r="I2706" s="283">
        <v>0</v>
      </c>
      <c r="J2706" s="284">
        <v>1</v>
      </c>
    </row>
    <row r="2707" spans="3:10" x14ac:dyDescent="0.25">
      <c r="C2707" s="300" t="s">
        <v>1064</v>
      </c>
      <c r="D2707" s="283" t="s">
        <v>1087</v>
      </c>
      <c r="E2707" s="283" t="s">
        <v>1075</v>
      </c>
      <c r="F2707" s="283" t="s">
        <v>524</v>
      </c>
      <c r="G2707" s="283">
        <v>1</v>
      </c>
      <c r="H2707" s="283">
        <v>0</v>
      </c>
      <c r="I2707" s="283">
        <v>0</v>
      </c>
      <c r="J2707" s="284">
        <v>1</v>
      </c>
    </row>
    <row r="2708" spans="3:10" x14ac:dyDescent="0.25">
      <c r="C2708" s="300" t="s">
        <v>1064</v>
      </c>
      <c r="D2708" s="283" t="s">
        <v>1043</v>
      </c>
      <c r="E2708" s="283" t="s">
        <v>1076</v>
      </c>
      <c r="F2708" s="283" t="s">
        <v>1092</v>
      </c>
      <c r="G2708" s="283">
        <v>2</v>
      </c>
      <c r="H2708" s="283">
        <v>0</v>
      </c>
      <c r="I2708" s="283">
        <v>0</v>
      </c>
      <c r="J2708" s="284">
        <v>1</v>
      </c>
    </row>
    <row r="2709" spans="3:10" x14ac:dyDescent="0.25">
      <c r="C2709" s="300" t="s">
        <v>1059</v>
      </c>
      <c r="D2709" s="283" t="s">
        <v>1077</v>
      </c>
      <c r="E2709" s="283" t="s">
        <v>1075</v>
      </c>
      <c r="F2709" s="283" t="s">
        <v>1080</v>
      </c>
      <c r="G2709" s="283">
        <v>2</v>
      </c>
      <c r="H2709" s="283">
        <v>0</v>
      </c>
      <c r="I2709" s="283">
        <v>0</v>
      </c>
      <c r="J2709" s="284">
        <v>1</v>
      </c>
    </row>
    <row r="2710" spans="3:10" x14ac:dyDescent="0.25">
      <c r="C2710" s="300" t="s">
        <v>1057</v>
      </c>
      <c r="D2710" s="283" t="s">
        <v>1087</v>
      </c>
      <c r="E2710" s="283" t="s">
        <v>1075</v>
      </c>
      <c r="F2710" s="283" t="s">
        <v>524</v>
      </c>
      <c r="G2710" s="283">
        <v>1</v>
      </c>
      <c r="H2710" s="283">
        <v>0</v>
      </c>
      <c r="I2710" s="283">
        <v>0</v>
      </c>
      <c r="J2710" s="284">
        <v>0</v>
      </c>
    </row>
    <row r="2711" spans="3:10" x14ac:dyDescent="0.25">
      <c r="C2711" s="300" t="s">
        <v>1065</v>
      </c>
      <c r="D2711" s="283" t="s">
        <v>1082</v>
      </c>
      <c r="E2711" s="283" t="s">
        <v>1089</v>
      </c>
      <c r="F2711" s="283" t="s">
        <v>1089</v>
      </c>
      <c r="G2711" s="283">
        <v>2</v>
      </c>
      <c r="H2711" s="283">
        <v>0</v>
      </c>
      <c r="I2711" s="283">
        <v>1</v>
      </c>
      <c r="J2711" s="284">
        <v>2</v>
      </c>
    </row>
    <row r="2712" spans="3:10" x14ac:dyDescent="0.25">
      <c r="C2712" s="300" t="s">
        <v>1061</v>
      </c>
      <c r="D2712" s="283" t="s">
        <v>1043</v>
      </c>
      <c r="E2712" s="283" t="s">
        <v>1075</v>
      </c>
      <c r="F2712" s="283" t="s">
        <v>1092</v>
      </c>
      <c r="G2712" s="283">
        <v>2</v>
      </c>
      <c r="H2712" s="283">
        <v>0</v>
      </c>
      <c r="I2712" s="283">
        <v>0</v>
      </c>
      <c r="J2712" s="284">
        <v>0</v>
      </c>
    </row>
    <row r="2713" spans="3:10" x14ac:dyDescent="0.25">
      <c r="C2713" s="300" t="s">
        <v>1064</v>
      </c>
      <c r="D2713" s="283" t="s">
        <v>1077</v>
      </c>
      <c r="E2713" s="283" t="s">
        <v>1075</v>
      </c>
      <c r="F2713" s="283" t="s">
        <v>1089</v>
      </c>
      <c r="G2713" s="283">
        <v>2</v>
      </c>
      <c r="H2713" s="283">
        <v>0</v>
      </c>
      <c r="I2713" s="283">
        <v>0</v>
      </c>
      <c r="J2713" s="284">
        <v>2</v>
      </c>
    </row>
    <row r="2714" spans="3:10" x14ac:dyDescent="0.25">
      <c r="C2714" s="300" t="s">
        <v>1068</v>
      </c>
      <c r="D2714" s="283" t="s">
        <v>1079</v>
      </c>
      <c r="E2714" s="283" t="s">
        <v>1075</v>
      </c>
      <c r="F2714" s="283" t="s">
        <v>1075</v>
      </c>
      <c r="G2714" s="283">
        <v>2</v>
      </c>
      <c r="H2714" s="283">
        <v>0</v>
      </c>
      <c r="I2714" s="283">
        <v>0</v>
      </c>
      <c r="J2714" s="284">
        <v>0</v>
      </c>
    </row>
    <row r="2715" spans="3:10" x14ac:dyDescent="0.25">
      <c r="C2715" s="300" t="s">
        <v>1066</v>
      </c>
      <c r="D2715" s="283" t="s">
        <v>1079</v>
      </c>
      <c r="E2715" s="283" t="s">
        <v>1075</v>
      </c>
      <c r="F2715" s="283" t="s">
        <v>1075</v>
      </c>
      <c r="G2715" s="283">
        <v>3</v>
      </c>
      <c r="H2715" s="283">
        <v>0</v>
      </c>
      <c r="I2715" s="283">
        <v>1</v>
      </c>
      <c r="J2715" s="284">
        <v>0</v>
      </c>
    </row>
    <row r="2716" spans="3:10" x14ac:dyDescent="0.25">
      <c r="C2716" s="300" t="s">
        <v>1065</v>
      </c>
      <c r="D2716" s="283" t="s">
        <v>1090</v>
      </c>
      <c r="E2716" s="283" t="s">
        <v>1083</v>
      </c>
      <c r="F2716" s="283" t="s">
        <v>524</v>
      </c>
      <c r="G2716" s="283">
        <v>1</v>
      </c>
      <c r="H2716" s="283">
        <v>0</v>
      </c>
      <c r="I2716" s="283">
        <v>0</v>
      </c>
      <c r="J2716" s="284">
        <v>0</v>
      </c>
    </row>
    <row r="2717" spans="3:10" x14ac:dyDescent="0.25">
      <c r="C2717" s="300" t="s">
        <v>1068</v>
      </c>
      <c r="D2717" s="283" t="s">
        <v>1077</v>
      </c>
      <c r="E2717" s="283" t="s">
        <v>1093</v>
      </c>
      <c r="F2717" s="283" t="s">
        <v>1075</v>
      </c>
      <c r="G2717" s="283">
        <v>2</v>
      </c>
      <c r="H2717" s="283">
        <v>0</v>
      </c>
      <c r="I2717" s="283">
        <v>1</v>
      </c>
      <c r="J2717" s="284">
        <v>0</v>
      </c>
    </row>
    <row r="2718" spans="3:10" x14ac:dyDescent="0.25">
      <c r="C2718" s="300" t="s">
        <v>1066</v>
      </c>
      <c r="D2718" s="283" t="s">
        <v>1087</v>
      </c>
      <c r="E2718" s="283" t="s">
        <v>1076</v>
      </c>
      <c r="F2718" s="283" t="s">
        <v>524</v>
      </c>
      <c r="G2718" s="283">
        <v>1</v>
      </c>
      <c r="H2718" s="283">
        <v>0</v>
      </c>
      <c r="I2718" s="283">
        <v>0</v>
      </c>
      <c r="J2718" s="284">
        <v>1</v>
      </c>
    </row>
    <row r="2719" spans="3:10" x14ac:dyDescent="0.25">
      <c r="C2719" s="300" t="s">
        <v>1061</v>
      </c>
      <c r="D2719" s="283" t="s">
        <v>1074</v>
      </c>
      <c r="E2719" s="283" t="s">
        <v>1089</v>
      </c>
      <c r="F2719" s="283" t="s">
        <v>1075</v>
      </c>
      <c r="G2719" s="283">
        <v>2</v>
      </c>
      <c r="H2719" s="283">
        <v>0</v>
      </c>
      <c r="I2719" s="283">
        <v>0</v>
      </c>
      <c r="J2719" s="284">
        <v>0</v>
      </c>
    </row>
    <row r="2720" spans="3:10" x14ac:dyDescent="0.25">
      <c r="C2720" s="300" t="s">
        <v>1058</v>
      </c>
      <c r="D2720" s="283" t="s">
        <v>1079</v>
      </c>
      <c r="E2720" s="283" t="s">
        <v>1075</v>
      </c>
      <c r="F2720" s="283" t="s">
        <v>1076</v>
      </c>
      <c r="G2720" s="283">
        <v>2</v>
      </c>
      <c r="H2720" s="283">
        <v>0</v>
      </c>
      <c r="I2720" s="283">
        <v>0</v>
      </c>
      <c r="J2720" s="284">
        <v>0</v>
      </c>
    </row>
    <row r="2721" spans="3:10" x14ac:dyDescent="0.25">
      <c r="C2721" s="300" t="s">
        <v>1062</v>
      </c>
      <c r="D2721" s="283" t="s">
        <v>1074</v>
      </c>
      <c r="E2721" s="283" t="s">
        <v>1089</v>
      </c>
      <c r="F2721" s="283" t="s">
        <v>1083</v>
      </c>
      <c r="G2721" s="283">
        <v>2</v>
      </c>
      <c r="H2721" s="283">
        <v>0</v>
      </c>
      <c r="I2721" s="283">
        <v>1</v>
      </c>
      <c r="J2721" s="284">
        <v>0</v>
      </c>
    </row>
    <row r="2722" spans="3:10" x14ac:dyDescent="0.25">
      <c r="C2722" s="300" t="s">
        <v>1063</v>
      </c>
      <c r="D2722" s="283" t="s">
        <v>1082</v>
      </c>
      <c r="E2722" s="283" t="s">
        <v>1076</v>
      </c>
      <c r="F2722" s="283" t="s">
        <v>1081</v>
      </c>
      <c r="G2722" s="283">
        <v>6</v>
      </c>
      <c r="H2722" s="283">
        <v>0</v>
      </c>
      <c r="I2722" s="283">
        <v>0</v>
      </c>
      <c r="J2722" s="284">
        <v>1</v>
      </c>
    </row>
    <row r="2723" spans="3:10" x14ac:dyDescent="0.25">
      <c r="C2723" s="300" t="s">
        <v>1060</v>
      </c>
      <c r="D2723" s="283" t="s">
        <v>1077</v>
      </c>
      <c r="E2723" s="283" t="s">
        <v>1076</v>
      </c>
      <c r="F2723" s="283" t="s">
        <v>1075</v>
      </c>
      <c r="G2723" s="283">
        <v>2</v>
      </c>
      <c r="H2723" s="283">
        <v>0</v>
      </c>
      <c r="I2723" s="283">
        <v>0</v>
      </c>
      <c r="J2723" s="284">
        <v>1</v>
      </c>
    </row>
    <row r="2724" spans="3:10" x14ac:dyDescent="0.25">
      <c r="C2724" s="300" t="s">
        <v>1067</v>
      </c>
      <c r="D2724" s="283" t="s">
        <v>1077</v>
      </c>
      <c r="E2724" s="283" t="s">
        <v>1075</v>
      </c>
      <c r="F2724" s="283" t="s">
        <v>1075</v>
      </c>
      <c r="G2724" s="283">
        <v>2</v>
      </c>
      <c r="H2724" s="283">
        <v>0</v>
      </c>
      <c r="I2724" s="283">
        <v>0</v>
      </c>
      <c r="J2724" s="284">
        <v>0</v>
      </c>
    </row>
    <row r="2725" spans="3:10" x14ac:dyDescent="0.25">
      <c r="C2725" s="300" t="s">
        <v>1065</v>
      </c>
      <c r="D2725" s="283" t="s">
        <v>1077</v>
      </c>
      <c r="E2725" s="283" t="s">
        <v>1075</v>
      </c>
      <c r="F2725" s="283" t="s">
        <v>1075</v>
      </c>
      <c r="G2725" s="283">
        <v>3</v>
      </c>
      <c r="H2725" s="283">
        <v>0</v>
      </c>
      <c r="I2725" s="283">
        <v>0</v>
      </c>
      <c r="J2725" s="284">
        <v>0</v>
      </c>
    </row>
    <row r="2726" spans="3:10" x14ac:dyDescent="0.25">
      <c r="C2726" s="300" t="s">
        <v>1065</v>
      </c>
      <c r="D2726" s="283" t="s">
        <v>1074</v>
      </c>
      <c r="E2726" s="283" t="s">
        <v>1084</v>
      </c>
      <c r="F2726" s="283" t="s">
        <v>1075</v>
      </c>
      <c r="G2726" s="283">
        <v>2</v>
      </c>
      <c r="H2726" s="283">
        <v>0</v>
      </c>
      <c r="I2726" s="283">
        <v>0</v>
      </c>
      <c r="J2726" s="284">
        <v>0</v>
      </c>
    </row>
    <row r="2727" spans="3:10" x14ac:dyDescent="0.25">
      <c r="C2727" s="300" t="s">
        <v>1063</v>
      </c>
      <c r="D2727" s="283" t="s">
        <v>1079</v>
      </c>
      <c r="E2727" s="283" t="s">
        <v>1080</v>
      </c>
      <c r="F2727" s="283" t="s">
        <v>1075</v>
      </c>
      <c r="G2727" s="283">
        <v>2</v>
      </c>
      <c r="H2727" s="283">
        <v>0</v>
      </c>
      <c r="I2727" s="283">
        <v>0</v>
      </c>
      <c r="J2727" s="284">
        <v>0</v>
      </c>
    </row>
    <row r="2728" spans="3:10" x14ac:dyDescent="0.25">
      <c r="C2728" s="300" t="s">
        <v>1059</v>
      </c>
      <c r="D2728" s="283" t="s">
        <v>1077</v>
      </c>
      <c r="E2728" s="283" t="s">
        <v>1075</v>
      </c>
      <c r="F2728" s="283" t="s">
        <v>1089</v>
      </c>
      <c r="G2728" s="283">
        <v>3</v>
      </c>
      <c r="H2728" s="283">
        <v>0</v>
      </c>
      <c r="I2728" s="283">
        <v>0</v>
      </c>
      <c r="J2728" s="284">
        <v>0</v>
      </c>
    </row>
    <row r="2729" spans="3:10" x14ac:dyDescent="0.25">
      <c r="C2729" s="300" t="s">
        <v>1062</v>
      </c>
      <c r="D2729" s="283" t="s">
        <v>1079</v>
      </c>
      <c r="E2729" s="283" t="s">
        <v>1076</v>
      </c>
      <c r="F2729" s="283" t="s">
        <v>1075</v>
      </c>
      <c r="G2729" s="283">
        <v>2</v>
      </c>
      <c r="H2729" s="283">
        <v>0</v>
      </c>
      <c r="I2729" s="283">
        <v>0</v>
      </c>
      <c r="J2729" s="284">
        <v>0</v>
      </c>
    </row>
    <row r="2730" spans="3:10" x14ac:dyDescent="0.25">
      <c r="C2730" s="300" t="s">
        <v>1060</v>
      </c>
      <c r="D2730" s="283" t="s">
        <v>1077</v>
      </c>
      <c r="E2730" s="283" t="s">
        <v>1076</v>
      </c>
      <c r="F2730" s="283" t="s">
        <v>1075</v>
      </c>
      <c r="G2730" s="283">
        <v>3</v>
      </c>
      <c r="H2730" s="283">
        <v>0</v>
      </c>
      <c r="I2730" s="283">
        <v>0</v>
      </c>
      <c r="J2730" s="284">
        <v>0</v>
      </c>
    </row>
    <row r="2731" spans="3:10" x14ac:dyDescent="0.25">
      <c r="C2731" s="300" t="s">
        <v>1061</v>
      </c>
      <c r="D2731" s="283" t="s">
        <v>1074</v>
      </c>
      <c r="E2731" s="283" t="s">
        <v>1089</v>
      </c>
      <c r="F2731" s="283" t="s">
        <v>1075</v>
      </c>
      <c r="G2731" s="283">
        <v>2</v>
      </c>
      <c r="H2731" s="283">
        <v>0</v>
      </c>
      <c r="I2731" s="283">
        <v>0</v>
      </c>
      <c r="J2731" s="284">
        <v>0</v>
      </c>
    </row>
    <row r="2732" spans="3:10" x14ac:dyDescent="0.25">
      <c r="C2732" s="300" t="s">
        <v>1068</v>
      </c>
      <c r="D2732" s="283" t="s">
        <v>1077</v>
      </c>
      <c r="E2732" s="283" t="s">
        <v>1075</v>
      </c>
      <c r="F2732" s="283" t="s">
        <v>1075</v>
      </c>
      <c r="G2732" s="283">
        <v>2</v>
      </c>
      <c r="H2732" s="283">
        <v>0</v>
      </c>
      <c r="I2732" s="283">
        <v>0</v>
      </c>
      <c r="J2732" s="284">
        <v>0</v>
      </c>
    </row>
    <row r="2733" spans="3:10" x14ac:dyDescent="0.25">
      <c r="C2733" s="300" t="s">
        <v>1065</v>
      </c>
      <c r="D2733" s="283" t="s">
        <v>1077</v>
      </c>
      <c r="E2733" s="283" t="s">
        <v>1075</v>
      </c>
      <c r="F2733" s="283" t="s">
        <v>1075</v>
      </c>
      <c r="G2733" s="283">
        <v>3</v>
      </c>
      <c r="H2733" s="283">
        <v>0</v>
      </c>
      <c r="I2733" s="283">
        <v>0</v>
      </c>
      <c r="J2733" s="284">
        <v>0</v>
      </c>
    </row>
    <row r="2734" spans="3:10" x14ac:dyDescent="0.25">
      <c r="C2734" s="300" t="s">
        <v>1066</v>
      </c>
      <c r="D2734" s="283" t="s">
        <v>1079</v>
      </c>
      <c r="E2734" s="283" t="s">
        <v>1075</v>
      </c>
      <c r="F2734" s="283" t="s">
        <v>1075</v>
      </c>
      <c r="G2734" s="283">
        <v>2</v>
      </c>
      <c r="H2734" s="283">
        <v>0</v>
      </c>
      <c r="I2734" s="283">
        <v>0</v>
      </c>
      <c r="J2734" s="284">
        <v>0</v>
      </c>
    </row>
    <row r="2735" spans="3:10" x14ac:dyDescent="0.25">
      <c r="C2735" s="300" t="s">
        <v>1065</v>
      </c>
      <c r="D2735" s="283" t="s">
        <v>1077</v>
      </c>
      <c r="E2735" s="283" t="s">
        <v>1075</v>
      </c>
      <c r="F2735" s="283" t="s">
        <v>1089</v>
      </c>
      <c r="G2735" s="283">
        <v>3</v>
      </c>
      <c r="H2735" s="283">
        <v>0</v>
      </c>
      <c r="I2735" s="283">
        <v>0</v>
      </c>
      <c r="J2735" s="284">
        <v>0</v>
      </c>
    </row>
    <row r="2736" spans="3:10" x14ac:dyDescent="0.25">
      <c r="C2736" s="300" t="s">
        <v>1068</v>
      </c>
      <c r="D2736" s="283" t="s">
        <v>1079</v>
      </c>
      <c r="E2736" s="283" t="s">
        <v>1075</v>
      </c>
      <c r="F2736" s="283" t="s">
        <v>1075</v>
      </c>
      <c r="G2736" s="283">
        <v>2</v>
      </c>
      <c r="H2736" s="283">
        <v>0</v>
      </c>
      <c r="I2736" s="283">
        <v>0</v>
      </c>
      <c r="J2736" s="284">
        <v>0</v>
      </c>
    </row>
    <row r="2737" spans="3:10" x14ac:dyDescent="0.25">
      <c r="C2737" s="300" t="s">
        <v>1067</v>
      </c>
      <c r="D2737" s="283" t="s">
        <v>1079</v>
      </c>
      <c r="E2737" s="283" t="s">
        <v>1075</v>
      </c>
      <c r="F2737" s="283" t="s">
        <v>1075</v>
      </c>
      <c r="G2737" s="283">
        <v>2</v>
      </c>
      <c r="H2737" s="283">
        <v>0</v>
      </c>
      <c r="I2737" s="283">
        <v>0</v>
      </c>
      <c r="J2737" s="284">
        <v>0</v>
      </c>
    </row>
    <row r="2738" spans="3:10" x14ac:dyDescent="0.25">
      <c r="C2738" s="300" t="s">
        <v>1064</v>
      </c>
      <c r="D2738" s="283" t="s">
        <v>1074</v>
      </c>
      <c r="E2738" s="283" t="s">
        <v>1075</v>
      </c>
      <c r="F2738" s="283" t="s">
        <v>1089</v>
      </c>
      <c r="G2738" s="283">
        <v>2</v>
      </c>
      <c r="H2738" s="283">
        <v>0</v>
      </c>
      <c r="I2738" s="283">
        <v>0</v>
      </c>
      <c r="J2738" s="284">
        <v>0</v>
      </c>
    </row>
    <row r="2739" spans="3:10" x14ac:dyDescent="0.25">
      <c r="C2739" s="300" t="s">
        <v>1064</v>
      </c>
      <c r="D2739" s="283" t="s">
        <v>1077</v>
      </c>
      <c r="E2739" s="283" t="s">
        <v>1075</v>
      </c>
      <c r="F2739" s="283" t="s">
        <v>1075</v>
      </c>
      <c r="G2739" s="283">
        <v>2</v>
      </c>
      <c r="H2739" s="283">
        <v>0</v>
      </c>
      <c r="I2739" s="283">
        <v>0</v>
      </c>
      <c r="J2739" s="284">
        <v>0</v>
      </c>
    </row>
    <row r="2740" spans="3:10" x14ac:dyDescent="0.25">
      <c r="C2740" s="300" t="s">
        <v>1067</v>
      </c>
      <c r="D2740" s="283" t="s">
        <v>1079</v>
      </c>
      <c r="E2740" s="283" t="s">
        <v>1075</v>
      </c>
      <c r="F2740" s="283" t="s">
        <v>1075</v>
      </c>
      <c r="G2740" s="283">
        <v>2</v>
      </c>
      <c r="H2740" s="283">
        <v>0</v>
      </c>
      <c r="I2740" s="283">
        <v>1</v>
      </c>
      <c r="J2740" s="284">
        <v>0</v>
      </c>
    </row>
    <row r="2741" spans="3:10" x14ac:dyDescent="0.25">
      <c r="C2741" s="300" t="s">
        <v>1065</v>
      </c>
      <c r="D2741" s="283" t="s">
        <v>1079</v>
      </c>
      <c r="E2741" s="283" t="s">
        <v>1081</v>
      </c>
      <c r="F2741" s="283" t="s">
        <v>1075</v>
      </c>
      <c r="G2741" s="283">
        <v>2</v>
      </c>
      <c r="H2741" s="283">
        <v>0</v>
      </c>
      <c r="I2741" s="283">
        <v>1</v>
      </c>
      <c r="J2741" s="284">
        <v>1</v>
      </c>
    </row>
    <row r="2742" spans="3:10" x14ac:dyDescent="0.25">
      <c r="C2742" s="300" t="s">
        <v>1064</v>
      </c>
      <c r="D2742" s="283" t="s">
        <v>1074</v>
      </c>
      <c r="E2742" s="283" t="s">
        <v>1076</v>
      </c>
      <c r="F2742" s="283" t="s">
        <v>1075</v>
      </c>
      <c r="G2742" s="283">
        <v>2</v>
      </c>
      <c r="H2742" s="283">
        <v>0</v>
      </c>
      <c r="I2742" s="283">
        <v>1</v>
      </c>
      <c r="J2742" s="284">
        <v>0</v>
      </c>
    </row>
    <row r="2743" spans="3:10" x14ac:dyDescent="0.25">
      <c r="C2743" s="300" t="s">
        <v>1066</v>
      </c>
      <c r="D2743" s="283" t="s">
        <v>1077</v>
      </c>
      <c r="E2743" s="283" t="s">
        <v>1076</v>
      </c>
      <c r="F2743" s="283" t="s">
        <v>1089</v>
      </c>
      <c r="G2743" s="283">
        <v>2</v>
      </c>
      <c r="H2743" s="283">
        <v>0</v>
      </c>
      <c r="I2743" s="283">
        <v>0</v>
      </c>
      <c r="J2743" s="284">
        <v>0</v>
      </c>
    </row>
    <row r="2744" spans="3:10" x14ac:dyDescent="0.25">
      <c r="C2744" s="300" t="s">
        <v>1063</v>
      </c>
      <c r="D2744" s="283" t="s">
        <v>1079</v>
      </c>
      <c r="E2744" s="283" t="s">
        <v>1075</v>
      </c>
      <c r="F2744" s="283" t="s">
        <v>1089</v>
      </c>
      <c r="G2744" s="283">
        <v>2</v>
      </c>
      <c r="H2744" s="283">
        <v>0</v>
      </c>
      <c r="I2744" s="283">
        <v>1</v>
      </c>
      <c r="J2744" s="284">
        <v>0</v>
      </c>
    </row>
    <row r="2745" spans="3:10" x14ac:dyDescent="0.25">
      <c r="C2745" s="300" t="s">
        <v>1063</v>
      </c>
      <c r="D2745" s="283" t="s">
        <v>1043</v>
      </c>
      <c r="E2745" s="283" t="s">
        <v>1075</v>
      </c>
      <c r="F2745" s="283" t="s">
        <v>1092</v>
      </c>
      <c r="G2745" s="283">
        <v>2</v>
      </c>
      <c r="H2745" s="283">
        <v>0</v>
      </c>
      <c r="I2745" s="283">
        <v>1</v>
      </c>
      <c r="J2745" s="284">
        <v>0</v>
      </c>
    </row>
    <row r="2746" spans="3:10" x14ac:dyDescent="0.25">
      <c r="C2746" s="300" t="s">
        <v>1066</v>
      </c>
      <c r="D2746" s="283" t="s">
        <v>1079</v>
      </c>
      <c r="E2746" s="283" t="s">
        <v>1076</v>
      </c>
      <c r="F2746" s="283" t="s">
        <v>1075</v>
      </c>
      <c r="G2746" s="283">
        <v>3</v>
      </c>
      <c r="H2746" s="283">
        <v>0</v>
      </c>
      <c r="I2746" s="283">
        <v>0</v>
      </c>
      <c r="J2746" s="284">
        <v>0</v>
      </c>
    </row>
    <row r="2747" spans="3:10" x14ac:dyDescent="0.25">
      <c r="C2747" s="300" t="s">
        <v>1063</v>
      </c>
      <c r="D2747" s="283" t="s">
        <v>1043</v>
      </c>
      <c r="E2747" s="283" t="s">
        <v>1080</v>
      </c>
      <c r="F2747" s="283" t="s">
        <v>1092</v>
      </c>
      <c r="G2747" s="283">
        <v>2</v>
      </c>
      <c r="H2747" s="283">
        <v>0</v>
      </c>
      <c r="I2747" s="283">
        <v>0</v>
      </c>
      <c r="J2747" s="284">
        <v>0</v>
      </c>
    </row>
    <row r="2748" spans="3:10" x14ac:dyDescent="0.25">
      <c r="C2748" s="300" t="s">
        <v>1063</v>
      </c>
      <c r="D2748" s="283" t="s">
        <v>1043</v>
      </c>
      <c r="E2748" s="283" t="s">
        <v>1075</v>
      </c>
      <c r="F2748" s="283" t="s">
        <v>1092</v>
      </c>
      <c r="G2748" s="283">
        <v>2</v>
      </c>
      <c r="H2748" s="283">
        <v>0</v>
      </c>
      <c r="I2748" s="283">
        <v>0</v>
      </c>
      <c r="J2748" s="284">
        <v>0</v>
      </c>
    </row>
    <row r="2749" spans="3:10" x14ac:dyDescent="0.25">
      <c r="C2749" s="300" t="s">
        <v>1067</v>
      </c>
      <c r="D2749" s="283" t="s">
        <v>1077</v>
      </c>
      <c r="E2749" s="283" t="s">
        <v>1075</v>
      </c>
      <c r="F2749" s="283" t="s">
        <v>1075</v>
      </c>
      <c r="G2749" s="283">
        <v>2</v>
      </c>
      <c r="H2749" s="283">
        <v>0</v>
      </c>
      <c r="I2749" s="283">
        <v>0</v>
      </c>
      <c r="J2749" s="284">
        <v>0</v>
      </c>
    </row>
    <row r="2750" spans="3:10" x14ac:dyDescent="0.25">
      <c r="C2750" s="300" t="s">
        <v>1062</v>
      </c>
      <c r="D2750" s="283" t="s">
        <v>1074</v>
      </c>
      <c r="E2750" s="283" t="s">
        <v>1075</v>
      </c>
      <c r="F2750" s="283" t="s">
        <v>1075</v>
      </c>
      <c r="G2750" s="283">
        <v>2</v>
      </c>
      <c r="H2750" s="283">
        <v>0</v>
      </c>
      <c r="I2750" s="283">
        <v>0</v>
      </c>
      <c r="J2750" s="284">
        <v>0</v>
      </c>
    </row>
    <row r="2751" spans="3:10" x14ac:dyDescent="0.25">
      <c r="C2751" s="300" t="s">
        <v>1064</v>
      </c>
      <c r="D2751" s="283" t="s">
        <v>1074</v>
      </c>
      <c r="E2751" s="283" t="s">
        <v>1075</v>
      </c>
      <c r="F2751" s="283" t="s">
        <v>1075</v>
      </c>
      <c r="G2751" s="283">
        <v>2</v>
      </c>
      <c r="H2751" s="283">
        <v>0</v>
      </c>
      <c r="I2751" s="283">
        <v>0</v>
      </c>
      <c r="J2751" s="284">
        <v>0</v>
      </c>
    </row>
    <row r="2752" spans="3:10" x14ac:dyDescent="0.25">
      <c r="C2752" s="300" t="s">
        <v>1067</v>
      </c>
      <c r="D2752" s="283" t="s">
        <v>1077</v>
      </c>
      <c r="E2752" s="283" t="s">
        <v>1075</v>
      </c>
      <c r="F2752" s="283" t="s">
        <v>1089</v>
      </c>
      <c r="G2752" s="283">
        <v>2</v>
      </c>
      <c r="H2752" s="283">
        <v>0</v>
      </c>
      <c r="I2752" s="283">
        <v>0</v>
      </c>
      <c r="J2752" s="284">
        <v>0</v>
      </c>
    </row>
    <row r="2753" spans="3:10" x14ac:dyDescent="0.25">
      <c r="C2753" s="300" t="s">
        <v>1061</v>
      </c>
      <c r="D2753" s="283" t="s">
        <v>1074</v>
      </c>
      <c r="E2753" s="283" t="s">
        <v>1075</v>
      </c>
      <c r="F2753" s="283" t="s">
        <v>1089</v>
      </c>
      <c r="G2753" s="283">
        <v>3</v>
      </c>
      <c r="H2753" s="283">
        <v>0</v>
      </c>
      <c r="I2753" s="283">
        <v>0</v>
      </c>
      <c r="J2753" s="284">
        <v>0</v>
      </c>
    </row>
    <row r="2754" spans="3:10" x14ac:dyDescent="0.25">
      <c r="C2754" s="300" t="s">
        <v>1064</v>
      </c>
      <c r="D2754" s="283" t="s">
        <v>1077</v>
      </c>
      <c r="E2754" s="283" t="s">
        <v>1075</v>
      </c>
      <c r="F2754" s="283" t="s">
        <v>1075</v>
      </c>
      <c r="G2754" s="283">
        <v>2</v>
      </c>
      <c r="H2754" s="283">
        <v>0</v>
      </c>
      <c r="I2754" s="283">
        <v>0</v>
      </c>
      <c r="J2754" s="284">
        <v>0</v>
      </c>
    </row>
    <row r="2755" spans="3:10" x14ac:dyDescent="0.25">
      <c r="C2755" s="300" t="s">
        <v>1063</v>
      </c>
      <c r="D2755" s="283" t="s">
        <v>1079</v>
      </c>
      <c r="E2755" s="283" t="s">
        <v>1089</v>
      </c>
      <c r="F2755" s="283" t="s">
        <v>1076</v>
      </c>
      <c r="G2755" s="283">
        <v>2</v>
      </c>
      <c r="H2755" s="283">
        <v>0</v>
      </c>
      <c r="I2755" s="283">
        <v>0</v>
      </c>
      <c r="J2755" s="284">
        <v>1</v>
      </c>
    </row>
    <row r="2756" spans="3:10" x14ac:dyDescent="0.25">
      <c r="C2756" s="300" t="s">
        <v>1064</v>
      </c>
      <c r="D2756" s="283" t="s">
        <v>1043</v>
      </c>
      <c r="E2756" s="283" t="s">
        <v>1075</v>
      </c>
      <c r="F2756" s="283" t="s">
        <v>1092</v>
      </c>
      <c r="G2756" s="283">
        <v>2</v>
      </c>
      <c r="H2756" s="283">
        <v>0</v>
      </c>
      <c r="I2756" s="283">
        <v>0</v>
      </c>
      <c r="J2756" s="284">
        <v>0</v>
      </c>
    </row>
    <row r="2757" spans="3:10" x14ac:dyDescent="0.25">
      <c r="C2757" s="300" t="s">
        <v>1065</v>
      </c>
      <c r="D2757" s="283" t="s">
        <v>1082</v>
      </c>
      <c r="E2757" s="283" t="s">
        <v>1089</v>
      </c>
      <c r="F2757" s="283" t="s">
        <v>1089</v>
      </c>
      <c r="G2757" s="283">
        <v>2</v>
      </c>
      <c r="H2757" s="283">
        <v>0</v>
      </c>
      <c r="I2757" s="283">
        <v>0</v>
      </c>
      <c r="J2757" s="284">
        <v>1</v>
      </c>
    </row>
    <row r="2758" spans="3:10" x14ac:dyDescent="0.25">
      <c r="C2758" s="300" t="s">
        <v>1064</v>
      </c>
      <c r="D2758" s="283" t="s">
        <v>1079</v>
      </c>
      <c r="E2758" s="283" t="s">
        <v>1075</v>
      </c>
      <c r="F2758" s="283" t="s">
        <v>1075</v>
      </c>
      <c r="G2758" s="283">
        <v>2</v>
      </c>
      <c r="H2758" s="283">
        <v>0</v>
      </c>
      <c r="I2758" s="283">
        <v>0</v>
      </c>
      <c r="J2758" s="284">
        <v>0</v>
      </c>
    </row>
    <row r="2759" spans="3:10" x14ac:dyDescent="0.25">
      <c r="C2759" s="300" t="s">
        <v>1063</v>
      </c>
      <c r="D2759" s="283" t="s">
        <v>1079</v>
      </c>
      <c r="E2759" s="283" t="s">
        <v>1080</v>
      </c>
      <c r="F2759" s="283" t="s">
        <v>1083</v>
      </c>
      <c r="G2759" s="283">
        <v>3</v>
      </c>
      <c r="H2759" s="283">
        <v>0</v>
      </c>
      <c r="I2759" s="283">
        <v>1</v>
      </c>
      <c r="J2759" s="284">
        <v>0</v>
      </c>
    </row>
    <row r="2760" spans="3:10" x14ac:dyDescent="0.25">
      <c r="C2760" s="300" t="s">
        <v>1065</v>
      </c>
      <c r="D2760" s="283" t="s">
        <v>1077</v>
      </c>
      <c r="E2760" s="283" t="s">
        <v>1075</v>
      </c>
      <c r="F2760" s="283" t="s">
        <v>1076</v>
      </c>
      <c r="G2760" s="283">
        <v>2</v>
      </c>
      <c r="H2760" s="283">
        <v>0</v>
      </c>
      <c r="I2760" s="283">
        <v>0</v>
      </c>
      <c r="J2760" s="284">
        <v>0</v>
      </c>
    </row>
    <row r="2761" spans="3:10" x14ac:dyDescent="0.25">
      <c r="C2761" s="300" t="s">
        <v>1062</v>
      </c>
      <c r="D2761" s="283" t="s">
        <v>1077</v>
      </c>
      <c r="E2761" s="283" t="s">
        <v>1075</v>
      </c>
      <c r="F2761" s="283" t="s">
        <v>1075</v>
      </c>
      <c r="G2761" s="283">
        <v>2</v>
      </c>
      <c r="H2761" s="283">
        <v>0</v>
      </c>
      <c r="I2761" s="283">
        <v>0</v>
      </c>
      <c r="J2761" s="284">
        <v>0</v>
      </c>
    </row>
    <row r="2762" spans="3:10" x14ac:dyDescent="0.25">
      <c r="C2762" s="300" t="s">
        <v>1065</v>
      </c>
      <c r="D2762" s="283" t="s">
        <v>1043</v>
      </c>
      <c r="E2762" s="283" t="s">
        <v>1075</v>
      </c>
      <c r="F2762" s="283" t="s">
        <v>1092</v>
      </c>
      <c r="G2762" s="283">
        <v>2</v>
      </c>
      <c r="H2762" s="283">
        <v>0</v>
      </c>
      <c r="I2762" s="283">
        <v>1</v>
      </c>
      <c r="J2762" s="284">
        <v>0</v>
      </c>
    </row>
    <row r="2763" spans="3:10" x14ac:dyDescent="0.25">
      <c r="C2763" s="300" t="s">
        <v>1063</v>
      </c>
      <c r="D2763" s="283" t="s">
        <v>1077</v>
      </c>
      <c r="E2763" s="283" t="s">
        <v>1093</v>
      </c>
      <c r="F2763" s="283" t="s">
        <v>1075</v>
      </c>
      <c r="G2763" s="283">
        <v>2</v>
      </c>
      <c r="H2763" s="283">
        <v>0</v>
      </c>
      <c r="I2763" s="283">
        <v>0</v>
      </c>
      <c r="J2763" s="284">
        <v>0</v>
      </c>
    </row>
    <row r="2764" spans="3:10" x14ac:dyDescent="0.25">
      <c r="C2764" s="300" t="s">
        <v>1065</v>
      </c>
      <c r="D2764" s="283" t="s">
        <v>1082</v>
      </c>
      <c r="E2764" s="283" t="s">
        <v>1075</v>
      </c>
      <c r="F2764" s="283" t="s">
        <v>1075</v>
      </c>
      <c r="G2764" s="283">
        <v>3</v>
      </c>
      <c r="H2764" s="283">
        <v>0</v>
      </c>
      <c r="I2764" s="283">
        <v>0</v>
      </c>
      <c r="J2764" s="284">
        <v>0</v>
      </c>
    </row>
    <row r="2765" spans="3:10" x14ac:dyDescent="0.25">
      <c r="C2765" s="300" t="s">
        <v>1063</v>
      </c>
      <c r="D2765" s="283" t="s">
        <v>1079</v>
      </c>
      <c r="E2765" s="283" t="s">
        <v>1075</v>
      </c>
      <c r="F2765" s="283" t="s">
        <v>1075</v>
      </c>
      <c r="G2765" s="283">
        <v>2</v>
      </c>
      <c r="H2765" s="283">
        <v>0</v>
      </c>
      <c r="I2765" s="283">
        <v>0</v>
      </c>
      <c r="J2765" s="284">
        <v>2</v>
      </c>
    </row>
    <row r="2766" spans="3:10" x14ac:dyDescent="0.25">
      <c r="C2766" s="300" t="s">
        <v>1061</v>
      </c>
      <c r="D2766" s="283" t="s">
        <v>1079</v>
      </c>
      <c r="E2766" s="283" t="s">
        <v>1089</v>
      </c>
      <c r="F2766" s="283" t="s">
        <v>1083</v>
      </c>
      <c r="G2766" s="283">
        <v>2</v>
      </c>
      <c r="H2766" s="283">
        <v>0</v>
      </c>
      <c r="I2766" s="283">
        <v>1</v>
      </c>
      <c r="J2766" s="284">
        <v>0</v>
      </c>
    </row>
    <row r="2767" spans="3:10" x14ac:dyDescent="0.25">
      <c r="C2767" s="300" t="s">
        <v>1061</v>
      </c>
      <c r="D2767" s="283" t="s">
        <v>1082</v>
      </c>
      <c r="E2767" s="283" t="s">
        <v>1080</v>
      </c>
      <c r="F2767" s="283" t="s">
        <v>1075</v>
      </c>
      <c r="G2767" s="283">
        <v>2</v>
      </c>
      <c r="H2767" s="283">
        <v>0</v>
      </c>
      <c r="I2767" s="283">
        <v>0</v>
      </c>
      <c r="J2767" s="284">
        <v>1</v>
      </c>
    </row>
    <row r="2768" spans="3:10" x14ac:dyDescent="0.25">
      <c r="C2768" s="300" t="s">
        <v>1065</v>
      </c>
      <c r="D2768" s="283" t="s">
        <v>1074</v>
      </c>
      <c r="E2768" s="283" t="s">
        <v>1078</v>
      </c>
      <c r="F2768" s="283" t="s">
        <v>1083</v>
      </c>
      <c r="G2768" s="283">
        <v>2</v>
      </c>
      <c r="H2768" s="283">
        <v>0</v>
      </c>
      <c r="I2768" s="283">
        <v>1</v>
      </c>
      <c r="J2768" s="284">
        <v>0</v>
      </c>
    </row>
    <row r="2769" spans="3:10" x14ac:dyDescent="0.25">
      <c r="C2769" s="300" t="s">
        <v>1064</v>
      </c>
      <c r="D2769" s="283" t="s">
        <v>1077</v>
      </c>
      <c r="E2769" s="283" t="s">
        <v>1075</v>
      </c>
      <c r="F2769" s="283" t="s">
        <v>1075</v>
      </c>
      <c r="G2769" s="283">
        <v>2</v>
      </c>
      <c r="H2769" s="283">
        <v>0</v>
      </c>
      <c r="I2769" s="283">
        <v>0</v>
      </c>
      <c r="J2769" s="284">
        <v>0</v>
      </c>
    </row>
    <row r="2770" spans="3:10" x14ac:dyDescent="0.25">
      <c r="C2770" s="300" t="s">
        <v>1063</v>
      </c>
      <c r="D2770" s="283" t="s">
        <v>1079</v>
      </c>
      <c r="E2770" s="283" t="s">
        <v>1083</v>
      </c>
      <c r="F2770" s="283" t="s">
        <v>1089</v>
      </c>
      <c r="G2770" s="283">
        <v>3</v>
      </c>
      <c r="H2770" s="283">
        <v>0</v>
      </c>
      <c r="I2770" s="283">
        <v>1</v>
      </c>
      <c r="J2770" s="284">
        <v>0</v>
      </c>
    </row>
    <row r="2771" spans="3:10" x14ac:dyDescent="0.25">
      <c r="C2771" s="300" t="s">
        <v>1061</v>
      </c>
      <c r="D2771" s="283" t="s">
        <v>1079</v>
      </c>
      <c r="E2771" s="283" t="s">
        <v>1085</v>
      </c>
      <c r="F2771" s="283" t="s">
        <v>1075</v>
      </c>
      <c r="G2771" s="283">
        <v>2</v>
      </c>
      <c r="H2771" s="283">
        <v>0</v>
      </c>
      <c r="I2771" s="283">
        <v>1</v>
      </c>
      <c r="J2771" s="284">
        <v>0</v>
      </c>
    </row>
    <row r="2772" spans="3:10" x14ac:dyDescent="0.25">
      <c r="C2772" s="300" t="s">
        <v>1063</v>
      </c>
      <c r="D2772" s="283" t="s">
        <v>1077</v>
      </c>
      <c r="E2772" s="283" t="s">
        <v>1093</v>
      </c>
      <c r="F2772" s="283" t="s">
        <v>1075</v>
      </c>
      <c r="G2772" s="283">
        <v>2</v>
      </c>
      <c r="H2772" s="283">
        <v>0</v>
      </c>
      <c r="I2772" s="283">
        <v>0</v>
      </c>
      <c r="J2772" s="284">
        <v>1</v>
      </c>
    </row>
    <row r="2773" spans="3:10" x14ac:dyDescent="0.25">
      <c r="C2773" s="300" t="s">
        <v>1068</v>
      </c>
      <c r="D2773" s="283" t="s">
        <v>1087</v>
      </c>
      <c r="E2773" s="283" t="s">
        <v>1075</v>
      </c>
      <c r="F2773" s="283" t="s">
        <v>524</v>
      </c>
      <c r="G2773" s="283">
        <v>1</v>
      </c>
      <c r="H2773" s="283">
        <v>0</v>
      </c>
      <c r="I2773" s="283">
        <v>0</v>
      </c>
      <c r="J2773" s="284">
        <v>0</v>
      </c>
    </row>
    <row r="2774" spans="3:10" x14ac:dyDescent="0.25">
      <c r="C2774" s="300" t="s">
        <v>1060</v>
      </c>
      <c r="D2774" s="283" t="s">
        <v>1079</v>
      </c>
      <c r="E2774" s="283" t="s">
        <v>1075</v>
      </c>
      <c r="F2774" s="283" t="s">
        <v>1044</v>
      </c>
      <c r="G2774" s="283">
        <v>2</v>
      </c>
      <c r="H2774" s="283">
        <v>0</v>
      </c>
      <c r="I2774" s="283">
        <v>1</v>
      </c>
      <c r="J2774" s="284">
        <v>0</v>
      </c>
    </row>
    <row r="2775" spans="3:10" x14ac:dyDescent="0.25">
      <c r="C2775" s="300" t="s">
        <v>1057</v>
      </c>
      <c r="D2775" s="283" t="s">
        <v>1079</v>
      </c>
      <c r="E2775" s="283" t="s">
        <v>1075</v>
      </c>
      <c r="F2775" s="283" t="s">
        <v>1075</v>
      </c>
      <c r="G2775" s="283">
        <v>3</v>
      </c>
      <c r="H2775" s="283">
        <v>0</v>
      </c>
      <c r="I2775" s="283">
        <v>0</v>
      </c>
      <c r="J2775" s="284">
        <v>2</v>
      </c>
    </row>
    <row r="2776" spans="3:10" x14ac:dyDescent="0.25">
      <c r="C2776" s="300" t="s">
        <v>1061</v>
      </c>
      <c r="D2776" s="283" t="s">
        <v>1077</v>
      </c>
      <c r="E2776" s="283" t="s">
        <v>1078</v>
      </c>
      <c r="F2776" s="283" t="s">
        <v>1075</v>
      </c>
      <c r="G2776" s="283">
        <v>4</v>
      </c>
      <c r="H2776" s="283">
        <v>0</v>
      </c>
      <c r="I2776" s="283">
        <v>0</v>
      </c>
      <c r="J2776" s="284">
        <v>1</v>
      </c>
    </row>
    <row r="2777" spans="3:10" x14ac:dyDescent="0.25">
      <c r="C2777" s="300" t="s">
        <v>1068</v>
      </c>
      <c r="D2777" s="283" t="s">
        <v>1087</v>
      </c>
      <c r="E2777" s="283" t="s">
        <v>1075</v>
      </c>
      <c r="F2777" s="283" t="s">
        <v>524</v>
      </c>
      <c r="G2777" s="283">
        <v>1</v>
      </c>
      <c r="H2777" s="283">
        <v>0</v>
      </c>
      <c r="I2777" s="283">
        <v>0</v>
      </c>
      <c r="J2777" s="284">
        <v>0</v>
      </c>
    </row>
    <row r="2778" spans="3:10" x14ac:dyDescent="0.25">
      <c r="C2778" s="300" t="s">
        <v>1060</v>
      </c>
      <c r="D2778" s="283" t="s">
        <v>1079</v>
      </c>
      <c r="E2778" s="283" t="s">
        <v>1078</v>
      </c>
      <c r="F2778" s="283" t="s">
        <v>1076</v>
      </c>
      <c r="G2778" s="283">
        <v>2</v>
      </c>
      <c r="H2778" s="283">
        <v>0</v>
      </c>
      <c r="I2778" s="283">
        <v>0</v>
      </c>
      <c r="J2778" s="284">
        <v>1</v>
      </c>
    </row>
    <row r="2779" spans="3:10" x14ac:dyDescent="0.25">
      <c r="C2779" s="300" t="s">
        <v>1064</v>
      </c>
      <c r="D2779" s="283" t="s">
        <v>1079</v>
      </c>
      <c r="E2779" s="283" t="s">
        <v>1094</v>
      </c>
      <c r="F2779" s="283" t="s">
        <v>1075</v>
      </c>
      <c r="G2779" s="283">
        <v>2</v>
      </c>
      <c r="H2779" s="283">
        <v>0</v>
      </c>
      <c r="I2779" s="283">
        <v>0</v>
      </c>
      <c r="J2779" s="284">
        <v>1</v>
      </c>
    </row>
    <row r="2780" spans="3:10" x14ac:dyDescent="0.25">
      <c r="C2780" s="300" t="s">
        <v>1068</v>
      </c>
      <c r="D2780" s="283" t="s">
        <v>1087</v>
      </c>
      <c r="E2780" s="283" t="s">
        <v>1075</v>
      </c>
      <c r="F2780" s="283" t="s">
        <v>524</v>
      </c>
      <c r="G2780" s="283">
        <v>1</v>
      </c>
      <c r="H2780" s="283">
        <v>0</v>
      </c>
      <c r="I2780" s="283">
        <v>0</v>
      </c>
      <c r="J2780" s="284">
        <v>0</v>
      </c>
    </row>
    <row r="2781" spans="3:10" x14ac:dyDescent="0.25">
      <c r="C2781" s="300" t="s">
        <v>1065</v>
      </c>
      <c r="D2781" s="283" t="s">
        <v>1074</v>
      </c>
      <c r="E2781" s="283" t="s">
        <v>1075</v>
      </c>
      <c r="F2781" s="283" t="s">
        <v>1076</v>
      </c>
      <c r="G2781" s="283">
        <v>3</v>
      </c>
      <c r="H2781" s="283">
        <v>0</v>
      </c>
      <c r="I2781" s="283">
        <v>1</v>
      </c>
      <c r="J2781" s="284">
        <v>0</v>
      </c>
    </row>
    <row r="2782" spans="3:10" x14ac:dyDescent="0.25">
      <c r="C2782" s="300" t="s">
        <v>1066</v>
      </c>
      <c r="D2782" s="283" t="s">
        <v>1079</v>
      </c>
      <c r="E2782" s="283" t="s">
        <v>1075</v>
      </c>
      <c r="F2782" s="283" t="s">
        <v>1083</v>
      </c>
      <c r="G2782" s="283">
        <v>2</v>
      </c>
      <c r="H2782" s="283">
        <v>0</v>
      </c>
      <c r="I2782" s="283">
        <v>0</v>
      </c>
      <c r="J2782" s="284">
        <v>1</v>
      </c>
    </row>
    <row r="2783" spans="3:10" x14ac:dyDescent="0.25">
      <c r="C2783" s="300" t="s">
        <v>1061</v>
      </c>
      <c r="D2783" s="283" t="s">
        <v>1079</v>
      </c>
      <c r="E2783" s="283" t="s">
        <v>1080</v>
      </c>
      <c r="F2783" s="283" t="s">
        <v>1075</v>
      </c>
      <c r="G2783" s="283">
        <v>2</v>
      </c>
      <c r="H2783" s="283">
        <v>0</v>
      </c>
      <c r="I2783" s="283">
        <v>0</v>
      </c>
      <c r="J2783" s="284">
        <v>0</v>
      </c>
    </row>
    <row r="2784" spans="3:10" x14ac:dyDescent="0.25">
      <c r="C2784" s="300" t="s">
        <v>1066</v>
      </c>
      <c r="D2784" s="283" t="s">
        <v>1079</v>
      </c>
      <c r="E2784" s="283" t="s">
        <v>1075</v>
      </c>
      <c r="F2784" s="283" t="s">
        <v>1083</v>
      </c>
      <c r="G2784" s="283">
        <v>2</v>
      </c>
      <c r="H2784" s="283">
        <v>0</v>
      </c>
      <c r="I2784" s="283">
        <v>1</v>
      </c>
      <c r="J2784" s="284">
        <v>0</v>
      </c>
    </row>
    <row r="2785" spans="3:10" x14ac:dyDescent="0.25">
      <c r="C2785" s="300" t="s">
        <v>1060</v>
      </c>
      <c r="D2785" s="283" t="s">
        <v>1074</v>
      </c>
      <c r="E2785" s="283" t="s">
        <v>1089</v>
      </c>
      <c r="F2785" s="283" t="s">
        <v>1083</v>
      </c>
      <c r="G2785" s="283">
        <v>2</v>
      </c>
      <c r="H2785" s="283">
        <v>0</v>
      </c>
      <c r="I2785" s="283">
        <v>1</v>
      </c>
      <c r="J2785" s="284">
        <v>0</v>
      </c>
    </row>
    <row r="2786" spans="3:10" x14ac:dyDescent="0.25">
      <c r="C2786" s="300" t="s">
        <v>1065</v>
      </c>
      <c r="D2786" s="283" t="s">
        <v>1074</v>
      </c>
      <c r="E2786" s="283" t="s">
        <v>1089</v>
      </c>
      <c r="F2786" s="283" t="s">
        <v>1078</v>
      </c>
      <c r="G2786" s="283">
        <v>2</v>
      </c>
      <c r="H2786" s="283">
        <v>0</v>
      </c>
      <c r="I2786" s="283">
        <v>0</v>
      </c>
      <c r="J2786" s="284">
        <v>0</v>
      </c>
    </row>
    <row r="2787" spans="3:10" x14ac:dyDescent="0.25">
      <c r="C2787" s="300" t="s">
        <v>1068</v>
      </c>
      <c r="D2787" s="283" t="s">
        <v>1077</v>
      </c>
      <c r="E2787" s="283" t="s">
        <v>1076</v>
      </c>
      <c r="F2787" s="283" t="s">
        <v>1089</v>
      </c>
      <c r="G2787" s="283">
        <v>2</v>
      </c>
      <c r="H2787" s="283">
        <v>0</v>
      </c>
      <c r="I2787" s="283">
        <v>0</v>
      </c>
      <c r="J2787" s="284">
        <v>0</v>
      </c>
    </row>
    <row r="2788" spans="3:10" x14ac:dyDescent="0.25">
      <c r="C2788" s="300" t="s">
        <v>1063</v>
      </c>
      <c r="D2788" s="283" t="s">
        <v>1096</v>
      </c>
      <c r="E2788" s="283" t="s">
        <v>1083</v>
      </c>
      <c r="F2788" s="283" t="s">
        <v>524</v>
      </c>
      <c r="G2788" s="283">
        <v>1</v>
      </c>
      <c r="H2788" s="283">
        <v>0</v>
      </c>
      <c r="I2788" s="283">
        <v>0</v>
      </c>
      <c r="J2788" s="284">
        <v>0</v>
      </c>
    </row>
    <row r="2789" spans="3:10" x14ac:dyDescent="0.25">
      <c r="C2789" s="300" t="s">
        <v>1062</v>
      </c>
      <c r="D2789" s="283" t="s">
        <v>1079</v>
      </c>
      <c r="E2789" s="283" t="s">
        <v>1075</v>
      </c>
      <c r="F2789" s="283" t="s">
        <v>1089</v>
      </c>
      <c r="G2789" s="283">
        <v>3</v>
      </c>
      <c r="H2789" s="283">
        <v>0</v>
      </c>
      <c r="I2789" s="283">
        <v>0</v>
      </c>
      <c r="J2789" s="284">
        <v>0</v>
      </c>
    </row>
    <row r="2790" spans="3:10" x14ac:dyDescent="0.25">
      <c r="C2790" s="300" t="s">
        <v>1064</v>
      </c>
      <c r="D2790" s="283" t="s">
        <v>1043</v>
      </c>
      <c r="E2790" s="283" t="s">
        <v>1075</v>
      </c>
      <c r="F2790" s="283" t="s">
        <v>1092</v>
      </c>
      <c r="G2790" s="283">
        <v>2</v>
      </c>
      <c r="H2790" s="283">
        <v>0</v>
      </c>
      <c r="I2790" s="283">
        <v>0</v>
      </c>
      <c r="J2790" s="284">
        <v>1</v>
      </c>
    </row>
    <row r="2791" spans="3:10" x14ac:dyDescent="0.25">
      <c r="C2791" s="300" t="s">
        <v>1063</v>
      </c>
      <c r="D2791" s="283" t="s">
        <v>1087</v>
      </c>
      <c r="E2791" s="283" t="s">
        <v>1078</v>
      </c>
      <c r="F2791" s="283" t="s">
        <v>524</v>
      </c>
      <c r="G2791" s="283">
        <v>1</v>
      </c>
      <c r="H2791" s="283">
        <v>0</v>
      </c>
      <c r="I2791" s="283">
        <v>0</v>
      </c>
      <c r="J2791" s="284">
        <v>1</v>
      </c>
    </row>
    <row r="2792" spans="3:10" x14ac:dyDescent="0.25">
      <c r="C2792" s="300" t="s">
        <v>1063</v>
      </c>
      <c r="D2792" s="283" t="s">
        <v>1087</v>
      </c>
      <c r="E2792" s="283" t="s">
        <v>1075</v>
      </c>
      <c r="F2792" s="283" t="s">
        <v>524</v>
      </c>
      <c r="G2792" s="283">
        <v>1</v>
      </c>
      <c r="H2792" s="283">
        <v>0</v>
      </c>
      <c r="I2792" s="283">
        <v>0</v>
      </c>
      <c r="J2792" s="284">
        <v>0</v>
      </c>
    </row>
    <row r="2793" spans="3:10" x14ac:dyDescent="0.25">
      <c r="C2793" s="300" t="s">
        <v>1065</v>
      </c>
      <c r="D2793" s="283" t="s">
        <v>1087</v>
      </c>
      <c r="E2793" s="283" t="s">
        <v>1083</v>
      </c>
      <c r="F2793" s="283" t="s">
        <v>524</v>
      </c>
      <c r="G2793" s="283">
        <v>1</v>
      </c>
      <c r="H2793" s="283">
        <v>0</v>
      </c>
      <c r="I2793" s="283">
        <v>0</v>
      </c>
      <c r="J2793" s="284">
        <v>1</v>
      </c>
    </row>
    <row r="2794" spans="3:10" x14ac:dyDescent="0.25">
      <c r="C2794" s="300" t="s">
        <v>1067</v>
      </c>
      <c r="D2794" s="283" t="s">
        <v>1087</v>
      </c>
      <c r="E2794" s="283" t="s">
        <v>1089</v>
      </c>
      <c r="F2794" s="283" t="s">
        <v>524</v>
      </c>
      <c r="G2794" s="283">
        <v>1</v>
      </c>
      <c r="H2794" s="283">
        <v>0</v>
      </c>
      <c r="I2794" s="283">
        <v>0</v>
      </c>
      <c r="J2794" s="284">
        <v>0</v>
      </c>
    </row>
    <row r="2795" spans="3:10" x14ac:dyDescent="0.25">
      <c r="C2795" s="300" t="s">
        <v>1067</v>
      </c>
      <c r="D2795" s="283" t="s">
        <v>1074</v>
      </c>
      <c r="E2795" s="283" t="s">
        <v>1075</v>
      </c>
      <c r="F2795" s="283" t="s">
        <v>1076</v>
      </c>
      <c r="G2795" s="283">
        <v>2</v>
      </c>
      <c r="H2795" s="283">
        <v>0</v>
      </c>
      <c r="I2795" s="283">
        <v>0</v>
      </c>
      <c r="J2795" s="284">
        <v>0</v>
      </c>
    </row>
    <row r="2796" spans="3:10" x14ac:dyDescent="0.25">
      <c r="C2796" s="300" t="s">
        <v>1060</v>
      </c>
      <c r="D2796" s="283" t="s">
        <v>1082</v>
      </c>
      <c r="E2796" s="283" t="s">
        <v>1075</v>
      </c>
      <c r="F2796" s="283" t="s">
        <v>1075</v>
      </c>
      <c r="G2796" s="283">
        <v>3</v>
      </c>
      <c r="H2796" s="283">
        <v>0</v>
      </c>
      <c r="I2796" s="283">
        <v>0</v>
      </c>
      <c r="J2796" s="284">
        <v>0</v>
      </c>
    </row>
    <row r="2797" spans="3:10" x14ac:dyDescent="0.25">
      <c r="C2797" s="300" t="s">
        <v>1061</v>
      </c>
      <c r="D2797" s="283" t="s">
        <v>1087</v>
      </c>
      <c r="E2797" s="283" t="s">
        <v>1083</v>
      </c>
      <c r="F2797" s="283" t="s">
        <v>524</v>
      </c>
      <c r="G2797" s="283">
        <v>1</v>
      </c>
      <c r="H2797" s="283">
        <v>0</v>
      </c>
      <c r="I2797" s="283">
        <v>1</v>
      </c>
      <c r="J2797" s="284">
        <v>0</v>
      </c>
    </row>
    <row r="2798" spans="3:10" x14ac:dyDescent="0.25">
      <c r="C2798" s="300" t="s">
        <v>1061</v>
      </c>
      <c r="D2798" s="283" t="s">
        <v>1074</v>
      </c>
      <c r="E2798" s="283" t="s">
        <v>1076</v>
      </c>
      <c r="F2798" s="283" t="s">
        <v>1075</v>
      </c>
      <c r="G2798" s="283">
        <v>2</v>
      </c>
      <c r="H2798" s="283">
        <v>0</v>
      </c>
      <c r="I2798" s="283">
        <v>0</v>
      </c>
      <c r="J2798" s="284">
        <v>1</v>
      </c>
    </row>
    <row r="2799" spans="3:10" x14ac:dyDescent="0.25">
      <c r="C2799" s="300" t="s">
        <v>1063</v>
      </c>
      <c r="D2799" s="283" t="s">
        <v>1079</v>
      </c>
      <c r="E2799" s="283" t="s">
        <v>1078</v>
      </c>
      <c r="F2799" s="283" t="s">
        <v>1084</v>
      </c>
      <c r="G2799" s="283">
        <v>2</v>
      </c>
      <c r="H2799" s="283">
        <v>0</v>
      </c>
      <c r="I2799" s="283">
        <v>1</v>
      </c>
      <c r="J2799" s="284">
        <v>0</v>
      </c>
    </row>
    <row r="2800" spans="3:10" x14ac:dyDescent="0.25">
      <c r="C2800" s="300" t="s">
        <v>1058</v>
      </c>
      <c r="D2800" s="283" t="s">
        <v>1079</v>
      </c>
      <c r="E2800" s="283" t="s">
        <v>1075</v>
      </c>
      <c r="F2800" s="283" t="s">
        <v>1075</v>
      </c>
      <c r="G2800" s="283">
        <v>4</v>
      </c>
      <c r="H2800" s="283">
        <v>0</v>
      </c>
      <c r="I2800" s="283">
        <v>0</v>
      </c>
      <c r="J2800" s="284">
        <v>1</v>
      </c>
    </row>
    <row r="2801" spans="3:10" x14ac:dyDescent="0.25">
      <c r="C2801" s="300" t="s">
        <v>1060</v>
      </c>
      <c r="D2801" s="283" t="s">
        <v>1079</v>
      </c>
      <c r="E2801" s="283" t="s">
        <v>1084</v>
      </c>
      <c r="F2801" s="283" t="s">
        <v>1075</v>
      </c>
      <c r="G2801" s="283">
        <v>2</v>
      </c>
      <c r="H2801" s="283">
        <v>0</v>
      </c>
      <c r="I2801" s="283">
        <v>0</v>
      </c>
      <c r="J2801" s="284">
        <v>0</v>
      </c>
    </row>
    <row r="2802" spans="3:10" x14ac:dyDescent="0.25">
      <c r="C2802" s="300" t="s">
        <v>1061</v>
      </c>
      <c r="D2802" s="283" t="s">
        <v>1074</v>
      </c>
      <c r="E2802" s="283" t="s">
        <v>1075</v>
      </c>
      <c r="F2802" s="283" t="s">
        <v>1076</v>
      </c>
      <c r="G2802" s="283">
        <v>2</v>
      </c>
      <c r="H2802" s="283">
        <v>0</v>
      </c>
      <c r="I2802" s="283">
        <v>0</v>
      </c>
      <c r="J2802" s="284">
        <v>0</v>
      </c>
    </row>
    <row r="2803" spans="3:10" x14ac:dyDescent="0.25">
      <c r="C2803" s="300" t="s">
        <v>1062</v>
      </c>
      <c r="D2803" s="283" t="s">
        <v>1074</v>
      </c>
      <c r="E2803" s="283" t="s">
        <v>1089</v>
      </c>
      <c r="F2803" s="283" t="s">
        <v>1075</v>
      </c>
      <c r="G2803" s="283">
        <v>2</v>
      </c>
      <c r="H2803" s="283">
        <v>0</v>
      </c>
      <c r="I2803" s="283">
        <v>0</v>
      </c>
      <c r="J2803" s="284">
        <v>0</v>
      </c>
    </row>
    <row r="2804" spans="3:10" x14ac:dyDescent="0.25">
      <c r="C2804" s="300" t="s">
        <v>1068</v>
      </c>
      <c r="D2804" s="283" t="s">
        <v>1043</v>
      </c>
      <c r="E2804" s="283" t="s">
        <v>1075</v>
      </c>
      <c r="F2804" s="283" t="s">
        <v>1092</v>
      </c>
      <c r="G2804" s="283">
        <v>2</v>
      </c>
      <c r="H2804" s="283">
        <v>0</v>
      </c>
      <c r="I2804" s="283">
        <v>0</v>
      </c>
      <c r="J2804" s="284">
        <v>0</v>
      </c>
    </row>
    <row r="2805" spans="3:10" x14ac:dyDescent="0.25">
      <c r="C2805" s="300" t="s">
        <v>1064</v>
      </c>
      <c r="D2805" s="283" t="s">
        <v>1074</v>
      </c>
      <c r="E2805" s="283" t="s">
        <v>1075</v>
      </c>
      <c r="F2805" s="283" t="s">
        <v>1075</v>
      </c>
      <c r="G2805" s="283">
        <v>2</v>
      </c>
      <c r="H2805" s="283">
        <v>0</v>
      </c>
      <c r="I2805" s="283">
        <v>0</v>
      </c>
      <c r="J2805" s="284">
        <v>1</v>
      </c>
    </row>
    <row r="2806" spans="3:10" x14ac:dyDescent="0.25">
      <c r="C2806" s="300" t="s">
        <v>1065</v>
      </c>
      <c r="D2806" s="283" t="s">
        <v>1077</v>
      </c>
      <c r="E2806" s="283" t="s">
        <v>1093</v>
      </c>
      <c r="F2806" s="283" t="s">
        <v>1076</v>
      </c>
      <c r="G2806" s="283">
        <v>2</v>
      </c>
      <c r="H2806" s="283">
        <v>0</v>
      </c>
      <c r="I2806" s="283">
        <v>0</v>
      </c>
      <c r="J2806" s="284">
        <v>1</v>
      </c>
    </row>
    <row r="2807" spans="3:10" x14ac:dyDescent="0.25">
      <c r="C2807" s="300" t="s">
        <v>1064</v>
      </c>
      <c r="D2807" s="283" t="s">
        <v>1079</v>
      </c>
      <c r="E2807" s="283" t="s">
        <v>1089</v>
      </c>
      <c r="F2807" s="283" t="s">
        <v>1075</v>
      </c>
      <c r="G2807" s="283">
        <v>2</v>
      </c>
      <c r="H2807" s="283">
        <v>0</v>
      </c>
      <c r="I2807" s="283">
        <v>0</v>
      </c>
      <c r="J2807" s="284">
        <v>1</v>
      </c>
    </row>
    <row r="2808" spans="3:10" x14ac:dyDescent="0.25">
      <c r="C2808" s="300" t="s">
        <v>1066</v>
      </c>
      <c r="D2808" s="283" t="s">
        <v>1074</v>
      </c>
      <c r="E2808" s="283" t="s">
        <v>1078</v>
      </c>
      <c r="F2808" s="283" t="s">
        <v>1075</v>
      </c>
      <c r="G2808" s="283">
        <v>2</v>
      </c>
      <c r="H2808" s="283">
        <v>0</v>
      </c>
      <c r="I2808" s="283">
        <v>0</v>
      </c>
      <c r="J2808" s="284">
        <v>1</v>
      </c>
    </row>
    <row r="2809" spans="3:10" x14ac:dyDescent="0.25">
      <c r="C2809" s="300" t="s">
        <v>1066</v>
      </c>
      <c r="D2809" s="283" t="s">
        <v>1079</v>
      </c>
      <c r="E2809" s="283" t="s">
        <v>1075</v>
      </c>
      <c r="F2809" s="283" t="s">
        <v>1075</v>
      </c>
      <c r="G2809" s="283">
        <v>2</v>
      </c>
      <c r="H2809" s="283">
        <v>0</v>
      </c>
      <c r="I2809" s="283">
        <v>0</v>
      </c>
      <c r="J2809" s="284">
        <v>0</v>
      </c>
    </row>
    <row r="2810" spans="3:10" x14ac:dyDescent="0.25">
      <c r="C2810" s="300" t="s">
        <v>1065</v>
      </c>
      <c r="D2810" s="283" t="s">
        <v>1077</v>
      </c>
      <c r="E2810" s="283" t="s">
        <v>1075</v>
      </c>
      <c r="F2810" s="283" t="s">
        <v>1075</v>
      </c>
      <c r="G2810" s="283">
        <v>2</v>
      </c>
      <c r="H2810" s="283">
        <v>0</v>
      </c>
      <c r="I2810" s="283">
        <v>0</v>
      </c>
      <c r="J2810" s="284">
        <v>0</v>
      </c>
    </row>
    <row r="2811" spans="3:10" x14ac:dyDescent="0.25">
      <c r="C2811" s="300" t="s">
        <v>1062</v>
      </c>
      <c r="D2811" s="283" t="s">
        <v>1079</v>
      </c>
      <c r="E2811" s="283" t="s">
        <v>1086</v>
      </c>
      <c r="F2811" s="283" t="s">
        <v>1089</v>
      </c>
      <c r="G2811" s="283">
        <v>2</v>
      </c>
      <c r="H2811" s="283">
        <v>0</v>
      </c>
      <c r="I2811" s="283">
        <v>0</v>
      </c>
      <c r="J2811" s="284">
        <v>0</v>
      </c>
    </row>
    <row r="2812" spans="3:10" x14ac:dyDescent="0.25">
      <c r="C2812" s="300" t="s">
        <v>1067</v>
      </c>
      <c r="D2812" s="283" t="s">
        <v>1077</v>
      </c>
      <c r="E2812" s="283" t="s">
        <v>1075</v>
      </c>
      <c r="F2812" s="283" t="s">
        <v>1075</v>
      </c>
      <c r="G2812" s="283">
        <v>2</v>
      </c>
      <c r="H2812" s="283">
        <v>0</v>
      </c>
      <c r="I2812" s="283">
        <v>0</v>
      </c>
      <c r="J2812" s="284">
        <v>0</v>
      </c>
    </row>
    <row r="2813" spans="3:10" x14ac:dyDescent="0.25">
      <c r="C2813" s="300" t="s">
        <v>1063</v>
      </c>
      <c r="D2813" s="283" t="s">
        <v>1079</v>
      </c>
      <c r="E2813" s="283" t="s">
        <v>1078</v>
      </c>
      <c r="F2813" s="283" t="s">
        <v>1075</v>
      </c>
      <c r="G2813" s="283">
        <v>2</v>
      </c>
      <c r="H2813" s="283">
        <v>0</v>
      </c>
      <c r="I2813" s="283">
        <v>0</v>
      </c>
      <c r="J2813" s="284">
        <v>0</v>
      </c>
    </row>
    <row r="2814" spans="3:10" x14ac:dyDescent="0.25">
      <c r="C2814" s="300" t="s">
        <v>1062</v>
      </c>
      <c r="D2814" s="283" t="s">
        <v>1077</v>
      </c>
      <c r="E2814" s="283" t="s">
        <v>1078</v>
      </c>
      <c r="F2814" s="283" t="s">
        <v>1089</v>
      </c>
      <c r="G2814" s="283">
        <v>2</v>
      </c>
      <c r="H2814" s="283">
        <v>0</v>
      </c>
      <c r="I2814" s="283">
        <v>0</v>
      </c>
      <c r="J2814" s="284">
        <v>0</v>
      </c>
    </row>
    <row r="2815" spans="3:10" x14ac:dyDescent="0.25">
      <c r="C2815" s="300" t="s">
        <v>1059</v>
      </c>
      <c r="D2815" s="283" t="s">
        <v>1079</v>
      </c>
      <c r="E2815" s="283" t="s">
        <v>1075</v>
      </c>
      <c r="F2815" s="283" t="s">
        <v>1080</v>
      </c>
      <c r="G2815" s="283">
        <v>2</v>
      </c>
      <c r="H2815" s="283">
        <v>0</v>
      </c>
      <c r="I2815" s="283">
        <v>0</v>
      </c>
      <c r="J2815" s="284">
        <v>0</v>
      </c>
    </row>
    <row r="2816" spans="3:10" x14ac:dyDescent="0.25">
      <c r="C2816" s="300" t="s">
        <v>1065</v>
      </c>
      <c r="D2816" s="283" t="s">
        <v>1077</v>
      </c>
      <c r="E2816" s="283" t="s">
        <v>1078</v>
      </c>
      <c r="F2816" s="283" t="s">
        <v>1081</v>
      </c>
      <c r="G2816" s="283">
        <v>2</v>
      </c>
      <c r="H2816" s="283">
        <v>0</v>
      </c>
      <c r="I2816" s="283">
        <v>0</v>
      </c>
      <c r="J2816" s="284">
        <v>1</v>
      </c>
    </row>
    <row r="2817" spans="3:10" x14ac:dyDescent="0.25">
      <c r="C2817" s="300" t="s">
        <v>1060</v>
      </c>
      <c r="D2817" s="283" t="s">
        <v>1079</v>
      </c>
      <c r="E2817" s="283" t="s">
        <v>1075</v>
      </c>
      <c r="F2817" s="283" t="s">
        <v>1089</v>
      </c>
      <c r="G2817" s="283">
        <v>4</v>
      </c>
      <c r="H2817" s="283">
        <v>0</v>
      </c>
      <c r="I2817" s="283">
        <v>0</v>
      </c>
      <c r="J2817" s="284">
        <v>0</v>
      </c>
    </row>
    <row r="2818" spans="3:10" x14ac:dyDescent="0.25">
      <c r="C2818" s="300" t="s">
        <v>1062</v>
      </c>
      <c r="D2818" s="283" t="s">
        <v>1079</v>
      </c>
      <c r="E2818" s="283" t="s">
        <v>1089</v>
      </c>
      <c r="F2818" s="283" t="s">
        <v>1080</v>
      </c>
      <c r="G2818" s="283">
        <v>2</v>
      </c>
      <c r="H2818" s="283">
        <v>0</v>
      </c>
      <c r="I2818" s="283">
        <v>0</v>
      </c>
      <c r="J2818" s="284">
        <v>0</v>
      </c>
    </row>
    <row r="2819" spans="3:10" x14ac:dyDescent="0.25">
      <c r="C2819" s="300" t="s">
        <v>1065</v>
      </c>
      <c r="D2819" s="283" t="s">
        <v>1077</v>
      </c>
      <c r="E2819" s="283" t="s">
        <v>1075</v>
      </c>
      <c r="F2819" s="283" t="s">
        <v>1075</v>
      </c>
      <c r="G2819" s="283">
        <v>3</v>
      </c>
      <c r="H2819" s="283">
        <v>0</v>
      </c>
      <c r="I2819" s="283">
        <v>0</v>
      </c>
      <c r="J2819" s="284">
        <v>0</v>
      </c>
    </row>
    <row r="2820" spans="3:10" x14ac:dyDescent="0.25">
      <c r="C2820" s="300" t="s">
        <v>1064</v>
      </c>
      <c r="D2820" s="283" t="s">
        <v>1079</v>
      </c>
      <c r="E2820" s="283" t="s">
        <v>1078</v>
      </c>
      <c r="F2820" s="283" t="s">
        <v>1089</v>
      </c>
      <c r="G2820" s="283">
        <v>2</v>
      </c>
      <c r="H2820" s="283">
        <v>0</v>
      </c>
      <c r="I2820" s="283">
        <v>0</v>
      </c>
      <c r="J2820" s="284">
        <v>0</v>
      </c>
    </row>
    <row r="2821" spans="3:10" x14ac:dyDescent="0.25">
      <c r="C2821" s="300" t="s">
        <v>1067</v>
      </c>
      <c r="D2821" s="283" t="s">
        <v>1074</v>
      </c>
      <c r="E2821" s="283" t="s">
        <v>1076</v>
      </c>
      <c r="F2821" s="283" t="s">
        <v>1075</v>
      </c>
      <c r="G2821" s="283">
        <v>2</v>
      </c>
      <c r="H2821" s="283">
        <v>0</v>
      </c>
      <c r="I2821" s="283">
        <v>0</v>
      </c>
      <c r="J2821" s="284">
        <v>0</v>
      </c>
    </row>
    <row r="2822" spans="3:10" x14ac:dyDescent="0.25">
      <c r="C2822" s="300" t="s">
        <v>1064</v>
      </c>
      <c r="D2822" s="283" t="s">
        <v>1077</v>
      </c>
      <c r="E2822" s="283" t="s">
        <v>1075</v>
      </c>
      <c r="F2822" s="283" t="s">
        <v>1075</v>
      </c>
      <c r="G2822" s="283">
        <v>3</v>
      </c>
      <c r="H2822" s="283">
        <v>0</v>
      </c>
      <c r="I2822" s="283">
        <v>0</v>
      </c>
      <c r="J2822" s="284">
        <v>0</v>
      </c>
    </row>
    <row r="2823" spans="3:10" x14ac:dyDescent="0.25">
      <c r="C2823" s="300" t="s">
        <v>1062</v>
      </c>
      <c r="D2823" s="283" t="s">
        <v>1079</v>
      </c>
      <c r="E2823" s="283" t="s">
        <v>1075</v>
      </c>
      <c r="F2823" s="283" t="s">
        <v>1084</v>
      </c>
      <c r="G2823" s="283">
        <v>2</v>
      </c>
      <c r="H2823" s="283">
        <v>0</v>
      </c>
      <c r="I2823" s="283">
        <v>0</v>
      </c>
      <c r="J2823" s="284">
        <v>0</v>
      </c>
    </row>
    <row r="2824" spans="3:10" x14ac:dyDescent="0.25">
      <c r="C2824" s="300" t="s">
        <v>1062</v>
      </c>
      <c r="D2824" s="283" t="s">
        <v>1079</v>
      </c>
      <c r="E2824" s="283" t="s">
        <v>1075</v>
      </c>
      <c r="F2824" s="283" t="s">
        <v>1075</v>
      </c>
      <c r="G2824" s="283">
        <v>2</v>
      </c>
      <c r="H2824" s="283">
        <v>0</v>
      </c>
      <c r="I2824" s="283">
        <v>0</v>
      </c>
      <c r="J2824" s="284">
        <v>0</v>
      </c>
    </row>
    <row r="2825" spans="3:10" x14ac:dyDescent="0.25">
      <c r="C2825" s="300" t="s">
        <v>1068</v>
      </c>
      <c r="D2825" s="283" t="s">
        <v>1087</v>
      </c>
      <c r="E2825" s="283" t="s">
        <v>1078</v>
      </c>
      <c r="F2825" s="283" t="s">
        <v>524</v>
      </c>
      <c r="G2825" s="283">
        <v>1</v>
      </c>
      <c r="H2825" s="283">
        <v>0</v>
      </c>
      <c r="I2825" s="283">
        <v>0</v>
      </c>
      <c r="J2825" s="284">
        <v>0</v>
      </c>
    </row>
    <row r="2826" spans="3:10" x14ac:dyDescent="0.25">
      <c r="C2826" s="300" t="s">
        <v>1061</v>
      </c>
      <c r="D2826" s="283" t="s">
        <v>1074</v>
      </c>
      <c r="E2826" s="283" t="s">
        <v>1075</v>
      </c>
      <c r="F2826" s="283" t="s">
        <v>1089</v>
      </c>
      <c r="G2826" s="283">
        <v>2</v>
      </c>
      <c r="H2826" s="283">
        <v>0</v>
      </c>
      <c r="I2826" s="283">
        <v>0</v>
      </c>
      <c r="J2826" s="284">
        <v>0</v>
      </c>
    </row>
    <row r="2827" spans="3:10" x14ac:dyDescent="0.25">
      <c r="C2827" s="300" t="s">
        <v>1061</v>
      </c>
      <c r="D2827" s="283" t="s">
        <v>1074</v>
      </c>
      <c r="E2827" s="283" t="s">
        <v>1089</v>
      </c>
      <c r="F2827" s="283" t="s">
        <v>1075</v>
      </c>
      <c r="G2827" s="283">
        <v>2</v>
      </c>
      <c r="H2827" s="283">
        <v>0</v>
      </c>
      <c r="I2827" s="283">
        <v>0</v>
      </c>
      <c r="J2827" s="284">
        <v>0</v>
      </c>
    </row>
    <row r="2828" spans="3:10" x14ac:dyDescent="0.25">
      <c r="C2828" s="300" t="s">
        <v>1063</v>
      </c>
      <c r="D2828" s="283" t="s">
        <v>1082</v>
      </c>
      <c r="E2828" s="283" t="s">
        <v>1089</v>
      </c>
      <c r="F2828" s="283" t="s">
        <v>1075</v>
      </c>
      <c r="G2828" s="283">
        <v>2</v>
      </c>
      <c r="H2828" s="283">
        <v>0</v>
      </c>
      <c r="I2828" s="283">
        <v>0</v>
      </c>
      <c r="J2828" s="284">
        <v>0</v>
      </c>
    </row>
    <row r="2829" spans="3:10" x14ac:dyDescent="0.25">
      <c r="C2829" s="300" t="s">
        <v>1061</v>
      </c>
      <c r="D2829" s="283" t="s">
        <v>1087</v>
      </c>
      <c r="E2829" s="283" t="s">
        <v>1075</v>
      </c>
      <c r="F2829" s="283" t="s">
        <v>524</v>
      </c>
      <c r="G2829" s="283">
        <v>1</v>
      </c>
      <c r="H2829" s="283">
        <v>0</v>
      </c>
      <c r="I2829" s="283">
        <v>0</v>
      </c>
      <c r="J2829" s="284">
        <v>0</v>
      </c>
    </row>
    <row r="2830" spans="3:10" x14ac:dyDescent="0.25">
      <c r="C2830" s="300" t="s">
        <v>1067</v>
      </c>
      <c r="D2830" s="283" t="s">
        <v>1079</v>
      </c>
      <c r="E2830" s="283" t="s">
        <v>1089</v>
      </c>
      <c r="F2830" s="283" t="s">
        <v>1075</v>
      </c>
      <c r="G2830" s="283">
        <v>2</v>
      </c>
      <c r="H2830" s="283">
        <v>0</v>
      </c>
      <c r="I2830" s="283">
        <v>0</v>
      </c>
      <c r="J2830" s="284">
        <v>0</v>
      </c>
    </row>
    <row r="2831" spans="3:10" x14ac:dyDescent="0.25">
      <c r="C2831" s="300" t="s">
        <v>1065</v>
      </c>
      <c r="D2831" s="283" t="s">
        <v>1079</v>
      </c>
      <c r="E2831" s="283" t="s">
        <v>1080</v>
      </c>
      <c r="F2831" s="283" t="s">
        <v>1075</v>
      </c>
      <c r="G2831" s="283">
        <v>2</v>
      </c>
      <c r="H2831" s="283">
        <v>0</v>
      </c>
      <c r="I2831" s="283">
        <v>0</v>
      </c>
      <c r="J2831" s="284">
        <v>0</v>
      </c>
    </row>
    <row r="2832" spans="3:10" x14ac:dyDescent="0.25">
      <c r="C2832" s="300" t="s">
        <v>1062</v>
      </c>
      <c r="D2832" s="283" t="s">
        <v>1077</v>
      </c>
      <c r="E2832" s="283" t="s">
        <v>1075</v>
      </c>
      <c r="F2832" s="283" t="s">
        <v>1089</v>
      </c>
      <c r="G2832" s="283">
        <v>2</v>
      </c>
      <c r="H2832" s="283">
        <v>0</v>
      </c>
      <c r="I2832" s="283">
        <v>0</v>
      </c>
      <c r="J2832" s="284">
        <v>0</v>
      </c>
    </row>
    <row r="2833" spans="3:10" x14ac:dyDescent="0.25">
      <c r="C2833" s="300" t="s">
        <v>1067</v>
      </c>
      <c r="D2833" s="283" t="s">
        <v>1077</v>
      </c>
      <c r="E2833" s="283" t="s">
        <v>1086</v>
      </c>
      <c r="F2833" s="283" t="s">
        <v>1044</v>
      </c>
      <c r="G2833" s="283">
        <v>2</v>
      </c>
      <c r="H2833" s="283">
        <v>0</v>
      </c>
      <c r="I2833" s="283">
        <v>0</v>
      </c>
      <c r="J2833" s="284">
        <v>1</v>
      </c>
    </row>
    <row r="2834" spans="3:10" x14ac:dyDescent="0.25">
      <c r="C2834" s="300" t="s">
        <v>1061</v>
      </c>
      <c r="D2834" s="283" t="s">
        <v>1079</v>
      </c>
      <c r="E2834" s="283" t="s">
        <v>1086</v>
      </c>
      <c r="F2834" s="283" t="s">
        <v>1044</v>
      </c>
      <c r="G2834" s="283">
        <v>2</v>
      </c>
      <c r="H2834" s="283">
        <v>0</v>
      </c>
      <c r="I2834" s="283">
        <v>0</v>
      </c>
      <c r="J2834" s="284">
        <v>0</v>
      </c>
    </row>
    <row r="2835" spans="3:10" x14ac:dyDescent="0.25">
      <c r="C2835" s="300" t="s">
        <v>1066</v>
      </c>
      <c r="D2835" s="283" t="s">
        <v>1087</v>
      </c>
      <c r="E2835" s="283" t="s">
        <v>1075</v>
      </c>
      <c r="F2835" s="283" t="s">
        <v>524</v>
      </c>
      <c r="G2835" s="283">
        <v>1</v>
      </c>
      <c r="H2835" s="283">
        <v>0</v>
      </c>
      <c r="I2835" s="283">
        <v>0</v>
      </c>
      <c r="J2835" s="284">
        <v>0</v>
      </c>
    </row>
    <row r="2836" spans="3:10" x14ac:dyDescent="0.25">
      <c r="C2836" s="300" t="s">
        <v>1064</v>
      </c>
      <c r="D2836" s="283" t="s">
        <v>1077</v>
      </c>
      <c r="E2836" s="283" t="s">
        <v>1075</v>
      </c>
      <c r="F2836" s="283" t="s">
        <v>1075</v>
      </c>
      <c r="G2836" s="283">
        <v>2</v>
      </c>
      <c r="H2836" s="283">
        <v>0</v>
      </c>
      <c r="I2836" s="283">
        <v>0</v>
      </c>
      <c r="J2836" s="284">
        <v>0</v>
      </c>
    </row>
    <row r="2837" spans="3:10" x14ac:dyDescent="0.25">
      <c r="C2837" s="300" t="s">
        <v>1060</v>
      </c>
      <c r="D2837" s="283" t="s">
        <v>1077</v>
      </c>
      <c r="E2837" s="283" t="s">
        <v>1075</v>
      </c>
      <c r="F2837" s="283" t="s">
        <v>1089</v>
      </c>
      <c r="G2837" s="283">
        <v>3</v>
      </c>
      <c r="H2837" s="283">
        <v>0</v>
      </c>
      <c r="I2837" s="283">
        <v>0</v>
      </c>
      <c r="J2837" s="284">
        <v>0</v>
      </c>
    </row>
    <row r="2838" spans="3:10" x14ac:dyDescent="0.25">
      <c r="C2838" s="300" t="s">
        <v>1062</v>
      </c>
      <c r="D2838" s="283" t="s">
        <v>1077</v>
      </c>
      <c r="E2838" s="283" t="s">
        <v>1075</v>
      </c>
      <c r="F2838" s="283" t="s">
        <v>1089</v>
      </c>
      <c r="G2838" s="283">
        <v>2</v>
      </c>
      <c r="H2838" s="283">
        <v>0</v>
      </c>
      <c r="I2838" s="283">
        <v>0</v>
      </c>
      <c r="J2838" s="284">
        <v>0</v>
      </c>
    </row>
    <row r="2839" spans="3:10" x14ac:dyDescent="0.25">
      <c r="C2839" s="300" t="s">
        <v>1063</v>
      </c>
      <c r="D2839" s="283" t="s">
        <v>1074</v>
      </c>
      <c r="E2839" s="283" t="s">
        <v>1089</v>
      </c>
      <c r="F2839" s="283" t="s">
        <v>1075</v>
      </c>
      <c r="G2839" s="283">
        <v>2</v>
      </c>
      <c r="H2839" s="283">
        <v>0</v>
      </c>
      <c r="I2839" s="283">
        <v>0</v>
      </c>
      <c r="J2839" s="284">
        <v>1</v>
      </c>
    </row>
    <row r="2840" spans="3:10" x14ac:dyDescent="0.25">
      <c r="C2840" s="300" t="s">
        <v>1068</v>
      </c>
      <c r="D2840" s="283" t="s">
        <v>1079</v>
      </c>
      <c r="E2840" s="283" t="s">
        <v>1075</v>
      </c>
      <c r="F2840" s="283" t="s">
        <v>1078</v>
      </c>
      <c r="G2840" s="283">
        <v>2</v>
      </c>
      <c r="H2840" s="283">
        <v>0</v>
      </c>
      <c r="I2840" s="283">
        <v>0</v>
      </c>
      <c r="J2840" s="284">
        <v>0</v>
      </c>
    </row>
    <row r="2841" spans="3:10" x14ac:dyDescent="0.25">
      <c r="C2841" s="300" t="s">
        <v>1058</v>
      </c>
      <c r="D2841" s="283" t="s">
        <v>1043</v>
      </c>
      <c r="E2841" s="283" t="s">
        <v>1076</v>
      </c>
      <c r="F2841" s="283" t="s">
        <v>1092</v>
      </c>
      <c r="G2841" s="283">
        <v>3</v>
      </c>
      <c r="H2841" s="283">
        <v>0</v>
      </c>
      <c r="I2841" s="283">
        <v>1</v>
      </c>
      <c r="J2841" s="284">
        <v>1</v>
      </c>
    </row>
    <row r="2842" spans="3:10" x14ac:dyDescent="0.25">
      <c r="C2842" s="300" t="s">
        <v>1066</v>
      </c>
      <c r="D2842" s="283" t="s">
        <v>1082</v>
      </c>
      <c r="E2842" s="283" t="s">
        <v>1075</v>
      </c>
      <c r="F2842" s="283" t="s">
        <v>1075</v>
      </c>
      <c r="G2842" s="283">
        <v>2</v>
      </c>
      <c r="H2842" s="283">
        <v>0</v>
      </c>
      <c r="I2842" s="283">
        <v>1</v>
      </c>
      <c r="J2842" s="284">
        <v>0</v>
      </c>
    </row>
    <row r="2843" spans="3:10" x14ac:dyDescent="0.25">
      <c r="C2843" s="300" t="s">
        <v>1068</v>
      </c>
      <c r="D2843" s="283" t="s">
        <v>1087</v>
      </c>
      <c r="E2843" s="283" t="s">
        <v>1089</v>
      </c>
      <c r="F2843" s="283" t="s">
        <v>524</v>
      </c>
      <c r="G2843" s="283">
        <v>1</v>
      </c>
      <c r="H2843" s="283">
        <v>0</v>
      </c>
      <c r="I2843" s="283">
        <v>0</v>
      </c>
      <c r="J2843" s="284">
        <v>0</v>
      </c>
    </row>
    <row r="2844" spans="3:10" x14ac:dyDescent="0.25">
      <c r="C2844" s="300" t="s">
        <v>1064</v>
      </c>
      <c r="D2844" s="283" t="s">
        <v>1079</v>
      </c>
      <c r="E2844" s="283" t="s">
        <v>1089</v>
      </c>
      <c r="F2844" s="283" t="s">
        <v>1075</v>
      </c>
      <c r="G2844" s="283">
        <v>2</v>
      </c>
      <c r="H2844" s="283">
        <v>0</v>
      </c>
      <c r="I2844" s="283">
        <v>0</v>
      </c>
      <c r="J2844" s="284">
        <v>1</v>
      </c>
    </row>
    <row r="2845" spans="3:10" x14ac:dyDescent="0.25">
      <c r="C2845" s="300" t="s">
        <v>1060</v>
      </c>
      <c r="D2845" s="283" t="s">
        <v>1077</v>
      </c>
      <c r="E2845" s="283" t="s">
        <v>1086</v>
      </c>
      <c r="F2845" s="283" t="s">
        <v>1044</v>
      </c>
      <c r="G2845" s="283">
        <v>2</v>
      </c>
      <c r="H2845" s="283">
        <v>0</v>
      </c>
      <c r="I2845" s="283">
        <v>0</v>
      </c>
      <c r="J2845" s="284">
        <v>1</v>
      </c>
    </row>
    <row r="2846" spans="3:10" x14ac:dyDescent="0.25">
      <c r="C2846" s="300" t="s">
        <v>1064</v>
      </c>
      <c r="D2846" s="283" t="s">
        <v>1043</v>
      </c>
      <c r="E2846" s="283" t="s">
        <v>1085</v>
      </c>
      <c r="F2846" s="283" t="s">
        <v>1092</v>
      </c>
      <c r="G2846" s="283">
        <v>6</v>
      </c>
      <c r="H2846" s="283">
        <v>1</v>
      </c>
      <c r="I2846" s="283">
        <v>1</v>
      </c>
      <c r="J2846" s="284">
        <v>0</v>
      </c>
    </row>
    <row r="2847" spans="3:10" x14ac:dyDescent="0.25">
      <c r="C2847" s="300" t="s">
        <v>1063</v>
      </c>
      <c r="D2847" s="283" t="s">
        <v>1043</v>
      </c>
      <c r="E2847" s="283" t="s">
        <v>1076</v>
      </c>
      <c r="F2847" s="283" t="s">
        <v>1092</v>
      </c>
      <c r="G2847" s="283">
        <v>2</v>
      </c>
      <c r="H2847" s="283">
        <v>1</v>
      </c>
      <c r="I2847" s="283">
        <v>0</v>
      </c>
      <c r="J2847" s="284">
        <v>1</v>
      </c>
    </row>
    <row r="2848" spans="3:10" x14ac:dyDescent="0.25">
      <c r="C2848" s="300" t="s">
        <v>1063</v>
      </c>
      <c r="D2848" s="283" t="s">
        <v>1043</v>
      </c>
      <c r="E2848" s="283" t="s">
        <v>1078</v>
      </c>
      <c r="F2848" s="283" t="s">
        <v>1092</v>
      </c>
      <c r="G2848" s="283">
        <v>2</v>
      </c>
      <c r="H2848" s="283">
        <v>1</v>
      </c>
      <c r="I2848" s="283">
        <v>0</v>
      </c>
      <c r="J2848" s="284">
        <v>1</v>
      </c>
    </row>
    <row r="2849" spans="3:10" x14ac:dyDescent="0.25">
      <c r="C2849" s="300" t="s">
        <v>1063</v>
      </c>
      <c r="D2849" s="283" t="s">
        <v>1074</v>
      </c>
      <c r="E2849" s="283" t="s">
        <v>1078</v>
      </c>
      <c r="F2849" s="283" t="s">
        <v>1083</v>
      </c>
      <c r="G2849" s="283">
        <v>2</v>
      </c>
      <c r="H2849" s="283">
        <v>1</v>
      </c>
      <c r="I2849" s="283">
        <v>0</v>
      </c>
      <c r="J2849" s="284">
        <v>1</v>
      </c>
    </row>
    <row r="2850" spans="3:10" x14ac:dyDescent="0.25">
      <c r="C2850" s="300" t="s">
        <v>1062</v>
      </c>
      <c r="D2850" s="283" t="s">
        <v>1043</v>
      </c>
      <c r="E2850" s="283" t="s">
        <v>1084</v>
      </c>
      <c r="F2850" s="283" t="s">
        <v>1092</v>
      </c>
      <c r="G2850" s="283">
        <v>2</v>
      </c>
      <c r="H2850" s="283">
        <v>0</v>
      </c>
      <c r="I2850" s="283">
        <v>0</v>
      </c>
      <c r="J2850" s="284">
        <v>1</v>
      </c>
    </row>
    <row r="2851" spans="3:10" x14ac:dyDescent="0.25">
      <c r="C2851" s="300" t="s">
        <v>1062</v>
      </c>
      <c r="D2851" s="283" t="s">
        <v>1090</v>
      </c>
      <c r="E2851" s="283" t="s">
        <v>1093</v>
      </c>
      <c r="F2851" s="283" t="s">
        <v>524</v>
      </c>
      <c r="G2851" s="283">
        <v>1</v>
      </c>
      <c r="H2851" s="283">
        <v>0</v>
      </c>
      <c r="I2851" s="283">
        <v>0</v>
      </c>
      <c r="J2851" s="284">
        <v>1</v>
      </c>
    </row>
    <row r="2852" spans="3:10" x14ac:dyDescent="0.25">
      <c r="C2852" s="300" t="s">
        <v>1062</v>
      </c>
      <c r="D2852" s="283" t="s">
        <v>1043</v>
      </c>
      <c r="E2852" s="283" t="s">
        <v>1081</v>
      </c>
      <c r="F2852" s="283" t="s">
        <v>1092</v>
      </c>
      <c r="G2852" s="283">
        <v>2</v>
      </c>
      <c r="H2852" s="283">
        <v>0</v>
      </c>
      <c r="I2852" s="283">
        <v>1</v>
      </c>
      <c r="J2852" s="284">
        <v>0</v>
      </c>
    </row>
    <row r="2853" spans="3:10" x14ac:dyDescent="0.25">
      <c r="C2853" s="300" t="s">
        <v>1065</v>
      </c>
      <c r="D2853" s="283" t="s">
        <v>1079</v>
      </c>
      <c r="E2853" s="283" t="s">
        <v>1075</v>
      </c>
      <c r="F2853" s="283" t="s">
        <v>1075</v>
      </c>
      <c r="G2853" s="283">
        <v>3</v>
      </c>
      <c r="H2853" s="283">
        <v>0</v>
      </c>
      <c r="I2853" s="283">
        <v>0</v>
      </c>
      <c r="J2853" s="284">
        <v>0</v>
      </c>
    </row>
    <row r="2854" spans="3:10" x14ac:dyDescent="0.25">
      <c r="C2854" s="300" t="s">
        <v>1064</v>
      </c>
      <c r="D2854" s="283" t="s">
        <v>1087</v>
      </c>
      <c r="E2854" s="283" t="s">
        <v>1089</v>
      </c>
      <c r="F2854" s="283" t="s">
        <v>524</v>
      </c>
      <c r="G2854" s="283">
        <v>1</v>
      </c>
      <c r="H2854" s="283">
        <v>0</v>
      </c>
      <c r="I2854" s="283">
        <v>0</v>
      </c>
      <c r="J2854" s="284">
        <v>1</v>
      </c>
    </row>
    <row r="2855" spans="3:10" x14ac:dyDescent="0.25">
      <c r="C2855" s="300" t="s">
        <v>1063</v>
      </c>
      <c r="D2855" s="283" t="s">
        <v>1077</v>
      </c>
      <c r="E2855" s="283" t="s">
        <v>1075</v>
      </c>
      <c r="F2855" s="283" t="s">
        <v>1089</v>
      </c>
      <c r="G2855" s="283">
        <v>2</v>
      </c>
      <c r="H2855" s="283">
        <v>0</v>
      </c>
      <c r="I2855" s="283">
        <v>1</v>
      </c>
      <c r="J2855" s="284">
        <v>1</v>
      </c>
    </row>
    <row r="2856" spans="3:10" x14ac:dyDescent="0.25">
      <c r="C2856" s="300" t="s">
        <v>1068</v>
      </c>
      <c r="D2856" s="283" t="s">
        <v>1079</v>
      </c>
      <c r="E2856" s="283" t="s">
        <v>1083</v>
      </c>
      <c r="F2856" s="283" t="s">
        <v>1075</v>
      </c>
      <c r="G2856" s="283">
        <v>3</v>
      </c>
      <c r="H2856" s="283">
        <v>0</v>
      </c>
      <c r="I2856" s="283">
        <v>0</v>
      </c>
      <c r="J2856" s="284">
        <v>0</v>
      </c>
    </row>
    <row r="2857" spans="3:10" x14ac:dyDescent="0.25">
      <c r="C2857" s="300" t="s">
        <v>1063</v>
      </c>
      <c r="D2857" s="283" t="s">
        <v>1087</v>
      </c>
      <c r="E2857" s="283" t="s">
        <v>1075</v>
      </c>
      <c r="F2857" s="283" t="s">
        <v>524</v>
      </c>
      <c r="G2857" s="283">
        <v>1</v>
      </c>
      <c r="H2857" s="283">
        <v>0</v>
      </c>
      <c r="I2857" s="283">
        <v>0</v>
      </c>
      <c r="J2857" s="284">
        <v>1</v>
      </c>
    </row>
    <row r="2858" spans="3:10" x14ac:dyDescent="0.25">
      <c r="C2858" s="300" t="s">
        <v>1060</v>
      </c>
      <c r="D2858" s="283" t="s">
        <v>1077</v>
      </c>
      <c r="E2858" s="283" t="s">
        <v>1086</v>
      </c>
      <c r="F2858" s="283" t="s">
        <v>1084</v>
      </c>
      <c r="G2858" s="283">
        <v>2</v>
      </c>
      <c r="H2858" s="283">
        <v>0</v>
      </c>
      <c r="I2858" s="283">
        <v>0</v>
      </c>
      <c r="J2858" s="284">
        <v>0</v>
      </c>
    </row>
    <row r="2859" spans="3:10" x14ac:dyDescent="0.25">
      <c r="C2859" s="300" t="s">
        <v>1068</v>
      </c>
      <c r="D2859" s="283" t="s">
        <v>1043</v>
      </c>
      <c r="E2859" s="283" t="s">
        <v>1083</v>
      </c>
      <c r="F2859" s="283" t="s">
        <v>1092</v>
      </c>
      <c r="G2859" s="283">
        <v>2</v>
      </c>
      <c r="H2859" s="283">
        <v>0</v>
      </c>
      <c r="I2859" s="283">
        <v>0</v>
      </c>
      <c r="J2859" s="284">
        <v>1</v>
      </c>
    </row>
    <row r="2860" spans="3:10" x14ac:dyDescent="0.25">
      <c r="C2860" s="300" t="s">
        <v>1067</v>
      </c>
      <c r="D2860" s="283" t="s">
        <v>1087</v>
      </c>
      <c r="E2860" s="283" t="s">
        <v>1075</v>
      </c>
      <c r="F2860" s="283" t="s">
        <v>524</v>
      </c>
      <c r="G2860" s="283">
        <v>1</v>
      </c>
      <c r="H2860" s="283">
        <v>0</v>
      </c>
      <c r="I2860" s="283">
        <v>0</v>
      </c>
      <c r="J2860" s="284">
        <v>0</v>
      </c>
    </row>
    <row r="2861" spans="3:10" x14ac:dyDescent="0.25">
      <c r="C2861" s="300" t="s">
        <v>1061</v>
      </c>
      <c r="D2861" s="283" t="s">
        <v>1082</v>
      </c>
      <c r="E2861" s="283" t="s">
        <v>1075</v>
      </c>
      <c r="F2861" s="283" t="s">
        <v>1078</v>
      </c>
      <c r="G2861" s="283">
        <v>2</v>
      </c>
      <c r="H2861" s="283">
        <v>0</v>
      </c>
      <c r="I2861" s="283">
        <v>1</v>
      </c>
      <c r="J2861" s="284">
        <v>1</v>
      </c>
    </row>
    <row r="2862" spans="3:10" x14ac:dyDescent="0.25">
      <c r="C2862" s="300" t="s">
        <v>1065</v>
      </c>
      <c r="D2862" s="283" t="s">
        <v>1074</v>
      </c>
      <c r="E2862" s="283" t="s">
        <v>1075</v>
      </c>
      <c r="F2862" s="283" t="s">
        <v>1044</v>
      </c>
      <c r="G2862" s="283">
        <v>2</v>
      </c>
      <c r="H2862" s="283">
        <v>0</v>
      </c>
      <c r="I2862" s="283">
        <v>0</v>
      </c>
      <c r="J2862" s="284">
        <v>0</v>
      </c>
    </row>
    <row r="2863" spans="3:10" x14ac:dyDescent="0.25">
      <c r="C2863" s="300" t="s">
        <v>1063</v>
      </c>
      <c r="D2863" s="283" t="s">
        <v>1074</v>
      </c>
      <c r="E2863" s="283" t="s">
        <v>1075</v>
      </c>
      <c r="F2863" s="283" t="s">
        <v>1094</v>
      </c>
      <c r="G2863" s="283">
        <v>2</v>
      </c>
      <c r="H2863" s="283">
        <v>0</v>
      </c>
      <c r="I2863" s="283">
        <v>0</v>
      </c>
      <c r="J2863" s="284">
        <v>1</v>
      </c>
    </row>
    <row r="2864" spans="3:10" x14ac:dyDescent="0.25">
      <c r="C2864" s="300" t="s">
        <v>1065</v>
      </c>
      <c r="D2864" s="283" t="s">
        <v>1079</v>
      </c>
      <c r="E2864" s="283" t="s">
        <v>1075</v>
      </c>
      <c r="F2864" s="283" t="s">
        <v>1075</v>
      </c>
      <c r="G2864" s="283">
        <v>2</v>
      </c>
      <c r="H2864" s="283">
        <v>0</v>
      </c>
      <c r="I2864" s="283">
        <v>1</v>
      </c>
      <c r="J2864" s="284">
        <v>0</v>
      </c>
    </row>
    <row r="2865" spans="3:10" x14ac:dyDescent="0.25">
      <c r="C2865" s="300" t="s">
        <v>1066</v>
      </c>
      <c r="D2865" s="283" t="s">
        <v>1079</v>
      </c>
      <c r="E2865" s="283" t="s">
        <v>1089</v>
      </c>
      <c r="F2865" s="283" t="s">
        <v>1093</v>
      </c>
      <c r="G2865" s="283">
        <v>2</v>
      </c>
      <c r="H2865" s="283">
        <v>0</v>
      </c>
      <c r="I2865" s="283">
        <v>0</v>
      </c>
      <c r="J2865" s="284">
        <v>2</v>
      </c>
    </row>
    <row r="2866" spans="3:10" x14ac:dyDescent="0.25">
      <c r="C2866" s="300" t="s">
        <v>1068</v>
      </c>
      <c r="D2866" s="283" t="s">
        <v>1043</v>
      </c>
      <c r="E2866" s="283" t="s">
        <v>1076</v>
      </c>
      <c r="F2866" s="283" t="s">
        <v>1104</v>
      </c>
      <c r="G2866" s="283">
        <v>2</v>
      </c>
      <c r="H2866" s="283">
        <v>0</v>
      </c>
      <c r="I2866" s="283">
        <v>1</v>
      </c>
      <c r="J2866" s="284">
        <v>0</v>
      </c>
    </row>
    <row r="2867" spans="3:10" x14ac:dyDescent="0.25">
      <c r="C2867" s="300" t="s">
        <v>1064</v>
      </c>
      <c r="D2867" s="283" t="s">
        <v>1043</v>
      </c>
      <c r="E2867" s="283" t="s">
        <v>1089</v>
      </c>
      <c r="F2867" s="283" t="s">
        <v>1092</v>
      </c>
      <c r="G2867" s="283">
        <v>2</v>
      </c>
      <c r="H2867" s="283">
        <v>0</v>
      </c>
      <c r="I2867" s="283">
        <v>0</v>
      </c>
      <c r="J2867" s="284">
        <v>0</v>
      </c>
    </row>
    <row r="2868" spans="3:10" x14ac:dyDescent="0.25">
      <c r="C2868" s="300" t="s">
        <v>1065</v>
      </c>
      <c r="D2868" s="283" t="s">
        <v>1077</v>
      </c>
      <c r="E2868" s="283" t="s">
        <v>1075</v>
      </c>
      <c r="F2868" s="283" t="s">
        <v>1076</v>
      </c>
      <c r="G2868" s="283">
        <v>2</v>
      </c>
      <c r="H2868" s="283">
        <v>0</v>
      </c>
      <c r="I2868" s="283">
        <v>0</v>
      </c>
      <c r="J2868" s="284">
        <v>0</v>
      </c>
    </row>
    <row r="2869" spans="3:10" x14ac:dyDescent="0.25">
      <c r="C2869" s="300" t="s">
        <v>1064</v>
      </c>
      <c r="D2869" s="283" t="s">
        <v>1079</v>
      </c>
      <c r="E2869" s="283" t="s">
        <v>1075</v>
      </c>
      <c r="F2869" s="283" t="s">
        <v>1075</v>
      </c>
      <c r="G2869" s="283">
        <v>2</v>
      </c>
      <c r="H2869" s="283">
        <v>0</v>
      </c>
      <c r="I2869" s="283">
        <v>0</v>
      </c>
      <c r="J2869" s="284">
        <v>1</v>
      </c>
    </row>
    <row r="2870" spans="3:10" x14ac:dyDescent="0.25">
      <c r="C2870" s="300" t="s">
        <v>1064</v>
      </c>
      <c r="D2870" s="283" t="s">
        <v>1090</v>
      </c>
      <c r="E2870" s="283" t="s">
        <v>1083</v>
      </c>
      <c r="F2870" s="283" t="s">
        <v>524</v>
      </c>
      <c r="G2870" s="283">
        <v>1</v>
      </c>
      <c r="H2870" s="283">
        <v>0</v>
      </c>
      <c r="I2870" s="283">
        <v>0</v>
      </c>
      <c r="J2870" s="284">
        <v>1</v>
      </c>
    </row>
    <row r="2871" spans="3:10" x14ac:dyDescent="0.25">
      <c r="C2871" s="300" t="s">
        <v>1064</v>
      </c>
      <c r="D2871" s="283" t="s">
        <v>1079</v>
      </c>
      <c r="E2871" s="283" t="s">
        <v>1080</v>
      </c>
      <c r="F2871" s="283" t="s">
        <v>1089</v>
      </c>
      <c r="G2871" s="283">
        <v>2</v>
      </c>
      <c r="H2871" s="283">
        <v>0</v>
      </c>
      <c r="I2871" s="283">
        <v>0</v>
      </c>
      <c r="J2871" s="284">
        <v>0</v>
      </c>
    </row>
    <row r="2872" spans="3:10" x14ac:dyDescent="0.25">
      <c r="C2872" s="300" t="s">
        <v>1064</v>
      </c>
      <c r="D2872" s="283" t="s">
        <v>1077</v>
      </c>
      <c r="E2872" s="283" t="s">
        <v>1075</v>
      </c>
      <c r="F2872" s="283" t="s">
        <v>1075</v>
      </c>
      <c r="G2872" s="283">
        <v>2</v>
      </c>
      <c r="H2872" s="283">
        <v>0</v>
      </c>
      <c r="I2872" s="283">
        <v>0</v>
      </c>
      <c r="J2872" s="284">
        <v>0</v>
      </c>
    </row>
    <row r="2873" spans="3:10" x14ac:dyDescent="0.25">
      <c r="C2873" s="300" t="s">
        <v>1066</v>
      </c>
      <c r="D2873" s="283" t="s">
        <v>1074</v>
      </c>
      <c r="E2873" s="283" t="s">
        <v>1089</v>
      </c>
      <c r="F2873" s="283" t="s">
        <v>1075</v>
      </c>
      <c r="G2873" s="283">
        <v>2</v>
      </c>
      <c r="H2873" s="283">
        <v>0</v>
      </c>
      <c r="I2873" s="283">
        <v>0</v>
      </c>
      <c r="J2873" s="284">
        <v>0</v>
      </c>
    </row>
    <row r="2874" spans="3:10" x14ac:dyDescent="0.25">
      <c r="C2874" s="300" t="s">
        <v>1057</v>
      </c>
      <c r="D2874" s="283" t="s">
        <v>1087</v>
      </c>
      <c r="E2874" s="283" t="s">
        <v>1089</v>
      </c>
      <c r="F2874" s="283" t="s">
        <v>524</v>
      </c>
      <c r="G2874" s="283">
        <v>1</v>
      </c>
      <c r="H2874" s="283">
        <v>0</v>
      </c>
      <c r="I2874" s="283">
        <v>0</v>
      </c>
      <c r="J2874" s="284">
        <v>1</v>
      </c>
    </row>
    <row r="2875" spans="3:10" x14ac:dyDescent="0.25">
      <c r="C2875" s="300" t="s">
        <v>1061</v>
      </c>
      <c r="D2875" s="283" t="s">
        <v>1087</v>
      </c>
      <c r="E2875" s="283" t="s">
        <v>1075</v>
      </c>
      <c r="F2875" s="283" t="s">
        <v>524</v>
      </c>
      <c r="G2875" s="283">
        <v>1</v>
      </c>
      <c r="H2875" s="283">
        <v>0</v>
      </c>
      <c r="I2875" s="283">
        <v>0</v>
      </c>
      <c r="J2875" s="284">
        <v>1</v>
      </c>
    </row>
    <row r="2876" spans="3:10" x14ac:dyDescent="0.25">
      <c r="C2876" s="300" t="s">
        <v>1066</v>
      </c>
      <c r="D2876" s="283" t="s">
        <v>1074</v>
      </c>
      <c r="E2876" s="283" t="s">
        <v>1078</v>
      </c>
      <c r="F2876" s="283" t="s">
        <v>1075</v>
      </c>
      <c r="G2876" s="283">
        <v>3</v>
      </c>
      <c r="H2876" s="283">
        <v>0</v>
      </c>
      <c r="I2876" s="283">
        <v>0</v>
      </c>
      <c r="J2876" s="284">
        <v>0</v>
      </c>
    </row>
    <row r="2877" spans="3:10" x14ac:dyDescent="0.25">
      <c r="C2877" s="300" t="s">
        <v>1066</v>
      </c>
      <c r="D2877" s="283" t="s">
        <v>1074</v>
      </c>
      <c r="E2877" s="283" t="s">
        <v>1075</v>
      </c>
      <c r="F2877" s="283" t="s">
        <v>1076</v>
      </c>
      <c r="G2877" s="283">
        <v>2</v>
      </c>
      <c r="H2877" s="283">
        <v>0</v>
      </c>
      <c r="I2877" s="283">
        <v>0</v>
      </c>
      <c r="J2877" s="284">
        <v>0</v>
      </c>
    </row>
    <row r="2878" spans="3:10" x14ac:dyDescent="0.25">
      <c r="C2878" s="300" t="s">
        <v>1065</v>
      </c>
      <c r="D2878" s="283" t="s">
        <v>1079</v>
      </c>
      <c r="E2878" s="283" t="s">
        <v>1075</v>
      </c>
      <c r="F2878" s="283" t="s">
        <v>1089</v>
      </c>
      <c r="G2878" s="283">
        <v>2</v>
      </c>
      <c r="H2878" s="283">
        <v>0</v>
      </c>
      <c r="I2878" s="283">
        <v>0</v>
      </c>
      <c r="J2878" s="284">
        <v>0</v>
      </c>
    </row>
    <row r="2879" spans="3:10" x14ac:dyDescent="0.25">
      <c r="C2879" s="300" t="s">
        <v>1065</v>
      </c>
      <c r="D2879" s="283" t="s">
        <v>1087</v>
      </c>
      <c r="E2879" s="283" t="s">
        <v>1084</v>
      </c>
      <c r="F2879" s="283" t="s">
        <v>524</v>
      </c>
      <c r="G2879" s="283">
        <v>1</v>
      </c>
      <c r="H2879" s="283">
        <v>0</v>
      </c>
      <c r="I2879" s="283">
        <v>0</v>
      </c>
      <c r="J2879" s="284">
        <v>0</v>
      </c>
    </row>
    <row r="2880" spans="3:10" x14ac:dyDescent="0.25">
      <c r="C2880" s="300" t="s">
        <v>1067</v>
      </c>
      <c r="D2880" s="283" t="s">
        <v>1079</v>
      </c>
      <c r="E2880" s="283" t="s">
        <v>1089</v>
      </c>
      <c r="F2880" s="283" t="s">
        <v>1083</v>
      </c>
      <c r="G2880" s="283">
        <v>2</v>
      </c>
      <c r="H2880" s="283">
        <v>0</v>
      </c>
      <c r="I2880" s="283">
        <v>0</v>
      </c>
      <c r="J2880" s="284">
        <v>0</v>
      </c>
    </row>
    <row r="2881" spans="3:10" x14ac:dyDescent="0.25">
      <c r="C2881" s="300" t="s">
        <v>1064</v>
      </c>
      <c r="D2881" s="283" t="s">
        <v>1079</v>
      </c>
      <c r="E2881" s="283" t="s">
        <v>1089</v>
      </c>
      <c r="F2881" s="283" t="s">
        <v>1075</v>
      </c>
      <c r="G2881" s="283">
        <v>2</v>
      </c>
      <c r="H2881" s="283">
        <v>0</v>
      </c>
      <c r="I2881" s="283">
        <v>0</v>
      </c>
      <c r="J2881" s="284">
        <v>0</v>
      </c>
    </row>
    <row r="2882" spans="3:10" x14ac:dyDescent="0.25">
      <c r="C2882" s="300" t="s">
        <v>1067</v>
      </c>
      <c r="D2882" s="283" t="s">
        <v>1074</v>
      </c>
      <c r="E2882" s="283" t="s">
        <v>1089</v>
      </c>
      <c r="F2882" s="283" t="s">
        <v>1075</v>
      </c>
      <c r="G2882" s="283">
        <v>2</v>
      </c>
      <c r="H2882" s="283">
        <v>0</v>
      </c>
      <c r="I2882" s="283">
        <v>0</v>
      </c>
      <c r="J2882" s="284">
        <v>0</v>
      </c>
    </row>
    <row r="2883" spans="3:10" x14ac:dyDescent="0.25">
      <c r="C2883" s="300" t="s">
        <v>1061</v>
      </c>
      <c r="D2883" s="283" t="s">
        <v>1077</v>
      </c>
      <c r="E2883" s="283" t="s">
        <v>1075</v>
      </c>
      <c r="F2883" s="283" t="s">
        <v>1075</v>
      </c>
      <c r="G2883" s="283">
        <v>2</v>
      </c>
      <c r="H2883" s="283">
        <v>0</v>
      </c>
      <c r="I2883" s="283">
        <v>0</v>
      </c>
      <c r="J2883" s="284">
        <v>0</v>
      </c>
    </row>
    <row r="2884" spans="3:10" x14ac:dyDescent="0.25">
      <c r="C2884" s="300" t="s">
        <v>1063</v>
      </c>
      <c r="D2884" s="283" t="s">
        <v>1077</v>
      </c>
      <c r="E2884" s="283" t="s">
        <v>1075</v>
      </c>
      <c r="F2884" s="283" t="s">
        <v>1075</v>
      </c>
      <c r="G2884" s="283">
        <v>2</v>
      </c>
      <c r="H2884" s="283">
        <v>0</v>
      </c>
      <c r="I2884" s="283">
        <v>0</v>
      </c>
      <c r="J2884" s="284">
        <v>0</v>
      </c>
    </row>
    <row r="2885" spans="3:10" x14ac:dyDescent="0.25">
      <c r="C2885" s="300" t="s">
        <v>1065</v>
      </c>
      <c r="D2885" s="283" t="s">
        <v>1077</v>
      </c>
      <c r="E2885" s="283" t="s">
        <v>1089</v>
      </c>
      <c r="F2885" s="283" t="s">
        <v>1075</v>
      </c>
      <c r="G2885" s="283">
        <v>3</v>
      </c>
      <c r="H2885" s="283">
        <v>0</v>
      </c>
      <c r="I2885" s="283">
        <v>0</v>
      </c>
      <c r="J2885" s="284">
        <v>0</v>
      </c>
    </row>
    <row r="2886" spans="3:10" x14ac:dyDescent="0.25">
      <c r="C2886" s="300" t="s">
        <v>1061</v>
      </c>
      <c r="D2886" s="283" t="s">
        <v>1077</v>
      </c>
      <c r="E2886" s="283" t="s">
        <v>1075</v>
      </c>
      <c r="F2886" s="283" t="s">
        <v>1084</v>
      </c>
      <c r="G2886" s="283">
        <v>2</v>
      </c>
      <c r="H2886" s="283">
        <v>0</v>
      </c>
      <c r="I2886" s="283">
        <v>0</v>
      </c>
      <c r="J2886" s="284">
        <v>0</v>
      </c>
    </row>
    <row r="2887" spans="3:10" x14ac:dyDescent="0.25">
      <c r="C2887" s="300" t="s">
        <v>1060</v>
      </c>
      <c r="D2887" s="283" t="s">
        <v>1074</v>
      </c>
      <c r="E2887" s="283" t="s">
        <v>1075</v>
      </c>
      <c r="F2887" s="283" t="s">
        <v>1075</v>
      </c>
      <c r="G2887" s="283">
        <v>2</v>
      </c>
      <c r="H2887" s="283">
        <v>0</v>
      </c>
      <c r="I2887" s="283">
        <v>0</v>
      </c>
      <c r="J2887" s="284">
        <v>0</v>
      </c>
    </row>
    <row r="2888" spans="3:10" x14ac:dyDescent="0.25">
      <c r="C2888" s="300" t="s">
        <v>1066</v>
      </c>
      <c r="D2888" s="283" t="s">
        <v>1090</v>
      </c>
      <c r="E2888" s="283" t="s">
        <v>1083</v>
      </c>
      <c r="F2888" s="283" t="s">
        <v>524</v>
      </c>
      <c r="G2888" s="283">
        <v>1</v>
      </c>
      <c r="H2888" s="283">
        <v>0</v>
      </c>
      <c r="I2888" s="283">
        <v>0</v>
      </c>
      <c r="J2888" s="284">
        <v>0</v>
      </c>
    </row>
    <row r="2889" spans="3:10" x14ac:dyDescent="0.25">
      <c r="C2889" s="300" t="s">
        <v>1068</v>
      </c>
      <c r="D2889" s="283" t="s">
        <v>1074</v>
      </c>
      <c r="E2889" s="283" t="s">
        <v>1075</v>
      </c>
      <c r="F2889" s="283" t="s">
        <v>1075</v>
      </c>
      <c r="G2889" s="283">
        <v>2</v>
      </c>
      <c r="H2889" s="283">
        <v>0</v>
      </c>
      <c r="I2889" s="283">
        <v>0</v>
      </c>
      <c r="J2889" s="284">
        <v>0</v>
      </c>
    </row>
    <row r="2890" spans="3:10" x14ac:dyDescent="0.25">
      <c r="C2890" s="300" t="s">
        <v>1065</v>
      </c>
      <c r="D2890" s="283" t="s">
        <v>1079</v>
      </c>
      <c r="E2890" s="283" t="s">
        <v>1091</v>
      </c>
      <c r="F2890" s="283" t="s">
        <v>1075</v>
      </c>
      <c r="G2890" s="283">
        <v>2</v>
      </c>
      <c r="H2890" s="283">
        <v>0</v>
      </c>
      <c r="I2890" s="283">
        <v>0</v>
      </c>
      <c r="J2890" s="284">
        <v>0</v>
      </c>
    </row>
    <row r="2891" spans="3:10" x14ac:dyDescent="0.25">
      <c r="C2891" s="300" t="s">
        <v>1068</v>
      </c>
      <c r="D2891" s="283" t="s">
        <v>1087</v>
      </c>
      <c r="E2891" s="283" t="s">
        <v>1081</v>
      </c>
      <c r="F2891" s="283" t="s">
        <v>524</v>
      </c>
      <c r="G2891" s="283">
        <v>1</v>
      </c>
      <c r="H2891" s="283">
        <v>0</v>
      </c>
      <c r="I2891" s="283">
        <v>0</v>
      </c>
      <c r="J2891" s="284">
        <v>1</v>
      </c>
    </row>
    <row r="2892" spans="3:10" x14ac:dyDescent="0.25">
      <c r="C2892" s="300" t="s">
        <v>1065</v>
      </c>
      <c r="D2892" s="283" t="s">
        <v>1074</v>
      </c>
      <c r="E2892" s="283" t="s">
        <v>1078</v>
      </c>
      <c r="F2892" s="283" t="s">
        <v>1075</v>
      </c>
      <c r="G2892" s="283">
        <v>2</v>
      </c>
      <c r="H2892" s="283">
        <v>0</v>
      </c>
      <c r="I2892" s="283">
        <v>1</v>
      </c>
      <c r="J2892" s="284">
        <v>0</v>
      </c>
    </row>
    <row r="2893" spans="3:10" x14ac:dyDescent="0.25">
      <c r="C2893" s="300" t="s">
        <v>1068</v>
      </c>
      <c r="D2893" s="283" t="s">
        <v>1079</v>
      </c>
      <c r="E2893" s="283" t="s">
        <v>1089</v>
      </c>
      <c r="F2893" s="283" t="s">
        <v>1078</v>
      </c>
      <c r="G2893" s="283">
        <v>2</v>
      </c>
      <c r="H2893" s="283">
        <v>0</v>
      </c>
      <c r="I2893" s="283">
        <v>0</v>
      </c>
      <c r="J2893" s="284">
        <v>1</v>
      </c>
    </row>
    <row r="2894" spans="3:10" x14ac:dyDescent="0.25">
      <c r="C2894" s="300" t="s">
        <v>1067</v>
      </c>
      <c r="D2894" s="283" t="s">
        <v>1043</v>
      </c>
      <c r="E2894" s="283" t="s">
        <v>1075</v>
      </c>
      <c r="F2894" s="283" t="s">
        <v>1092</v>
      </c>
      <c r="G2894" s="283">
        <v>2</v>
      </c>
      <c r="H2894" s="283">
        <v>0</v>
      </c>
      <c r="I2894" s="283">
        <v>1</v>
      </c>
      <c r="J2894" s="284">
        <v>0</v>
      </c>
    </row>
    <row r="2895" spans="3:10" x14ac:dyDescent="0.25">
      <c r="C2895" s="300" t="s">
        <v>1063</v>
      </c>
      <c r="D2895" s="283" t="s">
        <v>1087</v>
      </c>
      <c r="E2895" s="283" t="s">
        <v>1089</v>
      </c>
      <c r="F2895" s="283" t="s">
        <v>524</v>
      </c>
      <c r="G2895" s="283">
        <v>1</v>
      </c>
      <c r="H2895" s="283">
        <v>0</v>
      </c>
      <c r="I2895" s="283">
        <v>1</v>
      </c>
      <c r="J2895" s="284">
        <v>0</v>
      </c>
    </row>
    <row r="2896" spans="3:10" x14ac:dyDescent="0.25">
      <c r="C2896" s="300" t="s">
        <v>1064</v>
      </c>
      <c r="D2896" s="283" t="s">
        <v>1074</v>
      </c>
      <c r="E2896" s="283" t="s">
        <v>1075</v>
      </c>
      <c r="F2896" s="283" t="s">
        <v>1075</v>
      </c>
      <c r="G2896" s="283">
        <v>2</v>
      </c>
      <c r="H2896" s="283">
        <v>0</v>
      </c>
      <c r="I2896" s="283">
        <v>1</v>
      </c>
      <c r="J2896" s="284">
        <v>1</v>
      </c>
    </row>
    <row r="2897" spans="3:10" x14ac:dyDescent="0.25">
      <c r="C2897" s="300" t="s">
        <v>1066</v>
      </c>
      <c r="D2897" s="283" t="s">
        <v>1043</v>
      </c>
      <c r="E2897" s="283" t="s">
        <v>1075</v>
      </c>
      <c r="F2897" s="283" t="s">
        <v>1092</v>
      </c>
      <c r="G2897" s="283">
        <v>2</v>
      </c>
      <c r="H2897" s="283">
        <v>0</v>
      </c>
      <c r="I2897" s="283">
        <v>1</v>
      </c>
      <c r="J2897" s="284">
        <v>0</v>
      </c>
    </row>
    <row r="2898" spans="3:10" x14ac:dyDescent="0.25">
      <c r="C2898" s="300" t="s">
        <v>1062</v>
      </c>
      <c r="D2898" s="283" t="s">
        <v>1074</v>
      </c>
      <c r="E2898" s="283" t="s">
        <v>1089</v>
      </c>
      <c r="F2898" s="283" t="s">
        <v>1075</v>
      </c>
      <c r="G2898" s="283">
        <v>2</v>
      </c>
      <c r="H2898" s="283">
        <v>0</v>
      </c>
      <c r="I2898" s="283">
        <v>0</v>
      </c>
      <c r="J2898" s="284">
        <v>0</v>
      </c>
    </row>
    <row r="2899" spans="3:10" x14ac:dyDescent="0.25">
      <c r="C2899" s="300" t="s">
        <v>1061</v>
      </c>
      <c r="D2899" s="283" t="s">
        <v>1077</v>
      </c>
      <c r="E2899" s="283" t="s">
        <v>1075</v>
      </c>
      <c r="F2899" s="283" t="s">
        <v>1093</v>
      </c>
      <c r="G2899" s="283">
        <v>2</v>
      </c>
      <c r="H2899" s="283">
        <v>0</v>
      </c>
      <c r="I2899" s="283">
        <v>0</v>
      </c>
      <c r="J2899" s="284">
        <v>1</v>
      </c>
    </row>
    <row r="2900" spans="3:10" x14ac:dyDescent="0.25">
      <c r="C2900" s="300" t="s">
        <v>1067</v>
      </c>
      <c r="D2900" s="283" t="s">
        <v>1090</v>
      </c>
      <c r="E2900" s="283" t="s">
        <v>1076</v>
      </c>
      <c r="F2900" s="283" t="s">
        <v>524</v>
      </c>
      <c r="G2900" s="283">
        <v>1</v>
      </c>
      <c r="H2900" s="283">
        <v>0</v>
      </c>
      <c r="I2900" s="283">
        <v>0</v>
      </c>
      <c r="J2900" s="284">
        <v>0</v>
      </c>
    </row>
    <row r="2901" spans="3:10" x14ac:dyDescent="0.25">
      <c r="C2901" s="300" t="s">
        <v>1064</v>
      </c>
      <c r="D2901" s="283" t="s">
        <v>1077</v>
      </c>
      <c r="E2901" s="283" t="s">
        <v>1084</v>
      </c>
      <c r="F2901" s="283" t="s">
        <v>1094</v>
      </c>
      <c r="G2901" s="283">
        <v>2</v>
      </c>
      <c r="H2901" s="283">
        <v>0</v>
      </c>
      <c r="I2901" s="283">
        <v>0</v>
      </c>
      <c r="J2901" s="284">
        <v>0</v>
      </c>
    </row>
    <row r="2902" spans="3:10" x14ac:dyDescent="0.25">
      <c r="C2902" s="300" t="s">
        <v>1062</v>
      </c>
      <c r="D2902" s="283" t="s">
        <v>1079</v>
      </c>
      <c r="E2902" s="283" t="s">
        <v>1075</v>
      </c>
      <c r="F2902" s="283" t="s">
        <v>1080</v>
      </c>
      <c r="G2902" s="283">
        <v>2</v>
      </c>
      <c r="H2902" s="283">
        <v>0</v>
      </c>
      <c r="I2902" s="283">
        <v>0</v>
      </c>
      <c r="J2902" s="284">
        <v>0</v>
      </c>
    </row>
    <row r="2903" spans="3:10" x14ac:dyDescent="0.25">
      <c r="C2903" s="300" t="s">
        <v>1067</v>
      </c>
      <c r="D2903" s="283" t="s">
        <v>1077</v>
      </c>
      <c r="E2903" s="283" t="s">
        <v>1081</v>
      </c>
      <c r="F2903" s="283" t="s">
        <v>1075</v>
      </c>
      <c r="G2903" s="283">
        <v>3</v>
      </c>
      <c r="H2903" s="283">
        <v>0</v>
      </c>
      <c r="I2903" s="283">
        <v>0</v>
      </c>
      <c r="J2903" s="284">
        <v>0</v>
      </c>
    </row>
    <row r="2904" spans="3:10" x14ac:dyDescent="0.25">
      <c r="C2904" s="300" t="s">
        <v>1067</v>
      </c>
      <c r="D2904" s="283" t="s">
        <v>1087</v>
      </c>
      <c r="E2904" s="283" t="s">
        <v>1108</v>
      </c>
      <c r="F2904" s="283" t="s">
        <v>524</v>
      </c>
      <c r="G2904" s="283">
        <v>1</v>
      </c>
      <c r="H2904" s="283">
        <v>0</v>
      </c>
      <c r="I2904" s="283">
        <v>0</v>
      </c>
      <c r="J2904" s="284">
        <v>0</v>
      </c>
    </row>
    <row r="2905" spans="3:10" x14ac:dyDescent="0.25">
      <c r="C2905" s="300" t="s">
        <v>1063</v>
      </c>
      <c r="D2905" s="283" t="s">
        <v>1087</v>
      </c>
      <c r="E2905" s="283" t="s">
        <v>1078</v>
      </c>
      <c r="F2905" s="283" t="s">
        <v>524</v>
      </c>
      <c r="G2905" s="283">
        <v>1</v>
      </c>
      <c r="H2905" s="283">
        <v>0</v>
      </c>
      <c r="I2905" s="283">
        <v>0</v>
      </c>
      <c r="J2905" s="284">
        <v>0</v>
      </c>
    </row>
    <row r="2906" spans="3:10" x14ac:dyDescent="0.25">
      <c r="C2906" s="300" t="s">
        <v>1061</v>
      </c>
      <c r="D2906" s="283" t="s">
        <v>1077</v>
      </c>
      <c r="E2906" s="283" t="s">
        <v>1089</v>
      </c>
      <c r="F2906" s="283" t="s">
        <v>1078</v>
      </c>
      <c r="G2906" s="283">
        <v>2</v>
      </c>
      <c r="H2906" s="283">
        <v>0</v>
      </c>
      <c r="I2906" s="283">
        <v>0</v>
      </c>
      <c r="J2906" s="284">
        <v>0</v>
      </c>
    </row>
    <row r="2907" spans="3:10" x14ac:dyDescent="0.25">
      <c r="C2907" s="300" t="s">
        <v>1061</v>
      </c>
      <c r="D2907" s="283" t="s">
        <v>1074</v>
      </c>
      <c r="E2907" s="283" t="s">
        <v>1075</v>
      </c>
      <c r="F2907" s="283" t="s">
        <v>1075</v>
      </c>
      <c r="G2907" s="283">
        <v>2</v>
      </c>
      <c r="H2907" s="283">
        <v>0</v>
      </c>
      <c r="I2907" s="283">
        <v>0</v>
      </c>
      <c r="J2907" s="284">
        <v>0</v>
      </c>
    </row>
    <row r="2908" spans="3:10" x14ac:dyDescent="0.25">
      <c r="C2908" s="300" t="s">
        <v>1063</v>
      </c>
      <c r="D2908" s="283" t="s">
        <v>1079</v>
      </c>
      <c r="E2908" s="283" t="s">
        <v>1075</v>
      </c>
      <c r="F2908" s="283" t="s">
        <v>1075</v>
      </c>
      <c r="G2908" s="283">
        <v>2</v>
      </c>
      <c r="H2908" s="283">
        <v>0</v>
      </c>
      <c r="I2908" s="283">
        <v>0</v>
      </c>
      <c r="J2908" s="284">
        <v>0</v>
      </c>
    </row>
    <row r="2909" spans="3:10" x14ac:dyDescent="0.25">
      <c r="C2909" s="300" t="s">
        <v>1064</v>
      </c>
      <c r="D2909" s="283" t="s">
        <v>1082</v>
      </c>
      <c r="E2909" s="283" t="s">
        <v>1075</v>
      </c>
      <c r="F2909" s="283" t="s">
        <v>1076</v>
      </c>
      <c r="G2909" s="283">
        <v>3</v>
      </c>
      <c r="H2909" s="283">
        <v>0</v>
      </c>
      <c r="I2909" s="283">
        <v>1</v>
      </c>
      <c r="J2909" s="284">
        <v>0</v>
      </c>
    </row>
    <row r="2910" spans="3:10" x14ac:dyDescent="0.25">
      <c r="C2910" s="300" t="s">
        <v>1066</v>
      </c>
      <c r="D2910" s="283" t="s">
        <v>1043</v>
      </c>
      <c r="E2910" s="283" t="s">
        <v>1086</v>
      </c>
      <c r="F2910" s="283" t="s">
        <v>1092</v>
      </c>
      <c r="G2910" s="283">
        <v>2</v>
      </c>
      <c r="H2910" s="283">
        <v>0</v>
      </c>
      <c r="I2910" s="283">
        <v>0</v>
      </c>
      <c r="J2910" s="284">
        <v>1</v>
      </c>
    </row>
    <row r="2911" spans="3:10" x14ac:dyDescent="0.25">
      <c r="C2911" s="300" t="s">
        <v>1066</v>
      </c>
      <c r="D2911" s="283" t="s">
        <v>1077</v>
      </c>
      <c r="E2911" s="283" t="s">
        <v>1075</v>
      </c>
      <c r="F2911" s="283" t="s">
        <v>1089</v>
      </c>
      <c r="G2911" s="283">
        <v>2</v>
      </c>
      <c r="H2911" s="283">
        <v>0</v>
      </c>
      <c r="I2911" s="283">
        <v>1</v>
      </c>
      <c r="J2911" s="284">
        <v>0</v>
      </c>
    </row>
    <row r="2912" spans="3:10" x14ac:dyDescent="0.25">
      <c r="C2912" s="300" t="s">
        <v>1061</v>
      </c>
      <c r="D2912" s="283" t="s">
        <v>1079</v>
      </c>
      <c r="E2912" s="283" t="s">
        <v>1076</v>
      </c>
      <c r="F2912" s="283" t="s">
        <v>1044</v>
      </c>
      <c r="G2912" s="283">
        <v>2</v>
      </c>
      <c r="H2912" s="283">
        <v>0</v>
      </c>
      <c r="I2912" s="283">
        <v>0</v>
      </c>
      <c r="J2912" s="284">
        <v>0</v>
      </c>
    </row>
    <row r="2913" spans="3:10" x14ac:dyDescent="0.25">
      <c r="C2913" s="300" t="s">
        <v>1061</v>
      </c>
      <c r="D2913" s="283" t="s">
        <v>1079</v>
      </c>
      <c r="E2913" s="283" t="s">
        <v>1086</v>
      </c>
      <c r="F2913" s="283" t="s">
        <v>1078</v>
      </c>
      <c r="G2913" s="283">
        <v>2</v>
      </c>
      <c r="H2913" s="283">
        <v>0</v>
      </c>
      <c r="I2913" s="283">
        <v>0</v>
      </c>
      <c r="J2913" s="284">
        <v>0</v>
      </c>
    </row>
    <row r="2914" spans="3:10" x14ac:dyDescent="0.25">
      <c r="C2914" s="300" t="s">
        <v>1062</v>
      </c>
      <c r="D2914" s="283" t="s">
        <v>1077</v>
      </c>
      <c r="E2914" s="283" t="s">
        <v>1089</v>
      </c>
      <c r="F2914" s="283" t="s">
        <v>1075</v>
      </c>
      <c r="G2914" s="283">
        <v>2</v>
      </c>
      <c r="H2914" s="283">
        <v>0</v>
      </c>
      <c r="I2914" s="283">
        <v>0</v>
      </c>
      <c r="J2914" s="284">
        <v>1</v>
      </c>
    </row>
    <row r="2915" spans="3:10" x14ac:dyDescent="0.25">
      <c r="C2915" s="300" t="s">
        <v>1061</v>
      </c>
      <c r="D2915" s="283" t="s">
        <v>1077</v>
      </c>
      <c r="E2915" s="283" t="s">
        <v>1083</v>
      </c>
      <c r="F2915" s="283" t="s">
        <v>1075</v>
      </c>
      <c r="G2915" s="283">
        <v>2</v>
      </c>
      <c r="H2915" s="283">
        <v>0</v>
      </c>
      <c r="I2915" s="283">
        <v>0</v>
      </c>
      <c r="J2915" s="284">
        <v>0</v>
      </c>
    </row>
    <row r="2916" spans="3:10" x14ac:dyDescent="0.25">
      <c r="C2916" s="300" t="s">
        <v>1059</v>
      </c>
      <c r="D2916" s="283" t="s">
        <v>1079</v>
      </c>
      <c r="E2916" s="283" t="s">
        <v>1076</v>
      </c>
      <c r="F2916" s="283" t="s">
        <v>1083</v>
      </c>
      <c r="G2916" s="283">
        <v>2</v>
      </c>
      <c r="H2916" s="283">
        <v>0</v>
      </c>
      <c r="I2916" s="283">
        <v>0</v>
      </c>
      <c r="J2916" s="284">
        <v>0</v>
      </c>
    </row>
    <row r="2917" spans="3:10" x14ac:dyDescent="0.25">
      <c r="C2917" s="300" t="s">
        <v>1064</v>
      </c>
      <c r="D2917" s="283" t="s">
        <v>1077</v>
      </c>
      <c r="E2917" s="283" t="s">
        <v>1076</v>
      </c>
      <c r="F2917" s="283" t="s">
        <v>1076</v>
      </c>
      <c r="G2917" s="283">
        <v>4</v>
      </c>
      <c r="H2917" s="283">
        <v>0</v>
      </c>
      <c r="I2917" s="283">
        <v>0</v>
      </c>
      <c r="J2917" s="284">
        <v>2</v>
      </c>
    </row>
    <row r="2918" spans="3:10" x14ac:dyDescent="0.25">
      <c r="C2918" s="300" t="s">
        <v>1061</v>
      </c>
      <c r="D2918" s="283" t="s">
        <v>1077</v>
      </c>
      <c r="E2918" s="283" t="s">
        <v>1080</v>
      </c>
      <c r="F2918" s="283" t="s">
        <v>1084</v>
      </c>
      <c r="G2918" s="283">
        <v>2</v>
      </c>
      <c r="H2918" s="283">
        <v>0</v>
      </c>
      <c r="I2918" s="283">
        <v>0</v>
      </c>
      <c r="J2918" s="284">
        <v>0</v>
      </c>
    </row>
    <row r="2919" spans="3:10" x14ac:dyDescent="0.25">
      <c r="C2919" s="300" t="s">
        <v>1062</v>
      </c>
      <c r="D2919" s="283" t="s">
        <v>1074</v>
      </c>
      <c r="E2919" s="283" t="s">
        <v>1075</v>
      </c>
      <c r="F2919" s="283" t="s">
        <v>1089</v>
      </c>
      <c r="G2919" s="283">
        <v>2</v>
      </c>
      <c r="H2919" s="283">
        <v>0</v>
      </c>
      <c r="I2919" s="283">
        <v>0</v>
      </c>
      <c r="J2919" s="284">
        <v>0</v>
      </c>
    </row>
    <row r="2920" spans="3:10" x14ac:dyDescent="0.25">
      <c r="C2920" s="300" t="s">
        <v>1063</v>
      </c>
      <c r="D2920" s="283" t="s">
        <v>1074</v>
      </c>
      <c r="E2920" s="283" t="s">
        <v>1075</v>
      </c>
      <c r="F2920" s="283" t="s">
        <v>1084</v>
      </c>
      <c r="G2920" s="283">
        <v>2</v>
      </c>
      <c r="H2920" s="283">
        <v>0</v>
      </c>
      <c r="I2920" s="283">
        <v>0</v>
      </c>
      <c r="J2920" s="284">
        <v>0</v>
      </c>
    </row>
    <row r="2921" spans="3:10" x14ac:dyDescent="0.25">
      <c r="C2921" s="300" t="s">
        <v>1060</v>
      </c>
      <c r="D2921" s="283" t="s">
        <v>1079</v>
      </c>
      <c r="E2921" s="283" t="s">
        <v>1075</v>
      </c>
      <c r="F2921" s="283" t="s">
        <v>1078</v>
      </c>
      <c r="G2921" s="283">
        <v>2</v>
      </c>
      <c r="H2921" s="283">
        <v>0</v>
      </c>
      <c r="I2921" s="283">
        <v>0</v>
      </c>
      <c r="J2921" s="284">
        <v>0</v>
      </c>
    </row>
    <row r="2922" spans="3:10" x14ac:dyDescent="0.25">
      <c r="C2922" s="300" t="s">
        <v>1066</v>
      </c>
      <c r="D2922" s="283" t="s">
        <v>1074</v>
      </c>
      <c r="E2922" s="283" t="s">
        <v>1089</v>
      </c>
      <c r="F2922" s="283" t="s">
        <v>1075</v>
      </c>
      <c r="G2922" s="283">
        <v>2</v>
      </c>
      <c r="H2922" s="283">
        <v>0</v>
      </c>
      <c r="I2922" s="283">
        <v>0</v>
      </c>
      <c r="J2922" s="284">
        <v>0</v>
      </c>
    </row>
    <row r="2923" spans="3:10" x14ac:dyDescent="0.25">
      <c r="C2923" s="300" t="s">
        <v>1067</v>
      </c>
      <c r="D2923" s="283" t="s">
        <v>1090</v>
      </c>
      <c r="E2923" s="283" t="s">
        <v>1083</v>
      </c>
      <c r="F2923" s="283" t="s">
        <v>524</v>
      </c>
      <c r="G2923" s="283">
        <v>2</v>
      </c>
      <c r="H2923" s="283">
        <v>0</v>
      </c>
      <c r="I2923" s="283">
        <v>0</v>
      </c>
      <c r="J2923" s="284">
        <v>1</v>
      </c>
    </row>
    <row r="2924" spans="3:10" x14ac:dyDescent="0.25">
      <c r="C2924" s="300" t="s">
        <v>1060</v>
      </c>
      <c r="D2924" s="283" t="s">
        <v>1079</v>
      </c>
      <c r="E2924" s="283" t="s">
        <v>1075</v>
      </c>
      <c r="F2924" s="283" t="s">
        <v>1075</v>
      </c>
      <c r="G2924" s="283">
        <v>2</v>
      </c>
      <c r="H2924" s="283">
        <v>0</v>
      </c>
      <c r="I2924" s="283">
        <v>0</v>
      </c>
      <c r="J2924" s="284">
        <v>1</v>
      </c>
    </row>
    <row r="2925" spans="3:10" x14ac:dyDescent="0.25">
      <c r="C2925" s="300" t="s">
        <v>1061</v>
      </c>
      <c r="D2925" s="283" t="s">
        <v>1077</v>
      </c>
      <c r="E2925" s="283" t="s">
        <v>1075</v>
      </c>
      <c r="F2925" s="283" t="s">
        <v>1075</v>
      </c>
      <c r="G2925" s="283">
        <v>2</v>
      </c>
      <c r="H2925" s="283">
        <v>0</v>
      </c>
      <c r="I2925" s="283">
        <v>0</v>
      </c>
      <c r="J2925" s="284">
        <v>0</v>
      </c>
    </row>
    <row r="2926" spans="3:10" x14ac:dyDescent="0.25">
      <c r="C2926" s="300" t="s">
        <v>1060</v>
      </c>
      <c r="D2926" s="283" t="s">
        <v>1074</v>
      </c>
      <c r="E2926" s="283" t="s">
        <v>1075</v>
      </c>
      <c r="F2926" s="283" t="s">
        <v>1089</v>
      </c>
      <c r="G2926" s="283">
        <v>2</v>
      </c>
      <c r="H2926" s="283">
        <v>0</v>
      </c>
      <c r="I2926" s="283">
        <v>0</v>
      </c>
      <c r="J2926" s="284">
        <v>0</v>
      </c>
    </row>
    <row r="2927" spans="3:10" x14ac:dyDescent="0.25">
      <c r="C2927" s="300" t="s">
        <v>1062</v>
      </c>
      <c r="D2927" s="283" t="s">
        <v>1079</v>
      </c>
      <c r="E2927" s="283" t="s">
        <v>1075</v>
      </c>
      <c r="F2927" s="283" t="s">
        <v>1075</v>
      </c>
      <c r="G2927" s="283">
        <v>4</v>
      </c>
      <c r="H2927" s="283">
        <v>0</v>
      </c>
      <c r="I2927" s="283">
        <v>0</v>
      </c>
      <c r="J2927" s="284">
        <v>0</v>
      </c>
    </row>
    <row r="2928" spans="3:10" x14ac:dyDescent="0.25">
      <c r="C2928" s="300" t="s">
        <v>1063</v>
      </c>
      <c r="D2928" s="283" t="s">
        <v>1082</v>
      </c>
      <c r="E2928" s="283" t="s">
        <v>1086</v>
      </c>
      <c r="F2928" s="283" t="s">
        <v>1075</v>
      </c>
      <c r="G2928" s="283">
        <v>2</v>
      </c>
      <c r="H2928" s="283">
        <v>0</v>
      </c>
      <c r="I2928" s="283">
        <v>0</v>
      </c>
      <c r="J2928" s="284">
        <v>0</v>
      </c>
    </row>
    <row r="2929" spans="3:10" x14ac:dyDescent="0.25">
      <c r="C2929" s="300" t="s">
        <v>1067</v>
      </c>
      <c r="D2929" s="283" t="s">
        <v>1087</v>
      </c>
      <c r="E2929" s="283" t="s">
        <v>1078</v>
      </c>
      <c r="F2929" s="283" t="s">
        <v>524</v>
      </c>
      <c r="G2929" s="283">
        <v>1</v>
      </c>
      <c r="H2929" s="283">
        <v>0</v>
      </c>
      <c r="I2929" s="283">
        <v>0</v>
      </c>
      <c r="J2929" s="284">
        <v>0</v>
      </c>
    </row>
    <row r="2930" spans="3:10" x14ac:dyDescent="0.25">
      <c r="C2930" s="300" t="s">
        <v>1061</v>
      </c>
      <c r="D2930" s="283" t="s">
        <v>1079</v>
      </c>
      <c r="E2930" s="283" t="s">
        <v>1075</v>
      </c>
      <c r="F2930" s="283" t="s">
        <v>1093</v>
      </c>
      <c r="G2930" s="283">
        <v>2</v>
      </c>
      <c r="H2930" s="283">
        <v>0</v>
      </c>
      <c r="I2930" s="283">
        <v>0</v>
      </c>
      <c r="J2930" s="284">
        <v>0</v>
      </c>
    </row>
    <row r="2931" spans="3:10" x14ac:dyDescent="0.25">
      <c r="C2931" s="300" t="s">
        <v>1064</v>
      </c>
      <c r="D2931" s="283" t="s">
        <v>1074</v>
      </c>
      <c r="E2931" s="283" t="s">
        <v>1076</v>
      </c>
      <c r="F2931" s="283" t="s">
        <v>1075</v>
      </c>
      <c r="G2931" s="283">
        <v>2</v>
      </c>
      <c r="H2931" s="283">
        <v>0</v>
      </c>
      <c r="I2931" s="283">
        <v>1</v>
      </c>
      <c r="J2931" s="284">
        <v>0</v>
      </c>
    </row>
    <row r="2932" spans="3:10" x14ac:dyDescent="0.25">
      <c r="C2932" s="300" t="s">
        <v>1065</v>
      </c>
      <c r="D2932" s="283" t="s">
        <v>1087</v>
      </c>
      <c r="E2932" s="283" t="s">
        <v>1075</v>
      </c>
      <c r="F2932" s="283" t="s">
        <v>524</v>
      </c>
      <c r="G2932" s="283">
        <v>1</v>
      </c>
      <c r="H2932" s="283">
        <v>0</v>
      </c>
      <c r="I2932" s="283">
        <v>0</v>
      </c>
      <c r="J2932" s="284">
        <v>1</v>
      </c>
    </row>
    <row r="2933" spans="3:10" x14ac:dyDescent="0.25">
      <c r="C2933" s="300" t="s">
        <v>1064</v>
      </c>
      <c r="D2933" s="283" t="s">
        <v>1043</v>
      </c>
      <c r="E2933" s="283" t="s">
        <v>1075</v>
      </c>
      <c r="F2933" s="283" t="s">
        <v>1092</v>
      </c>
      <c r="G2933" s="283">
        <v>2</v>
      </c>
      <c r="H2933" s="283">
        <v>0</v>
      </c>
      <c r="I2933" s="283">
        <v>0</v>
      </c>
      <c r="J2933" s="284">
        <v>0</v>
      </c>
    </row>
    <row r="2934" spans="3:10" x14ac:dyDescent="0.25">
      <c r="C2934" s="300" t="s">
        <v>1066</v>
      </c>
      <c r="D2934" s="283" t="s">
        <v>1079</v>
      </c>
      <c r="E2934" s="283" t="s">
        <v>1086</v>
      </c>
      <c r="F2934" s="283" t="s">
        <v>1089</v>
      </c>
      <c r="G2934" s="283">
        <v>2</v>
      </c>
      <c r="H2934" s="283">
        <v>0</v>
      </c>
      <c r="I2934" s="283">
        <v>0</v>
      </c>
      <c r="J2934" s="284">
        <v>0</v>
      </c>
    </row>
    <row r="2935" spans="3:10" x14ac:dyDescent="0.25">
      <c r="C2935" s="300" t="s">
        <v>1063</v>
      </c>
      <c r="D2935" s="283" t="s">
        <v>1043</v>
      </c>
      <c r="E2935" s="283" t="s">
        <v>1075</v>
      </c>
      <c r="F2935" s="283" t="s">
        <v>1092</v>
      </c>
      <c r="G2935" s="283">
        <v>2</v>
      </c>
      <c r="H2935" s="283">
        <v>0</v>
      </c>
      <c r="I2935" s="283">
        <v>0</v>
      </c>
      <c r="J2935" s="284">
        <v>0</v>
      </c>
    </row>
    <row r="2936" spans="3:10" x14ac:dyDescent="0.25">
      <c r="C2936" s="300" t="s">
        <v>1063</v>
      </c>
      <c r="D2936" s="283" t="s">
        <v>1074</v>
      </c>
      <c r="E2936" s="283" t="s">
        <v>1075</v>
      </c>
      <c r="F2936" s="283" t="s">
        <v>1075</v>
      </c>
      <c r="G2936" s="283">
        <v>2</v>
      </c>
      <c r="H2936" s="283">
        <v>0</v>
      </c>
      <c r="I2936" s="283">
        <v>0</v>
      </c>
      <c r="J2936" s="284">
        <v>0</v>
      </c>
    </row>
    <row r="2937" spans="3:10" x14ac:dyDescent="0.25">
      <c r="C2937" s="300" t="s">
        <v>1067</v>
      </c>
      <c r="D2937" s="283" t="s">
        <v>1087</v>
      </c>
      <c r="E2937" s="283" t="s">
        <v>1075</v>
      </c>
      <c r="F2937" s="283" t="s">
        <v>524</v>
      </c>
      <c r="G2937" s="283">
        <v>1</v>
      </c>
      <c r="H2937" s="283">
        <v>0</v>
      </c>
      <c r="I2937" s="283">
        <v>0</v>
      </c>
      <c r="J2937" s="284">
        <v>0</v>
      </c>
    </row>
    <row r="2938" spans="3:10" x14ac:dyDescent="0.25">
      <c r="C2938" s="300" t="s">
        <v>1060</v>
      </c>
      <c r="D2938" s="283" t="s">
        <v>1074</v>
      </c>
      <c r="E2938" s="283" t="s">
        <v>1075</v>
      </c>
      <c r="F2938" s="283" t="s">
        <v>1075</v>
      </c>
      <c r="G2938" s="283">
        <v>3</v>
      </c>
      <c r="H2938" s="283">
        <v>0</v>
      </c>
      <c r="I2938" s="283">
        <v>1</v>
      </c>
      <c r="J2938" s="284">
        <v>1</v>
      </c>
    </row>
    <row r="2939" spans="3:10" x14ac:dyDescent="0.25">
      <c r="C2939" s="300" t="s">
        <v>1061</v>
      </c>
      <c r="D2939" s="283" t="s">
        <v>1079</v>
      </c>
      <c r="E2939" s="283" t="s">
        <v>1076</v>
      </c>
      <c r="F2939" s="283" t="s">
        <v>1078</v>
      </c>
      <c r="G2939" s="283">
        <v>2</v>
      </c>
      <c r="H2939" s="283">
        <v>0</v>
      </c>
      <c r="I2939" s="283">
        <v>0</v>
      </c>
      <c r="J2939" s="284">
        <v>0</v>
      </c>
    </row>
    <row r="2940" spans="3:10" x14ac:dyDescent="0.25">
      <c r="C2940" s="300" t="s">
        <v>1061</v>
      </c>
      <c r="D2940" s="283" t="s">
        <v>1079</v>
      </c>
      <c r="E2940" s="283" t="s">
        <v>1044</v>
      </c>
      <c r="F2940" s="283" t="s">
        <v>1086</v>
      </c>
      <c r="G2940" s="283">
        <v>2</v>
      </c>
      <c r="H2940" s="283">
        <v>0</v>
      </c>
      <c r="I2940" s="283">
        <v>0</v>
      </c>
      <c r="J2940" s="284">
        <v>0</v>
      </c>
    </row>
    <row r="2941" spans="3:10" x14ac:dyDescent="0.25">
      <c r="C2941" s="300" t="s">
        <v>1065</v>
      </c>
      <c r="D2941" s="283" t="s">
        <v>1079</v>
      </c>
      <c r="E2941" s="283" t="s">
        <v>1075</v>
      </c>
      <c r="F2941" s="283" t="s">
        <v>1076</v>
      </c>
      <c r="G2941" s="283">
        <v>2</v>
      </c>
      <c r="H2941" s="283">
        <v>0</v>
      </c>
      <c r="I2941" s="283">
        <v>0</v>
      </c>
      <c r="J2941" s="284">
        <v>0</v>
      </c>
    </row>
    <row r="2942" spans="3:10" x14ac:dyDescent="0.25">
      <c r="C2942" s="300" t="s">
        <v>1065</v>
      </c>
      <c r="D2942" s="283" t="s">
        <v>1074</v>
      </c>
      <c r="E2942" s="283" t="s">
        <v>1075</v>
      </c>
      <c r="F2942" s="283" t="s">
        <v>1089</v>
      </c>
      <c r="G2942" s="283">
        <v>2</v>
      </c>
      <c r="H2942" s="283">
        <v>0</v>
      </c>
      <c r="I2942" s="283">
        <v>0</v>
      </c>
      <c r="J2942" s="284">
        <v>0</v>
      </c>
    </row>
    <row r="2943" spans="3:10" x14ac:dyDescent="0.25">
      <c r="C2943" s="300" t="s">
        <v>1065</v>
      </c>
      <c r="D2943" s="283" t="s">
        <v>1082</v>
      </c>
      <c r="E2943" s="283" t="s">
        <v>1075</v>
      </c>
      <c r="F2943" s="283" t="s">
        <v>1089</v>
      </c>
      <c r="G2943" s="283">
        <v>2</v>
      </c>
      <c r="H2943" s="283">
        <v>0</v>
      </c>
      <c r="I2943" s="283">
        <v>0</v>
      </c>
      <c r="J2943" s="284">
        <v>0</v>
      </c>
    </row>
    <row r="2944" spans="3:10" x14ac:dyDescent="0.25">
      <c r="C2944" s="300" t="s">
        <v>1062</v>
      </c>
      <c r="D2944" s="283" t="s">
        <v>1090</v>
      </c>
      <c r="E2944" s="283" t="s">
        <v>1075</v>
      </c>
      <c r="F2944" s="283" t="s">
        <v>524</v>
      </c>
      <c r="G2944" s="283">
        <v>1</v>
      </c>
      <c r="H2944" s="283">
        <v>0</v>
      </c>
      <c r="I2944" s="283">
        <v>0</v>
      </c>
      <c r="J2944" s="284">
        <v>0</v>
      </c>
    </row>
    <row r="2945" spans="3:10" x14ac:dyDescent="0.25">
      <c r="C2945" s="300" t="s">
        <v>1057</v>
      </c>
      <c r="D2945" s="283" t="s">
        <v>1087</v>
      </c>
      <c r="E2945" s="283" t="s">
        <v>1075</v>
      </c>
      <c r="F2945" s="283" t="s">
        <v>524</v>
      </c>
      <c r="G2945" s="283">
        <v>1</v>
      </c>
      <c r="H2945" s="283">
        <v>0</v>
      </c>
      <c r="I2945" s="283">
        <v>0</v>
      </c>
      <c r="J2945" s="284">
        <v>0</v>
      </c>
    </row>
    <row r="2946" spans="3:10" x14ac:dyDescent="0.25">
      <c r="C2946" s="300" t="s">
        <v>1067</v>
      </c>
      <c r="D2946" s="283" t="s">
        <v>1079</v>
      </c>
      <c r="E2946" s="283" t="s">
        <v>1075</v>
      </c>
      <c r="F2946" s="283" t="s">
        <v>1088</v>
      </c>
      <c r="G2946" s="283">
        <v>2</v>
      </c>
      <c r="H2946" s="283">
        <v>0</v>
      </c>
      <c r="I2946" s="283">
        <v>0</v>
      </c>
      <c r="J2946" s="284">
        <v>0</v>
      </c>
    </row>
    <row r="2947" spans="3:10" x14ac:dyDescent="0.25">
      <c r="C2947" s="300" t="s">
        <v>1062</v>
      </c>
      <c r="D2947" s="283" t="s">
        <v>1079</v>
      </c>
      <c r="E2947" s="283" t="s">
        <v>1080</v>
      </c>
      <c r="F2947" s="283" t="s">
        <v>1089</v>
      </c>
      <c r="G2947" s="283">
        <v>2</v>
      </c>
      <c r="H2947" s="283">
        <v>0</v>
      </c>
      <c r="I2947" s="283">
        <v>0</v>
      </c>
      <c r="J2947" s="284">
        <v>0</v>
      </c>
    </row>
    <row r="2948" spans="3:10" x14ac:dyDescent="0.25">
      <c r="C2948" s="300" t="s">
        <v>1065</v>
      </c>
      <c r="D2948" s="283" t="s">
        <v>1074</v>
      </c>
      <c r="E2948" s="283" t="s">
        <v>1076</v>
      </c>
      <c r="F2948" s="283" t="s">
        <v>1075</v>
      </c>
      <c r="G2948" s="283">
        <v>4</v>
      </c>
      <c r="H2948" s="283">
        <v>0</v>
      </c>
      <c r="I2948" s="283">
        <v>0</v>
      </c>
      <c r="J2948" s="284">
        <v>0</v>
      </c>
    </row>
    <row r="2949" spans="3:10" x14ac:dyDescent="0.25">
      <c r="C2949" s="300" t="s">
        <v>1067</v>
      </c>
      <c r="D2949" s="283" t="s">
        <v>1074</v>
      </c>
      <c r="E2949" s="283" t="s">
        <v>1075</v>
      </c>
      <c r="F2949" s="283" t="s">
        <v>1089</v>
      </c>
      <c r="G2949" s="283">
        <v>2</v>
      </c>
      <c r="H2949" s="283">
        <v>0</v>
      </c>
      <c r="I2949" s="283">
        <v>0</v>
      </c>
      <c r="J2949" s="284">
        <v>0</v>
      </c>
    </row>
    <row r="2950" spans="3:10" x14ac:dyDescent="0.25">
      <c r="C2950" s="300" t="s">
        <v>1064</v>
      </c>
      <c r="D2950" s="283" t="s">
        <v>1079</v>
      </c>
      <c r="E2950" s="283" t="s">
        <v>1083</v>
      </c>
      <c r="F2950" s="283" t="s">
        <v>1075</v>
      </c>
      <c r="G2950" s="283">
        <v>2</v>
      </c>
      <c r="H2950" s="283">
        <v>0</v>
      </c>
      <c r="I2950" s="283">
        <v>0</v>
      </c>
      <c r="J2950" s="284">
        <v>0</v>
      </c>
    </row>
    <row r="2951" spans="3:10" x14ac:dyDescent="0.25">
      <c r="C2951" s="300" t="s">
        <v>1066</v>
      </c>
      <c r="D2951" s="283" t="s">
        <v>1077</v>
      </c>
      <c r="E2951" s="283" t="s">
        <v>1075</v>
      </c>
      <c r="F2951" s="283" t="s">
        <v>1075</v>
      </c>
      <c r="G2951" s="283">
        <v>3</v>
      </c>
      <c r="H2951" s="283">
        <v>0</v>
      </c>
      <c r="I2951" s="283">
        <v>0</v>
      </c>
      <c r="J2951" s="284">
        <v>0</v>
      </c>
    </row>
    <row r="2952" spans="3:10" x14ac:dyDescent="0.25">
      <c r="C2952" s="300" t="s">
        <v>1063</v>
      </c>
      <c r="D2952" s="283" t="s">
        <v>1079</v>
      </c>
      <c r="E2952" s="283" t="s">
        <v>1075</v>
      </c>
      <c r="F2952" s="283" t="s">
        <v>1089</v>
      </c>
      <c r="G2952" s="283">
        <v>3</v>
      </c>
      <c r="H2952" s="283">
        <v>0</v>
      </c>
      <c r="I2952" s="283">
        <v>0</v>
      </c>
      <c r="J2952" s="284">
        <v>0</v>
      </c>
    </row>
    <row r="2953" spans="3:10" x14ac:dyDescent="0.25">
      <c r="C2953" s="300" t="s">
        <v>1060</v>
      </c>
      <c r="D2953" s="283" t="s">
        <v>1074</v>
      </c>
      <c r="E2953" s="283" t="s">
        <v>1075</v>
      </c>
      <c r="F2953" s="283" t="s">
        <v>1080</v>
      </c>
      <c r="G2953" s="283">
        <v>2</v>
      </c>
      <c r="H2953" s="283">
        <v>0</v>
      </c>
      <c r="I2953" s="283">
        <v>0</v>
      </c>
      <c r="J2953" s="284">
        <v>1</v>
      </c>
    </row>
    <row r="2954" spans="3:10" x14ac:dyDescent="0.25">
      <c r="C2954" s="300" t="s">
        <v>1066</v>
      </c>
      <c r="D2954" s="283" t="s">
        <v>1079</v>
      </c>
      <c r="E2954" s="283" t="s">
        <v>1075</v>
      </c>
      <c r="F2954" s="283" t="s">
        <v>1075</v>
      </c>
      <c r="G2954" s="283">
        <v>3</v>
      </c>
      <c r="H2954" s="283">
        <v>0</v>
      </c>
      <c r="I2954" s="283">
        <v>0</v>
      </c>
      <c r="J2954" s="284">
        <v>0</v>
      </c>
    </row>
    <row r="2955" spans="3:10" x14ac:dyDescent="0.25">
      <c r="C2955" s="300" t="s">
        <v>1063</v>
      </c>
      <c r="D2955" s="283" t="s">
        <v>1079</v>
      </c>
      <c r="E2955" s="283" t="s">
        <v>1075</v>
      </c>
      <c r="F2955" s="283" t="s">
        <v>1075</v>
      </c>
      <c r="G2955" s="283">
        <v>2</v>
      </c>
      <c r="H2955" s="283">
        <v>0</v>
      </c>
      <c r="I2955" s="283">
        <v>0</v>
      </c>
      <c r="J2955" s="284">
        <v>0</v>
      </c>
    </row>
    <row r="2956" spans="3:10" x14ac:dyDescent="0.25">
      <c r="C2956" s="300" t="s">
        <v>1061</v>
      </c>
      <c r="D2956" s="283" t="s">
        <v>1077</v>
      </c>
      <c r="E2956" s="283" t="s">
        <v>1089</v>
      </c>
      <c r="F2956" s="283" t="s">
        <v>1076</v>
      </c>
      <c r="G2956" s="283">
        <v>2</v>
      </c>
      <c r="H2956" s="283">
        <v>0</v>
      </c>
      <c r="I2956" s="283">
        <v>0</v>
      </c>
      <c r="J2956" s="284">
        <v>0</v>
      </c>
    </row>
    <row r="2957" spans="3:10" x14ac:dyDescent="0.25">
      <c r="C2957" s="300" t="s">
        <v>1060</v>
      </c>
      <c r="D2957" s="283" t="s">
        <v>1077</v>
      </c>
      <c r="E2957" s="283" t="s">
        <v>1075</v>
      </c>
      <c r="F2957" s="283" t="s">
        <v>1088</v>
      </c>
      <c r="G2957" s="283">
        <v>2</v>
      </c>
      <c r="H2957" s="283">
        <v>0</v>
      </c>
      <c r="I2957" s="283">
        <v>0</v>
      </c>
      <c r="J2957" s="284">
        <v>0</v>
      </c>
    </row>
    <row r="2958" spans="3:10" x14ac:dyDescent="0.25">
      <c r="C2958" s="300" t="s">
        <v>1065</v>
      </c>
      <c r="D2958" s="283" t="s">
        <v>1087</v>
      </c>
      <c r="E2958" s="283" t="s">
        <v>1089</v>
      </c>
      <c r="F2958" s="283" t="s">
        <v>524</v>
      </c>
      <c r="G2958" s="283">
        <v>1</v>
      </c>
      <c r="H2958" s="283">
        <v>0</v>
      </c>
      <c r="I2958" s="283">
        <v>0</v>
      </c>
      <c r="J2958" s="284">
        <v>0</v>
      </c>
    </row>
    <row r="2959" spans="3:10" x14ac:dyDescent="0.25">
      <c r="C2959" s="300" t="s">
        <v>1061</v>
      </c>
      <c r="D2959" s="283" t="s">
        <v>1077</v>
      </c>
      <c r="E2959" s="283" t="s">
        <v>1075</v>
      </c>
      <c r="F2959" s="283" t="s">
        <v>1078</v>
      </c>
      <c r="G2959" s="283">
        <v>3</v>
      </c>
      <c r="H2959" s="283">
        <v>0</v>
      </c>
      <c r="I2959" s="283">
        <v>0</v>
      </c>
      <c r="J2959" s="284">
        <v>0</v>
      </c>
    </row>
    <row r="2960" spans="3:10" x14ac:dyDescent="0.25">
      <c r="C2960" s="300" t="s">
        <v>1065</v>
      </c>
      <c r="D2960" s="283" t="s">
        <v>1079</v>
      </c>
      <c r="E2960" s="283" t="s">
        <v>1078</v>
      </c>
      <c r="F2960" s="283" t="s">
        <v>1075</v>
      </c>
      <c r="G2960" s="283">
        <v>2</v>
      </c>
      <c r="H2960" s="283">
        <v>0</v>
      </c>
      <c r="I2960" s="283">
        <v>0</v>
      </c>
      <c r="J2960" s="284">
        <v>0</v>
      </c>
    </row>
    <row r="2961" spans="3:10" x14ac:dyDescent="0.25">
      <c r="C2961" s="300" t="s">
        <v>1064</v>
      </c>
      <c r="D2961" s="283" t="s">
        <v>1077</v>
      </c>
      <c r="E2961" s="283" t="s">
        <v>1080</v>
      </c>
      <c r="F2961" s="283" t="s">
        <v>1084</v>
      </c>
      <c r="G2961" s="283">
        <v>4</v>
      </c>
      <c r="H2961" s="283">
        <v>0</v>
      </c>
      <c r="I2961" s="283">
        <v>0</v>
      </c>
      <c r="J2961" s="284">
        <v>0</v>
      </c>
    </row>
    <row r="2962" spans="3:10" x14ac:dyDescent="0.25">
      <c r="C2962" s="300" t="s">
        <v>1067</v>
      </c>
      <c r="D2962" s="283" t="s">
        <v>1077</v>
      </c>
      <c r="E2962" s="283" t="s">
        <v>1078</v>
      </c>
      <c r="F2962" s="283" t="s">
        <v>1075</v>
      </c>
      <c r="G2962" s="283">
        <v>2</v>
      </c>
      <c r="H2962" s="283">
        <v>0</v>
      </c>
      <c r="I2962" s="283">
        <v>0</v>
      </c>
      <c r="J2962" s="284">
        <v>0</v>
      </c>
    </row>
    <row r="2963" spans="3:10" x14ac:dyDescent="0.25">
      <c r="C2963" s="300" t="s">
        <v>1067</v>
      </c>
      <c r="D2963" s="283" t="s">
        <v>1087</v>
      </c>
      <c r="E2963" s="283" t="s">
        <v>1075</v>
      </c>
      <c r="F2963" s="283" t="s">
        <v>524</v>
      </c>
      <c r="G2963" s="283">
        <v>1</v>
      </c>
      <c r="H2963" s="283">
        <v>0</v>
      </c>
      <c r="I2963" s="283">
        <v>0</v>
      </c>
      <c r="J2963" s="284">
        <v>0</v>
      </c>
    </row>
    <row r="2964" spans="3:10" x14ac:dyDescent="0.25">
      <c r="C2964" s="300" t="s">
        <v>1060</v>
      </c>
      <c r="D2964" s="283" t="s">
        <v>1077</v>
      </c>
      <c r="E2964" s="283" t="s">
        <v>1078</v>
      </c>
      <c r="F2964" s="283" t="s">
        <v>1076</v>
      </c>
      <c r="G2964" s="283">
        <v>2</v>
      </c>
      <c r="H2964" s="283">
        <v>0</v>
      </c>
      <c r="I2964" s="283">
        <v>0</v>
      </c>
      <c r="J2964" s="284">
        <v>0</v>
      </c>
    </row>
    <row r="2965" spans="3:10" x14ac:dyDescent="0.25">
      <c r="C2965" s="300" t="s">
        <v>1064</v>
      </c>
      <c r="D2965" s="283" t="s">
        <v>1074</v>
      </c>
      <c r="E2965" s="283" t="s">
        <v>1078</v>
      </c>
      <c r="F2965" s="283" t="s">
        <v>1075</v>
      </c>
      <c r="G2965" s="283">
        <v>2</v>
      </c>
      <c r="H2965" s="283">
        <v>0</v>
      </c>
      <c r="I2965" s="283">
        <v>0</v>
      </c>
      <c r="J2965" s="284">
        <v>0</v>
      </c>
    </row>
    <row r="2966" spans="3:10" x14ac:dyDescent="0.25">
      <c r="C2966" s="300" t="s">
        <v>1060</v>
      </c>
      <c r="D2966" s="283" t="s">
        <v>1077</v>
      </c>
      <c r="E2966" s="283" t="s">
        <v>1075</v>
      </c>
      <c r="F2966" s="283" t="s">
        <v>1075</v>
      </c>
      <c r="G2966" s="283">
        <v>3</v>
      </c>
      <c r="H2966" s="283">
        <v>0</v>
      </c>
      <c r="I2966" s="283">
        <v>0</v>
      </c>
      <c r="J2966" s="284">
        <v>0</v>
      </c>
    </row>
    <row r="2967" spans="3:10" x14ac:dyDescent="0.25">
      <c r="C2967" s="300" t="s">
        <v>1065</v>
      </c>
      <c r="D2967" s="283" t="s">
        <v>1077</v>
      </c>
      <c r="E2967" s="283" t="s">
        <v>1075</v>
      </c>
      <c r="F2967" s="283" t="s">
        <v>1075</v>
      </c>
      <c r="G2967" s="283">
        <v>3</v>
      </c>
      <c r="H2967" s="283">
        <v>0</v>
      </c>
      <c r="I2967" s="283">
        <v>0</v>
      </c>
      <c r="J2967" s="284">
        <v>0</v>
      </c>
    </row>
    <row r="2968" spans="3:10" x14ac:dyDescent="0.25">
      <c r="C2968" s="300" t="s">
        <v>1064</v>
      </c>
      <c r="D2968" s="283" t="s">
        <v>1077</v>
      </c>
      <c r="E2968" s="283" t="s">
        <v>1075</v>
      </c>
      <c r="F2968" s="283" t="s">
        <v>1084</v>
      </c>
      <c r="G2968" s="283">
        <v>2</v>
      </c>
      <c r="H2968" s="283">
        <v>0</v>
      </c>
      <c r="I2968" s="283">
        <v>0</v>
      </c>
      <c r="J2968" s="284">
        <v>0</v>
      </c>
    </row>
    <row r="2969" spans="3:10" x14ac:dyDescent="0.25">
      <c r="C2969" s="300" t="s">
        <v>1064</v>
      </c>
      <c r="D2969" s="283" t="s">
        <v>1077</v>
      </c>
      <c r="E2969" s="283" t="s">
        <v>1089</v>
      </c>
      <c r="F2969" s="283" t="s">
        <v>1075</v>
      </c>
      <c r="G2969" s="283">
        <v>2</v>
      </c>
      <c r="H2969" s="283">
        <v>0</v>
      </c>
      <c r="I2969" s="283">
        <v>0</v>
      </c>
      <c r="J2969" s="284">
        <v>0</v>
      </c>
    </row>
    <row r="2970" spans="3:10" x14ac:dyDescent="0.25">
      <c r="C2970" s="300" t="s">
        <v>1061</v>
      </c>
      <c r="D2970" s="283" t="s">
        <v>1077</v>
      </c>
      <c r="E2970" s="283" t="s">
        <v>1076</v>
      </c>
      <c r="F2970" s="283" t="s">
        <v>1084</v>
      </c>
      <c r="G2970" s="283">
        <v>2</v>
      </c>
      <c r="H2970" s="283">
        <v>0</v>
      </c>
      <c r="I2970" s="283">
        <v>0</v>
      </c>
      <c r="J2970" s="284">
        <v>1</v>
      </c>
    </row>
    <row r="2971" spans="3:10" x14ac:dyDescent="0.25">
      <c r="C2971" s="300" t="s">
        <v>1064</v>
      </c>
      <c r="D2971" s="283" t="s">
        <v>1079</v>
      </c>
      <c r="E2971" s="283" t="s">
        <v>1075</v>
      </c>
      <c r="F2971" s="283" t="s">
        <v>1075</v>
      </c>
      <c r="G2971" s="283">
        <v>2</v>
      </c>
      <c r="H2971" s="283">
        <v>0</v>
      </c>
      <c r="I2971" s="283">
        <v>0</v>
      </c>
      <c r="J2971" s="284">
        <v>0</v>
      </c>
    </row>
    <row r="2972" spans="3:10" x14ac:dyDescent="0.25">
      <c r="C2972" s="300" t="s">
        <v>1067</v>
      </c>
      <c r="D2972" s="283" t="s">
        <v>1079</v>
      </c>
      <c r="E2972" s="283" t="s">
        <v>1076</v>
      </c>
      <c r="F2972" s="283" t="s">
        <v>1089</v>
      </c>
      <c r="G2972" s="283">
        <v>2</v>
      </c>
      <c r="H2972" s="283">
        <v>0</v>
      </c>
      <c r="I2972" s="283">
        <v>0</v>
      </c>
      <c r="J2972" s="284">
        <v>0</v>
      </c>
    </row>
    <row r="2973" spans="3:10" x14ac:dyDescent="0.25">
      <c r="C2973" s="300" t="s">
        <v>1061</v>
      </c>
      <c r="D2973" s="283" t="s">
        <v>1079</v>
      </c>
      <c r="E2973" s="283" t="s">
        <v>1089</v>
      </c>
      <c r="F2973" s="283" t="s">
        <v>1089</v>
      </c>
      <c r="G2973" s="283">
        <v>2</v>
      </c>
      <c r="H2973" s="283">
        <v>0</v>
      </c>
      <c r="I2973" s="283">
        <v>0</v>
      </c>
      <c r="J2973" s="284">
        <v>0</v>
      </c>
    </row>
    <row r="2974" spans="3:10" x14ac:dyDescent="0.25">
      <c r="C2974" s="300" t="s">
        <v>1068</v>
      </c>
      <c r="D2974" s="283" t="s">
        <v>1074</v>
      </c>
      <c r="E2974" s="283" t="s">
        <v>1075</v>
      </c>
      <c r="F2974" s="283" t="s">
        <v>1078</v>
      </c>
      <c r="G2974" s="283">
        <v>2</v>
      </c>
      <c r="H2974" s="283">
        <v>0</v>
      </c>
      <c r="I2974" s="283">
        <v>1</v>
      </c>
      <c r="J2974" s="284">
        <v>0</v>
      </c>
    </row>
    <row r="2975" spans="3:10" x14ac:dyDescent="0.25">
      <c r="C2975" s="300" t="s">
        <v>1066</v>
      </c>
      <c r="D2975" s="283" t="s">
        <v>1079</v>
      </c>
      <c r="E2975" s="283" t="s">
        <v>1075</v>
      </c>
      <c r="F2975" s="283" t="s">
        <v>1089</v>
      </c>
      <c r="G2975" s="283">
        <v>2</v>
      </c>
      <c r="H2975" s="283">
        <v>0</v>
      </c>
      <c r="I2975" s="283">
        <v>0</v>
      </c>
      <c r="J2975" s="284">
        <v>0</v>
      </c>
    </row>
    <row r="2976" spans="3:10" x14ac:dyDescent="0.25">
      <c r="C2976" s="300" t="s">
        <v>1059</v>
      </c>
      <c r="D2976" s="283" t="s">
        <v>1079</v>
      </c>
      <c r="E2976" s="283" t="s">
        <v>1075</v>
      </c>
      <c r="F2976" s="283" t="s">
        <v>1076</v>
      </c>
      <c r="G2976" s="283">
        <v>2</v>
      </c>
      <c r="H2976" s="283">
        <v>0</v>
      </c>
      <c r="I2976" s="283">
        <v>0</v>
      </c>
      <c r="J2976" s="284">
        <v>0</v>
      </c>
    </row>
    <row r="2977" spans="3:10" x14ac:dyDescent="0.25">
      <c r="C2977" s="300" t="s">
        <v>1065</v>
      </c>
      <c r="D2977" s="283" t="s">
        <v>1079</v>
      </c>
      <c r="E2977" s="283" t="s">
        <v>1076</v>
      </c>
      <c r="F2977" s="283" t="s">
        <v>1044</v>
      </c>
      <c r="G2977" s="283">
        <v>2</v>
      </c>
      <c r="H2977" s="283">
        <v>0</v>
      </c>
      <c r="I2977" s="283">
        <v>0</v>
      </c>
      <c r="J2977" s="284">
        <v>1</v>
      </c>
    </row>
    <row r="2978" spans="3:10" x14ac:dyDescent="0.25">
      <c r="C2978" s="300" t="s">
        <v>1060</v>
      </c>
      <c r="D2978" s="283" t="s">
        <v>1077</v>
      </c>
      <c r="E2978" s="283" t="s">
        <v>1075</v>
      </c>
      <c r="F2978" s="283" t="s">
        <v>1075</v>
      </c>
      <c r="G2978" s="283">
        <v>2</v>
      </c>
      <c r="H2978" s="283">
        <v>0</v>
      </c>
      <c r="I2978" s="283">
        <v>0</v>
      </c>
      <c r="J2978" s="284">
        <v>0</v>
      </c>
    </row>
    <row r="2979" spans="3:10" x14ac:dyDescent="0.25">
      <c r="C2979" s="300" t="s">
        <v>1066</v>
      </c>
      <c r="D2979" s="283" t="s">
        <v>1079</v>
      </c>
      <c r="E2979" s="283" t="s">
        <v>1084</v>
      </c>
      <c r="F2979" s="283" t="s">
        <v>1089</v>
      </c>
      <c r="G2979" s="283">
        <v>3</v>
      </c>
      <c r="H2979" s="283">
        <v>0</v>
      </c>
      <c r="I2979" s="283">
        <v>0</v>
      </c>
      <c r="J2979" s="284">
        <v>0</v>
      </c>
    </row>
    <row r="2980" spans="3:10" x14ac:dyDescent="0.25">
      <c r="C2980" s="300" t="s">
        <v>1061</v>
      </c>
      <c r="D2980" s="283" t="s">
        <v>1077</v>
      </c>
      <c r="E2980" s="283" t="s">
        <v>1084</v>
      </c>
      <c r="F2980" s="283" t="s">
        <v>1075</v>
      </c>
      <c r="G2980" s="283">
        <v>3</v>
      </c>
      <c r="H2980" s="283">
        <v>0</v>
      </c>
      <c r="I2980" s="283">
        <v>0</v>
      </c>
      <c r="J2980" s="284">
        <v>0</v>
      </c>
    </row>
    <row r="2981" spans="3:10" x14ac:dyDescent="0.25">
      <c r="C2981" s="300" t="s">
        <v>1060</v>
      </c>
      <c r="D2981" s="283" t="s">
        <v>1079</v>
      </c>
      <c r="E2981" s="283" t="s">
        <v>1075</v>
      </c>
      <c r="F2981" s="283" t="s">
        <v>1080</v>
      </c>
      <c r="G2981" s="283">
        <v>2</v>
      </c>
      <c r="H2981" s="283">
        <v>0</v>
      </c>
      <c r="I2981" s="283">
        <v>0</v>
      </c>
      <c r="J2981" s="284">
        <v>0</v>
      </c>
    </row>
    <row r="2982" spans="3:10" x14ac:dyDescent="0.25">
      <c r="C2982" s="300" t="s">
        <v>1065</v>
      </c>
      <c r="D2982" s="283" t="s">
        <v>1077</v>
      </c>
      <c r="E2982" s="283" t="s">
        <v>1075</v>
      </c>
      <c r="F2982" s="283" t="s">
        <v>1075</v>
      </c>
      <c r="G2982" s="283">
        <v>2</v>
      </c>
      <c r="H2982" s="283">
        <v>0</v>
      </c>
      <c r="I2982" s="283">
        <v>0</v>
      </c>
      <c r="J2982" s="284">
        <v>0</v>
      </c>
    </row>
    <row r="2983" spans="3:10" x14ac:dyDescent="0.25">
      <c r="C2983" s="300" t="s">
        <v>1066</v>
      </c>
      <c r="D2983" s="283" t="s">
        <v>1074</v>
      </c>
      <c r="E2983" s="283" t="s">
        <v>1075</v>
      </c>
      <c r="F2983" s="283" t="s">
        <v>1089</v>
      </c>
      <c r="G2983" s="283">
        <v>2</v>
      </c>
      <c r="H2983" s="283">
        <v>0</v>
      </c>
      <c r="I2983" s="283">
        <v>1</v>
      </c>
      <c r="J2983" s="284">
        <v>0</v>
      </c>
    </row>
    <row r="2984" spans="3:10" x14ac:dyDescent="0.25">
      <c r="C2984" s="300" t="s">
        <v>1060</v>
      </c>
      <c r="D2984" s="283" t="s">
        <v>1087</v>
      </c>
      <c r="E2984" s="283" t="s">
        <v>1078</v>
      </c>
      <c r="F2984" s="283" t="s">
        <v>524</v>
      </c>
      <c r="G2984" s="283">
        <v>1</v>
      </c>
      <c r="H2984" s="283">
        <v>0</v>
      </c>
      <c r="I2984" s="283">
        <v>1</v>
      </c>
      <c r="J2984" s="284">
        <v>0</v>
      </c>
    </row>
    <row r="2985" spans="3:10" x14ac:dyDescent="0.25">
      <c r="C2985" s="300" t="s">
        <v>1059</v>
      </c>
      <c r="D2985" s="283" t="s">
        <v>1077</v>
      </c>
      <c r="E2985" s="283" t="s">
        <v>1089</v>
      </c>
      <c r="F2985" s="283" t="s">
        <v>1084</v>
      </c>
      <c r="G2985" s="283">
        <v>4</v>
      </c>
      <c r="H2985" s="283">
        <v>0</v>
      </c>
      <c r="I2985" s="283">
        <v>1</v>
      </c>
      <c r="J2985" s="284">
        <v>1</v>
      </c>
    </row>
    <row r="2986" spans="3:10" x14ac:dyDescent="0.25">
      <c r="C2986" s="300" t="s">
        <v>1066</v>
      </c>
      <c r="D2986" s="283" t="s">
        <v>1043</v>
      </c>
      <c r="E2986" s="283" t="s">
        <v>1076</v>
      </c>
      <c r="F2986" s="283" t="s">
        <v>1092</v>
      </c>
      <c r="G2986" s="283">
        <v>2</v>
      </c>
      <c r="H2986" s="283">
        <v>0</v>
      </c>
      <c r="I2986" s="283">
        <v>0</v>
      </c>
      <c r="J2986" s="284">
        <v>1</v>
      </c>
    </row>
    <row r="2987" spans="3:10" x14ac:dyDescent="0.25">
      <c r="C2987" s="300" t="s">
        <v>1066</v>
      </c>
      <c r="D2987" s="283" t="s">
        <v>1074</v>
      </c>
      <c r="E2987" s="283" t="s">
        <v>1075</v>
      </c>
      <c r="F2987" s="283" t="s">
        <v>1075</v>
      </c>
      <c r="G2987" s="283">
        <v>2</v>
      </c>
      <c r="H2987" s="283">
        <v>0</v>
      </c>
      <c r="I2987" s="283">
        <v>0</v>
      </c>
      <c r="J2987" s="284">
        <v>1</v>
      </c>
    </row>
    <row r="2988" spans="3:10" x14ac:dyDescent="0.25">
      <c r="C2988" s="300" t="s">
        <v>1064</v>
      </c>
      <c r="D2988" s="283" t="s">
        <v>1043</v>
      </c>
      <c r="E2988" s="283" t="s">
        <v>1086</v>
      </c>
      <c r="F2988" s="283" t="s">
        <v>1092</v>
      </c>
      <c r="G2988" s="283">
        <v>2</v>
      </c>
      <c r="H2988" s="283">
        <v>0</v>
      </c>
      <c r="I2988" s="283">
        <v>0</v>
      </c>
      <c r="J2988" s="284">
        <v>1</v>
      </c>
    </row>
    <row r="2989" spans="3:10" x14ac:dyDescent="0.25">
      <c r="C2989" s="300" t="s">
        <v>1065</v>
      </c>
      <c r="D2989" s="283" t="s">
        <v>1087</v>
      </c>
      <c r="E2989" s="283" t="s">
        <v>1083</v>
      </c>
      <c r="F2989" s="283" t="s">
        <v>524</v>
      </c>
      <c r="G2989" s="283">
        <v>1</v>
      </c>
      <c r="H2989" s="283">
        <v>0</v>
      </c>
      <c r="I2989" s="283">
        <v>0</v>
      </c>
      <c r="J2989" s="284">
        <v>1</v>
      </c>
    </row>
    <row r="2990" spans="3:10" x14ac:dyDescent="0.25">
      <c r="C2990" s="300" t="s">
        <v>1063</v>
      </c>
      <c r="D2990" s="283" t="s">
        <v>1074</v>
      </c>
      <c r="E2990" s="283" t="s">
        <v>1078</v>
      </c>
      <c r="F2990" s="283" t="s">
        <v>1076</v>
      </c>
      <c r="G2990" s="283">
        <v>2</v>
      </c>
      <c r="H2990" s="283">
        <v>0</v>
      </c>
      <c r="I2990" s="283">
        <v>0</v>
      </c>
      <c r="J2990" s="284">
        <v>0</v>
      </c>
    </row>
    <row r="2991" spans="3:10" x14ac:dyDescent="0.25">
      <c r="C2991" s="300" t="s">
        <v>1062</v>
      </c>
      <c r="D2991" s="283" t="s">
        <v>1077</v>
      </c>
      <c r="E2991" s="283" t="s">
        <v>1075</v>
      </c>
      <c r="F2991" s="283" t="s">
        <v>1089</v>
      </c>
      <c r="G2991" s="283">
        <v>3</v>
      </c>
      <c r="H2991" s="283">
        <v>0</v>
      </c>
      <c r="I2991" s="283">
        <v>0</v>
      </c>
      <c r="J2991" s="284">
        <v>1</v>
      </c>
    </row>
    <row r="2992" spans="3:10" x14ac:dyDescent="0.25">
      <c r="C2992" s="300" t="s">
        <v>1062</v>
      </c>
      <c r="D2992" s="283" t="s">
        <v>1090</v>
      </c>
      <c r="E2992" s="283" t="s">
        <v>1093</v>
      </c>
      <c r="F2992" s="283" t="s">
        <v>524</v>
      </c>
      <c r="G2992" s="283">
        <v>1</v>
      </c>
      <c r="H2992" s="283">
        <v>0</v>
      </c>
      <c r="I2992" s="283">
        <v>1</v>
      </c>
      <c r="J2992" s="284">
        <v>0</v>
      </c>
    </row>
    <row r="2993" spans="3:10" x14ac:dyDescent="0.25">
      <c r="C2993" s="300" t="s">
        <v>1067</v>
      </c>
      <c r="D2993" s="283" t="s">
        <v>1079</v>
      </c>
      <c r="E2993" s="283" t="s">
        <v>1093</v>
      </c>
      <c r="F2993" s="283" t="s">
        <v>1075</v>
      </c>
      <c r="G2993" s="283">
        <v>2</v>
      </c>
      <c r="H2993" s="283">
        <v>0</v>
      </c>
      <c r="I2993" s="283">
        <v>1</v>
      </c>
      <c r="J2993" s="284">
        <v>0</v>
      </c>
    </row>
    <row r="2994" spans="3:10" x14ac:dyDescent="0.25">
      <c r="C2994" s="300" t="s">
        <v>1061</v>
      </c>
      <c r="D2994" s="283" t="s">
        <v>1074</v>
      </c>
      <c r="E2994" s="283" t="s">
        <v>1076</v>
      </c>
      <c r="F2994" s="283" t="s">
        <v>1075</v>
      </c>
      <c r="G2994" s="283">
        <v>2</v>
      </c>
      <c r="H2994" s="283">
        <v>0</v>
      </c>
      <c r="I2994" s="283">
        <v>1</v>
      </c>
      <c r="J2994" s="284">
        <v>0</v>
      </c>
    </row>
    <row r="2995" spans="3:10" x14ac:dyDescent="0.25">
      <c r="C2995" s="300" t="s">
        <v>1063</v>
      </c>
      <c r="D2995" s="283" t="s">
        <v>1079</v>
      </c>
      <c r="E2995" s="283" t="s">
        <v>1091</v>
      </c>
      <c r="F2995" s="283" t="s">
        <v>1075</v>
      </c>
      <c r="G2995" s="283">
        <v>2</v>
      </c>
      <c r="H2995" s="283">
        <v>0</v>
      </c>
      <c r="I2995" s="283">
        <v>0</v>
      </c>
      <c r="J2995" s="284">
        <v>0</v>
      </c>
    </row>
    <row r="2996" spans="3:10" x14ac:dyDescent="0.25">
      <c r="C2996" s="300" t="s">
        <v>1066</v>
      </c>
      <c r="D2996" s="283" t="s">
        <v>1079</v>
      </c>
      <c r="E2996" s="283" t="s">
        <v>1075</v>
      </c>
      <c r="F2996" s="283" t="s">
        <v>1076</v>
      </c>
      <c r="G2996" s="283">
        <v>2</v>
      </c>
      <c r="H2996" s="283">
        <v>0</v>
      </c>
      <c r="I2996" s="283">
        <v>0</v>
      </c>
      <c r="J2996" s="284">
        <v>0</v>
      </c>
    </row>
    <row r="2997" spans="3:10" x14ac:dyDescent="0.25">
      <c r="C2997" s="300" t="s">
        <v>1063</v>
      </c>
      <c r="D2997" s="283" t="s">
        <v>1079</v>
      </c>
      <c r="E2997" s="283" t="s">
        <v>1075</v>
      </c>
      <c r="F2997" s="283" t="s">
        <v>1078</v>
      </c>
      <c r="G2997" s="283">
        <v>4</v>
      </c>
      <c r="H2997" s="283">
        <v>0</v>
      </c>
      <c r="I2997" s="283">
        <v>0</v>
      </c>
      <c r="J2997" s="284">
        <v>0</v>
      </c>
    </row>
    <row r="2998" spans="3:10" x14ac:dyDescent="0.25">
      <c r="C2998" s="300" t="s">
        <v>1065</v>
      </c>
      <c r="D2998" s="283" t="s">
        <v>1079</v>
      </c>
      <c r="E2998" s="283" t="s">
        <v>1089</v>
      </c>
      <c r="F2998" s="283" t="s">
        <v>1086</v>
      </c>
      <c r="G2998" s="283">
        <v>2</v>
      </c>
      <c r="H2998" s="283">
        <v>0</v>
      </c>
      <c r="I2998" s="283">
        <v>0</v>
      </c>
      <c r="J2998" s="284">
        <v>0</v>
      </c>
    </row>
    <row r="2999" spans="3:10" x14ac:dyDescent="0.25">
      <c r="C2999" s="300" t="s">
        <v>1068</v>
      </c>
      <c r="D2999" s="283" t="s">
        <v>1087</v>
      </c>
      <c r="E2999" s="283" t="s">
        <v>1075</v>
      </c>
      <c r="F2999" s="283" t="s">
        <v>524</v>
      </c>
      <c r="G2999" s="283">
        <v>1</v>
      </c>
      <c r="H2999" s="283">
        <v>0</v>
      </c>
      <c r="I2999" s="283">
        <v>0</v>
      </c>
      <c r="J2999" s="284">
        <v>0</v>
      </c>
    </row>
    <row r="3000" spans="3:10" x14ac:dyDescent="0.25">
      <c r="C3000" s="300" t="s">
        <v>1068</v>
      </c>
      <c r="D3000" s="283" t="s">
        <v>1077</v>
      </c>
      <c r="E3000" s="283" t="s">
        <v>1089</v>
      </c>
      <c r="F3000" s="283" t="s">
        <v>1075</v>
      </c>
      <c r="G3000" s="283">
        <v>2</v>
      </c>
      <c r="H3000" s="283">
        <v>0</v>
      </c>
      <c r="I3000" s="283">
        <v>0</v>
      </c>
      <c r="J3000" s="284">
        <v>0</v>
      </c>
    </row>
    <row r="3001" spans="3:10" x14ac:dyDescent="0.25">
      <c r="C3001" s="300" t="s">
        <v>1068</v>
      </c>
      <c r="D3001" s="283" t="s">
        <v>1087</v>
      </c>
      <c r="E3001" s="283" t="s">
        <v>1081</v>
      </c>
      <c r="F3001" s="283" t="s">
        <v>524</v>
      </c>
      <c r="G3001" s="283">
        <v>1</v>
      </c>
      <c r="H3001" s="283">
        <v>0</v>
      </c>
      <c r="I3001" s="283">
        <v>0</v>
      </c>
      <c r="J3001" s="284">
        <v>0</v>
      </c>
    </row>
    <row r="3002" spans="3:10" x14ac:dyDescent="0.25">
      <c r="C3002" s="300" t="s">
        <v>1063</v>
      </c>
      <c r="D3002" s="283" t="s">
        <v>1079</v>
      </c>
      <c r="E3002" s="283" t="s">
        <v>1044</v>
      </c>
      <c r="F3002" s="283" t="s">
        <v>1075</v>
      </c>
      <c r="G3002" s="283">
        <v>2</v>
      </c>
      <c r="H3002" s="283">
        <v>0</v>
      </c>
      <c r="I3002" s="283">
        <v>1</v>
      </c>
      <c r="J3002" s="284">
        <v>0</v>
      </c>
    </row>
    <row r="3003" spans="3:10" x14ac:dyDescent="0.25">
      <c r="C3003" s="300" t="s">
        <v>1063</v>
      </c>
      <c r="D3003" s="283" t="s">
        <v>1082</v>
      </c>
      <c r="E3003" s="283" t="s">
        <v>1076</v>
      </c>
      <c r="F3003" s="283" t="s">
        <v>1084</v>
      </c>
      <c r="G3003" s="283">
        <v>2</v>
      </c>
      <c r="H3003" s="283">
        <v>0</v>
      </c>
      <c r="I3003" s="283">
        <v>0</v>
      </c>
      <c r="J3003" s="284">
        <v>0</v>
      </c>
    </row>
    <row r="3004" spans="3:10" x14ac:dyDescent="0.25">
      <c r="C3004" s="300" t="s">
        <v>1061</v>
      </c>
      <c r="D3004" s="283" t="s">
        <v>1074</v>
      </c>
      <c r="E3004" s="283" t="s">
        <v>1078</v>
      </c>
      <c r="F3004" s="283" t="s">
        <v>1075</v>
      </c>
      <c r="G3004" s="283">
        <v>2</v>
      </c>
      <c r="H3004" s="283">
        <v>0</v>
      </c>
      <c r="I3004" s="283">
        <v>1</v>
      </c>
      <c r="J3004" s="284">
        <v>0</v>
      </c>
    </row>
    <row r="3005" spans="3:10" x14ac:dyDescent="0.25">
      <c r="C3005" s="300" t="s">
        <v>1065</v>
      </c>
      <c r="D3005" s="283" t="s">
        <v>1077</v>
      </c>
      <c r="E3005" s="283" t="s">
        <v>1075</v>
      </c>
      <c r="F3005" s="283" t="s">
        <v>1089</v>
      </c>
      <c r="G3005" s="283">
        <v>2</v>
      </c>
      <c r="H3005" s="283">
        <v>0</v>
      </c>
      <c r="I3005" s="283">
        <v>0</v>
      </c>
      <c r="J3005" s="284">
        <v>1</v>
      </c>
    </row>
    <row r="3006" spans="3:10" x14ac:dyDescent="0.25">
      <c r="C3006" s="300" t="s">
        <v>1066</v>
      </c>
      <c r="D3006" s="283" t="s">
        <v>1087</v>
      </c>
      <c r="E3006" s="283" t="s">
        <v>1075</v>
      </c>
      <c r="F3006" s="283" t="s">
        <v>524</v>
      </c>
      <c r="G3006" s="283">
        <v>1</v>
      </c>
      <c r="H3006" s="283">
        <v>0</v>
      </c>
      <c r="I3006" s="283">
        <v>1</v>
      </c>
      <c r="J3006" s="284">
        <v>0</v>
      </c>
    </row>
    <row r="3007" spans="3:10" x14ac:dyDescent="0.25">
      <c r="C3007" s="300" t="s">
        <v>1061</v>
      </c>
      <c r="D3007" s="283" t="s">
        <v>1087</v>
      </c>
      <c r="E3007" s="283" t="s">
        <v>1089</v>
      </c>
      <c r="F3007" s="283" t="s">
        <v>524</v>
      </c>
      <c r="G3007" s="283">
        <v>1</v>
      </c>
      <c r="H3007" s="283">
        <v>0</v>
      </c>
      <c r="I3007" s="283">
        <v>0</v>
      </c>
      <c r="J3007" s="284">
        <v>0</v>
      </c>
    </row>
    <row r="3008" spans="3:10" x14ac:dyDescent="0.25">
      <c r="C3008" s="300" t="s">
        <v>1066</v>
      </c>
      <c r="D3008" s="283" t="s">
        <v>1087</v>
      </c>
      <c r="E3008" s="283" t="s">
        <v>1075</v>
      </c>
      <c r="F3008" s="283" t="s">
        <v>524</v>
      </c>
      <c r="G3008" s="283">
        <v>1</v>
      </c>
      <c r="H3008" s="283">
        <v>0</v>
      </c>
      <c r="I3008" s="283">
        <v>1</v>
      </c>
      <c r="J3008" s="284">
        <v>0</v>
      </c>
    </row>
    <row r="3009" spans="3:10" x14ac:dyDescent="0.25">
      <c r="C3009" s="300" t="s">
        <v>1061</v>
      </c>
      <c r="D3009" s="283" t="s">
        <v>1074</v>
      </c>
      <c r="E3009" s="283" t="s">
        <v>1075</v>
      </c>
      <c r="F3009" s="283" t="s">
        <v>1089</v>
      </c>
      <c r="G3009" s="283">
        <v>2</v>
      </c>
      <c r="H3009" s="283">
        <v>0</v>
      </c>
      <c r="I3009" s="283">
        <v>0</v>
      </c>
      <c r="J3009" s="284">
        <v>1</v>
      </c>
    </row>
    <row r="3010" spans="3:10" x14ac:dyDescent="0.25">
      <c r="C3010" s="300" t="s">
        <v>1058</v>
      </c>
      <c r="D3010" s="283" t="s">
        <v>1079</v>
      </c>
      <c r="E3010" s="283" t="s">
        <v>1075</v>
      </c>
      <c r="F3010" s="283" t="s">
        <v>1109</v>
      </c>
      <c r="G3010" s="283">
        <v>2</v>
      </c>
      <c r="H3010" s="283">
        <v>0</v>
      </c>
      <c r="I3010" s="283">
        <v>0</v>
      </c>
      <c r="J3010" s="284">
        <v>1</v>
      </c>
    </row>
    <row r="3011" spans="3:10" x14ac:dyDescent="0.25">
      <c r="C3011" s="300" t="s">
        <v>1060</v>
      </c>
      <c r="D3011" s="283" t="s">
        <v>1087</v>
      </c>
      <c r="E3011" s="283" t="s">
        <v>1075</v>
      </c>
      <c r="F3011" s="283" t="s">
        <v>524</v>
      </c>
      <c r="G3011" s="283">
        <v>1</v>
      </c>
      <c r="H3011" s="283">
        <v>0</v>
      </c>
      <c r="I3011" s="283">
        <v>1</v>
      </c>
      <c r="J3011" s="284">
        <v>2</v>
      </c>
    </row>
    <row r="3012" spans="3:10" x14ac:dyDescent="0.25">
      <c r="C3012" s="300" t="s">
        <v>1059</v>
      </c>
      <c r="D3012" s="283" t="s">
        <v>1082</v>
      </c>
      <c r="E3012" s="283" t="s">
        <v>1075</v>
      </c>
      <c r="F3012" s="283" t="s">
        <v>1078</v>
      </c>
      <c r="G3012" s="283">
        <v>2</v>
      </c>
      <c r="H3012" s="283">
        <v>0</v>
      </c>
      <c r="I3012" s="283">
        <v>0</v>
      </c>
      <c r="J3012" s="284">
        <v>0</v>
      </c>
    </row>
    <row r="3013" spans="3:10" x14ac:dyDescent="0.25">
      <c r="C3013" s="300" t="s">
        <v>1068</v>
      </c>
      <c r="D3013" s="283" t="s">
        <v>1087</v>
      </c>
      <c r="E3013" s="283" t="s">
        <v>1075</v>
      </c>
      <c r="F3013" s="283" t="s">
        <v>524</v>
      </c>
      <c r="G3013" s="283">
        <v>1</v>
      </c>
      <c r="H3013" s="283">
        <v>0</v>
      </c>
      <c r="I3013" s="283">
        <v>0</v>
      </c>
      <c r="J3013" s="284">
        <v>2</v>
      </c>
    </row>
    <row r="3014" spans="3:10" x14ac:dyDescent="0.25">
      <c r="C3014" s="300" t="s">
        <v>1061</v>
      </c>
      <c r="D3014" s="283" t="s">
        <v>1087</v>
      </c>
      <c r="E3014" s="283" t="s">
        <v>1089</v>
      </c>
      <c r="F3014" s="283" t="s">
        <v>524</v>
      </c>
      <c r="G3014" s="283">
        <v>1</v>
      </c>
      <c r="H3014" s="283">
        <v>0</v>
      </c>
      <c r="I3014" s="283">
        <v>1</v>
      </c>
      <c r="J3014" s="284">
        <v>0</v>
      </c>
    </row>
    <row r="3015" spans="3:10" x14ac:dyDescent="0.25">
      <c r="C3015" s="300" t="s">
        <v>1057</v>
      </c>
      <c r="D3015" s="283" t="s">
        <v>1087</v>
      </c>
      <c r="E3015" s="283" t="s">
        <v>1075</v>
      </c>
      <c r="F3015" s="283" t="s">
        <v>524</v>
      </c>
      <c r="G3015" s="283">
        <v>1</v>
      </c>
      <c r="H3015" s="283">
        <v>0</v>
      </c>
      <c r="I3015" s="283">
        <v>1</v>
      </c>
      <c r="J3015" s="284">
        <v>0</v>
      </c>
    </row>
    <row r="3016" spans="3:10" x14ac:dyDescent="0.25">
      <c r="C3016" s="300" t="s">
        <v>1061</v>
      </c>
      <c r="D3016" s="283" t="s">
        <v>1087</v>
      </c>
      <c r="E3016" s="283" t="s">
        <v>1075</v>
      </c>
      <c r="F3016" s="283" t="s">
        <v>524</v>
      </c>
      <c r="G3016" s="283">
        <v>1</v>
      </c>
      <c r="H3016" s="283">
        <v>0</v>
      </c>
      <c r="I3016" s="283">
        <v>0</v>
      </c>
      <c r="J3016" s="284">
        <v>0</v>
      </c>
    </row>
    <row r="3017" spans="3:10" x14ac:dyDescent="0.25">
      <c r="C3017" s="300" t="s">
        <v>1060</v>
      </c>
      <c r="D3017" s="283" t="s">
        <v>1087</v>
      </c>
      <c r="E3017" s="283" t="s">
        <v>1075</v>
      </c>
      <c r="F3017" s="283" t="s">
        <v>524</v>
      </c>
      <c r="G3017" s="283">
        <v>4</v>
      </c>
      <c r="H3017" s="283">
        <v>0</v>
      </c>
      <c r="I3017" s="283">
        <v>0</v>
      </c>
      <c r="J3017" s="284">
        <v>0</v>
      </c>
    </row>
    <row r="3018" spans="3:10" x14ac:dyDescent="0.25">
      <c r="C3018" s="300" t="s">
        <v>1066</v>
      </c>
      <c r="D3018" s="283" t="s">
        <v>1077</v>
      </c>
      <c r="E3018" s="283" t="s">
        <v>1075</v>
      </c>
      <c r="F3018" s="283" t="s">
        <v>1075</v>
      </c>
      <c r="G3018" s="283">
        <v>2</v>
      </c>
      <c r="H3018" s="283">
        <v>0</v>
      </c>
      <c r="I3018" s="283">
        <v>1</v>
      </c>
      <c r="J3018" s="284">
        <v>0</v>
      </c>
    </row>
    <row r="3019" spans="3:10" x14ac:dyDescent="0.25">
      <c r="C3019" s="300" t="s">
        <v>1065</v>
      </c>
      <c r="D3019" s="283" t="s">
        <v>1079</v>
      </c>
      <c r="E3019" s="283" t="s">
        <v>1075</v>
      </c>
      <c r="F3019" s="283" t="s">
        <v>1075</v>
      </c>
      <c r="G3019" s="283">
        <v>2</v>
      </c>
      <c r="H3019" s="283">
        <v>0</v>
      </c>
      <c r="I3019" s="283">
        <v>0</v>
      </c>
      <c r="J3019" s="284">
        <v>1</v>
      </c>
    </row>
    <row r="3020" spans="3:10" x14ac:dyDescent="0.25">
      <c r="C3020" s="300" t="s">
        <v>1065</v>
      </c>
      <c r="D3020" s="283" t="s">
        <v>1077</v>
      </c>
      <c r="E3020" s="283" t="s">
        <v>1075</v>
      </c>
      <c r="F3020" s="283" t="s">
        <v>1075</v>
      </c>
      <c r="G3020" s="283">
        <v>2</v>
      </c>
      <c r="H3020" s="283">
        <v>0</v>
      </c>
      <c r="I3020" s="283">
        <v>0</v>
      </c>
      <c r="J3020" s="284">
        <v>0</v>
      </c>
    </row>
    <row r="3021" spans="3:10" x14ac:dyDescent="0.25">
      <c r="C3021" s="300" t="s">
        <v>1068</v>
      </c>
      <c r="D3021" s="283" t="s">
        <v>1087</v>
      </c>
      <c r="E3021" s="283" t="s">
        <v>1076</v>
      </c>
      <c r="F3021" s="283" t="s">
        <v>524</v>
      </c>
      <c r="G3021" s="283">
        <v>1</v>
      </c>
      <c r="H3021" s="283">
        <v>0</v>
      </c>
      <c r="I3021" s="283">
        <v>0</v>
      </c>
      <c r="J3021" s="284">
        <v>1</v>
      </c>
    </row>
    <row r="3022" spans="3:10" x14ac:dyDescent="0.25">
      <c r="C3022" s="300" t="s">
        <v>1067</v>
      </c>
      <c r="D3022" s="283" t="s">
        <v>1077</v>
      </c>
      <c r="E3022" s="283" t="s">
        <v>1089</v>
      </c>
      <c r="F3022" s="283" t="s">
        <v>1084</v>
      </c>
      <c r="G3022" s="283">
        <v>2</v>
      </c>
      <c r="H3022" s="283">
        <v>0</v>
      </c>
      <c r="I3022" s="283">
        <v>0</v>
      </c>
      <c r="J3022" s="284">
        <v>0</v>
      </c>
    </row>
    <row r="3023" spans="3:10" x14ac:dyDescent="0.25">
      <c r="C3023" s="300" t="s">
        <v>1064</v>
      </c>
      <c r="D3023" s="283" t="s">
        <v>1043</v>
      </c>
      <c r="E3023" s="283" t="s">
        <v>1075</v>
      </c>
      <c r="F3023" s="283" t="s">
        <v>1092</v>
      </c>
      <c r="G3023" s="283">
        <v>2</v>
      </c>
      <c r="H3023" s="283">
        <v>0</v>
      </c>
      <c r="I3023" s="283">
        <v>0</v>
      </c>
      <c r="J3023" s="284">
        <v>1</v>
      </c>
    </row>
    <row r="3024" spans="3:10" x14ac:dyDescent="0.25">
      <c r="C3024" s="300" t="s">
        <v>1059</v>
      </c>
      <c r="D3024" s="283" t="s">
        <v>1087</v>
      </c>
      <c r="E3024" s="283" t="s">
        <v>1089</v>
      </c>
      <c r="F3024" s="283" t="s">
        <v>524</v>
      </c>
      <c r="G3024" s="283">
        <v>1</v>
      </c>
      <c r="H3024" s="283">
        <v>0</v>
      </c>
      <c r="I3024" s="283">
        <v>0</v>
      </c>
      <c r="J3024" s="284">
        <v>1</v>
      </c>
    </row>
    <row r="3025" spans="3:10" x14ac:dyDescent="0.25">
      <c r="C3025" s="300" t="s">
        <v>1066</v>
      </c>
      <c r="D3025" s="283" t="s">
        <v>1087</v>
      </c>
      <c r="E3025" s="283" t="s">
        <v>1076</v>
      </c>
      <c r="F3025" s="283" t="s">
        <v>524</v>
      </c>
      <c r="G3025" s="283">
        <v>1</v>
      </c>
      <c r="H3025" s="283">
        <v>0</v>
      </c>
      <c r="I3025" s="283">
        <v>0</v>
      </c>
      <c r="J3025" s="284">
        <v>0</v>
      </c>
    </row>
    <row r="3026" spans="3:10" x14ac:dyDescent="0.25">
      <c r="C3026" s="300" t="s">
        <v>1065</v>
      </c>
      <c r="D3026" s="283" t="s">
        <v>1043</v>
      </c>
      <c r="E3026" s="283" t="s">
        <v>1075</v>
      </c>
      <c r="F3026" s="283" t="s">
        <v>1092</v>
      </c>
      <c r="G3026" s="283">
        <v>3</v>
      </c>
      <c r="H3026" s="283">
        <v>0</v>
      </c>
      <c r="I3026" s="283">
        <v>0</v>
      </c>
      <c r="J3026" s="284">
        <v>0</v>
      </c>
    </row>
    <row r="3027" spans="3:10" x14ac:dyDescent="0.25">
      <c r="C3027" s="300" t="s">
        <v>1057</v>
      </c>
      <c r="D3027" s="283" t="s">
        <v>1087</v>
      </c>
      <c r="E3027" s="283" t="s">
        <v>1089</v>
      </c>
      <c r="F3027" s="283" t="s">
        <v>524</v>
      </c>
      <c r="G3027" s="283">
        <v>1</v>
      </c>
      <c r="H3027" s="283">
        <v>0</v>
      </c>
      <c r="I3027" s="283">
        <v>0</v>
      </c>
      <c r="J3027" s="284">
        <v>1</v>
      </c>
    </row>
    <row r="3028" spans="3:10" x14ac:dyDescent="0.25">
      <c r="C3028" s="300" t="s">
        <v>1062</v>
      </c>
      <c r="D3028" s="283" t="s">
        <v>1043</v>
      </c>
      <c r="E3028" s="283" t="s">
        <v>1075</v>
      </c>
      <c r="F3028" s="283" t="s">
        <v>1092</v>
      </c>
      <c r="G3028" s="283">
        <v>2</v>
      </c>
      <c r="H3028" s="283">
        <v>0</v>
      </c>
      <c r="I3028" s="283">
        <v>0</v>
      </c>
      <c r="J3028" s="284">
        <v>1</v>
      </c>
    </row>
    <row r="3029" spans="3:10" x14ac:dyDescent="0.25">
      <c r="C3029" s="300" t="s">
        <v>1068</v>
      </c>
      <c r="D3029" s="283" t="s">
        <v>1079</v>
      </c>
      <c r="E3029" s="283" t="s">
        <v>1075</v>
      </c>
      <c r="F3029" s="283" t="s">
        <v>1075</v>
      </c>
      <c r="G3029" s="283">
        <v>2</v>
      </c>
      <c r="H3029" s="283">
        <v>0</v>
      </c>
      <c r="I3029" s="283">
        <v>0</v>
      </c>
      <c r="J3029" s="284">
        <v>0</v>
      </c>
    </row>
    <row r="3030" spans="3:10" x14ac:dyDescent="0.25">
      <c r="C3030" s="300" t="s">
        <v>1066</v>
      </c>
      <c r="D3030" s="283" t="s">
        <v>1079</v>
      </c>
      <c r="E3030" s="283" t="s">
        <v>1075</v>
      </c>
      <c r="F3030" s="283" t="s">
        <v>1075</v>
      </c>
      <c r="G3030" s="283">
        <v>2</v>
      </c>
      <c r="H3030" s="283">
        <v>0</v>
      </c>
      <c r="I3030" s="283">
        <v>0</v>
      </c>
      <c r="J3030" s="284">
        <v>1</v>
      </c>
    </row>
    <row r="3031" spans="3:10" x14ac:dyDescent="0.25">
      <c r="C3031" s="300" t="s">
        <v>1064</v>
      </c>
      <c r="D3031" s="283" t="s">
        <v>1079</v>
      </c>
      <c r="E3031" s="283" t="s">
        <v>1075</v>
      </c>
      <c r="F3031" s="283" t="s">
        <v>1075</v>
      </c>
      <c r="G3031" s="283">
        <v>2</v>
      </c>
      <c r="H3031" s="283">
        <v>0</v>
      </c>
      <c r="I3031" s="283">
        <v>1</v>
      </c>
      <c r="J3031" s="284">
        <v>2</v>
      </c>
    </row>
    <row r="3032" spans="3:10" x14ac:dyDescent="0.25">
      <c r="C3032" s="300" t="s">
        <v>1060</v>
      </c>
      <c r="D3032" s="283" t="s">
        <v>1087</v>
      </c>
      <c r="E3032" s="283" t="s">
        <v>1094</v>
      </c>
      <c r="F3032" s="283" t="s">
        <v>524</v>
      </c>
      <c r="G3032" s="283">
        <v>1</v>
      </c>
      <c r="H3032" s="283">
        <v>0</v>
      </c>
      <c r="I3032" s="283">
        <v>0</v>
      </c>
      <c r="J3032" s="284">
        <v>0</v>
      </c>
    </row>
    <row r="3033" spans="3:10" x14ac:dyDescent="0.25">
      <c r="C3033" s="300" t="s">
        <v>1061</v>
      </c>
      <c r="D3033" s="283" t="s">
        <v>1079</v>
      </c>
      <c r="E3033" s="283" t="s">
        <v>1075</v>
      </c>
      <c r="F3033" s="283" t="s">
        <v>1044</v>
      </c>
      <c r="G3033" s="283">
        <v>2</v>
      </c>
      <c r="H3033" s="283">
        <v>0</v>
      </c>
      <c r="I3033" s="283">
        <v>1</v>
      </c>
      <c r="J3033" s="284">
        <v>0</v>
      </c>
    </row>
    <row r="3034" spans="3:10" x14ac:dyDescent="0.25">
      <c r="C3034" s="300" t="s">
        <v>1064</v>
      </c>
      <c r="D3034" s="283" t="s">
        <v>1074</v>
      </c>
      <c r="E3034" s="283" t="s">
        <v>1075</v>
      </c>
      <c r="F3034" s="283" t="s">
        <v>1076</v>
      </c>
      <c r="G3034" s="283">
        <v>2</v>
      </c>
      <c r="H3034" s="283">
        <v>0</v>
      </c>
      <c r="I3034" s="283">
        <v>0</v>
      </c>
      <c r="J3034" s="284">
        <v>0</v>
      </c>
    </row>
    <row r="3035" spans="3:10" x14ac:dyDescent="0.25">
      <c r="C3035" s="300" t="s">
        <v>1063</v>
      </c>
      <c r="D3035" s="283" t="s">
        <v>1087</v>
      </c>
      <c r="E3035" s="283" t="s">
        <v>1075</v>
      </c>
      <c r="F3035" s="283" t="s">
        <v>524</v>
      </c>
      <c r="G3035" s="283">
        <v>1</v>
      </c>
      <c r="H3035" s="283">
        <v>0</v>
      </c>
      <c r="I3035" s="283">
        <v>0</v>
      </c>
      <c r="J3035" s="284">
        <v>0</v>
      </c>
    </row>
    <row r="3036" spans="3:10" x14ac:dyDescent="0.25">
      <c r="C3036" s="300" t="s">
        <v>1067</v>
      </c>
      <c r="D3036" s="283" t="s">
        <v>1087</v>
      </c>
      <c r="E3036" s="283" t="s">
        <v>1098</v>
      </c>
      <c r="F3036" s="283" t="s">
        <v>524</v>
      </c>
      <c r="G3036" s="283">
        <v>1</v>
      </c>
      <c r="H3036" s="283">
        <v>0</v>
      </c>
      <c r="I3036" s="283">
        <v>0</v>
      </c>
      <c r="J3036" s="284">
        <v>1</v>
      </c>
    </row>
    <row r="3037" spans="3:10" x14ac:dyDescent="0.25">
      <c r="C3037" s="300" t="s">
        <v>1064</v>
      </c>
      <c r="D3037" s="283" t="s">
        <v>1077</v>
      </c>
      <c r="E3037" s="283" t="s">
        <v>1089</v>
      </c>
      <c r="F3037" s="283" t="s">
        <v>1075</v>
      </c>
      <c r="G3037" s="283">
        <v>3</v>
      </c>
      <c r="H3037" s="283">
        <v>0</v>
      </c>
      <c r="I3037" s="283">
        <v>0</v>
      </c>
      <c r="J3037" s="284">
        <v>1</v>
      </c>
    </row>
    <row r="3038" spans="3:10" x14ac:dyDescent="0.25">
      <c r="C3038" s="300" t="s">
        <v>1061</v>
      </c>
      <c r="D3038" s="283" t="s">
        <v>1079</v>
      </c>
      <c r="E3038" s="283" t="s">
        <v>1089</v>
      </c>
      <c r="F3038" s="283" t="s">
        <v>1075</v>
      </c>
      <c r="G3038" s="283">
        <v>2</v>
      </c>
      <c r="H3038" s="283">
        <v>0</v>
      </c>
      <c r="I3038" s="283">
        <v>0</v>
      </c>
      <c r="J3038" s="284">
        <v>2</v>
      </c>
    </row>
    <row r="3039" spans="3:10" x14ac:dyDescent="0.25">
      <c r="C3039" s="300" t="s">
        <v>1061</v>
      </c>
      <c r="D3039" s="283" t="s">
        <v>1077</v>
      </c>
      <c r="E3039" s="283" t="s">
        <v>1084</v>
      </c>
      <c r="F3039" s="283" t="s">
        <v>1089</v>
      </c>
      <c r="G3039" s="283">
        <v>2</v>
      </c>
      <c r="H3039" s="283">
        <v>0</v>
      </c>
      <c r="I3039" s="283">
        <v>0</v>
      </c>
      <c r="J3039" s="284">
        <v>0</v>
      </c>
    </row>
    <row r="3040" spans="3:10" x14ac:dyDescent="0.25">
      <c r="C3040" s="300" t="s">
        <v>1064</v>
      </c>
      <c r="D3040" s="283" t="s">
        <v>1077</v>
      </c>
      <c r="E3040" s="283" t="s">
        <v>1080</v>
      </c>
      <c r="F3040" s="283" t="s">
        <v>1089</v>
      </c>
      <c r="G3040" s="283">
        <v>2</v>
      </c>
      <c r="H3040" s="283">
        <v>0</v>
      </c>
      <c r="I3040" s="283">
        <v>1</v>
      </c>
      <c r="J3040" s="284">
        <v>0</v>
      </c>
    </row>
    <row r="3041" spans="3:10" x14ac:dyDescent="0.25">
      <c r="C3041" s="300" t="s">
        <v>1061</v>
      </c>
      <c r="D3041" s="283" t="s">
        <v>1077</v>
      </c>
      <c r="E3041" s="283" t="s">
        <v>1080</v>
      </c>
      <c r="F3041" s="283" t="s">
        <v>1075</v>
      </c>
      <c r="G3041" s="283">
        <v>2</v>
      </c>
      <c r="H3041" s="283">
        <v>0</v>
      </c>
      <c r="I3041" s="283">
        <v>0</v>
      </c>
      <c r="J3041" s="284">
        <v>1</v>
      </c>
    </row>
    <row r="3042" spans="3:10" x14ac:dyDescent="0.25">
      <c r="C3042" s="300" t="s">
        <v>1062</v>
      </c>
      <c r="D3042" s="283" t="s">
        <v>1043</v>
      </c>
      <c r="E3042" s="283" t="s">
        <v>1075</v>
      </c>
      <c r="F3042" s="283" t="s">
        <v>1092</v>
      </c>
      <c r="G3042" s="283">
        <v>2</v>
      </c>
      <c r="H3042" s="283">
        <v>0</v>
      </c>
      <c r="I3042" s="283">
        <v>0</v>
      </c>
      <c r="J3042" s="284">
        <v>0</v>
      </c>
    </row>
    <row r="3043" spans="3:10" x14ac:dyDescent="0.25">
      <c r="C3043" s="300" t="s">
        <v>1064</v>
      </c>
      <c r="D3043" s="283" t="s">
        <v>1082</v>
      </c>
      <c r="E3043" s="283" t="s">
        <v>1083</v>
      </c>
      <c r="F3043" s="283" t="s">
        <v>1089</v>
      </c>
      <c r="G3043" s="283">
        <v>2</v>
      </c>
      <c r="H3043" s="283">
        <v>0</v>
      </c>
      <c r="I3043" s="283">
        <v>0</v>
      </c>
      <c r="J3043" s="284">
        <v>0</v>
      </c>
    </row>
    <row r="3044" spans="3:10" x14ac:dyDescent="0.25">
      <c r="C3044" s="300" t="s">
        <v>1066</v>
      </c>
      <c r="D3044" s="283" t="s">
        <v>1043</v>
      </c>
      <c r="E3044" s="283" t="s">
        <v>1089</v>
      </c>
      <c r="F3044" s="283" t="s">
        <v>1092</v>
      </c>
      <c r="G3044" s="283">
        <v>2</v>
      </c>
      <c r="H3044" s="283">
        <v>0</v>
      </c>
      <c r="I3044" s="283">
        <v>0</v>
      </c>
      <c r="J3044" s="284">
        <v>0</v>
      </c>
    </row>
    <row r="3045" spans="3:10" x14ac:dyDescent="0.25">
      <c r="C3045" s="300" t="s">
        <v>1065</v>
      </c>
      <c r="D3045" s="283" t="s">
        <v>1082</v>
      </c>
      <c r="E3045" s="283" t="s">
        <v>1076</v>
      </c>
      <c r="F3045" s="283" t="s">
        <v>1075</v>
      </c>
      <c r="G3045" s="283">
        <v>3</v>
      </c>
      <c r="H3045" s="283">
        <v>1</v>
      </c>
      <c r="I3045" s="283">
        <v>1</v>
      </c>
      <c r="J3045" s="284">
        <v>2</v>
      </c>
    </row>
    <row r="3046" spans="3:10" x14ac:dyDescent="0.25">
      <c r="C3046" s="300" t="s">
        <v>1060</v>
      </c>
      <c r="D3046" s="283" t="s">
        <v>1079</v>
      </c>
      <c r="E3046" s="283" t="s">
        <v>1075</v>
      </c>
      <c r="F3046" s="283" t="s">
        <v>1075</v>
      </c>
      <c r="G3046" s="283">
        <v>5</v>
      </c>
      <c r="H3046" s="283">
        <v>0</v>
      </c>
      <c r="I3046" s="283">
        <v>0</v>
      </c>
      <c r="J3046" s="284">
        <v>1</v>
      </c>
    </row>
    <row r="3047" spans="3:10" x14ac:dyDescent="0.25">
      <c r="C3047" s="300" t="s">
        <v>1066</v>
      </c>
      <c r="D3047" s="283" t="s">
        <v>1043</v>
      </c>
      <c r="E3047" s="283" t="s">
        <v>1075</v>
      </c>
      <c r="F3047" s="283" t="s">
        <v>1092</v>
      </c>
      <c r="G3047" s="283">
        <v>2</v>
      </c>
      <c r="H3047" s="283">
        <v>1</v>
      </c>
      <c r="I3047" s="283">
        <v>0</v>
      </c>
      <c r="J3047" s="284">
        <v>1</v>
      </c>
    </row>
    <row r="3048" spans="3:10" x14ac:dyDescent="0.25">
      <c r="C3048" s="300" t="s">
        <v>1067</v>
      </c>
      <c r="D3048" s="283" t="s">
        <v>1077</v>
      </c>
      <c r="E3048" s="283" t="s">
        <v>1089</v>
      </c>
      <c r="F3048" s="283" t="s">
        <v>1075</v>
      </c>
      <c r="G3048" s="283">
        <v>3</v>
      </c>
      <c r="H3048" s="283">
        <v>2</v>
      </c>
      <c r="I3048" s="283">
        <v>0</v>
      </c>
      <c r="J3048" s="284">
        <v>1</v>
      </c>
    </row>
    <row r="3049" spans="3:10" x14ac:dyDescent="0.25">
      <c r="C3049" s="300" t="s">
        <v>1061</v>
      </c>
      <c r="D3049" s="283" t="s">
        <v>1079</v>
      </c>
      <c r="E3049" s="283" t="s">
        <v>1075</v>
      </c>
      <c r="F3049" s="283" t="s">
        <v>1083</v>
      </c>
      <c r="G3049" s="283">
        <v>2</v>
      </c>
      <c r="H3049" s="283">
        <v>0</v>
      </c>
      <c r="I3049" s="283">
        <v>0</v>
      </c>
      <c r="J3049" s="284">
        <v>1</v>
      </c>
    </row>
    <row r="3050" spans="3:10" x14ac:dyDescent="0.25">
      <c r="C3050" s="300" t="s">
        <v>1066</v>
      </c>
      <c r="D3050" s="283" t="s">
        <v>1074</v>
      </c>
      <c r="E3050" s="283" t="s">
        <v>1075</v>
      </c>
      <c r="F3050" s="283" t="s">
        <v>1075</v>
      </c>
      <c r="G3050" s="283">
        <v>2</v>
      </c>
      <c r="H3050" s="283">
        <v>0</v>
      </c>
      <c r="I3050" s="283">
        <v>0</v>
      </c>
      <c r="J3050" s="284">
        <v>0</v>
      </c>
    </row>
    <row r="3051" spans="3:10" x14ac:dyDescent="0.25">
      <c r="C3051" s="300" t="s">
        <v>1068</v>
      </c>
      <c r="D3051" s="283" t="s">
        <v>1087</v>
      </c>
      <c r="E3051" s="283" t="s">
        <v>1089</v>
      </c>
      <c r="F3051" s="283" t="s">
        <v>524</v>
      </c>
      <c r="G3051" s="283">
        <v>1</v>
      </c>
      <c r="H3051" s="283">
        <v>0</v>
      </c>
      <c r="I3051" s="283">
        <v>0</v>
      </c>
      <c r="J3051" s="284">
        <v>0</v>
      </c>
    </row>
    <row r="3052" spans="3:10" x14ac:dyDescent="0.25">
      <c r="C3052" s="300" t="s">
        <v>1063</v>
      </c>
      <c r="D3052" s="283" t="s">
        <v>1087</v>
      </c>
      <c r="E3052" s="283" t="s">
        <v>1089</v>
      </c>
      <c r="F3052" s="283" t="s">
        <v>524</v>
      </c>
      <c r="G3052" s="283">
        <v>1</v>
      </c>
      <c r="H3052" s="283">
        <v>0</v>
      </c>
      <c r="I3052" s="283">
        <v>0</v>
      </c>
      <c r="J3052" s="284">
        <v>0</v>
      </c>
    </row>
    <row r="3053" spans="3:10" x14ac:dyDescent="0.25">
      <c r="C3053" s="300" t="s">
        <v>1065</v>
      </c>
      <c r="D3053" s="283" t="s">
        <v>1079</v>
      </c>
      <c r="E3053" s="283" t="s">
        <v>1080</v>
      </c>
      <c r="F3053" s="283" t="s">
        <v>1075</v>
      </c>
      <c r="G3053" s="283">
        <v>2</v>
      </c>
      <c r="H3053" s="283">
        <v>0</v>
      </c>
      <c r="I3053" s="283">
        <v>0</v>
      </c>
      <c r="J3053" s="284">
        <v>1</v>
      </c>
    </row>
    <row r="3054" spans="3:10" x14ac:dyDescent="0.25">
      <c r="C3054" s="300" t="s">
        <v>1063</v>
      </c>
      <c r="D3054" s="283" t="s">
        <v>1087</v>
      </c>
      <c r="E3054" s="283" t="s">
        <v>1075</v>
      </c>
      <c r="F3054" s="283" t="s">
        <v>524</v>
      </c>
      <c r="G3054" s="283">
        <v>1</v>
      </c>
      <c r="H3054" s="283">
        <v>0</v>
      </c>
      <c r="I3054" s="283">
        <v>0</v>
      </c>
      <c r="J3054" s="284">
        <v>0</v>
      </c>
    </row>
    <row r="3055" spans="3:10" x14ac:dyDescent="0.25">
      <c r="C3055" s="300" t="s">
        <v>1064</v>
      </c>
      <c r="D3055" s="283" t="s">
        <v>1043</v>
      </c>
      <c r="E3055" s="283" t="s">
        <v>1084</v>
      </c>
      <c r="F3055" s="283" t="s">
        <v>1092</v>
      </c>
      <c r="G3055" s="283">
        <v>2</v>
      </c>
      <c r="H3055" s="283">
        <v>0</v>
      </c>
      <c r="I3055" s="283">
        <v>1</v>
      </c>
      <c r="J3055" s="284">
        <v>0</v>
      </c>
    </row>
    <row r="3056" spans="3:10" x14ac:dyDescent="0.25">
      <c r="C3056" s="300" t="s">
        <v>1068</v>
      </c>
      <c r="D3056" s="283" t="s">
        <v>1087</v>
      </c>
      <c r="E3056" s="283" t="s">
        <v>1075</v>
      </c>
      <c r="F3056" s="283" t="s">
        <v>524</v>
      </c>
      <c r="G3056" s="283">
        <v>1</v>
      </c>
      <c r="H3056" s="283">
        <v>0</v>
      </c>
      <c r="I3056" s="283">
        <v>0</v>
      </c>
      <c r="J3056" s="284">
        <v>0</v>
      </c>
    </row>
    <row r="3057" spans="3:10" x14ac:dyDescent="0.25">
      <c r="C3057" s="300" t="s">
        <v>1061</v>
      </c>
      <c r="D3057" s="283" t="s">
        <v>1074</v>
      </c>
      <c r="E3057" s="283" t="s">
        <v>1075</v>
      </c>
      <c r="F3057" s="283" t="s">
        <v>1075</v>
      </c>
      <c r="G3057" s="283">
        <v>2</v>
      </c>
      <c r="H3057" s="283">
        <v>0</v>
      </c>
      <c r="I3057" s="283">
        <v>0</v>
      </c>
      <c r="J3057" s="284">
        <v>0</v>
      </c>
    </row>
    <row r="3058" spans="3:10" x14ac:dyDescent="0.25">
      <c r="C3058" s="300" t="s">
        <v>1066</v>
      </c>
      <c r="D3058" s="283" t="s">
        <v>1079</v>
      </c>
      <c r="E3058" s="283" t="s">
        <v>1089</v>
      </c>
      <c r="F3058" s="283" t="s">
        <v>1089</v>
      </c>
      <c r="G3058" s="283">
        <v>3</v>
      </c>
      <c r="H3058" s="283">
        <v>0</v>
      </c>
      <c r="I3058" s="283">
        <v>0</v>
      </c>
      <c r="J3058" s="284">
        <v>0</v>
      </c>
    </row>
    <row r="3059" spans="3:10" x14ac:dyDescent="0.25">
      <c r="C3059" s="300" t="s">
        <v>1067</v>
      </c>
      <c r="D3059" s="283" t="s">
        <v>1087</v>
      </c>
      <c r="E3059" s="283" t="s">
        <v>1075</v>
      </c>
      <c r="F3059" s="283" t="s">
        <v>524</v>
      </c>
      <c r="G3059" s="283">
        <v>1</v>
      </c>
      <c r="H3059" s="283">
        <v>0</v>
      </c>
      <c r="I3059" s="283">
        <v>1</v>
      </c>
      <c r="J3059" s="284">
        <v>0</v>
      </c>
    </row>
    <row r="3060" spans="3:10" x14ac:dyDescent="0.25">
      <c r="C3060" s="300" t="s">
        <v>1067</v>
      </c>
      <c r="D3060" s="283" t="s">
        <v>1087</v>
      </c>
      <c r="E3060" s="283" t="s">
        <v>1094</v>
      </c>
      <c r="F3060" s="283" t="s">
        <v>524</v>
      </c>
      <c r="G3060" s="283">
        <v>1</v>
      </c>
      <c r="H3060" s="283">
        <v>0</v>
      </c>
      <c r="I3060" s="283">
        <v>1</v>
      </c>
      <c r="J3060" s="284">
        <v>1</v>
      </c>
    </row>
    <row r="3061" spans="3:10" x14ac:dyDescent="0.25">
      <c r="C3061" s="300" t="s">
        <v>1066</v>
      </c>
      <c r="D3061" s="283" t="s">
        <v>1074</v>
      </c>
      <c r="E3061" s="283" t="s">
        <v>1089</v>
      </c>
      <c r="F3061" s="283" t="s">
        <v>1083</v>
      </c>
      <c r="G3061" s="283">
        <v>2</v>
      </c>
      <c r="H3061" s="283">
        <v>0</v>
      </c>
      <c r="I3061" s="283">
        <v>1</v>
      </c>
      <c r="J3061" s="284">
        <v>0</v>
      </c>
    </row>
    <row r="3062" spans="3:10" x14ac:dyDescent="0.25">
      <c r="C3062" s="300" t="s">
        <v>1063</v>
      </c>
      <c r="D3062" s="283" t="s">
        <v>1082</v>
      </c>
      <c r="E3062" s="283" t="s">
        <v>1075</v>
      </c>
      <c r="F3062" s="283" t="s">
        <v>1076</v>
      </c>
      <c r="G3062" s="283">
        <v>2</v>
      </c>
      <c r="H3062" s="283">
        <v>0</v>
      </c>
      <c r="I3062" s="283">
        <v>1</v>
      </c>
      <c r="J3062" s="284">
        <v>1</v>
      </c>
    </row>
    <row r="3063" spans="3:10" x14ac:dyDescent="0.25">
      <c r="C3063" s="300" t="s">
        <v>1061</v>
      </c>
      <c r="D3063" s="283" t="s">
        <v>1077</v>
      </c>
      <c r="E3063" s="283" t="s">
        <v>1089</v>
      </c>
      <c r="F3063" s="283" t="s">
        <v>1075</v>
      </c>
      <c r="G3063" s="283">
        <v>2</v>
      </c>
      <c r="H3063" s="283">
        <v>0</v>
      </c>
      <c r="I3063" s="283">
        <v>0</v>
      </c>
      <c r="J3063" s="284">
        <v>0</v>
      </c>
    </row>
    <row r="3064" spans="3:10" x14ac:dyDescent="0.25">
      <c r="C3064" s="300" t="s">
        <v>1062</v>
      </c>
      <c r="D3064" s="283" t="s">
        <v>1077</v>
      </c>
      <c r="E3064" s="283" t="s">
        <v>1089</v>
      </c>
      <c r="F3064" s="283" t="s">
        <v>1075</v>
      </c>
      <c r="G3064" s="283">
        <v>2</v>
      </c>
      <c r="H3064" s="283">
        <v>0</v>
      </c>
      <c r="I3064" s="283">
        <v>0</v>
      </c>
      <c r="J3064" s="284">
        <v>2</v>
      </c>
    </row>
    <row r="3065" spans="3:10" x14ac:dyDescent="0.25">
      <c r="C3065" s="300" t="s">
        <v>1064</v>
      </c>
      <c r="D3065" s="283" t="s">
        <v>1079</v>
      </c>
      <c r="E3065" s="283" t="s">
        <v>1075</v>
      </c>
      <c r="F3065" s="283" t="s">
        <v>1075</v>
      </c>
      <c r="G3065" s="283">
        <v>2</v>
      </c>
      <c r="H3065" s="283">
        <v>0</v>
      </c>
      <c r="I3065" s="283">
        <v>1</v>
      </c>
      <c r="J3065" s="284">
        <v>2</v>
      </c>
    </row>
    <row r="3066" spans="3:10" x14ac:dyDescent="0.25">
      <c r="C3066" s="300" t="s">
        <v>1064</v>
      </c>
      <c r="D3066" s="283" t="s">
        <v>1077</v>
      </c>
      <c r="E3066" s="283" t="s">
        <v>1075</v>
      </c>
      <c r="F3066" s="283" t="s">
        <v>1078</v>
      </c>
      <c r="G3066" s="283">
        <v>2</v>
      </c>
      <c r="H3066" s="283">
        <v>0</v>
      </c>
      <c r="I3066" s="283">
        <v>0</v>
      </c>
      <c r="J3066" s="284">
        <v>1</v>
      </c>
    </row>
    <row r="3067" spans="3:10" x14ac:dyDescent="0.25">
      <c r="C3067" s="300" t="s">
        <v>1063</v>
      </c>
      <c r="D3067" s="283" t="s">
        <v>1087</v>
      </c>
      <c r="E3067" s="283" t="s">
        <v>1076</v>
      </c>
      <c r="F3067" s="283" t="s">
        <v>524</v>
      </c>
      <c r="G3067" s="283">
        <v>1</v>
      </c>
      <c r="H3067" s="283">
        <v>0</v>
      </c>
      <c r="I3067" s="283">
        <v>0</v>
      </c>
      <c r="J3067" s="284">
        <v>0</v>
      </c>
    </row>
    <row r="3068" spans="3:10" x14ac:dyDescent="0.25">
      <c r="C3068" s="300" t="s">
        <v>1067</v>
      </c>
      <c r="D3068" s="283" t="s">
        <v>1077</v>
      </c>
      <c r="E3068" s="283" t="s">
        <v>1075</v>
      </c>
      <c r="F3068" s="283" t="s">
        <v>1100</v>
      </c>
      <c r="G3068" s="283">
        <v>2</v>
      </c>
      <c r="H3068" s="283">
        <v>0</v>
      </c>
      <c r="I3068" s="283">
        <v>0</v>
      </c>
      <c r="J3068" s="284">
        <v>1</v>
      </c>
    </row>
    <row r="3069" spans="3:10" x14ac:dyDescent="0.25">
      <c r="C3069" s="300" t="s">
        <v>1063</v>
      </c>
      <c r="D3069" s="283" t="s">
        <v>1087</v>
      </c>
      <c r="E3069" s="283" t="s">
        <v>1075</v>
      </c>
      <c r="F3069" s="283" t="s">
        <v>524</v>
      </c>
      <c r="G3069" s="283">
        <v>1</v>
      </c>
      <c r="H3069" s="283">
        <v>0</v>
      </c>
      <c r="I3069" s="283">
        <v>0</v>
      </c>
      <c r="J3069" s="284">
        <v>0</v>
      </c>
    </row>
    <row r="3070" spans="3:10" x14ac:dyDescent="0.25">
      <c r="C3070" s="300" t="s">
        <v>1060</v>
      </c>
      <c r="D3070" s="283" t="s">
        <v>1077</v>
      </c>
      <c r="E3070" s="283" t="s">
        <v>1076</v>
      </c>
      <c r="F3070" s="283" t="s">
        <v>1076</v>
      </c>
      <c r="G3070" s="283">
        <v>2</v>
      </c>
      <c r="H3070" s="283">
        <v>0</v>
      </c>
      <c r="I3070" s="283">
        <v>0</v>
      </c>
      <c r="J3070" s="284">
        <v>0</v>
      </c>
    </row>
    <row r="3071" spans="3:10" x14ac:dyDescent="0.25">
      <c r="C3071" s="300" t="s">
        <v>1064</v>
      </c>
      <c r="D3071" s="283" t="s">
        <v>1077</v>
      </c>
      <c r="E3071" s="283" t="s">
        <v>1075</v>
      </c>
      <c r="F3071" s="283" t="s">
        <v>1075</v>
      </c>
      <c r="G3071" s="283">
        <v>2</v>
      </c>
      <c r="H3071" s="283">
        <v>0</v>
      </c>
      <c r="I3071" s="283">
        <v>0</v>
      </c>
      <c r="J3071" s="284">
        <v>0</v>
      </c>
    </row>
    <row r="3072" spans="3:10" x14ac:dyDescent="0.25">
      <c r="C3072" s="300" t="s">
        <v>1061</v>
      </c>
      <c r="D3072" s="283" t="s">
        <v>1074</v>
      </c>
      <c r="E3072" s="283" t="s">
        <v>1075</v>
      </c>
      <c r="F3072" s="283" t="s">
        <v>1076</v>
      </c>
      <c r="G3072" s="283">
        <v>2</v>
      </c>
      <c r="H3072" s="283">
        <v>0</v>
      </c>
      <c r="I3072" s="283">
        <v>0</v>
      </c>
      <c r="J3072" s="284">
        <v>0</v>
      </c>
    </row>
    <row r="3073" spans="3:10" x14ac:dyDescent="0.25">
      <c r="C3073" s="300" t="s">
        <v>1062</v>
      </c>
      <c r="D3073" s="283" t="s">
        <v>1074</v>
      </c>
      <c r="E3073" s="283" t="s">
        <v>1089</v>
      </c>
      <c r="F3073" s="283" t="s">
        <v>1075</v>
      </c>
      <c r="G3073" s="283">
        <v>2</v>
      </c>
      <c r="H3073" s="283">
        <v>0</v>
      </c>
      <c r="I3073" s="283">
        <v>0</v>
      </c>
      <c r="J3073" s="284">
        <v>0</v>
      </c>
    </row>
    <row r="3074" spans="3:10" x14ac:dyDescent="0.25">
      <c r="C3074" s="300" t="s">
        <v>1065</v>
      </c>
      <c r="D3074" s="283" t="s">
        <v>1079</v>
      </c>
      <c r="E3074" s="283" t="s">
        <v>1075</v>
      </c>
      <c r="F3074" s="283" t="s">
        <v>1075</v>
      </c>
      <c r="G3074" s="283">
        <v>2</v>
      </c>
      <c r="H3074" s="283">
        <v>0</v>
      </c>
      <c r="I3074" s="283">
        <v>0</v>
      </c>
      <c r="J3074" s="284">
        <v>0</v>
      </c>
    </row>
    <row r="3075" spans="3:10" x14ac:dyDescent="0.25">
      <c r="C3075" s="300" t="s">
        <v>1060</v>
      </c>
      <c r="D3075" s="283" t="s">
        <v>1079</v>
      </c>
      <c r="E3075" s="283" t="s">
        <v>1083</v>
      </c>
      <c r="F3075" s="283" t="s">
        <v>1076</v>
      </c>
      <c r="G3075" s="283">
        <v>2</v>
      </c>
      <c r="H3075" s="283">
        <v>0</v>
      </c>
      <c r="I3075" s="283">
        <v>0</v>
      </c>
      <c r="J3075" s="284">
        <v>0</v>
      </c>
    </row>
    <row r="3076" spans="3:10" x14ac:dyDescent="0.25">
      <c r="C3076" s="300" t="s">
        <v>1065</v>
      </c>
      <c r="D3076" s="283" t="s">
        <v>1077</v>
      </c>
      <c r="E3076" s="283" t="s">
        <v>1075</v>
      </c>
      <c r="F3076" s="283" t="s">
        <v>1075</v>
      </c>
      <c r="G3076" s="283">
        <v>2</v>
      </c>
      <c r="H3076" s="283">
        <v>0</v>
      </c>
      <c r="I3076" s="283">
        <v>0</v>
      </c>
      <c r="J3076" s="284">
        <v>0</v>
      </c>
    </row>
    <row r="3077" spans="3:10" x14ac:dyDescent="0.25">
      <c r="C3077" s="300" t="s">
        <v>1066</v>
      </c>
      <c r="D3077" s="283" t="s">
        <v>1074</v>
      </c>
      <c r="E3077" s="283" t="s">
        <v>1075</v>
      </c>
      <c r="F3077" s="283" t="s">
        <v>1078</v>
      </c>
      <c r="G3077" s="283">
        <v>2</v>
      </c>
      <c r="H3077" s="283">
        <v>0</v>
      </c>
      <c r="I3077" s="283">
        <v>0</v>
      </c>
      <c r="J3077" s="284">
        <v>1</v>
      </c>
    </row>
    <row r="3078" spans="3:10" x14ac:dyDescent="0.25">
      <c r="C3078" s="300" t="s">
        <v>1060</v>
      </c>
      <c r="D3078" s="283" t="s">
        <v>1077</v>
      </c>
      <c r="E3078" s="283" t="s">
        <v>1078</v>
      </c>
      <c r="F3078" s="283" t="s">
        <v>1075</v>
      </c>
      <c r="G3078" s="283">
        <v>2</v>
      </c>
      <c r="H3078" s="283">
        <v>0</v>
      </c>
      <c r="I3078" s="283">
        <v>0</v>
      </c>
      <c r="J3078" s="284">
        <v>0</v>
      </c>
    </row>
    <row r="3079" spans="3:10" x14ac:dyDescent="0.25">
      <c r="C3079" s="300" t="s">
        <v>1065</v>
      </c>
      <c r="D3079" s="283" t="s">
        <v>1077</v>
      </c>
      <c r="E3079" s="283" t="s">
        <v>1075</v>
      </c>
      <c r="F3079" s="283" t="s">
        <v>1076</v>
      </c>
      <c r="G3079" s="283">
        <v>2</v>
      </c>
      <c r="H3079" s="283">
        <v>0</v>
      </c>
      <c r="I3079" s="283">
        <v>0</v>
      </c>
      <c r="J3079" s="284">
        <v>0</v>
      </c>
    </row>
    <row r="3080" spans="3:10" x14ac:dyDescent="0.25">
      <c r="C3080" s="300" t="s">
        <v>1066</v>
      </c>
      <c r="D3080" s="283" t="s">
        <v>1074</v>
      </c>
      <c r="E3080" s="283" t="s">
        <v>1075</v>
      </c>
      <c r="F3080" s="283" t="s">
        <v>1089</v>
      </c>
      <c r="G3080" s="283">
        <v>2</v>
      </c>
      <c r="H3080" s="283">
        <v>0</v>
      </c>
      <c r="I3080" s="283">
        <v>0</v>
      </c>
      <c r="J3080" s="284">
        <v>0</v>
      </c>
    </row>
    <row r="3081" spans="3:10" x14ac:dyDescent="0.25">
      <c r="C3081" s="300" t="s">
        <v>1064</v>
      </c>
      <c r="D3081" s="283" t="s">
        <v>1079</v>
      </c>
      <c r="E3081" s="283" t="s">
        <v>1084</v>
      </c>
      <c r="F3081" s="283" t="s">
        <v>1075</v>
      </c>
      <c r="G3081" s="283">
        <v>2</v>
      </c>
      <c r="H3081" s="283">
        <v>0</v>
      </c>
      <c r="I3081" s="283">
        <v>0</v>
      </c>
      <c r="J3081" s="284">
        <v>0</v>
      </c>
    </row>
    <row r="3082" spans="3:10" x14ac:dyDescent="0.25">
      <c r="C3082" s="300" t="s">
        <v>1065</v>
      </c>
      <c r="D3082" s="283" t="s">
        <v>1074</v>
      </c>
      <c r="E3082" s="283" t="s">
        <v>1076</v>
      </c>
      <c r="F3082" s="283" t="s">
        <v>1089</v>
      </c>
      <c r="G3082" s="283">
        <v>2</v>
      </c>
      <c r="H3082" s="283">
        <v>0</v>
      </c>
      <c r="I3082" s="283">
        <v>0</v>
      </c>
      <c r="J3082" s="284">
        <v>0</v>
      </c>
    </row>
    <row r="3083" spans="3:10" x14ac:dyDescent="0.25">
      <c r="C3083" s="300" t="s">
        <v>1065</v>
      </c>
      <c r="D3083" s="283" t="s">
        <v>1079</v>
      </c>
      <c r="E3083" s="283" t="s">
        <v>1076</v>
      </c>
      <c r="F3083" s="283" t="s">
        <v>1044</v>
      </c>
      <c r="G3083" s="283">
        <v>2</v>
      </c>
      <c r="H3083" s="283">
        <v>0</v>
      </c>
      <c r="I3083" s="283">
        <v>0</v>
      </c>
      <c r="J3083" s="284">
        <v>1</v>
      </c>
    </row>
    <row r="3084" spans="3:10" x14ac:dyDescent="0.25">
      <c r="C3084" s="300" t="s">
        <v>1059</v>
      </c>
      <c r="D3084" s="283" t="s">
        <v>1079</v>
      </c>
      <c r="E3084" s="283" t="s">
        <v>1075</v>
      </c>
      <c r="F3084" s="283" t="s">
        <v>1075</v>
      </c>
      <c r="G3084" s="283">
        <v>2</v>
      </c>
      <c r="H3084" s="283">
        <v>0</v>
      </c>
      <c r="I3084" s="283">
        <v>1</v>
      </c>
      <c r="J3084" s="284">
        <v>0</v>
      </c>
    </row>
    <row r="3085" spans="3:10" x14ac:dyDescent="0.25">
      <c r="C3085" s="300" t="s">
        <v>1062</v>
      </c>
      <c r="D3085" s="283" t="s">
        <v>1082</v>
      </c>
      <c r="E3085" s="283" t="s">
        <v>1081</v>
      </c>
      <c r="F3085" s="283" t="s">
        <v>1078</v>
      </c>
      <c r="G3085" s="283">
        <v>3</v>
      </c>
      <c r="H3085" s="283">
        <v>0</v>
      </c>
      <c r="I3085" s="283">
        <v>0</v>
      </c>
      <c r="J3085" s="284">
        <v>1</v>
      </c>
    </row>
    <row r="3086" spans="3:10" x14ac:dyDescent="0.25">
      <c r="C3086" s="300" t="s">
        <v>1067</v>
      </c>
      <c r="D3086" s="283" t="s">
        <v>1079</v>
      </c>
      <c r="E3086" s="283" t="s">
        <v>1076</v>
      </c>
      <c r="F3086" s="283" t="s">
        <v>1083</v>
      </c>
      <c r="G3086" s="283">
        <v>2</v>
      </c>
      <c r="H3086" s="283">
        <v>0</v>
      </c>
      <c r="I3086" s="283">
        <v>1</v>
      </c>
      <c r="J3086" s="284">
        <v>0</v>
      </c>
    </row>
    <row r="3087" spans="3:10" x14ac:dyDescent="0.25">
      <c r="C3087" s="300" t="s">
        <v>1060</v>
      </c>
      <c r="D3087" s="283" t="s">
        <v>1079</v>
      </c>
      <c r="E3087" s="283" t="s">
        <v>1089</v>
      </c>
      <c r="F3087" s="283" t="s">
        <v>1076</v>
      </c>
      <c r="G3087" s="283">
        <v>2</v>
      </c>
      <c r="H3087" s="283">
        <v>0</v>
      </c>
      <c r="I3087" s="283">
        <v>0</v>
      </c>
      <c r="J3087" s="284">
        <v>0</v>
      </c>
    </row>
    <row r="3088" spans="3:10" x14ac:dyDescent="0.25">
      <c r="C3088" s="300" t="s">
        <v>1057</v>
      </c>
      <c r="D3088" s="283" t="s">
        <v>1079</v>
      </c>
      <c r="E3088" s="283" t="s">
        <v>1075</v>
      </c>
      <c r="F3088" s="283" t="s">
        <v>1075</v>
      </c>
      <c r="G3088" s="283">
        <v>4</v>
      </c>
      <c r="H3088" s="283">
        <v>0</v>
      </c>
      <c r="I3088" s="283">
        <v>0</v>
      </c>
      <c r="J3088" s="284">
        <v>0</v>
      </c>
    </row>
    <row r="3089" spans="3:10" x14ac:dyDescent="0.25">
      <c r="C3089" s="300" t="s">
        <v>1064</v>
      </c>
      <c r="D3089" s="283" t="s">
        <v>1077</v>
      </c>
      <c r="E3089" s="283" t="s">
        <v>1075</v>
      </c>
      <c r="F3089" s="283" t="s">
        <v>1094</v>
      </c>
      <c r="G3089" s="283">
        <v>2</v>
      </c>
      <c r="H3089" s="283">
        <v>0</v>
      </c>
      <c r="I3089" s="283">
        <v>0</v>
      </c>
      <c r="J3089" s="284">
        <v>0</v>
      </c>
    </row>
    <row r="3090" spans="3:10" x14ac:dyDescent="0.25">
      <c r="C3090" s="300" t="s">
        <v>1066</v>
      </c>
      <c r="D3090" s="283" t="s">
        <v>1074</v>
      </c>
      <c r="E3090" s="283" t="s">
        <v>1075</v>
      </c>
      <c r="F3090" s="283" t="s">
        <v>1089</v>
      </c>
      <c r="G3090" s="283">
        <v>3</v>
      </c>
      <c r="H3090" s="283">
        <v>0</v>
      </c>
      <c r="I3090" s="283">
        <v>0</v>
      </c>
      <c r="J3090" s="284">
        <v>0</v>
      </c>
    </row>
    <row r="3091" spans="3:10" x14ac:dyDescent="0.25">
      <c r="C3091" s="300" t="s">
        <v>1058</v>
      </c>
      <c r="D3091" s="283" t="s">
        <v>1079</v>
      </c>
      <c r="E3091" s="283" t="s">
        <v>1075</v>
      </c>
      <c r="F3091" s="283" t="s">
        <v>1075</v>
      </c>
      <c r="G3091" s="283">
        <v>2</v>
      </c>
      <c r="H3091" s="283">
        <v>0</v>
      </c>
      <c r="I3091" s="283">
        <v>0</v>
      </c>
      <c r="J3091" s="284">
        <v>0</v>
      </c>
    </row>
    <row r="3092" spans="3:10" x14ac:dyDescent="0.25">
      <c r="C3092" s="300" t="s">
        <v>1061</v>
      </c>
      <c r="D3092" s="283" t="s">
        <v>1077</v>
      </c>
      <c r="E3092" s="283" t="s">
        <v>1086</v>
      </c>
      <c r="F3092" s="283" t="s">
        <v>1078</v>
      </c>
      <c r="G3092" s="283">
        <v>2</v>
      </c>
      <c r="H3092" s="283">
        <v>0</v>
      </c>
      <c r="I3092" s="283">
        <v>0</v>
      </c>
      <c r="J3092" s="284">
        <v>0</v>
      </c>
    </row>
    <row r="3093" spans="3:10" x14ac:dyDescent="0.25">
      <c r="C3093" s="300" t="s">
        <v>1061</v>
      </c>
      <c r="D3093" s="283" t="s">
        <v>1079</v>
      </c>
      <c r="E3093" s="283" t="s">
        <v>1086</v>
      </c>
      <c r="F3093" s="283" t="s">
        <v>1075</v>
      </c>
      <c r="G3093" s="283">
        <v>2</v>
      </c>
      <c r="H3093" s="283">
        <v>0</v>
      </c>
      <c r="I3093" s="283">
        <v>0</v>
      </c>
      <c r="J3093" s="284">
        <v>0</v>
      </c>
    </row>
    <row r="3094" spans="3:10" x14ac:dyDescent="0.25">
      <c r="C3094" s="300" t="s">
        <v>1067</v>
      </c>
      <c r="D3094" s="283" t="s">
        <v>1087</v>
      </c>
      <c r="E3094" s="283" t="s">
        <v>1075</v>
      </c>
      <c r="F3094" s="283" t="s">
        <v>524</v>
      </c>
      <c r="G3094" s="283">
        <v>1</v>
      </c>
      <c r="H3094" s="283">
        <v>0</v>
      </c>
      <c r="I3094" s="283">
        <v>0</v>
      </c>
      <c r="J3094" s="284">
        <v>1</v>
      </c>
    </row>
    <row r="3095" spans="3:10" x14ac:dyDescent="0.25">
      <c r="C3095" s="300" t="s">
        <v>1067</v>
      </c>
      <c r="D3095" s="283" t="s">
        <v>1087</v>
      </c>
      <c r="E3095" s="283" t="s">
        <v>1076</v>
      </c>
      <c r="F3095" s="283" t="s">
        <v>524</v>
      </c>
      <c r="G3095" s="283">
        <v>1</v>
      </c>
      <c r="H3095" s="283">
        <v>0</v>
      </c>
      <c r="I3095" s="283">
        <v>1</v>
      </c>
      <c r="J3095" s="284">
        <v>0</v>
      </c>
    </row>
    <row r="3096" spans="3:10" x14ac:dyDescent="0.25">
      <c r="C3096" s="300" t="s">
        <v>1065</v>
      </c>
      <c r="D3096" s="283" t="s">
        <v>1077</v>
      </c>
      <c r="E3096" s="283" t="s">
        <v>1075</v>
      </c>
      <c r="F3096" s="283" t="s">
        <v>1075</v>
      </c>
      <c r="G3096" s="283">
        <v>3</v>
      </c>
      <c r="H3096" s="283">
        <v>0</v>
      </c>
      <c r="I3096" s="283">
        <v>0</v>
      </c>
      <c r="J3096" s="284">
        <v>0</v>
      </c>
    </row>
    <row r="3097" spans="3:10" x14ac:dyDescent="0.25">
      <c r="C3097" s="300" t="s">
        <v>1065</v>
      </c>
      <c r="D3097" s="283" t="s">
        <v>1077</v>
      </c>
      <c r="E3097" s="283" t="s">
        <v>1075</v>
      </c>
      <c r="F3097" s="283" t="s">
        <v>1089</v>
      </c>
      <c r="G3097" s="283">
        <v>2</v>
      </c>
      <c r="H3097" s="283">
        <v>0</v>
      </c>
      <c r="I3097" s="283">
        <v>0</v>
      </c>
      <c r="J3097" s="284">
        <v>0</v>
      </c>
    </row>
    <row r="3098" spans="3:10" x14ac:dyDescent="0.25">
      <c r="C3098" s="300" t="s">
        <v>1060</v>
      </c>
      <c r="D3098" s="283" t="s">
        <v>1079</v>
      </c>
      <c r="E3098" s="283" t="s">
        <v>1075</v>
      </c>
      <c r="F3098" s="283" t="s">
        <v>1083</v>
      </c>
      <c r="G3098" s="283">
        <v>2</v>
      </c>
      <c r="H3098" s="283">
        <v>0</v>
      </c>
      <c r="I3098" s="283">
        <v>0</v>
      </c>
      <c r="J3098" s="284">
        <v>0</v>
      </c>
    </row>
    <row r="3099" spans="3:10" x14ac:dyDescent="0.25">
      <c r="C3099" s="300" t="s">
        <v>1059</v>
      </c>
      <c r="D3099" s="283" t="s">
        <v>1074</v>
      </c>
      <c r="E3099" s="283" t="s">
        <v>1076</v>
      </c>
      <c r="F3099" s="283" t="s">
        <v>1076</v>
      </c>
      <c r="G3099" s="283">
        <v>2</v>
      </c>
      <c r="H3099" s="283">
        <v>0</v>
      </c>
      <c r="I3099" s="283">
        <v>0</v>
      </c>
      <c r="J3099" s="284">
        <v>0</v>
      </c>
    </row>
    <row r="3100" spans="3:10" x14ac:dyDescent="0.25">
      <c r="C3100" s="300" t="s">
        <v>1068</v>
      </c>
      <c r="D3100" s="283" t="s">
        <v>1079</v>
      </c>
      <c r="E3100" s="283" t="s">
        <v>1075</v>
      </c>
      <c r="F3100" s="283" t="s">
        <v>1078</v>
      </c>
      <c r="G3100" s="283">
        <v>2</v>
      </c>
      <c r="H3100" s="283">
        <v>0</v>
      </c>
      <c r="I3100" s="283">
        <v>0</v>
      </c>
      <c r="J3100" s="284">
        <v>0</v>
      </c>
    </row>
    <row r="3101" spans="3:10" x14ac:dyDescent="0.25">
      <c r="C3101" s="300" t="s">
        <v>1064</v>
      </c>
      <c r="D3101" s="283" t="s">
        <v>1077</v>
      </c>
      <c r="E3101" s="283" t="s">
        <v>1075</v>
      </c>
      <c r="F3101" s="283" t="s">
        <v>1094</v>
      </c>
      <c r="G3101" s="283">
        <v>2</v>
      </c>
      <c r="H3101" s="283">
        <v>0</v>
      </c>
      <c r="I3101" s="283">
        <v>0</v>
      </c>
      <c r="J3101" s="284">
        <v>0</v>
      </c>
    </row>
    <row r="3102" spans="3:10" x14ac:dyDescent="0.25">
      <c r="C3102" s="300" t="s">
        <v>1067</v>
      </c>
      <c r="D3102" s="283" t="s">
        <v>1074</v>
      </c>
      <c r="E3102" s="283" t="s">
        <v>1075</v>
      </c>
      <c r="F3102" s="283" t="s">
        <v>1089</v>
      </c>
      <c r="G3102" s="283">
        <v>2</v>
      </c>
      <c r="H3102" s="283">
        <v>0</v>
      </c>
      <c r="I3102" s="283">
        <v>0</v>
      </c>
      <c r="J3102" s="284">
        <v>0</v>
      </c>
    </row>
    <row r="3103" spans="3:10" x14ac:dyDescent="0.25">
      <c r="C3103" s="300" t="s">
        <v>1060</v>
      </c>
      <c r="D3103" s="283" t="s">
        <v>1077</v>
      </c>
      <c r="E3103" s="283" t="s">
        <v>1084</v>
      </c>
      <c r="F3103" s="283" t="s">
        <v>1084</v>
      </c>
      <c r="G3103" s="283">
        <v>3</v>
      </c>
      <c r="H3103" s="283">
        <v>0</v>
      </c>
      <c r="I3103" s="283">
        <v>0</v>
      </c>
      <c r="J3103" s="284">
        <v>0</v>
      </c>
    </row>
    <row r="3104" spans="3:10" x14ac:dyDescent="0.25">
      <c r="C3104" s="300" t="s">
        <v>1057</v>
      </c>
      <c r="D3104" s="283" t="s">
        <v>1090</v>
      </c>
      <c r="E3104" s="283" t="s">
        <v>1083</v>
      </c>
      <c r="F3104" s="283" t="s">
        <v>524</v>
      </c>
      <c r="G3104" s="283">
        <v>1</v>
      </c>
      <c r="H3104" s="283">
        <v>0</v>
      </c>
      <c r="I3104" s="283">
        <v>0</v>
      </c>
      <c r="J3104" s="284">
        <v>0</v>
      </c>
    </row>
    <row r="3105" spans="3:10" x14ac:dyDescent="0.25">
      <c r="C3105" s="300" t="s">
        <v>1059</v>
      </c>
      <c r="D3105" s="283" t="s">
        <v>1087</v>
      </c>
      <c r="E3105" s="283" t="s">
        <v>1075</v>
      </c>
      <c r="F3105" s="283" t="s">
        <v>524</v>
      </c>
      <c r="G3105" s="283">
        <v>1</v>
      </c>
      <c r="H3105" s="283">
        <v>0</v>
      </c>
      <c r="I3105" s="283">
        <v>0</v>
      </c>
      <c r="J3105" s="284">
        <v>0</v>
      </c>
    </row>
    <row r="3106" spans="3:10" x14ac:dyDescent="0.25">
      <c r="C3106" s="300" t="s">
        <v>1061</v>
      </c>
      <c r="D3106" s="283" t="s">
        <v>1079</v>
      </c>
      <c r="E3106" s="283" t="s">
        <v>1075</v>
      </c>
      <c r="F3106" s="283" t="s">
        <v>1075</v>
      </c>
      <c r="G3106" s="283">
        <v>2</v>
      </c>
      <c r="H3106" s="283">
        <v>0</v>
      </c>
      <c r="I3106" s="283">
        <v>0</v>
      </c>
      <c r="J3106" s="284">
        <v>0</v>
      </c>
    </row>
    <row r="3107" spans="3:10" x14ac:dyDescent="0.25">
      <c r="C3107" s="300" t="s">
        <v>1066</v>
      </c>
      <c r="D3107" s="283" t="s">
        <v>1082</v>
      </c>
      <c r="E3107" s="283" t="s">
        <v>1089</v>
      </c>
      <c r="F3107" s="283" t="s">
        <v>1075</v>
      </c>
      <c r="G3107" s="283">
        <v>2</v>
      </c>
      <c r="H3107" s="283">
        <v>0</v>
      </c>
      <c r="I3107" s="283">
        <v>0</v>
      </c>
      <c r="J3107" s="284">
        <v>2</v>
      </c>
    </row>
    <row r="3108" spans="3:10" x14ac:dyDescent="0.25">
      <c r="C3108" s="300" t="s">
        <v>1067</v>
      </c>
      <c r="D3108" s="283" t="s">
        <v>1079</v>
      </c>
      <c r="E3108" s="283" t="s">
        <v>1075</v>
      </c>
      <c r="F3108" s="283" t="s">
        <v>1078</v>
      </c>
      <c r="G3108" s="283">
        <v>2</v>
      </c>
      <c r="H3108" s="283">
        <v>0</v>
      </c>
      <c r="I3108" s="283">
        <v>0</v>
      </c>
      <c r="J3108" s="284">
        <v>1</v>
      </c>
    </row>
    <row r="3109" spans="3:10" x14ac:dyDescent="0.25">
      <c r="C3109" s="300" t="s">
        <v>1065</v>
      </c>
      <c r="D3109" s="283" t="s">
        <v>1087</v>
      </c>
      <c r="E3109" s="283" t="s">
        <v>1075</v>
      </c>
      <c r="F3109" s="283" t="s">
        <v>524</v>
      </c>
      <c r="G3109" s="283">
        <v>1</v>
      </c>
      <c r="H3109" s="283">
        <v>0</v>
      </c>
      <c r="I3109" s="283">
        <v>0</v>
      </c>
      <c r="J3109" s="284">
        <v>1</v>
      </c>
    </row>
    <row r="3110" spans="3:10" x14ac:dyDescent="0.25">
      <c r="C3110" s="300" t="s">
        <v>1064</v>
      </c>
      <c r="D3110" s="283" t="s">
        <v>1077</v>
      </c>
      <c r="E3110" s="283" t="s">
        <v>1100</v>
      </c>
      <c r="F3110" s="283" t="s">
        <v>1089</v>
      </c>
      <c r="G3110" s="283">
        <v>4</v>
      </c>
      <c r="H3110" s="283">
        <v>0</v>
      </c>
      <c r="I3110" s="283">
        <v>0</v>
      </c>
      <c r="J3110" s="284">
        <v>1</v>
      </c>
    </row>
    <row r="3111" spans="3:10" x14ac:dyDescent="0.25">
      <c r="C3111" s="300" t="s">
        <v>1064</v>
      </c>
      <c r="D3111" s="283" t="s">
        <v>1087</v>
      </c>
      <c r="E3111" s="283" t="s">
        <v>1075</v>
      </c>
      <c r="F3111" s="283" t="s">
        <v>524</v>
      </c>
      <c r="G3111" s="283">
        <v>1</v>
      </c>
      <c r="H3111" s="283">
        <v>0</v>
      </c>
      <c r="I3111" s="283">
        <v>0</v>
      </c>
      <c r="J3111" s="284">
        <v>0</v>
      </c>
    </row>
    <row r="3112" spans="3:10" x14ac:dyDescent="0.25">
      <c r="C3112" s="300" t="s">
        <v>1063</v>
      </c>
      <c r="D3112" s="283" t="s">
        <v>1077</v>
      </c>
      <c r="E3112" s="283" t="s">
        <v>1083</v>
      </c>
      <c r="F3112" s="283" t="s">
        <v>1075</v>
      </c>
      <c r="G3112" s="283">
        <v>2</v>
      </c>
      <c r="H3112" s="283">
        <v>0</v>
      </c>
      <c r="I3112" s="283">
        <v>1</v>
      </c>
      <c r="J3112" s="284">
        <v>0</v>
      </c>
    </row>
    <row r="3113" spans="3:10" x14ac:dyDescent="0.25">
      <c r="C3113" s="300" t="s">
        <v>1064</v>
      </c>
      <c r="D3113" s="283" t="s">
        <v>1043</v>
      </c>
      <c r="E3113" s="283" t="s">
        <v>1089</v>
      </c>
      <c r="F3113" s="283" t="s">
        <v>1092</v>
      </c>
      <c r="G3113" s="283">
        <v>2</v>
      </c>
      <c r="H3113" s="283">
        <v>0</v>
      </c>
      <c r="I3113" s="283">
        <v>0</v>
      </c>
      <c r="J3113" s="284">
        <v>1</v>
      </c>
    </row>
    <row r="3114" spans="3:10" x14ac:dyDescent="0.25">
      <c r="C3114" s="300" t="s">
        <v>1063</v>
      </c>
      <c r="D3114" s="283" t="s">
        <v>1079</v>
      </c>
      <c r="E3114" s="283" t="s">
        <v>1075</v>
      </c>
      <c r="F3114" s="283" t="s">
        <v>1075</v>
      </c>
      <c r="G3114" s="283">
        <v>2</v>
      </c>
      <c r="H3114" s="283">
        <v>0</v>
      </c>
      <c r="I3114" s="283">
        <v>0</v>
      </c>
      <c r="J3114" s="284">
        <v>1</v>
      </c>
    </row>
    <row r="3115" spans="3:10" x14ac:dyDescent="0.25">
      <c r="C3115" s="300" t="s">
        <v>1067</v>
      </c>
      <c r="D3115" s="283" t="s">
        <v>1079</v>
      </c>
      <c r="E3115" s="283" t="s">
        <v>1075</v>
      </c>
      <c r="F3115" s="283" t="s">
        <v>1075</v>
      </c>
      <c r="G3115" s="283">
        <v>2</v>
      </c>
      <c r="H3115" s="283">
        <v>0</v>
      </c>
      <c r="I3115" s="283">
        <v>0</v>
      </c>
      <c r="J3115" s="284">
        <v>1</v>
      </c>
    </row>
    <row r="3116" spans="3:10" x14ac:dyDescent="0.25">
      <c r="C3116" s="300" t="s">
        <v>1063</v>
      </c>
      <c r="D3116" s="283" t="s">
        <v>1079</v>
      </c>
      <c r="E3116" s="283" t="s">
        <v>1084</v>
      </c>
      <c r="F3116" s="283" t="s">
        <v>1089</v>
      </c>
      <c r="G3116" s="283">
        <v>2</v>
      </c>
      <c r="H3116" s="283">
        <v>0</v>
      </c>
      <c r="I3116" s="283">
        <v>0</v>
      </c>
      <c r="J3116" s="284">
        <v>0</v>
      </c>
    </row>
    <row r="3117" spans="3:10" x14ac:dyDescent="0.25">
      <c r="C3117" s="300" t="s">
        <v>1059</v>
      </c>
      <c r="D3117" s="283" t="s">
        <v>1087</v>
      </c>
      <c r="E3117" s="283" t="s">
        <v>1075</v>
      </c>
      <c r="F3117" s="283" t="s">
        <v>524</v>
      </c>
      <c r="G3117" s="283">
        <v>1</v>
      </c>
      <c r="H3117" s="283">
        <v>0</v>
      </c>
      <c r="I3117" s="283">
        <v>1</v>
      </c>
      <c r="J3117" s="284">
        <v>0</v>
      </c>
    </row>
    <row r="3118" spans="3:10" x14ac:dyDescent="0.25">
      <c r="C3118" s="300" t="s">
        <v>1068</v>
      </c>
      <c r="D3118" s="283" t="s">
        <v>1079</v>
      </c>
      <c r="E3118" s="283" t="s">
        <v>1075</v>
      </c>
      <c r="F3118" s="283" t="s">
        <v>1075</v>
      </c>
      <c r="G3118" s="283">
        <v>2</v>
      </c>
      <c r="H3118" s="283">
        <v>0</v>
      </c>
      <c r="I3118" s="283">
        <v>0</v>
      </c>
      <c r="J3118" s="284">
        <v>1</v>
      </c>
    </row>
    <row r="3119" spans="3:10" x14ac:dyDescent="0.25">
      <c r="C3119" s="300" t="s">
        <v>1063</v>
      </c>
      <c r="D3119" s="283" t="s">
        <v>1074</v>
      </c>
      <c r="E3119" s="283" t="s">
        <v>1089</v>
      </c>
      <c r="F3119" s="283" t="s">
        <v>1075</v>
      </c>
      <c r="G3119" s="283">
        <v>2</v>
      </c>
      <c r="H3119" s="283">
        <v>0</v>
      </c>
      <c r="I3119" s="283">
        <v>0</v>
      </c>
      <c r="J3119" s="284">
        <v>1</v>
      </c>
    </row>
    <row r="3120" spans="3:10" x14ac:dyDescent="0.25">
      <c r="C3120" s="300" t="s">
        <v>1064</v>
      </c>
      <c r="D3120" s="283" t="s">
        <v>1077</v>
      </c>
      <c r="E3120" s="283" t="s">
        <v>1089</v>
      </c>
      <c r="F3120" s="283" t="s">
        <v>1075</v>
      </c>
      <c r="G3120" s="283">
        <v>2</v>
      </c>
      <c r="H3120" s="283">
        <v>0</v>
      </c>
      <c r="I3120" s="283">
        <v>0</v>
      </c>
      <c r="J3120" s="284">
        <v>0</v>
      </c>
    </row>
    <row r="3121" spans="3:10" x14ac:dyDescent="0.25">
      <c r="C3121" s="300" t="s">
        <v>1064</v>
      </c>
      <c r="D3121" s="283" t="s">
        <v>1074</v>
      </c>
      <c r="E3121" s="283" t="s">
        <v>1075</v>
      </c>
      <c r="F3121" s="283" t="s">
        <v>1089</v>
      </c>
      <c r="G3121" s="283">
        <v>2</v>
      </c>
      <c r="H3121" s="283">
        <v>0</v>
      </c>
      <c r="I3121" s="283">
        <v>0</v>
      </c>
      <c r="J3121" s="284">
        <v>0</v>
      </c>
    </row>
    <row r="3122" spans="3:10" x14ac:dyDescent="0.25">
      <c r="C3122" s="300" t="s">
        <v>1065</v>
      </c>
      <c r="D3122" s="283" t="s">
        <v>1087</v>
      </c>
      <c r="E3122" s="283" t="s">
        <v>1094</v>
      </c>
      <c r="F3122" s="283" t="s">
        <v>524</v>
      </c>
      <c r="G3122" s="283">
        <v>4</v>
      </c>
      <c r="H3122" s="283">
        <v>0</v>
      </c>
      <c r="I3122" s="283">
        <v>0</v>
      </c>
      <c r="J3122" s="284">
        <v>0</v>
      </c>
    </row>
    <row r="3123" spans="3:10" x14ac:dyDescent="0.25">
      <c r="C3123" s="300" t="s">
        <v>1060</v>
      </c>
      <c r="D3123" s="283" t="s">
        <v>1087</v>
      </c>
      <c r="E3123" s="283" t="s">
        <v>1075</v>
      </c>
      <c r="F3123" s="283" t="s">
        <v>524</v>
      </c>
      <c r="G3123" s="283">
        <v>1</v>
      </c>
      <c r="H3123" s="283">
        <v>0</v>
      </c>
      <c r="I3123" s="283">
        <v>0</v>
      </c>
      <c r="J3123" s="284">
        <v>0</v>
      </c>
    </row>
    <row r="3124" spans="3:10" x14ac:dyDescent="0.25">
      <c r="C3124" s="300" t="s">
        <v>1060</v>
      </c>
      <c r="D3124" s="283" t="s">
        <v>1077</v>
      </c>
      <c r="E3124" s="283" t="s">
        <v>1075</v>
      </c>
      <c r="F3124" s="283" t="s">
        <v>1075</v>
      </c>
      <c r="G3124" s="283">
        <v>2</v>
      </c>
      <c r="H3124" s="283">
        <v>0</v>
      </c>
      <c r="I3124" s="283">
        <v>0</v>
      </c>
      <c r="J3124" s="284">
        <v>0</v>
      </c>
    </row>
    <row r="3125" spans="3:10" x14ac:dyDescent="0.25">
      <c r="C3125" s="300" t="s">
        <v>1064</v>
      </c>
      <c r="D3125" s="283" t="s">
        <v>1079</v>
      </c>
      <c r="E3125" s="283" t="s">
        <v>1075</v>
      </c>
      <c r="F3125" s="283" t="s">
        <v>1075</v>
      </c>
      <c r="G3125" s="283">
        <v>2</v>
      </c>
      <c r="H3125" s="283">
        <v>0</v>
      </c>
      <c r="I3125" s="283">
        <v>0</v>
      </c>
      <c r="J3125" s="284">
        <v>0</v>
      </c>
    </row>
    <row r="3126" spans="3:10" x14ac:dyDescent="0.25">
      <c r="C3126" s="300" t="s">
        <v>1060</v>
      </c>
      <c r="D3126" s="283" t="s">
        <v>1077</v>
      </c>
      <c r="E3126" s="283" t="s">
        <v>1076</v>
      </c>
      <c r="F3126" s="283" t="s">
        <v>1075</v>
      </c>
      <c r="G3126" s="283">
        <v>2</v>
      </c>
      <c r="H3126" s="283">
        <v>0</v>
      </c>
      <c r="I3126" s="283">
        <v>0</v>
      </c>
      <c r="J3126" s="284">
        <v>0</v>
      </c>
    </row>
    <row r="3127" spans="3:10" x14ac:dyDescent="0.25">
      <c r="C3127" s="300" t="s">
        <v>1066</v>
      </c>
      <c r="D3127" s="283" t="s">
        <v>1079</v>
      </c>
      <c r="E3127" s="283" t="s">
        <v>1080</v>
      </c>
      <c r="F3127" s="283" t="s">
        <v>1075</v>
      </c>
      <c r="G3127" s="283">
        <v>2</v>
      </c>
      <c r="H3127" s="283">
        <v>0</v>
      </c>
      <c r="I3127" s="283">
        <v>0</v>
      </c>
      <c r="J3127" s="284">
        <v>0</v>
      </c>
    </row>
    <row r="3128" spans="3:10" x14ac:dyDescent="0.25">
      <c r="C3128" s="300" t="s">
        <v>1062</v>
      </c>
      <c r="D3128" s="283" t="s">
        <v>1077</v>
      </c>
      <c r="E3128" s="283" t="s">
        <v>1089</v>
      </c>
      <c r="F3128" s="283" t="s">
        <v>1075</v>
      </c>
      <c r="G3128" s="283">
        <v>2</v>
      </c>
      <c r="H3128" s="283">
        <v>0</v>
      </c>
      <c r="I3128" s="283">
        <v>0</v>
      </c>
      <c r="J3128" s="284">
        <v>0</v>
      </c>
    </row>
    <row r="3129" spans="3:10" x14ac:dyDescent="0.25">
      <c r="C3129" s="300" t="s">
        <v>1064</v>
      </c>
      <c r="D3129" s="283" t="s">
        <v>1090</v>
      </c>
      <c r="E3129" s="283" t="s">
        <v>1088</v>
      </c>
      <c r="F3129" s="283" t="s">
        <v>524</v>
      </c>
      <c r="G3129" s="283">
        <v>1</v>
      </c>
      <c r="H3129" s="283">
        <v>0</v>
      </c>
      <c r="I3129" s="283">
        <v>0</v>
      </c>
      <c r="J3129" s="284">
        <v>0</v>
      </c>
    </row>
    <row r="3130" spans="3:10" x14ac:dyDescent="0.25">
      <c r="C3130" s="300" t="s">
        <v>1061</v>
      </c>
      <c r="D3130" s="283" t="s">
        <v>1077</v>
      </c>
      <c r="E3130" s="283" t="s">
        <v>1078</v>
      </c>
      <c r="F3130" s="283" t="s">
        <v>1080</v>
      </c>
      <c r="G3130" s="283">
        <v>2</v>
      </c>
      <c r="H3130" s="283">
        <v>0</v>
      </c>
      <c r="I3130" s="283">
        <v>0</v>
      </c>
      <c r="J3130" s="284">
        <v>0</v>
      </c>
    </row>
    <row r="3131" spans="3:10" x14ac:dyDescent="0.25">
      <c r="C3131" s="300" t="s">
        <v>1065</v>
      </c>
      <c r="D3131" s="283" t="s">
        <v>1095</v>
      </c>
      <c r="E3131" s="283" t="s">
        <v>1075</v>
      </c>
      <c r="F3131" s="283" t="s">
        <v>524</v>
      </c>
      <c r="G3131" s="283">
        <v>1</v>
      </c>
      <c r="H3131" s="283">
        <v>0</v>
      </c>
      <c r="I3131" s="283">
        <v>0</v>
      </c>
      <c r="J3131" s="284">
        <v>0</v>
      </c>
    </row>
    <row r="3132" spans="3:10" x14ac:dyDescent="0.25">
      <c r="C3132" s="300" t="s">
        <v>1062</v>
      </c>
      <c r="D3132" s="283" t="s">
        <v>1074</v>
      </c>
      <c r="E3132" s="283" t="s">
        <v>1075</v>
      </c>
      <c r="F3132" s="283" t="s">
        <v>1075</v>
      </c>
      <c r="G3132" s="283">
        <v>2</v>
      </c>
      <c r="H3132" s="283">
        <v>0</v>
      </c>
      <c r="I3132" s="283">
        <v>0</v>
      </c>
      <c r="J3132" s="284">
        <v>0</v>
      </c>
    </row>
    <row r="3133" spans="3:10" x14ac:dyDescent="0.25">
      <c r="C3133" s="300" t="s">
        <v>1068</v>
      </c>
      <c r="D3133" s="283" t="s">
        <v>1077</v>
      </c>
      <c r="E3133" s="283" t="s">
        <v>1075</v>
      </c>
      <c r="F3133" s="283" t="s">
        <v>1075</v>
      </c>
      <c r="G3133" s="283">
        <v>2</v>
      </c>
      <c r="H3133" s="283">
        <v>0</v>
      </c>
      <c r="I3133" s="283">
        <v>0</v>
      </c>
      <c r="J3133" s="284">
        <v>0</v>
      </c>
    </row>
    <row r="3134" spans="3:10" x14ac:dyDescent="0.25">
      <c r="C3134" s="300" t="s">
        <v>1060</v>
      </c>
      <c r="D3134" s="283" t="s">
        <v>1074</v>
      </c>
      <c r="E3134" s="283" t="s">
        <v>1075</v>
      </c>
      <c r="F3134" s="283" t="s">
        <v>1075</v>
      </c>
      <c r="G3134" s="283">
        <v>2</v>
      </c>
      <c r="H3134" s="283">
        <v>0</v>
      </c>
      <c r="I3134" s="283">
        <v>0</v>
      </c>
      <c r="J3134" s="284">
        <v>0</v>
      </c>
    </row>
    <row r="3135" spans="3:10" x14ac:dyDescent="0.25">
      <c r="C3135" s="300" t="s">
        <v>1062</v>
      </c>
      <c r="D3135" s="283" t="s">
        <v>1079</v>
      </c>
      <c r="E3135" s="283" t="s">
        <v>1076</v>
      </c>
      <c r="F3135" s="283" t="s">
        <v>1089</v>
      </c>
      <c r="G3135" s="283">
        <v>2</v>
      </c>
      <c r="H3135" s="283">
        <v>0</v>
      </c>
      <c r="I3135" s="283">
        <v>0</v>
      </c>
      <c r="J3135" s="284">
        <v>0</v>
      </c>
    </row>
    <row r="3136" spans="3:10" x14ac:dyDescent="0.25">
      <c r="C3136" s="300" t="s">
        <v>1060</v>
      </c>
      <c r="D3136" s="283" t="s">
        <v>1079</v>
      </c>
      <c r="E3136" s="283" t="s">
        <v>1075</v>
      </c>
      <c r="F3136" s="283" t="s">
        <v>1075</v>
      </c>
      <c r="G3136" s="283">
        <v>2</v>
      </c>
      <c r="H3136" s="283">
        <v>0</v>
      </c>
      <c r="I3136" s="283">
        <v>0</v>
      </c>
      <c r="J3136" s="284">
        <v>0</v>
      </c>
    </row>
    <row r="3137" spans="3:10" x14ac:dyDescent="0.25">
      <c r="C3137" s="300" t="s">
        <v>1061</v>
      </c>
      <c r="D3137" s="283" t="s">
        <v>1079</v>
      </c>
      <c r="E3137" s="283" t="s">
        <v>1075</v>
      </c>
      <c r="F3137" s="283" t="s">
        <v>1075</v>
      </c>
      <c r="G3137" s="283">
        <v>2</v>
      </c>
      <c r="H3137" s="283">
        <v>0</v>
      </c>
      <c r="I3137" s="283">
        <v>0</v>
      </c>
      <c r="J3137" s="284">
        <v>0</v>
      </c>
    </row>
    <row r="3138" spans="3:10" x14ac:dyDescent="0.25">
      <c r="C3138" s="300" t="s">
        <v>1062</v>
      </c>
      <c r="D3138" s="283" t="s">
        <v>1077</v>
      </c>
      <c r="E3138" s="283" t="s">
        <v>1075</v>
      </c>
      <c r="F3138" s="283" t="s">
        <v>1078</v>
      </c>
      <c r="G3138" s="283">
        <v>2</v>
      </c>
      <c r="H3138" s="283">
        <v>0</v>
      </c>
      <c r="I3138" s="283">
        <v>0</v>
      </c>
      <c r="J3138" s="284">
        <v>0</v>
      </c>
    </row>
    <row r="3139" spans="3:10" x14ac:dyDescent="0.25">
      <c r="C3139" s="300" t="s">
        <v>1066</v>
      </c>
      <c r="D3139" s="283" t="s">
        <v>1079</v>
      </c>
      <c r="E3139" s="283" t="s">
        <v>1075</v>
      </c>
      <c r="F3139" s="283" t="s">
        <v>1089</v>
      </c>
      <c r="G3139" s="283">
        <v>2</v>
      </c>
      <c r="H3139" s="283">
        <v>0</v>
      </c>
      <c r="I3139" s="283">
        <v>0</v>
      </c>
      <c r="J3139" s="284">
        <v>0</v>
      </c>
    </row>
    <row r="3140" spans="3:10" x14ac:dyDescent="0.25">
      <c r="C3140" s="300" t="s">
        <v>1064</v>
      </c>
      <c r="D3140" s="283" t="s">
        <v>1079</v>
      </c>
      <c r="E3140" s="283" t="s">
        <v>1075</v>
      </c>
      <c r="F3140" s="283" t="s">
        <v>1075</v>
      </c>
      <c r="G3140" s="283">
        <v>2</v>
      </c>
      <c r="H3140" s="283">
        <v>0</v>
      </c>
      <c r="I3140" s="283">
        <v>0</v>
      </c>
      <c r="J3140" s="284">
        <v>0</v>
      </c>
    </row>
    <row r="3141" spans="3:10" x14ac:dyDescent="0.25">
      <c r="C3141" s="300" t="s">
        <v>1064</v>
      </c>
      <c r="D3141" s="283" t="s">
        <v>1079</v>
      </c>
      <c r="E3141" s="283" t="s">
        <v>1075</v>
      </c>
      <c r="F3141" s="283" t="s">
        <v>1089</v>
      </c>
      <c r="G3141" s="283">
        <v>2</v>
      </c>
      <c r="H3141" s="283">
        <v>0</v>
      </c>
      <c r="I3141" s="283">
        <v>0</v>
      </c>
      <c r="J3141" s="284">
        <v>0</v>
      </c>
    </row>
    <row r="3142" spans="3:10" x14ac:dyDescent="0.25">
      <c r="C3142" s="300" t="s">
        <v>1060</v>
      </c>
      <c r="D3142" s="283" t="s">
        <v>1079</v>
      </c>
      <c r="E3142" s="283" t="s">
        <v>1075</v>
      </c>
      <c r="F3142" s="283" t="s">
        <v>1075</v>
      </c>
      <c r="G3142" s="283">
        <v>3</v>
      </c>
      <c r="H3142" s="283">
        <v>0</v>
      </c>
      <c r="I3142" s="283">
        <v>0</v>
      </c>
      <c r="J3142" s="284">
        <v>0</v>
      </c>
    </row>
    <row r="3143" spans="3:10" x14ac:dyDescent="0.25">
      <c r="C3143" s="300" t="s">
        <v>1065</v>
      </c>
      <c r="D3143" s="283" t="s">
        <v>1077</v>
      </c>
      <c r="E3143" s="283" t="s">
        <v>1075</v>
      </c>
      <c r="F3143" s="283" t="s">
        <v>1075</v>
      </c>
      <c r="G3143" s="283">
        <v>2</v>
      </c>
      <c r="H3143" s="283">
        <v>0</v>
      </c>
      <c r="I3143" s="283">
        <v>0</v>
      </c>
      <c r="J3143" s="284">
        <v>0</v>
      </c>
    </row>
    <row r="3144" spans="3:10" x14ac:dyDescent="0.25">
      <c r="C3144" s="300" t="s">
        <v>1065</v>
      </c>
      <c r="D3144" s="283" t="s">
        <v>1077</v>
      </c>
      <c r="E3144" s="283" t="s">
        <v>1076</v>
      </c>
      <c r="F3144" s="283" t="s">
        <v>1076</v>
      </c>
      <c r="G3144" s="283">
        <v>2</v>
      </c>
      <c r="H3144" s="283">
        <v>0</v>
      </c>
      <c r="I3144" s="283">
        <v>0</v>
      </c>
      <c r="J3144" s="284">
        <v>0</v>
      </c>
    </row>
    <row r="3145" spans="3:10" x14ac:dyDescent="0.25">
      <c r="C3145" s="300" t="s">
        <v>1065</v>
      </c>
      <c r="D3145" s="283" t="s">
        <v>1079</v>
      </c>
      <c r="E3145" s="283" t="s">
        <v>1075</v>
      </c>
      <c r="F3145" s="283" t="s">
        <v>1075</v>
      </c>
      <c r="G3145" s="283">
        <v>2</v>
      </c>
      <c r="H3145" s="283">
        <v>0</v>
      </c>
      <c r="I3145" s="283">
        <v>0</v>
      </c>
      <c r="J3145" s="284">
        <v>0</v>
      </c>
    </row>
    <row r="3146" spans="3:10" x14ac:dyDescent="0.25">
      <c r="C3146" s="300" t="s">
        <v>1064</v>
      </c>
      <c r="D3146" s="283" t="s">
        <v>1077</v>
      </c>
      <c r="E3146" s="283" t="s">
        <v>1089</v>
      </c>
      <c r="F3146" s="283" t="s">
        <v>1076</v>
      </c>
      <c r="G3146" s="283">
        <v>2</v>
      </c>
      <c r="H3146" s="283">
        <v>0</v>
      </c>
      <c r="I3146" s="283">
        <v>0</v>
      </c>
      <c r="J3146" s="284">
        <v>0</v>
      </c>
    </row>
    <row r="3147" spans="3:10" x14ac:dyDescent="0.25">
      <c r="C3147" s="300" t="s">
        <v>1061</v>
      </c>
      <c r="D3147" s="283" t="s">
        <v>1079</v>
      </c>
      <c r="E3147" s="283" t="s">
        <v>1086</v>
      </c>
      <c r="F3147" s="283" t="s">
        <v>1075</v>
      </c>
      <c r="G3147" s="283">
        <v>2</v>
      </c>
      <c r="H3147" s="283">
        <v>0</v>
      </c>
      <c r="I3147" s="283">
        <v>0</v>
      </c>
      <c r="J3147" s="284">
        <v>0</v>
      </c>
    </row>
    <row r="3148" spans="3:10" x14ac:dyDescent="0.25">
      <c r="C3148" s="300" t="s">
        <v>1063</v>
      </c>
      <c r="D3148" s="283" t="s">
        <v>1077</v>
      </c>
      <c r="E3148" s="283" t="s">
        <v>1080</v>
      </c>
      <c r="F3148" s="283" t="s">
        <v>1076</v>
      </c>
      <c r="G3148" s="283">
        <v>2</v>
      </c>
      <c r="H3148" s="283">
        <v>0</v>
      </c>
      <c r="I3148" s="283">
        <v>0</v>
      </c>
      <c r="J3148" s="284">
        <v>0</v>
      </c>
    </row>
    <row r="3149" spans="3:10" x14ac:dyDescent="0.25">
      <c r="C3149" s="300" t="s">
        <v>1063</v>
      </c>
      <c r="D3149" s="283" t="s">
        <v>1077</v>
      </c>
      <c r="E3149" s="283" t="s">
        <v>1089</v>
      </c>
      <c r="F3149" s="283" t="s">
        <v>1089</v>
      </c>
      <c r="G3149" s="283">
        <v>2</v>
      </c>
      <c r="H3149" s="283">
        <v>0</v>
      </c>
      <c r="I3149" s="283">
        <v>0</v>
      </c>
      <c r="J3149" s="284">
        <v>0</v>
      </c>
    </row>
    <row r="3150" spans="3:10" x14ac:dyDescent="0.25">
      <c r="C3150" s="300" t="s">
        <v>1065</v>
      </c>
      <c r="D3150" s="283" t="s">
        <v>1077</v>
      </c>
      <c r="E3150" s="283" t="s">
        <v>1089</v>
      </c>
      <c r="F3150" s="283" t="s">
        <v>1084</v>
      </c>
      <c r="G3150" s="283">
        <v>3</v>
      </c>
      <c r="H3150" s="283">
        <v>0</v>
      </c>
      <c r="I3150" s="283">
        <v>0</v>
      </c>
      <c r="J3150" s="284">
        <v>1</v>
      </c>
    </row>
    <row r="3151" spans="3:10" x14ac:dyDescent="0.25">
      <c r="C3151" s="300" t="s">
        <v>1063</v>
      </c>
      <c r="D3151" s="283" t="s">
        <v>1079</v>
      </c>
      <c r="E3151" s="283" t="s">
        <v>1088</v>
      </c>
      <c r="F3151" s="283" t="s">
        <v>1075</v>
      </c>
      <c r="G3151" s="283">
        <v>2</v>
      </c>
      <c r="H3151" s="283">
        <v>0</v>
      </c>
      <c r="I3151" s="283">
        <v>0</v>
      </c>
      <c r="J3151" s="284">
        <v>0</v>
      </c>
    </row>
    <row r="3152" spans="3:10" x14ac:dyDescent="0.25">
      <c r="C3152" s="300" t="s">
        <v>1065</v>
      </c>
      <c r="D3152" s="283" t="s">
        <v>1074</v>
      </c>
      <c r="E3152" s="283" t="s">
        <v>1075</v>
      </c>
      <c r="F3152" s="283" t="s">
        <v>1075</v>
      </c>
      <c r="G3152" s="283">
        <v>2</v>
      </c>
      <c r="H3152" s="283">
        <v>0</v>
      </c>
      <c r="I3152" s="283">
        <v>0</v>
      </c>
      <c r="J3152" s="284">
        <v>0</v>
      </c>
    </row>
    <row r="3153" spans="3:10" x14ac:dyDescent="0.25">
      <c r="C3153" s="300" t="s">
        <v>1066</v>
      </c>
      <c r="D3153" s="283" t="s">
        <v>1090</v>
      </c>
      <c r="E3153" s="283" t="s">
        <v>1075</v>
      </c>
      <c r="F3153" s="283" t="s">
        <v>524</v>
      </c>
      <c r="G3153" s="283">
        <v>1</v>
      </c>
      <c r="H3153" s="283">
        <v>0</v>
      </c>
      <c r="I3153" s="283">
        <v>0</v>
      </c>
      <c r="J3153" s="284">
        <v>0</v>
      </c>
    </row>
    <row r="3154" spans="3:10" x14ac:dyDescent="0.25">
      <c r="C3154" s="300" t="s">
        <v>1066</v>
      </c>
      <c r="D3154" s="283" t="s">
        <v>1077</v>
      </c>
      <c r="E3154" s="283" t="s">
        <v>1089</v>
      </c>
      <c r="F3154" s="283" t="s">
        <v>1078</v>
      </c>
      <c r="G3154" s="283">
        <v>3</v>
      </c>
      <c r="H3154" s="283">
        <v>0</v>
      </c>
      <c r="I3154" s="283">
        <v>0</v>
      </c>
      <c r="J3154" s="284">
        <v>0</v>
      </c>
    </row>
    <row r="3155" spans="3:10" x14ac:dyDescent="0.25">
      <c r="C3155" s="300" t="s">
        <v>1061</v>
      </c>
      <c r="D3155" s="283" t="s">
        <v>1043</v>
      </c>
      <c r="E3155" s="283" t="s">
        <v>1075</v>
      </c>
      <c r="F3155" s="283" t="s">
        <v>1092</v>
      </c>
      <c r="G3155" s="283">
        <v>2</v>
      </c>
      <c r="H3155" s="283">
        <v>0</v>
      </c>
      <c r="I3155" s="283">
        <v>1</v>
      </c>
      <c r="J3155" s="284">
        <v>0</v>
      </c>
    </row>
    <row r="3156" spans="3:10" x14ac:dyDescent="0.25">
      <c r="C3156" s="300" t="s">
        <v>1067</v>
      </c>
      <c r="D3156" s="283" t="s">
        <v>1077</v>
      </c>
      <c r="E3156" s="283" t="s">
        <v>1078</v>
      </c>
      <c r="F3156" s="283" t="s">
        <v>1075</v>
      </c>
      <c r="G3156" s="283">
        <v>3</v>
      </c>
      <c r="H3156" s="283">
        <v>0</v>
      </c>
      <c r="I3156" s="283">
        <v>0</v>
      </c>
      <c r="J3156" s="284">
        <v>1</v>
      </c>
    </row>
    <row r="3157" spans="3:10" x14ac:dyDescent="0.25">
      <c r="C3157" s="300" t="s">
        <v>1063</v>
      </c>
      <c r="D3157" s="283" t="s">
        <v>1043</v>
      </c>
      <c r="E3157" s="283" t="s">
        <v>1076</v>
      </c>
      <c r="F3157" s="283" t="s">
        <v>1092</v>
      </c>
      <c r="G3157" s="283">
        <v>2</v>
      </c>
      <c r="H3157" s="283">
        <v>0</v>
      </c>
      <c r="I3157" s="283">
        <v>0</v>
      </c>
      <c r="J3157" s="284">
        <v>0</v>
      </c>
    </row>
    <row r="3158" spans="3:10" x14ac:dyDescent="0.25">
      <c r="C3158" s="300" t="s">
        <v>1063</v>
      </c>
      <c r="D3158" s="283" t="s">
        <v>1087</v>
      </c>
      <c r="E3158" s="283" t="s">
        <v>1075</v>
      </c>
      <c r="F3158" s="283" t="s">
        <v>524</v>
      </c>
      <c r="G3158" s="283">
        <v>1</v>
      </c>
      <c r="H3158" s="283">
        <v>0</v>
      </c>
      <c r="I3158" s="283">
        <v>0</v>
      </c>
      <c r="J3158" s="284">
        <v>0</v>
      </c>
    </row>
    <row r="3159" spans="3:10" x14ac:dyDescent="0.25">
      <c r="C3159" s="300" t="s">
        <v>1065</v>
      </c>
      <c r="D3159" s="283" t="s">
        <v>1074</v>
      </c>
      <c r="E3159" s="283" t="s">
        <v>1076</v>
      </c>
      <c r="F3159" s="283" t="s">
        <v>1044</v>
      </c>
      <c r="G3159" s="283">
        <v>2</v>
      </c>
      <c r="H3159" s="283">
        <v>0</v>
      </c>
      <c r="I3159" s="283">
        <v>0</v>
      </c>
      <c r="J3159" s="284">
        <v>0</v>
      </c>
    </row>
    <row r="3160" spans="3:10" x14ac:dyDescent="0.25">
      <c r="C3160" s="300" t="s">
        <v>1066</v>
      </c>
      <c r="D3160" s="283" t="s">
        <v>1043</v>
      </c>
      <c r="E3160" s="283" t="s">
        <v>1075</v>
      </c>
      <c r="F3160" s="283" t="s">
        <v>1092</v>
      </c>
      <c r="G3160" s="283">
        <v>2</v>
      </c>
      <c r="H3160" s="283">
        <v>0</v>
      </c>
      <c r="I3160" s="283">
        <v>1</v>
      </c>
      <c r="J3160" s="284">
        <v>0</v>
      </c>
    </row>
    <row r="3161" spans="3:10" x14ac:dyDescent="0.25">
      <c r="C3161" s="300" t="s">
        <v>1062</v>
      </c>
      <c r="D3161" s="283" t="s">
        <v>1077</v>
      </c>
      <c r="E3161" s="283" t="s">
        <v>1075</v>
      </c>
      <c r="F3161" s="283" t="s">
        <v>1089</v>
      </c>
      <c r="G3161" s="283">
        <v>2</v>
      </c>
      <c r="H3161" s="283">
        <v>0</v>
      </c>
      <c r="I3161" s="283">
        <v>0</v>
      </c>
      <c r="J3161" s="284">
        <v>0</v>
      </c>
    </row>
    <row r="3162" spans="3:10" x14ac:dyDescent="0.25">
      <c r="C3162" s="300" t="s">
        <v>1064</v>
      </c>
      <c r="D3162" s="283" t="s">
        <v>1077</v>
      </c>
      <c r="E3162" s="283" t="s">
        <v>1075</v>
      </c>
      <c r="F3162" s="283" t="s">
        <v>1075</v>
      </c>
      <c r="G3162" s="283">
        <v>2</v>
      </c>
      <c r="H3162" s="283">
        <v>0</v>
      </c>
      <c r="I3162" s="283">
        <v>0</v>
      </c>
      <c r="J3162" s="284">
        <v>0</v>
      </c>
    </row>
    <row r="3163" spans="3:10" x14ac:dyDescent="0.25">
      <c r="C3163" s="300" t="s">
        <v>1068</v>
      </c>
      <c r="D3163" s="283" t="s">
        <v>1079</v>
      </c>
      <c r="E3163" s="283" t="s">
        <v>1075</v>
      </c>
      <c r="F3163" s="283" t="s">
        <v>1075</v>
      </c>
      <c r="G3163" s="283">
        <v>3</v>
      </c>
      <c r="H3163" s="283">
        <v>0</v>
      </c>
      <c r="I3163" s="283">
        <v>0</v>
      </c>
      <c r="J3163" s="284">
        <v>0</v>
      </c>
    </row>
    <row r="3164" spans="3:10" x14ac:dyDescent="0.25">
      <c r="C3164" s="300" t="s">
        <v>1066</v>
      </c>
      <c r="D3164" s="283" t="s">
        <v>1096</v>
      </c>
      <c r="E3164" s="283" t="s">
        <v>1075</v>
      </c>
      <c r="F3164" s="283" t="s">
        <v>524</v>
      </c>
      <c r="G3164" s="283">
        <v>1</v>
      </c>
      <c r="H3164" s="283">
        <v>0</v>
      </c>
      <c r="I3164" s="283">
        <v>0</v>
      </c>
      <c r="J3164" s="284">
        <v>0</v>
      </c>
    </row>
    <row r="3165" spans="3:10" x14ac:dyDescent="0.25">
      <c r="C3165" s="300" t="s">
        <v>1066</v>
      </c>
      <c r="D3165" s="283" t="s">
        <v>1077</v>
      </c>
      <c r="E3165" s="283" t="s">
        <v>1089</v>
      </c>
      <c r="F3165" s="283" t="s">
        <v>1089</v>
      </c>
      <c r="G3165" s="283">
        <v>2</v>
      </c>
      <c r="H3165" s="283">
        <v>0</v>
      </c>
      <c r="I3165" s="283">
        <v>0</v>
      </c>
      <c r="J3165" s="284">
        <v>0</v>
      </c>
    </row>
    <row r="3166" spans="3:10" x14ac:dyDescent="0.25">
      <c r="C3166" s="300" t="s">
        <v>1067</v>
      </c>
      <c r="D3166" s="283" t="s">
        <v>1079</v>
      </c>
      <c r="E3166" s="283" t="s">
        <v>1075</v>
      </c>
      <c r="F3166" s="283" t="s">
        <v>1075</v>
      </c>
      <c r="G3166" s="283">
        <v>2</v>
      </c>
      <c r="H3166" s="283">
        <v>0</v>
      </c>
      <c r="I3166" s="283">
        <v>0</v>
      </c>
      <c r="J3166" s="284">
        <v>0</v>
      </c>
    </row>
    <row r="3167" spans="3:10" x14ac:dyDescent="0.25">
      <c r="C3167" s="300" t="s">
        <v>1066</v>
      </c>
      <c r="D3167" s="283" t="s">
        <v>1077</v>
      </c>
      <c r="E3167" s="283" t="s">
        <v>1075</v>
      </c>
      <c r="F3167" s="283" t="s">
        <v>1075</v>
      </c>
      <c r="G3167" s="283">
        <v>2</v>
      </c>
      <c r="H3167" s="283">
        <v>0</v>
      </c>
      <c r="I3167" s="283">
        <v>0</v>
      </c>
      <c r="J3167" s="284">
        <v>0</v>
      </c>
    </row>
    <row r="3168" spans="3:10" x14ac:dyDescent="0.25">
      <c r="C3168" s="300" t="s">
        <v>1066</v>
      </c>
      <c r="D3168" s="283" t="s">
        <v>1074</v>
      </c>
      <c r="E3168" s="283" t="s">
        <v>1075</v>
      </c>
      <c r="F3168" s="283" t="s">
        <v>1089</v>
      </c>
      <c r="G3168" s="283">
        <v>2</v>
      </c>
      <c r="H3168" s="283">
        <v>0</v>
      </c>
      <c r="I3168" s="283">
        <v>1</v>
      </c>
      <c r="J3168" s="284">
        <v>0</v>
      </c>
    </row>
    <row r="3169" spans="3:10" x14ac:dyDescent="0.25">
      <c r="C3169" s="300" t="s">
        <v>1064</v>
      </c>
      <c r="D3169" s="283" t="s">
        <v>1079</v>
      </c>
      <c r="E3169" s="283" t="s">
        <v>1075</v>
      </c>
      <c r="F3169" s="283" t="s">
        <v>1083</v>
      </c>
      <c r="G3169" s="283">
        <v>2</v>
      </c>
      <c r="H3169" s="283">
        <v>0</v>
      </c>
      <c r="I3169" s="283">
        <v>0</v>
      </c>
      <c r="J3169" s="284">
        <v>1</v>
      </c>
    </row>
    <row r="3170" spans="3:10" x14ac:dyDescent="0.25">
      <c r="C3170" s="300" t="s">
        <v>1061</v>
      </c>
      <c r="D3170" s="283" t="s">
        <v>1043</v>
      </c>
      <c r="E3170" s="283" t="s">
        <v>1075</v>
      </c>
      <c r="F3170" s="283" t="s">
        <v>1104</v>
      </c>
      <c r="G3170" s="283">
        <v>2</v>
      </c>
      <c r="H3170" s="283">
        <v>0</v>
      </c>
      <c r="I3170" s="283">
        <v>0</v>
      </c>
      <c r="J3170" s="284">
        <v>1</v>
      </c>
    </row>
    <row r="3171" spans="3:10" x14ac:dyDescent="0.25">
      <c r="C3171" s="300" t="s">
        <v>1065</v>
      </c>
      <c r="D3171" s="283" t="s">
        <v>1079</v>
      </c>
      <c r="E3171" s="283" t="s">
        <v>1078</v>
      </c>
      <c r="F3171" s="283" t="s">
        <v>1089</v>
      </c>
      <c r="G3171" s="283">
        <v>2</v>
      </c>
      <c r="H3171" s="283">
        <v>0</v>
      </c>
      <c r="I3171" s="283">
        <v>0</v>
      </c>
      <c r="J3171" s="284">
        <v>0</v>
      </c>
    </row>
    <row r="3172" spans="3:10" x14ac:dyDescent="0.25">
      <c r="C3172" s="300" t="s">
        <v>1060</v>
      </c>
      <c r="D3172" s="283" t="s">
        <v>1077</v>
      </c>
      <c r="E3172" s="283" t="s">
        <v>1089</v>
      </c>
      <c r="F3172" s="283" t="s">
        <v>1089</v>
      </c>
      <c r="G3172" s="283">
        <v>2</v>
      </c>
      <c r="H3172" s="283">
        <v>0</v>
      </c>
      <c r="I3172" s="283">
        <v>0</v>
      </c>
      <c r="J3172" s="284">
        <v>1</v>
      </c>
    </row>
    <row r="3173" spans="3:10" x14ac:dyDescent="0.25">
      <c r="C3173" s="300" t="s">
        <v>1062</v>
      </c>
      <c r="D3173" s="283" t="s">
        <v>1087</v>
      </c>
      <c r="E3173" s="283" t="s">
        <v>1075</v>
      </c>
      <c r="F3173" s="283" t="s">
        <v>524</v>
      </c>
      <c r="G3173" s="283">
        <v>1</v>
      </c>
      <c r="H3173" s="283">
        <v>0</v>
      </c>
      <c r="I3173" s="283">
        <v>0</v>
      </c>
      <c r="J3173" s="284">
        <v>1</v>
      </c>
    </row>
    <row r="3174" spans="3:10" x14ac:dyDescent="0.25">
      <c r="C3174" s="300" t="s">
        <v>1060</v>
      </c>
      <c r="D3174" s="283" t="s">
        <v>1079</v>
      </c>
      <c r="E3174" s="283" t="s">
        <v>1075</v>
      </c>
      <c r="F3174" s="283" t="s">
        <v>1080</v>
      </c>
      <c r="G3174" s="283">
        <v>2</v>
      </c>
      <c r="H3174" s="283">
        <v>0</v>
      </c>
      <c r="I3174" s="283">
        <v>1</v>
      </c>
      <c r="J3174" s="284">
        <v>0</v>
      </c>
    </row>
    <row r="3175" spans="3:10" x14ac:dyDescent="0.25">
      <c r="C3175" s="300" t="s">
        <v>1064</v>
      </c>
      <c r="D3175" s="283" t="s">
        <v>1079</v>
      </c>
      <c r="E3175" s="283" t="s">
        <v>1089</v>
      </c>
      <c r="F3175" s="283" t="s">
        <v>1083</v>
      </c>
      <c r="G3175" s="283">
        <v>2</v>
      </c>
      <c r="H3175" s="283">
        <v>0</v>
      </c>
      <c r="I3175" s="283">
        <v>0</v>
      </c>
      <c r="J3175" s="284">
        <v>0</v>
      </c>
    </row>
    <row r="3176" spans="3:10" x14ac:dyDescent="0.25">
      <c r="C3176" s="300" t="s">
        <v>1060</v>
      </c>
      <c r="D3176" s="283" t="s">
        <v>1087</v>
      </c>
      <c r="E3176" s="283" t="s">
        <v>1083</v>
      </c>
      <c r="F3176" s="283" t="s">
        <v>524</v>
      </c>
      <c r="G3176" s="283">
        <v>1</v>
      </c>
      <c r="H3176" s="283">
        <v>0</v>
      </c>
      <c r="I3176" s="283">
        <v>1</v>
      </c>
      <c r="J3176" s="284">
        <v>0</v>
      </c>
    </row>
    <row r="3177" spans="3:10" x14ac:dyDescent="0.25">
      <c r="C3177" s="300" t="s">
        <v>1059</v>
      </c>
      <c r="D3177" s="283" t="s">
        <v>1074</v>
      </c>
      <c r="E3177" s="283" t="s">
        <v>1086</v>
      </c>
      <c r="F3177" s="283" t="s">
        <v>1075</v>
      </c>
      <c r="G3177" s="283">
        <v>2</v>
      </c>
      <c r="H3177" s="283">
        <v>0</v>
      </c>
      <c r="I3177" s="283">
        <v>0</v>
      </c>
      <c r="J3177" s="284">
        <v>0</v>
      </c>
    </row>
    <row r="3178" spans="3:10" x14ac:dyDescent="0.25">
      <c r="C3178" s="300" t="s">
        <v>1060</v>
      </c>
      <c r="D3178" s="283" t="s">
        <v>1077</v>
      </c>
      <c r="E3178" s="283" t="s">
        <v>1083</v>
      </c>
      <c r="F3178" s="283" t="s">
        <v>1084</v>
      </c>
      <c r="G3178" s="283">
        <v>2</v>
      </c>
      <c r="H3178" s="283">
        <v>0</v>
      </c>
      <c r="I3178" s="283">
        <v>1</v>
      </c>
      <c r="J3178" s="284">
        <v>0</v>
      </c>
    </row>
    <row r="3179" spans="3:10" x14ac:dyDescent="0.25">
      <c r="C3179" s="300" t="s">
        <v>1057</v>
      </c>
      <c r="D3179" s="283" t="s">
        <v>1079</v>
      </c>
      <c r="E3179" s="283" t="s">
        <v>1075</v>
      </c>
      <c r="F3179" s="283" t="s">
        <v>1089</v>
      </c>
      <c r="G3179" s="283">
        <v>2</v>
      </c>
      <c r="H3179" s="283">
        <v>0</v>
      </c>
      <c r="I3179" s="283">
        <v>0</v>
      </c>
      <c r="J3179" s="284">
        <v>0</v>
      </c>
    </row>
    <row r="3180" spans="3:10" x14ac:dyDescent="0.25">
      <c r="C3180" s="300" t="s">
        <v>1063</v>
      </c>
      <c r="D3180" s="283" t="s">
        <v>1079</v>
      </c>
      <c r="E3180" s="283" t="s">
        <v>1075</v>
      </c>
      <c r="F3180" s="283" t="s">
        <v>1075</v>
      </c>
      <c r="G3180" s="283">
        <v>2</v>
      </c>
      <c r="H3180" s="283">
        <v>0</v>
      </c>
      <c r="I3180" s="283">
        <v>0</v>
      </c>
      <c r="J3180" s="284">
        <v>1</v>
      </c>
    </row>
    <row r="3181" spans="3:10" x14ac:dyDescent="0.25">
      <c r="C3181" s="300" t="s">
        <v>1060</v>
      </c>
      <c r="D3181" s="283" t="s">
        <v>1079</v>
      </c>
      <c r="E3181" s="283" t="s">
        <v>1075</v>
      </c>
      <c r="F3181" s="283" t="s">
        <v>1075</v>
      </c>
      <c r="G3181" s="283">
        <v>2</v>
      </c>
      <c r="H3181" s="283">
        <v>0</v>
      </c>
      <c r="I3181" s="283">
        <v>0</v>
      </c>
      <c r="J3181" s="284">
        <v>0</v>
      </c>
    </row>
    <row r="3182" spans="3:10" x14ac:dyDescent="0.25">
      <c r="C3182" s="300" t="s">
        <v>1065</v>
      </c>
      <c r="D3182" s="283" t="s">
        <v>1079</v>
      </c>
      <c r="E3182" s="283" t="s">
        <v>1075</v>
      </c>
      <c r="F3182" s="283" t="s">
        <v>1075</v>
      </c>
      <c r="G3182" s="283">
        <v>2</v>
      </c>
      <c r="H3182" s="283">
        <v>0</v>
      </c>
      <c r="I3182" s="283">
        <v>0</v>
      </c>
      <c r="J3182" s="284">
        <v>0</v>
      </c>
    </row>
    <row r="3183" spans="3:10" x14ac:dyDescent="0.25">
      <c r="C3183" s="300" t="s">
        <v>1058</v>
      </c>
      <c r="D3183" s="283" t="s">
        <v>1079</v>
      </c>
      <c r="E3183" s="283" t="s">
        <v>1075</v>
      </c>
      <c r="F3183" s="283" t="s">
        <v>1100</v>
      </c>
      <c r="G3183" s="283">
        <v>2</v>
      </c>
      <c r="H3183" s="283">
        <v>0</v>
      </c>
      <c r="I3183" s="283">
        <v>0</v>
      </c>
      <c r="J3183" s="284">
        <v>0</v>
      </c>
    </row>
    <row r="3184" spans="3:10" x14ac:dyDescent="0.25">
      <c r="C3184" s="300" t="s">
        <v>1065</v>
      </c>
      <c r="D3184" s="283" t="s">
        <v>1077</v>
      </c>
      <c r="E3184" s="283" t="s">
        <v>1094</v>
      </c>
      <c r="F3184" s="283" t="s">
        <v>1089</v>
      </c>
      <c r="G3184" s="283">
        <v>2</v>
      </c>
      <c r="H3184" s="283">
        <v>0</v>
      </c>
      <c r="I3184" s="283">
        <v>0</v>
      </c>
      <c r="J3184" s="284">
        <v>1</v>
      </c>
    </row>
    <row r="3185" spans="3:10" x14ac:dyDescent="0.25">
      <c r="C3185" s="300" t="s">
        <v>1063</v>
      </c>
      <c r="D3185" s="283" t="s">
        <v>1079</v>
      </c>
      <c r="E3185" s="283" t="s">
        <v>1080</v>
      </c>
      <c r="F3185" s="283" t="s">
        <v>1075</v>
      </c>
      <c r="G3185" s="283">
        <v>2</v>
      </c>
      <c r="H3185" s="283">
        <v>0</v>
      </c>
      <c r="I3185" s="283">
        <v>0</v>
      </c>
      <c r="J3185" s="284">
        <v>1</v>
      </c>
    </row>
    <row r="3186" spans="3:10" x14ac:dyDescent="0.25">
      <c r="C3186" s="300" t="s">
        <v>1059</v>
      </c>
      <c r="D3186" s="283" t="s">
        <v>1043</v>
      </c>
      <c r="E3186" s="283" t="s">
        <v>1075</v>
      </c>
      <c r="F3186" s="283" t="s">
        <v>1092</v>
      </c>
      <c r="G3186" s="283">
        <v>2</v>
      </c>
      <c r="H3186" s="283">
        <v>0</v>
      </c>
      <c r="I3186" s="283">
        <v>1</v>
      </c>
      <c r="J3186" s="284">
        <v>0</v>
      </c>
    </row>
    <row r="3187" spans="3:10" x14ac:dyDescent="0.25">
      <c r="C3187" s="300" t="s">
        <v>1062</v>
      </c>
      <c r="D3187" s="283" t="s">
        <v>1077</v>
      </c>
      <c r="E3187" s="283" t="s">
        <v>1080</v>
      </c>
      <c r="F3187" s="283" t="s">
        <v>1075</v>
      </c>
      <c r="G3187" s="283">
        <v>3</v>
      </c>
      <c r="H3187" s="283">
        <v>0</v>
      </c>
      <c r="I3187" s="283">
        <v>0</v>
      </c>
      <c r="J3187" s="284">
        <v>0</v>
      </c>
    </row>
    <row r="3188" spans="3:10" x14ac:dyDescent="0.25">
      <c r="C3188" s="300" t="s">
        <v>1067</v>
      </c>
      <c r="D3188" s="283" t="s">
        <v>1079</v>
      </c>
      <c r="E3188" s="283" t="s">
        <v>1089</v>
      </c>
      <c r="F3188" s="283" t="s">
        <v>1075</v>
      </c>
      <c r="G3188" s="283">
        <v>2</v>
      </c>
      <c r="H3188" s="283">
        <v>0</v>
      </c>
      <c r="I3188" s="283">
        <v>0</v>
      </c>
      <c r="J3188" s="284">
        <v>0</v>
      </c>
    </row>
    <row r="3189" spans="3:10" x14ac:dyDescent="0.25">
      <c r="C3189" s="300" t="s">
        <v>1065</v>
      </c>
      <c r="D3189" s="283" t="s">
        <v>1079</v>
      </c>
      <c r="E3189" s="283" t="s">
        <v>1076</v>
      </c>
      <c r="F3189" s="283" t="s">
        <v>1075</v>
      </c>
      <c r="G3189" s="283">
        <v>3</v>
      </c>
      <c r="H3189" s="283">
        <v>0</v>
      </c>
      <c r="I3189" s="283">
        <v>0</v>
      </c>
      <c r="J3189" s="284">
        <v>0</v>
      </c>
    </row>
    <row r="3190" spans="3:10" x14ac:dyDescent="0.25">
      <c r="C3190" s="300" t="s">
        <v>1061</v>
      </c>
      <c r="D3190" s="283" t="s">
        <v>1074</v>
      </c>
      <c r="E3190" s="283" t="s">
        <v>1075</v>
      </c>
      <c r="F3190" s="283" t="s">
        <v>1075</v>
      </c>
      <c r="G3190" s="283">
        <v>2</v>
      </c>
      <c r="H3190" s="283">
        <v>0</v>
      </c>
      <c r="I3190" s="283">
        <v>0</v>
      </c>
      <c r="J3190" s="284">
        <v>0</v>
      </c>
    </row>
    <row r="3191" spans="3:10" x14ac:dyDescent="0.25">
      <c r="C3191" s="300" t="s">
        <v>1057</v>
      </c>
      <c r="D3191" s="283" t="s">
        <v>1095</v>
      </c>
      <c r="E3191" s="283" t="s">
        <v>1075</v>
      </c>
      <c r="F3191" s="283" t="s">
        <v>524</v>
      </c>
      <c r="G3191" s="283">
        <v>1</v>
      </c>
      <c r="H3191" s="283">
        <v>0</v>
      </c>
      <c r="I3191" s="283">
        <v>0</v>
      </c>
      <c r="J3191" s="284">
        <v>0</v>
      </c>
    </row>
    <row r="3192" spans="3:10" x14ac:dyDescent="0.25">
      <c r="C3192" s="300" t="s">
        <v>1059</v>
      </c>
      <c r="D3192" s="283" t="s">
        <v>1079</v>
      </c>
      <c r="E3192" s="283" t="s">
        <v>1076</v>
      </c>
      <c r="F3192" s="283" t="s">
        <v>1081</v>
      </c>
      <c r="G3192" s="283">
        <v>2</v>
      </c>
      <c r="H3192" s="283">
        <v>0</v>
      </c>
      <c r="I3192" s="283">
        <v>0</v>
      </c>
      <c r="J3192" s="284">
        <v>0</v>
      </c>
    </row>
    <row r="3193" spans="3:10" x14ac:dyDescent="0.25">
      <c r="C3193" s="300" t="s">
        <v>1063</v>
      </c>
      <c r="D3193" s="283" t="s">
        <v>1079</v>
      </c>
      <c r="E3193" s="283" t="s">
        <v>1089</v>
      </c>
      <c r="F3193" s="283" t="s">
        <v>1075</v>
      </c>
      <c r="G3193" s="283">
        <v>2</v>
      </c>
      <c r="H3193" s="283">
        <v>0</v>
      </c>
      <c r="I3193" s="283">
        <v>0</v>
      </c>
      <c r="J3193" s="284">
        <v>0</v>
      </c>
    </row>
    <row r="3194" spans="3:10" x14ac:dyDescent="0.25">
      <c r="C3194" s="300" t="s">
        <v>1063</v>
      </c>
      <c r="D3194" s="283" t="s">
        <v>1074</v>
      </c>
      <c r="E3194" s="283" t="s">
        <v>1076</v>
      </c>
      <c r="F3194" s="283" t="s">
        <v>1075</v>
      </c>
      <c r="G3194" s="283">
        <v>4</v>
      </c>
      <c r="H3194" s="283">
        <v>0</v>
      </c>
      <c r="I3194" s="283">
        <v>0</v>
      </c>
      <c r="J3194" s="284">
        <v>0</v>
      </c>
    </row>
    <row r="3195" spans="3:10" x14ac:dyDescent="0.25">
      <c r="C3195" s="300" t="s">
        <v>1066</v>
      </c>
      <c r="D3195" s="283" t="s">
        <v>1079</v>
      </c>
      <c r="E3195" s="283" t="s">
        <v>1089</v>
      </c>
      <c r="F3195" s="283" t="s">
        <v>1076</v>
      </c>
      <c r="G3195" s="283">
        <v>3</v>
      </c>
      <c r="H3195" s="283">
        <v>0</v>
      </c>
      <c r="I3195" s="283">
        <v>0</v>
      </c>
      <c r="J3195" s="284">
        <v>1</v>
      </c>
    </row>
    <row r="3196" spans="3:10" x14ac:dyDescent="0.25">
      <c r="C3196" s="300" t="s">
        <v>1065</v>
      </c>
      <c r="D3196" s="283" t="s">
        <v>1077</v>
      </c>
      <c r="E3196" s="283" t="s">
        <v>1075</v>
      </c>
      <c r="F3196" s="283" t="s">
        <v>1089</v>
      </c>
      <c r="G3196" s="283">
        <v>2</v>
      </c>
      <c r="H3196" s="283">
        <v>0</v>
      </c>
      <c r="I3196" s="283">
        <v>0</v>
      </c>
      <c r="J3196" s="284">
        <v>0</v>
      </c>
    </row>
    <row r="3197" spans="3:10" x14ac:dyDescent="0.25">
      <c r="C3197" s="300" t="s">
        <v>1064</v>
      </c>
      <c r="D3197" s="283" t="s">
        <v>1074</v>
      </c>
      <c r="E3197" s="283" t="s">
        <v>1075</v>
      </c>
      <c r="F3197" s="283" t="s">
        <v>1075</v>
      </c>
      <c r="G3197" s="283">
        <v>2</v>
      </c>
      <c r="H3197" s="283">
        <v>0</v>
      </c>
      <c r="I3197" s="283">
        <v>0</v>
      </c>
      <c r="J3197" s="284">
        <v>0</v>
      </c>
    </row>
    <row r="3198" spans="3:10" x14ac:dyDescent="0.25">
      <c r="C3198" s="300" t="s">
        <v>1061</v>
      </c>
      <c r="D3198" s="283" t="s">
        <v>1077</v>
      </c>
      <c r="E3198" s="283" t="s">
        <v>1083</v>
      </c>
      <c r="F3198" s="283" t="s">
        <v>1078</v>
      </c>
      <c r="G3198" s="283">
        <v>2</v>
      </c>
      <c r="H3198" s="283">
        <v>0</v>
      </c>
      <c r="I3198" s="283">
        <v>0</v>
      </c>
      <c r="J3198" s="284">
        <v>0</v>
      </c>
    </row>
    <row r="3199" spans="3:10" x14ac:dyDescent="0.25">
      <c r="C3199" s="300" t="s">
        <v>1066</v>
      </c>
      <c r="D3199" s="283" t="s">
        <v>1077</v>
      </c>
      <c r="E3199" s="283" t="s">
        <v>1089</v>
      </c>
      <c r="F3199" s="283" t="s">
        <v>1075</v>
      </c>
      <c r="G3199" s="283">
        <v>3</v>
      </c>
      <c r="H3199" s="283">
        <v>0</v>
      </c>
      <c r="I3199" s="283">
        <v>0</v>
      </c>
      <c r="J3199" s="284">
        <v>0</v>
      </c>
    </row>
    <row r="3200" spans="3:10" x14ac:dyDescent="0.25">
      <c r="C3200" s="300" t="s">
        <v>1063</v>
      </c>
      <c r="D3200" s="283" t="s">
        <v>1095</v>
      </c>
      <c r="E3200" s="283" t="s">
        <v>1078</v>
      </c>
      <c r="F3200" s="283" t="s">
        <v>524</v>
      </c>
      <c r="G3200" s="283">
        <v>1</v>
      </c>
      <c r="H3200" s="283">
        <v>0</v>
      </c>
      <c r="I3200" s="283">
        <v>0</v>
      </c>
      <c r="J3200" s="284">
        <v>0</v>
      </c>
    </row>
    <row r="3201" spans="3:10" x14ac:dyDescent="0.25">
      <c r="C3201" s="300" t="s">
        <v>1064</v>
      </c>
      <c r="D3201" s="283" t="s">
        <v>1087</v>
      </c>
      <c r="E3201" s="283" t="s">
        <v>1075</v>
      </c>
      <c r="F3201" s="283" t="s">
        <v>524</v>
      </c>
      <c r="G3201" s="283">
        <v>1</v>
      </c>
      <c r="H3201" s="283">
        <v>0</v>
      </c>
      <c r="I3201" s="283">
        <v>0</v>
      </c>
      <c r="J3201" s="284">
        <v>0</v>
      </c>
    </row>
    <row r="3202" spans="3:10" x14ac:dyDescent="0.25">
      <c r="C3202" s="300" t="s">
        <v>1063</v>
      </c>
      <c r="D3202" s="283" t="s">
        <v>1077</v>
      </c>
      <c r="E3202" s="283" t="s">
        <v>1075</v>
      </c>
      <c r="F3202" s="283" t="s">
        <v>1075</v>
      </c>
      <c r="G3202" s="283">
        <v>2</v>
      </c>
      <c r="H3202" s="283">
        <v>0</v>
      </c>
      <c r="I3202" s="283">
        <v>0</v>
      </c>
      <c r="J3202" s="284">
        <v>0</v>
      </c>
    </row>
    <row r="3203" spans="3:10" x14ac:dyDescent="0.25">
      <c r="C3203" s="300" t="s">
        <v>1067</v>
      </c>
      <c r="D3203" s="283" t="s">
        <v>1077</v>
      </c>
      <c r="E3203" s="283" t="s">
        <v>1075</v>
      </c>
      <c r="F3203" s="283" t="s">
        <v>1089</v>
      </c>
      <c r="G3203" s="283">
        <v>2</v>
      </c>
      <c r="H3203" s="283">
        <v>0</v>
      </c>
      <c r="I3203" s="283">
        <v>0</v>
      </c>
      <c r="J3203" s="284">
        <v>0</v>
      </c>
    </row>
    <row r="3204" spans="3:10" x14ac:dyDescent="0.25">
      <c r="C3204" s="300" t="s">
        <v>1064</v>
      </c>
      <c r="D3204" s="283" t="s">
        <v>1077</v>
      </c>
      <c r="E3204" s="283" t="s">
        <v>1084</v>
      </c>
      <c r="F3204" s="283" t="s">
        <v>1075</v>
      </c>
      <c r="G3204" s="283">
        <v>3</v>
      </c>
      <c r="H3204" s="283">
        <v>0</v>
      </c>
      <c r="I3204" s="283">
        <v>0</v>
      </c>
      <c r="J3204" s="284">
        <v>0</v>
      </c>
    </row>
    <row r="3205" spans="3:10" x14ac:dyDescent="0.25">
      <c r="C3205" s="300" t="s">
        <v>1064</v>
      </c>
      <c r="D3205" s="283" t="s">
        <v>1090</v>
      </c>
      <c r="E3205" s="283" t="s">
        <v>1080</v>
      </c>
      <c r="F3205" s="283" t="s">
        <v>524</v>
      </c>
      <c r="G3205" s="283">
        <v>1</v>
      </c>
      <c r="H3205" s="283">
        <v>0</v>
      </c>
      <c r="I3205" s="283">
        <v>0</v>
      </c>
      <c r="J3205" s="284">
        <v>0</v>
      </c>
    </row>
    <row r="3206" spans="3:10" x14ac:dyDescent="0.25">
      <c r="C3206" s="300" t="s">
        <v>1060</v>
      </c>
      <c r="D3206" s="283" t="s">
        <v>1077</v>
      </c>
      <c r="E3206" s="283" t="s">
        <v>1075</v>
      </c>
      <c r="F3206" s="283" t="s">
        <v>1075</v>
      </c>
      <c r="G3206" s="283">
        <v>2</v>
      </c>
      <c r="H3206" s="283">
        <v>0</v>
      </c>
      <c r="I3206" s="283">
        <v>0</v>
      </c>
      <c r="J3206" s="284">
        <v>0</v>
      </c>
    </row>
    <row r="3207" spans="3:10" x14ac:dyDescent="0.25">
      <c r="C3207" s="300" t="s">
        <v>1066</v>
      </c>
      <c r="D3207" s="283" t="s">
        <v>1087</v>
      </c>
      <c r="E3207" s="283" t="s">
        <v>1075</v>
      </c>
      <c r="F3207" s="283" t="s">
        <v>524</v>
      </c>
      <c r="G3207" s="283">
        <v>1</v>
      </c>
      <c r="H3207" s="283">
        <v>0</v>
      </c>
      <c r="I3207" s="283">
        <v>1</v>
      </c>
      <c r="J3207" s="284">
        <v>0</v>
      </c>
    </row>
    <row r="3208" spans="3:10" x14ac:dyDescent="0.25">
      <c r="C3208" s="300" t="s">
        <v>1060</v>
      </c>
      <c r="D3208" s="283" t="s">
        <v>1074</v>
      </c>
      <c r="E3208" s="283" t="s">
        <v>1075</v>
      </c>
      <c r="F3208" s="283" t="s">
        <v>1075</v>
      </c>
      <c r="G3208" s="283">
        <v>2</v>
      </c>
      <c r="H3208" s="283">
        <v>0</v>
      </c>
      <c r="I3208" s="283">
        <v>0</v>
      </c>
      <c r="J3208" s="284">
        <v>0</v>
      </c>
    </row>
    <row r="3209" spans="3:10" x14ac:dyDescent="0.25">
      <c r="C3209" s="300" t="s">
        <v>1058</v>
      </c>
      <c r="D3209" s="283" t="s">
        <v>1090</v>
      </c>
      <c r="E3209" s="283" t="s">
        <v>1093</v>
      </c>
      <c r="F3209" s="283" t="s">
        <v>524</v>
      </c>
      <c r="G3209" s="283">
        <v>1</v>
      </c>
      <c r="H3209" s="283">
        <v>0</v>
      </c>
      <c r="I3209" s="283">
        <v>0</v>
      </c>
      <c r="J3209" s="284">
        <v>1</v>
      </c>
    </row>
    <row r="3210" spans="3:10" x14ac:dyDescent="0.25">
      <c r="C3210" s="300" t="s">
        <v>1065</v>
      </c>
      <c r="D3210" s="283" t="s">
        <v>1079</v>
      </c>
      <c r="E3210" s="283" t="s">
        <v>1094</v>
      </c>
      <c r="F3210" s="283" t="s">
        <v>1089</v>
      </c>
      <c r="G3210" s="283">
        <v>2</v>
      </c>
      <c r="H3210" s="283">
        <v>0</v>
      </c>
      <c r="I3210" s="283">
        <v>0</v>
      </c>
      <c r="J3210" s="284">
        <v>0</v>
      </c>
    </row>
    <row r="3211" spans="3:10" x14ac:dyDescent="0.25">
      <c r="C3211" s="300" t="s">
        <v>1062</v>
      </c>
      <c r="D3211" s="283" t="s">
        <v>1077</v>
      </c>
      <c r="E3211" s="283" t="s">
        <v>1089</v>
      </c>
      <c r="F3211" s="283" t="s">
        <v>1075</v>
      </c>
      <c r="G3211" s="283">
        <v>2</v>
      </c>
      <c r="H3211" s="283">
        <v>0</v>
      </c>
      <c r="I3211" s="283">
        <v>0</v>
      </c>
      <c r="J3211" s="284">
        <v>0</v>
      </c>
    </row>
    <row r="3212" spans="3:10" x14ac:dyDescent="0.25">
      <c r="C3212" s="300" t="s">
        <v>1063</v>
      </c>
      <c r="D3212" s="283" t="s">
        <v>1043</v>
      </c>
      <c r="E3212" s="283" t="s">
        <v>1075</v>
      </c>
      <c r="F3212" s="283" t="s">
        <v>1092</v>
      </c>
      <c r="G3212" s="283">
        <v>5</v>
      </c>
      <c r="H3212" s="283">
        <v>0</v>
      </c>
      <c r="I3212" s="283">
        <v>1</v>
      </c>
      <c r="J3212" s="284">
        <v>1</v>
      </c>
    </row>
    <row r="3213" spans="3:10" x14ac:dyDescent="0.25">
      <c r="C3213" s="300" t="s">
        <v>1063</v>
      </c>
      <c r="D3213" s="283" t="s">
        <v>1087</v>
      </c>
      <c r="E3213" s="283" t="s">
        <v>1075</v>
      </c>
      <c r="F3213" s="283" t="s">
        <v>524</v>
      </c>
      <c r="G3213" s="283">
        <v>1</v>
      </c>
      <c r="H3213" s="283">
        <v>0</v>
      </c>
      <c r="I3213" s="283">
        <v>0</v>
      </c>
      <c r="J3213" s="284">
        <v>0</v>
      </c>
    </row>
    <row r="3214" spans="3:10" x14ac:dyDescent="0.25">
      <c r="C3214" s="300" t="s">
        <v>1063</v>
      </c>
      <c r="D3214" s="283" t="s">
        <v>1074</v>
      </c>
      <c r="E3214" s="283" t="s">
        <v>1089</v>
      </c>
      <c r="F3214" s="283" t="s">
        <v>1093</v>
      </c>
      <c r="G3214" s="283">
        <v>2</v>
      </c>
      <c r="H3214" s="283">
        <v>0</v>
      </c>
      <c r="I3214" s="283">
        <v>1</v>
      </c>
      <c r="J3214" s="284">
        <v>0</v>
      </c>
    </row>
    <row r="3215" spans="3:10" x14ac:dyDescent="0.25">
      <c r="C3215" s="300" t="s">
        <v>1064</v>
      </c>
      <c r="D3215" s="283" t="s">
        <v>1074</v>
      </c>
      <c r="E3215" s="283" t="s">
        <v>1075</v>
      </c>
      <c r="F3215" s="283" t="s">
        <v>1075</v>
      </c>
      <c r="G3215" s="283">
        <v>3</v>
      </c>
      <c r="H3215" s="283">
        <v>0</v>
      </c>
      <c r="I3215" s="283">
        <v>0</v>
      </c>
      <c r="J3215" s="284">
        <v>0</v>
      </c>
    </row>
    <row r="3216" spans="3:10" x14ac:dyDescent="0.25">
      <c r="C3216" s="300" t="s">
        <v>1065</v>
      </c>
      <c r="D3216" s="283" t="s">
        <v>1074</v>
      </c>
      <c r="E3216" s="283" t="s">
        <v>1089</v>
      </c>
      <c r="F3216" s="283" t="s">
        <v>1099</v>
      </c>
      <c r="G3216" s="283">
        <v>2</v>
      </c>
      <c r="H3216" s="283">
        <v>0</v>
      </c>
      <c r="I3216" s="283">
        <v>1</v>
      </c>
      <c r="J3216" s="284">
        <v>0</v>
      </c>
    </row>
    <row r="3217" spans="3:10" x14ac:dyDescent="0.25">
      <c r="C3217" s="300" t="s">
        <v>1064</v>
      </c>
      <c r="D3217" s="283" t="s">
        <v>1087</v>
      </c>
      <c r="E3217" s="283" t="s">
        <v>1089</v>
      </c>
      <c r="F3217" s="283" t="s">
        <v>524</v>
      </c>
      <c r="G3217" s="283">
        <v>1</v>
      </c>
      <c r="H3217" s="283">
        <v>0</v>
      </c>
      <c r="I3217" s="283">
        <v>1</v>
      </c>
      <c r="J3217" s="284">
        <v>0</v>
      </c>
    </row>
    <row r="3218" spans="3:10" x14ac:dyDescent="0.25">
      <c r="C3218" s="300" t="s">
        <v>1064</v>
      </c>
      <c r="D3218" s="283" t="s">
        <v>1077</v>
      </c>
      <c r="E3218" s="283" t="s">
        <v>1076</v>
      </c>
      <c r="F3218" s="283" t="s">
        <v>1088</v>
      </c>
      <c r="G3218" s="283">
        <v>2</v>
      </c>
      <c r="H3218" s="283">
        <v>0</v>
      </c>
      <c r="I3218" s="283">
        <v>0</v>
      </c>
      <c r="J3218" s="284">
        <v>1</v>
      </c>
    </row>
    <row r="3219" spans="3:10" x14ac:dyDescent="0.25">
      <c r="C3219" s="300" t="s">
        <v>1065</v>
      </c>
      <c r="D3219" s="283" t="s">
        <v>1074</v>
      </c>
      <c r="E3219" s="283" t="s">
        <v>1075</v>
      </c>
      <c r="F3219" s="283" t="s">
        <v>1089</v>
      </c>
      <c r="G3219" s="283">
        <v>2</v>
      </c>
      <c r="H3219" s="283">
        <v>0</v>
      </c>
      <c r="I3219" s="283">
        <v>1</v>
      </c>
      <c r="J3219" s="284">
        <v>1</v>
      </c>
    </row>
    <row r="3220" spans="3:10" x14ac:dyDescent="0.25">
      <c r="C3220" s="300" t="s">
        <v>1066</v>
      </c>
      <c r="D3220" s="283" t="s">
        <v>1079</v>
      </c>
      <c r="E3220" s="283" t="s">
        <v>1089</v>
      </c>
      <c r="F3220" s="283" t="s">
        <v>1089</v>
      </c>
      <c r="G3220" s="283">
        <v>2</v>
      </c>
      <c r="H3220" s="283">
        <v>0</v>
      </c>
      <c r="I3220" s="283">
        <v>0</v>
      </c>
      <c r="J3220" s="284">
        <v>0</v>
      </c>
    </row>
    <row r="3221" spans="3:10" x14ac:dyDescent="0.25">
      <c r="C3221" s="300" t="s">
        <v>1062</v>
      </c>
      <c r="D3221" s="283" t="s">
        <v>1082</v>
      </c>
      <c r="E3221" s="283" t="s">
        <v>1075</v>
      </c>
      <c r="F3221" s="283" t="s">
        <v>1075</v>
      </c>
      <c r="G3221" s="283">
        <v>2</v>
      </c>
      <c r="H3221" s="283">
        <v>0</v>
      </c>
      <c r="I3221" s="283">
        <v>0</v>
      </c>
      <c r="J3221" s="284">
        <v>0</v>
      </c>
    </row>
    <row r="3222" spans="3:10" x14ac:dyDescent="0.25">
      <c r="C3222" s="300" t="s">
        <v>1063</v>
      </c>
      <c r="D3222" s="283" t="s">
        <v>1077</v>
      </c>
      <c r="E3222" s="283" t="s">
        <v>1075</v>
      </c>
      <c r="F3222" s="283" t="s">
        <v>1075</v>
      </c>
      <c r="G3222" s="283">
        <v>2</v>
      </c>
      <c r="H3222" s="283">
        <v>0</v>
      </c>
      <c r="I3222" s="283">
        <v>0</v>
      </c>
      <c r="J3222" s="284">
        <v>0</v>
      </c>
    </row>
    <row r="3223" spans="3:10" x14ac:dyDescent="0.25">
      <c r="C3223" s="300" t="s">
        <v>1066</v>
      </c>
      <c r="D3223" s="283" t="s">
        <v>1079</v>
      </c>
      <c r="E3223" s="283" t="s">
        <v>1089</v>
      </c>
      <c r="F3223" s="283" t="s">
        <v>1075</v>
      </c>
      <c r="G3223" s="283">
        <v>2</v>
      </c>
      <c r="H3223" s="283">
        <v>0</v>
      </c>
      <c r="I3223" s="283">
        <v>0</v>
      </c>
      <c r="J3223" s="284">
        <v>0</v>
      </c>
    </row>
    <row r="3224" spans="3:10" x14ac:dyDescent="0.25">
      <c r="C3224" s="300" t="s">
        <v>1065</v>
      </c>
      <c r="D3224" s="283" t="s">
        <v>1074</v>
      </c>
      <c r="E3224" s="283" t="s">
        <v>1075</v>
      </c>
      <c r="F3224" s="283" t="s">
        <v>1076</v>
      </c>
      <c r="G3224" s="283">
        <v>2</v>
      </c>
      <c r="H3224" s="283">
        <v>0</v>
      </c>
      <c r="I3224" s="283">
        <v>0</v>
      </c>
      <c r="J3224" s="284">
        <v>0</v>
      </c>
    </row>
    <row r="3225" spans="3:10" x14ac:dyDescent="0.25">
      <c r="C3225" s="300" t="s">
        <v>1064</v>
      </c>
      <c r="D3225" s="283" t="s">
        <v>1077</v>
      </c>
      <c r="E3225" s="283" t="s">
        <v>1076</v>
      </c>
      <c r="F3225" s="283" t="s">
        <v>1075</v>
      </c>
      <c r="G3225" s="283">
        <v>3</v>
      </c>
      <c r="H3225" s="283">
        <v>0</v>
      </c>
      <c r="I3225" s="283">
        <v>0</v>
      </c>
      <c r="J3225" s="284">
        <v>0</v>
      </c>
    </row>
    <row r="3226" spans="3:10" x14ac:dyDescent="0.25">
      <c r="C3226" s="300" t="s">
        <v>1064</v>
      </c>
      <c r="D3226" s="283" t="s">
        <v>1087</v>
      </c>
      <c r="E3226" s="283" t="s">
        <v>1075</v>
      </c>
      <c r="F3226" s="283" t="s">
        <v>524</v>
      </c>
      <c r="G3226" s="283">
        <v>1</v>
      </c>
      <c r="H3226" s="283">
        <v>0</v>
      </c>
      <c r="I3226" s="283">
        <v>0</v>
      </c>
      <c r="J3226" s="284">
        <v>0</v>
      </c>
    </row>
    <row r="3227" spans="3:10" x14ac:dyDescent="0.25">
      <c r="C3227" s="300" t="s">
        <v>1062</v>
      </c>
      <c r="D3227" s="283" t="s">
        <v>1090</v>
      </c>
      <c r="E3227" s="283" t="s">
        <v>1084</v>
      </c>
      <c r="F3227" s="283" t="s">
        <v>524</v>
      </c>
      <c r="G3227" s="283">
        <v>1</v>
      </c>
      <c r="H3227" s="283">
        <v>0</v>
      </c>
      <c r="I3227" s="283">
        <v>0</v>
      </c>
      <c r="J3227" s="284">
        <v>0</v>
      </c>
    </row>
    <row r="3228" spans="3:10" x14ac:dyDescent="0.25">
      <c r="C3228" s="300" t="s">
        <v>1059</v>
      </c>
      <c r="D3228" s="283" t="s">
        <v>1079</v>
      </c>
      <c r="E3228" s="283" t="s">
        <v>1100</v>
      </c>
      <c r="F3228" s="283" t="s">
        <v>1086</v>
      </c>
      <c r="G3228" s="283">
        <v>2</v>
      </c>
      <c r="H3228" s="283">
        <v>0</v>
      </c>
      <c r="I3228" s="283">
        <v>0</v>
      </c>
      <c r="J3228" s="284">
        <v>0</v>
      </c>
    </row>
    <row r="3229" spans="3:10" x14ac:dyDescent="0.25">
      <c r="C3229" s="300" t="s">
        <v>1065</v>
      </c>
      <c r="D3229" s="283" t="s">
        <v>1074</v>
      </c>
      <c r="E3229" s="283" t="s">
        <v>1089</v>
      </c>
      <c r="F3229" s="283" t="s">
        <v>1084</v>
      </c>
      <c r="G3229" s="283">
        <v>2</v>
      </c>
      <c r="H3229" s="283">
        <v>0</v>
      </c>
      <c r="I3229" s="283">
        <v>0</v>
      </c>
      <c r="J3229" s="284">
        <v>0</v>
      </c>
    </row>
    <row r="3230" spans="3:10" x14ac:dyDescent="0.25">
      <c r="C3230" s="300" t="s">
        <v>1062</v>
      </c>
      <c r="D3230" s="283" t="s">
        <v>1043</v>
      </c>
      <c r="E3230" s="283" t="s">
        <v>1075</v>
      </c>
      <c r="F3230" s="283" t="s">
        <v>1092</v>
      </c>
      <c r="G3230" s="283">
        <v>2</v>
      </c>
      <c r="H3230" s="283">
        <v>0</v>
      </c>
      <c r="I3230" s="283">
        <v>0</v>
      </c>
      <c r="J3230" s="284">
        <v>0</v>
      </c>
    </row>
    <row r="3231" spans="3:10" x14ac:dyDescent="0.25">
      <c r="C3231" s="300" t="s">
        <v>1057</v>
      </c>
      <c r="D3231" s="283" t="s">
        <v>1074</v>
      </c>
      <c r="E3231" s="283" t="s">
        <v>1085</v>
      </c>
      <c r="F3231" s="283" t="s">
        <v>1076</v>
      </c>
      <c r="G3231" s="283">
        <v>2</v>
      </c>
      <c r="H3231" s="283">
        <v>0</v>
      </c>
      <c r="I3231" s="283">
        <v>0</v>
      </c>
      <c r="J3231" s="284">
        <v>0</v>
      </c>
    </row>
    <row r="3232" spans="3:10" x14ac:dyDescent="0.25">
      <c r="C3232" s="300" t="s">
        <v>1063</v>
      </c>
      <c r="D3232" s="283" t="s">
        <v>1077</v>
      </c>
      <c r="E3232" s="283" t="s">
        <v>1083</v>
      </c>
      <c r="F3232" s="283" t="s">
        <v>1089</v>
      </c>
      <c r="G3232" s="283">
        <v>2</v>
      </c>
      <c r="H3232" s="283">
        <v>0</v>
      </c>
      <c r="I3232" s="283">
        <v>0</v>
      </c>
      <c r="J3232" s="284">
        <v>0</v>
      </c>
    </row>
    <row r="3233" spans="3:10" x14ac:dyDescent="0.25">
      <c r="C3233" s="300" t="s">
        <v>1066</v>
      </c>
      <c r="D3233" s="283" t="s">
        <v>1079</v>
      </c>
      <c r="E3233" s="283" t="s">
        <v>1078</v>
      </c>
      <c r="F3233" s="283" t="s">
        <v>1075</v>
      </c>
      <c r="G3233" s="283">
        <v>2</v>
      </c>
      <c r="H3233" s="283">
        <v>0</v>
      </c>
      <c r="I3233" s="283">
        <v>0</v>
      </c>
      <c r="J3233" s="284">
        <v>0</v>
      </c>
    </row>
    <row r="3234" spans="3:10" x14ac:dyDescent="0.25">
      <c r="C3234" s="300" t="s">
        <v>1064</v>
      </c>
      <c r="D3234" s="283" t="s">
        <v>1079</v>
      </c>
      <c r="E3234" s="283" t="s">
        <v>1075</v>
      </c>
      <c r="F3234" s="283" t="s">
        <v>1075</v>
      </c>
      <c r="G3234" s="283">
        <v>2</v>
      </c>
      <c r="H3234" s="283">
        <v>0</v>
      </c>
      <c r="I3234" s="283">
        <v>0</v>
      </c>
      <c r="J3234" s="284">
        <v>0</v>
      </c>
    </row>
    <row r="3235" spans="3:10" x14ac:dyDescent="0.25">
      <c r="C3235" s="300" t="s">
        <v>1060</v>
      </c>
      <c r="D3235" s="283" t="s">
        <v>1077</v>
      </c>
      <c r="E3235" s="283" t="s">
        <v>1075</v>
      </c>
      <c r="F3235" s="283" t="s">
        <v>1075</v>
      </c>
      <c r="G3235" s="283">
        <v>2</v>
      </c>
      <c r="H3235" s="283">
        <v>0</v>
      </c>
      <c r="I3235" s="283">
        <v>0</v>
      </c>
      <c r="J3235" s="284">
        <v>0</v>
      </c>
    </row>
    <row r="3236" spans="3:10" x14ac:dyDescent="0.25">
      <c r="C3236" s="300" t="s">
        <v>1057</v>
      </c>
      <c r="D3236" s="283" t="s">
        <v>1087</v>
      </c>
      <c r="E3236" s="283" t="s">
        <v>1075</v>
      </c>
      <c r="F3236" s="283" t="s">
        <v>524</v>
      </c>
      <c r="G3236" s="283">
        <v>1</v>
      </c>
      <c r="H3236" s="283">
        <v>0</v>
      </c>
      <c r="I3236" s="283">
        <v>0</v>
      </c>
      <c r="J3236" s="284">
        <v>0</v>
      </c>
    </row>
    <row r="3237" spans="3:10" x14ac:dyDescent="0.25">
      <c r="C3237" s="300" t="s">
        <v>1063</v>
      </c>
      <c r="D3237" s="283" t="s">
        <v>1079</v>
      </c>
      <c r="E3237" s="283" t="s">
        <v>1081</v>
      </c>
      <c r="F3237" s="283" t="s">
        <v>1075</v>
      </c>
      <c r="G3237" s="283">
        <v>3</v>
      </c>
      <c r="H3237" s="283">
        <v>0</v>
      </c>
      <c r="I3237" s="283">
        <v>0</v>
      </c>
      <c r="J3237" s="284">
        <v>1</v>
      </c>
    </row>
    <row r="3238" spans="3:10" x14ac:dyDescent="0.25">
      <c r="C3238" s="300" t="s">
        <v>1061</v>
      </c>
      <c r="D3238" s="283" t="s">
        <v>1079</v>
      </c>
      <c r="E3238" s="283" t="s">
        <v>1075</v>
      </c>
      <c r="F3238" s="283" t="s">
        <v>1094</v>
      </c>
      <c r="G3238" s="283">
        <v>3</v>
      </c>
      <c r="H3238" s="283">
        <v>0</v>
      </c>
      <c r="I3238" s="283">
        <v>0</v>
      </c>
      <c r="J3238" s="284">
        <v>0</v>
      </c>
    </row>
    <row r="3239" spans="3:10" x14ac:dyDescent="0.25">
      <c r="C3239" s="300" t="s">
        <v>1062</v>
      </c>
      <c r="D3239" s="283" t="s">
        <v>1079</v>
      </c>
      <c r="E3239" s="283" t="s">
        <v>1075</v>
      </c>
      <c r="F3239" s="283" t="s">
        <v>1080</v>
      </c>
      <c r="G3239" s="283">
        <v>2</v>
      </c>
      <c r="H3239" s="283">
        <v>0</v>
      </c>
      <c r="I3239" s="283">
        <v>1</v>
      </c>
      <c r="J3239" s="284">
        <v>0</v>
      </c>
    </row>
    <row r="3240" spans="3:10" x14ac:dyDescent="0.25">
      <c r="C3240" s="300" t="s">
        <v>1060</v>
      </c>
      <c r="D3240" s="283" t="s">
        <v>1043</v>
      </c>
      <c r="E3240" s="283" t="s">
        <v>1075</v>
      </c>
      <c r="F3240" s="283" t="s">
        <v>1092</v>
      </c>
      <c r="G3240" s="283">
        <v>2</v>
      </c>
      <c r="H3240" s="283">
        <v>0</v>
      </c>
      <c r="I3240" s="283">
        <v>1</v>
      </c>
      <c r="J3240" s="284">
        <v>0</v>
      </c>
    </row>
    <row r="3241" spans="3:10" x14ac:dyDescent="0.25">
      <c r="C3241" s="300" t="s">
        <v>1067</v>
      </c>
      <c r="D3241" s="283" t="s">
        <v>1079</v>
      </c>
      <c r="E3241" s="283" t="s">
        <v>1075</v>
      </c>
      <c r="F3241" s="283" t="s">
        <v>1075</v>
      </c>
      <c r="G3241" s="283">
        <v>2</v>
      </c>
      <c r="H3241" s="283">
        <v>0</v>
      </c>
      <c r="I3241" s="283">
        <v>0</v>
      </c>
      <c r="J3241" s="284">
        <v>1</v>
      </c>
    </row>
    <row r="3242" spans="3:10" x14ac:dyDescent="0.25">
      <c r="C3242" s="300" t="s">
        <v>1063</v>
      </c>
      <c r="D3242" s="283" t="s">
        <v>1079</v>
      </c>
      <c r="E3242" s="283" t="s">
        <v>1084</v>
      </c>
      <c r="F3242" s="283" t="s">
        <v>1075</v>
      </c>
      <c r="G3242" s="283">
        <v>2</v>
      </c>
      <c r="H3242" s="283">
        <v>0</v>
      </c>
      <c r="I3242" s="283">
        <v>0</v>
      </c>
      <c r="J3242" s="284">
        <v>1</v>
      </c>
    </row>
    <row r="3243" spans="3:10" x14ac:dyDescent="0.25">
      <c r="C3243" s="300" t="s">
        <v>1066</v>
      </c>
      <c r="D3243" s="283" t="s">
        <v>1043</v>
      </c>
      <c r="E3243" s="283" t="s">
        <v>1075</v>
      </c>
      <c r="F3243" s="283" t="s">
        <v>1092</v>
      </c>
      <c r="G3243" s="283">
        <v>2</v>
      </c>
      <c r="H3243" s="283">
        <v>0</v>
      </c>
      <c r="I3243" s="283">
        <v>1</v>
      </c>
      <c r="J3243" s="284">
        <v>0</v>
      </c>
    </row>
    <row r="3244" spans="3:10" x14ac:dyDescent="0.25">
      <c r="C3244" s="300" t="s">
        <v>1065</v>
      </c>
      <c r="D3244" s="283" t="s">
        <v>1077</v>
      </c>
      <c r="E3244" s="283" t="s">
        <v>1084</v>
      </c>
      <c r="F3244" s="283" t="s">
        <v>1075</v>
      </c>
      <c r="G3244" s="283">
        <v>4</v>
      </c>
      <c r="H3244" s="283">
        <v>0</v>
      </c>
      <c r="I3244" s="283">
        <v>0</v>
      </c>
      <c r="J3244" s="284">
        <v>0</v>
      </c>
    </row>
    <row r="3245" spans="3:10" x14ac:dyDescent="0.25">
      <c r="C3245" s="300" t="s">
        <v>1067</v>
      </c>
      <c r="D3245" s="283" t="s">
        <v>1077</v>
      </c>
      <c r="E3245" s="283" t="s">
        <v>1083</v>
      </c>
      <c r="F3245" s="283" t="s">
        <v>1075</v>
      </c>
      <c r="G3245" s="283">
        <v>3</v>
      </c>
      <c r="H3245" s="283">
        <v>0</v>
      </c>
      <c r="I3245" s="283">
        <v>1</v>
      </c>
      <c r="J3245" s="284">
        <v>0</v>
      </c>
    </row>
    <row r="3246" spans="3:10" x14ac:dyDescent="0.25">
      <c r="C3246" s="300" t="s">
        <v>1066</v>
      </c>
      <c r="D3246" s="283" t="s">
        <v>1087</v>
      </c>
      <c r="E3246" s="283" t="s">
        <v>1075</v>
      </c>
      <c r="F3246" s="283" t="s">
        <v>524</v>
      </c>
      <c r="G3246" s="283">
        <v>1</v>
      </c>
      <c r="H3246" s="283">
        <v>0</v>
      </c>
      <c r="I3246" s="283">
        <v>0</v>
      </c>
      <c r="J3246" s="284">
        <v>0</v>
      </c>
    </row>
    <row r="3247" spans="3:10" x14ac:dyDescent="0.25">
      <c r="C3247" s="300" t="s">
        <v>1062</v>
      </c>
      <c r="D3247" s="283" t="s">
        <v>1043</v>
      </c>
      <c r="E3247" s="283" t="s">
        <v>1089</v>
      </c>
      <c r="F3247" s="283" t="s">
        <v>1092</v>
      </c>
      <c r="G3247" s="283">
        <v>2</v>
      </c>
      <c r="H3247" s="283">
        <v>0</v>
      </c>
      <c r="I3247" s="283">
        <v>0</v>
      </c>
      <c r="J3247" s="284">
        <v>1</v>
      </c>
    </row>
    <row r="3248" spans="3:10" x14ac:dyDescent="0.25">
      <c r="C3248" s="300" t="s">
        <v>1057</v>
      </c>
      <c r="D3248" s="283" t="s">
        <v>1087</v>
      </c>
      <c r="E3248" s="283" t="s">
        <v>1089</v>
      </c>
      <c r="F3248" s="283" t="s">
        <v>524</v>
      </c>
      <c r="G3248" s="283">
        <v>1</v>
      </c>
      <c r="H3248" s="283">
        <v>0</v>
      </c>
      <c r="I3248" s="283">
        <v>0</v>
      </c>
      <c r="J3248" s="284">
        <v>2</v>
      </c>
    </row>
    <row r="3249" spans="3:10" x14ac:dyDescent="0.25">
      <c r="C3249" s="300" t="s">
        <v>1067</v>
      </c>
      <c r="D3249" s="283" t="s">
        <v>1077</v>
      </c>
      <c r="E3249" s="283" t="s">
        <v>1076</v>
      </c>
      <c r="F3249" s="283" t="s">
        <v>1076</v>
      </c>
      <c r="G3249" s="283">
        <v>2</v>
      </c>
      <c r="H3249" s="283">
        <v>0</v>
      </c>
      <c r="I3249" s="283">
        <v>0</v>
      </c>
      <c r="J3249" s="284">
        <v>0</v>
      </c>
    </row>
    <row r="3250" spans="3:10" x14ac:dyDescent="0.25">
      <c r="C3250" s="300" t="s">
        <v>1068</v>
      </c>
      <c r="D3250" s="283" t="s">
        <v>1087</v>
      </c>
      <c r="E3250" s="283" t="s">
        <v>1075</v>
      </c>
      <c r="F3250" s="283" t="s">
        <v>524</v>
      </c>
      <c r="G3250" s="283">
        <v>1</v>
      </c>
      <c r="H3250" s="283">
        <v>0</v>
      </c>
      <c r="I3250" s="283">
        <v>0</v>
      </c>
      <c r="J3250" s="284">
        <v>0</v>
      </c>
    </row>
    <row r="3251" spans="3:10" x14ac:dyDescent="0.25">
      <c r="C3251" s="300" t="s">
        <v>1066</v>
      </c>
      <c r="D3251" s="283" t="s">
        <v>1082</v>
      </c>
      <c r="E3251" s="283" t="s">
        <v>1075</v>
      </c>
      <c r="F3251" s="283" t="s">
        <v>1075</v>
      </c>
      <c r="G3251" s="283">
        <v>3</v>
      </c>
      <c r="H3251" s="283">
        <v>0</v>
      </c>
      <c r="I3251" s="283">
        <v>0</v>
      </c>
      <c r="J3251" s="284">
        <v>1</v>
      </c>
    </row>
    <row r="3252" spans="3:10" x14ac:dyDescent="0.25">
      <c r="C3252" s="300" t="s">
        <v>1064</v>
      </c>
      <c r="D3252" s="283" t="s">
        <v>1079</v>
      </c>
      <c r="E3252" s="283" t="s">
        <v>1089</v>
      </c>
      <c r="F3252" s="283" t="s">
        <v>1083</v>
      </c>
      <c r="G3252" s="283">
        <v>2</v>
      </c>
      <c r="H3252" s="283">
        <v>0</v>
      </c>
      <c r="I3252" s="283">
        <v>0</v>
      </c>
      <c r="J3252" s="284">
        <v>0</v>
      </c>
    </row>
    <row r="3253" spans="3:10" x14ac:dyDescent="0.25">
      <c r="C3253" s="300" t="s">
        <v>1065</v>
      </c>
      <c r="D3253" s="283" t="s">
        <v>1077</v>
      </c>
      <c r="E3253" s="283" t="s">
        <v>1089</v>
      </c>
      <c r="F3253" s="283" t="s">
        <v>1078</v>
      </c>
      <c r="G3253" s="283">
        <v>2</v>
      </c>
      <c r="H3253" s="283">
        <v>0</v>
      </c>
      <c r="I3253" s="283">
        <v>0</v>
      </c>
      <c r="J3253" s="284">
        <v>0</v>
      </c>
    </row>
    <row r="3254" spans="3:10" x14ac:dyDescent="0.25">
      <c r="C3254" s="300" t="s">
        <v>1057</v>
      </c>
      <c r="D3254" s="283" t="s">
        <v>1087</v>
      </c>
      <c r="E3254" s="283" t="s">
        <v>1088</v>
      </c>
      <c r="F3254" s="283" t="s">
        <v>524</v>
      </c>
      <c r="G3254" s="283">
        <v>1</v>
      </c>
      <c r="H3254" s="283">
        <v>0</v>
      </c>
      <c r="I3254" s="283">
        <v>0</v>
      </c>
      <c r="J3254" s="284">
        <v>0</v>
      </c>
    </row>
    <row r="3255" spans="3:10" x14ac:dyDescent="0.25">
      <c r="C3255" s="300" t="s">
        <v>1064</v>
      </c>
      <c r="D3255" s="283" t="s">
        <v>1077</v>
      </c>
      <c r="E3255" s="283" t="s">
        <v>1089</v>
      </c>
      <c r="F3255" s="283" t="s">
        <v>1075</v>
      </c>
      <c r="G3255" s="283">
        <v>2</v>
      </c>
      <c r="H3255" s="283">
        <v>0</v>
      </c>
      <c r="I3255" s="283">
        <v>0</v>
      </c>
      <c r="J3255" s="284">
        <v>0</v>
      </c>
    </row>
    <row r="3256" spans="3:10" x14ac:dyDescent="0.25">
      <c r="C3256" s="300" t="s">
        <v>1061</v>
      </c>
      <c r="D3256" s="283" t="s">
        <v>1079</v>
      </c>
      <c r="E3256" s="283" t="s">
        <v>1084</v>
      </c>
      <c r="F3256" s="283" t="s">
        <v>1075</v>
      </c>
      <c r="G3256" s="283">
        <v>3</v>
      </c>
      <c r="H3256" s="283">
        <v>0</v>
      </c>
      <c r="I3256" s="283">
        <v>0</v>
      </c>
      <c r="J3256" s="284">
        <v>0</v>
      </c>
    </row>
    <row r="3257" spans="3:10" x14ac:dyDescent="0.25">
      <c r="C3257" s="300" t="s">
        <v>1064</v>
      </c>
      <c r="D3257" s="283" t="s">
        <v>1079</v>
      </c>
      <c r="E3257" s="283" t="s">
        <v>1080</v>
      </c>
      <c r="F3257" s="283" t="s">
        <v>1075</v>
      </c>
      <c r="G3257" s="283">
        <v>2</v>
      </c>
      <c r="H3257" s="283">
        <v>0</v>
      </c>
      <c r="I3257" s="283">
        <v>0</v>
      </c>
      <c r="J3257" s="284">
        <v>1</v>
      </c>
    </row>
    <row r="3258" spans="3:10" x14ac:dyDescent="0.25">
      <c r="C3258" s="300" t="s">
        <v>1065</v>
      </c>
      <c r="D3258" s="283" t="s">
        <v>1077</v>
      </c>
      <c r="E3258" s="283" t="s">
        <v>1076</v>
      </c>
      <c r="F3258" s="283" t="s">
        <v>1078</v>
      </c>
      <c r="G3258" s="283">
        <v>2</v>
      </c>
      <c r="H3258" s="283">
        <v>0</v>
      </c>
      <c r="I3258" s="283">
        <v>0</v>
      </c>
      <c r="J3258" s="284">
        <v>0</v>
      </c>
    </row>
    <row r="3259" spans="3:10" x14ac:dyDescent="0.25">
      <c r="C3259" s="300" t="s">
        <v>1061</v>
      </c>
      <c r="D3259" s="283" t="s">
        <v>1079</v>
      </c>
      <c r="E3259" s="283" t="s">
        <v>1089</v>
      </c>
      <c r="F3259" s="283" t="s">
        <v>1075</v>
      </c>
      <c r="G3259" s="283">
        <v>2</v>
      </c>
      <c r="H3259" s="283">
        <v>0</v>
      </c>
      <c r="I3259" s="283">
        <v>0</v>
      </c>
      <c r="J3259" s="284">
        <v>0</v>
      </c>
    </row>
    <row r="3260" spans="3:10" x14ac:dyDescent="0.25">
      <c r="C3260" s="300" t="s">
        <v>1062</v>
      </c>
      <c r="D3260" s="283" t="s">
        <v>1079</v>
      </c>
      <c r="E3260" s="283" t="s">
        <v>1075</v>
      </c>
      <c r="F3260" s="283" t="s">
        <v>1075</v>
      </c>
      <c r="G3260" s="283">
        <v>2</v>
      </c>
      <c r="H3260" s="283">
        <v>0</v>
      </c>
      <c r="I3260" s="283">
        <v>1</v>
      </c>
      <c r="J3260" s="284">
        <v>0</v>
      </c>
    </row>
    <row r="3261" spans="3:10" x14ac:dyDescent="0.25">
      <c r="C3261" s="300" t="s">
        <v>1062</v>
      </c>
      <c r="D3261" s="283" t="s">
        <v>1074</v>
      </c>
      <c r="E3261" s="283" t="s">
        <v>1075</v>
      </c>
      <c r="F3261" s="283" t="s">
        <v>1080</v>
      </c>
      <c r="G3261" s="283">
        <v>2</v>
      </c>
      <c r="H3261" s="283">
        <v>0</v>
      </c>
      <c r="I3261" s="283">
        <v>0</v>
      </c>
      <c r="J3261" s="284">
        <v>0</v>
      </c>
    </row>
    <row r="3262" spans="3:10" x14ac:dyDescent="0.25">
      <c r="C3262" s="300" t="s">
        <v>1065</v>
      </c>
      <c r="D3262" s="283" t="s">
        <v>1074</v>
      </c>
      <c r="E3262" s="283" t="s">
        <v>1089</v>
      </c>
      <c r="F3262" s="283" t="s">
        <v>1075</v>
      </c>
      <c r="G3262" s="283">
        <v>3</v>
      </c>
      <c r="H3262" s="283">
        <v>0</v>
      </c>
      <c r="I3262" s="283">
        <v>0</v>
      </c>
      <c r="J3262" s="284">
        <v>0</v>
      </c>
    </row>
    <row r="3263" spans="3:10" x14ac:dyDescent="0.25">
      <c r="C3263" s="300" t="s">
        <v>1066</v>
      </c>
      <c r="D3263" s="283" t="s">
        <v>1082</v>
      </c>
      <c r="E3263" s="283" t="s">
        <v>1075</v>
      </c>
      <c r="F3263" s="283" t="s">
        <v>1075</v>
      </c>
      <c r="G3263" s="283">
        <v>2</v>
      </c>
      <c r="H3263" s="283">
        <v>0</v>
      </c>
      <c r="I3263" s="283">
        <v>0</v>
      </c>
      <c r="J3263" s="284">
        <v>0</v>
      </c>
    </row>
    <row r="3264" spans="3:10" x14ac:dyDescent="0.25">
      <c r="C3264" s="300" t="s">
        <v>1063</v>
      </c>
      <c r="D3264" s="283" t="s">
        <v>1077</v>
      </c>
      <c r="E3264" s="283" t="s">
        <v>1075</v>
      </c>
      <c r="F3264" s="283" t="s">
        <v>1083</v>
      </c>
      <c r="G3264" s="283">
        <v>3</v>
      </c>
      <c r="H3264" s="283">
        <v>0</v>
      </c>
      <c r="I3264" s="283">
        <v>0</v>
      </c>
      <c r="J3264" s="284">
        <v>0</v>
      </c>
    </row>
    <row r="3265" spans="3:10" x14ac:dyDescent="0.25">
      <c r="C3265" s="300" t="s">
        <v>1065</v>
      </c>
      <c r="D3265" s="283" t="s">
        <v>1087</v>
      </c>
      <c r="E3265" s="283" t="s">
        <v>1076</v>
      </c>
      <c r="F3265" s="283" t="s">
        <v>1086</v>
      </c>
      <c r="G3265" s="283">
        <v>2</v>
      </c>
      <c r="H3265" s="283">
        <v>0</v>
      </c>
      <c r="I3265" s="283">
        <v>0</v>
      </c>
      <c r="J3265" s="284">
        <v>0</v>
      </c>
    </row>
    <row r="3266" spans="3:10" x14ac:dyDescent="0.25">
      <c r="C3266" s="300" t="s">
        <v>1065</v>
      </c>
      <c r="D3266" s="283" t="s">
        <v>1079</v>
      </c>
      <c r="E3266" s="283" t="s">
        <v>1075</v>
      </c>
      <c r="F3266" s="283" t="s">
        <v>1083</v>
      </c>
      <c r="G3266" s="283">
        <v>2</v>
      </c>
      <c r="H3266" s="283">
        <v>0</v>
      </c>
      <c r="I3266" s="283">
        <v>1</v>
      </c>
      <c r="J3266" s="284">
        <v>0</v>
      </c>
    </row>
    <row r="3267" spans="3:10" x14ac:dyDescent="0.25">
      <c r="C3267" s="300" t="s">
        <v>1062</v>
      </c>
      <c r="D3267" s="283" t="s">
        <v>1074</v>
      </c>
      <c r="E3267" s="283" t="s">
        <v>1076</v>
      </c>
      <c r="F3267" s="283" t="s">
        <v>1089</v>
      </c>
      <c r="G3267" s="283">
        <v>2</v>
      </c>
      <c r="H3267" s="283">
        <v>0</v>
      </c>
      <c r="I3267" s="283">
        <v>0</v>
      </c>
      <c r="J3267" s="284">
        <v>1</v>
      </c>
    </row>
    <row r="3268" spans="3:10" x14ac:dyDescent="0.25">
      <c r="C3268" s="300" t="s">
        <v>1060</v>
      </c>
      <c r="D3268" s="283" t="s">
        <v>1043</v>
      </c>
      <c r="E3268" s="283" t="s">
        <v>1086</v>
      </c>
      <c r="F3268" s="283" t="s">
        <v>1092</v>
      </c>
      <c r="G3268" s="283">
        <v>2</v>
      </c>
      <c r="H3268" s="283">
        <v>0</v>
      </c>
      <c r="I3268" s="283">
        <v>0</v>
      </c>
      <c r="J3268" s="284">
        <v>0</v>
      </c>
    </row>
    <row r="3269" spans="3:10" x14ac:dyDescent="0.25">
      <c r="C3269" s="300" t="s">
        <v>1060</v>
      </c>
      <c r="D3269" s="283" t="s">
        <v>1087</v>
      </c>
      <c r="E3269" s="283" t="s">
        <v>1075</v>
      </c>
      <c r="F3269" s="283" t="s">
        <v>524</v>
      </c>
      <c r="G3269" s="283">
        <v>1</v>
      </c>
      <c r="H3269" s="283">
        <v>0</v>
      </c>
      <c r="I3269" s="283">
        <v>0</v>
      </c>
      <c r="J3269" s="284">
        <v>0</v>
      </c>
    </row>
    <row r="3270" spans="3:10" x14ac:dyDescent="0.25">
      <c r="C3270" s="300" t="s">
        <v>1061</v>
      </c>
      <c r="D3270" s="283" t="s">
        <v>1079</v>
      </c>
      <c r="E3270" s="283" t="s">
        <v>1078</v>
      </c>
      <c r="F3270" s="283" t="s">
        <v>1076</v>
      </c>
      <c r="G3270" s="283">
        <v>3</v>
      </c>
      <c r="H3270" s="283">
        <v>0</v>
      </c>
      <c r="I3270" s="283">
        <v>1</v>
      </c>
      <c r="J3270" s="284">
        <v>0</v>
      </c>
    </row>
    <row r="3271" spans="3:10" x14ac:dyDescent="0.25">
      <c r="C3271" s="300" t="s">
        <v>1066</v>
      </c>
      <c r="D3271" s="283" t="s">
        <v>1077</v>
      </c>
      <c r="E3271" s="283" t="s">
        <v>1075</v>
      </c>
      <c r="F3271" s="283" t="s">
        <v>1076</v>
      </c>
      <c r="G3271" s="283">
        <v>2</v>
      </c>
      <c r="H3271" s="283">
        <v>0</v>
      </c>
      <c r="I3271" s="283">
        <v>0</v>
      </c>
      <c r="J3271" s="284">
        <v>0</v>
      </c>
    </row>
    <row r="3272" spans="3:10" x14ac:dyDescent="0.25">
      <c r="C3272" s="300" t="s">
        <v>1065</v>
      </c>
      <c r="D3272" s="283" t="s">
        <v>1077</v>
      </c>
      <c r="E3272" s="283" t="s">
        <v>1084</v>
      </c>
      <c r="F3272" s="283" t="s">
        <v>1078</v>
      </c>
      <c r="G3272" s="283">
        <v>2</v>
      </c>
      <c r="H3272" s="283">
        <v>0</v>
      </c>
      <c r="I3272" s="283">
        <v>1</v>
      </c>
      <c r="J3272" s="284">
        <v>0</v>
      </c>
    </row>
    <row r="3273" spans="3:10" x14ac:dyDescent="0.25">
      <c r="C3273" s="300" t="s">
        <v>1064</v>
      </c>
      <c r="D3273" s="283" t="s">
        <v>1087</v>
      </c>
      <c r="E3273" s="283" t="s">
        <v>1075</v>
      </c>
      <c r="F3273" s="283" t="s">
        <v>524</v>
      </c>
      <c r="G3273" s="283">
        <v>1</v>
      </c>
      <c r="H3273" s="283">
        <v>0</v>
      </c>
      <c r="I3273" s="283">
        <v>0</v>
      </c>
      <c r="J3273" s="284">
        <v>0</v>
      </c>
    </row>
    <row r="3274" spans="3:10" x14ac:dyDescent="0.25">
      <c r="C3274" s="300" t="s">
        <v>1064</v>
      </c>
      <c r="D3274" s="283" t="s">
        <v>1090</v>
      </c>
      <c r="E3274" s="283" t="s">
        <v>1044</v>
      </c>
      <c r="F3274" s="283" t="s">
        <v>524</v>
      </c>
      <c r="G3274" s="283">
        <v>2</v>
      </c>
      <c r="H3274" s="283">
        <v>0</v>
      </c>
      <c r="I3274" s="283">
        <v>0</v>
      </c>
      <c r="J3274" s="284">
        <v>1</v>
      </c>
    </row>
    <row r="3275" spans="3:10" x14ac:dyDescent="0.25">
      <c r="C3275" s="300" t="s">
        <v>1061</v>
      </c>
      <c r="D3275" s="283" t="s">
        <v>1077</v>
      </c>
      <c r="E3275" s="283" t="s">
        <v>1075</v>
      </c>
      <c r="F3275" s="283" t="s">
        <v>1075</v>
      </c>
      <c r="G3275" s="283">
        <v>2</v>
      </c>
      <c r="H3275" s="283">
        <v>0</v>
      </c>
      <c r="I3275" s="283">
        <v>0</v>
      </c>
      <c r="J3275" s="284">
        <v>1</v>
      </c>
    </row>
    <row r="3276" spans="3:10" x14ac:dyDescent="0.25">
      <c r="C3276" s="300" t="s">
        <v>1063</v>
      </c>
      <c r="D3276" s="283" t="s">
        <v>1043</v>
      </c>
      <c r="E3276" s="283" t="s">
        <v>1085</v>
      </c>
      <c r="F3276" s="283" t="s">
        <v>1092</v>
      </c>
      <c r="G3276" s="283">
        <v>2</v>
      </c>
      <c r="H3276" s="283">
        <v>0</v>
      </c>
      <c r="I3276" s="283">
        <v>1</v>
      </c>
      <c r="J3276" s="284">
        <v>0</v>
      </c>
    </row>
    <row r="3277" spans="3:10" x14ac:dyDescent="0.25">
      <c r="C3277" s="300" t="s">
        <v>1068</v>
      </c>
      <c r="D3277" s="283" t="s">
        <v>1077</v>
      </c>
      <c r="E3277" s="283" t="s">
        <v>1078</v>
      </c>
      <c r="F3277" s="283" t="s">
        <v>1089</v>
      </c>
      <c r="G3277" s="283">
        <v>2</v>
      </c>
      <c r="H3277" s="283">
        <v>0</v>
      </c>
      <c r="I3277" s="283">
        <v>0</v>
      </c>
      <c r="J3277" s="284">
        <v>0</v>
      </c>
    </row>
    <row r="3278" spans="3:10" x14ac:dyDescent="0.25">
      <c r="C3278" s="300" t="s">
        <v>1063</v>
      </c>
      <c r="D3278" s="283" t="s">
        <v>1077</v>
      </c>
      <c r="E3278" s="283" t="s">
        <v>1089</v>
      </c>
      <c r="F3278" s="283" t="s">
        <v>1075</v>
      </c>
      <c r="G3278" s="283">
        <v>2</v>
      </c>
      <c r="H3278" s="283">
        <v>0</v>
      </c>
      <c r="I3278" s="283">
        <v>0</v>
      </c>
      <c r="J3278" s="284">
        <v>0</v>
      </c>
    </row>
    <row r="3279" spans="3:10" x14ac:dyDescent="0.25">
      <c r="C3279" s="300" t="s">
        <v>1063</v>
      </c>
      <c r="D3279" s="283" t="s">
        <v>1077</v>
      </c>
      <c r="E3279" s="283" t="s">
        <v>1075</v>
      </c>
      <c r="F3279" s="283" t="s">
        <v>1100</v>
      </c>
      <c r="G3279" s="283">
        <v>2</v>
      </c>
      <c r="H3279" s="283">
        <v>0</v>
      </c>
      <c r="I3279" s="283">
        <v>1</v>
      </c>
      <c r="J3279" s="284">
        <v>0</v>
      </c>
    </row>
    <row r="3280" spans="3:10" x14ac:dyDescent="0.25">
      <c r="C3280" s="300" t="s">
        <v>1064</v>
      </c>
      <c r="D3280" s="283" t="s">
        <v>1077</v>
      </c>
      <c r="E3280" s="283" t="s">
        <v>1110</v>
      </c>
      <c r="F3280" s="283" t="s">
        <v>1075</v>
      </c>
      <c r="G3280" s="283">
        <v>2</v>
      </c>
      <c r="H3280" s="283">
        <v>0</v>
      </c>
      <c r="I3280" s="283">
        <v>0</v>
      </c>
      <c r="J3280" s="284">
        <v>0</v>
      </c>
    </row>
    <row r="3281" spans="3:10" x14ac:dyDescent="0.25">
      <c r="C3281" s="300" t="s">
        <v>1060</v>
      </c>
      <c r="D3281" s="283" t="s">
        <v>1043</v>
      </c>
      <c r="E3281" s="283" t="s">
        <v>1076</v>
      </c>
      <c r="F3281" s="283" t="s">
        <v>1092</v>
      </c>
      <c r="G3281" s="283">
        <v>2</v>
      </c>
      <c r="H3281" s="283">
        <v>0</v>
      </c>
      <c r="I3281" s="283">
        <v>1</v>
      </c>
      <c r="J3281" s="284">
        <v>0</v>
      </c>
    </row>
    <row r="3282" spans="3:10" x14ac:dyDescent="0.25">
      <c r="C3282" s="300" t="s">
        <v>1063</v>
      </c>
      <c r="D3282" s="283" t="s">
        <v>1043</v>
      </c>
      <c r="E3282" s="283" t="s">
        <v>1086</v>
      </c>
      <c r="F3282" s="283" t="s">
        <v>1092</v>
      </c>
      <c r="G3282" s="283">
        <v>2</v>
      </c>
      <c r="H3282" s="283">
        <v>0</v>
      </c>
      <c r="I3282" s="283">
        <v>0</v>
      </c>
      <c r="J3282" s="284">
        <v>1</v>
      </c>
    </row>
    <row r="3283" spans="3:10" x14ac:dyDescent="0.25">
      <c r="C3283" s="300" t="s">
        <v>1067</v>
      </c>
      <c r="D3283" s="283" t="s">
        <v>1079</v>
      </c>
      <c r="E3283" s="283" t="s">
        <v>1075</v>
      </c>
      <c r="F3283" s="283" t="s">
        <v>1075</v>
      </c>
      <c r="G3283" s="283">
        <v>4</v>
      </c>
      <c r="H3283" s="283">
        <v>0</v>
      </c>
      <c r="I3283" s="283">
        <v>1</v>
      </c>
      <c r="J3283" s="284">
        <v>0</v>
      </c>
    </row>
    <row r="3284" spans="3:10" x14ac:dyDescent="0.25">
      <c r="C3284" s="300" t="s">
        <v>1067</v>
      </c>
      <c r="D3284" s="283" t="s">
        <v>1043</v>
      </c>
      <c r="E3284" s="283" t="s">
        <v>1086</v>
      </c>
      <c r="F3284" s="283" t="s">
        <v>1092</v>
      </c>
      <c r="G3284" s="283">
        <v>2</v>
      </c>
      <c r="H3284" s="283">
        <v>0</v>
      </c>
      <c r="I3284" s="283">
        <v>0</v>
      </c>
      <c r="J3284" s="284">
        <v>0</v>
      </c>
    </row>
    <row r="3285" spans="3:10" x14ac:dyDescent="0.25">
      <c r="C3285" s="300" t="s">
        <v>1065</v>
      </c>
      <c r="D3285" s="283" t="s">
        <v>1079</v>
      </c>
      <c r="E3285" s="283" t="s">
        <v>1089</v>
      </c>
      <c r="F3285" s="283" t="s">
        <v>1083</v>
      </c>
      <c r="G3285" s="283">
        <v>2</v>
      </c>
      <c r="H3285" s="283">
        <v>0</v>
      </c>
      <c r="I3285" s="283">
        <v>1</v>
      </c>
      <c r="J3285" s="284">
        <v>0</v>
      </c>
    </row>
    <row r="3286" spans="3:10" x14ac:dyDescent="0.25">
      <c r="C3286" s="300" t="s">
        <v>1061</v>
      </c>
      <c r="D3286" s="283" t="s">
        <v>1082</v>
      </c>
      <c r="E3286" s="283" t="s">
        <v>1075</v>
      </c>
      <c r="F3286" s="283" t="s">
        <v>1089</v>
      </c>
      <c r="G3286" s="283">
        <v>2</v>
      </c>
      <c r="H3286" s="283">
        <v>0</v>
      </c>
      <c r="I3286" s="283">
        <v>0</v>
      </c>
      <c r="J3286" s="284">
        <v>1</v>
      </c>
    </row>
    <row r="3287" spans="3:10" x14ac:dyDescent="0.25">
      <c r="C3287" s="300" t="s">
        <v>1061</v>
      </c>
      <c r="D3287" s="283" t="s">
        <v>1079</v>
      </c>
      <c r="E3287" s="283" t="s">
        <v>1075</v>
      </c>
      <c r="F3287" s="283" t="s">
        <v>1083</v>
      </c>
      <c r="G3287" s="283">
        <v>2</v>
      </c>
      <c r="H3287" s="283">
        <v>0</v>
      </c>
      <c r="I3287" s="283">
        <v>1</v>
      </c>
      <c r="J3287" s="284">
        <v>0</v>
      </c>
    </row>
    <row r="3288" spans="3:10" x14ac:dyDescent="0.25">
      <c r="C3288" s="300" t="s">
        <v>1068</v>
      </c>
      <c r="D3288" s="283" t="s">
        <v>1087</v>
      </c>
      <c r="E3288" s="283" t="s">
        <v>1076</v>
      </c>
      <c r="F3288" s="283" t="s">
        <v>524</v>
      </c>
      <c r="G3288" s="283">
        <v>1</v>
      </c>
      <c r="H3288" s="283">
        <v>0</v>
      </c>
      <c r="I3288" s="283">
        <v>2</v>
      </c>
      <c r="J3288" s="284">
        <v>1</v>
      </c>
    </row>
    <row r="3289" spans="3:10" x14ac:dyDescent="0.25">
      <c r="C3289" s="300" t="s">
        <v>1059</v>
      </c>
      <c r="D3289" s="283" t="s">
        <v>1079</v>
      </c>
      <c r="E3289" s="283" t="s">
        <v>1089</v>
      </c>
      <c r="F3289" s="283" t="s">
        <v>1075</v>
      </c>
      <c r="G3289" s="283">
        <v>3</v>
      </c>
      <c r="H3289" s="283">
        <v>0</v>
      </c>
      <c r="I3289" s="283">
        <v>0</v>
      </c>
      <c r="J3289" s="284">
        <v>0</v>
      </c>
    </row>
    <row r="3290" spans="3:10" x14ac:dyDescent="0.25">
      <c r="C3290" s="300" t="s">
        <v>1065</v>
      </c>
      <c r="D3290" s="283" t="s">
        <v>1079</v>
      </c>
      <c r="E3290" s="283" t="s">
        <v>1089</v>
      </c>
      <c r="F3290" s="283" t="s">
        <v>1075</v>
      </c>
      <c r="G3290" s="283">
        <v>2</v>
      </c>
      <c r="H3290" s="283">
        <v>0</v>
      </c>
      <c r="I3290" s="283">
        <v>0</v>
      </c>
      <c r="J3290" s="284">
        <v>0</v>
      </c>
    </row>
    <row r="3291" spans="3:10" x14ac:dyDescent="0.25">
      <c r="C3291" s="300" t="s">
        <v>1067</v>
      </c>
      <c r="D3291" s="283" t="s">
        <v>1074</v>
      </c>
      <c r="E3291" s="283" t="s">
        <v>1075</v>
      </c>
      <c r="F3291" s="283" t="s">
        <v>1044</v>
      </c>
      <c r="G3291" s="283">
        <v>2</v>
      </c>
      <c r="H3291" s="283">
        <v>0</v>
      </c>
      <c r="I3291" s="283">
        <v>1</v>
      </c>
      <c r="J3291" s="284">
        <v>0</v>
      </c>
    </row>
    <row r="3292" spans="3:10" x14ac:dyDescent="0.25">
      <c r="C3292" s="300" t="s">
        <v>1062</v>
      </c>
      <c r="D3292" s="283" t="s">
        <v>1087</v>
      </c>
      <c r="E3292" s="283" t="s">
        <v>1083</v>
      </c>
      <c r="F3292" s="283" t="s">
        <v>524</v>
      </c>
      <c r="G3292" s="283">
        <v>1</v>
      </c>
      <c r="H3292" s="283">
        <v>0</v>
      </c>
      <c r="I3292" s="283">
        <v>0</v>
      </c>
      <c r="J3292" s="284">
        <v>1</v>
      </c>
    </row>
    <row r="3293" spans="3:10" x14ac:dyDescent="0.25">
      <c r="C3293" s="300" t="s">
        <v>1057</v>
      </c>
      <c r="D3293" s="283" t="s">
        <v>1090</v>
      </c>
      <c r="E3293" s="283" t="s">
        <v>1083</v>
      </c>
      <c r="F3293" s="283" t="s">
        <v>524</v>
      </c>
      <c r="G3293" s="283">
        <v>1</v>
      </c>
      <c r="H3293" s="283">
        <v>0</v>
      </c>
      <c r="I3293" s="283">
        <v>0</v>
      </c>
      <c r="J3293" s="284">
        <v>0</v>
      </c>
    </row>
    <row r="3294" spans="3:10" x14ac:dyDescent="0.25">
      <c r="C3294" s="300" t="s">
        <v>1061</v>
      </c>
      <c r="D3294" s="283" t="s">
        <v>1079</v>
      </c>
      <c r="E3294" s="283" t="s">
        <v>1075</v>
      </c>
      <c r="F3294" s="283" t="s">
        <v>1076</v>
      </c>
      <c r="G3294" s="283">
        <v>3</v>
      </c>
      <c r="H3294" s="283">
        <v>0</v>
      </c>
      <c r="I3294" s="283">
        <v>1</v>
      </c>
      <c r="J3294" s="284">
        <v>0</v>
      </c>
    </row>
    <row r="3295" spans="3:10" x14ac:dyDescent="0.25">
      <c r="C3295" s="300" t="s">
        <v>1064</v>
      </c>
      <c r="D3295" s="283" t="s">
        <v>1077</v>
      </c>
      <c r="E3295" s="283" t="s">
        <v>1075</v>
      </c>
      <c r="F3295" s="283" t="s">
        <v>1094</v>
      </c>
      <c r="G3295" s="283">
        <v>4</v>
      </c>
      <c r="H3295" s="283">
        <v>0</v>
      </c>
      <c r="I3295" s="283">
        <v>1</v>
      </c>
      <c r="J3295" s="284">
        <v>0</v>
      </c>
    </row>
    <row r="3296" spans="3:10" x14ac:dyDescent="0.25">
      <c r="C3296" s="300" t="s">
        <v>1065</v>
      </c>
      <c r="D3296" s="283" t="s">
        <v>1079</v>
      </c>
      <c r="E3296" s="283" t="s">
        <v>1075</v>
      </c>
      <c r="F3296" s="283" t="s">
        <v>1083</v>
      </c>
      <c r="G3296" s="283">
        <v>2</v>
      </c>
      <c r="H3296" s="283">
        <v>0</v>
      </c>
      <c r="I3296" s="283">
        <v>1</v>
      </c>
      <c r="J3296" s="284">
        <v>0</v>
      </c>
    </row>
    <row r="3297" spans="3:10" x14ac:dyDescent="0.25">
      <c r="C3297" s="300" t="s">
        <v>1060</v>
      </c>
      <c r="D3297" s="283" t="s">
        <v>1074</v>
      </c>
      <c r="E3297" s="283" t="s">
        <v>1075</v>
      </c>
      <c r="F3297" s="283" t="s">
        <v>1044</v>
      </c>
      <c r="G3297" s="283">
        <v>2</v>
      </c>
      <c r="H3297" s="283">
        <v>0</v>
      </c>
      <c r="I3297" s="283">
        <v>1</v>
      </c>
      <c r="J3297" s="284">
        <v>0</v>
      </c>
    </row>
    <row r="3298" spans="3:10" x14ac:dyDescent="0.25">
      <c r="C3298" s="300" t="s">
        <v>1067</v>
      </c>
      <c r="D3298" s="283" t="s">
        <v>1087</v>
      </c>
      <c r="E3298" s="283" t="s">
        <v>1076</v>
      </c>
      <c r="F3298" s="283" t="s">
        <v>524</v>
      </c>
      <c r="G3298" s="283">
        <v>1</v>
      </c>
      <c r="H3298" s="283">
        <v>0</v>
      </c>
      <c r="I3298" s="283">
        <v>0</v>
      </c>
      <c r="J3298" s="284">
        <v>0</v>
      </c>
    </row>
    <row r="3299" spans="3:10" x14ac:dyDescent="0.25">
      <c r="C3299" s="300" t="s">
        <v>1061</v>
      </c>
      <c r="D3299" s="283" t="s">
        <v>1074</v>
      </c>
      <c r="E3299" s="283" t="s">
        <v>1075</v>
      </c>
      <c r="F3299" s="283" t="s">
        <v>1044</v>
      </c>
      <c r="G3299" s="283">
        <v>2</v>
      </c>
      <c r="H3299" s="283">
        <v>0</v>
      </c>
      <c r="I3299" s="283">
        <v>0</v>
      </c>
      <c r="J3299" s="284">
        <v>0</v>
      </c>
    </row>
    <row r="3300" spans="3:10" x14ac:dyDescent="0.25">
      <c r="C3300" s="300" t="s">
        <v>1066</v>
      </c>
      <c r="D3300" s="283" t="s">
        <v>1077</v>
      </c>
      <c r="E3300" s="283" t="s">
        <v>1089</v>
      </c>
      <c r="F3300" s="283" t="s">
        <v>1075</v>
      </c>
      <c r="G3300" s="283">
        <v>3</v>
      </c>
      <c r="H3300" s="283">
        <v>0</v>
      </c>
      <c r="I3300" s="283">
        <v>0</v>
      </c>
      <c r="J3300" s="284">
        <v>0</v>
      </c>
    </row>
    <row r="3301" spans="3:10" x14ac:dyDescent="0.25">
      <c r="C3301" s="300" t="s">
        <v>1060</v>
      </c>
      <c r="D3301" s="283" t="s">
        <v>1087</v>
      </c>
      <c r="E3301" s="283" t="s">
        <v>1076</v>
      </c>
      <c r="F3301" s="283" t="s">
        <v>524</v>
      </c>
      <c r="G3301" s="283">
        <v>1</v>
      </c>
      <c r="H3301" s="283">
        <v>0</v>
      </c>
      <c r="I3301" s="283">
        <v>0</v>
      </c>
      <c r="J3301" s="284">
        <v>0</v>
      </c>
    </row>
    <row r="3302" spans="3:10" x14ac:dyDescent="0.25">
      <c r="C3302" s="300" t="s">
        <v>1067</v>
      </c>
      <c r="D3302" s="283" t="s">
        <v>1079</v>
      </c>
      <c r="E3302" s="283" t="s">
        <v>1078</v>
      </c>
      <c r="F3302" s="283" t="s">
        <v>1075</v>
      </c>
      <c r="G3302" s="283">
        <v>2</v>
      </c>
      <c r="H3302" s="283">
        <v>0</v>
      </c>
      <c r="I3302" s="283">
        <v>0</v>
      </c>
      <c r="J3302" s="284">
        <v>1</v>
      </c>
    </row>
    <row r="3303" spans="3:10" x14ac:dyDescent="0.25">
      <c r="C3303" s="300" t="s">
        <v>1068</v>
      </c>
      <c r="D3303" s="283" t="s">
        <v>1087</v>
      </c>
      <c r="E3303" s="283" t="s">
        <v>1075</v>
      </c>
      <c r="F3303" s="283" t="s">
        <v>524</v>
      </c>
      <c r="G3303" s="283">
        <v>1</v>
      </c>
      <c r="H3303" s="283">
        <v>0</v>
      </c>
      <c r="I3303" s="283">
        <v>0</v>
      </c>
      <c r="J3303" s="284">
        <v>0</v>
      </c>
    </row>
    <row r="3304" spans="3:10" x14ac:dyDescent="0.25">
      <c r="C3304" s="300" t="s">
        <v>1066</v>
      </c>
      <c r="D3304" s="283" t="s">
        <v>1079</v>
      </c>
      <c r="E3304" s="283" t="s">
        <v>1075</v>
      </c>
      <c r="F3304" s="283" t="s">
        <v>1083</v>
      </c>
      <c r="G3304" s="283">
        <v>2</v>
      </c>
      <c r="H3304" s="283">
        <v>0</v>
      </c>
      <c r="I3304" s="283">
        <v>1</v>
      </c>
      <c r="J3304" s="284">
        <v>0</v>
      </c>
    </row>
    <row r="3305" spans="3:10" x14ac:dyDescent="0.25">
      <c r="C3305" s="300" t="s">
        <v>1068</v>
      </c>
      <c r="D3305" s="283" t="s">
        <v>1082</v>
      </c>
      <c r="E3305" s="283" t="s">
        <v>1075</v>
      </c>
      <c r="F3305" s="283" t="s">
        <v>1075</v>
      </c>
      <c r="G3305" s="283">
        <v>3</v>
      </c>
      <c r="H3305" s="283">
        <v>0</v>
      </c>
      <c r="I3305" s="283">
        <v>1</v>
      </c>
      <c r="J3305" s="284">
        <v>2</v>
      </c>
    </row>
    <row r="3306" spans="3:10" x14ac:dyDescent="0.25">
      <c r="C3306" s="300" t="s">
        <v>1064</v>
      </c>
      <c r="D3306" s="283" t="s">
        <v>1090</v>
      </c>
      <c r="E3306" s="283" t="s">
        <v>1083</v>
      </c>
      <c r="F3306" s="283" t="s">
        <v>524</v>
      </c>
      <c r="G3306" s="283">
        <v>1</v>
      </c>
      <c r="H3306" s="283">
        <v>0</v>
      </c>
      <c r="I3306" s="283">
        <v>1</v>
      </c>
      <c r="J3306" s="284">
        <v>0</v>
      </c>
    </row>
    <row r="3307" spans="3:10" x14ac:dyDescent="0.25">
      <c r="C3307" s="300" t="s">
        <v>1065</v>
      </c>
      <c r="D3307" s="283" t="s">
        <v>1079</v>
      </c>
      <c r="E3307" s="283" t="s">
        <v>1089</v>
      </c>
      <c r="F3307" s="283" t="s">
        <v>1083</v>
      </c>
      <c r="G3307" s="283">
        <v>2</v>
      </c>
      <c r="H3307" s="283">
        <v>0</v>
      </c>
      <c r="I3307" s="283">
        <v>1</v>
      </c>
      <c r="J3307" s="284">
        <v>0</v>
      </c>
    </row>
    <row r="3308" spans="3:10" x14ac:dyDescent="0.25">
      <c r="C3308" s="300" t="s">
        <v>1060</v>
      </c>
      <c r="D3308" s="283" t="s">
        <v>1077</v>
      </c>
      <c r="E3308" s="283" t="s">
        <v>1075</v>
      </c>
      <c r="F3308" s="283" t="s">
        <v>1086</v>
      </c>
      <c r="G3308" s="283">
        <v>2</v>
      </c>
      <c r="H3308" s="283">
        <v>0</v>
      </c>
      <c r="I3308" s="283">
        <v>0</v>
      </c>
      <c r="J3308" s="284">
        <v>0</v>
      </c>
    </row>
    <row r="3309" spans="3:10" x14ac:dyDescent="0.25">
      <c r="C3309" s="300" t="s">
        <v>1063</v>
      </c>
      <c r="D3309" s="283" t="s">
        <v>1079</v>
      </c>
      <c r="E3309" s="283" t="s">
        <v>1086</v>
      </c>
      <c r="F3309" s="283" t="s">
        <v>1083</v>
      </c>
      <c r="G3309" s="283">
        <v>2</v>
      </c>
      <c r="H3309" s="283">
        <v>0</v>
      </c>
      <c r="I3309" s="283">
        <v>0</v>
      </c>
      <c r="J3309" s="284">
        <v>1</v>
      </c>
    </row>
    <row r="3310" spans="3:10" x14ac:dyDescent="0.25">
      <c r="C3310" s="300" t="s">
        <v>1061</v>
      </c>
      <c r="D3310" s="283" t="s">
        <v>1087</v>
      </c>
      <c r="E3310" s="283" t="s">
        <v>1085</v>
      </c>
      <c r="F3310" s="283" t="s">
        <v>524</v>
      </c>
      <c r="G3310" s="283">
        <v>1</v>
      </c>
      <c r="H3310" s="283">
        <v>0</v>
      </c>
      <c r="I3310" s="283">
        <v>0</v>
      </c>
      <c r="J3310" s="284">
        <v>1</v>
      </c>
    </row>
    <row r="3311" spans="3:10" x14ac:dyDescent="0.25">
      <c r="C3311" s="300" t="s">
        <v>1059</v>
      </c>
      <c r="D3311" s="283" t="s">
        <v>1087</v>
      </c>
      <c r="E3311" s="283" t="s">
        <v>1075</v>
      </c>
      <c r="F3311" s="283" t="s">
        <v>524</v>
      </c>
      <c r="G3311" s="283">
        <v>1</v>
      </c>
      <c r="H3311" s="283">
        <v>0</v>
      </c>
      <c r="I3311" s="283">
        <v>0</v>
      </c>
      <c r="J3311" s="284">
        <v>0</v>
      </c>
    </row>
    <row r="3312" spans="3:10" x14ac:dyDescent="0.25">
      <c r="C3312" s="300" t="s">
        <v>1064</v>
      </c>
      <c r="D3312" s="283" t="s">
        <v>1079</v>
      </c>
      <c r="E3312" s="283" t="s">
        <v>1075</v>
      </c>
      <c r="F3312" s="283" t="s">
        <v>1075</v>
      </c>
      <c r="G3312" s="283">
        <v>3</v>
      </c>
      <c r="H3312" s="283">
        <v>0</v>
      </c>
      <c r="I3312" s="283">
        <v>0</v>
      </c>
      <c r="J3312" s="284">
        <v>0</v>
      </c>
    </row>
    <row r="3313" spans="3:10" x14ac:dyDescent="0.25">
      <c r="C3313" s="300" t="s">
        <v>1064</v>
      </c>
      <c r="D3313" s="283" t="s">
        <v>1079</v>
      </c>
      <c r="E3313" s="283" t="s">
        <v>1075</v>
      </c>
      <c r="F3313" s="283" t="s">
        <v>1081</v>
      </c>
      <c r="G3313" s="283">
        <v>2</v>
      </c>
      <c r="H3313" s="283">
        <v>0</v>
      </c>
      <c r="I3313" s="283">
        <v>1</v>
      </c>
      <c r="J3313" s="284">
        <v>1</v>
      </c>
    </row>
    <row r="3314" spans="3:10" x14ac:dyDescent="0.25">
      <c r="C3314" s="300" t="s">
        <v>1065</v>
      </c>
      <c r="D3314" s="283" t="s">
        <v>1090</v>
      </c>
      <c r="E3314" s="283" t="s">
        <v>1075</v>
      </c>
      <c r="F3314" s="283" t="s">
        <v>524</v>
      </c>
      <c r="G3314" s="283">
        <v>1</v>
      </c>
      <c r="H3314" s="283">
        <v>0</v>
      </c>
      <c r="I3314" s="283">
        <v>0</v>
      </c>
      <c r="J3314" s="284">
        <v>0</v>
      </c>
    </row>
    <row r="3315" spans="3:10" x14ac:dyDescent="0.25">
      <c r="C3315" s="300" t="s">
        <v>1063</v>
      </c>
      <c r="D3315" s="283" t="s">
        <v>1077</v>
      </c>
      <c r="E3315" s="283" t="s">
        <v>1075</v>
      </c>
      <c r="F3315" s="283" t="s">
        <v>1075</v>
      </c>
      <c r="G3315" s="283">
        <v>2</v>
      </c>
      <c r="H3315" s="283">
        <v>0</v>
      </c>
      <c r="I3315" s="283">
        <v>0</v>
      </c>
      <c r="J3315" s="284">
        <v>1</v>
      </c>
    </row>
    <row r="3316" spans="3:10" x14ac:dyDescent="0.25">
      <c r="C3316" s="300" t="s">
        <v>1063</v>
      </c>
      <c r="D3316" s="283" t="s">
        <v>1079</v>
      </c>
      <c r="E3316" s="283" t="s">
        <v>1084</v>
      </c>
      <c r="F3316" s="283" t="s">
        <v>1089</v>
      </c>
      <c r="G3316" s="283">
        <v>2</v>
      </c>
      <c r="H3316" s="283">
        <v>0</v>
      </c>
      <c r="I3316" s="283">
        <v>0</v>
      </c>
      <c r="J3316" s="284">
        <v>0</v>
      </c>
    </row>
    <row r="3317" spans="3:10" x14ac:dyDescent="0.25">
      <c r="C3317" s="300" t="s">
        <v>1058</v>
      </c>
      <c r="D3317" s="283" t="s">
        <v>1079</v>
      </c>
      <c r="E3317" s="283" t="s">
        <v>1075</v>
      </c>
      <c r="F3317" s="283" t="s">
        <v>1075</v>
      </c>
      <c r="G3317" s="283">
        <v>3</v>
      </c>
      <c r="H3317" s="283">
        <v>0</v>
      </c>
      <c r="I3317" s="283">
        <v>0</v>
      </c>
      <c r="J3317" s="284">
        <v>0</v>
      </c>
    </row>
    <row r="3318" spans="3:10" x14ac:dyDescent="0.25">
      <c r="C3318" s="300" t="s">
        <v>1061</v>
      </c>
      <c r="D3318" s="283" t="s">
        <v>1079</v>
      </c>
      <c r="E3318" s="283" t="s">
        <v>1075</v>
      </c>
      <c r="F3318" s="283" t="s">
        <v>1075</v>
      </c>
      <c r="G3318" s="283">
        <v>2</v>
      </c>
      <c r="H3318" s="283">
        <v>0</v>
      </c>
      <c r="I3318" s="283">
        <v>0</v>
      </c>
      <c r="J3318" s="284">
        <v>0</v>
      </c>
    </row>
    <row r="3319" spans="3:10" x14ac:dyDescent="0.25">
      <c r="C3319" s="300" t="s">
        <v>1065</v>
      </c>
      <c r="D3319" s="283" t="s">
        <v>1074</v>
      </c>
      <c r="E3319" s="283" t="s">
        <v>1075</v>
      </c>
      <c r="F3319" s="283" t="s">
        <v>1075</v>
      </c>
      <c r="G3319" s="283">
        <v>2</v>
      </c>
      <c r="H3319" s="283">
        <v>0</v>
      </c>
      <c r="I3319" s="283">
        <v>0</v>
      </c>
      <c r="J3319" s="284">
        <v>0</v>
      </c>
    </row>
    <row r="3320" spans="3:10" x14ac:dyDescent="0.25">
      <c r="C3320" s="300" t="s">
        <v>1063</v>
      </c>
      <c r="D3320" s="283" t="s">
        <v>1079</v>
      </c>
      <c r="E3320" s="283" t="s">
        <v>1089</v>
      </c>
      <c r="F3320" s="283" t="s">
        <v>1081</v>
      </c>
      <c r="G3320" s="283">
        <v>2</v>
      </c>
      <c r="H3320" s="283">
        <v>0</v>
      </c>
      <c r="I3320" s="283">
        <v>0</v>
      </c>
      <c r="J3320" s="284">
        <v>0</v>
      </c>
    </row>
    <row r="3321" spans="3:10" x14ac:dyDescent="0.25">
      <c r="C3321" s="300" t="s">
        <v>1064</v>
      </c>
      <c r="D3321" s="283" t="s">
        <v>1079</v>
      </c>
      <c r="E3321" s="283" t="s">
        <v>1075</v>
      </c>
      <c r="F3321" s="283" t="s">
        <v>1089</v>
      </c>
      <c r="G3321" s="283">
        <v>2</v>
      </c>
      <c r="H3321" s="283">
        <v>0</v>
      </c>
      <c r="I3321" s="283">
        <v>0</v>
      </c>
      <c r="J3321" s="284">
        <v>0</v>
      </c>
    </row>
    <row r="3322" spans="3:10" x14ac:dyDescent="0.25">
      <c r="C3322" s="300" t="s">
        <v>1064</v>
      </c>
      <c r="D3322" s="283" t="s">
        <v>1077</v>
      </c>
      <c r="E3322" s="283" t="s">
        <v>1084</v>
      </c>
      <c r="F3322" s="283" t="s">
        <v>1075</v>
      </c>
      <c r="G3322" s="283">
        <v>2</v>
      </c>
      <c r="H3322" s="283">
        <v>0</v>
      </c>
      <c r="I3322" s="283">
        <v>0</v>
      </c>
      <c r="J3322" s="284">
        <v>0</v>
      </c>
    </row>
    <row r="3323" spans="3:10" x14ac:dyDescent="0.25">
      <c r="C3323" s="300" t="s">
        <v>1065</v>
      </c>
      <c r="D3323" s="283" t="s">
        <v>1077</v>
      </c>
      <c r="E3323" s="283" t="s">
        <v>1075</v>
      </c>
      <c r="F3323" s="283" t="s">
        <v>1075</v>
      </c>
      <c r="G3323" s="283">
        <v>4</v>
      </c>
      <c r="H3323" s="283">
        <v>0</v>
      </c>
      <c r="I3323" s="283">
        <v>0</v>
      </c>
      <c r="J3323" s="284">
        <v>0</v>
      </c>
    </row>
    <row r="3324" spans="3:10" x14ac:dyDescent="0.25">
      <c r="C3324" s="300" t="s">
        <v>1061</v>
      </c>
      <c r="D3324" s="283" t="s">
        <v>1079</v>
      </c>
      <c r="E3324" s="283" t="s">
        <v>1076</v>
      </c>
      <c r="F3324" s="283" t="s">
        <v>1078</v>
      </c>
      <c r="G3324" s="283">
        <v>2</v>
      </c>
      <c r="H3324" s="283">
        <v>0</v>
      </c>
      <c r="I3324" s="283">
        <v>0</v>
      </c>
      <c r="J3324" s="284">
        <v>0</v>
      </c>
    </row>
    <row r="3325" spans="3:10" x14ac:dyDescent="0.25">
      <c r="C3325" s="300" t="s">
        <v>1064</v>
      </c>
      <c r="D3325" s="283" t="s">
        <v>1074</v>
      </c>
      <c r="E3325" s="283" t="s">
        <v>1089</v>
      </c>
      <c r="F3325" s="283" t="s">
        <v>1075</v>
      </c>
      <c r="G3325" s="283">
        <v>2</v>
      </c>
      <c r="H3325" s="283">
        <v>0</v>
      </c>
      <c r="I3325" s="283">
        <v>0</v>
      </c>
      <c r="J3325" s="284">
        <v>0</v>
      </c>
    </row>
    <row r="3326" spans="3:10" x14ac:dyDescent="0.25">
      <c r="C3326" s="300" t="s">
        <v>1065</v>
      </c>
      <c r="D3326" s="283" t="s">
        <v>1077</v>
      </c>
      <c r="E3326" s="283" t="s">
        <v>1075</v>
      </c>
      <c r="F3326" s="283" t="s">
        <v>1075</v>
      </c>
      <c r="G3326" s="283">
        <v>2</v>
      </c>
      <c r="H3326" s="283">
        <v>0</v>
      </c>
      <c r="I3326" s="283">
        <v>0</v>
      </c>
      <c r="J3326" s="284">
        <v>0</v>
      </c>
    </row>
    <row r="3327" spans="3:10" x14ac:dyDescent="0.25">
      <c r="C3327" s="300" t="s">
        <v>1064</v>
      </c>
      <c r="D3327" s="283" t="s">
        <v>1074</v>
      </c>
      <c r="E3327" s="283" t="s">
        <v>1075</v>
      </c>
      <c r="F3327" s="283" t="s">
        <v>1075</v>
      </c>
      <c r="G3327" s="283">
        <v>2</v>
      </c>
      <c r="H3327" s="283">
        <v>0</v>
      </c>
      <c r="I3327" s="283">
        <v>0</v>
      </c>
      <c r="J3327" s="284">
        <v>0</v>
      </c>
    </row>
    <row r="3328" spans="3:10" x14ac:dyDescent="0.25">
      <c r="C3328" s="300" t="s">
        <v>1061</v>
      </c>
      <c r="D3328" s="283" t="s">
        <v>1079</v>
      </c>
      <c r="E3328" s="283" t="s">
        <v>1075</v>
      </c>
      <c r="F3328" s="283" t="s">
        <v>1044</v>
      </c>
      <c r="G3328" s="283">
        <v>2</v>
      </c>
      <c r="H3328" s="283">
        <v>0</v>
      </c>
      <c r="I3328" s="283">
        <v>0</v>
      </c>
      <c r="J3328" s="284">
        <v>1</v>
      </c>
    </row>
    <row r="3329" spans="3:10" x14ac:dyDescent="0.25">
      <c r="C3329" s="300" t="s">
        <v>1065</v>
      </c>
      <c r="D3329" s="283" t="s">
        <v>1079</v>
      </c>
      <c r="E3329" s="283" t="s">
        <v>1075</v>
      </c>
      <c r="F3329" s="283" t="s">
        <v>1083</v>
      </c>
      <c r="G3329" s="283">
        <v>2</v>
      </c>
      <c r="H3329" s="283">
        <v>0</v>
      </c>
      <c r="I3329" s="283">
        <v>0</v>
      </c>
      <c r="J3329" s="284">
        <v>0</v>
      </c>
    </row>
    <row r="3330" spans="3:10" x14ac:dyDescent="0.25">
      <c r="C3330" s="300" t="s">
        <v>1060</v>
      </c>
      <c r="D3330" s="283" t="s">
        <v>1077</v>
      </c>
      <c r="E3330" s="283" t="s">
        <v>1076</v>
      </c>
      <c r="F3330" s="283" t="s">
        <v>1075</v>
      </c>
      <c r="G3330" s="283">
        <v>2</v>
      </c>
      <c r="H3330" s="283">
        <v>0</v>
      </c>
      <c r="I3330" s="283">
        <v>0</v>
      </c>
      <c r="J3330" s="284">
        <v>0</v>
      </c>
    </row>
    <row r="3331" spans="3:10" x14ac:dyDescent="0.25">
      <c r="C3331" s="300" t="s">
        <v>1062</v>
      </c>
      <c r="D3331" s="283" t="s">
        <v>1077</v>
      </c>
      <c r="E3331" s="283" t="s">
        <v>1076</v>
      </c>
      <c r="F3331" s="283" t="s">
        <v>1075</v>
      </c>
      <c r="G3331" s="283">
        <v>3</v>
      </c>
      <c r="H3331" s="283">
        <v>0</v>
      </c>
      <c r="I3331" s="283">
        <v>0</v>
      </c>
      <c r="J3331" s="284">
        <v>0</v>
      </c>
    </row>
    <row r="3332" spans="3:10" x14ac:dyDescent="0.25">
      <c r="C3332" s="300" t="s">
        <v>1066</v>
      </c>
      <c r="D3332" s="283" t="s">
        <v>1074</v>
      </c>
      <c r="E3332" s="283" t="s">
        <v>1089</v>
      </c>
      <c r="F3332" s="283" t="s">
        <v>1083</v>
      </c>
      <c r="G3332" s="283">
        <v>2</v>
      </c>
      <c r="H3332" s="283">
        <v>0</v>
      </c>
      <c r="I3332" s="283">
        <v>0</v>
      </c>
      <c r="J3332" s="284">
        <v>0</v>
      </c>
    </row>
    <row r="3333" spans="3:10" x14ac:dyDescent="0.25">
      <c r="C3333" s="300" t="s">
        <v>1062</v>
      </c>
      <c r="D3333" s="283" t="s">
        <v>1074</v>
      </c>
      <c r="E3333" s="283" t="s">
        <v>1078</v>
      </c>
      <c r="F3333" s="283" t="s">
        <v>1075</v>
      </c>
      <c r="G3333" s="283">
        <v>2</v>
      </c>
      <c r="H3333" s="283">
        <v>0</v>
      </c>
      <c r="I3333" s="283">
        <v>0</v>
      </c>
      <c r="J3333" s="284">
        <v>0</v>
      </c>
    </row>
    <row r="3334" spans="3:10" x14ac:dyDescent="0.25">
      <c r="C3334" s="300" t="s">
        <v>1058</v>
      </c>
      <c r="D3334" s="283" t="s">
        <v>1079</v>
      </c>
      <c r="E3334" s="283" t="s">
        <v>1075</v>
      </c>
      <c r="F3334" s="283" t="s">
        <v>1075</v>
      </c>
      <c r="G3334" s="283">
        <v>2</v>
      </c>
      <c r="H3334" s="283">
        <v>0</v>
      </c>
      <c r="I3334" s="283">
        <v>0</v>
      </c>
      <c r="J3334" s="284">
        <v>0</v>
      </c>
    </row>
    <row r="3335" spans="3:10" x14ac:dyDescent="0.25">
      <c r="C3335" s="300" t="s">
        <v>1066</v>
      </c>
      <c r="D3335" s="283" t="s">
        <v>1079</v>
      </c>
      <c r="E3335" s="283" t="s">
        <v>1075</v>
      </c>
      <c r="F3335" s="283" t="s">
        <v>1078</v>
      </c>
      <c r="G3335" s="283">
        <v>2</v>
      </c>
      <c r="H3335" s="283">
        <v>0</v>
      </c>
      <c r="I3335" s="283">
        <v>0</v>
      </c>
      <c r="J3335" s="284">
        <v>0</v>
      </c>
    </row>
    <row r="3336" spans="3:10" x14ac:dyDescent="0.25">
      <c r="C3336" s="300" t="s">
        <v>1060</v>
      </c>
      <c r="D3336" s="283" t="s">
        <v>1077</v>
      </c>
      <c r="E3336" s="283" t="s">
        <v>1075</v>
      </c>
      <c r="F3336" s="283" t="s">
        <v>1076</v>
      </c>
      <c r="G3336" s="283">
        <v>2</v>
      </c>
      <c r="H3336" s="283">
        <v>0</v>
      </c>
      <c r="I3336" s="283">
        <v>0</v>
      </c>
      <c r="J3336" s="284">
        <v>0</v>
      </c>
    </row>
    <row r="3337" spans="3:10" x14ac:dyDescent="0.25">
      <c r="C3337" s="300" t="s">
        <v>1066</v>
      </c>
      <c r="D3337" s="283" t="s">
        <v>1074</v>
      </c>
      <c r="E3337" s="283" t="s">
        <v>1078</v>
      </c>
      <c r="F3337" s="283" t="s">
        <v>1089</v>
      </c>
      <c r="G3337" s="283">
        <v>3</v>
      </c>
      <c r="H3337" s="283">
        <v>0</v>
      </c>
      <c r="I3337" s="283">
        <v>0</v>
      </c>
      <c r="J3337" s="284">
        <v>0</v>
      </c>
    </row>
    <row r="3338" spans="3:10" x14ac:dyDescent="0.25">
      <c r="C3338" s="300" t="s">
        <v>1062</v>
      </c>
      <c r="D3338" s="283" t="s">
        <v>1087</v>
      </c>
      <c r="E3338" s="283" t="s">
        <v>1089</v>
      </c>
      <c r="F3338" s="283" t="s">
        <v>1084</v>
      </c>
      <c r="G3338" s="283">
        <v>2</v>
      </c>
      <c r="H3338" s="283">
        <v>0</v>
      </c>
      <c r="I3338" s="283">
        <v>0</v>
      </c>
      <c r="J3338" s="284">
        <v>0</v>
      </c>
    </row>
    <row r="3339" spans="3:10" x14ac:dyDescent="0.25">
      <c r="C3339" s="300" t="s">
        <v>1058</v>
      </c>
      <c r="D3339" s="283" t="s">
        <v>1074</v>
      </c>
      <c r="E3339" s="283" t="s">
        <v>1086</v>
      </c>
      <c r="F3339" s="283" t="s">
        <v>1088</v>
      </c>
      <c r="G3339" s="283">
        <v>2</v>
      </c>
      <c r="H3339" s="283">
        <v>0</v>
      </c>
      <c r="I3339" s="283">
        <v>0</v>
      </c>
      <c r="J3339" s="284">
        <v>0</v>
      </c>
    </row>
    <row r="3340" spans="3:10" x14ac:dyDescent="0.25">
      <c r="C3340" s="300" t="s">
        <v>1065</v>
      </c>
      <c r="D3340" s="283" t="s">
        <v>1077</v>
      </c>
      <c r="E3340" s="283" t="s">
        <v>1075</v>
      </c>
      <c r="F3340" s="283" t="s">
        <v>1075</v>
      </c>
      <c r="G3340" s="283">
        <v>2</v>
      </c>
      <c r="H3340" s="283">
        <v>0</v>
      </c>
      <c r="I3340" s="283">
        <v>0</v>
      </c>
      <c r="J3340" s="284">
        <v>0</v>
      </c>
    </row>
    <row r="3341" spans="3:10" x14ac:dyDescent="0.25">
      <c r="C3341" s="300" t="s">
        <v>1064</v>
      </c>
      <c r="D3341" s="283" t="s">
        <v>1074</v>
      </c>
      <c r="E3341" s="283" t="s">
        <v>1075</v>
      </c>
      <c r="F3341" s="283" t="s">
        <v>1075</v>
      </c>
      <c r="G3341" s="283">
        <v>2</v>
      </c>
      <c r="H3341" s="283">
        <v>0</v>
      </c>
      <c r="I3341" s="283">
        <v>0</v>
      </c>
      <c r="J3341" s="284">
        <v>0</v>
      </c>
    </row>
    <row r="3342" spans="3:10" x14ac:dyDescent="0.25">
      <c r="C3342" s="300" t="s">
        <v>1060</v>
      </c>
      <c r="D3342" s="283" t="s">
        <v>1079</v>
      </c>
      <c r="E3342" s="283" t="s">
        <v>1091</v>
      </c>
      <c r="F3342" s="283" t="s">
        <v>1075</v>
      </c>
      <c r="G3342" s="283">
        <v>2</v>
      </c>
      <c r="H3342" s="283">
        <v>0</v>
      </c>
      <c r="I3342" s="283">
        <v>0</v>
      </c>
      <c r="J3342" s="284">
        <v>0</v>
      </c>
    </row>
    <row r="3343" spans="3:10" x14ac:dyDescent="0.25">
      <c r="C3343" s="300" t="s">
        <v>1064</v>
      </c>
      <c r="D3343" s="283" t="s">
        <v>1087</v>
      </c>
      <c r="E3343" s="283" t="s">
        <v>1075</v>
      </c>
      <c r="F3343" s="283" t="s">
        <v>524</v>
      </c>
      <c r="G3343" s="283">
        <v>1</v>
      </c>
      <c r="H3343" s="283">
        <v>0</v>
      </c>
      <c r="I3343" s="283">
        <v>0</v>
      </c>
      <c r="J3343" s="284">
        <v>1</v>
      </c>
    </row>
    <row r="3344" spans="3:10" x14ac:dyDescent="0.25">
      <c r="C3344" s="300" t="s">
        <v>1061</v>
      </c>
      <c r="D3344" s="283" t="s">
        <v>1043</v>
      </c>
      <c r="E3344" s="283" t="s">
        <v>1075</v>
      </c>
      <c r="F3344" s="283" t="s">
        <v>1092</v>
      </c>
      <c r="G3344" s="283">
        <v>2</v>
      </c>
      <c r="H3344" s="283">
        <v>0</v>
      </c>
      <c r="I3344" s="283">
        <v>0</v>
      </c>
      <c r="J3344" s="284">
        <v>0</v>
      </c>
    </row>
    <row r="3345" spans="3:10" x14ac:dyDescent="0.25">
      <c r="C3345" s="300" t="s">
        <v>1057</v>
      </c>
      <c r="D3345" s="283" t="s">
        <v>1079</v>
      </c>
      <c r="E3345" s="283" t="s">
        <v>1089</v>
      </c>
      <c r="F3345" s="283" t="s">
        <v>1084</v>
      </c>
      <c r="G3345" s="283">
        <v>2</v>
      </c>
      <c r="H3345" s="283">
        <v>0</v>
      </c>
      <c r="I3345" s="283">
        <v>0</v>
      </c>
      <c r="J3345" s="284">
        <v>0</v>
      </c>
    </row>
    <row r="3346" spans="3:10" x14ac:dyDescent="0.25">
      <c r="C3346" s="300" t="s">
        <v>1064</v>
      </c>
      <c r="D3346" s="283" t="s">
        <v>1074</v>
      </c>
      <c r="E3346" s="283" t="s">
        <v>1075</v>
      </c>
      <c r="F3346" s="283" t="s">
        <v>1075</v>
      </c>
      <c r="G3346" s="283">
        <v>2</v>
      </c>
      <c r="H3346" s="283">
        <v>0</v>
      </c>
      <c r="I3346" s="283">
        <v>0</v>
      </c>
      <c r="J3346" s="284">
        <v>2</v>
      </c>
    </row>
    <row r="3347" spans="3:10" x14ac:dyDescent="0.25">
      <c r="C3347" s="300" t="s">
        <v>1062</v>
      </c>
      <c r="D3347" s="283" t="s">
        <v>1090</v>
      </c>
      <c r="E3347" s="283" t="s">
        <v>1080</v>
      </c>
      <c r="F3347" s="283" t="s">
        <v>524</v>
      </c>
      <c r="G3347" s="283">
        <v>1</v>
      </c>
      <c r="H3347" s="283">
        <v>0</v>
      </c>
      <c r="I3347" s="283">
        <v>0</v>
      </c>
      <c r="J3347" s="284">
        <v>0</v>
      </c>
    </row>
    <row r="3348" spans="3:10" x14ac:dyDescent="0.25">
      <c r="C3348" s="300" t="s">
        <v>1068</v>
      </c>
      <c r="D3348" s="283" t="s">
        <v>1074</v>
      </c>
      <c r="E3348" s="283" t="s">
        <v>1075</v>
      </c>
      <c r="F3348" s="283" t="s">
        <v>1075</v>
      </c>
      <c r="G3348" s="283">
        <v>2</v>
      </c>
      <c r="H3348" s="283">
        <v>0</v>
      </c>
      <c r="I3348" s="283">
        <v>0</v>
      </c>
      <c r="J3348" s="284">
        <v>1</v>
      </c>
    </row>
    <row r="3349" spans="3:10" x14ac:dyDescent="0.25">
      <c r="C3349" s="300" t="s">
        <v>1064</v>
      </c>
      <c r="D3349" s="283" t="s">
        <v>1082</v>
      </c>
      <c r="E3349" s="283" t="s">
        <v>1075</v>
      </c>
      <c r="F3349" s="283" t="s">
        <v>1075</v>
      </c>
      <c r="G3349" s="283">
        <v>4</v>
      </c>
      <c r="H3349" s="283">
        <v>0</v>
      </c>
      <c r="I3349" s="283">
        <v>0</v>
      </c>
      <c r="J3349" s="284">
        <v>1</v>
      </c>
    </row>
    <row r="3350" spans="3:10" x14ac:dyDescent="0.25">
      <c r="C3350" s="300" t="s">
        <v>1065</v>
      </c>
      <c r="D3350" s="283" t="s">
        <v>1077</v>
      </c>
      <c r="E3350" s="283" t="s">
        <v>1089</v>
      </c>
      <c r="F3350" s="283" t="s">
        <v>1081</v>
      </c>
      <c r="G3350" s="283">
        <v>2</v>
      </c>
      <c r="H3350" s="283">
        <v>0</v>
      </c>
      <c r="I3350" s="283">
        <v>0</v>
      </c>
      <c r="J3350" s="284">
        <v>0</v>
      </c>
    </row>
    <row r="3351" spans="3:10" x14ac:dyDescent="0.25">
      <c r="C3351" s="300" t="s">
        <v>1060</v>
      </c>
      <c r="D3351" s="283" t="s">
        <v>1074</v>
      </c>
      <c r="E3351" s="283" t="s">
        <v>1075</v>
      </c>
      <c r="F3351" s="283" t="s">
        <v>1076</v>
      </c>
      <c r="G3351" s="283">
        <v>2</v>
      </c>
      <c r="H3351" s="283">
        <v>0</v>
      </c>
      <c r="I3351" s="283">
        <v>0</v>
      </c>
      <c r="J3351" s="284">
        <v>0</v>
      </c>
    </row>
    <row r="3352" spans="3:10" x14ac:dyDescent="0.25">
      <c r="C3352" s="300" t="s">
        <v>1067</v>
      </c>
      <c r="D3352" s="283" t="s">
        <v>1079</v>
      </c>
      <c r="E3352" s="283" t="s">
        <v>1075</v>
      </c>
      <c r="F3352" s="283" t="s">
        <v>1075</v>
      </c>
      <c r="G3352" s="283">
        <v>2</v>
      </c>
      <c r="H3352" s="283">
        <v>0</v>
      </c>
      <c r="I3352" s="283">
        <v>0</v>
      </c>
      <c r="J3352" s="284">
        <v>1</v>
      </c>
    </row>
    <row r="3353" spans="3:10" x14ac:dyDescent="0.25">
      <c r="C3353" s="300" t="s">
        <v>1062</v>
      </c>
      <c r="D3353" s="283" t="s">
        <v>1077</v>
      </c>
      <c r="E3353" s="283" t="s">
        <v>1084</v>
      </c>
      <c r="F3353" s="283" t="s">
        <v>1075</v>
      </c>
      <c r="G3353" s="283">
        <v>2</v>
      </c>
      <c r="H3353" s="283">
        <v>0</v>
      </c>
      <c r="I3353" s="283">
        <v>0</v>
      </c>
      <c r="J3353" s="284">
        <v>0</v>
      </c>
    </row>
    <row r="3354" spans="3:10" x14ac:dyDescent="0.25">
      <c r="C3354" s="300" t="s">
        <v>1060</v>
      </c>
      <c r="D3354" s="283" t="s">
        <v>1043</v>
      </c>
      <c r="E3354" s="283" t="s">
        <v>1075</v>
      </c>
      <c r="F3354" s="283" t="s">
        <v>1092</v>
      </c>
      <c r="G3354" s="283">
        <v>2</v>
      </c>
      <c r="H3354" s="283">
        <v>0</v>
      </c>
      <c r="I3354" s="283">
        <v>1</v>
      </c>
      <c r="J3354" s="284">
        <v>0</v>
      </c>
    </row>
    <row r="3355" spans="3:10" x14ac:dyDescent="0.25">
      <c r="C3355" s="300" t="s">
        <v>1065</v>
      </c>
      <c r="D3355" s="283" t="s">
        <v>1043</v>
      </c>
      <c r="E3355" s="283" t="s">
        <v>1089</v>
      </c>
      <c r="F3355" s="283" t="s">
        <v>1092</v>
      </c>
      <c r="G3355" s="283">
        <v>2</v>
      </c>
      <c r="H3355" s="283">
        <v>0</v>
      </c>
      <c r="I3355" s="283">
        <v>0</v>
      </c>
      <c r="J3355" s="284">
        <v>0</v>
      </c>
    </row>
    <row r="3356" spans="3:10" x14ac:dyDescent="0.25">
      <c r="C3356" s="300" t="s">
        <v>1061</v>
      </c>
      <c r="D3356" s="283" t="s">
        <v>1043</v>
      </c>
      <c r="E3356" s="283" t="s">
        <v>1076</v>
      </c>
      <c r="F3356" s="283" t="s">
        <v>1092</v>
      </c>
      <c r="G3356" s="283">
        <v>2</v>
      </c>
      <c r="H3356" s="283">
        <v>0</v>
      </c>
      <c r="I3356" s="283">
        <v>1</v>
      </c>
      <c r="J3356" s="284">
        <v>0</v>
      </c>
    </row>
    <row r="3357" spans="3:10" x14ac:dyDescent="0.25">
      <c r="C3357" s="300" t="s">
        <v>1061</v>
      </c>
      <c r="D3357" s="283" t="s">
        <v>1087</v>
      </c>
      <c r="E3357" s="283" t="s">
        <v>1075</v>
      </c>
      <c r="F3357" s="283" t="s">
        <v>524</v>
      </c>
      <c r="G3357" s="283">
        <v>1</v>
      </c>
      <c r="H3357" s="283">
        <v>0</v>
      </c>
      <c r="I3357" s="283">
        <v>0</v>
      </c>
      <c r="J3357" s="284">
        <v>1</v>
      </c>
    </row>
    <row r="3358" spans="3:10" x14ac:dyDescent="0.25">
      <c r="C3358" s="300" t="s">
        <v>1064</v>
      </c>
      <c r="D3358" s="283" t="s">
        <v>1074</v>
      </c>
      <c r="E3358" s="283" t="s">
        <v>1075</v>
      </c>
      <c r="F3358" s="283" t="s">
        <v>1044</v>
      </c>
      <c r="G3358" s="283">
        <v>2</v>
      </c>
      <c r="H3358" s="283">
        <v>0</v>
      </c>
      <c r="I3358" s="283">
        <v>1</v>
      </c>
      <c r="J3358" s="284">
        <v>0</v>
      </c>
    </row>
    <row r="3359" spans="3:10" x14ac:dyDescent="0.25">
      <c r="C3359" s="300" t="s">
        <v>1064</v>
      </c>
      <c r="D3359" s="283" t="s">
        <v>1077</v>
      </c>
      <c r="E3359" s="283" t="s">
        <v>1089</v>
      </c>
      <c r="F3359" s="283" t="s">
        <v>1075</v>
      </c>
      <c r="G3359" s="283">
        <v>2</v>
      </c>
      <c r="H3359" s="283">
        <v>0</v>
      </c>
      <c r="I3359" s="283">
        <v>0</v>
      </c>
      <c r="J3359" s="284">
        <v>1</v>
      </c>
    </row>
    <row r="3360" spans="3:10" x14ac:dyDescent="0.25">
      <c r="C3360" s="300" t="s">
        <v>1060</v>
      </c>
      <c r="D3360" s="283" t="s">
        <v>1079</v>
      </c>
      <c r="E3360" s="283" t="s">
        <v>1089</v>
      </c>
      <c r="F3360" s="283" t="s">
        <v>1075</v>
      </c>
      <c r="G3360" s="283">
        <v>2</v>
      </c>
      <c r="H3360" s="283">
        <v>0</v>
      </c>
      <c r="I3360" s="283">
        <v>0</v>
      </c>
      <c r="J3360" s="284">
        <v>0</v>
      </c>
    </row>
    <row r="3361" spans="3:10" x14ac:dyDescent="0.25">
      <c r="C3361" s="300" t="s">
        <v>1064</v>
      </c>
      <c r="D3361" s="283" t="s">
        <v>1043</v>
      </c>
      <c r="E3361" s="283" t="s">
        <v>1089</v>
      </c>
      <c r="F3361" s="283" t="s">
        <v>1092</v>
      </c>
      <c r="G3361" s="283">
        <v>2</v>
      </c>
      <c r="H3361" s="283">
        <v>0</v>
      </c>
      <c r="I3361" s="283">
        <v>1</v>
      </c>
      <c r="J3361" s="284">
        <v>0</v>
      </c>
    </row>
    <row r="3362" spans="3:10" x14ac:dyDescent="0.25">
      <c r="C3362" s="300" t="s">
        <v>1067</v>
      </c>
      <c r="D3362" s="283" t="s">
        <v>1077</v>
      </c>
      <c r="E3362" s="283" t="s">
        <v>1083</v>
      </c>
      <c r="F3362" s="283" t="s">
        <v>1075</v>
      </c>
      <c r="G3362" s="283">
        <v>2</v>
      </c>
      <c r="H3362" s="283">
        <v>0</v>
      </c>
      <c r="I3362" s="283">
        <v>1</v>
      </c>
      <c r="J3362" s="284">
        <v>0</v>
      </c>
    </row>
    <row r="3363" spans="3:10" x14ac:dyDescent="0.25">
      <c r="C3363" s="300" t="s">
        <v>1065</v>
      </c>
      <c r="D3363" s="283" t="s">
        <v>1074</v>
      </c>
      <c r="E3363" s="283" t="s">
        <v>1075</v>
      </c>
      <c r="F3363" s="283" t="s">
        <v>1075</v>
      </c>
      <c r="G3363" s="283">
        <v>2</v>
      </c>
      <c r="H3363" s="283">
        <v>0</v>
      </c>
      <c r="I3363" s="283">
        <v>0</v>
      </c>
      <c r="J3363" s="284">
        <v>0</v>
      </c>
    </row>
    <row r="3364" spans="3:10" x14ac:dyDescent="0.25">
      <c r="C3364" s="300" t="s">
        <v>1063</v>
      </c>
      <c r="D3364" s="283" t="s">
        <v>1087</v>
      </c>
      <c r="E3364" s="283" t="s">
        <v>1084</v>
      </c>
      <c r="F3364" s="283" t="s">
        <v>524</v>
      </c>
      <c r="G3364" s="283">
        <v>1</v>
      </c>
      <c r="H3364" s="283">
        <v>0</v>
      </c>
      <c r="I3364" s="283">
        <v>0</v>
      </c>
      <c r="J3364" s="284">
        <v>0</v>
      </c>
    </row>
    <row r="3365" spans="3:10" x14ac:dyDescent="0.25">
      <c r="C3365" s="300" t="s">
        <v>1060</v>
      </c>
      <c r="D3365" s="283" t="s">
        <v>1077</v>
      </c>
      <c r="E3365" s="283" t="s">
        <v>1075</v>
      </c>
      <c r="F3365" s="283" t="s">
        <v>1075</v>
      </c>
      <c r="G3365" s="283">
        <v>2</v>
      </c>
      <c r="H3365" s="283">
        <v>0</v>
      </c>
      <c r="I3365" s="283">
        <v>0</v>
      </c>
      <c r="J3365" s="284">
        <v>1</v>
      </c>
    </row>
    <row r="3366" spans="3:10" x14ac:dyDescent="0.25">
      <c r="C3366" s="300" t="s">
        <v>1060</v>
      </c>
      <c r="D3366" s="283" t="s">
        <v>1079</v>
      </c>
      <c r="E3366" s="283" t="s">
        <v>1089</v>
      </c>
      <c r="F3366" s="283" t="s">
        <v>1075</v>
      </c>
      <c r="G3366" s="283">
        <v>2</v>
      </c>
      <c r="H3366" s="283">
        <v>0</v>
      </c>
      <c r="I3366" s="283">
        <v>0</v>
      </c>
      <c r="J3366" s="284">
        <v>0</v>
      </c>
    </row>
    <row r="3367" spans="3:10" x14ac:dyDescent="0.25">
      <c r="C3367" s="300" t="s">
        <v>1064</v>
      </c>
      <c r="D3367" s="283" t="s">
        <v>1077</v>
      </c>
      <c r="E3367" s="283" t="s">
        <v>1076</v>
      </c>
      <c r="F3367" s="283" t="s">
        <v>1075</v>
      </c>
      <c r="G3367" s="283">
        <v>2</v>
      </c>
      <c r="H3367" s="283">
        <v>0</v>
      </c>
      <c r="I3367" s="283">
        <v>0</v>
      </c>
      <c r="J3367" s="284">
        <v>0</v>
      </c>
    </row>
    <row r="3368" spans="3:10" x14ac:dyDescent="0.25">
      <c r="C3368" s="300" t="s">
        <v>1065</v>
      </c>
      <c r="D3368" s="283" t="s">
        <v>1077</v>
      </c>
      <c r="E3368" s="283" t="s">
        <v>1089</v>
      </c>
      <c r="F3368" s="283" t="s">
        <v>1078</v>
      </c>
      <c r="G3368" s="283">
        <v>2</v>
      </c>
      <c r="H3368" s="283">
        <v>0</v>
      </c>
      <c r="I3368" s="283">
        <v>0</v>
      </c>
      <c r="J3368" s="284">
        <v>0</v>
      </c>
    </row>
    <row r="3369" spans="3:10" x14ac:dyDescent="0.25">
      <c r="C3369" s="300" t="s">
        <v>1064</v>
      </c>
      <c r="D3369" s="283" t="s">
        <v>1079</v>
      </c>
      <c r="E3369" s="283" t="s">
        <v>1075</v>
      </c>
      <c r="F3369" s="283" t="s">
        <v>1075</v>
      </c>
      <c r="G3369" s="283">
        <v>2</v>
      </c>
      <c r="H3369" s="283">
        <v>0</v>
      </c>
      <c r="I3369" s="283">
        <v>0</v>
      </c>
      <c r="J3369" s="284">
        <v>0</v>
      </c>
    </row>
    <row r="3370" spans="3:10" x14ac:dyDescent="0.25">
      <c r="C3370" s="300" t="s">
        <v>1065</v>
      </c>
      <c r="D3370" s="283" t="s">
        <v>1082</v>
      </c>
      <c r="E3370" s="283" t="s">
        <v>1075</v>
      </c>
      <c r="F3370" s="283" t="s">
        <v>1078</v>
      </c>
      <c r="G3370" s="283">
        <v>2</v>
      </c>
      <c r="H3370" s="283">
        <v>0</v>
      </c>
      <c r="I3370" s="283">
        <v>0</v>
      </c>
      <c r="J3370" s="284">
        <v>0</v>
      </c>
    </row>
    <row r="3371" spans="3:10" x14ac:dyDescent="0.25">
      <c r="C3371" s="300" t="s">
        <v>1061</v>
      </c>
      <c r="D3371" s="283" t="s">
        <v>1079</v>
      </c>
      <c r="E3371" s="283" t="s">
        <v>1081</v>
      </c>
      <c r="F3371" s="283" t="s">
        <v>1075</v>
      </c>
      <c r="G3371" s="283">
        <v>2</v>
      </c>
      <c r="H3371" s="283">
        <v>0</v>
      </c>
      <c r="I3371" s="283">
        <v>0</v>
      </c>
      <c r="J3371" s="284">
        <v>0</v>
      </c>
    </row>
    <row r="3372" spans="3:10" x14ac:dyDescent="0.25">
      <c r="C3372" s="300" t="s">
        <v>1064</v>
      </c>
      <c r="D3372" s="283" t="s">
        <v>1087</v>
      </c>
      <c r="E3372" s="283" t="s">
        <v>1075</v>
      </c>
      <c r="F3372" s="283" t="s">
        <v>524</v>
      </c>
      <c r="G3372" s="283">
        <v>1</v>
      </c>
      <c r="H3372" s="283">
        <v>0</v>
      </c>
      <c r="I3372" s="283">
        <v>0</v>
      </c>
      <c r="J3372" s="284">
        <v>0</v>
      </c>
    </row>
    <row r="3373" spans="3:10" x14ac:dyDescent="0.25">
      <c r="C3373" s="300" t="s">
        <v>1061</v>
      </c>
      <c r="D3373" s="283" t="s">
        <v>1079</v>
      </c>
      <c r="E3373" s="283" t="s">
        <v>1075</v>
      </c>
      <c r="F3373" s="283" t="s">
        <v>1075</v>
      </c>
      <c r="G3373" s="283">
        <v>2</v>
      </c>
      <c r="H3373" s="283">
        <v>0</v>
      </c>
      <c r="I3373" s="283">
        <v>0</v>
      </c>
      <c r="J3373" s="284">
        <v>0</v>
      </c>
    </row>
    <row r="3374" spans="3:10" x14ac:dyDescent="0.25">
      <c r="C3374" s="300" t="s">
        <v>1068</v>
      </c>
      <c r="D3374" s="283" t="s">
        <v>1079</v>
      </c>
      <c r="E3374" s="283" t="s">
        <v>1075</v>
      </c>
      <c r="F3374" s="283" t="s">
        <v>1075</v>
      </c>
      <c r="G3374" s="283">
        <v>2</v>
      </c>
      <c r="H3374" s="283">
        <v>0</v>
      </c>
      <c r="I3374" s="283">
        <v>0</v>
      </c>
      <c r="J3374" s="284">
        <v>0</v>
      </c>
    </row>
    <row r="3375" spans="3:10" x14ac:dyDescent="0.25">
      <c r="C3375" s="300" t="s">
        <v>1060</v>
      </c>
      <c r="D3375" s="283" t="s">
        <v>1077</v>
      </c>
      <c r="E3375" s="283" t="s">
        <v>1089</v>
      </c>
      <c r="F3375" s="283" t="s">
        <v>1083</v>
      </c>
      <c r="G3375" s="283">
        <v>2</v>
      </c>
      <c r="H3375" s="283">
        <v>0</v>
      </c>
      <c r="I3375" s="283">
        <v>0</v>
      </c>
      <c r="J3375" s="284">
        <v>1</v>
      </c>
    </row>
    <row r="3376" spans="3:10" x14ac:dyDescent="0.25">
      <c r="C3376" s="300" t="s">
        <v>1060</v>
      </c>
      <c r="D3376" s="283" t="s">
        <v>1087</v>
      </c>
      <c r="E3376" s="283" t="s">
        <v>1084</v>
      </c>
      <c r="F3376" s="283" t="s">
        <v>524</v>
      </c>
      <c r="G3376" s="283">
        <v>1</v>
      </c>
      <c r="H3376" s="283">
        <v>0</v>
      </c>
      <c r="I3376" s="283">
        <v>0</v>
      </c>
      <c r="J3376" s="284">
        <v>0</v>
      </c>
    </row>
    <row r="3377" spans="3:10" x14ac:dyDescent="0.25">
      <c r="C3377" s="300" t="s">
        <v>1057</v>
      </c>
      <c r="D3377" s="283" t="s">
        <v>1079</v>
      </c>
      <c r="E3377" s="283" t="s">
        <v>1075</v>
      </c>
      <c r="F3377" s="283" t="s">
        <v>1089</v>
      </c>
      <c r="G3377" s="283">
        <v>2</v>
      </c>
      <c r="H3377" s="283">
        <v>0</v>
      </c>
      <c r="I3377" s="283">
        <v>0</v>
      </c>
      <c r="J3377" s="284">
        <v>0</v>
      </c>
    </row>
    <row r="3378" spans="3:10" x14ac:dyDescent="0.25">
      <c r="C3378" s="300" t="s">
        <v>1061</v>
      </c>
      <c r="D3378" s="283" t="s">
        <v>1079</v>
      </c>
      <c r="E3378" s="283" t="s">
        <v>1084</v>
      </c>
      <c r="F3378" s="283" t="s">
        <v>1075</v>
      </c>
      <c r="G3378" s="283">
        <v>2</v>
      </c>
      <c r="H3378" s="283">
        <v>0</v>
      </c>
      <c r="I3378" s="283">
        <v>1</v>
      </c>
      <c r="J3378" s="284">
        <v>1</v>
      </c>
    </row>
    <row r="3379" spans="3:10" x14ac:dyDescent="0.25">
      <c r="C3379" s="300" t="s">
        <v>1059</v>
      </c>
      <c r="D3379" s="283" t="s">
        <v>1087</v>
      </c>
      <c r="E3379" s="283" t="s">
        <v>1075</v>
      </c>
      <c r="F3379" s="283" t="s">
        <v>524</v>
      </c>
      <c r="G3379" s="283">
        <v>1</v>
      </c>
      <c r="H3379" s="283">
        <v>0</v>
      </c>
      <c r="I3379" s="283">
        <v>0</v>
      </c>
      <c r="J3379" s="284">
        <v>0</v>
      </c>
    </row>
    <row r="3380" spans="3:10" x14ac:dyDescent="0.25">
      <c r="C3380" s="300" t="s">
        <v>1065</v>
      </c>
      <c r="D3380" s="283" t="s">
        <v>1043</v>
      </c>
      <c r="E3380" s="283" t="s">
        <v>1075</v>
      </c>
      <c r="F3380" s="283" t="s">
        <v>1092</v>
      </c>
      <c r="G3380" s="283">
        <v>2</v>
      </c>
      <c r="H3380" s="283">
        <v>0</v>
      </c>
      <c r="I3380" s="283">
        <v>0</v>
      </c>
      <c r="J3380" s="284">
        <v>0</v>
      </c>
    </row>
    <row r="3381" spans="3:10" x14ac:dyDescent="0.25">
      <c r="C3381" s="300" t="s">
        <v>1065</v>
      </c>
      <c r="D3381" s="283" t="s">
        <v>1074</v>
      </c>
      <c r="E3381" s="283" t="s">
        <v>1089</v>
      </c>
      <c r="F3381" s="283" t="s">
        <v>1075</v>
      </c>
      <c r="G3381" s="283">
        <v>2</v>
      </c>
      <c r="H3381" s="283">
        <v>0</v>
      </c>
      <c r="I3381" s="283">
        <v>0</v>
      </c>
      <c r="J3381" s="284">
        <v>0</v>
      </c>
    </row>
    <row r="3382" spans="3:10" x14ac:dyDescent="0.25">
      <c r="C3382" s="300" t="s">
        <v>1061</v>
      </c>
      <c r="D3382" s="283" t="s">
        <v>1074</v>
      </c>
      <c r="E3382" s="283" t="s">
        <v>1075</v>
      </c>
      <c r="F3382" s="283" t="s">
        <v>1075</v>
      </c>
      <c r="G3382" s="283">
        <v>2</v>
      </c>
      <c r="H3382" s="283">
        <v>0</v>
      </c>
      <c r="I3382" s="283">
        <v>0</v>
      </c>
      <c r="J3382" s="284">
        <v>0</v>
      </c>
    </row>
    <row r="3383" spans="3:10" x14ac:dyDescent="0.25">
      <c r="C3383" s="300" t="s">
        <v>1058</v>
      </c>
      <c r="D3383" s="283" t="s">
        <v>1087</v>
      </c>
      <c r="E3383" s="283" t="s">
        <v>1081</v>
      </c>
      <c r="F3383" s="283" t="s">
        <v>524</v>
      </c>
      <c r="G3383" s="283">
        <v>3</v>
      </c>
      <c r="H3383" s="283">
        <v>0</v>
      </c>
      <c r="I3383" s="283">
        <v>0</v>
      </c>
      <c r="J3383" s="284">
        <v>0</v>
      </c>
    </row>
    <row r="3384" spans="3:10" x14ac:dyDescent="0.25">
      <c r="C3384" s="300" t="s">
        <v>1063</v>
      </c>
      <c r="D3384" s="283" t="s">
        <v>1087</v>
      </c>
      <c r="E3384" s="283" t="s">
        <v>1084</v>
      </c>
      <c r="F3384" s="283" t="s">
        <v>524</v>
      </c>
      <c r="G3384" s="283">
        <v>1</v>
      </c>
      <c r="H3384" s="283">
        <v>0</v>
      </c>
      <c r="I3384" s="283">
        <v>0</v>
      </c>
      <c r="J3384" s="284">
        <v>1</v>
      </c>
    </row>
    <row r="3385" spans="3:10" x14ac:dyDescent="0.25">
      <c r="C3385" s="300" t="s">
        <v>1068</v>
      </c>
      <c r="D3385" s="283" t="s">
        <v>1074</v>
      </c>
      <c r="E3385" s="283" t="s">
        <v>1075</v>
      </c>
      <c r="F3385" s="283" t="s">
        <v>1093</v>
      </c>
      <c r="G3385" s="283">
        <v>2</v>
      </c>
      <c r="H3385" s="283">
        <v>0</v>
      </c>
      <c r="I3385" s="283">
        <v>0</v>
      </c>
      <c r="J3385" s="284">
        <v>1</v>
      </c>
    </row>
    <row r="3386" spans="3:10" x14ac:dyDescent="0.25">
      <c r="C3386" s="300" t="s">
        <v>1061</v>
      </c>
      <c r="D3386" s="283" t="s">
        <v>1087</v>
      </c>
      <c r="E3386" s="283" t="s">
        <v>1075</v>
      </c>
      <c r="F3386" s="283" t="s">
        <v>524</v>
      </c>
      <c r="G3386" s="283">
        <v>1</v>
      </c>
      <c r="H3386" s="283">
        <v>0</v>
      </c>
      <c r="I3386" s="283">
        <v>0</v>
      </c>
      <c r="J3386" s="284">
        <v>1</v>
      </c>
    </row>
    <row r="3387" spans="3:10" x14ac:dyDescent="0.25">
      <c r="C3387" s="300" t="s">
        <v>1067</v>
      </c>
      <c r="D3387" s="283" t="s">
        <v>1074</v>
      </c>
      <c r="E3387" s="283" t="s">
        <v>1075</v>
      </c>
      <c r="F3387" s="283" t="s">
        <v>1044</v>
      </c>
      <c r="G3387" s="283">
        <v>2</v>
      </c>
      <c r="H3387" s="283">
        <v>0</v>
      </c>
      <c r="I3387" s="283">
        <v>0</v>
      </c>
      <c r="J3387" s="284">
        <v>0</v>
      </c>
    </row>
    <row r="3388" spans="3:10" x14ac:dyDescent="0.25">
      <c r="C3388" s="300" t="s">
        <v>1064</v>
      </c>
      <c r="D3388" s="283" t="s">
        <v>1079</v>
      </c>
      <c r="E3388" s="283" t="s">
        <v>1075</v>
      </c>
      <c r="F3388" s="283" t="s">
        <v>1075</v>
      </c>
      <c r="G3388" s="283">
        <v>2</v>
      </c>
      <c r="H3388" s="283">
        <v>0</v>
      </c>
      <c r="I3388" s="283">
        <v>0</v>
      </c>
      <c r="J3388" s="284">
        <v>0</v>
      </c>
    </row>
    <row r="3389" spans="3:10" x14ac:dyDescent="0.25">
      <c r="C3389" s="300" t="s">
        <v>1062</v>
      </c>
      <c r="D3389" s="283" t="s">
        <v>1077</v>
      </c>
      <c r="E3389" s="283" t="s">
        <v>1084</v>
      </c>
      <c r="F3389" s="283" t="s">
        <v>1075</v>
      </c>
      <c r="G3389" s="283">
        <v>2</v>
      </c>
      <c r="H3389" s="283">
        <v>0</v>
      </c>
      <c r="I3389" s="283">
        <v>0</v>
      </c>
      <c r="J3389" s="284">
        <v>0</v>
      </c>
    </row>
    <row r="3390" spans="3:10" x14ac:dyDescent="0.25">
      <c r="C3390" s="300" t="s">
        <v>1065</v>
      </c>
      <c r="D3390" s="283" t="s">
        <v>1079</v>
      </c>
      <c r="E3390" s="283" t="s">
        <v>1075</v>
      </c>
      <c r="F3390" s="283" t="s">
        <v>1078</v>
      </c>
      <c r="G3390" s="283">
        <v>2</v>
      </c>
      <c r="H3390" s="283">
        <v>0</v>
      </c>
      <c r="I3390" s="283">
        <v>0</v>
      </c>
      <c r="J3390" s="284">
        <v>0</v>
      </c>
    </row>
    <row r="3391" spans="3:10" x14ac:dyDescent="0.25">
      <c r="C3391" s="300" t="s">
        <v>1062</v>
      </c>
      <c r="D3391" s="283" t="s">
        <v>1079</v>
      </c>
      <c r="E3391" s="283" t="s">
        <v>1078</v>
      </c>
      <c r="F3391" s="283" t="s">
        <v>1089</v>
      </c>
      <c r="G3391" s="283">
        <v>2</v>
      </c>
      <c r="H3391" s="283">
        <v>0</v>
      </c>
      <c r="I3391" s="283">
        <v>0</v>
      </c>
      <c r="J3391" s="284">
        <v>0</v>
      </c>
    </row>
    <row r="3392" spans="3:10" x14ac:dyDescent="0.25">
      <c r="C3392" s="300" t="s">
        <v>1065</v>
      </c>
      <c r="D3392" s="283" t="s">
        <v>1074</v>
      </c>
      <c r="E3392" s="283" t="s">
        <v>1089</v>
      </c>
      <c r="F3392" s="283" t="s">
        <v>1075</v>
      </c>
      <c r="G3392" s="283">
        <v>2</v>
      </c>
      <c r="H3392" s="283">
        <v>0</v>
      </c>
      <c r="I3392" s="283">
        <v>0</v>
      </c>
      <c r="J3392" s="284">
        <v>0</v>
      </c>
    </row>
    <row r="3393" spans="3:10" x14ac:dyDescent="0.25">
      <c r="C3393" s="300" t="s">
        <v>1064</v>
      </c>
      <c r="D3393" s="283" t="s">
        <v>1074</v>
      </c>
      <c r="E3393" s="283" t="s">
        <v>1075</v>
      </c>
      <c r="F3393" s="283" t="s">
        <v>1075</v>
      </c>
      <c r="G3393" s="283">
        <v>2</v>
      </c>
      <c r="H3393" s="283">
        <v>0</v>
      </c>
      <c r="I3393" s="283">
        <v>0</v>
      </c>
      <c r="J3393" s="284">
        <v>0</v>
      </c>
    </row>
    <row r="3394" spans="3:10" x14ac:dyDescent="0.25">
      <c r="C3394" s="300" t="s">
        <v>1060</v>
      </c>
      <c r="D3394" s="283" t="s">
        <v>1074</v>
      </c>
      <c r="E3394" s="283" t="s">
        <v>1075</v>
      </c>
      <c r="F3394" s="283" t="s">
        <v>1089</v>
      </c>
      <c r="G3394" s="283">
        <v>2</v>
      </c>
      <c r="H3394" s="283">
        <v>0</v>
      </c>
      <c r="I3394" s="283">
        <v>0</v>
      </c>
      <c r="J3394" s="284">
        <v>0</v>
      </c>
    </row>
    <row r="3395" spans="3:10" x14ac:dyDescent="0.25">
      <c r="C3395" s="300" t="s">
        <v>1065</v>
      </c>
      <c r="D3395" s="283" t="s">
        <v>1106</v>
      </c>
      <c r="E3395" s="283" t="s">
        <v>1081</v>
      </c>
      <c r="F3395" s="283" t="s">
        <v>524</v>
      </c>
      <c r="G3395" s="283">
        <v>1</v>
      </c>
      <c r="H3395" s="283">
        <v>0</v>
      </c>
      <c r="I3395" s="283">
        <v>1</v>
      </c>
      <c r="J3395" s="284">
        <v>0</v>
      </c>
    </row>
    <row r="3396" spans="3:10" x14ac:dyDescent="0.25">
      <c r="C3396" s="300" t="s">
        <v>1062</v>
      </c>
      <c r="D3396" s="283" t="s">
        <v>1074</v>
      </c>
      <c r="E3396" s="283" t="s">
        <v>1044</v>
      </c>
      <c r="F3396" s="283" t="s">
        <v>1075</v>
      </c>
      <c r="G3396" s="283">
        <v>3</v>
      </c>
      <c r="H3396" s="283">
        <v>0</v>
      </c>
      <c r="I3396" s="283">
        <v>0</v>
      </c>
      <c r="J3396" s="284">
        <v>0</v>
      </c>
    </row>
    <row r="3397" spans="3:10" x14ac:dyDescent="0.25">
      <c r="C3397" s="300" t="s">
        <v>1064</v>
      </c>
      <c r="D3397" s="283" t="s">
        <v>1074</v>
      </c>
      <c r="E3397" s="283" t="s">
        <v>1075</v>
      </c>
      <c r="F3397" s="283" t="s">
        <v>1089</v>
      </c>
      <c r="G3397" s="283">
        <v>2</v>
      </c>
      <c r="H3397" s="283">
        <v>0</v>
      </c>
      <c r="I3397" s="283">
        <v>0</v>
      </c>
      <c r="J3397" s="284">
        <v>2</v>
      </c>
    </row>
    <row r="3398" spans="3:10" x14ac:dyDescent="0.25">
      <c r="C3398" s="300" t="s">
        <v>1060</v>
      </c>
      <c r="D3398" s="283" t="s">
        <v>1079</v>
      </c>
      <c r="E3398" s="283" t="s">
        <v>1078</v>
      </c>
      <c r="F3398" s="283" t="s">
        <v>1084</v>
      </c>
      <c r="G3398" s="283">
        <v>2</v>
      </c>
      <c r="H3398" s="283">
        <v>0</v>
      </c>
      <c r="I3398" s="283">
        <v>0</v>
      </c>
      <c r="J3398" s="284">
        <v>1</v>
      </c>
    </row>
    <row r="3399" spans="3:10" x14ac:dyDescent="0.25">
      <c r="C3399" s="300" t="s">
        <v>1060</v>
      </c>
      <c r="D3399" s="283" t="s">
        <v>1077</v>
      </c>
      <c r="E3399" s="283" t="s">
        <v>1086</v>
      </c>
      <c r="F3399" s="283" t="s">
        <v>1044</v>
      </c>
      <c r="G3399" s="283">
        <v>2</v>
      </c>
      <c r="H3399" s="283">
        <v>0</v>
      </c>
      <c r="I3399" s="283">
        <v>1</v>
      </c>
      <c r="J3399" s="284">
        <v>0</v>
      </c>
    </row>
    <row r="3400" spans="3:10" x14ac:dyDescent="0.25">
      <c r="C3400" s="300" t="s">
        <v>1067</v>
      </c>
      <c r="D3400" s="283" t="s">
        <v>1043</v>
      </c>
      <c r="E3400" s="283" t="s">
        <v>1080</v>
      </c>
      <c r="F3400" s="283" t="s">
        <v>1092</v>
      </c>
      <c r="G3400" s="283">
        <v>2</v>
      </c>
      <c r="H3400" s="283">
        <v>0</v>
      </c>
      <c r="I3400" s="283">
        <v>1</v>
      </c>
      <c r="J3400" s="284">
        <v>0</v>
      </c>
    </row>
    <row r="3401" spans="3:10" x14ac:dyDescent="0.25">
      <c r="C3401" s="300" t="s">
        <v>1061</v>
      </c>
      <c r="D3401" s="283" t="s">
        <v>1079</v>
      </c>
      <c r="E3401" s="283" t="s">
        <v>1089</v>
      </c>
      <c r="F3401" s="283" t="s">
        <v>1078</v>
      </c>
      <c r="G3401" s="283">
        <v>2</v>
      </c>
      <c r="H3401" s="283">
        <v>0</v>
      </c>
      <c r="I3401" s="283">
        <v>0</v>
      </c>
      <c r="J3401" s="284">
        <v>0</v>
      </c>
    </row>
    <row r="3402" spans="3:10" x14ac:dyDescent="0.25">
      <c r="C3402" s="300" t="s">
        <v>1067</v>
      </c>
      <c r="D3402" s="283" t="s">
        <v>1079</v>
      </c>
      <c r="E3402" s="283" t="s">
        <v>1076</v>
      </c>
      <c r="F3402" s="283" t="s">
        <v>1080</v>
      </c>
      <c r="G3402" s="283">
        <v>2</v>
      </c>
      <c r="H3402" s="283">
        <v>0</v>
      </c>
      <c r="I3402" s="283">
        <v>1</v>
      </c>
      <c r="J3402" s="284">
        <v>0</v>
      </c>
    </row>
    <row r="3403" spans="3:10" x14ac:dyDescent="0.25">
      <c r="C3403" s="300" t="s">
        <v>1064</v>
      </c>
      <c r="D3403" s="283" t="s">
        <v>1043</v>
      </c>
      <c r="E3403" s="283" t="s">
        <v>1078</v>
      </c>
      <c r="F3403" s="283" t="s">
        <v>1092</v>
      </c>
      <c r="G3403" s="283">
        <v>2</v>
      </c>
      <c r="H3403" s="283">
        <v>0</v>
      </c>
      <c r="I3403" s="283">
        <v>0</v>
      </c>
      <c r="J3403" s="284">
        <v>0</v>
      </c>
    </row>
    <row r="3404" spans="3:10" x14ac:dyDescent="0.25">
      <c r="C3404" s="300" t="s">
        <v>1060</v>
      </c>
      <c r="D3404" s="283" t="s">
        <v>1074</v>
      </c>
      <c r="E3404" s="283" t="s">
        <v>1075</v>
      </c>
      <c r="F3404" s="283" t="s">
        <v>1083</v>
      </c>
      <c r="G3404" s="283">
        <v>2</v>
      </c>
      <c r="H3404" s="283">
        <v>0</v>
      </c>
      <c r="I3404" s="283">
        <v>1</v>
      </c>
      <c r="J3404" s="284">
        <v>0</v>
      </c>
    </row>
    <row r="3405" spans="3:10" x14ac:dyDescent="0.25">
      <c r="C3405" s="300" t="s">
        <v>1065</v>
      </c>
      <c r="D3405" s="283" t="s">
        <v>1043</v>
      </c>
      <c r="E3405" s="283" t="s">
        <v>1089</v>
      </c>
      <c r="F3405" s="283" t="s">
        <v>1092</v>
      </c>
      <c r="G3405" s="283">
        <v>2</v>
      </c>
      <c r="H3405" s="283">
        <v>0</v>
      </c>
      <c r="I3405" s="283">
        <v>1</v>
      </c>
      <c r="J3405" s="284">
        <v>0</v>
      </c>
    </row>
    <row r="3406" spans="3:10" x14ac:dyDescent="0.25">
      <c r="C3406" s="300" t="s">
        <v>1061</v>
      </c>
      <c r="D3406" s="283" t="s">
        <v>1043</v>
      </c>
      <c r="E3406" s="283" t="s">
        <v>1089</v>
      </c>
      <c r="F3406" s="283" t="s">
        <v>1092</v>
      </c>
      <c r="G3406" s="283">
        <v>2</v>
      </c>
      <c r="H3406" s="283">
        <v>0</v>
      </c>
      <c r="I3406" s="283">
        <v>0</v>
      </c>
      <c r="J3406" s="284">
        <v>1</v>
      </c>
    </row>
    <row r="3407" spans="3:10" x14ac:dyDescent="0.25">
      <c r="C3407" s="300" t="s">
        <v>1062</v>
      </c>
      <c r="D3407" s="283" t="s">
        <v>1077</v>
      </c>
      <c r="E3407" s="283" t="s">
        <v>1084</v>
      </c>
      <c r="F3407" s="283" t="s">
        <v>1080</v>
      </c>
      <c r="G3407" s="283">
        <v>3</v>
      </c>
      <c r="H3407" s="283">
        <v>0</v>
      </c>
      <c r="I3407" s="283">
        <v>0</v>
      </c>
      <c r="J3407" s="284">
        <v>0</v>
      </c>
    </row>
    <row r="3408" spans="3:10" x14ac:dyDescent="0.25">
      <c r="C3408" s="300" t="s">
        <v>1064</v>
      </c>
      <c r="D3408" s="283" t="s">
        <v>1077</v>
      </c>
      <c r="E3408" s="283" t="s">
        <v>1094</v>
      </c>
      <c r="F3408" s="283" t="s">
        <v>1075</v>
      </c>
      <c r="G3408" s="283">
        <v>2</v>
      </c>
      <c r="H3408" s="283">
        <v>0</v>
      </c>
      <c r="I3408" s="283">
        <v>0</v>
      </c>
      <c r="J3408" s="284">
        <v>0</v>
      </c>
    </row>
    <row r="3409" spans="3:10" x14ac:dyDescent="0.25">
      <c r="C3409" s="300" t="s">
        <v>1058</v>
      </c>
      <c r="D3409" s="283" t="s">
        <v>1079</v>
      </c>
      <c r="E3409" s="283" t="s">
        <v>1075</v>
      </c>
      <c r="F3409" s="283" t="s">
        <v>1075</v>
      </c>
      <c r="G3409" s="283">
        <v>2</v>
      </c>
      <c r="H3409" s="283">
        <v>0</v>
      </c>
      <c r="I3409" s="283">
        <v>0</v>
      </c>
      <c r="J3409" s="284">
        <v>0</v>
      </c>
    </row>
    <row r="3410" spans="3:10" x14ac:dyDescent="0.25">
      <c r="C3410" s="300" t="s">
        <v>1061</v>
      </c>
      <c r="D3410" s="283" t="s">
        <v>1043</v>
      </c>
      <c r="E3410" s="283" t="s">
        <v>1075</v>
      </c>
      <c r="F3410" s="283" t="s">
        <v>1092</v>
      </c>
      <c r="G3410" s="283">
        <v>2</v>
      </c>
      <c r="H3410" s="283">
        <v>0</v>
      </c>
      <c r="I3410" s="283">
        <v>1</v>
      </c>
      <c r="J3410" s="284">
        <v>0</v>
      </c>
    </row>
    <row r="3411" spans="3:10" x14ac:dyDescent="0.25">
      <c r="C3411" s="300" t="s">
        <v>1066</v>
      </c>
      <c r="D3411" s="283" t="s">
        <v>1079</v>
      </c>
      <c r="E3411" s="283" t="s">
        <v>1076</v>
      </c>
      <c r="F3411" s="283" t="s">
        <v>1083</v>
      </c>
      <c r="G3411" s="283">
        <v>2</v>
      </c>
      <c r="H3411" s="283">
        <v>0</v>
      </c>
      <c r="I3411" s="283">
        <v>0</v>
      </c>
      <c r="J3411" s="284">
        <v>1</v>
      </c>
    </row>
    <row r="3412" spans="3:10" x14ac:dyDescent="0.25">
      <c r="C3412" s="300" t="s">
        <v>1061</v>
      </c>
      <c r="D3412" s="283" t="s">
        <v>1090</v>
      </c>
      <c r="E3412" s="283" t="s">
        <v>1083</v>
      </c>
      <c r="F3412" s="283" t="s">
        <v>524</v>
      </c>
      <c r="G3412" s="283">
        <v>1</v>
      </c>
      <c r="H3412" s="283">
        <v>0</v>
      </c>
      <c r="I3412" s="283">
        <v>0</v>
      </c>
      <c r="J3412" s="284">
        <v>0</v>
      </c>
    </row>
    <row r="3413" spans="3:10" x14ac:dyDescent="0.25">
      <c r="C3413" s="300" t="s">
        <v>1068</v>
      </c>
      <c r="D3413" s="283" t="s">
        <v>1079</v>
      </c>
      <c r="E3413" s="283" t="s">
        <v>1076</v>
      </c>
      <c r="F3413" s="283" t="s">
        <v>1089</v>
      </c>
      <c r="G3413" s="283">
        <v>2</v>
      </c>
      <c r="H3413" s="283">
        <v>0</v>
      </c>
      <c r="I3413" s="283">
        <v>0</v>
      </c>
      <c r="J3413" s="284">
        <v>0</v>
      </c>
    </row>
    <row r="3414" spans="3:10" x14ac:dyDescent="0.25">
      <c r="C3414" s="300" t="s">
        <v>1061</v>
      </c>
      <c r="D3414" s="283" t="s">
        <v>1079</v>
      </c>
      <c r="E3414" s="283" t="s">
        <v>1075</v>
      </c>
      <c r="F3414" s="283" t="s">
        <v>1075</v>
      </c>
      <c r="G3414" s="283">
        <v>2</v>
      </c>
      <c r="H3414" s="283">
        <v>0</v>
      </c>
      <c r="I3414" s="283">
        <v>0</v>
      </c>
      <c r="J3414" s="284">
        <v>1</v>
      </c>
    </row>
    <row r="3415" spans="3:10" x14ac:dyDescent="0.25">
      <c r="C3415" s="300" t="s">
        <v>1062</v>
      </c>
      <c r="D3415" s="283" t="s">
        <v>1079</v>
      </c>
      <c r="E3415" s="283" t="s">
        <v>1075</v>
      </c>
      <c r="F3415" s="283" t="s">
        <v>1075</v>
      </c>
      <c r="G3415" s="283">
        <v>2</v>
      </c>
      <c r="H3415" s="283">
        <v>0</v>
      </c>
      <c r="I3415" s="283">
        <v>0</v>
      </c>
      <c r="J3415" s="284">
        <v>0</v>
      </c>
    </row>
    <row r="3416" spans="3:10" x14ac:dyDescent="0.25">
      <c r="C3416" s="300" t="s">
        <v>1067</v>
      </c>
      <c r="D3416" s="283" t="s">
        <v>1077</v>
      </c>
      <c r="E3416" s="283" t="s">
        <v>1075</v>
      </c>
      <c r="F3416" s="283" t="s">
        <v>1089</v>
      </c>
      <c r="G3416" s="283">
        <v>3</v>
      </c>
      <c r="H3416" s="283">
        <v>0</v>
      </c>
      <c r="I3416" s="283">
        <v>0</v>
      </c>
      <c r="J3416" s="284">
        <v>1</v>
      </c>
    </row>
    <row r="3417" spans="3:10" x14ac:dyDescent="0.25">
      <c r="C3417" s="300" t="s">
        <v>1065</v>
      </c>
      <c r="D3417" s="283" t="s">
        <v>1087</v>
      </c>
      <c r="E3417" s="283" t="s">
        <v>1075</v>
      </c>
      <c r="F3417" s="283" t="s">
        <v>524</v>
      </c>
      <c r="G3417" s="283">
        <v>1</v>
      </c>
      <c r="H3417" s="283">
        <v>0</v>
      </c>
      <c r="I3417" s="283">
        <v>1</v>
      </c>
      <c r="J3417" s="284">
        <v>0</v>
      </c>
    </row>
    <row r="3418" spans="3:10" x14ac:dyDescent="0.25">
      <c r="C3418" s="300" t="s">
        <v>1061</v>
      </c>
      <c r="D3418" s="283" t="s">
        <v>1079</v>
      </c>
      <c r="E3418" s="283" t="s">
        <v>1084</v>
      </c>
      <c r="F3418" s="283" t="s">
        <v>1089</v>
      </c>
      <c r="G3418" s="283">
        <v>3</v>
      </c>
      <c r="H3418" s="283">
        <v>0</v>
      </c>
      <c r="I3418" s="283">
        <v>0</v>
      </c>
      <c r="J3418" s="284">
        <v>0</v>
      </c>
    </row>
    <row r="3419" spans="3:10" x14ac:dyDescent="0.25">
      <c r="C3419" s="300" t="s">
        <v>1068</v>
      </c>
      <c r="D3419" s="283" t="s">
        <v>1087</v>
      </c>
      <c r="E3419" s="283" t="s">
        <v>1089</v>
      </c>
      <c r="F3419" s="283" t="s">
        <v>524</v>
      </c>
      <c r="G3419" s="283">
        <v>1</v>
      </c>
      <c r="H3419" s="283">
        <v>1</v>
      </c>
      <c r="I3419" s="283">
        <v>0</v>
      </c>
      <c r="J3419" s="284">
        <v>0</v>
      </c>
    </row>
    <row r="3420" spans="3:10" x14ac:dyDescent="0.25">
      <c r="C3420" s="300" t="s">
        <v>1061</v>
      </c>
      <c r="D3420" s="283" t="s">
        <v>1079</v>
      </c>
      <c r="E3420" s="283" t="s">
        <v>1075</v>
      </c>
      <c r="F3420" s="283" t="s">
        <v>1089</v>
      </c>
      <c r="G3420" s="283">
        <v>2</v>
      </c>
      <c r="H3420" s="283">
        <v>0</v>
      </c>
      <c r="I3420" s="283">
        <v>0</v>
      </c>
      <c r="J3420" s="284">
        <v>0</v>
      </c>
    </row>
    <row r="3421" spans="3:10" x14ac:dyDescent="0.25">
      <c r="C3421" s="300" t="s">
        <v>1057</v>
      </c>
      <c r="D3421" s="283" t="s">
        <v>1079</v>
      </c>
      <c r="E3421" s="283" t="s">
        <v>1078</v>
      </c>
      <c r="F3421" s="283" t="s">
        <v>1075</v>
      </c>
      <c r="G3421" s="283">
        <v>2</v>
      </c>
      <c r="H3421" s="283">
        <v>0</v>
      </c>
      <c r="I3421" s="283">
        <v>0</v>
      </c>
      <c r="J3421" s="284">
        <v>0</v>
      </c>
    </row>
    <row r="3422" spans="3:10" x14ac:dyDescent="0.25">
      <c r="C3422" s="300" t="s">
        <v>1064</v>
      </c>
      <c r="D3422" s="283" t="s">
        <v>1082</v>
      </c>
      <c r="E3422" s="283" t="s">
        <v>1078</v>
      </c>
      <c r="F3422" s="283" t="s">
        <v>1085</v>
      </c>
      <c r="G3422" s="283">
        <v>2</v>
      </c>
      <c r="H3422" s="283">
        <v>0</v>
      </c>
      <c r="I3422" s="283">
        <v>0</v>
      </c>
      <c r="J3422" s="284">
        <v>1</v>
      </c>
    </row>
    <row r="3423" spans="3:10" x14ac:dyDescent="0.25">
      <c r="C3423" s="300" t="s">
        <v>1059</v>
      </c>
      <c r="D3423" s="283" t="s">
        <v>1082</v>
      </c>
      <c r="E3423" s="283" t="s">
        <v>1084</v>
      </c>
      <c r="F3423" s="283" t="s">
        <v>1075</v>
      </c>
      <c r="G3423" s="283">
        <v>4</v>
      </c>
      <c r="H3423" s="283">
        <v>0</v>
      </c>
      <c r="I3423" s="283">
        <v>1</v>
      </c>
      <c r="J3423" s="284">
        <v>1</v>
      </c>
    </row>
    <row r="3424" spans="3:10" x14ac:dyDescent="0.25">
      <c r="C3424" s="300" t="s">
        <v>1068</v>
      </c>
      <c r="D3424" s="283" t="s">
        <v>1090</v>
      </c>
      <c r="E3424" s="283" t="s">
        <v>1044</v>
      </c>
      <c r="F3424" s="283" t="s">
        <v>524</v>
      </c>
      <c r="G3424" s="283">
        <v>1</v>
      </c>
      <c r="H3424" s="283">
        <v>0</v>
      </c>
      <c r="I3424" s="283">
        <v>0</v>
      </c>
      <c r="J3424" s="284">
        <v>1</v>
      </c>
    </row>
    <row r="3425" spans="3:10" x14ac:dyDescent="0.25">
      <c r="C3425" s="300" t="s">
        <v>1066</v>
      </c>
      <c r="D3425" s="283" t="s">
        <v>1079</v>
      </c>
      <c r="E3425" s="283" t="s">
        <v>1075</v>
      </c>
      <c r="F3425" s="283" t="s">
        <v>1075</v>
      </c>
      <c r="G3425" s="283">
        <v>2</v>
      </c>
      <c r="H3425" s="283">
        <v>0</v>
      </c>
      <c r="I3425" s="283">
        <v>0</v>
      </c>
      <c r="J3425" s="284">
        <v>1</v>
      </c>
    </row>
    <row r="3426" spans="3:10" x14ac:dyDescent="0.25">
      <c r="C3426" s="300" t="s">
        <v>1066</v>
      </c>
      <c r="D3426" s="283" t="s">
        <v>1079</v>
      </c>
      <c r="E3426" s="283" t="s">
        <v>1075</v>
      </c>
      <c r="F3426" s="283" t="s">
        <v>1083</v>
      </c>
      <c r="G3426" s="283">
        <v>2</v>
      </c>
      <c r="H3426" s="283">
        <v>0</v>
      </c>
      <c r="I3426" s="283">
        <v>0</v>
      </c>
      <c r="J3426" s="284">
        <v>0</v>
      </c>
    </row>
    <row r="3427" spans="3:10" x14ac:dyDescent="0.25">
      <c r="C3427" s="300" t="s">
        <v>1067</v>
      </c>
      <c r="D3427" s="283" t="s">
        <v>1077</v>
      </c>
      <c r="E3427" s="283" t="s">
        <v>1089</v>
      </c>
      <c r="F3427" s="283" t="s">
        <v>1100</v>
      </c>
      <c r="G3427" s="283">
        <v>2</v>
      </c>
      <c r="H3427" s="283">
        <v>0</v>
      </c>
      <c r="I3427" s="283">
        <v>1</v>
      </c>
      <c r="J3427" s="284">
        <v>0</v>
      </c>
    </row>
    <row r="3428" spans="3:10" x14ac:dyDescent="0.25">
      <c r="C3428" s="300" t="s">
        <v>1063</v>
      </c>
      <c r="D3428" s="283" t="s">
        <v>1079</v>
      </c>
      <c r="E3428" s="283" t="s">
        <v>1091</v>
      </c>
      <c r="F3428" s="283" t="s">
        <v>1076</v>
      </c>
      <c r="G3428" s="283">
        <v>2</v>
      </c>
      <c r="H3428" s="283">
        <v>0</v>
      </c>
      <c r="I3428" s="283">
        <v>0</v>
      </c>
      <c r="J3428" s="284">
        <v>0</v>
      </c>
    </row>
    <row r="3429" spans="3:10" x14ac:dyDescent="0.25">
      <c r="C3429" s="300" t="s">
        <v>1066</v>
      </c>
      <c r="D3429" s="283" t="s">
        <v>1079</v>
      </c>
      <c r="E3429" s="283" t="s">
        <v>1075</v>
      </c>
      <c r="F3429" s="283" t="s">
        <v>1075</v>
      </c>
      <c r="G3429" s="283">
        <v>3</v>
      </c>
      <c r="H3429" s="283">
        <v>0</v>
      </c>
      <c r="I3429" s="283">
        <v>0</v>
      </c>
      <c r="J3429" s="284">
        <v>0</v>
      </c>
    </row>
    <row r="3430" spans="3:10" x14ac:dyDescent="0.25">
      <c r="C3430" s="300" t="s">
        <v>1066</v>
      </c>
      <c r="D3430" s="283" t="s">
        <v>1079</v>
      </c>
      <c r="E3430" s="283" t="s">
        <v>1089</v>
      </c>
      <c r="F3430" s="283" t="s">
        <v>1083</v>
      </c>
      <c r="G3430" s="283">
        <v>2</v>
      </c>
      <c r="H3430" s="283">
        <v>0</v>
      </c>
      <c r="I3430" s="283">
        <v>0</v>
      </c>
      <c r="J3430" s="284">
        <v>0</v>
      </c>
    </row>
    <row r="3431" spans="3:10" x14ac:dyDescent="0.25">
      <c r="C3431" s="300" t="s">
        <v>1057</v>
      </c>
      <c r="D3431" s="283" t="s">
        <v>1087</v>
      </c>
      <c r="E3431" s="283" t="s">
        <v>1089</v>
      </c>
      <c r="F3431" s="283" t="s">
        <v>524</v>
      </c>
      <c r="G3431" s="283">
        <v>1</v>
      </c>
      <c r="H3431" s="283">
        <v>0</v>
      </c>
      <c r="I3431" s="283">
        <v>0</v>
      </c>
      <c r="J3431" s="284">
        <v>0</v>
      </c>
    </row>
    <row r="3432" spans="3:10" x14ac:dyDescent="0.25">
      <c r="C3432" s="300" t="s">
        <v>1066</v>
      </c>
      <c r="D3432" s="283" t="s">
        <v>1074</v>
      </c>
      <c r="E3432" s="283" t="s">
        <v>1076</v>
      </c>
      <c r="F3432" s="283" t="s">
        <v>1081</v>
      </c>
      <c r="G3432" s="283">
        <v>2</v>
      </c>
      <c r="H3432" s="283">
        <v>0</v>
      </c>
      <c r="I3432" s="283">
        <v>0</v>
      </c>
      <c r="J3432" s="284">
        <v>2</v>
      </c>
    </row>
    <row r="3433" spans="3:10" x14ac:dyDescent="0.25">
      <c r="C3433" s="300" t="s">
        <v>1064</v>
      </c>
      <c r="D3433" s="283" t="s">
        <v>1087</v>
      </c>
      <c r="E3433" s="283" t="s">
        <v>1083</v>
      </c>
      <c r="F3433" s="283" t="s">
        <v>524</v>
      </c>
      <c r="G3433" s="283">
        <v>1</v>
      </c>
      <c r="H3433" s="283">
        <v>0</v>
      </c>
      <c r="I3433" s="283">
        <v>0</v>
      </c>
      <c r="J3433" s="284">
        <v>1</v>
      </c>
    </row>
    <row r="3434" spans="3:10" x14ac:dyDescent="0.25">
      <c r="C3434" s="300" t="s">
        <v>1063</v>
      </c>
      <c r="D3434" s="283" t="s">
        <v>1074</v>
      </c>
      <c r="E3434" s="283" t="s">
        <v>1089</v>
      </c>
      <c r="F3434" s="283" t="s">
        <v>1078</v>
      </c>
      <c r="G3434" s="283">
        <v>2</v>
      </c>
      <c r="H3434" s="283">
        <v>0</v>
      </c>
      <c r="I3434" s="283">
        <v>0</v>
      </c>
      <c r="J3434" s="284">
        <v>0</v>
      </c>
    </row>
    <row r="3435" spans="3:10" x14ac:dyDescent="0.25">
      <c r="C3435" s="300" t="s">
        <v>1063</v>
      </c>
      <c r="D3435" s="283" t="s">
        <v>1077</v>
      </c>
      <c r="E3435" s="283" t="s">
        <v>1080</v>
      </c>
      <c r="F3435" s="283" t="s">
        <v>1075</v>
      </c>
      <c r="G3435" s="283">
        <v>2</v>
      </c>
      <c r="H3435" s="283">
        <v>0</v>
      </c>
      <c r="I3435" s="283">
        <v>0</v>
      </c>
      <c r="J3435" s="284">
        <v>0</v>
      </c>
    </row>
    <row r="3436" spans="3:10" x14ac:dyDescent="0.25">
      <c r="C3436" s="300" t="s">
        <v>1065</v>
      </c>
      <c r="D3436" s="283" t="s">
        <v>1077</v>
      </c>
      <c r="E3436" s="283" t="s">
        <v>1075</v>
      </c>
      <c r="F3436" s="283" t="s">
        <v>1075</v>
      </c>
      <c r="G3436" s="283">
        <v>2</v>
      </c>
      <c r="H3436" s="283">
        <v>0</v>
      </c>
      <c r="I3436" s="283">
        <v>0</v>
      </c>
      <c r="J3436" s="284">
        <v>0</v>
      </c>
    </row>
    <row r="3437" spans="3:10" x14ac:dyDescent="0.25">
      <c r="C3437" s="300" t="s">
        <v>1060</v>
      </c>
      <c r="D3437" s="283" t="s">
        <v>1087</v>
      </c>
      <c r="E3437" s="283" t="s">
        <v>1075</v>
      </c>
      <c r="F3437" s="283" t="s">
        <v>524</v>
      </c>
      <c r="G3437" s="283">
        <v>1</v>
      </c>
      <c r="H3437" s="283">
        <v>0</v>
      </c>
      <c r="I3437" s="283">
        <v>0</v>
      </c>
      <c r="J3437" s="284">
        <v>0</v>
      </c>
    </row>
    <row r="3438" spans="3:10" x14ac:dyDescent="0.25">
      <c r="C3438" s="300" t="s">
        <v>1060</v>
      </c>
      <c r="D3438" s="283" t="s">
        <v>1079</v>
      </c>
      <c r="E3438" s="283" t="s">
        <v>1075</v>
      </c>
      <c r="F3438" s="283" t="s">
        <v>1075</v>
      </c>
      <c r="G3438" s="283">
        <v>2</v>
      </c>
      <c r="H3438" s="283">
        <v>0</v>
      </c>
      <c r="I3438" s="283">
        <v>0</v>
      </c>
      <c r="J3438" s="284">
        <v>0</v>
      </c>
    </row>
    <row r="3439" spans="3:10" x14ac:dyDescent="0.25">
      <c r="C3439" s="300" t="s">
        <v>1064</v>
      </c>
      <c r="D3439" s="283" t="s">
        <v>1077</v>
      </c>
      <c r="E3439" s="283" t="s">
        <v>1094</v>
      </c>
      <c r="F3439" s="283" t="s">
        <v>1075</v>
      </c>
      <c r="G3439" s="283">
        <v>2</v>
      </c>
      <c r="H3439" s="283">
        <v>0</v>
      </c>
      <c r="I3439" s="283">
        <v>0</v>
      </c>
      <c r="J3439" s="284">
        <v>0</v>
      </c>
    </row>
    <row r="3440" spans="3:10" x14ac:dyDescent="0.25">
      <c r="C3440" s="300" t="s">
        <v>1065</v>
      </c>
      <c r="D3440" s="283" t="s">
        <v>1074</v>
      </c>
      <c r="E3440" s="283" t="s">
        <v>1075</v>
      </c>
      <c r="F3440" s="283" t="s">
        <v>1080</v>
      </c>
      <c r="G3440" s="283">
        <v>2</v>
      </c>
      <c r="H3440" s="283">
        <v>0</v>
      </c>
      <c r="I3440" s="283">
        <v>0</v>
      </c>
      <c r="J3440" s="284">
        <v>0</v>
      </c>
    </row>
    <row r="3441" spans="3:10" x14ac:dyDescent="0.25">
      <c r="C3441" s="300" t="s">
        <v>1065</v>
      </c>
      <c r="D3441" s="283" t="s">
        <v>1079</v>
      </c>
      <c r="E3441" s="283" t="s">
        <v>1075</v>
      </c>
      <c r="F3441" s="283" t="s">
        <v>1083</v>
      </c>
      <c r="G3441" s="283">
        <v>2</v>
      </c>
      <c r="H3441" s="283">
        <v>0</v>
      </c>
      <c r="I3441" s="283">
        <v>0</v>
      </c>
      <c r="J3441" s="284">
        <v>0</v>
      </c>
    </row>
    <row r="3442" spans="3:10" x14ac:dyDescent="0.25">
      <c r="C3442" s="300" t="s">
        <v>1068</v>
      </c>
      <c r="D3442" s="283" t="s">
        <v>1087</v>
      </c>
      <c r="E3442" s="283" t="s">
        <v>1075</v>
      </c>
      <c r="F3442" s="283" t="s">
        <v>524</v>
      </c>
      <c r="G3442" s="283">
        <v>1</v>
      </c>
      <c r="H3442" s="283">
        <v>0</v>
      </c>
      <c r="I3442" s="283">
        <v>0</v>
      </c>
      <c r="J3442" s="284">
        <v>0</v>
      </c>
    </row>
    <row r="3443" spans="3:10" x14ac:dyDescent="0.25">
      <c r="C3443" s="300" t="s">
        <v>1065</v>
      </c>
      <c r="D3443" s="283" t="s">
        <v>1077</v>
      </c>
      <c r="E3443" s="283" t="s">
        <v>1075</v>
      </c>
      <c r="F3443" s="283" t="s">
        <v>1083</v>
      </c>
      <c r="G3443" s="283">
        <v>2</v>
      </c>
      <c r="H3443" s="283">
        <v>0</v>
      </c>
      <c r="I3443" s="283">
        <v>0</v>
      </c>
      <c r="J3443" s="284">
        <v>0</v>
      </c>
    </row>
    <row r="3444" spans="3:10" x14ac:dyDescent="0.25">
      <c r="C3444" s="300" t="s">
        <v>1060</v>
      </c>
      <c r="D3444" s="283" t="s">
        <v>1077</v>
      </c>
      <c r="E3444" s="283" t="s">
        <v>1078</v>
      </c>
      <c r="F3444" s="283" t="s">
        <v>1086</v>
      </c>
      <c r="G3444" s="283">
        <v>2</v>
      </c>
      <c r="H3444" s="283">
        <v>0</v>
      </c>
      <c r="I3444" s="283">
        <v>0</v>
      </c>
      <c r="J3444" s="284">
        <v>0</v>
      </c>
    </row>
    <row r="3445" spans="3:10" x14ac:dyDescent="0.25">
      <c r="C3445" s="300" t="s">
        <v>1066</v>
      </c>
      <c r="D3445" s="283" t="s">
        <v>1074</v>
      </c>
      <c r="E3445" s="283" t="s">
        <v>1075</v>
      </c>
      <c r="F3445" s="283" t="s">
        <v>1075</v>
      </c>
      <c r="G3445" s="283">
        <v>2</v>
      </c>
      <c r="H3445" s="283">
        <v>0</v>
      </c>
      <c r="I3445" s="283">
        <v>0</v>
      </c>
      <c r="J3445" s="284">
        <v>0</v>
      </c>
    </row>
    <row r="3446" spans="3:10" x14ac:dyDescent="0.25">
      <c r="C3446" s="300" t="s">
        <v>1061</v>
      </c>
      <c r="D3446" s="283" t="s">
        <v>1077</v>
      </c>
      <c r="E3446" s="283" t="s">
        <v>1086</v>
      </c>
      <c r="F3446" s="283" t="s">
        <v>1089</v>
      </c>
      <c r="G3446" s="283">
        <v>2</v>
      </c>
      <c r="H3446" s="283">
        <v>0</v>
      </c>
      <c r="I3446" s="283">
        <v>0</v>
      </c>
      <c r="J3446" s="284">
        <v>0</v>
      </c>
    </row>
    <row r="3447" spans="3:10" x14ac:dyDescent="0.25">
      <c r="C3447" s="300" t="s">
        <v>1064</v>
      </c>
      <c r="D3447" s="283" t="s">
        <v>1077</v>
      </c>
      <c r="E3447" s="283" t="s">
        <v>1075</v>
      </c>
      <c r="F3447" s="283" t="s">
        <v>1089</v>
      </c>
      <c r="G3447" s="283">
        <v>2</v>
      </c>
      <c r="H3447" s="283">
        <v>0</v>
      </c>
      <c r="I3447" s="283">
        <v>0</v>
      </c>
      <c r="J3447" s="284">
        <v>0</v>
      </c>
    </row>
    <row r="3448" spans="3:10" x14ac:dyDescent="0.25">
      <c r="C3448" s="300" t="s">
        <v>1065</v>
      </c>
      <c r="D3448" s="283" t="s">
        <v>1077</v>
      </c>
      <c r="E3448" s="283" t="s">
        <v>1075</v>
      </c>
      <c r="F3448" s="283" t="s">
        <v>1094</v>
      </c>
      <c r="G3448" s="283">
        <v>2</v>
      </c>
      <c r="H3448" s="283">
        <v>0</v>
      </c>
      <c r="I3448" s="283">
        <v>0</v>
      </c>
      <c r="J3448" s="284">
        <v>0</v>
      </c>
    </row>
    <row r="3449" spans="3:10" x14ac:dyDescent="0.25">
      <c r="C3449" s="300" t="s">
        <v>1062</v>
      </c>
      <c r="D3449" s="283" t="s">
        <v>1077</v>
      </c>
      <c r="E3449" s="283" t="s">
        <v>1075</v>
      </c>
      <c r="F3449" s="283" t="s">
        <v>1075</v>
      </c>
      <c r="G3449" s="283">
        <v>2</v>
      </c>
      <c r="H3449" s="283">
        <v>0</v>
      </c>
      <c r="I3449" s="283">
        <v>0</v>
      </c>
      <c r="J3449" s="284">
        <v>2</v>
      </c>
    </row>
    <row r="3450" spans="3:10" x14ac:dyDescent="0.25">
      <c r="C3450" s="300" t="s">
        <v>1065</v>
      </c>
      <c r="D3450" s="283" t="s">
        <v>1077</v>
      </c>
      <c r="E3450" s="283" t="s">
        <v>1076</v>
      </c>
      <c r="F3450" s="283" t="s">
        <v>1075</v>
      </c>
      <c r="G3450" s="283">
        <v>3</v>
      </c>
      <c r="H3450" s="283">
        <v>0</v>
      </c>
      <c r="I3450" s="283">
        <v>0</v>
      </c>
      <c r="J3450" s="284">
        <v>1</v>
      </c>
    </row>
    <row r="3451" spans="3:10" x14ac:dyDescent="0.25">
      <c r="C3451" s="300" t="s">
        <v>1064</v>
      </c>
      <c r="D3451" s="283" t="s">
        <v>1077</v>
      </c>
      <c r="E3451" s="283" t="s">
        <v>1076</v>
      </c>
      <c r="F3451" s="283" t="s">
        <v>1075</v>
      </c>
      <c r="G3451" s="283">
        <v>2</v>
      </c>
      <c r="H3451" s="283">
        <v>0</v>
      </c>
      <c r="I3451" s="283">
        <v>0</v>
      </c>
      <c r="J3451" s="284">
        <v>0</v>
      </c>
    </row>
    <row r="3452" spans="3:10" x14ac:dyDescent="0.25">
      <c r="C3452" s="300" t="s">
        <v>1066</v>
      </c>
      <c r="D3452" s="283" t="s">
        <v>1087</v>
      </c>
      <c r="E3452" s="283" t="s">
        <v>1083</v>
      </c>
      <c r="F3452" s="283" t="s">
        <v>524</v>
      </c>
      <c r="G3452" s="283">
        <v>1</v>
      </c>
      <c r="H3452" s="283">
        <v>0</v>
      </c>
      <c r="I3452" s="283">
        <v>0</v>
      </c>
      <c r="J3452" s="284">
        <v>0</v>
      </c>
    </row>
    <row r="3453" spans="3:10" x14ac:dyDescent="0.25">
      <c r="C3453" s="300" t="s">
        <v>1064</v>
      </c>
      <c r="D3453" s="283" t="s">
        <v>1079</v>
      </c>
      <c r="E3453" s="283" t="s">
        <v>1083</v>
      </c>
      <c r="F3453" s="283" t="s">
        <v>1075</v>
      </c>
      <c r="G3453" s="283">
        <v>2</v>
      </c>
      <c r="H3453" s="283">
        <v>0</v>
      </c>
      <c r="I3453" s="283">
        <v>1</v>
      </c>
      <c r="J3453" s="284">
        <v>0</v>
      </c>
    </row>
    <row r="3454" spans="3:10" x14ac:dyDescent="0.25">
      <c r="C3454" s="300" t="s">
        <v>1060</v>
      </c>
      <c r="D3454" s="283" t="s">
        <v>1079</v>
      </c>
      <c r="E3454" s="283" t="s">
        <v>1075</v>
      </c>
      <c r="F3454" s="283" t="s">
        <v>1084</v>
      </c>
      <c r="G3454" s="283">
        <v>2</v>
      </c>
      <c r="H3454" s="283">
        <v>0</v>
      </c>
      <c r="I3454" s="283">
        <v>0</v>
      </c>
      <c r="J3454" s="284">
        <v>2</v>
      </c>
    </row>
    <row r="3455" spans="3:10" x14ac:dyDescent="0.25">
      <c r="C3455" s="300" t="s">
        <v>1061</v>
      </c>
      <c r="D3455" s="283" t="s">
        <v>1074</v>
      </c>
      <c r="E3455" s="283" t="s">
        <v>1078</v>
      </c>
      <c r="F3455" s="283" t="s">
        <v>1089</v>
      </c>
      <c r="G3455" s="283">
        <v>2</v>
      </c>
      <c r="H3455" s="283">
        <v>0</v>
      </c>
      <c r="I3455" s="283">
        <v>0</v>
      </c>
      <c r="J3455" s="284">
        <v>2</v>
      </c>
    </row>
    <row r="3456" spans="3:10" x14ac:dyDescent="0.25">
      <c r="C3456" s="300" t="s">
        <v>1061</v>
      </c>
      <c r="D3456" s="283" t="s">
        <v>1079</v>
      </c>
      <c r="E3456" s="283" t="s">
        <v>1076</v>
      </c>
      <c r="F3456" s="283" t="s">
        <v>1075</v>
      </c>
      <c r="G3456" s="283">
        <v>4</v>
      </c>
      <c r="H3456" s="283">
        <v>0</v>
      </c>
      <c r="I3456" s="283">
        <v>0</v>
      </c>
      <c r="J3456" s="284">
        <v>1</v>
      </c>
    </row>
    <row r="3457" spans="3:10" x14ac:dyDescent="0.25">
      <c r="C3457" s="300" t="s">
        <v>1066</v>
      </c>
      <c r="D3457" s="283" t="s">
        <v>1082</v>
      </c>
      <c r="E3457" s="283" t="s">
        <v>1089</v>
      </c>
      <c r="F3457" s="283" t="s">
        <v>1075</v>
      </c>
      <c r="G3457" s="283">
        <v>2</v>
      </c>
      <c r="H3457" s="283">
        <v>0</v>
      </c>
      <c r="I3457" s="283">
        <v>1</v>
      </c>
      <c r="J3457" s="284">
        <v>1</v>
      </c>
    </row>
    <row r="3458" spans="3:10" x14ac:dyDescent="0.25">
      <c r="C3458" s="300" t="s">
        <v>1068</v>
      </c>
      <c r="D3458" s="283" t="s">
        <v>1087</v>
      </c>
      <c r="E3458" s="283" t="s">
        <v>1089</v>
      </c>
      <c r="F3458" s="283" t="s">
        <v>524</v>
      </c>
      <c r="G3458" s="283">
        <v>1</v>
      </c>
      <c r="H3458" s="283">
        <v>0</v>
      </c>
      <c r="I3458" s="283">
        <v>1</v>
      </c>
      <c r="J3458" s="284">
        <v>0</v>
      </c>
    </row>
    <row r="3459" spans="3:10" x14ac:dyDescent="0.25">
      <c r="C3459" s="300" t="s">
        <v>1062</v>
      </c>
      <c r="D3459" s="283" t="s">
        <v>1077</v>
      </c>
      <c r="E3459" s="283" t="s">
        <v>1089</v>
      </c>
      <c r="F3459" s="283" t="s">
        <v>1089</v>
      </c>
      <c r="G3459" s="283">
        <v>2</v>
      </c>
      <c r="H3459" s="283">
        <v>0</v>
      </c>
      <c r="I3459" s="283">
        <v>0</v>
      </c>
      <c r="J3459" s="284">
        <v>0</v>
      </c>
    </row>
    <row r="3460" spans="3:10" x14ac:dyDescent="0.25">
      <c r="C3460" s="300" t="s">
        <v>1068</v>
      </c>
      <c r="D3460" s="283" t="s">
        <v>1087</v>
      </c>
      <c r="E3460" s="283" t="s">
        <v>1075</v>
      </c>
      <c r="F3460" s="283" t="s">
        <v>524</v>
      </c>
      <c r="G3460" s="283">
        <v>1</v>
      </c>
      <c r="H3460" s="283">
        <v>0</v>
      </c>
      <c r="I3460" s="283">
        <v>0</v>
      </c>
      <c r="J3460" s="284">
        <v>0</v>
      </c>
    </row>
    <row r="3461" spans="3:10" x14ac:dyDescent="0.25">
      <c r="C3461" s="300" t="s">
        <v>1057</v>
      </c>
      <c r="D3461" s="283" t="s">
        <v>1087</v>
      </c>
      <c r="E3461" s="283" t="s">
        <v>1075</v>
      </c>
      <c r="F3461" s="283" t="s">
        <v>524</v>
      </c>
      <c r="G3461" s="283">
        <v>1</v>
      </c>
      <c r="H3461" s="283">
        <v>0</v>
      </c>
      <c r="I3461" s="283">
        <v>1</v>
      </c>
      <c r="J3461" s="284">
        <v>0</v>
      </c>
    </row>
    <row r="3462" spans="3:10" x14ac:dyDescent="0.25">
      <c r="C3462" s="300" t="s">
        <v>1062</v>
      </c>
      <c r="D3462" s="283" t="s">
        <v>1087</v>
      </c>
      <c r="E3462" s="283" t="s">
        <v>1075</v>
      </c>
      <c r="F3462" s="283" t="s">
        <v>524</v>
      </c>
      <c r="G3462" s="283">
        <v>1</v>
      </c>
      <c r="H3462" s="283">
        <v>0</v>
      </c>
      <c r="I3462" s="283">
        <v>0</v>
      </c>
      <c r="J3462" s="284">
        <v>1</v>
      </c>
    </row>
    <row r="3463" spans="3:10" x14ac:dyDescent="0.25">
      <c r="C3463" s="300" t="s">
        <v>1064</v>
      </c>
      <c r="D3463" s="283" t="s">
        <v>1043</v>
      </c>
      <c r="E3463" s="283" t="s">
        <v>1075</v>
      </c>
      <c r="F3463" s="283" t="s">
        <v>1092</v>
      </c>
      <c r="G3463" s="283">
        <v>2</v>
      </c>
      <c r="H3463" s="283">
        <v>0</v>
      </c>
      <c r="I3463" s="283">
        <v>1</v>
      </c>
      <c r="J3463" s="284">
        <v>0</v>
      </c>
    </row>
    <row r="3464" spans="3:10" x14ac:dyDescent="0.25">
      <c r="C3464" s="300" t="s">
        <v>1063</v>
      </c>
      <c r="D3464" s="283" t="s">
        <v>1074</v>
      </c>
      <c r="E3464" s="283" t="s">
        <v>1084</v>
      </c>
      <c r="F3464" s="283" t="s">
        <v>1075</v>
      </c>
      <c r="G3464" s="283">
        <v>2</v>
      </c>
      <c r="H3464" s="283">
        <v>0</v>
      </c>
      <c r="I3464" s="283">
        <v>0</v>
      </c>
      <c r="J3464" s="284">
        <v>0</v>
      </c>
    </row>
    <row r="3465" spans="3:10" x14ac:dyDescent="0.25">
      <c r="C3465" s="300" t="s">
        <v>1065</v>
      </c>
      <c r="D3465" s="283" t="s">
        <v>1079</v>
      </c>
      <c r="E3465" s="283" t="s">
        <v>1075</v>
      </c>
      <c r="F3465" s="283" t="s">
        <v>1075</v>
      </c>
      <c r="G3465" s="283">
        <v>2</v>
      </c>
      <c r="H3465" s="283">
        <v>0</v>
      </c>
      <c r="I3465" s="283">
        <v>1</v>
      </c>
      <c r="J3465" s="284">
        <v>0</v>
      </c>
    </row>
    <row r="3466" spans="3:10" x14ac:dyDescent="0.25">
      <c r="C3466" s="300" t="s">
        <v>1064</v>
      </c>
      <c r="D3466" s="283" t="s">
        <v>1043</v>
      </c>
      <c r="E3466" s="283" t="s">
        <v>1076</v>
      </c>
      <c r="F3466" s="283" t="s">
        <v>1092</v>
      </c>
      <c r="G3466" s="283">
        <v>2</v>
      </c>
      <c r="H3466" s="283">
        <v>0</v>
      </c>
      <c r="I3466" s="283">
        <v>1</v>
      </c>
      <c r="J3466" s="284">
        <v>0</v>
      </c>
    </row>
    <row r="3467" spans="3:10" x14ac:dyDescent="0.25">
      <c r="C3467" s="300" t="s">
        <v>1066</v>
      </c>
      <c r="D3467" s="283" t="s">
        <v>1079</v>
      </c>
      <c r="E3467" s="283" t="s">
        <v>1093</v>
      </c>
      <c r="F3467" s="283" t="s">
        <v>1075</v>
      </c>
      <c r="G3467" s="283">
        <v>2</v>
      </c>
      <c r="H3467" s="283">
        <v>0</v>
      </c>
      <c r="I3467" s="283">
        <v>1</v>
      </c>
      <c r="J3467" s="284">
        <v>1</v>
      </c>
    </row>
    <row r="3468" spans="3:10" x14ac:dyDescent="0.25">
      <c r="C3468" s="300" t="s">
        <v>1064</v>
      </c>
      <c r="D3468" s="283" t="s">
        <v>1079</v>
      </c>
      <c r="E3468" s="283" t="s">
        <v>1075</v>
      </c>
      <c r="F3468" s="283" t="s">
        <v>1075</v>
      </c>
      <c r="G3468" s="283">
        <v>2</v>
      </c>
      <c r="H3468" s="283">
        <v>0</v>
      </c>
      <c r="I3468" s="283">
        <v>0</v>
      </c>
      <c r="J3468" s="284">
        <v>1</v>
      </c>
    </row>
    <row r="3469" spans="3:10" x14ac:dyDescent="0.25">
      <c r="C3469" s="300" t="s">
        <v>1061</v>
      </c>
      <c r="D3469" s="283" t="s">
        <v>1077</v>
      </c>
      <c r="E3469" s="283" t="s">
        <v>1088</v>
      </c>
      <c r="F3469" s="283" t="s">
        <v>1075</v>
      </c>
      <c r="G3469" s="283">
        <v>4</v>
      </c>
      <c r="H3469" s="283">
        <v>1</v>
      </c>
      <c r="I3469" s="283">
        <v>2</v>
      </c>
      <c r="J3469" s="284">
        <v>3</v>
      </c>
    </row>
    <row r="3470" spans="3:10" x14ac:dyDescent="0.25">
      <c r="C3470" s="300" t="s">
        <v>1062</v>
      </c>
      <c r="D3470" s="283" t="s">
        <v>1043</v>
      </c>
      <c r="E3470" s="283" t="s">
        <v>1075</v>
      </c>
      <c r="F3470" s="283" t="s">
        <v>1092</v>
      </c>
      <c r="G3470" s="283">
        <v>2</v>
      </c>
      <c r="H3470" s="283">
        <v>1</v>
      </c>
      <c r="I3470" s="283">
        <v>0</v>
      </c>
      <c r="J3470" s="284">
        <v>1</v>
      </c>
    </row>
    <row r="3471" spans="3:10" x14ac:dyDescent="0.25">
      <c r="C3471" s="300" t="s">
        <v>1066</v>
      </c>
      <c r="D3471" s="283" t="s">
        <v>1087</v>
      </c>
      <c r="E3471" s="283" t="s">
        <v>1075</v>
      </c>
      <c r="F3471" s="283" t="s">
        <v>524</v>
      </c>
      <c r="G3471" s="283">
        <v>1</v>
      </c>
      <c r="H3471" s="283">
        <v>0</v>
      </c>
      <c r="I3471" s="283">
        <v>0</v>
      </c>
      <c r="J3471" s="284">
        <v>0</v>
      </c>
    </row>
    <row r="3472" spans="3:10" x14ac:dyDescent="0.25">
      <c r="C3472" s="300" t="s">
        <v>1067</v>
      </c>
      <c r="D3472" s="283" t="s">
        <v>1074</v>
      </c>
      <c r="E3472" s="283" t="s">
        <v>1075</v>
      </c>
      <c r="F3472" s="283" t="s">
        <v>1089</v>
      </c>
      <c r="G3472" s="283">
        <v>2</v>
      </c>
      <c r="H3472" s="283">
        <v>0</v>
      </c>
      <c r="I3472" s="283">
        <v>0</v>
      </c>
      <c r="J3472" s="284">
        <v>0</v>
      </c>
    </row>
    <row r="3473" spans="3:10" x14ac:dyDescent="0.25">
      <c r="C3473" s="300" t="s">
        <v>1063</v>
      </c>
      <c r="D3473" s="283" t="s">
        <v>1087</v>
      </c>
      <c r="E3473" s="283" t="s">
        <v>1075</v>
      </c>
      <c r="F3473" s="283" t="s">
        <v>524</v>
      </c>
      <c r="G3473" s="283">
        <v>1</v>
      </c>
      <c r="H3473" s="283">
        <v>0</v>
      </c>
      <c r="I3473" s="283">
        <v>0</v>
      </c>
      <c r="J3473" s="284">
        <v>1</v>
      </c>
    </row>
    <row r="3474" spans="3:10" x14ac:dyDescent="0.25">
      <c r="C3474" s="300" t="s">
        <v>1066</v>
      </c>
      <c r="D3474" s="283" t="s">
        <v>1079</v>
      </c>
      <c r="E3474" s="283" t="s">
        <v>1089</v>
      </c>
      <c r="F3474" s="283" t="s">
        <v>1083</v>
      </c>
      <c r="G3474" s="283">
        <v>2</v>
      </c>
      <c r="H3474" s="283">
        <v>0</v>
      </c>
      <c r="I3474" s="283">
        <v>1</v>
      </c>
      <c r="J3474" s="284">
        <v>0</v>
      </c>
    </row>
    <row r="3475" spans="3:10" x14ac:dyDescent="0.25">
      <c r="C3475" s="300" t="s">
        <v>1065</v>
      </c>
      <c r="D3475" s="283" t="s">
        <v>1074</v>
      </c>
      <c r="E3475" s="283" t="s">
        <v>1075</v>
      </c>
      <c r="F3475" s="283" t="s">
        <v>1075</v>
      </c>
      <c r="G3475" s="283">
        <v>2</v>
      </c>
      <c r="H3475" s="283">
        <v>0</v>
      </c>
      <c r="I3475" s="283">
        <v>0</v>
      </c>
      <c r="J3475" s="284">
        <v>1</v>
      </c>
    </row>
    <row r="3476" spans="3:10" x14ac:dyDescent="0.25">
      <c r="C3476" s="300" t="s">
        <v>1065</v>
      </c>
      <c r="D3476" s="283" t="s">
        <v>1043</v>
      </c>
      <c r="E3476" s="283" t="s">
        <v>1089</v>
      </c>
      <c r="F3476" s="283" t="s">
        <v>1092</v>
      </c>
      <c r="G3476" s="283">
        <v>2</v>
      </c>
      <c r="H3476" s="283">
        <v>0</v>
      </c>
      <c r="I3476" s="283">
        <v>0</v>
      </c>
      <c r="J3476" s="284">
        <v>0</v>
      </c>
    </row>
    <row r="3477" spans="3:10" x14ac:dyDescent="0.25">
      <c r="C3477" s="300" t="s">
        <v>1063</v>
      </c>
      <c r="D3477" s="283" t="s">
        <v>1043</v>
      </c>
      <c r="E3477" s="283" t="s">
        <v>1080</v>
      </c>
      <c r="F3477" s="283" t="s">
        <v>1092</v>
      </c>
      <c r="G3477" s="283">
        <v>3</v>
      </c>
      <c r="H3477" s="283">
        <v>0</v>
      </c>
      <c r="I3477" s="283">
        <v>0</v>
      </c>
      <c r="J3477" s="284">
        <v>0</v>
      </c>
    </row>
    <row r="3478" spans="3:10" x14ac:dyDescent="0.25">
      <c r="C3478" s="300" t="s">
        <v>1061</v>
      </c>
      <c r="D3478" s="283" t="s">
        <v>1079</v>
      </c>
      <c r="E3478" s="283" t="s">
        <v>1078</v>
      </c>
      <c r="F3478" s="283" t="s">
        <v>1083</v>
      </c>
      <c r="G3478" s="283">
        <v>2</v>
      </c>
      <c r="H3478" s="283">
        <v>0</v>
      </c>
      <c r="I3478" s="283">
        <v>0</v>
      </c>
      <c r="J3478" s="284">
        <v>0</v>
      </c>
    </row>
    <row r="3479" spans="3:10" x14ac:dyDescent="0.25">
      <c r="C3479" s="300" t="s">
        <v>1062</v>
      </c>
      <c r="D3479" s="283" t="s">
        <v>1079</v>
      </c>
      <c r="E3479" s="283" t="s">
        <v>1075</v>
      </c>
      <c r="F3479" s="283" t="s">
        <v>1089</v>
      </c>
      <c r="G3479" s="283">
        <v>2</v>
      </c>
      <c r="H3479" s="283">
        <v>0</v>
      </c>
      <c r="I3479" s="283">
        <v>1</v>
      </c>
      <c r="J3479" s="284">
        <v>0</v>
      </c>
    </row>
    <row r="3480" spans="3:10" x14ac:dyDescent="0.25">
      <c r="C3480" s="300" t="s">
        <v>1067</v>
      </c>
      <c r="D3480" s="283" t="s">
        <v>1074</v>
      </c>
      <c r="E3480" s="283" t="s">
        <v>1089</v>
      </c>
      <c r="F3480" s="283" t="s">
        <v>1075</v>
      </c>
      <c r="G3480" s="283">
        <v>2</v>
      </c>
      <c r="H3480" s="283">
        <v>0</v>
      </c>
      <c r="I3480" s="283">
        <v>2</v>
      </c>
      <c r="J3480" s="284">
        <v>0</v>
      </c>
    </row>
    <row r="3481" spans="3:10" x14ac:dyDescent="0.25">
      <c r="C3481" s="300" t="s">
        <v>1068</v>
      </c>
      <c r="D3481" s="283" t="s">
        <v>1079</v>
      </c>
      <c r="E3481" s="283" t="s">
        <v>1086</v>
      </c>
      <c r="F3481" s="283" t="s">
        <v>1075</v>
      </c>
      <c r="G3481" s="283">
        <v>3</v>
      </c>
      <c r="H3481" s="283">
        <v>0</v>
      </c>
      <c r="I3481" s="283">
        <v>0</v>
      </c>
      <c r="J3481" s="284">
        <v>0</v>
      </c>
    </row>
    <row r="3482" spans="3:10" x14ac:dyDescent="0.25">
      <c r="C3482" s="300" t="s">
        <v>1059</v>
      </c>
      <c r="D3482" s="283" t="s">
        <v>1079</v>
      </c>
      <c r="E3482" s="283" t="s">
        <v>1108</v>
      </c>
      <c r="F3482" s="283" t="s">
        <v>1075</v>
      </c>
      <c r="G3482" s="283">
        <v>2</v>
      </c>
      <c r="H3482" s="283">
        <v>0</v>
      </c>
      <c r="I3482" s="283">
        <v>0</v>
      </c>
      <c r="J3482" s="284">
        <v>0</v>
      </c>
    </row>
    <row r="3483" spans="3:10" x14ac:dyDescent="0.25">
      <c r="C3483" s="300" t="s">
        <v>1059</v>
      </c>
      <c r="D3483" s="283" t="s">
        <v>1087</v>
      </c>
      <c r="E3483" s="283" t="s">
        <v>1089</v>
      </c>
      <c r="F3483" s="283" t="s">
        <v>524</v>
      </c>
      <c r="G3483" s="283">
        <v>1</v>
      </c>
      <c r="H3483" s="283">
        <v>0</v>
      </c>
      <c r="I3483" s="283">
        <v>0</v>
      </c>
      <c r="J3483" s="284">
        <v>0</v>
      </c>
    </row>
    <row r="3484" spans="3:10" x14ac:dyDescent="0.25">
      <c r="C3484" s="300" t="s">
        <v>1068</v>
      </c>
      <c r="D3484" s="283" t="s">
        <v>1077</v>
      </c>
      <c r="E3484" s="283" t="s">
        <v>1075</v>
      </c>
      <c r="F3484" s="283" t="s">
        <v>1075</v>
      </c>
      <c r="G3484" s="283">
        <v>3</v>
      </c>
      <c r="H3484" s="283">
        <v>0</v>
      </c>
      <c r="I3484" s="283">
        <v>0</v>
      </c>
      <c r="J3484" s="284">
        <v>0</v>
      </c>
    </row>
    <row r="3485" spans="3:10" x14ac:dyDescent="0.25">
      <c r="C3485" s="300" t="s">
        <v>1067</v>
      </c>
      <c r="D3485" s="283" t="s">
        <v>1079</v>
      </c>
      <c r="E3485" s="283" t="s">
        <v>1075</v>
      </c>
      <c r="F3485" s="283" t="s">
        <v>1075</v>
      </c>
      <c r="G3485" s="283">
        <v>2</v>
      </c>
      <c r="H3485" s="283">
        <v>0</v>
      </c>
      <c r="I3485" s="283">
        <v>1</v>
      </c>
      <c r="J3485" s="284">
        <v>0</v>
      </c>
    </row>
    <row r="3486" spans="3:10" x14ac:dyDescent="0.25">
      <c r="C3486" s="300" t="s">
        <v>1061</v>
      </c>
      <c r="D3486" s="283" t="s">
        <v>1087</v>
      </c>
      <c r="E3486" s="283" t="s">
        <v>1075</v>
      </c>
      <c r="F3486" s="283" t="s">
        <v>524</v>
      </c>
      <c r="G3486" s="283">
        <v>1</v>
      </c>
      <c r="H3486" s="283">
        <v>0</v>
      </c>
      <c r="I3486" s="283">
        <v>0</v>
      </c>
      <c r="J3486" s="284">
        <v>0</v>
      </c>
    </row>
    <row r="3487" spans="3:10" x14ac:dyDescent="0.25">
      <c r="C3487" s="300" t="s">
        <v>1060</v>
      </c>
      <c r="D3487" s="283" t="s">
        <v>1087</v>
      </c>
      <c r="E3487" s="283" t="s">
        <v>1078</v>
      </c>
      <c r="F3487" s="283" t="s">
        <v>524</v>
      </c>
      <c r="G3487" s="283">
        <v>1</v>
      </c>
      <c r="H3487" s="283">
        <v>0</v>
      </c>
      <c r="I3487" s="283">
        <v>1</v>
      </c>
      <c r="J3487" s="284">
        <v>0</v>
      </c>
    </row>
    <row r="3488" spans="3:10" x14ac:dyDescent="0.25">
      <c r="C3488" s="300" t="s">
        <v>1062</v>
      </c>
      <c r="D3488" s="283" t="s">
        <v>1087</v>
      </c>
      <c r="E3488" s="283" t="s">
        <v>1075</v>
      </c>
      <c r="F3488" s="283" t="s">
        <v>524</v>
      </c>
      <c r="G3488" s="283">
        <v>1</v>
      </c>
      <c r="H3488" s="283">
        <v>0</v>
      </c>
      <c r="I3488" s="283">
        <v>1</v>
      </c>
      <c r="J3488" s="284">
        <v>0</v>
      </c>
    </row>
    <row r="3489" spans="3:10" x14ac:dyDescent="0.25">
      <c r="C3489" s="300" t="s">
        <v>1064</v>
      </c>
      <c r="D3489" s="283" t="s">
        <v>1087</v>
      </c>
      <c r="E3489" s="283" t="s">
        <v>1075</v>
      </c>
      <c r="F3489" s="283" t="s">
        <v>524</v>
      </c>
      <c r="G3489" s="283">
        <v>1</v>
      </c>
      <c r="H3489" s="283">
        <v>0</v>
      </c>
      <c r="I3489" s="283">
        <v>1</v>
      </c>
      <c r="J3489" s="284">
        <v>0</v>
      </c>
    </row>
    <row r="3490" spans="3:10" x14ac:dyDescent="0.25">
      <c r="C3490" s="300" t="s">
        <v>1061</v>
      </c>
      <c r="D3490" s="283" t="s">
        <v>1077</v>
      </c>
      <c r="E3490" s="283" t="s">
        <v>1075</v>
      </c>
      <c r="F3490" s="283" t="s">
        <v>1075</v>
      </c>
      <c r="G3490" s="283">
        <v>3</v>
      </c>
      <c r="H3490" s="283">
        <v>0</v>
      </c>
      <c r="I3490" s="283">
        <v>0</v>
      </c>
      <c r="J3490" s="284">
        <v>0</v>
      </c>
    </row>
    <row r="3491" spans="3:10" x14ac:dyDescent="0.25">
      <c r="C3491" s="300" t="s">
        <v>1065</v>
      </c>
      <c r="D3491" s="283" t="s">
        <v>1079</v>
      </c>
      <c r="E3491" s="283" t="s">
        <v>1075</v>
      </c>
      <c r="F3491" s="283" t="s">
        <v>1084</v>
      </c>
      <c r="G3491" s="283">
        <v>2</v>
      </c>
      <c r="H3491" s="283">
        <v>0</v>
      </c>
      <c r="I3491" s="283">
        <v>0</v>
      </c>
      <c r="J3491" s="284">
        <v>0</v>
      </c>
    </row>
    <row r="3492" spans="3:10" x14ac:dyDescent="0.25">
      <c r="C3492" s="300" t="s">
        <v>1063</v>
      </c>
      <c r="D3492" s="283" t="s">
        <v>1077</v>
      </c>
      <c r="E3492" s="283" t="s">
        <v>1076</v>
      </c>
      <c r="F3492" s="283" t="s">
        <v>1075</v>
      </c>
      <c r="G3492" s="283">
        <v>3</v>
      </c>
      <c r="H3492" s="283">
        <v>0</v>
      </c>
      <c r="I3492" s="283">
        <v>0</v>
      </c>
      <c r="J3492" s="284">
        <v>0</v>
      </c>
    </row>
    <row r="3493" spans="3:10" x14ac:dyDescent="0.25">
      <c r="C3493" s="300" t="s">
        <v>1064</v>
      </c>
      <c r="D3493" s="283" t="s">
        <v>1077</v>
      </c>
      <c r="E3493" s="283" t="s">
        <v>1081</v>
      </c>
      <c r="F3493" s="283" t="s">
        <v>1075</v>
      </c>
      <c r="G3493" s="283">
        <v>2</v>
      </c>
      <c r="H3493" s="283">
        <v>0</v>
      </c>
      <c r="I3493" s="283">
        <v>0</v>
      </c>
      <c r="J3493" s="284">
        <v>0</v>
      </c>
    </row>
    <row r="3494" spans="3:10" x14ac:dyDescent="0.25">
      <c r="C3494" s="300" t="s">
        <v>1061</v>
      </c>
      <c r="D3494" s="283" t="s">
        <v>1074</v>
      </c>
      <c r="E3494" s="283" t="s">
        <v>1089</v>
      </c>
      <c r="F3494" s="283" t="s">
        <v>1089</v>
      </c>
      <c r="G3494" s="283">
        <v>2</v>
      </c>
      <c r="H3494" s="283">
        <v>0</v>
      </c>
      <c r="I3494" s="283">
        <v>0</v>
      </c>
      <c r="J3494" s="284">
        <v>0</v>
      </c>
    </row>
    <row r="3495" spans="3:10" x14ac:dyDescent="0.25">
      <c r="C3495" s="300" t="s">
        <v>1065</v>
      </c>
      <c r="D3495" s="283" t="s">
        <v>1079</v>
      </c>
      <c r="E3495" s="283" t="s">
        <v>1076</v>
      </c>
      <c r="F3495" s="283" t="s">
        <v>1075</v>
      </c>
      <c r="G3495" s="283">
        <v>2</v>
      </c>
      <c r="H3495" s="283">
        <v>0</v>
      </c>
      <c r="I3495" s="283">
        <v>0</v>
      </c>
      <c r="J3495" s="284">
        <v>0</v>
      </c>
    </row>
    <row r="3496" spans="3:10" x14ac:dyDescent="0.25">
      <c r="C3496" s="300" t="s">
        <v>1065</v>
      </c>
      <c r="D3496" s="283" t="s">
        <v>1077</v>
      </c>
      <c r="E3496" s="283" t="s">
        <v>1089</v>
      </c>
      <c r="F3496" s="283" t="s">
        <v>1078</v>
      </c>
      <c r="G3496" s="283">
        <v>2</v>
      </c>
      <c r="H3496" s="283">
        <v>0</v>
      </c>
      <c r="I3496" s="283">
        <v>0</v>
      </c>
      <c r="J3496" s="284">
        <v>0</v>
      </c>
    </row>
    <row r="3497" spans="3:10" x14ac:dyDescent="0.25">
      <c r="C3497" s="300" t="s">
        <v>1064</v>
      </c>
      <c r="D3497" s="283" t="s">
        <v>1077</v>
      </c>
      <c r="E3497" s="283" t="s">
        <v>1075</v>
      </c>
      <c r="F3497" s="283" t="s">
        <v>1075</v>
      </c>
      <c r="G3497" s="283">
        <v>2</v>
      </c>
      <c r="H3497" s="283">
        <v>0</v>
      </c>
      <c r="I3497" s="283">
        <v>0</v>
      </c>
      <c r="J3497" s="284">
        <v>0</v>
      </c>
    </row>
    <row r="3498" spans="3:10" x14ac:dyDescent="0.25">
      <c r="C3498" s="300" t="s">
        <v>1061</v>
      </c>
      <c r="D3498" s="283" t="s">
        <v>1082</v>
      </c>
      <c r="E3498" s="283" t="s">
        <v>1089</v>
      </c>
      <c r="F3498" s="283" t="s">
        <v>1075</v>
      </c>
      <c r="G3498" s="283">
        <v>2</v>
      </c>
      <c r="H3498" s="283">
        <v>0</v>
      </c>
      <c r="I3498" s="283">
        <v>0</v>
      </c>
      <c r="J3498" s="284">
        <v>0</v>
      </c>
    </row>
    <row r="3499" spans="3:10" x14ac:dyDescent="0.25">
      <c r="C3499" s="300" t="s">
        <v>1065</v>
      </c>
      <c r="D3499" s="283" t="s">
        <v>1079</v>
      </c>
      <c r="E3499" s="283" t="s">
        <v>1075</v>
      </c>
      <c r="F3499" s="283" t="s">
        <v>1078</v>
      </c>
      <c r="G3499" s="283">
        <v>2</v>
      </c>
      <c r="H3499" s="283">
        <v>0</v>
      </c>
      <c r="I3499" s="283">
        <v>0</v>
      </c>
      <c r="J3499" s="284">
        <v>0</v>
      </c>
    </row>
    <row r="3500" spans="3:10" x14ac:dyDescent="0.25">
      <c r="C3500" s="300" t="s">
        <v>1066</v>
      </c>
      <c r="D3500" s="283" t="s">
        <v>1087</v>
      </c>
      <c r="E3500" s="283" t="s">
        <v>1075</v>
      </c>
      <c r="F3500" s="283" t="s">
        <v>524</v>
      </c>
      <c r="G3500" s="283">
        <v>1</v>
      </c>
      <c r="H3500" s="283">
        <v>0</v>
      </c>
      <c r="I3500" s="283">
        <v>0</v>
      </c>
      <c r="J3500" s="284">
        <v>0</v>
      </c>
    </row>
    <row r="3501" spans="3:10" x14ac:dyDescent="0.25">
      <c r="C3501" s="300" t="s">
        <v>1062</v>
      </c>
      <c r="D3501" s="283" t="s">
        <v>1074</v>
      </c>
      <c r="E3501" s="283" t="s">
        <v>1075</v>
      </c>
      <c r="F3501" s="283" t="s">
        <v>1075</v>
      </c>
      <c r="G3501" s="283">
        <v>2</v>
      </c>
      <c r="H3501" s="283">
        <v>0</v>
      </c>
      <c r="I3501" s="283">
        <v>0</v>
      </c>
      <c r="J3501" s="284">
        <v>0</v>
      </c>
    </row>
    <row r="3502" spans="3:10" x14ac:dyDescent="0.25">
      <c r="C3502" s="300" t="s">
        <v>1067</v>
      </c>
      <c r="D3502" s="283" t="s">
        <v>1082</v>
      </c>
      <c r="E3502" s="283" t="s">
        <v>1084</v>
      </c>
      <c r="F3502" s="283" t="s">
        <v>1075</v>
      </c>
      <c r="G3502" s="283">
        <v>2</v>
      </c>
      <c r="H3502" s="283">
        <v>0</v>
      </c>
      <c r="I3502" s="283">
        <v>0</v>
      </c>
      <c r="J3502" s="284">
        <v>0</v>
      </c>
    </row>
    <row r="3503" spans="3:10" x14ac:dyDescent="0.25">
      <c r="C3503" s="300" t="s">
        <v>1059</v>
      </c>
      <c r="D3503" s="283" t="s">
        <v>1079</v>
      </c>
      <c r="E3503" s="283" t="s">
        <v>1076</v>
      </c>
      <c r="F3503" s="283" t="s">
        <v>1075</v>
      </c>
      <c r="G3503" s="283">
        <v>2</v>
      </c>
      <c r="H3503" s="283">
        <v>0</v>
      </c>
      <c r="I3503" s="283">
        <v>0</v>
      </c>
      <c r="J3503" s="284">
        <v>0</v>
      </c>
    </row>
    <row r="3504" spans="3:10" x14ac:dyDescent="0.25">
      <c r="C3504" s="300" t="s">
        <v>1064</v>
      </c>
      <c r="D3504" s="283" t="s">
        <v>1074</v>
      </c>
      <c r="E3504" s="283" t="s">
        <v>1075</v>
      </c>
      <c r="F3504" s="283" t="s">
        <v>1089</v>
      </c>
      <c r="G3504" s="283">
        <v>2</v>
      </c>
      <c r="H3504" s="283">
        <v>0</v>
      </c>
      <c r="I3504" s="283">
        <v>0</v>
      </c>
      <c r="J3504" s="284">
        <v>0</v>
      </c>
    </row>
    <row r="3505" spans="3:10" x14ac:dyDescent="0.25">
      <c r="C3505" s="300" t="s">
        <v>1064</v>
      </c>
      <c r="D3505" s="283" t="s">
        <v>1077</v>
      </c>
      <c r="E3505" s="283" t="s">
        <v>1075</v>
      </c>
      <c r="F3505" s="283" t="s">
        <v>1075</v>
      </c>
      <c r="G3505" s="283">
        <v>2</v>
      </c>
      <c r="H3505" s="283">
        <v>0</v>
      </c>
      <c r="I3505" s="283">
        <v>0</v>
      </c>
      <c r="J3505" s="284">
        <v>0</v>
      </c>
    </row>
    <row r="3506" spans="3:10" x14ac:dyDescent="0.25">
      <c r="C3506" s="300" t="s">
        <v>1063</v>
      </c>
      <c r="D3506" s="283" t="s">
        <v>1079</v>
      </c>
      <c r="E3506" s="283" t="s">
        <v>1088</v>
      </c>
      <c r="F3506" s="283" t="s">
        <v>1075</v>
      </c>
      <c r="G3506" s="283">
        <v>2</v>
      </c>
      <c r="H3506" s="283">
        <v>0</v>
      </c>
      <c r="I3506" s="283">
        <v>0</v>
      </c>
      <c r="J3506" s="284">
        <v>0</v>
      </c>
    </row>
    <row r="3507" spans="3:10" x14ac:dyDescent="0.25">
      <c r="C3507" s="300" t="s">
        <v>1061</v>
      </c>
      <c r="D3507" s="283" t="s">
        <v>1079</v>
      </c>
      <c r="E3507" s="283" t="s">
        <v>1075</v>
      </c>
      <c r="F3507" s="283" t="s">
        <v>1075</v>
      </c>
      <c r="G3507" s="283">
        <v>2</v>
      </c>
      <c r="H3507" s="283">
        <v>0</v>
      </c>
      <c r="I3507" s="283">
        <v>0</v>
      </c>
      <c r="J3507" s="284">
        <v>0</v>
      </c>
    </row>
    <row r="3508" spans="3:10" x14ac:dyDescent="0.25">
      <c r="C3508" s="300" t="s">
        <v>1064</v>
      </c>
      <c r="D3508" s="283" t="s">
        <v>1087</v>
      </c>
      <c r="E3508" s="283" t="s">
        <v>1075</v>
      </c>
      <c r="F3508" s="283" t="s">
        <v>524</v>
      </c>
      <c r="G3508" s="283">
        <v>1</v>
      </c>
      <c r="H3508" s="283">
        <v>0</v>
      </c>
      <c r="I3508" s="283">
        <v>0</v>
      </c>
      <c r="J3508" s="284">
        <v>0</v>
      </c>
    </row>
    <row r="3509" spans="3:10" x14ac:dyDescent="0.25">
      <c r="C3509" s="300" t="s">
        <v>1066</v>
      </c>
      <c r="D3509" s="283" t="s">
        <v>1079</v>
      </c>
      <c r="E3509" s="283" t="s">
        <v>1076</v>
      </c>
      <c r="F3509" s="283" t="s">
        <v>1076</v>
      </c>
      <c r="G3509" s="283">
        <v>2</v>
      </c>
      <c r="H3509" s="283">
        <v>0</v>
      </c>
      <c r="I3509" s="283">
        <v>0</v>
      </c>
      <c r="J3509" s="284">
        <v>0</v>
      </c>
    </row>
    <row r="3510" spans="3:10" x14ac:dyDescent="0.25">
      <c r="C3510" s="300" t="s">
        <v>1062</v>
      </c>
      <c r="D3510" s="283" t="s">
        <v>1077</v>
      </c>
      <c r="E3510" s="283" t="s">
        <v>1078</v>
      </c>
      <c r="F3510" s="283" t="s">
        <v>1075</v>
      </c>
      <c r="G3510" s="283">
        <v>2</v>
      </c>
      <c r="H3510" s="283">
        <v>0</v>
      </c>
      <c r="I3510" s="283">
        <v>0</v>
      </c>
      <c r="J3510" s="284">
        <v>0</v>
      </c>
    </row>
    <row r="3511" spans="3:10" x14ac:dyDescent="0.25">
      <c r="C3511" s="300" t="s">
        <v>1068</v>
      </c>
      <c r="D3511" s="283" t="s">
        <v>1077</v>
      </c>
      <c r="E3511" s="283" t="s">
        <v>1075</v>
      </c>
      <c r="F3511" s="283" t="s">
        <v>1075</v>
      </c>
      <c r="G3511" s="283">
        <v>2</v>
      </c>
      <c r="H3511" s="283">
        <v>0</v>
      </c>
      <c r="I3511" s="283">
        <v>0</v>
      </c>
      <c r="J3511" s="284">
        <v>0</v>
      </c>
    </row>
    <row r="3512" spans="3:10" x14ac:dyDescent="0.25">
      <c r="C3512" s="300" t="s">
        <v>1061</v>
      </c>
      <c r="D3512" s="283" t="s">
        <v>1074</v>
      </c>
      <c r="E3512" s="283" t="s">
        <v>1075</v>
      </c>
      <c r="F3512" s="283" t="s">
        <v>1089</v>
      </c>
      <c r="G3512" s="283">
        <v>2</v>
      </c>
      <c r="H3512" s="283">
        <v>0</v>
      </c>
      <c r="I3512" s="283">
        <v>0</v>
      </c>
      <c r="J3512" s="284">
        <v>0</v>
      </c>
    </row>
    <row r="3513" spans="3:10" x14ac:dyDescent="0.25">
      <c r="C3513" s="300" t="s">
        <v>1060</v>
      </c>
      <c r="D3513" s="283" t="s">
        <v>1074</v>
      </c>
      <c r="E3513" s="283" t="s">
        <v>1075</v>
      </c>
      <c r="F3513" s="283" t="s">
        <v>1076</v>
      </c>
      <c r="G3513" s="283">
        <v>2</v>
      </c>
      <c r="H3513" s="283">
        <v>0</v>
      </c>
      <c r="I3513" s="283">
        <v>0</v>
      </c>
      <c r="J3513" s="284">
        <v>0</v>
      </c>
    </row>
    <row r="3514" spans="3:10" x14ac:dyDescent="0.25">
      <c r="C3514" s="300" t="s">
        <v>1066</v>
      </c>
      <c r="D3514" s="283" t="s">
        <v>1077</v>
      </c>
      <c r="E3514" s="283" t="s">
        <v>1076</v>
      </c>
      <c r="F3514" s="283" t="s">
        <v>1076</v>
      </c>
      <c r="G3514" s="283">
        <v>3</v>
      </c>
      <c r="H3514" s="283">
        <v>0</v>
      </c>
      <c r="I3514" s="283">
        <v>0</v>
      </c>
      <c r="J3514" s="284">
        <v>0</v>
      </c>
    </row>
    <row r="3515" spans="3:10" x14ac:dyDescent="0.25">
      <c r="C3515" s="300" t="s">
        <v>1061</v>
      </c>
      <c r="D3515" s="283" t="s">
        <v>1074</v>
      </c>
      <c r="E3515" s="283" t="s">
        <v>1075</v>
      </c>
      <c r="F3515" s="283" t="s">
        <v>1075</v>
      </c>
      <c r="G3515" s="283">
        <v>2</v>
      </c>
      <c r="H3515" s="283">
        <v>0</v>
      </c>
      <c r="I3515" s="283">
        <v>0</v>
      </c>
      <c r="J3515" s="284">
        <v>0</v>
      </c>
    </row>
    <row r="3516" spans="3:10" x14ac:dyDescent="0.25">
      <c r="C3516" s="300" t="s">
        <v>1064</v>
      </c>
      <c r="D3516" s="283" t="s">
        <v>1077</v>
      </c>
      <c r="E3516" s="283" t="s">
        <v>1075</v>
      </c>
      <c r="F3516" s="283" t="s">
        <v>1075</v>
      </c>
      <c r="G3516" s="283">
        <v>2</v>
      </c>
      <c r="H3516" s="283">
        <v>0</v>
      </c>
      <c r="I3516" s="283">
        <v>0</v>
      </c>
      <c r="J3516" s="284">
        <v>0</v>
      </c>
    </row>
    <row r="3517" spans="3:10" x14ac:dyDescent="0.25">
      <c r="C3517" s="300" t="s">
        <v>1065</v>
      </c>
      <c r="D3517" s="283" t="s">
        <v>1079</v>
      </c>
      <c r="E3517" s="283" t="s">
        <v>1089</v>
      </c>
      <c r="F3517" s="283" t="s">
        <v>1075</v>
      </c>
      <c r="G3517" s="283">
        <v>2</v>
      </c>
      <c r="H3517" s="283">
        <v>0</v>
      </c>
      <c r="I3517" s="283">
        <v>0</v>
      </c>
      <c r="J3517" s="284">
        <v>0</v>
      </c>
    </row>
    <row r="3518" spans="3:10" x14ac:dyDescent="0.25">
      <c r="C3518" s="300" t="s">
        <v>1057</v>
      </c>
      <c r="D3518" s="283" t="s">
        <v>1079</v>
      </c>
      <c r="E3518" s="283" t="s">
        <v>1075</v>
      </c>
      <c r="F3518" s="283" t="s">
        <v>1076</v>
      </c>
      <c r="G3518" s="283">
        <v>2</v>
      </c>
      <c r="H3518" s="283">
        <v>0</v>
      </c>
      <c r="I3518" s="283">
        <v>0</v>
      </c>
      <c r="J3518" s="284">
        <v>0</v>
      </c>
    </row>
    <row r="3519" spans="3:10" x14ac:dyDescent="0.25">
      <c r="C3519" s="300" t="s">
        <v>1060</v>
      </c>
      <c r="D3519" s="283" t="s">
        <v>1074</v>
      </c>
      <c r="E3519" s="283" t="s">
        <v>1075</v>
      </c>
      <c r="F3519" s="283" t="s">
        <v>1089</v>
      </c>
      <c r="G3519" s="283">
        <v>5</v>
      </c>
      <c r="H3519" s="283">
        <v>0</v>
      </c>
      <c r="I3519" s="283">
        <v>0</v>
      </c>
      <c r="J3519" s="284">
        <v>1</v>
      </c>
    </row>
    <row r="3520" spans="3:10" x14ac:dyDescent="0.25">
      <c r="C3520" s="300" t="s">
        <v>1067</v>
      </c>
      <c r="D3520" s="283" t="s">
        <v>1043</v>
      </c>
      <c r="E3520" s="283" t="s">
        <v>1089</v>
      </c>
      <c r="F3520" s="283" t="s">
        <v>1092</v>
      </c>
      <c r="G3520" s="283">
        <v>2</v>
      </c>
      <c r="H3520" s="283">
        <v>0</v>
      </c>
      <c r="I3520" s="283">
        <v>1</v>
      </c>
      <c r="J3520" s="284">
        <v>0</v>
      </c>
    </row>
    <row r="3521" spans="3:10" x14ac:dyDescent="0.25">
      <c r="C3521" s="300" t="s">
        <v>1063</v>
      </c>
      <c r="D3521" s="283" t="s">
        <v>1087</v>
      </c>
      <c r="E3521" s="283" t="s">
        <v>1075</v>
      </c>
      <c r="F3521" s="283" t="s">
        <v>524</v>
      </c>
      <c r="G3521" s="283">
        <v>1</v>
      </c>
      <c r="H3521" s="283">
        <v>0</v>
      </c>
      <c r="I3521" s="283">
        <v>0</v>
      </c>
      <c r="J3521" s="284">
        <v>0</v>
      </c>
    </row>
    <row r="3522" spans="3:10" x14ac:dyDescent="0.25">
      <c r="C3522" s="300" t="s">
        <v>1064</v>
      </c>
      <c r="D3522" s="283" t="s">
        <v>1079</v>
      </c>
      <c r="E3522" s="283" t="s">
        <v>1075</v>
      </c>
      <c r="F3522" s="283" t="s">
        <v>1093</v>
      </c>
      <c r="G3522" s="283">
        <v>2</v>
      </c>
      <c r="H3522" s="283">
        <v>0</v>
      </c>
      <c r="I3522" s="283">
        <v>1</v>
      </c>
      <c r="J3522" s="284">
        <v>0</v>
      </c>
    </row>
    <row r="3523" spans="3:10" x14ac:dyDescent="0.25">
      <c r="C3523" s="300" t="s">
        <v>1060</v>
      </c>
      <c r="D3523" s="283" t="s">
        <v>1087</v>
      </c>
      <c r="E3523" s="283" t="s">
        <v>1084</v>
      </c>
      <c r="F3523" s="283" t="s">
        <v>524</v>
      </c>
      <c r="G3523" s="283">
        <v>1</v>
      </c>
      <c r="H3523" s="283">
        <v>0</v>
      </c>
      <c r="I3523" s="283">
        <v>0</v>
      </c>
      <c r="J3523" s="284">
        <v>0</v>
      </c>
    </row>
    <row r="3524" spans="3:10" x14ac:dyDescent="0.25">
      <c r="C3524" s="300" t="s">
        <v>1057</v>
      </c>
      <c r="D3524" s="283" t="s">
        <v>1090</v>
      </c>
      <c r="E3524" s="283" t="s">
        <v>1075</v>
      </c>
      <c r="F3524" s="283" t="s">
        <v>524</v>
      </c>
      <c r="G3524" s="283">
        <v>1</v>
      </c>
      <c r="H3524" s="283">
        <v>0</v>
      </c>
      <c r="I3524" s="283">
        <v>1</v>
      </c>
      <c r="J3524" s="284">
        <v>0</v>
      </c>
    </row>
    <row r="3525" spans="3:10" x14ac:dyDescent="0.25">
      <c r="C3525" s="300" t="s">
        <v>1061</v>
      </c>
      <c r="D3525" s="283" t="s">
        <v>1090</v>
      </c>
      <c r="E3525" s="283" t="s">
        <v>1083</v>
      </c>
      <c r="F3525" s="283" t="s">
        <v>524</v>
      </c>
      <c r="G3525" s="283">
        <v>1</v>
      </c>
      <c r="H3525" s="283">
        <v>0</v>
      </c>
      <c r="I3525" s="283">
        <v>0</v>
      </c>
      <c r="J3525" s="284">
        <v>0</v>
      </c>
    </row>
    <row r="3526" spans="3:10" x14ac:dyDescent="0.25">
      <c r="C3526" s="300" t="s">
        <v>1062</v>
      </c>
      <c r="D3526" s="283" t="s">
        <v>1079</v>
      </c>
      <c r="E3526" s="283" t="s">
        <v>1075</v>
      </c>
      <c r="F3526" s="283" t="s">
        <v>1075</v>
      </c>
      <c r="G3526" s="283">
        <v>2</v>
      </c>
      <c r="H3526" s="283">
        <v>0</v>
      </c>
      <c r="I3526" s="283">
        <v>0</v>
      </c>
      <c r="J3526" s="284">
        <v>0</v>
      </c>
    </row>
    <row r="3527" spans="3:10" x14ac:dyDescent="0.25">
      <c r="C3527" s="300" t="s">
        <v>1065</v>
      </c>
      <c r="D3527" s="283" t="s">
        <v>1087</v>
      </c>
      <c r="E3527" s="283" t="s">
        <v>1076</v>
      </c>
      <c r="F3527" s="283" t="s">
        <v>524</v>
      </c>
      <c r="G3527" s="283">
        <v>1</v>
      </c>
      <c r="H3527" s="283">
        <v>0</v>
      </c>
      <c r="I3527" s="283">
        <v>1</v>
      </c>
      <c r="J3527" s="284">
        <v>0</v>
      </c>
    </row>
    <row r="3528" spans="3:10" x14ac:dyDescent="0.25">
      <c r="C3528" s="300" t="s">
        <v>1060</v>
      </c>
      <c r="D3528" s="283" t="s">
        <v>1079</v>
      </c>
      <c r="E3528" s="283" t="s">
        <v>1075</v>
      </c>
      <c r="F3528" s="283" t="s">
        <v>1089</v>
      </c>
      <c r="G3528" s="283">
        <v>2</v>
      </c>
      <c r="H3528" s="283">
        <v>0</v>
      </c>
      <c r="I3528" s="283">
        <v>1</v>
      </c>
      <c r="J3528" s="284">
        <v>0</v>
      </c>
    </row>
    <row r="3529" spans="3:10" x14ac:dyDescent="0.25">
      <c r="C3529" s="300" t="s">
        <v>1065</v>
      </c>
      <c r="D3529" s="283" t="s">
        <v>1079</v>
      </c>
      <c r="E3529" s="283" t="s">
        <v>1075</v>
      </c>
      <c r="F3529" s="283" t="s">
        <v>1076</v>
      </c>
      <c r="G3529" s="283">
        <v>2</v>
      </c>
      <c r="H3529" s="283">
        <v>0</v>
      </c>
      <c r="I3529" s="283">
        <v>0</v>
      </c>
      <c r="J3529" s="284">
        <v>0</v>
      </c>
    </row>
    <row r="3530" spans="3:10" x14ac:dyDescent="0.25">
      <c r="C3530" s="300" t="s">
        <v>1068</v>
      </c>
      <c r="D3530" s="283" t="s">
        <v>1087</v>
      </c>
      <c r="E3530" s="283" t="s">
        <v>1075</v>
      </c>
      <c r="F3530" s="283" t="s">
        <v>524</v>
      </c>
      <c r="G3530" s="283">
        <v>1</v>
      </c>
      <c r="H3530" s="283">
        <v>0</v>
      </c>
      <c r="I3530" s="283">
        <v>0</v>
      </c>
      <c r="J3530" s="284">
        <v>0</v>
      </c>
    </row>
    <row r="3531" spans="3:10" x14ac:dyDescent="0.25">
      <c r="C3531" s="300" t="s">
        <v>1062</v>
      </c>
      <c r="D3531" s="283" t="s">
        <v>1077</v>
      </c>
      <c r="E3531" s="283" t="s">
        <v>1075</v>
      </c>
      <c r="F3531" s="283" t="s">
        <v>1075</v>
      </c>
      <c r="G3531" s="283">
        <v>2</v>
      </c>
      <c r="H3531" s="283">
        <v>0</v>
      </c>
      <c r="I3531" s="283">
        <v>1</v>
      </c>
      <c r="J3531" s="284">
        <v>0</v>
      </c>
    </row>
    <row r="3532" spans="3:10" x14ac:dyDescent="0.25">
      <c r="C3532" s="300" t="s">
        <v>1064</v>
      </c>
      <c r="D3532" s="283" t="s">
        <v>1074</v>
      </c>
      <c r="E3532" s="283" t="s">
        <v>1075</v>
      </c>
      <c r="F3532" s="283" t="s">
        <v>1083</v>
      </c>
      <c r="G3532" s="283">
        <v>2</v>
      </c>
      <c r="H3532" s="283">
        <v>0</v>
      </c>
      <c r="I3532" s="283">
        <v>1</v>
      </c>
      <c r="J3532" s="284">
        <v>0</v>
      </c>
    </row>
    <row r="3533" spans="3:10" x14ac:dyDescent="0.25">
      <c r="C3533" s="300" t="s">
        <v>1061</v>
      </c>
      <c r="D3533" s="283" t="s">
        <v>1074</v>
      </c>
      <c r="E3533" s="283" t="s">
        <v>1075</v>
      </c>
      <c r="F3533" s="283" t="s">
        <v>1093</v>
      </c>
      <c r="G3533" s="283">
        <v>2</v>
      </c>
      <c r="H3533" s="283">
        <v>0</v>
      </c>
      <c r="I3533" s="283">
        <v>2</v>
      </c>
      <c r="J3533" s="284">
        <v>0</v>
      </c>
    </row>
    <row r="3534" spans="3:10" x14ac:dyDescent="0.25">
      <c r="C3534" s="300" t="s">
        <v>1061</v>
      </c>
      <c r="D3534" s="283" t="s">
        <v>1079</v>
      </c>
      <c r="E3534" s="283" t="s">
        <v>1075</v>
      </c>
      <c r="F3534" s="283" t="s">
        <v>1075</v>
      </c>
      <c r="G3534" s="283">
        <v>3</v>
      </c>
      <c r="H3534" s="283">
        <v>0</v>
      </c>
      <c r="I3534" s="283">
        <v>1</v>
      </c>
      <c r="J3534" s="284">
        <v>0</v>
      </c>
    </row>
    <row r="3535" spans="3:10" x14ac:dyDescent="0.25">
      <c r="C3535" s="300" t="s">
        <v>1064</v>
      </c>
      <c r="D3535" s="283" t="s">
        <v>1043</v>
      </c>
      <c r="E3535" s="283" t="s">
        <v>1075</v>
      </c>
      <c r="F3535" s="283" t="s">
        <v>1092</v>
      </c>
      <c r="G3535" s="283">
        <v>3</v>
      </c>
      <c r="H3535" s="283">
        <v>0</v>
      </c>
      <c r="I3535" s="283">
        <v>0</v>
      </c>
      <c r="J3535" s="284">
        <v>1</v>
      </c>
    </row>
    <row r="3536" spans="3:10" x14ac:dyDescent="0.25">
      <c r="C3536" s="300" t="s">
        <v>1067</v>
      </c>
      <c r="D3536" s="283" t="s">
        <v>1079</v>
      </c>
      <c r="E3536" s="283" t="s">
        <v>1075</v>
      </c>
      <c r="F3536" s="283" t="s">
        <v>1075</v>
      </c>
      <c r="G3536" s="283">
        <v>2</v>
      </c>
      <c r="H3536" s="283">
        <v>0</v>
      </c>
      <c r="I3536" s="283">
        <v>0</v>
      </c>
      <c r="J3536" s="284">
        <v>0</v>
      </c>
    </row>
    <row r="3537" spans="3:10" x14ac:dyDescent="0.25">
      <c r="C3537" s="300" t="s">
        <v>1063</v>
      </c>
      <c r="D3537" s="283" t="s">
        <v>1079</v>
      </c>
      <c r="E3537" s="283" t="s">
        <v>1075</v>
      </c>
      <c r="F3537" s="283" t="s">
        <v>1076</v>
      </c>
      <c r="G3537" s="283">
        <v>2</v>
      </c>
      <c r="H3537" s="283">
        <v>0</v>
      </c>
      <c r="I3537" s="283">
        <v>0</v>
      </c>
      <c r="J3537" s="284">
        <v>0</v>
      </c>
    </row>
    <row r="3538" spans="3:10" x14ac:dyDescent="0.25">
      <c r="C3538" s="300" t="s">
        <v>1067</v>
      </c>
      <c r="D3538" s="283" t="s">
        <v>1079</v>
      </c>
      <c r="E3538" s="283" t="s">
        <v>1089</v>
      </c>
      <c r="F3538" s="283" t="s">
        <v>1089</v>
      </c>
      <c r="G3538" s="283">
        <v>2</v>
      </c>
      <c r="H3538" s="283">
        <v>0</v>
      </c>
      <c r="I3538" s="283">
        <v>0</v>
      </c>
      <c r="J3538" s="284">
        <v>1</v>
      </c>
    </row>
    <row r="3539" spans="3:10" x14ac:dyDescent="0.25">
      <c r="C3539" s="300" t="s">
        <v>1063</v>
      </c>
      <c r="D3539" s="283" t="s">
        <v>1079</v>
      </c>
      <c r="E3539" s="283" t="s">
        <v>1086</v>
      </c>
      <c r="F3539" s="283" t="s">
        <v>1084</v>
      </c>
      <c r="G3539" s="283">
        <v>2</v>
      </c>
      <c r="H3539" s="283">
        <v>0</v>
      </c>
      <c r="I3539" s="283">
        <v>0</v>
      </c>
      <c r="J3539" s="284">
        <v>0</v>
      </c>
    </row>
    <row r="3540" spans="3:10" x14ac:dyDescent="0.25">
      <c r="C3540" s="300" t="s">
        <v>1065</v>
      </c>
      <c r="D3540" s="283" t="s">
        <v>1074</v>
      </c>
      <c r="E3540" s="283" t="s">
        <v>1075</v>
      </c>
      <c r="F3540" s="283" t="s">
        <v>1089</v>
      </c>
      <c r="G3540" s="283">
        <v>2</v>
      </c>
      <c r="H3540" s="283">
        <v>0</v>
      </c>
      <c r="I3540" s="283">
        <v>1</v>
      </c>
      <c r="J3540" s="284">
        <v>0</v>
      </c>
    </row>
    <row r="3541" spans="3:10" x14ac:dyDescent="0.25">
      <c r="C3541" s="300" t="s">
        <v>1064</v>
      </c>
      <c r="D3541" s="283" t="s">
        <v>1077</v>
      </c>
      <c r="E3541" s="283" t="s">
        <v>1075</v>
      </c>
      <c r="F3541" s="283" t="s">
        <v>1086</v>
      </c>
      <c r="G3541" s="283">
        <v>2</v>
      </c>
      <c r="H3541" s="283">
        <v>0</v>
      </c>
      <c r="I3541" s="283">
        <v>0</v>
      </c>
      <c r="J3541" s="284">
        <v>0</v>
      </c>
    </row>
    <row r="3542" spans="3:10" x14ac:dyDescent="0.25">
      <c r="C3542" s="300" t="s">
        <v>1063</v>
      </c>
      <c r="D3542" s="283" t="s">
        <v>1074</v>
      </c>
      <c r="E3542" s="283" t="s">
        <v>1089</v>
      </c>
      <c r="F3542" s="283" t="s">
        <v>1076</v>
      </c>
      <c r="G3542" s="283">
        <v>2</v>
      </c>
      <c r="H3542" s="283">
        <v>0</v>
      </c>
      <c r="I3542" s="283">
        <v>0</v>
      </c>
      <c r="J3542" s="284">
        <v>1</v>
      </c>
    </row>
    <row r="3543" spans="3:10" x14ac:dyDescent="0.25">
      <c r="C3543" s="300" t="s">
        <v>1064</v>
      </c>
      <c r="D3543" s="283" t="s">
        <v>1074</v>
      </c>
      <c r="E3543" s="283" t="s">
        <v>1089</v>
      </c>
      <c r="F3543" s="283" t="s">
        <v>1075</v>
      </c>
      <c r="G3543" s="283">
        <v>2</v>
      </c>
      <c r="H3543" s="283">
        <v>0</v>
      </c>
      <c r="I3543" s="283">
        <v>1</v>
      </c>
      <c r="J3543" s="284">
        <v>0</v>
      </c>
    </row>
    <row r="3544" spans="3:10" x14ac:dyDescent="0.25">
      <c r="C3544" s="300" t="s">
        <v>1064</v>
      </c>
      <c r="D3544" s="283" t="s">
        <v>1079</v>
      </c>
      <c r="E3544" s="283" t="s">
        <v>1086</v>
      </c>
      <c r="F3544" s="283" t="s">
        <v>1089</v>
      </c>
      <c r="G3544" s="283">
        <v>2</v>
      </c>
      <c r="H3544" s="283">
        <v>0</v>
      </c>
      <c r="I3544" s="283">
        <v>0</v>
      </c>
      <c r="J3544" s="284">
        <v>0</v>
      </c>
    </row>
    <row r="3545" spans="3:10" x14ac:dyDescent="0.25">
      <c r="C3545" s="300" t="s">
        <v>1063</v>
      </c>
      <c r="D3545" s="283" t="s">
        <v>1087</v>
      </c>
      <c r="E3545" s="283" t="s">
        <v>1075</v>
      </c>
      <c r="F3545" s="283" t="s">
        <v>524</v>
      </c>
      <c r="G3545" s="283">
        <v>1</v>
      </c>
      <c r="H3545" s="283">
        <v>0</v>
      </c>
      <c r="I3545" s="283">
        <v>1</v>
      </c>
      <c r="J3545" s="284">
        <v>0</v>
      </c>
    </row>
    <row r="3546" spans="3:10" x14ac:dyDescent="0.25">
      <c r="C3546" s="300" t="s">
        <v>1064</v>
      </c>
      <c r="D3546" s="283" t="s">
        <v>1043</v>
      </c>
      <c r="E3546" s="283" t="s">
        <v>1076</v>
      </c>
      <c r="F3546" s="283" t="s">
        <v>1092</v>
      </c>
      <c r="G3546" s="283">
        <v>2</v>
      </c>
      <c r="H3546" s="283">
        <v>0</v>
      </c>
      <c r="I3546" s="283">
        <v>0</v>
      </c>
      <c r="J3546" s="284">
        <v>1</v>
      </c>
    </row>
    <row r="3547" spans="3:10" x14ac:dyDescent="0.25">
      <c r="C3547" s="300" t="s">
        <v>1063</v>
      </c>
      <c r="D3547" s="283" t="s">
        <v>1079</v>
      </c>
      <c r="E3547" s="283" t="s">
        <v>1075</v>
      </c>
      <c r="F3547" s="283" t="s">
        <v>1075</v>
      </c>
      <c r="G3547" s="283">
        <v>2</v>
      </c>
      <c r="H3547" s="283">
        <v>0</v>
      </c>
      <c r="I3547" s="283">
        <v>1</v>
      </c>
      <c r="J3547" s="284">
        <v>0</v>
      </c>
    </row>
    <row r="3548" spans="3:10" x14ac:dyDescent="0.25">
      <c r="C3548" s="300" t="s">
        <v>1063</v>
      </c>
      <c r="D3548" s="283" t="s">
        <v>1079</v>
      </c>
      <c r="E3548" s="283" t="s">
        <v>1076</v>
      </c>
      <c r="F3548" s="283" t="s">
        <v>1075</v>
      </c>
      <c r="G3548" s="283">
        <v>5</v>
      </c>
      <c r="H3548" s="283">
        <v>0</v>
      </c>
      <c r="I3548" s="283">
        <v>2</v>
      </c>
      <c r="J3548" s="284">
        <v>3</v>
      </c>
    </row>
    <row r="3549" spans="3:10" x14ac:dyDescent="0.25">
      <c r="C3549" s="300" t="s">
        <v>1064</v>
      </c>
      <c r="D3549" s="283" t="s">
        <v>1043</v>
      </c>
      <c r="E3549" s="283" t="s">
        <v>1084</v>
      </c>
      <c r="F3549" s="283" t="s">
        <v>1092</v>
      </c>
      <c r="G3549" s="283">
        <v>2</v>
      </c>
      <c r="H3549" s="283">
        <v>0</v>
      </c>
      <c r="I3549" s="283">
        <v>1</v>
      </c>
      <c r="J3549" s="284">
        <v>1</v>
      </c>
    </row>
    <row r="3550" spans="3:10" x14ac:dyDescent="0.25">
      <c r="C3550" s="300" t="s">
        <v>1062</v>
      </c>
      <c r="D3550" s="283" t="s">
        <v>1077</v>
      </c>
      <c r="E3550" s="283" t="s">
        <v>1083</v>
      </c>
      <c r="F3550" s="283" t="s">
        <v>1075</v>
      </c>
      <c r="G3550" s="283">
        <v>2</v>
      </c>
      <c r="H3550" s="283">
        <v>0</v>
      </c>
      <c r="I3550" s="283">
        <v>1</v>
      </c>
      <c r="J3550" s="284">
        <v>0</v>
      </c>
    </row>
    <row r="3551" spans="3:10" x14ac:dyDescent="0.25">
      <c r="C3551" s="300" t="s">
        <v>1062</v>
      </c>
      <c r="D3551" s="283" t="s">
        <v>1074</v>
      </c>
      <c r="E3551" s="283" t="s">
        <v>1076</v>
      </c>
      <c r="F3551" s="283" t="s">
        <v>1044</v>
      </c>
      <c r="G3551" s="283">
        <v>2</v>
      </c>
      <c r="H3551" s="283">
        <v>0</v>
      </c>
      <c r="I3551" s="283">
        <v>1</v>
      </c>
      <c r="J3551" s="284">
        <v>0</v>
      </c>
    </row>
    <row r="3552" spans="3:10" x14ac:dyDescent="0.25">
      <c r="C3552" s="300" t="s">
        <v>1060</v>
      </c>
      <c r="D3552" s="283" t="s">
        <v>1043</v>
      </c>
      <c r="E3552" s="283" t="s">
        <v>1075</v>
      </c>
      <c r="F3552" s="283" t="s">
        <v>1092</v>
      </c>
      <c r="G3552" s="283">
        <v>2</v>
      </c>
      <c r="H3552" s="283">
        <v>0</v>
      </c>
      <c r="I3552" s="283">
        <v>1</v>
      </c>
      <c r="J3552" s="284">
        <v>0</v>
      </c>
    </row>
    <row r="3553" spans="3:10" x14ac:dyDescent="0.25">
      <c r="C3553" s="300" t="s">
        <v>1062</v>
      </c>
      <c r="D3553" s="283" t="s">
        <v>1087</v>
      </c>
      <c r="E3553" s="283" t="s">
        <v>1075</v>
      </c>
      <c r="F3553" s="283" t="s">
        <v>524</v>
      </c>
      <c r="G3553" s="283">
        <v>1</v>
      </c>
      <c r="H3553" s="283">
        <v>0</v>
      </c>
      <c r="I3553" s="283">
        <v>0</v>
      </c>
      <c r="J3553" s="284">
        <v>1</v>
      </c>
    </row>
    <row r="3554" spans="3:10" x14ac:dyDescent="0.25">
      <c r="C3554" s="300" t="s">
        <v>1066</v>
      </c>
      <c r="D3554" s="283" t="s">
        <v>1087</v>
      </c>
      <c r="E3554" s="283" t="s">
        <v>1089</v>
      </c>
      <c r="F3554" s="283" t="s">
        <v>524</v>
      </c>
      <c r="G3554" s="283">
        <v>1</v>
      </c>
      <c r="H3554" s="283">
        <v>0</v>
      </c>
      <c r="I3554" s="283">
        <v>1</v>
      </c>
      <c r="J3554" s="284">
        <v>0</v>
      </c>
    </row>
    <row r="3555" spans="3:10" x14ac:dyDescent="0.25">
      <c r="C3555" s="300" t="s">
        <v>1061</v>
      </c>
      <c r="D3555" s="283" t="s">
        <v>1079</v>
      </c>
      <c r="E3555" s="283" t="s">
        <v>1089</v>
      </c>
      <c r="F3555" s="283" t="s">
        <v>1083</v>
      </c>
      <c r="G3555" s="283">
        <v>2</v>
      </c>
      <c r="H3555" s="283">
        <v>0</v>
      </c>
      <c r="I3555" s="283">
        <v>0</v>
      </c>
      <c r="J3555" s="284">
        <v>0</v>
      </c>
    </row>
    <row r="3556" spans="3:10" x14ac:dyDescent="0.25">
      <c r="C3556" s="300" t="s">
        <v>1066</v>
      </c>
      <c r="D3556" s="283" t="s">
        <v>1079</v>
      </c>
      <c r="E3556" s="283" t="s">
        <v>1075</v>
      </c>
      <c r="F3556" s="283" t="s">
        <v>1075</v>
      </c>
      <c r="G3556" s="283">
        <v>3</v>
      </c>
      <c r="H3556" s="283">
        <v>0</v>
      </c>
      <c r="I3556" s="283">
        <v>0</v>
      </c>
      <c r="J3556" s="284">
        <v>0</v>
      </c>
    </row>
    <row r="3557" spans="3:10" x14ac:dyDescent="0.25">
      <c r="C3557" s="300" t="s">
        <v>1068</v>
      </c>
      <c r="D3557" s="283" t="s">
        <v>1087</v>
      </c>
      <c r="E3557" s="283" t="s">
        <v>1075</v>
      </c>
      <c r="F3557" s="283" t="s">
        <v>524</v>
      </c>
      <c r="G3557" s="283">
        <v>1</v>
      </c>
      <c r="H3557" s="283">
        <v>0</v>
      </c>
      <c r="I3557" s="283">
        <v>0</v>
      </c>
      <c r="J3557" s="284">
        <v>0</v>
      </c>
    </row>
    <row r="3558" spans="3:10" x14ac:dyDescent="0.25">
      <c r="C3558" s="300" t="s">
        <v>1064</v>
      </c>
      <c r="D3558" s="283" t="s">
        <v>1082</v>
      </c>
      <c r="E3558" s="283" t="s">
        <v>1076</v>
      </c>
      <c r="F3558" s="283" t="s">
        <v>1075</v>
      </c>
      <c r="G3558" s="283">
        <v>2</v>
      </c>
      <c r="H3558" s="283">
        <v>0</v>
      </c>
      <c r="I3558" s="283">
        <v>1</v>
      </c>
      <c r="J3558" s="284">
        <v>0</v>
      </c>
    </row>
    <row r="3559" spans="3:10" x14ac:dyDescent="0.25">
      <c r="C3559" s="300" t="s">
        <v>1066</v>
      </c>
      <c r="D3559" s="283" t="s">
        <v>1043</v>
      </c>
      <c r="E3559" s="283" t="s">
        <v>1044</v>
      </c>
      <c r="F3559" s="283" t="s">
        <v>1092</v>
      </c>
      <c r="G3559" s="283">
        <v>2</v>
      </c>
      <c r="H3559" s="283">
        <v>0</v>
      </c>
      <c r="I3559" s="283">
        <v>0</v>
      </c>
      <c r="J3559" s="284">
        <v>1</v>
      </c>
    </row>
    <row r="3560" spans="3:10" x14ac:dyDescent="0.25">
      <c r="C3560" s="300" t="s">
        <v>1064</v>
      </c>
      <c r="D3560" s="283" t="s">
        <v>1043</v>
      </c>
      <c r="E3560" s="283" t="s">
        <v>1075</v>
      </c>
      <c r="F3560" s="283" t="s">
        <v>1092</v>
      </c>
      <c r="G3560" s="283">
        <v>3</v>
      </c>
      <c r="H3560" s="283">
        <v>0</v>
      </c>
      <c r="I3560" s="283">
        <v>1</v>
      </c>
      <c r="J3560" s="284">
        <v>0</v>
      </c>
    </row>
    <row r="3561" spans="3:10" x14ac:dyDescent="0.25">
      <c r="C3561" s="300" t="s">
        <v>1060</v>
      </c>
      <c r="D3561" s="283" t="s">
        <v>1079</v>
      </c>
      <c r="E3561" s="283" t="s">
        <v>1044</v>
      </c>
      <c r="F3561" s="283" t="s">
        <v>1081</v>
      </c>
      <c r="G3561" s="283">
        <v>2</v>
      </c>
      <c r="H3561" s="283">
        <v>0</v>
      </c>
      <c r="I3561" s="283">
        <v>1</v>
      </c>
      <c r="J3561" s="284">
        <v>1</v>
      </c>
    </row>
    <row r="3562" spans="3:10" x14ac:dyDescent="0.25">
      <c r="C3562" s="300" t="s">
        <v>1060</v>
      </c>
      <c r="D3562" s="283" t="s">
        <v>1079</v>
      </c>
      <c r="E3562" s="283" t="s">
        <v>1075</v>
      </c>
      <c r="F3562" s="283" t="s">
        <v>1083</v>
      </c>
      <c r="G3562" s="283">
        <v>2</v>
      </c>
      <c r="H3562" s="283">
        <v>0</v>
      </c>
      <c r="I3562" s="283">
        <v>0</v>
      </c>
      <c r="J3562" s="284">
        <v>0</v>
      </c>
    </row>
    <row r="3563" spans="3:10" x14ac:dyDescent="0.25">
      <c r="C3563" s="300" t="s">
        <v>1058</v>
      </c>
      <c r="D3563" s="283" t="s">
        <v>1087</v>
      </c>
      <c r="E3563" s="283" t="s">
        <v>1083</v>
      </c>
      <c r="F3563" s="283" t="s">
        <v>524</v>
      </c>
      <c r="G3563" s="283">
        <v>1</v>
      </c>
      <c r="H3563" s="283">
        <v>1</v>
      </c>
      <c r="I3563" s="283">
        <v>0</v>
      </c>
      <c r="J3563" s="284">
        <v>0</v>
      </c>
    </row>
    <row r="3564" spans="3:10" x14ac:dyDescent="0.25">
      <c r="C3564" s="300" t="s">
        <v>1063</v>
      </c>
      <c r="D3564" s="283" t="s">
        <v>1077</v>
      </c>
      <c r="E3564" s="283" t="s">
        <v>1078</v>
      </c>
      <c r="F3564" s="283" t="s">
        <v>1093</v>
      </c>
      <c r="G3564" s="283">
        <v>2</v>
      </c>
      <c r="H3564" s="283">
        <v>0</v>
      </c>
      <c r="I3564" s="283">
        <v>0</v>
      </c>
      <c r="J3564" s="284">
        <v>0</v>
      </c>
    </row>
    <row r="3565" spans="3:10" x14ac:dyDescent="0.25">
      <c r="C3565" s="300" t="s">
        <v>1064</v>
      </c>
      <c r="D3565" s="283" t="s">
        <v>1074</v>
      </c>
      <c r="E3565" s="283" t="s">
        <v>1078</v>
      </c>
      <c r="F3565" s="283" t="s">
        <v>1075</v>
      </c>
      <c r="G3565" s="283">
        <v>2</v>
      </c>
      <c r="H3565" s="283">
        <v>0</v>
      </c>
      <c r="I3565" s="283">
        <v>0</v>
      </c>
      <c r="J3565" s="284">
        <v>0</v>
      </c>
    </row>
    <row r="3566" spans="3:10" x14ac:dyDescent="0.25">
      <c r="C3566" s="300" t="s">
        <v>1061</v>
      </c>
      <c r="D3566" s="283" t="s">
        <v>1079</v>
      </c>
      <c r="E3566" s="283" t="s">
        <v>1075</v>
      </c>
      <c r="F3566" s="283" t="s">
        <v>1083</v>
      </c>
      <c r="G3566" s="283">
        <v>2</v>
      </c>
      <c r="H3566" s="283">
        <v>0</v>
      </c>
      <c r="I3566" s="283">
        <v>0</v>
      </c>
      <c r="J3566" s="284">
        <v>0</v>
      </c>
    </row>
    <row r="3567" spans="3:10" x14ac:dyDescent="0.25">
      <c r="C3567" s="300" t="s">
        <v>1066</v>
      </c>
      <c r="D3567" s="283" t="s">
        <v>1074</v>
      </c>
      <c r="E3567" s="283" t="s">
        <v>1075</v>
      </c>
      <c r="F3567" s="283" t="s">
        <v>1075</v>
      </c>
      <c r="G3567" s="283">
        <v>2</v>
      </c>
      <c r="H3567" s="283">
        <v>0</v>
      </c>
      <c r="I3567" s="283">
        <v>0</v>
      </c>
      <c r="J3567" s="284">
        <v>0</v>
      </c>
    </row>
    <row r="3568" spans="3:10" x14ac:dyDescent="0.25">
      <c r="C3568" s="300" t="s">
        <v>1064</v>
      </c>
      <c r="D3568" s="283" t="s">
        <v>1077</v>
      </c>
      <c r="E3568" s="283" t="s">
        <v>1075</v>
      </c>
      <c r="F3568" s="283" t="s">
        <v>1075</v>
      </c>
      <c r="G3568" s="283">
        <v>2</v>
      </c>
      <c r="H3568" s="283">
        <v>0</v>
      </c>
      <c r="I3568" s="283">
        <v>0</v>
      </c>
      <c r="J3568" s="284">
        <v>0</v>
      </c>
    </row>
    <row r="3569" spans="3:10" x14ac:dyDescent="0.25">
      <c r="C3569" s="300" t="s">
        <v>1061</v>
      </c>
      <c r="D3569" s="283" t="s">
        <v>1077</v>
      </c>
      <c r="E3569" s="283" t="s">
        <v>1080</v>
      </c>
      <c r="F3569" s="283" t="s">
        <v>1075</v>
      </c>
      <c r="G3569" s="283">
        <v>2</v>
      </c>
      <c r="H3569" s="283">
        <v>0</v>
      </c>
      <c r="I3569" s="283">
        <v>0</v>
      </c>
      <c r="J3569" s="284">
        <v>0</v>
      </c>
    </row>
    <row r="3570" spans="3:10" x14ac:dyDescent="0.25">
      <c r="C3570" s="300" t="s">
        <v>1061</v>
      </c>
      <c r="D3570" s="283" t="s">
        <v>1077</v>
      </c>
      <c r="E3570" s="283" t="s">
        <v>1084</v>
      </c>
      <c r="F3570" s="283" t="s">
        <v>1078</v>
      </c>
      <c r="G3570" s="283">
        <v>2</v>
      </c>
      <c r="H3570" s="283">
        <v>0</v>
      </c>
      <c r="I3570" s="283">
        <v>0</v>
      </c>
      <c r="J3570" s="284">
        <v>0</v>
      </c>
    </row>
    <row r="3571" spans="3:10" x14ac:dyDescent="0.25">
      <c r="C3571" s="300" t="s">
        <v>1060</v>
      </c>
      <c r="D3571" s="283" t="s">
        <v>1077</v>
      </c>
      <c r="E3571" s="283" t="s">
        <v>1076</v>
      </c>
      <c r="F3571" s="283" t="s">
        <v>1078</v>
      </c>
      <c r="G3571" s="283">
        <v>2</v>
      </c>
      <c r="H3571" s="283">
        <v>0</v>
      </c>
      <c r="I3571" s="283">
        <v>0</v>
      </c>
      <c r="J3571" s="284">
        <v>0</v>
      </c>
    </row>
    <row r="3572" spans="3:10" x14ac:dyDescent="0.25">
      <c r="C3572" s="300" t="s">
        <v>1062</v>
      </c>
      <c r="D3572" s="283" t="s">
        <v>1074</v>
      </c>
      <c r="E3572" s="283" t="s">
        <v>1075</v>
      </c>
      <c r="F3572" s="283" t="s">
        <v>1089</v>
      </c>
      <c r="G3572" s="283">
        <v>2</v>
      </c>
      <c r="H3572" s="283">
        <v>0</v>
      </c>
      <c r="I3572" s="283">
        <v>0</v>
      </c>
      <c r="J3572" s="284">
        <v>0</v>
      </c>
    </row>
    <row r="3573" spans="3:10" x14ac:dyDescent="0.25">
      <c r="C3573" s="300" t="s">
        <v>1059</v>
      </c>
      <c r="D3573" s="283" t="s">
        <v>1077</v>
      </c>
      <c r="E3573" s="283" t="s">
        <v>1075</v>
      </c>
      <c r="F3573" s="283" t="s">
        <v>1089</v>
      </c>
      <c r="G3573" s="283">
        <v>2</v>
      </c>
      <c r="H3573" s="283">
        <v>0</v>
      </c>
      <c r="I3573" s="283">
        <v>0</v>
      </c>
      <c r="J3573" s="284">
        <v>0</v>
      </c>
    </row>
    <row r="3574" spans="3:10" x14ac:dyDescent="0.25">
      <c r="C3574" s="300" t="s">
        <v>1064</v>
      </c>
      <c r="D3574" s="283" t="s">
        <v>1079</v>
      </c>
      <c r="E3574" s="283" t="s">
        <v>1089</v>
      </c>
      <c r="F3574" s="283" t="s">
        <v>1075</v>
      </c>
      <c r="G3574" s="283">
        <v>2</v>
      </c>
      <c r="H3574" s="283">
        <v>0</v>
      </c>
      <c r="I3574" s="283">
        <v>0</v>
      </c>
      <c r="J3574" s="284">
        <v>0</v>
      </c>
    </row>
    <row r="3575" spans="3:10" x14ac:dyDescent="0.25">
      <c r="C3575" s="300" t="s">
        <v>1064</v>
      </c>
      <c r="D3575" s="283" t="s">
        <v>1074</v>
      </c>
      <c r="E3575" s="283" t="s">
        <v>1075</v>
      </c>
      <c r="F3575" s="283" t="s">
        <v>1089</v>
      </c>
      <c r="G3575" s="283">
        <v>4</v>
      </c>
      <c r="H3575" s="283">
        <v>0</v>
      </c>
      <c r="I3575" s="283">
        <v>0</v>
      </c>
      <c r="J3575" s="284">
        <v>0</v>
      </c>
    </row>
    <row r="3576" spans="3:10" x14ac:dyDescent="0.25">
      <c r="C3576" s="300" t="s">
        <v>1061</v>
      </c>
      <c r="D3576" s="283" t="s">
        <v>1077</v>
      </c>
      <c r="E3576" s="283" t="s">
        <v>1075</v>
      </c>
      <c r="F3576" s="283" t="s">
        <v>1089</v>
      </c>
      <c r="G3576" s="283">
        <v>4</v>
      </c>
      <c r="H3576" s="283">
        <v>0</v>
      </c>
      <c r="I3576" s="283">
        <v>0</v>
      </c>
      <c r="J3576" s="284">
        <v>0</v>
      </c>
    </row>
    <row r="3577" spans="3:10" x14ac:dyDescent="0.25">
      <c r="C3577" s="300" t="s">
        <v>1062</v>
      </c>
      <c r="D3577" s="283" t="s">
        <v>1079</v>
      </c>
      <c r="E3577" s="283" t="s">
        <v>1075</v>
      </c>
      <c r="F3577" s="283" t="s">
        <v>1075</v>
      </c>
      <c r="G3577" s="283">
        <v>2</v>
      </c>
      <c r="H3577" s="283">
        <v>0</v>
      </c>
      <c r="I3577" s="283">
        <v>0</v>
      </c>
      <c r="J3577" s="284">
        <v>0</v>
      </c>
    </row>
    <row r="3578" spans="3:10" x14ac:dyDescent="0.25">
      <c r="C3578" s="300" t="s">
        <v>1063</v>
      </c>
      <c r="D3578" s="283" t="s">
        <v>1087</v>
      </c>
      <c r="E3578" s="283" t="s">
        <v>1089</v>
      </c>
      <c r="F3578" s="283" t="s">
        <v>524</v>
      </c>
      <c r="G3578" s="283">
        <v>1</v>
      </c>
      <c r="H3578" s="283">
        <v>0</v>
      </c>
      <c r="I3578" s="283">
        <v>0</v>
      </c>
      <c r="J3578" s="284">
        <v>0</v>
      </c>
    </row>
    <row r="3579" spans="3:10" x14ac:dyDescent="0.25">
      <c r="C3579" s="300" t="s">
        <v>1065</v>
      </c>
      <c r="D3579" s="283" t="s">
        <v>1090</v>
      </c>
      <c r="E3579" s="283" t="s">
        <v>1083</v>
      </c>
      <c r="F3579" s="283" t="s">
        <v>524</v>
      </c>
      <c r="G3579" s="283">
        <v>1</v>
      </c>
      <c r="H3579" s="283">
        <v>0</v>
      </c>
      <c r="I3579" s="283">
        <v>0</v>
      </c>
      <c r="J3579" s="284">
        <v>0</v>
      </c>
    </row>
    <row r="3580" spans="3:10" x14ac:dyDescent="0.25">
      <c r="C3580" s="300" t="s">
        <v>1061</v>
      </c>
      <c r="D3580" s="283" t="s">
        <v>1077</v>
      </c>
      <c r="E3580" s="283" t="s">
        <v>1089</v>
      </c>
      <c r="F3580" s="283" t="s">
        <v>1089</v>
      </c>
      <c r="G3580" s="283">
        <v>2</v>
      </c>
      <c r="H3580" s="283">
        <v>0</v>
      </c>
      <c r="I3580" s="283">
        <v>0</v>
      </c>
      <c r="J3580" s="284">
        <v>0</v>
      </c>
    </row>
    <row r="3581" spans="3:10" x14ac:dyDescent="0.25">
      <c r="C3581" s="300" t="s">
        <v>1061</v>
      </c>
      <c r="D3581" s="283" t="s">
        <v>1077</v>
      </c>
      <c r="E3581" s="283" t="s">
        <v>1075</v>
      </c>
      <c r="F3581" s="283" t="s">
        <v>1075</v>
      </c>
      <c r="G3581" s="283">
        <v>2</v>
      </c>
      <c r="H3581" s="283">
        <v>0</v>
      </c>
      <c r="I3581" s="283">
        <v>0</v>
      </c>
      <c r="J3581" s="284">
        <v>0</v>
      </c>
    </row>
    <row r="3582" spans="3:10" x14ac:dyDescent="0.25">
      <c r="C3582" s="300" t="s">
        <v>1067</v>
      </c>
      <c r="D3582" s="283" t="s">
        <v>1043</v>
      </c>
      <c r="E3582" s="283" t="s">
        <v>1078</v>
      </c>
      <c r="F3582" s="283" t="s">
        <v>1092</v>
      </c>
      <c r="G3582" s="283">
        <v>2</v>
      </c>
      <c r="H3582" s="283">
        <v>0</v>
      </c>
      <c r="I3582" s="283">
        <v>0</v>
      </c>
      <c r="J3582" s="284">
        <v>1</v>
      </c>
    </row>
    <row r="3583" spans="3:10" x14ac:dyDescent="0.25">
      <c r="C3583" s="300" t="s">
        <v>1061</v>
      </c>
      <c r="D3583" s="283" t="s">
        <v>1077</v>
      </c>
      <c r="E3583" s="283" t="s">
        <v>1083</v>
      </c>
      <c r="F3583" s="283" t="s">
        <v>1089</v>
      </c>
      <c r="G3583" s="283">
        <v>2</v>
      </c>
      <c r="H3583" s="283">
        <v>0</v>
      </c>
      <c r="I3583" s="283">
        <v>0</v>
      </c>
      <c r="J3583" s="284">
        <v>0</v>
      </c>
    </row>
    <row r="3584" spans="3:10" x14ac:dyDescent="0.25">
      <c r="C3584" s="300" t="s">
        <v>1057</v>
      </c>
      <c r="D3584" s="283" t="s">
        <v>1087</v>
      </c>
      <c r="E3584" s="283" t="s">
        <v>1083</v>
      </c>
      <c r="F3584" s="283" t="s">
        <v>524</v>
      </c>
      <c r="G3584" s="283">
        <v>1</v>
      </c>
      <c r="H3584" s="283">
        <v>0</v>
      </c>
      <c r="I3584" s="283">
        <v>0</v>
      </c>
      <c r="J3584" s="284">
        <v>0</v>
      </c>
    </row>
    <row r="3585" spans="3:10" x14ac:dyDescent="0.25">
      <c r="C3585" s="300" t="s">
        <v>1065</v>
      </c>
      <c r="D3585" s="283" t="s">
        <v>1074</v>
      </c>
      <c r="E3585" s="283" t="s">
        <v>1075</v>
      </c>
      <c r="F3585" s="283" t="s">
        <v>1089</v>
      </c>
      <c r="G3585" s="283">
        <v>2</v>
      </c>
      <c r="H3585" s="283">
        <v>0</v>
      </c>
      <c r="I3585" s="283">
        <v>0</v>
      </c>
      <c r="J3585" s="284">
        <v>0</v>
      </c>
    </row>
    <row r="3586" spans="3:10" x14ac:dyDescent="0.25">
      <c r="C3586" s="300" t="s">
        <v>1060</v>
      </c>
      <c r="D3586" s="283" t="s">
        <v>1079</v>
      </c>
      <c r="E3586" s="283" t="s">
        <v>1044</v>
      </c>
      <c r="F3586" s="283" t="s">
        <v>1075</v>
      </c>
      <c r="G3586" s="283">
        <v>2</v>
      </c>
      <c r="H3586" s="283">
        <v>0</v>
      </c>
      <c r="I3586" s="283">
        <v>0</v>
      </c>
      <c r="J3586" s="284">
        <v>0</v>
      </c>
    </row>
    <row r="3587" spans="3:10" x14ac:dyDescent="0.25">
      <c r="C3587" s="300" t="s">
        <v>1065</v>
      </c>
      <c r="D3587" s="283" t="s">
        <v>1079</v>
      </c>
      <c r="E3587" s="283" t="s">
        <v>1044</v>
      </c>
      <c r="F3587" s="283" t="s">
        <v>1099</v>
      </c>
      <c r="G3587" s="283">
        <v>2</v>
      </c>
      <c r="H3587" s="283">
        <v>0</v>
      </c>
      <c r="I3587" s="283">
        <v>1</v>
      </c>
      <c r="J3587" s="284">
        <v>1</v>
      </c>
    </row>
    <row r="3588" spans="3:10" x14ac:dyDescent="0.25">
      <c r="C3588" s="300" t="s">
        <v>1063</v>
      </c>
      <c r="D3588" s="283" t="s">
        <v>1074</v>
      </c>
      <c r="E3588" s="283" t="s">
        <v>1075</v>
      </c>
      <c r="F3588" s="283" t="s">
        <v>1075</v>
      </c>
      <c r="G3588" s="283">
        <v>2</v>
      </c>
      <c r="H3588" s="283">
        <v>0</v>
      </c>
      <c r="I3588" s="283">
        <v>0</v>
      </c>
      <c r="J3588" s="284">
        <v>1</v>
      </c>
    </row>
    <row r="3589" spans="3:10" x14ac:dyDescent="0.25">
      <c r="C3589" s="300" t="s">
        <v>1064</v>
      </c>
      <c r="D3589" s="283" t="s">
        <v>1077</v>
      </c>
      <c r="E3589" s="283" t="s">
        <v>1084</v>
      </c>
      <c r="F3589" s="283" t="s">
        <v>1075</v>
      </c>
      <c r="G3589" s="283">
        <v>2</v>
      </c>
      <c r="H3589" s="283">
        <v>0</v>
      </c>
      <c r="I3589" s="283">
        <v>0</v>
      </c>
      <c r="J3589" s="284">
        <v>0</v>
      </c>
    </row>
    <row r="3590" spans="3:10" x14ac:dyDescent="0.25">
      <c r="C3590" s="300" t="s">
        <v>1065</v>
      </c>
      <c r="D3590" s="283" t="s">
        <v>1074</v>
      </c>
      <c r="E3590" s="283" t="s">
        <v>1075</v>
      </c>
      <c r="F3590" s="283" t="s">
        <v>1075</v>
      </c>
      <c r="G3590" s="283">
        <v>2</v>
      </c>
      <c r="H3590" s="283">
        <v>0</v>
      </c>
      <c r="I3590" s="283">
        <v>0</v>
      </c>
      <c r="J3590" s="284">
        <v>1</v>
      </c>
    </row>
    <row r="3591" spans="3:10" x14ac:dyDescent="0.25">
      <c r="C3591" s="300" t="s">
        <v>1066</v>
      </c>
      <c r="D3591" s="283" t="s">
        <v>1079</v>
      </c>
      <c r="E3591" s="283" t="s">
        <v>1075</v>
      </c>
      <c r="F3591" s="283" t="s">
        <v>1083</v>
      </c>
      <c r="G3591" s="283">
        <v>2</v>
      </c>
      <c r="H3591" s="283">
        <v>0</v>
      </c>
      <c r="I3591" s="283">
        <v>0</v>
      </c>
      <c r="J3591" s="284">
        <v>0</v>
      </c>
    </row>
    <row r="3592" spans="3:10" x14ac:dyDescent="0.25">
      <c r="C3592" s="300" t="s">
        <v>1067</v>
      </c>
      <c r="D3592" s="283" t="s">
        <v>1077</v>
      </c>
      <c r="E3592" s="283" t="s">
        <v>1075</v>
      </c>
      <c r="F3592" s="283" t="s">
        <v>1089</v>
      </c>
      <c r="G3592" s="283">
        <v>2</v>
      </c>
      <c r="H3592" s="283">
        <v>0</v>
      </c>
      <c r="I3592" s="283">
        <v>0</v>
      </c>
      <c r="J3592" s="284">
        <v>0</v>
      </c>
    </row>
    <row r="3593" spans="3:10" x14ac:dyDescent="0.25">
      <c r="C3593" s="300" t="s">
        <v>1065</v>
      </c>
      <c r="D3593" s="283" t="s">
        <v>1074</v>
      </c>
      <c r="E3593" s="283" t="s">
        <v>1086</v>
      </c>
      <c r="F3593" s="283" t="s">
        <v>1075</v>
      </c>
      <c r="G3593" s="283">
        <v>2</v>
      </c>
      <c r="H3593" s="283">
        <v>0</v>
      </c>
      <c r="I3593" s="283">
        <v>0</v>
      </c>
      <c r="J3593" s="284">
        <v>0</v>
      </c>
    </row>
    <row r="3594" spans="3:10" x14ac:dyDescent="0.25">
      <c r="C3594" s="300" t="s">
        <v>1062</v>
      </c>
      <c r="D3594" s="283" t="s">
        <v>1077</v>
      </c>
      <c r="E3594" s="283" t="s">
        <v>1084</v>
      </c>
      <c r="F3594" s="283" t="s">
        <v>1078</v>
      </c>
      <c r="G3594" s="283">
        <v>2</v>
      </c>
      <c r="H3594" s="283">
        <v>0</v>
      </c>
      <c r="I3594" s="283">
        <v>0</v>
      </c>
      <c r="J3594" s="284">
        <v>0</v>
      </c>
    </row>
    <row r="3595" spans="3:10" x14ac:dyDescent="0.25">
      <c r="C3595" s="300" t="s">
        <v>1066</v>
      </c>
      <c r="D3595" s="283" t="s">
        <v>1074</v>
      </c>
      <c r="E3595" s="283" t="s">
        <v>1075</v>
      </c>
      <c r="F3595" s="283" t="s">
        <v>1089</v>
      </c>
      <c r="G3595" s="283">
        <v>2</v>
      </c>
      <c r="H3595" s="283">
        <v>0</v>
      </c>
      <c r="I3595" s="283">
        <v>0</v>
      </c>
      <c r="J3595" s="284">
        <v>0</v>
      </c>
    </row>
    <row r="3596" spans="3:10" x14ac:dyDescent="0.25">
      <c r="C3596" s="300" t="s">
        <v>1062</v>
      </c>
      <c r="D3596" s="283" t="s">
        <v>1079</v>
      </c>
      <c r="E3596" s="283" t="s">
        <v>1075</v>
      </c>
      <c r="F3596" s="283" t="s">
        <v>1085</v>
      </c>
      <c r="G3596" s="283">
        <v>2</v>
      </c>
      <c r="H3596" s="283">
        <v>0</v>
      </c>
      <c r="I3596" s="283">
        <v>0</v>
      </c>
      <c r="J3596" s="284">
        <v>0</v>
      </c>
    </row>
    <row r="3597" spans="3:10" x14ac:dyDescent="0.25">
      <c r="C3597" s="300" t="s">
        <v>1063</v>
      </c>
      <c r="D3597" s="283" t="s">
        <v>1074</v>
      </c>
      <c r="E3597" s="283" t="s">
        <v>1075</v>
      </c>
      <c r="F3597" s="283" t="s">
        <v>1075</v>
      </c>
      <c r="G3597" s="283">
        <v>2</v>
      </c>
      <c r="H3597" s="283">
        <v>0</v>
      </c>
      <c r="I3597" s="283">
        <v>0</v>
      </c>
      <c r="J3597" s="284">
        <v>0</v>
      </c>
    </row>
    <row r="3598" spans="3:10" x14ac:dyDescent="0.25">
      <c r="C3598" s="300" t="s">
        <v>1061</v>
      </c>
      <c r="D3598" s="283" t="s">
        <v>1074</v>
      </c>
      <c r="E3598" s="283" t="s">
        <v>1081</v>
      </c>
      <c r="F3598" s="283" t="s">
        <v>1075</v>
      </c>
      <c r="G3598" s="283">
        <v>2</v>
      </c>
      <c r="H3598" s="283">
        <v>0</v>
      </c>
      <c r="I3598" s="283">
        <v>0</v>
      </c>
      <c r="J3598" s="284">
        <v>1</v>
      </c>
    </row>
    <row r="3599" spans="3:10" x14ac:dyDescent="0.25">
      <c r="C3599" s="300" t="s">
        <v>1067</v>
      </c>
      <c r="D3599" s="283" t="s">
        <v>1079</v>
      </c>
      <c r="E3599" s="283" t="s">
        <v>1076</v>
      </c>
      <c r="F3599" s="283" t="s">
        <v>1089</v>
      </c>
      <c r="G3599" s="283">
        <v>2</v>
      </c>
      <c r="H3599" s="283">
        <v>0</v>
      </c>
      <c r="I3599" s="283">
        <v>0</v>
      </c>
      <c r="J3599" s="284">
        <v>0</v>
      </c>
    </row>
    <row r="3600" spans="3:10" x14ac:dyDescent="0.25">
      <c r="C3600" s="300" t="s">
        <v>1065</v>
      </c>
      <c r="D3600" s="283" t="s">
        <v>1077</v>
      </c>
      <c r="E3600" s="283" t="s">
        <v>1075</v>
      </c>
      <c r="F3600" s="283" t="s">
        <v>1075</v>
      </c>
      <c r="G3600" s="283">
        <v>3</v>
      </c>
      <c r="H3600" s="283">
        <v>0</v>
      </c>
      <c r="I3600" s="283">
        <v>0</v>
      </c>
      <c r="J3600" s="284">
        <v>0</v>
      </c>
    </row>
    <row r="3601" spans="3:10" x14ac:dyDescent="0.25">
      <c r="C3601" s="300" t="s">
        <v>1064</v>
      </c>
      <c r="D3601" s="283" t="s">
        <v>1077</v>
      </c>
      <c r="E3601" s="283" t="s">
        <v>1075</v>
      </c>
      <c r="F3601" s="283" t="s">
        <v>1075</v>
      </c>
      <c r="G3601" s="283">
        <v>2</v>
      </c>
      <c r="H3601" s="283">
        <v>0</v>
      </c>
      <c r="I3601" s="283">
        <v>0</v>
      </c>
      <c r="J3601" s="284">
        <v>0</v>
      </c>
    </row>
    <row r="3602" spans="3:10" x14ac:dyDescent="0.25">
      <c r="C3602" s="300" t="s">
        <v>1065</v>
      </c>
      <c r="D3602" s="283" t="s">
        <v>1077</v>
      </c>
      <c r="E3602" s="283" t="s">
        <v>1075</v>
      </c>
      <c r="F3602" s="283" t="s">
        <v>1076</v>
      </c>
      <c r="G3602" s="283">
        <v>2</v>
      </c>
      <c r="H3602" s="283">
        <v>0</v>
      </c>
      <c r="I3602" s="283">
        <v>0</v>
      </c>
      <c r="J3602" s="284">
        <v>0</v>
      </c>
    </row>
    <row r="3603" spans="3:10" x14ac:dyDescent="0.25">
      <c r="C3603" s="300" t="s">
        <v>1066</v>
      </c>
      <c r="D3603" s="283" t="s">
        <v>1074</v>
      </c>
      <c r="E3603" s="283" t="s">
        <v>1075</v>
      </c>
      <c r="F3603" s="283" t="s">
        <v>1075</v>
      </c>
      <c r="G3603" s="283">
        <v>2</v>
      </c>
      <c r="H3603" s="283">
        <v>0</v>
      </c>
      <c r="I3603" s="283">
        <v>0</v>
      </c>
      <c r="J3603" s="284">
        <v>1</v>
      </c>
    </row>
    <row r="3604" spans="3:10" x14ac:dyDescent="0.25">
      <c r="C3604" s="300" t="s">
        <v>1065</v>
      </c>
      <c r="D3604" s="283" t="s">
        <v>1079</v>
      </c>
      <c r="E3604" s="283" t="s">
        <v>1084</v>
      </c>
      <c r="F3604" s="283" t="s">
        <v>1089</v>
      </c>
      <c r="G3604" s="283">
        <v>2</v>
      </c>
      <c r="H3604" s="283">
        <v>0</v>
      </c>
      <c r="I3604" s="283">
        <v>0</v>
      </c>
      <c r="J3604" s="284">
        <v>0</v>
      </c>
    </row>
    <row r="3605" spans="3:10" x14ac:dyDescent="0.25">
      <c r="C3605" s="300" t="s">
        <v>1065</v>
      </c>
      <c r="D3605" s="283" t="s">
        <v>1079</v>
      </c>
      <c r="E3605" s="283" t="s">
        <v>1075</v>
      </c>
      <c r="F3605" s="283" t="s">
        <v>1075</v>
      </c>
      <c r="G3605" s="283">
        <v>2</v>
      </c>
      <c r="H3605" s="283">
        <v>0</v>
      </c>
      <c r="I3605" s="283">
        <v>0</v>
      </c>
      <c r="J3605" s="284">
        <v>0</v>
      </c>
    </row>
    <row r="3606" spans="3:10" x14ac:dyDescent="0.25">
      <c r="C3606" s="300" t="s">
        <v>1068</v>
      </c>
      <c r="D3606" s="283" t="s">
        <v>1079</v>
      </c>
      <c r="E3606" s="283" t="s">
        <v>1075</v>
      </c>
      <c r="F3606" s="283" t="s">
        <v>1075</v>
      </c>
      <c r="G3606" s="283">
        <v>3</v>
      </c>
      <c r="H3606" s="283">
        <v>0</v>
      </c>
      <c r="I3606" s="283">
        <v>0</v>
      </c>
      <c r="J3606" s="284">
        <v>1</v>
      </c>
    </row>
    <row r="3607" spans="3:10" x14ac:dyDescent="0.25">
      <c r="C3607" s="300" t="s">
        <v>1065</v>
      </c>
      <c r="D3607" s="283" t="s">
        <v>1077</v>
      </c>
      <c r="E3607" s="283" t="s">
        <v>1089</v>
      </c>
      <c r="F3607" s="283" t="s">
        <v>1094</v>
      </c>
      <c r="G3607" s="283">
        <v>3</v>
      </c>
      <c r="H3607" s="283">
        <v>0</v>
      </c>
      <c r="I3607" s="283">
        <v>0</v>
      </c>
      <c r="J3607" s="284">
        <v>0</v>
      </c>
    </row>
    <row r="3608" spans="3:10" x14ac:dyDescent="0.25">
      <c r="C3608" s="300" t="s">
        <v>1062</v>
      </c>
      <c r="D3608" s="283" t="s">
        <v>1077</v>
      </c>
      <c r="E3608" s="283" t="s">
        <v>1089</v>
      </c>
      <c r="F3608" s="283" t="s">
        <v>1075</v>
      </c>
      <c r="G3608" s="283">
        <v>2</v>
      </c>
      <c r="H3608" s="283">
        <v>0</v>
      </c>
      <c r="I3608" s="283">
        <v>0</v>
      </c>
      <c r="J3608" s="284">
        <v>0</v>
      </c>
    </row>
    <row r="3609" spans="3:10" x14ac:dyDescent="0.25">
      <c r="C3609" s="300" t="s">
        <v>1062</v>
      </c>
      <c r="D3609" s="283" t="s">
        <v>1082</v>
      </c>
      <c r="E3609" s="283" t="s">
        <v>1075</v>
      </c>
      <c r="F3609" s="283" t="s">
        <v>1075</v>
      </c>
      <c r="G3609" s="283">
        <v>2</v>
      </c>
      <c r="H3609" s="283">
        <v>0</v>
      </c>
      <c r="I3609" s="283">
        <v>0</v>
      </c>
      <c r="J3609" s="284">
        <v>1</v>
      </c>
    </row>
    <row r="3610" spans="3:10" x14ac:dyDescent="0.25">
      <c r="C3610" s="300" t="s">
        <v>1061</v>
      </c>
      <c r="D3610" s="283" t="s">
        <v>1079</v>
      </c>
      <c r="E3610" s="283" t="s">
        <v>1075</v>
      </c>
      <c r="F3610" s="283" t="s">
        <v>1081</v>
      </c>
      <c r="G3610" s="283">
        <v>2</v>
      </c>
      <c r="H3610" s="283">
        <v>0</v>
      </c>
      <c r="I3610" s="283">
        <v>0</v>
      </c>
      <c r="J3610" s="284">
        <v>2</v>
      </c>
    </row>
    <row r="3611" spans="3:10" x14ac:dyDescent="0.25">
      <c r="C3611" s="300" t="s">
        <v>1060</v>
      </c>
      <c r="D3611" s="283" t="s">
        <v>1079</v>
      </c>
      <c r="E3611" s="283" t="s">
        <v>1075</v>
      </c>
      <c r="F3611" s="283" t="s">
        <v>1044</v>
      </c>
      <c r="G3611" s="283">
        <v>2</v>
      </c>
      <c r="H3611" s="283">
        <v>0</v>
      </c>
      <c r="I3611" s="283">
        <v>0</v>
      </c>
      <c r="J3611" s="284">
        <v>0</v>
      </c>
    </row>
    <row r="3612" spans="3:10" x14ac:dyDescent="0.25">
      <c r="C3612" s="300" t="s">
        <v>1066</v>
      </c>
      <c r="D3612" s="283" t="s">
        <v>1043</v>
      </c>
      <c r="E3612" s="283" t="s">
        <v>1083</v>
      </c>
      <c r="F3612" s="283" t="s">
        <v>1092</v>
      </c>
      <c r="G3612" s="283">
        <v>2</v>
      </c>
      <c r="H3612" s="283">
        <v>0</v>
      </c>
      <c r="I3612" s="283">
        <v>1</v>
      </c>
      <c r="J3612" s="284">
        <v>1</v>
      </c>
    </row>
    <row r="3613" spans="3:10" x14ac:dyDescent="0.25">
      <c r="C3613" s="300" t="s">
        <v>1066</v>
      </c>
      <c r="D3613" s="283" t="s">
        <v>1074</v>
      </c>
      <c r="E3613" s="283" t="s">
        <v>1075</v>
      </c>
      <c r="F3613" s="283" t="s">
        <v>1075</v>
      </c>
      <c r="G3613" s="283">
        <v>2</v>
      </c>
      <c r="H3613" s="283">
        <v>0</v>
      </c>
      <c r="I3613" s="283">
        <v>0</v>
      </c>
      <c r="J3613" s="284">
        <v>0</v>
      </c>
    </row>
    <row r="3614" spans="3:10" x14ac:dyDescent="0.25">
      <c r="C3614" s="300" t="s">
        <v>1062</v>
      </c>
      <c r="D3614" s="283" t="s">
        <v>1043</v>
      </c>
      <c r="E3614" s="283" t="s">
        <v>1075</v>
      </c>
      <c r="F3614" s="283" t="s">
        <v>1092</v>
      </c>
      <c r="G3614" s="283">
        <v>2</v>
      </c>
      <c r="H3614" s="283">
        <v>0</v>
      </c>
      <c r="I3614" s="283">
        <v>0</v>
      </c>
      <c r="J3614" s="284">
        <v>0</v>
      </c>
    </row>
    <row r="3615" spans="3:10" x14ac:dyDescent="0.25">
      <c r="C3615" s="300" t="s">
        <v>1062</v>
      </c>
      <c r="D3615" s="283" t="s">
        <v>1079</v>
      </c>
      <c r="E3615" s="283" t="s">
        <v>1075</v>
      </c>
      <c r="F3615" s="283" t="s">
        <v>1083</v>
      </c>
      <c r="G3615" s="283">
        <v>2</v>
      </c>
      <c r="H3615" s="283">
        <v>0</v>
      </c>
      <c r="I3615" s="283">
        <v>0</v>
      </c>
      <c r="J3615" s="284">
        <v>1</v>
      </c>
    </row>
    <row r="3616" spans="3:10" x14ac:dyDescent="0.25">
      <c r="C3616" s="300" t="s">
        <v>1066</v>
      </c>
      <c r="D3616" s="283" t="s">
        <v>1090</v>
      </c>
      <c r="E3616" s="283" t="s">
        <v>1083</v>
      </c>
      <c r="F3616" s="283" t="s">
        <v>524</v>
      </c>
      <c r="G3616" s="283">
        <v>1</v>
      </c>
      <c r="H3616" s="283">
        <v>0</v>
      </c>
      <c r="I3616" s="283">
        <v>0</v>
      </c>
      <c r="J3616" s="284">
        <v>0</v>
      </c>
    </row>
    <row r="3617" spans="3:10" x14ac:dyDescent="0.25">
      <c r="C3617" s="300" t="s">
        <v>1059</v>
      </c>
      <c r="D3617" s="283" t="s">
        <v>1077</v>
      </c>
      <c r="E3617" s="283" t="s">
        <v>1084</v>
      </c>
      <c r="F3617" s="283" t="s">
        <v>1075</v>
      </c>
      <c r="G3617" s="283">
        <v>2</v>
      </c>
      <c r="H3617" s="283">
        <v>0</v>
      </c>
      <c r="I3617" s="283">
        <v>0</v>
      </c>
      <c r="J3617" s="284">
        <v>0</v>
      </c>
    </row>
    <row r="3618" spans="3:10" x14ac:dyDescent="0.25">
      <c r="C3618" s="300" t="s">
        <v>1064</v>
      </c>
      <c r="D3618" s="283" t="s">
        <v>1079</v>
      </c>
      <c r="E3618" s="283" t="s">
        <v>1089</v>
      </c>
      <c r="F3618" s="283" t="s">
        <v>1076</v>
      </c>
      <c r="G3618" s="283">
        <v>2</v>
      </c>
      <c r="H3618" s="283">
        <v>0</v>
      </c>
      <c r="I3618" s="283">
        <v>0</v>
      </c>
      <c r="J3618" s="284">
        <v>0</v>
      </c>
    </row>
    <row r="3619" spans="3:10" x14ac:dyDescent="0.25">
      <c r="C3619" s="300" t="s">
        <v>1061</v>
      </c>
      <c r="D3619" s="283" t="s">
        <v>1077</v>
      </c>
      <c r="E3619" s="283" t="s">
        <v>1080</v>
      </c>
      <c r="F3619" s="283" t="s">
        <v>1083</v>
      </c>
      <c r="G3619" s="283">
        <v>2</v>
      </c>
      <c r="H3619" s="283">
        <v>0</v>
      </c>
      <c r="I3619" s="283">
        <v>0</v>
      </c>
      <c r="J3619" s="284">
        <v>0</v>
      </c>
    </row>
    <row r="3620" spans="3:10" x14ac:dyDescent="0.25">
      <c r="C3620" s="300" t="s">
        <v>1064</v>
      </c>
      <c r="D3620" s="283" t="s">
        <v>1043</v>
      </c>
      <c r="E3620" s="283" t="s">
        <v>1075</v>
      </c>
      <c r="F3620" s="283" t="s">
        <v>1092</v>
      </c>
      <c r="G3620" s="283">
        <v>2</v>
      </c>
      <c r="H3620" s="283">
        <v>0</v>
      </c>
      <c r="I3620" s="283">
        <v>0</v>
      </c>
      <c r="J3620" s="284">
        <v>0</v>
      </c>
    </row>
    <row r="3621" spans="3:10" x14ac:dyDescent="0.25">
      <c r="C3621" s="300" t="s">
        <v>1061</v>
      </c>
      <c r="D3621" s="283" t="s">
        <v>1079</v>
      </c>
      <c r="E3621" s="283" t="s">
        <v>1075</v>
      </c>
      <c r="F3621" s="283" t="s">
        <v>1089</v>
      </c>
      <c r="G3621" s="283">
        <v>4</v>
      </c>
      <c r="H3621" s="283">
        <v>0</v>
      </c>
      <c r="I3621" s="283">
        <v>0</v>
      </c>
      <c r="J3621" s="284">
        <v>0</v>
      </c>
    </row>
    <row r="3622" spans="3:10" x14ac:dyDescent="0.25">
      <c r="C3622" s="300" t="s">
        <v>1063</v>
      </c>
      <c r="D3622" s="283" t="s">
        <v>1074</v>
      </c>
      <c r="E3622" s="283" t="s">
        <v>1075</v>
      </c>
      <c r="F3622" s="283" t="s">
        <v>1044</v>
      </c>
      <c r="G3622" s="283">
        <v>2</v>
      </c>
      <c r="H3622" s="283">
        <v>0</v>
      </c>
      <c r="I3622" s="283">
        <v>0</v>
      </c>
      <c r="J3622" s="284">
        <v>0</v>
      </c>
    </row>
    <row r="3623" spans="3:10" x14ac:dyDescent="0.25">
      <c r="C3623" s="300" t="s">
        <v>1064</v>
      </c>
      <c r="D3623" s="283" t="s">
        <v>1077</v>
      </c>
      <c r="E3623" s="283" t="s">
        <v>1075</v>
      </c>
      <c r="F3623" s="283" t="s">
        <v>1075</v>
      </c>
      <c r="G3623" s="283">
        <v>3</v>
      </c>
      <c r="H3623" s="283">
        <v>0</v>
      </c>
      <c r="I3623" s="283">
        <v>0</v>
      </c>
      <c r="J3623" s="284">
        <v>0</v>
      </c>
    </row>
    <row r="3624" spans="3:10" x14ac:dyDescent="0.25">
      <c r="C3624" s="300" t="s">
        <v>1060</v>
      </c>
      <c r="D3624" s="283" t="s">
        <v>1074</v>
      </c>
      <c r="E3624" s="283" t="s">
        <v>1075</v>
      </c>
      <c r="F3624" s="283" t="s">
        <v>1083</v>
      </c>
      <c r="G3624" s="283">
        <v>2</v>
      </c>
      <c r="H3624" s="283">
        <v>0</v>
      </c>
      <c r="I3624" s="283">
        <v>1</v>
      </c>
      <c r="J3624" s="284">
        <v>0</v>
      </c>
    </row>
    <row r="3625" spans="3:10" x14ac:dyDescent="0.25">
      <c r="C3625" s="300" t="s">
        <v>1060</v>
      </c>
      <c r="D3625" s="283" t="s">
        <v>1074</v>
      </c>
      <c r="E3625" s="283" t="s">
        <v>1089</v>
      </c>
      <c r="F3625" s="283" t="s">
        <v>1044</v>
      </c>
      <c r="G3625" s="283">
        <v>2</v>
      </c>
      <c r="H3625" s="283">
        <v>0</v>
      </c>
      <c r="I3625" s="283">
        <v>0</v>
      </c>
      <c r="J3625" s="284">
        <v>0</v>
      </c>
    </row>
    <row r="3626" spans="3:10" x14ac:dyDescent="0.25">
      <c r="C3626" s="300" t="s">
        <v>1067</v>
      </c>
      <c r="D3626" s="283" t="s">
        <v>1074</v>
      </c>
      <c r="E3626" s="283" t="s">
        <v>1075</v>
      </c>
      <c r="F3626" s="283" t="s">
        <v>1076</v>
      </c>
      <c r="G3626" s="283">
        <v>2</v>
      </c>
      <c r="H3626" s="283">
        <v>0</v>
      </c>
      <c r="I3626" s="283">
        <v>2</v>
      </c>
      <c r="J3626" s="284">
        <v>1</v>
      </c>
    </row>
    <row r="3627" spans="3:10" x14ac:dyDescent="0.25">
      <c r="C3627" s="300" t="s">
        <v>1061</v>
      </c>
      <c r="D3627" s="283" t="s">
        <v>1074</v>
      </c>
      <c r="E3627" s="283" t="s">
        <v>1089</v>
      </c>
      <c r="F3627" s="283" t="s">
        <v>1075</v>
      </c>
      <c r="G3627" s="283">
        <v>2</v>
      </c>
      <c r="H3627" s="283">
        <v>0</v>
      </c>
      <c r="I3627" s="283">
        <v>0</v>
      </c>
      <c r="J3627" s="284">
        <v>1</v>
      </c>
    </row>
    <row r="3628" spans="3:10" x14ac:dyDescent="0.25">
      <c r="C3628" s="300" t="s">
        <v>1062</v>
      </c>
      <c r="D3628" s="283" t="s">
        <v>1074</v>
      </c>
      <c r="E3628" s="283" t="s">
        <v>1089</v>
      </c>
      <c r="F3628" s="283" t="s">
        <v>1044</v>
      </c>
      <c r="G3628" s="283">
        <v>2</v>
      </c>
      <c r="H3628" s="283">
        <v>0</v>
      </c>
      <c r="I3628" s="283">
        <v>0</v>
      </c>
      <c r="J3628" s="284">
        <v>1</v>
      </c>
    </row>
    <row r="3629" spans="3:10" x14ac:dyDescent="0.25">
      <c r="C3629" s="300" t="s">
        <v>1066</v>
      </c>
      <c r="D3629" s="283" t="s">
        <v>1079</v>
      </c>
      <c r="E3629" s="283" t="s">
        <v>1075</v>
      </c>
      <c r="F3629" s="283" t="s">
        <v>1086</v>
      </c>
      <c r="G3629" s="283">
        <v>2</v>
      </c>
      <c r="H3629" s="283">
        <v>0</v>
      </c>
      <c r="I3629" s="283">
        <v>0</v>
      </c>
      <c r="J3629" s="284">
        <v>1</v>
      </c>
    </row>
    <row r="3630" spans="3:10" x14ac:dyDescent="0.25">
      <c r="C3630" s="300" t="s">
        <v>1062</v>
      </c>
      <c r="D3630" s="283" t="s">
        <v>1074</v>
      </c>
      <c r="E3630" s="283" t="s">
        <v>1075</v>
      </c>
      <c r="F3630" s="283" t="s">
        <v>1076</v>
      </c>
      <c r="G3630" s="283">
        <v>2</v>
      </c>
      <c r="H3630" s="283">
        <v>0</v>
      </c>
      <c r="I3630" s="283">
        <v>0</v>
      </c>
      <c r="J3630" s="284">
        <v>1</v>
      </c>
    </row>
    <row r="3631" spans="3:10" x14ac:dyDescent="0.25">
      <c r="C3631" s="300" t="s">
        <v>1060</v>
      </c>
      <c r="D3631" s="283" t="s">
        <v>1082</v>
      </c>
      <c r="E3631" s="283" t="s">
        <v>1089</v>
      </c>
      <c r="F3631" s="283" t="s">
        <v>1076</v>
      </c>
      <c r="G3631" s="283">
        <v>2</v>
      </c>
      <c r="H3631" s="283">
        <v>0</v>
      </c>
      <c r="I3631" s="283">
        <v>1</v>
      </c>
      <c r="J3631" s="284">
        <v>0</v>
      </c>
    </row>
    <row r="3632" spans="3:10" x14ac:dyDescent="0.25">
      <c r="C3632" s="300" t="s">
        <v>1062</v>
      </c>
      <c r="D3632" s="283" t="s">
        <v>1079</v>
      </c>
      <c r="E3632" s="283" t="s">
        <v>1084</v>
      </c>
      <c r="F3632" s="283" t="s">
        <v>1075</v>
      </c>
      <c r="G3632" s="283">
        <v>4</v>
      </c>
      <c r="H3632" s="283">
        <v>0</v>
      </c>
      <c r="I3632" s="283">
        <v>1</v>
      </c>
      <c r="J3632" s="284">
        <v>1</v>
      </c>
    </row>
    <row r="3633" spans="3:10" x14ac:dyDescent="0.25">
      <c r="C3633" s="300" t="s">
        <v>1061</v>
      </c>
      <c r="D3633" s="283" t="s">
        <v>1043</v>
      </c>
      <c r="E3633" s="283" t="s">
        <v>1094</v>
      </c>
      <c r="F3633" s="283" t="s">
        <v>1092</v>
      </c>
      <c r="G3633" s="283">
        <v>2</v>
      </c>
      <c r="H3633" s="283">
        <v>0</v>
      </c>
      <c r="I3633" s="283">
        <v>0</v>
      </c>
      <c r="J3633" s="284">
        <v>1</v>
      </c>
    </row>
    <row r="3634" spans="3:10" x14ac:dyDescent="0.25">
      <c r="C3634" s="300" t="s">
        <v>1064</v>
      </c>
      <c r="D3634" s="283" t="s">
        <v>1077</v>
      </c>
      <c r="E3634" s="283" t="s">
        <v>1083</v>
      </c>
      <c r="F3634" s="283" t="s">
        <v>1078</v>
      </c>
      <c r="G3634" s="283">
        <v>2</v>
      </c>
      <c r="H3634" s="283">
        <v>0</v>
      </c>
      <c r="I3634" s="283">
        <v>1</v>
      </c>
      <c r="J3634" s="284">
        <v>0</v>
      </c>
    </row>
    <row r="3635" spans="3:10" x14ac:dyDescent="0.25">
      <c r="C3635" s="300" t="s">
        <v>1066</v>
      </c>
      <c r="D3635" s="283" t="s">
        <v>1074</v>
      </c>
      <c r="E3635" s="283" t="s">
        <v>1075</v>
      </c>
      <c r="F3635" s="283" t="s">
        <v>1075</v>
      </c>
      <c r="G3635" s="283">
        <v>3</v>
      </c>
      <c r="H3635" s="283">
        <v>0</v>
      </c>
      <c r="I3635" s="283">
        <v>0</v>
      </c>
      <c r="J3635" s="284">
        <v>1</v>
      </c>
    </row>
    <row r="3636" spans="3:10" x14ac:dyDescent="0.25">
      <c r="C3636" s="300" t="s">
        <v>1060</v>
      </c>
      <c r="D3636" s="283" t="s">
        <v>1079</v>
      </c>
      <c r="E3636" s="283" t="s">
        <v>1083</v>
      </c>
      <c r="F3636" s="283" t="s">
        <v>1076</v>
      </c>
      <c r="G3636" s="283">
        <v>2</v>
      </c>
      <c r="H3636" s="283">
        <v>0</v>
      </c>
      <c r="I3636" s="283">
        <v>1</v>
      </c>
      <c r="J3636" s="284">
        <v>0</v>
      </c>
    </row>
    <row r="3637" spans="3:10" x14ac:dyDescent="0.25">
      <c r="C3637" s="300" t="s">
        <v>1064</v>
      </c>
      <c r="D3637" s="283" t="s">
        <v>1082</v>
      </c>
      <c r="E3637" s="283" t="s">
        <v>1076</v>
      </c>
      <c r="F3637" s="283" t="s">
        <v>1083</v>
      </c>
      <c r="G3637" s="283">
        <v>2</v>
      </c>
      <c r="H3637" s="283">
        <v>0</v>
      </c>
      <c r="I3637" s="283">
        <v>1</v>
      </c>
      <c r="J3637" s="284">
        <v>1</v>
      </c>
    </row>
    <row r="3638" spans="3:10" x14ac:dyDescent="0.25">
      <c r="C3638" s="300" t="s">
        <v>1068</v>
      </c>
      <c r="D3638" s="283" t="s">
        <v>1079</v>
      </c>
      <c r="E3638" s="283" t="s">
        <v>1075</v>
      </c>
      <c r="F3638" s="283" t="s">
        <v>1075</v>
      </c>
      <c r="G3638" s="283">
        <v>3</v>
      </c>
      <c r="H3638" s="283">
        <v>0</v>
      </c>
      <c r="I3638" s="283">
        <v>0</v>
      </c>
      <c r="J3638" s="284">
        <v>0</v>
      </c>
    </row>
    <row r="3639" spans="3:10" x14ac:dyDescent="0.25">
      <c r="C3639" s="300" t="s">
        <v>1060</v>
      </c>
      <c r="D3639" s="283" t="s">
        <v>1077</v>
      </c>
      <c r="E3639" s="283" t="s">
        <v>1099</v>
      </c>
      <c r="F3639" s="283" t="s">
        <v>1089</v>
      </c>
      <c r="G3639" s="283">
        <v>2</v>
      </c>
      <c r="H3639" s="283">
        <v>0</v>
      </c>
      <c r="I3639" s="283">
        <v>0</v>
      </c>
      <c r="J3639" s="284">
        <v>0</v>
      </c>
    </row>
    <row r="3640" spans="3:10" x14ac:dyDescent="0.25">
      <c r="C3640" s="300" t="s">
        <v>1065</v>
      </c>
      <c r="D3640" s="283" t="s">
        <v>1074</v>
      </c>
      <c r="E3640" s="283" t="s">
        <v>1089</v>
      </c>
      <c r="F3640" s="283" t="s">
        <v>1076</v>
      </c>
      <c r="G3640" s="283">
        <v>3</v>
      </c>
      <c r="H3640" s="283">
        <v>0</v>
      </c>
      <c r="I3640" s="283">
        <v>0</v>
      </c>
      <c r="J3640" s="284">
        <v>1</v>
      </c>
    </row>
    <row r="3641" spans="3:10" x14ac:dyDescent="0.25">
      <c r="C3641" s="300" t="s">
        <v>1063</v>
      </c>
      <c r="D3641" s="283" t="s">
        <v>1087</v>
      </c>
      <c r="E3641" s="283" t="s">
        <v>1044</v>
      </c>
      <c r="F3641" s="283" t="s">
        <v>524</v>
      </c>
      <c r="G3641" s="283">
        <v>1</v>
      </c>
      <c r="H3641" s="283">
        <v>0</v>
      </c>
      <c r="I3641" s="283">
        <v>1</v>
      </c>
      <c r="J3641" s="284">
        <v>0</v>
      </c>
    </row>
    <row r="3642" spans="3:10" x14ac:dyDescent="0.25">
      <c r="C3642" s="300" t="s">
        <v>1064</v>
      </c>
      <c r="D3642" s="283" t="s">
        <v>1077</v>
      </c>
      <c r="E3642" s="283" t="s">
        <v>1089</v>
      </c>
      <c r="F3642" s="283" t="s">
        <v>1089</v>
      </c>
      <c r="G3642" s="283">
        <v>2</v>
      </c>
      <c r="H3642" s="283">
        <v>0</v>
      </c>
      <c r="I3642" s="283">
        <v>0</v>
      </c>
      <c r="J3642" s="284">
        <v>0</v>
      </c>
    </row>
    <row r="3643" spans="3:10" x14ac:dyDescent="0.25">
      <c r="C3643" s="300" t="s">
        <v>1068</v>
      </c>
      <c r="D3643" s="283" t="s">
        <v>1087</v>
      </c>
      <c r="E3643" s="283" t="s">
        <v>1089</v>
      </c>
      <c r="F3643" s="283" t="s">
        <v>524</v>
      </c>
      <c r="G3643" s="283">
        <v>1</v>
      </c>
      <c r="H3643" s="283">
        <v>0</v>
      </c>
      <c r="I3643" s="283">
        <v>0</v>
      </c>
      <c r="J3643" s="284">
        <v>0</v>
      </c>
    </row>
    <row r="3644" spans="3:10" x14ac:dyDescent="0.25">
      <c r="C3644" s="300" t="s">
        <v>1059</v>
      </c>
      <c r="D3644" s="283" t="s">
        <v>1079</v>
      </c>
      <c r="E3644" s="283" t="s">
        <v>1088</v>
      </c>
      <c r="F3644" s="283" t="s">
        <v>1075</v>
      </c>
      <c r="G3644" s="283">
        <v>2</v>
      </c>
      <c r="H3644" s="283">
        <v>0</v>
      </c>
      <c r="I3644" s="283">
        <v>0</v>
      </c>
      <c r="J3644" s="284">
        <v>0</v>
      </c>
    </row>
    <row r="3645" spans="3:10" x14ac:dyDescent="0.25">
      <c r="C3645" s="300" t="s">
        <v>1065</v>
      </c>
      <c r="D3645" s="283" t="s">
        <v>1079</v>
      </c>
      <c r="E3645" s="283" t="s">
        <v>1089</v>
      </c>
      <c r="F3645" s="283" t="s">
        <v>1075</v>
      </c>
      <c r="G3645" s="283">
        <v>2</v>
      </c>
      <c r="H3645" s="283">
        <v>0</v>
      </c>
      <c r="I3645" s="283">
        <v>0</v>
      </c>
      <c r="J3645" s="284">
        <v>0</v>
      </c>
    </row>
    <row r="3646" spans="3:10" x14ac:dyDescent="0.25">
      <c r="C3646" s="300" t="s">
        <v>1065</v>
      </c>
      <c r="D3646" s="283" t="s">
        <v>1079</v>
      </c>
      <c r="E3646" s="283" t="s">
        <v>1075</v>
      </c>
      <c r="F3646" s="283" t="s">
        <v>1089</v>
      </c>
      <c r="G3646" s="283">
        <v>2</v>
      </c>
      <c r="H3646" s="283">
        <v>0</v>
      </c>
      <c r="I3646" s="283">
        <v>0</v>
      </c>
      <c r="J3646" s="284">
        <v>0</v>
      </c>
    </row>
    <row r="3647" spans="3:10" x14ac:dyDescent="0.25">
      <c r="C3647" s="300" t="s">
        <v>1060</v>
      </c>
      <c r="D3647" s="283" t="s">
        <v>1079</v>
      </c>
      <c r="E3647" s="283" t="s">
        <v>1075</v>
      </c>
      <c r="F3647" s="283" t="s">
        <v>1076</v>
      </c>
      <c r="G3647" s="283">
        <v>2</v>
      </c>
      <c r="H3647" s="283">
        <v>0</v>
      </c>
      <c r="I3647" s="283">
        <v>0</v>
      </c>
      <c r="J3647" s="284">
        <v>0</v>
      </c>
    </row>
    <row r="3648" spans="3:10" x14ac:dyDescent="0.25">
      <c r="C3648" s="300" t="s">
        <v>1064</v>
      </c>
      <c r="D3648" s="283" t="s">
        <v>1077</v>
      </c>
      <c r="E3648" s="283" t="s">
        <v>1075</v>
      </c>
      <c r="F3648" s="283" t="s">
        <v>1075</v>
      </c>
      <c r="G3648" s="283">
        <v>2</v>
      </c>
      <c r="H3648" s="283">
        <v>0</v>
      </c>
      <c r="I3648" s="283">
        <v>0</v>
      </c>
      <c r="J3648" s="284">
        <v>0</v>
      </c>
    </row>
    <row r="3649" spans="3:10" x14ac:dyDescent="0.25">
      <c r="C3649" s="300" t="s">
        <v>1063</v>
      </c>
      <c r="D3649" s="283" t="s">
        <v>1077</v>
      </c>
      <c r="E3649" s="283" t="s">
        <v>1089</v>
      </c>
      <c r="F3649" s="283" t="s">
        <v>1075</v>
      </c>
      <c r="G3649" s="283">
        <v>2</v>
      </c>
      <c r="H3649" s="283">
        <v>0</v>
      </c>
      <c r="I3649" s="283">
        <v>0</v>
      </c>
      <c r="J3649" s="284">
        <v>0</v>
      </c>
    </row>
    <row r="3650" spans="3:10" x14ac:dyDescent="0.25">
      <c r="C3650" s="300" t="s">
        <v>1063</v>
      </c>
      <c r="D3650" s="283" t="s">
        <v>1079</v>
      </c>
      <c r="E3650" s="283" t="s">
        <v>1088</v>
      </c>
      <c r="F3650" s="283" t="s">
        <v>1075</v>
      </c>
      <c r="G3650" s="283">
        <v>2</v>
      </c>
      <c r="H3650" s="283">
        <v>0</v>
      </c>
      <c r="I3650" s="283">
        <v>0</v>
      </c>
      <c r="J3650" s="284">
        <v>0</v>
      </c>
    </row>
    <row r="3651" spans="3:10" x14ac:dyDescent="0.25">
      <c r="C3651" s="300" t="s">
        <v>1064</v>
      </c>
      <c r="D3651" s="283" t="s">
        <v>1077</v>
      </c>
      <c r="E3651" s="283" t="s">
        <v>1075</v>
      </c>
      <c r="F3651" s="283" t="s">
        <v>1075</v>
      </c>
      <c r="G3651" s="283">
        <v>2</v>
      </c>
      <c r="H3651" s="283">
        <v>0</v>
      </c>
      <c r="I3651" s="283">
        <v>0</v>
      </c>
      <c r="J3651" s="284">
        <v>0</v>
      </c>
    </row>
    <row r="3652" spans="3:10" x14ac:dyDescent="0.25">
      <c r="C3652" s="300" t="s">
        <v>1065</v>
      </c>
      <c r="D3652" s="283" t="s">
        <v>1077</v>
      </c>
      <c r="E3652" s="283" t="s">
        <v>1075</v>
      </c>
      <c r="F3652" s="283" t="s">
        <v>1075</v>
      </c>
      <c r="G3652" s="283">
        <v>4</v>
      </c>
      <c r="H3652" s="283">
        <v>0</v>
      </c>
      <c r="I3652" s="283">
        <v>0</v>
      </c>
      <c r="J3652" s="284">
        <v>0</v>
      </c>
    </row>
    <row r="3653" spans="3:10" x14ac:dyDescent="0.25">
      <c r="C3653" s="300" t="s">
        <v>1065</v>
      </c>
      <c r="D3653" s="283" t="s">
        <v>1077</v>
      </c>
      <c r="E3653" s="283" t="s">
        <v>1076</v>
      </c>
      <c r="F3653" s="283" t="s">
        <v>1075</v>
      </c>
      <c r="G3653" s="283">
        <v>2</v>
      </c>
      <c r="H3653" s="283">
        <v>0</v>
      </c>
      <c r="I3653" s="283">
        <v>0</v>
      </c>
      <c r="J3653" s="284">
        <v>0</v>
      </c>
    </row>
    <row r="3654" spans="3:10" x14ac:dyDescent="0.25">
      <c r="C3654" s="300" t="s">
        <v>1061</v>
      </c>
      <c r="D3654" s="283" t="s">
        <v>1077</v>
      </c>
      <c r="E3654" s="283" t="s">
        <v>1078</v>
      </c>
      <c r="F3654" s="283" t="s">
        <v>1089</v>
      </c>
      <c r="G3654" s="283">
        <v>2</v>
      </c>
      <c r="H3654" s="283">
        <v>0</v>
      </c>
      <c r="I3654" s="283">
        <v>0</v>
      </c>
      <c r="J3654" s="284">
        <v>0</v>
      </c>
    </row>
    <row r="3655" spans="3:10" x14ac:dyDescent="0.25">
      <c r="C3655" s="300" t="s">
        <v>1065</v>
      </c>
      <c r="D3655" s="283" t="s">
        <v>1079</v>
      </c>
      <c r="E3655" s="283" t="s">
        <v>1075</v>
      </c>
      <c r="F3655" s="283" t="s">
        <v>1075</v>
      </c>
      <c r="G3655" s="283">
        <v>2</v>
      </c>
      <c r="H3655" s="283">
        <v>0</v>
      </c>
      <c r="I3655" s="283">
        <v>1</v>
      </c>
      <c r="J3655" s="284">
        <v>0</v>
      </c>
    </row>
    <row r="3656" spans="3:10" x14ac:dyDescent="0.25">
      <c r="C3656" s="300" t="s">
        <v>1062</v>
      </c>
      <c r="D3656" s="283" t="s">
        <v>1079</v>
      </c>
      <c r="E3656" s="283" t="s">
        <v>1084</v>
      </c>
      <c r="F3656" s="283" t="s">
        <v>1075</v>
      </c>
      <c r="G3656" s="283">
        <v>2</v>
      </c>
      <c r="H3656" s="283">
        <v>0</v>
      </c>
      <c r="I3656" s="283">
        <v>0</v>
      </c>
      <c r="J3656" s="284">
        <v>0</v>
      </c>
    </row>
    <row r="3657" spans="3:10" x14ac:dyDescent="0.25">
      <c r="C3657" s="300" t="s">
        <v>1066</v>
      </c>
      <c r="D3657" s="283" t="s">
        <v>1087</v>
      </c>
      <c r="E3657" s="283" t="s">
        <v>1075</v>
      </c>
      <c r="F3657" s="283" t="s">
        <v>524</v>
      </c>
      <c r="G3657" s="283">
        <v>1</v>
      </c>
      <c r="H3657" s="283">
        <v>0</v>
      </c>
      <c r="I3657" s="283">
        <v>0</v>
      </c>
      <c r="J3657" s="284">
        <v>0</v>
      </c>
    </row>
    <row r="3658" spans="3:10" x14ac:dyDescent="0.25">
      <c r="C3658" s="300" t="s">
        <v>1067</v>
      </c>
      <c r="D3658" s="283" t="s">
        <v>1043</v>
      </c>
      <c r="E3658" s="283" t="s">
        <v>1075</v>
      </c>
      <c r="F3658" s="283" t="s">
        <v>1092</v>
      </c>
      <c r="G3658" s="283">
        <v>3</v>
      </c>
      <c r="H3658" s="283">
        <v>0</v>
      </c>
      <c r="I3658" s="283">
        <v>1</v>
      </c>
      <c r="J3658" s="284">
        <v>1</v>
      </c>
    </row>
    <row r="3659" spans="3:10" x14ac:dyDescent="0.25">
      <c r="C3659" s="300" t="s">
        <v>1059</v>
      </c>
      <c r="D3659" s="283" t="s">
        <v>1079</v>
      </c>
      <c r="E3659" s="283" t="s">
        <v>1076</v>
      </c>
      <c r="F3659" s="283" t="s">
        <v>1075</v>
      </c>
      <c r="G3659" s="283">
        <v>2</v>
      </c>
      <c r="H3659" s="283">
        <v>0</v>
      </c>
      <c r="I3659" s="283">
        <v>1</v>
      </c>
      <c r="J3659" s="284">
        <v>0</v>
      </c>
    </row>
    <row r="3660" spans="3:10" x14ac:dyDescent="0.25">
      <c r="C3660" s="300" t="s">
        <v>1061</v>
      </c>
      <c r="D3660" s="283" t="s">
        <v>1077</v>
      </c>
      <c r="E3660" s="283" t="s">
        <v>1080</v>
      </c>
      <c r="F3660" s="283" t="s">
        <v>1075</v>
      </c>
      <c r="G3660" s="283">
        <v>2</v>
      </c>
      <c r="H3660" s="283">
        <v>0</v>
      </c>
      <c r="I3660" s="283">
        <v>0</v>
      </c>
      <c r="J3660" s="284">
        <v>1</v>
      </c>
    </row>
    <row r="3661" spans="3:10" x14ac:dyDescent="0.25">
      <c r="C3661" s="300" t="s">
        <v>1064</v>
      </c>
      <c r="D3661" s="283" t="s">
        <v>1087</v>
      </c>
      <c r="E3661" s="283" t="s">
        <v>1094</v>
      </c>
      <c r="F3661" s="283" t="s">
        <v>524</v>
      </c>
      <c r="G3661" s="283">
        <v>1</v>
      </c>
      <c r="H3661" s="283">
        <v>0</v>
      </c>
      <c r="I3661" s="283">
        <v>1</v>
      </c>
      <c r="J3661" s="284">
        <v>0</v>
      </c>
    </row>
    <row r="3662" spans="3:10" x14ac:dyDescent="0.25">
      <c r="C3662" s="300" t="s">
        <v>1068</v>
      </c>
      <c r="D3662" s="283" t="s">
        <v>1074</v>
      </c>
      <c r="E3662" s="283" t="s">
        <v>1089</v>
      </c>
      <c r="F3662" s="283" t="s">
        <v>1075</v>
      </c>
      <c r="G3662" s="283">
        <v>2</v>
      </c>
      <c r="H3662" s="283">
        <v>0</v>
      </c>
      <c r="I3662" s="283">
        <v>0</v>
      </c>
      <c r="J3662" s="284">
        <v>1</v>
      </c>
    </row>
    <row r="3663" spans="3:10" x14ac:dyDescent="0.25">
      <c r="C3663" s="300" t="s">
        <v>1066</v>
      </c>
      <c r="D3663" s="283" t="s">
        <v>1082</v>
      </c>
      <c r="E3663" s="283" t="s">
        <v>1075</v>
      </c>
      <c r="F3663" s="283" t="s">
        <v>1089</v>
      </c>
      <c r="G3663" s="283">
        <v>3</v>
      </c>
      <c r="H3663" s="283">
        <v>0</v>
      </c>
      <c r="I3663" s="283">
        <v>0</v>
      </c>
      <c r="J3663" s="284">
        <v>1</v>
      </c>
    </row>
    <row r="3664" spans="3:10" x14ac:dyDescent="0.25">
      <c r="C3664" s="300" t="s">
        <v>1065</v>
      </c>
      <c r="D3664" s="283" t="s">
        <v>1079</v>
      </c>
      <c r="E3664" s="283" t="s">
        <v>1089</v>
      </c>
      <c r="F3664" s="283" t="s">
        <v>1089</v>
      </c>
      <c r="G3664" s="283">
        <v>2</v>
      </c>
      <c r="H3664" s="283">
        <v>0</v>
      </c>
      <c r="I3664" s="283">
        <v>0</v>
      </c>
      <c r="J3664" s="284">
        <v>1</v>
      </c>
    </row>
    <row r="3665" spans="3:10" x14ac:dyDescent="0.25">
      <c r="C3665" s="300" t="s">
        <v>1066</v>
      </c>
      <c r="D3665" s="283" t="s">
        <v>1079</v>
      </c>
      <c r="E3665" s="283" t="s">
        <v>1089</v>
      </c>
      <c r="F3665" s="283" t="s">
        <v>1089</v>
      </c>
      <c r="G3665" s="283">
        <v>2</v>
      </c>
      <c r="H3665" s="283">
        <v>0</v>
      </c>
      <c r="I3665" s="283">
        <v>0</v>
      </c>
      <c r="J3665" s="284">
        <v>0</v>
      </c>
    </row>
    <row r="3666" spans="3:10" x14ac:dyDescent="0.25">
      <c r="C3666" s="300" t="s">
        <v>1068</v>
      </c>
      <c r="D3666" s="283" t="s">
        <v>1087</v>
      </c>
      <c r="E3666" s="283" t="s">
        <v>1075</v>
      </c>
      <c r="F3666" s="283" t="s">
        <v>524</v>
      </c>
      <c r="G3666" s="283">
        <v>1</v>
      </c>
      <c r="H3666" s="283">
        <v>0</v>
      </c>
      <c r="I3666" s="283">
        <v>0</v>
      </c>
      <c r="J3666" s="284">
        <v>0</v>
      </c>
    </row>
    <row r="3667" spans="3:10" x14ac:dyDescent="0.25">
      <c r="C3667" s="300" t="s">
        <v>1062</v>
      </c>
      <c r="D3667" s="283" t="s">
        <v>1079</v>
      </c>
      <c r="E3667" s="283" t="s">
        <v>1075</v>
      </c>
      <c r="F3667" s="283" t="s">
        <v>1083</v>
      </c>
      <c r="G3667" s="283">
        <v>2</v>
      </c>
      <c r="H3667" s="283">
        <v>0</v>
      </c>
      <c r="I3667" s="283">
        <v>0</v>
      </c>
      <c r="J3667" s="284">
        <v>0</v>
      </c>
    </row>
    <row r="3668" spans="3:10" x14ac:dyDescent="0.25">
      <c r="C3668" s="300" t="s">
        <v>1067</v>
      </c>
      <c r="D3668" s="283" t="s">
        <v>1079</v>
      </c>
      <c r="E3668" s="283" t="s">
        <v>1075</v>
      </c>
      <c r="F3668" s="283" t="s">
        <v>1075</v>
      </c>
      <c r="G3668" s="283">
        <v>4</v>
      </c>
      <c r="H3668" s="283">
        <v>0</v>
      </c>
      <c r="I3668" s="283">
        <v>0</v>
      </c>
      <c r="J3668" s="284">
        <v>0</v>
      </c>
    </row>
    <row r="3669" spans="3:10" x14ac:dyDescent="0.25">
      <c r="C3669" s="300" t="s">
        <v>1065</v>
      </c>
      <c r="D3669" s="283" t="s">
        <v>1090</v>
      </c>
      <c r="E3669" s="283" t="s">
        <v>1083</v>
      </c>
      <c r="F3669" s="283" t="s">
        <v>524</v>
      </c>
      <c r="G3669" s="283">
        <v>1</v>
      </c>
      <c r="H3669" s="283">
        <v>0</v>
      </c>
      <c r="I3669" s="283">
        <v>1</v>
      </c>
      <c r="J3669" s="284">
        <v>0</v>
      </c>
    </row>
    <row r="3670" spans="3:10" x14ac:dyDescent="0.25">
      <c r="C3670" s="300" t="s">
        <v>1068</v>
      </c>
      <c r="D3670" s="283" t="s">
        <v>1043</v>
      </c>
      <c r="E3670" s="283" t="s">
        <v>1075</v>
      </c>
      <c r="F3670" s="283" t="s">
        <v>1092</v>
      </c>
      <c r="G3670" s="283">
        <v>2</v>
      </c>
      <c r="H3670" s="283">
        <v>0</v>
      </c>
      <c r="I3670" s="283">
        <v>0</v>
      </c>
      <c r="J3670" s="284">
        <v>0</v>
      </c>
    </row>
    <row r="3671" spans="3:10" x14ac:dyDescent="0.25">
      <c r="C3671" s="300" t="s">
        <v>1066</v>
      </c>
      <c r="D3671" s="283" t="s">
        <v>1077</v>
      </c>
      <c r="E3671" s="283" t="s">
        <v>1075</v>
      </c>
      <c r="F3671" s="283" t="s">
        <v>1075</v>
      </c>
      <c r="G3671" s="283">
        <v>2</v>
      </c>
      <c r="H3671" s="283">
        <v>0</v>
      </c>
      <c r="I3671" s="283">
        <v>0</v>
      </c>
      <c r="J3671" s="284">
        <v>0</v>
      </c>
    </row>
    <row r="3672" spans="3:10" x14ac:dyDescent="0.25">
      <c r="C3672" s="300" t="s">
        <v>1065</v>
      </c>
      <c r="D3672" s="283" t="s">
        <v>1077</v>
      </c>
      <c r="E3672" s="283" t="s">
        <v>1078</v>
      </c>
      <c r="F3672" s="283" t="s">
        <v>1075</v>
      </c>
      <c r="G3672" s="283">
        <v>2</v>
      </c>
      <c r="H3672" s="283">
        <v>0</v>
      </c>
      <c r="I3672" s="283">
        <v>0</v>
      </c>
      <c r="J3672" s="284">
        <v>0</v>
      </c>
    </row>
    <row r="3673" spans="3:10" x14ac:dyDescent="0.25">
      <c r="C3673" s="300" t="s">
        <v>1061</v>
      </c>
      <c r="D3673" s="283" t="s">
        <v>1077</v>
      </c>
      <c r="E3673" s="283" t="s">
        <v>1089</v>
      </c>
      <c r="F3673" s="283" t="s">
        <v>1089</v>
      </c>
      <c r="G3673" s="283">
        <v>2</v>
      </c>
      <c r="H3673" s="283">
        <v>0</v>
      </c>
      <c r="I3673" s="283">
        <v>0</v>
      </c>
      <c r="J3673" s="284">
        <v>0</v>
      </c>
    </row>
    <row r="3674" spans="3:10" x14ac:dyDescent="0.25">
      <c r="C3674" s="300" t="s">
        <v>1065</v>
      </c>
      <c r="D3674" s="283" t="s">
        <v>1077</v>
      </c>
      <c r="E3674" s="283" t="s">
        <v>1075</v>
      </c>
      <c r="F3674" s="283" t="s">
        <v>1075</v>
      </c>
      <c r="G3674" s="283">
        <v>4</v>
      </c>
      <c r="H3674" s="283">
        <v>0</v>
      </c>
      <c r="I3674" s="283">
        <v>0</v>
      </c>
      <c r="J3674" s="284">
        <v>0</v>
      </c>
    </row>
    <row r="3675" spans="3:10" x14ac:dyDescent="0.25">
      <c r="C3675" s="300" t="s">
        <v>1067</v>
      </c>
      <c r="D3675" s="283" t="s">
        <v>1079</v>
      </c>
      <c r="E3675" s="283" t="s">
        <v>1075</v>
      </c>
      <c r="F3675" s="283" t="s">
        <v>1075</v>
      </c>
      <c r="G3675" s="283">
        <v>2</v>
      </c>
      <c r="H3675" s="283">
        <v>0</v>
      </c>
      <c r="I3675" s="283">
        <v>0</v>
      </c>
      <c r="J3675" s="284">
        <v>0</v>
      </c>
    </row>
    <row r="3676" spans="3:10" x14ac:dyDescent="0.25">
      <c r="C3676" s="300" t="s">
        <v>1066</v>
      </c>
      <c r="D3676" s="283" t="s">
        <v>1074</v>
      </c>
      <c r="E3676" s="283" t="s">
        <v>1084</v>
      </c>
      <c r="F3676" s="283" t="s">
        <v>1075</v>
      </c>
      <c r="G3676" s="283">
        <v>2</v>
      </c>
      <c r="H3676" s="283">
        <v>0</v>
      </c>
      <c r="I3676" s="283">
        <v>0</v>
      </c>
      <c r="J3676" s="284">
        <v>0</v>
      </c>
    </row>
    <row r="3677" spans="3:10" x14ac:dyDescent="0.25">
      <c r="C3677" s="300" t="s">
        <v>1064</v>
      </c>
      <c r="D3677" s="283" t="s">
        <v>1077</v>
      </c>
      <c r="E3677" s="283" t="s">
        <v>1089</v>
      </c>
      <c r="F3677" s="283" t="s">
        <v>1075</v>
      </c>
      <c r="G3677" s="283">
        <v>2</v>
      </c>
      <c r="H3677" s="283">
        <v>0</v>
      </c>
      <c r="I3677" s="283">
        <v>0</v>
      </c>
      <c r="J3677" s="284">
        <v>0</v>
      </c>
    </row>
    <row r="3678" spans="3:10" x14ac:dyDescent="0.25">
      <c r="C3678" s="300" t="s">
        <v>1063</v>
      </c>
      <c r="D3678" s="283" t="s">
        <v>1074</v>
      </c>
      <c r="E3678" s="283" t="s">
        <v>1080</v>
      </c>
      <c r="F3678" s="283" t="s">
        <v>1089</v>
      </c>
      <c r="G3678" s="283">
        <v>2</v>
      </c>
      <c r="H3678" s="283">
        <v>0</v>
      </c>
      <c r="I3678" s="283">
        <v>0</v>
      </c>
      <c r="J3678" s="284">
        <v>0</v>
      </c>
    </row>
    <row r="3679" spans="3:10" x14ac:dyDescent="0.25">
      <c r="C3679" s="300" t="s">
        <v>1060</v>
      </c>
      <c r="D3679" s="283" t="s">
        <v>1077</v>
      </c>
      <c r="E3679" s="283" t="s">
        <v>1075</v>
      </c>
      <c r="F3679" s="283" t="s">
        <v>1075</v>
      </c>
      <c r="G3679" s="283">
        <v>2</v>
      </c>
      <c r="H3679" s="283">
        <v>0</v>
      </c>
      <c r="I3679" s="283">
        <v>0</v>
      </c>
      <c r="J3679" s="284">
        <v>0</v>
      </c>
    </row>
    <row r="3680" spans="3:10" x14ac:dyDescent="0.25">
      <c r="C3680" s="300" t="s">
        <v>1064</v>
      </c>
      <c r="D3680" s="283" t="s">
        <v>1074</v>
      </c>
      <c r="E3680" s="283" t="s">
        <v>1089</v>
      </c>
      <c r="F3680" s="283" t="s">
        <v>1075</v>
      </c>
      <c r="G3680" s="283">
        <v>2</v>
      </c>
      <c r="H3680" s="283">
        <v>0</v>
      </c>
      <c r="I3680" s="283">
        <v>0</v>
      </c>
      <c r="J3680" s="284">
        <v>0</v>
      </c>
    </row>
    <row r="3681" spans="3:10" x14ac:dyDescent="0.25">
      <c r="C3681" s="300" t="s">
        <v>1067</v>
      </c>
      <c r="D3681" s="283" t="s">
        <v>1077</v>
      </c>
      <c r="E3681" s="283" t="s">
        <v>1075</v>
      </c>
      <c r="F3681" s="283" t="s">
        <v>1075</v>
      </c>
      <c r="G3681" s="283">
        <v>2</v>
      </c>
      <c r="H3681" s="283">
        <v>0</v>
      </c>
      <c r="I3681" s="283">
        <v>0</v>
      </c>
      <c r="J3681" s="284">
        <v>0</v>
      </c>
    </row>
    <row r="3682" spans="3:10" x14ac:dyDescent="0.25">
      <c r="C3682" s="300" t="s">
        <v>1061</v>
      </c>
      <c r="D3682" s="283" t="s">
        <v>1077</v>
      </c>
      <c r="E3682" s="283" t="s">
        <v>1075</v>
      </c>
      <c r="F3682" s="283" t="s">
        <v>1084</v>
      </c>
      <c r="G3682" s="283">
        <v>2</v>
      </c>
      <c r="H3682" s="283">
        <v>0</v>
      </c>
      <c r="I3682" s="283">
        <v>0</v>
      </c>
      <c r="J3682" s="284">
        <v>0</v>
      </c>
    </row>
    <row r="3683" spans="3:10" x14ac:dyDescent="0.25">
      <c r="C3683" s="300" t="s">
        <v>1065</v>
      </c>
      <c r="D3683" s="283" t="s">
        <v>1077</v>
      </c>
      <c r="E3683" s="283" t="s">
        <v>1089</v>
      </c>
      <c r="F3683" s="283" t="s">
        <v>1075</v>
      </c>
      <c r="G3683" s="283">
        <v>3</v>
      </c>
      <c r="H3683" s="283">
        <v>0</v>
      </c>
      <c r="I3683" s="283">
        <v>0</v>
      </c>
      <c r="J3683" s="284">
        <v>0</v>
      </c>
    </row>
    <row r="3684" spans="3:10" x14ac:dyDescent="0.25">
      <c r="C3684" s="300" t="s">
        <v>1065</v>
      </c>
      <c r="D3684" s="283" t="s">
        <v>1077</v>
      </c>
      <c r="E3684" s="283" t="s">
        <v>1076</v>
      </c>
      <c r="F3684" s="283" t="s">
        <v>1078</v>
      </c>
      <c r="G3684" s="283">
        <v>4</v>
      </c>
      <c r="H3684" s="283">
        <v>0</v>
      </c>
      <c r="I3684" s="283">
        <v>0</v>
      </c>
      <c r="J3684" s="284">
        <v>0</v>
      </c>
    </row>
    <row r="3685" spans="3:10" x14ac:dyDescent="0.25">
      <c r="C3685" s="300" t="s">
        <v>1065</v>
      </c>
      <c r="D3685" s="283" t="s">
        <v>1077</v>
      </c>
      <c r="E3685" s="283" t="s">
        <v>1075</v>
      </c>
      <c r="F3685" s="283" t="s">
        <v>1076</v>
      </c>
      <c r="G3685" s="283">
        <v>3</v>
      </c>
      <c r="H3685" s="283">
        <v>0</v>
      </c>
      <c r="I3685" s="283">
        <v>0</v>
      </c>
      <c r="J3685" s="284">
        <v>0</v>
      </c>
    </row>
    <row r="3686" spans="3:10" x14ac:dyDescent="0.25">
      <c r="C3686" s="300" t="s">
        <v>1062</v>
      </c>
      <c r="D3686" s="283" t="s">
        <v>1082</v>
      </c>
      <c r="E3686" s="283" t="s">
        <v>1075</v>
      </c>
      <c r="F3686" s="283" t="s">
        <v>1075</v>
      </c>
      <c r="G3686" s="283">
        <v>2</v>
      </c>
      <c r="H3686" s="283">
        <v>0</v>
      </c>
      <c r="I3686" s="283">
        <v>0</v>
      </c>
      <c r="J3686" s="284">
        <v>0</v>
      </c>
    </row>
    <row r="3687" spans="3:10" x14ac:dyDescent="0.25">
      <c r="C3687" s="300" t="s">
        <v>1059</v>
      </c>
      <c r="D3687" s="283" t="s">
        <v>1079</v>
      </c>
      <c r="E3687" s="283" t="s">
        <v>1075</v>
      </c>
      <c r="F3687" s="283" t="s">
        <v>1076</v>
      </c>
      <c r="G3687" s="283">
        <v>2</v>
      </c>
      <c r="H3687" s="283">
        <v>0</v>
      </c>
      <c r="I3687" s="283">
        <v>0</v>
      </c>
      <c r="J3687" s="284">
        <v>0</v>
      </c>
    </row>
    <row r="3688" spans="3:10" x14ac:dyDescent="0.25">
      <c r="C3688" s="300" t="s">
        <v>1058</v>
      </c>
      <c r="D3688" s="283" t="s">
        <v>1087</v>
      </c>
      <c r="E3688" s="283" t="s">
        <v>1089</v>
      </c>
      <c r="F3688" s="283" t="s">
        <v>524</v>
      </c>
      <c r="G3688" s="283">
        <v>1</v>
      </c>
      <c r="H3688" s="283">
        <v>0</v>
      </c>
      <c r="I3688" s="283">
        <v>0</v>
      </c>
      <c r="J3688" s="284">
        <v>0</v>
      </c>
    </row>
    <row r="3689" spans="3:10" x14ac:dyDescent="0.25">
      <c r="C3689" s="300" t="s">
        <v>1059</v>
      </c>
      <c r="D3689" s="283" t="s">
        <v>1079</v>
      </c>
      <c r="E3689" s="283" t="s">
        <v>1076</v>
      </c>
      <c r="F3689" s="283" t="s">
        <v>1084</v>
      </c>
      <c r="G3689" s="283">
        <v>2</v>
      </c>
      <c r="H3689" s="283">
        <v>0</v>
      </c>
      <c r="I3689" s="283">
        <v>1</v>
      </c>
      <c r="J3689" s="284">
        <v>0</v>
      </c>
    </row>
    <row r="3690" spans="3:10" x14ac:dyDescent="0.25">
      <c r="C3690" s="300" t="s">
        <v>1064</v>
      </c>
      <c r="D3690" s="283" t="s">
        <v>1043</v>
      </c>
      <c r="E3690" s="283" t="s">
        <v>1075</v>
      </c>
      <c r="F3690" s="283" t="s">
        <v>1092</v>
      </c>
      <c r="G3690" s="283">
        <v>3</v>
      </c>
      <c r="H3690" s="283">
        <v>0</v>
      </c>
      <c r="I3690" s="283">
        <v>0</v>
      </c>
      <c r="J3690" s="284">
        <v>1</v>
      </c>
    </row>
    <row r="3691" spans="3:10" x14ac:dyDescent="0.25">
      <c r="C3691" s="300" t="s">
        <v>1066</v>
      </c>
      <c r="D3691" s="283" t="s">
        <v>1074</v>
      </c>
      <c r="E3691" s="283" t="s">
        <v>1083</v>
      </c>
      <c r="F3691" s="283" t="s">
        <v>1075</v>
      </c>
      <c r="G3691" s="283">
        <v>2</v>
      </c>
      <c r="H3691" s="283">
        <v>0</v>
      </c>
      <c r="I3691" s="283">
        <v>0</v>
      </c>
      <c r="J3691" s="284">
        <v>0</v>
      </c>
    </row>
    <row r="3692" spans="3:10" x14ac:dyDescent="0.25">
      <c r="C3692" s="300" t="s">
        <v>1061</v>
      </c>
      <c r="D3692" s="283" t="s">
        <v>1074</v>
      </c>
      <c r="E3692" s="283" t="s">
        <v>1044</v>
      </c>
      <c r="F3692" s="283" t="s">
        <v>1075</v>
      </c>
      <c r="G3692" s="283">
        <v>2</v>
      </c>
      <c r="H3692" s="283">
        <v>0</v>
      </c>
      <c r="I3692" s="283">
        <v>0</v>
      </c>
      <c r="J3692" s="284">
        <v>0</v>
      </c>
    </row>
    <row r="3693" spans="3:10" x14ac:dyDescent="0.25">
      <c r="C3693" s="300" t="s">
        <v>1064</v>
      </c>
      <c r="D3693" s="283" t="s">
        <v>1043</v>
      </c>
      <c r="E3693" s="283" t="s">
        <v>1089</v>
      </c>
      <c r="F3693" s="283" t="s">
        <v>1092</v>
      </c>
      <c r="G3693" s="283">
        <v>2</v>
      </c>
      <c r="H3693" s="283">
        <v>0</v>
      </c>
      <c r="I3693" s="283">
        <v>0</v>
      </c>
      <c r="J3693" s="284">
        <v>0</v>
      </c>
    </row>
    <row r="3694" spans="3:10" x14ac:dyDescent="0.25">
      <c r="C3694" s="300" t="s">
        <v>1061</v>
      </c>
      <c r="D3694" s="283" t="s">
        <v>1077</v>
      </c>
      <c r="E3694" s="283" t="s">
        <v>1080</v>
      </c>
      <c r="F3694" s="283" t="s">
        <v>1075</v>
      </c>
      <c r="G3694" s="283">
        <v>2</v>
      </c>
      <c r="H3694" s="283">
        <v>0</v>
      </c>
      <c r="I3694" s="283">
        <v>0</v>
      </c>
      <c r="J3694" s="284">
        <v>1</v>
      </c>
    </row>
    <row r="3695" spans="3:10" x14ac:dyDescent="0.25">
      <c r="C3695" s="300" t="s">
        <v>1067</v>
      </c>
      <c r="D3695" s="283" t="s">
        <v>1077</v>
      </c>
      <c r="E3695" s="283" t="s">
        <v>1076</v>
      </c>
      <c r="F3695" s="283" t="s">
        <v>1075</v>
      </c>
      <c r="G3695" s="283">
        <v>2</v>
      </c>
      <c r="H3695" s="283">
        <v>0</v>
      </c>
      <c r="I3695" s="283">
        <v>0</v>
      </c>
      <c r="J3695" s="284">
        <v>0</v>
      </c>
    </row>
    <row r="3696" spans="3:10" x14ac:dyDescent="0.25">
      <c r="C3696" s="300" t="s">
        <v>1067</v>
      </c>
      <c r="D3696" s="283" t="s">
        <v>1079</v>
      </c>
      <c r="E3696" s="283" t="s">
        <v>1089</v>
      </c>
      <c r="F3696" s="283" t="s">
        <v>1094</v>
      </c>
      <c r="G3696" s="283">
        <v>2</v>
      </c>
      <c r="H3696" s="283">
        <v>0</v>
      </c>
      <c r="I3696" s="283">
        <v>1</v>
      </c>
      <c r="J3696" s="284">
        <v>0</v>
      </c>
    </row>
    <row r="3697" spans="3:10" x14ac:dyDescent="0.25">
      <c r="C3697" s="300" t="s">
        <v>1066</v>
      </c>
      <c r="D3697" s="283" t="s">
        <v>1077</v>
      </c>
      <c r="E3697" s="283" t="s">
        <v>1078</v>
      </c>
      <c r="F3697" s="283" t="s">
        <v>1075</v>
      </c>
      <c r="G3697" s="283">
        <v>2</v>
      </c>
      <c r="H3697" s="283">
        <v>0</v>
      </c>
      <c r="I3697" s="283">
        <v>0</v>
      </c>
      <c r="J3697" s="284">
        <v>0</v>
      </c>
    </row>
    <row r="3698" spans="3:10" x14ac:dyDescent="0.25">
      <c r="C3698" s="300" t="s">
        <v>1060</v>
      </c>
      <c r="D3698" s="283" t="s">
        <v>1079</v>
      </c>
      <c r="E3698" s="283" t="s">
        <v>1085</v>
      </c>
      <c r="F3698" s="283" t="s">
        <v>1078</v>
      </c>
      <c r="G3698" s="283">
        <v>2</v>
      </c>
      <c r="H3698" s="283">
        <v>0</v>
      </c>
      <c r="I3698" s="283">
        <v>0</v>
      </c>
      <c r="J3698" s="284">
        <v>0</v>
      </c>
    </row>
    <row r="3699" spans="3:10" x14ac:dyDescent="0.25">
      <c r="C3699" s="300" t="s">
        <v>1066</v>
      </c>
      <c r="D3699" s="283" t="s">
        <v>1087</v>
      </c>
      <c r="E3699" s="283" t="s">
        <v>1075</v>
      </c>
      <c r="F3699" s="283" t="s">
        <v>524</v>
      </c>
      <c r="G3699" s="283">
        <v>1</v>
      </c>
      <c r="H3699" s="283">
        <v>0</v>
      </c>
      <c r="I3699" s="283">
        <v>0</v>
      </c>
      <c r="J3699" s="284">
        <v>1</v>
      </c>
    </row>
    <row r="3700" spans="3:10" x14ac:dyDescent="0.25">
      <c r="C3700" s="300" t="s">
        <v>1063</v>
      </c>
      <c r="D3700" s="283" t="s">
        <v>1090</v>
      </c>
      <c r="E3700" s="283" t="s">
        <v>1093</v>
      </c>
      <c r="F3700" s="283" t="s">
        <v>524</v>
      </c>
      <c r="G3700" s="283">
        <v>3</v>
      </c>
      <c r="H3700" s="283">
        <v>0</v>
      </c>
      <c r="I3700" s="283">
        <v>0</v>
      </c>
      <c r="J3700" s="284">
        <v>1</v>
      </c>
    </row>
    <row r="3701" spans="3:10" x14ac:dyDescent="0.25">
      <c r="C3701" s="300" t="s">
        <v>1059</v>
      </c>
      <c r="D3701" s="283" t="s">
        <v>1074</v>
      </c>
      <c r="E3701" s="283" t="s">
        <v>1089</v>
      </c>
      <c r="F3701" s="283" t="s">
        <v>1075</v>
      </c>
      <c r="G3701" s="283">
        <v>2</v>
      </c>
      <c r="H3701" s="283">
        <v>0</v>
      </c>
      <c r="I3701" s="283">
        <v>0</v>
      </c>
      <c r="J3701" s="284">
        <v>0</v>
      </c>
    </row>
    <row r="3702" spans="3:10" x14ac:dyDescent="0.25">
      <c r="C3702" s="300" t="s">
        <v>1065</v>
      </c>
      <c r="D3702" s="283" t="s">
        <v>1074</v>
      </c>
      <c r="E3702" s="283" t="s">
        <v>1089</v>
      </c>
      <c r="F3702" s="283" t="s">
        <v>1044</v>
      </c>
      <c r="G3702" s="283">
        <v>2</v>
      </c>
      <c r="H3702" s="283">
        <v>0</v>
      </c>
      <c r="I3702" s="283">
        <v>0</v>
      </c>
      <c r="J3702" s="284">
        <v>0</v>
      </c>
    </row>
    <row r="3703" spans="3:10" x14ac:dyDescent="0.25">
      <c r="C3703" s="300" t="s">
        <v>1063</v>
      </c>
      <c r="D3703" s="283" t="s">
        <v>1090</v>
      </c>
      <c r="E3703" s="283" t="s">
        <v>1083</v>
      </c>
      <c r="F3703" s="283" t="s">
        <v>524</v>
      </c>
      <c r="G3703" s="283">
        <v>1</v>
      </c>
      <c r="H3703" s="283">
        <v>0</v>
      </c>
      <c r="I3703" s="283">
        <v>0</v>
      </c>
      <c r="J3703" s="284">
        <v>0</v>
      </c>
    </row>
    <row r="3704" spans="3:10" x14ac:dyDescent="0.25">
      <c r="C3704" s="300" t="s">
        <v>1065</v>
      </c>
      <c r="D3704" s="283" t="s">
        <v>1077</v>
      </c>
      <c r="E3704" s="283" t="s">
        <v>1086</v>
      </c>
      <c r="F3704" s="283" t="s">
        <v>1078</v>
      </c>
      <c r="G3704" s="283">
        <v>2</v>
      </c>
      <c r="H3704" s="283">
        <v>0</v>
      </c>
      <c r="I3704" s="283">
        <v>0</v>
      </c>
      <c r="J3704" s="284">
        <v>0</v>
      </c>
    </row>
    <row r="3705" spans="3:10" x14ac:dyDescent="0.25">
      <c r="C3705" s="300" t="s">
        <v>1061</v>
      </c>
      <c r="D3705" s="283" t="s">
        <v>1079</v>
      </c>
      <c r="E3705" s="283" t="s">
        <v>1089</v>
      </c>
      <c r="F3705" s="283" t="s">
        <v>1075</v>
      </c>
      <c r="G3705" s="283">
        <v>2</v>
      </c>
      <c r="H3705" s="283">
        <v>0</v>
      </c>
      <c r="I3705" s="283">
        <v>1</v>
      </c>
      <c r="J3705" s="284">
        <v>1</v>
      </c>
    </row>
    <row r="3706" spans="3:10" x14ac:dyDescent="0.25">
      <c r="C3706" s="300" t="s">
        <v>1066</v>
      </c>
      <c r="D3706" s="283" t="s">
        <v>1079</v>
      </c>
      <c r="E3706" s="283" t="s">
        <v>1044</v>
      </c>
      <c r="F3706" s="283" t="s">
        <v>1075</v>
      </c>
      <c r="G3706" s="283">
        <v>3</v>
      </c>
      <c r="H3706" s="283">
        <v>0</v>
      </c>
      <c r="I3706" s="283">
        <v>0</v>
      </c>
      <c r="J3706" s="284">
        <v>1</v>
      </c>
    </row>
    <row r="3707" spans="3:10" x14ac:dyDescent="0.25">
      <c r="C3707" s="300" t="s">
        <v>1066</v>
      </c>
      <c r="D3707" s="283" t="s">
        <v>1087</v>
      </c>
      <c r="E3707" s="283" t="s">
        <v>1083</v>
      </c>
      <c r="F3707" s="283" t="s">
        <v>524</v>
      </c>
      <c r="G3707" s="283">
        <v>1</v>
      </c>
      <c r="H3707" s="283">
        <v>0</v>
      </c>
      <c r="I3707" s="283">
        <v>0</v>
      </c>
      <c r="J3707" s="284">
        <v>1</v>
      </c>
    </row>
    <row r="3708" spans="3:10" x14ac:dyDescent="0.25">
      <c r="C3708" s="300" t="s">
        <v>1067</v>
      </c>
      <c r="D3708" s="283" t="s">
        <v>1074</v>
      </c>
      <c r="E3708" s="283" t="s">
        <v>1076</v>
      </c>
      <c r="F3708" s="283" t="s">
        <v>1044</v>
      </c>
      <c r="G3708" s="283">
        <v>2</v>
      </c>
      <c r="H3708" s="283">
        <v>0</v>
      </c>
      <c r="I3708" s="283">
        <v>0</v>
      </c>
      <c r="J3708" s="284">
        <v>0</v>
      </c>
    </row>
    <row r="3709" spans="3:10" x14ac:dyDescent="0.25">
      <c r="C3709" s="300" t="s">
        <v>1068</v>
      </c>
      <c r="D3709" s="283" t="s">
        <v>1079</v>
      </c>
      <c r="E3709" s="283" t="s">
        <v>1044</v>
      </c>
      <c r="F3709" s="283" t="s">
        <v>1075</v>
      </c>
      <c r="G3709" s="283">
        <v>2</v>
      </c>
      <c r="H3709" s="283">
        <v>0</v>
      </c>
      <c r="I3709" s="283">
        <v>1</v>
      </c>
      <c r="J3709" s="284">
        <v>0</v>
      </c>
    </row>
    <row r="3710" spans="3:10" x14ac:dyDescent="0.25">
      <c r="C3710" s="300" t="s">
        <v>1064</v>
      </c>
      <c r="D3710" s="283" t="s">
        <v>1074</v>
      </c>
      <c r="E3710" s="283" t="s">
        <v>1075</v>
      </c>
      <c r="F3710" s="283" t="s">
        <v>1102</v>
      </c>
      <c r="G3710" s="283">
        <v>2</v>
      </c>
      <c r="H3710" s="283">
        <v>0</v>
      </c>
      <c r="I3710" s="283">
        <v>1</v>
      </c>
      <c r="J3710" s="284">
        <v>0</v>
      </c>
    </row>
    <row r="3711" spans="3:10" x14ac:dyDescent="0.25">
      <c r="C3711" s="300" t="s">
        <v>1061</v>
      </c>
      <c r="D3711" s="283" t="s">
        <v>1079</v>
      </c>
      <c r="E3711" s="283" t="s">
        <v>1075</v>
      </c>
      <c r="F3711" s="283" t="s">
        <v>1075</v>
      </c>
      <c r="G3711" s="283">
        <v>2</v>
      </c>
      <c r="H3711" s="283">
        <v>0</v>
      </c>
      <c r="I3711" s="283">
        <v>1</v>
      </c>
      <c r="J3711" s="284">
        <v>0</v>
      </c>
    </row>
    <row r="3712" spans="3:10" x14ac:dyDescent="0.25">
      <c r="C3712" s="300" t="s">
        <v>1060</v>
      </c>
      <c r="D3712" s="283" t="s">
        <v>1087</v>
      </c>
      <c r="E3712" s="283" t="s">
        <v>1075</v>
      </c>
      <c r="F3712" s="283" t="s">
        <v>524</v>
      </c>
      <c r="G3712" s="283">
        <v>1</v>
      </c>
      <c r="H3712" s="283">
        <v>0</v>
      </c>
      <c r="I3712" s="283">
        <v>0</v>
      </c>
      <c r="J3712" s="284">
        <v>0</v>
      </c>
    </row>
    <row r="3713" spans="3:10" x14ac:dyDescent="0.25">
      <c r="C3713" s="300" t="s">
        <v>1063</v>
      </c>
      <c r="D3713" s="283" t="s">
        <v>1087</v>
      </c>
      <c r="E3713" s="283" t="s">
        <v>1075</v>
      </c>
      <c r="F3713" s="283" t="s">
        <v>524</v>
      </c>
      <c r="G3713" s="283">
        <v>2</v>
      </c>
      <c r="H3713" s="283">
        <v>0</v>
      </c>
      <c r="I3713" s="283">
        <v>1</v>
      </c>
      <c r="J3713" s="284">
        <v>1</v>
      </c>
    </row>
    <row r="3714" spans="3:10" x14ac:dyDescent="0.25">
      <c r="C3714" s="300" t="s">
        <v>1065</v>
      </c>
      <c r="D3714" s="283" t="s">
        <v>1090</v>
      </c>
      <c r="E3714" s="283" t="s">
        <v>1075</v>
      </c>
      <c r="F3714" s="283" t="s">
        <v>524</v>
      </c>
      <c r="G3714" s="283">
        <v>1</v>
      </c>
      <c r="H3714" s="283">
        <v>0</v>
      </c>
      <c r="I3714" s="283">
        <v>0</v>
      </c>
      <c r="J3714" s="284">
        <v>0</v>
      </c>
    </row>
    <row r="3715" spans="3:10" x14ac:dyDescent="0.25">
      <c r="C3715" s="300" t="s">
        <v>1060</v>
      </c>
      <c r="D3715" s="283" t="s">
        <v>1077</v>
      </c>
      <c r="E3715" s="283" t="s">
        <v>1076</v>
      </c>
      <c r="F3715" s="283" t="s">
        <v>1075</v>
      </c>
      <c r="G3715" s="283">
        <v>2</v>
      </c>
      <c r="H3715" s="283">
        <v>0</v>
      </c>
      <c r="I3715" s="283">
        <v>1</v>
      </c>
      <c r="J3715" s="284">
        <v>0</v>
      </c>
    </row>
    <row r="3716" spans="3:10" x14ac:dyDescent="0.25">
      <c r="C3716" s="300" t="s">
        <v>1064</v>
      </c>
      <c r="D3716" s="283" t="s">
        <v>1087</v>
      </c>
      <c r="E3716" s="283" t="s">
        <v>1076</v>
      </c>
      <c r="F3716" s="283" t="s">
        <v>524</v>
      </c>
      <c r="G3716" s="283">
        <v>1</v>
      </c>
      <c r="H3716" s="283">
        <v>0</v>
      </c>
      <c r="I3716" s="283">
        <v>0</v>
      </c>
      <c r="J3716" s="284">
        <v>0</v>
      </c>
    </row>
    <row r="3717" spans="3:10" x14ac:dyDescent="0.25">
      <c r="C3717" s="300" t="s">
        <v>1067</v>
      </c>
      <c r="D3717" s="283" t="s">
        <v>1087</v>
      </c>
      <c r="E3717" s="283" t="s">
        <v>1075</v>
      </c>
      <c r="F3717" s="283" t="s">
        <v>524</v>
      </c>
      <c r="G3717" s="283">
        <v>1</v>
      </c>
      <c r="H3717" s="283">
        <v>0</v>
      </c>
      <c r="I3717" s="283">
        <v>0</v>
      </c>
      <c r="J3717" s="284">
        <v>0</v>
      </c>
    </row>
    <row r="3718" spans="3:10" x14ac:dyDescent="0.25">
      <c r="C3718" s="300" t="s">
        <v>1066</v>
      </c>
      <c r="D3718" s="283" t="s">
        <v>1079</v>
      </c>
      <c r="E3718" s="283" t="s">
        <v>1075</v>
      </c>
      <c r="F3718" s="283" t="s">
        <v>1075</v>
      </c>
      <c r="G3718" s="283">
        <v>2</v>
      </c>
      <c r="H3718" s="283">
        <v>0</v>
      </c>
      <c r="I3718" s="283">
        <v>0</v>
      </c>
      <c r="J3718" s="284">
        <v>0</v>
      </c>
    </row>
    <row r="3719" spans="3:10" x14ac:dyDescent="0.25">
      <c r="C3719" s="300" t="s">
        <v>1064</v>
      </c>
      <c r="D3719" s="283" t="s">
        <v>1087</v>
      </c>
      <c r="E3719" s="283" t="s">
        <v>1078</v>
      </c>
      <c r="F3719" s="283" t="s">
        <v>524</v>
      </c>
      <c r="G3719" s="283">
        <v>1</v>
      </c>
      <c r="H3719" s="283">
        <v>0</v>
      </c>
      <c r="I3719" s="283">
        <v>0</v>
      </c>
      <c r="J3719" s="284">
        <v>0</v>
      </c>
    </row>
    <row r="3720" spans="3:10" x14ac:dyDescent="0.25">
      <c r="C3720" s="300" t="s">
        <v>1060</v>
      </c>
      <c r="D3720" s="283" t="s">
        <v>1074</v>
      </c>
      <c r="E3720" s="283" t="s">
        <v>1075</v>
      </c>
      <c r="F3720" s="283" t="s">
        <v>1075</v>
      </c>
      <c r="G3720" s="283">
        <v>2</v>
      </c>
      <c r="H3720" s="283">
        <v>0</v>
      </c>
      <c r="I3720" s="283">
        <v>0</v>
      </c>
      <c r="J3720" s="284">
        <v>0</v>
      </c>
    </row>
    <row r="3721" spans="3:10" x14ac:dyDescent="0.25">
      <c r="C3721" s="300" t="s">
        <v>1067</v>
      </c>
      <c r="D3721" s="283" t="s">
        <v>1074</v>
      </c>
      <c r="E3721" s="283" t="s">
        <v>1083</v>
      </c>
      <c r="F3721" s="283" t="s">
        <v>1075</v>
      </c>
      <c r="G3721" s="283">
        <v>2</v>
      </c>
      <c r="H3721" s="283">
        <v>0</v>
      </c>
      <c r="I3721" s="283">
        <v>0</v>
      </c>
      <c r="J3721" s="284">
        <v>0</v>
      </c>
    </row>
    <row r="3722" spans="3:10" x14ac:dyDescent="0.25">
      <c r="C3722" s="300" t="s">
        <v>1064</v>
      </c>
      <c r="D3722" s="283" t="s">
        <v>1079</v>
      </c>
      <c r="E3722" s="283" t="s">
        <v>1088</v>
      </c>
      <c r="F3722" s="283" t="s">
        <v>1075</v>
      </c>
      <c r="G3722" s="283">
        <v>2</v>
      </c>
      <c r="H3722" s="283">
        <v>0</v>
      </c>
      <c r="I3722" s="283">
        <v>0</v>
      </c>
      <c r="J3722" s="284">
        <v>0</v>
      </c>
    </row>
    <row r="3723" spans="3:10" x14ac:dyDescent="0.25">
      <c r="C3723" s="300" t="s">
        <v>1065</v>
      </c>
      <c r="D3723" s="283" t="s">
        <v>1090</v>
      </c>
      <c r="E3723" s="283" t="s">
        <v>1089</v>
      </c>
      <c r="F3723" s="283" t="s">
        <v>524</v>
      </c>
      <c r="G3723" s="283">
        <v>1</v>
      </c>
      <c r="H3723" s="283">
        <v>0</v>
      </c>
      <c r="I3723" s="283">
        <v>0</v>
      </c>
      <c r="J3723" s="284">
        <v>0</v>
      </c>
    </row>
    <row r="3724" spans="3:10" x14ac:dyDescent="0.25">
      <c r="C3724" s="300" t="s">
        <v>1065</v>
      </c>
      <c r="D3724" s="283" t="s">
        <v>1074</v>
      </c>
      <c r="E3724" s="283" t="s">
        <v>1075</v>
      </c>
      <c r="F3724" s="283" t="s">
        <v>1075</v>
      </c>
      <c r="G3724" s="283">
        <v>2</v>
      </c>
      <c r="H3724" s="283">
        <v>0</v>
      </c>
      <c r="I3724" s="283">
        <v>0</v>
      </c>
      <c r="J3724" s="284">
        <v>0</v>
      </c>
    </row>
    <row r="3725" spans="3:10" x14ac:dyDescent="0.25">
      <c r="C3725" s="300" t="s">
        <v>1068</v>
      </c>
      <c r="D3725" s="283" t="s">
        <v>1074</v>
      </c>
      <c r="E3725" s="283" t="s">
        <v>1089</v>
      </c>
      <c r="F3725" s="283" t="s">
        <v>1078</v>
      </c>
      <c r="G3725" s="283">
        <v>2</v>
      </c>
      <c r="H3725" s="283">
        <v>0</v>
      </c>
      <c r="I3725" s="283">
        <v>0</v>
      </c>
      <c r="J3725" s="284">
        <v>0</v>
      </c>
    </row>
    <row r="3726" spans="3:10" x14ac:dyDescent="0.25">
      <c r="C3726" s="300" t="s">
        <v>1065</v>
      </c>
      <c r="D3726" s="283" t="s">
        <v>1077</v>
      </c>
      <c r="E3726" s="283" t="s">
        <v>1089</v>
      </c>
      <c r="F3726" s="283" t="s">
        <v>1089</v>
      </c>
      <c r="G3726" s="283">
        <v>2</v>
      </c>
      <c r="H3726" s="283">
        <v>0</v>
      </c>
      <c r="I3726" s="283">
        <v>0</v>
      </c>
      <c r="J3726" s="284">
        <v>0</v>
      </c>
    </row>
    <row r="3727" spans="3:10" x14ac:dyDescent="0.25">
      <c r="C3727" s="300" t="s">
        <v>1061</v>
      </c>
      <c r="D3727" s="283" t="s">
        <v>1077</v>
      </c>
      <c r="E3727" s="283" t="s">
        <v>1075</v>
      </c>
      <c r="F3727" s="283" t="s">
        <v>1089</v>
      </c>
      <c r="G3727" s="283">
        <v>3</v>
      </c>
      <c r="H3727" s="283">
        <v>0</v>
      </c>
      <c r="I3727" s="283">
        <v>0</v>
      </c>
      <c r="J3727" s="284">
        <v>0</v>
      </c>
    </row>
    <row r="3728" spans="3:10" x14ac:dyDescent="0.25">
      <c r="C3728" s="300" t="s">
        <v>1064</v>
      </c>
      <c r="D3728" s="283" t="s">
        <v>1074</v>
      </c>
      <c r="E3728" s="283" t="s">
        <v>1084</v>
      </c>
      <c r="F3728" s="283" t="s">
        <v>1044</v>
      </c>
      <c r="G3728" s="283">
        <v>2</v>
      </c>
      <c r="H3728" s="283">
        <v>0</v>
      </c>
      <c r="I3728" s="283">
        <v>0</v>
      </c>
      <c r="J3728" s="284">
        <v>0</v>
      </c>
    </row>
    <row r="3729" spans="3:10" x14ac:dyDescent="0.25">
      <c r="C3729" s="300" t="s">
        <v>1066</v>
      </c>
      <c r="D3729" s="283" t="s">
        <v>1077</v>
      </c>
      <c r="E3729" s="283" t="s">
        <v>1075</v>
      </c>
      <c r="F3729" s="283" t="s">
        <v>1089</v>
      </c>
      <c r="G3729" s="283">
        <v>2</v>
      </c>
      <c r="H3729" s="283">
        <v>0</v>
      </c>
      <c r="I3729" s="283">
        <v>0</v>
      </c>
      <c r="J3729" s="284">
        <v>1</v>
      </c>
    </row>
    <row r="3730" spans="3:10" x14ac:dyDescent="0.25">
      <c r="C3730" s="300" t="s">
        <v>1065</v>
      </c>
      <c r="D3730" s="283" t="s">
        <v>1077</v>
      </c>
      <c r="E3730" s="283" t="s">
        <v>1075</v>
      </c>
      <c r="F3730" s="283" t="s">
        <v>1076</v>
      </c>
      <c r="G3730" s="283">
        <v>3</v>
      </c>
      <c r="H3730" s="283">
        <v>0</v>
      </c>
      <c r="I3730" s="283">
        <v>0</v>
      </c>
      <c r="J3730" s="284">
        <v>0</v>
      </c>
    </row>
    <row r="3731" spans="3:10" x14ac:dyDescent="0.25">
      <c r="C3731" s="300" t="s">
        <v>1060</v>
      </c>
      <c r="D3731" s="283" t="s">
        <v>1077</v>
      </c>
      <c r="E3731" s="283" t="s">
        <v>1076</v>
      </c>
      <c r="F3731" s="283" t="s">
        <v>1080</v>
      </c>
      <c r="G3731" s="283">
        <v>2</v>
      </c>
      <c r="H3731" s="283">
        <v>0</v>
      </c>
      <c r="I3731" s="283">
        <v>0</v>
      </c>
      <c r="J3731" s="284">
        <v>0</v>
      </c>
    </row>
    <row r="3732" spans="3:10" x14ac:dyDescent="0.25">
      <c r="C3732" s="300" t="s">
        <v>1065</v>
      </c>
      <c r="D3732" s="283" t="s">
        <v>1077</v>
      </c>
      <c r="E3732" s="283" t="s">
        <v>1089</v>
      </c>
      <c r="F3732" s="283" t="s">
        <v>1089</v>
      </c>
      <c r="G3732" s="283">
        <v>2</v>
      </c>
      <c r="H3732" s="283">
        <v>0</v>
      </c>
      <c r="I3732" s="283">
        <v>0</v>
      </c>
      <c r="J3732" s="284">
        <v>0</v>
      </c>
    </row>
    <row r="3733" spans="3:10" x14ac:dyDescent="0.25">
      <c r="C3733" s="300" t="s">
        <v>1066</v>
      </c>
      <c r="D3733" s="283" t="s">
        <v>1074</v>
      </c>
      <c r="E3733" s="283" t="s">
        <v>1075</v>
      </c>
      <c r="F3733" s="283" t="s">
        <v>1086</v>
      </c>
      <c r="G3733" s="283">
        <v>2</v>
      </c>
      <c r="H3733" s="283">
        <v>0</v>
      </c>
      <c r="I3733" s="283">
        <v>0</v>
      </c>
      <c r="J3733" s="284">
        <v>0</v>
      </c>
    </row>
    <row r="3734" spans="3:10" x14ac:dyDescent="0.25">
      <c r="C3734" s="300" t="s">
        <v>1065</v>
      </c>
      <c r="D3734" s="283" t="s">
        <v>1077</v>
      </c>
      <c r="E3734" s="283" t="s">
        <v>1075</v>
      </c>
      <c r="F3734" s="283" t="s">
        <v>1075</v>
      </c>
      <c r="G3734" s="283">
        <v>2</v>
      </c>
      <c r="H3734" s="283">
        <v>0</v>
      </c>
      <c r="I3734" s="283">
        <v>0</v>
      </c>
      <c r="J3734" s="284">
        <v>0</v>
      </c>
    </row>
    <row r="3735" spans="3:10" x14ac:dyDescent="0.25">
      <c r="C3735" s="300" t="s">
        <v>1060</v>
      </c>
      <c r="D3735" s="283" t="s">
        <v>1079</v>
      </c>
      <c r="E3735" s="283" t="s">
        <v>1089</v>
      </c>
      <c r="F3735" s="283" t="s">
        <v>1075</v>
      </c>
      <c r="G3735" s="283">
        <v>2</v>
      </c>
      <c r="H3735" s="283">
        <v>0</v>
      </c>
      <c r="I3735" s="283">
        <v>0</v>
      </c>
      <c r="J3735" s="284">
        <v>0</v>
      </c>
    </row>
    <row r="3736" spans="3:10" x14ac:dyDescent="0.25">
      <c r="C3736" s="300" t="s">
        <v>1060</v>
      </c>
      <c r="D3736" s="283" t="s">
        <v>1074</v>
      </c>
      <c r="E3736" s="283" t="s">
        <v>1080</v>
      </c>
      <c r="F3736" s="283" t="s">
        <v>1089</v>
      </c>
      <c r="G3736" s="283">
        <v>2</v>
      </c>
      <c r="H3736" s="283">
        <v>0</v>
      </c>
      <c r="I3736" s="283">
        <v>0</v>
      </c>
      <c r="J3736" s="284">
        <v>0</v>
      </c>
    </row>
    <row r="3737" spans="3:10" x14ac:dyDescent="0.25">
      <c r="C3737" s="300" t="s">
        <v>1062</v>
      </c>
      <c r="D3737" s="283" t="s">
        <v>1074</v>
      </c>
      <c r="E3737" s="283" t="s">
        <v>1075</v>
      </c>
      <c r="F3737" s="283" t="s">
        <v>1075</v>
      </c>
      <c r="G3737" s="283">
        <v>2</v>
      </c>
      <c r="H3737" s="283">
        <v>0</v>
      </c>
      <c r="I3737" s="283">
        <v>2</v>
      </c>
      <c r="J3737" s="284">
        <v>0</v>
      </c>
    </row>
    <row r="3738" spans="3:10" x14ac:dyDescent="0.25">
      <c r="C3738" s="300" t="s">
        <v>1063</v>
      </c>
      <c r="D3738" s="283" t="s">
        <v>1077</v>
      </c>
      <c r="E3738" s="283" t="s">
        <v>1075</v>
      </c>
      <c r="F3738" s="283" t="s">
        <v>1078</v>
      </c>
      <c r="G3738" s="283">
        <v>2</v>
      </c>
      <c r="H3738" s="283">
        <v>0</v>
      </c>
      <c r="I3738" s="283">
        <v>0</v>
      </c>
      <c r="J3738" s="284">
        <v>0</v>
      </c>
    </row>
    <row r="3739" spans="3:10" x14ac:dyDescent="0.25">
      <c r="C3739" s="300" t="s">
        <v>1068</v>
      </c>
      <c r="D3739" s="283" t="s">
        <v>1043</v>
      </c>
      <c r="E3739" s="283" t="s">
        <v>1086</v>
      </c>
      <c r="F3739" s="283" t="s">
        <v>1092</v>
      </c>
      <c r="G3739" s="283">
        <v>2</v>
      </c>
      <c r="H3739" s="283">
        <v>0</v>
      </c>
      <c r="I3739" s="283">
        <v>0</v>
      </c>
      <c r="J3739" s="284">
        <v>0</v>
      </c>
    </row>
    <row r="3740" spans="3:10" x14ac:dyDescent="0.25">
      <c r="C3740" s="300" t="s">
        <v>1061</v>
      </c>
      <c r="D3740" s="283" t="s">
        <v>1077</v>
      </c>
      <c r="E3740" s="283" t="s">
        <v>1075</v>
      </c>
      <c r="F3740" s="283" t="s">
        <v>1075</v>
      </c>
      <c r="G3740" s="283">
        <v>2</v>
      </c>
      <c r="H3740" s="283">
        <v>0</v>
      </c>
      <c r="I3740" s="283">
        <v>0</v>
      </c>
      <c r="J3740" s="284">
        <v>0</v>
      </c>
    </row>
    <row r="3741" spans="3:10" x14ac:dyDescent="0.25">
      <c r="C3741" s="300" t="s">
        <v>1061</v>
      </c>
      <c r="D3741" s="283" t="s">
        <v>1077</v>
      </c>
      <c r="E3741" s="283" t="s">
        <v>1078</v>
      </c>
      <c r="F3741" s="283" t="s">
        <v>1089</v>
      </c>
      <c r="G3741" s="283">
        <v>2</v>
      </c>
      <c r="H3741" s="283">
        <v>0</v>
      </c>
      <c r="I3741" s="283">
        <v>1</v>
      </c>
      <c r="J3741" s="284">
        <v>0</v>
      </c>
    </row>
    <row r="3742" spans="3:10" x14ac:dyDescent="0.25">
      <c r="C3742" s="300" t="s">
        <v>1067</v>
      </c>
      <c r="D3742" s="283" t="s">
        <v>1087</v>
      </c>
      <c r="E3742" s="283" t="s">
        <v>1083</v>
      </c>
      <c r="F3742" s="283" t="s">
        <v>524</v>
      </c>
      <c r="G3742" s="283">
        <v>1</v>
      </c>
      <c r="H3742" s="283">
        <v>0</v>
      </c>
      <c r="I3742" s="283">
        <v>1</v>
      </c>
      <c r="J3742" s="284">
        <v>0</v>
      </c>
    </row>
    <row r="3743" spans="3:10" x14ac:dyDescent="0.25">
      <c r="C3743" s="300" t="s">
        <v>1061</v>
      </c>
      <c r="D3743" s="283" t="s">
        <v>1077</v>
      </c>
      <c r="E3743" s="283" t="s">
        <v>1089</v>
      </c>
      <c r="F3743" s="283" t="s">
        <v>1075</v>
      </c>
      <c r="G3743" s="283">
        <v>3</v>
      </c>
      <c r="H3743" s="283">
        <v>0</v>
      </c>
      <c r="I3743" s="283">
        <v>0</v>
      </c>
      <c r="J3743" s="284">
        <v>0</v>
      </c>
    </row>
    <row r="3744" spans="3:10" x14ac:dyDescent="0.25">
      <c r="C3744" s="300" t="s">
        <v>1065</v>
      </c>
      <c r="D3744" s="283" t="s">
        <v>1090</v>
      </c>
      <c r="E3744" s="283" t="s">
        <v>1093</v>
      </c>
      <c r="F3744" s="283" t="s">
        <v>524</v>
      </c>
      <c r="G3744" s="283">
        <v>1</v>
      </c>
      <c r="H3744" s="283">
        <v>0</v>
      </c>
      <c r="I3744" s="283">
        <v>1</v>
      </c>
      <c r="J3744" s="284">
        <v>0</v>
      </c>
    </row>
    <row r="3745" spans="3:10" x14ac:dyDescent="0.25">
      <c r="C3745" s="300" t="s">
        <v>1068</v>
      </c>
      <c r="D3745" s="283" t="s">
        <v>1079</v>
      </c>
      <c r="E3745" s="283" t="s">
        <v>1075</v>
      </c>
      <c r="F3745" s="283" t="s">
        <v>1075</v>
      </c>
      <c r="G3745" s="283">
        <v>4</v>
      </c>
      <c r="H3745" s="283">
        <v>0</v>
      </c>
      <c r="I3745" s="283">
        <v>0</v>
      </c>
      <c r="J3745" s="284">
        <v>0</v>
      </c>
    </row>
    <row r="3746" spans="3:10" x14ac:dyDescent="0.25">
      <c r="C3746" s="300" t="s">
        <v>1065</v>
      </c>
      <c r="D3746" s="283" t="s">
        <v>1077</v>
      </c>
      <c r="E3746" s="283" t="s">
        <v>1089</v>
      </c>
      <c r="F3746" s="283" t="s">
        <v>1089</v>
      </c>
      <c r="G3746" s="283">
        <v>3</v>
      </c>
      <c r="H3746" s="283">
        <v>0</v>
      </c>
      <c r="I3746" s="283">
        <v>0</v>
      </c>
      <c r="J3746" s="284">
        <v>0</v>
      </c>
    </row>
    <row r="3747" spans="3:10" x14ac:dyDescent="0.25">
      <c r="C3747" s="300" t="s">
        <v>1067</v>
      </c>
      <c r="D3747" s="283" t="s">
        <v>1090</v>
      </c>
      <c r="E3747" s="283" t="s">
        <v>1093</v>
      </c>
      <c r="F3747" s="283" t="s">
        <v>524</v>
      </c>
      <c r="G3747" s="283">
        <v>1</v>
      </c>
      <c r="H3747" s="283">
        <v>0</v>
      </c>
      <c r="I3747" s="283">
        <v>0</v>
      </c>
      <c r="J3747" s="284">
        <v>1</v>
      </c>
    </row>
    <row r="3748" spans="3:10" x14ac:dyDescent="0.25">
      <c r="C3748" s="300" t="s">
        <v>1066</v>
      </c>
      <c r="D3748" s="283" t="s">
        <v>1079</v>
      </c>
      <c r="E3748" s="283" t="s">
        <v>1044</v>
      </c>
      <c r="F3748" s="283" t="s">
        <v>1076</v>
      </c>
      <c r="G3748" s="283">
        <v>2</v>
      </c>
      <c r="H3748" s="283">
        <v>0</v>
      </c>
      <c r="I3748" s="283">
        <v>0</v>
      </c>
      <c r="J3748" s="284">
        <v>0</v>
      </c>
    </row>
    <row r="3749" spans="3:10" x14ac:dyDescent="0.25">
      <c r="C3749" s="300" t="s">
        <v>1064</v>
      </c>
      <c r="D3749" s="283" t="s">
        <v>1087</v>
      </c>
      <c r="E3749" s="283" t="s">
        <v>1094</v>
      </c>
      <c r="F3749" s="283" t="s">
        <v>524</v>
      </c>
      <c r="G3749" s="283">
        <v>1</v>
      </c>
      <c r="H3749" s="283">
        <v>0</v>
      </c>
      <c r="I3749" s="283">
        <v>0</v>
      </c>
      <c r="J3749" s="284">
        <v>0</v>
      </c>
    </row>
    <row r="3750" spans="3:10" x14ac:dyDescent="0.25">
      <c r="C3750" s="300" t="s">
        <v>1061</v>
      </c>
      <c r="D3750" s="283" t="s">
        <v>1082</v>
      </c>
      <c r="E3750" s="283" t="s">
        <v>1075</v>
      </c>
      <c r="F3750" s="283" t="s">
        <v>1075</v>
      </c>
      <c r="G3750" s="283">
        <v>3</v>
      </c>
      <c r="H3750" s="283">
        <v>0</v>
      </c>
      <c r="I3750" s="283">
        <v>0</v>
      </c>
      <c r="J3750" s="284">
        <v>1</v>
      </c>
    </row>
    <row r="3751" spans="3:10" x14ac:dyDescent="0.25">
      <c r="C3751" s="300" t="s">
        <v>1062</v>
      </c>
      <c r="D3751" s="283" t="s">
        <v>1079</v>
      </c>
      <c r="E3751" s="283" t="s">
        <v>1080</v>
      </c>
      <c r="F3751" s="283" t="s">
        <v>1075</v>
      </c>
      <c r="G3751" s="283">
        <v>2</v>
      </c>
      <c r="H3751" s="283">
        <v>0</v>
      </c>
      <c r="I3751" s="283">
        <v>0</v>
      </c>
      <c r="J3751" s="284">
        <v>0</v>
      </c>
    </row>
    <row r="3752" spans="3:10" x14ac:dyDescent="0.25">
      <c r="C3752" s="300" t="s">
        <v>1063</v>
      </c>
      <c r="D3752" s="283" t="s">
        <v>1074</v>
      </c>
      <c r="E3752" s="283" t="s">
        <v>1075</v>
      </c>
      <c r="F3752" s="283" t="s">
        <v>1075</v>
      </c>
      <c r="G3752" s="283">
        <v>2</v>
      </c>
      <c r="H3752" s="283">
        <v>0</v>
      </c>
      <c r="I3752" s="283">
        <v>0</v>
      </c>
      <c r="J3752" s="284">
        <v>1</v>
      </c>
    </row>
    <row r="3753" spans="3:10" x14ac:dyDescent="0.25">
      <c r="C3753" s="300" t="s">
        <v>1068</v>
      </c>
      <c r="D3753" s="283" t="s">
        <v>1074</v>
      </c>
      <c r="E3753" s="283" t="s">
        <v>1089</v>
      </c>
      <c r="F3753" s="283" t="s">
        <v>1075</v>
      </c>
      <c r="G3753" s="283">
        <v>2</v>
      </c>
      <c r="H3753" s="283">
        <v>0</v>
      </c>
      <c r="I3753" s="283">
        <v>0</v>
      </c>
      <c r="J3753" s="284">
        <v>0</v>
      </c>
    </row>
    <row r="3754" spans="3:10" x14ac:dyDescent="0.25">
      <c r="C3754" s="300" t="s">
        <v>1065</v>
      </c>
      <c r="D3754" s="283" t="s">
        <v>1043</v>
      </c>
      <c r="E3754" s="283" t="s">
        <v>1078</v>
      </c>
      <c r="F3754" s="283" t="s">
        <v>1092</v>
      </c>
      <c r="G3754" s="283">
        <v>2</v>
      </c>
      <c r="H3754" s="283">
        <v>0</v>
      </c>
      <c r="I3754" s="283">
        <v>0</v>
      </c>
      <c r="J3754" s="284">
        <v>1</v>
      </c>
    </row>
    <row r="3755" spans="3:10" x14ac:dyDescent="0.25">
      <c r="C3755" s="300" t="s">
        <v>1060</v>
      </c>
      <c r="D3755" s="283" t="s">
        <v>1087</v>
      </c>
      <c r="E3755" s="283" t="s">
        <v>1075</v>
      </c>
      <c r="F3755" s="283" t="s">
        <v>524</v>
      </c>
      <c r="G3755" s="283">
        <v>1</v>
      </c>
      <c r="H3755" s="283">
        <v>0</v>
      </c>
      <c r="I3755" s="283">
        <v>1</v>
      </c>
      <c r="J3755" s="284">
        <v>0</v>
      </c>
    </row>
    <row r="3756" spans="3:10" x14ac:dyDescent="0.25">
      <c r="C3756" s="300" t="s">
        <v>1058</v>
      </c>
      <c r="D3756" s="283" t="s">
        <v>1079</v>
      </c>
      <c r="E3756" s="283" t="s">
        <v>1100</v>
      </c>
      <c r="F3756" s="283" t="s">
        <v>1080</v>
      </c>
      <c r="G3756" s="283">
        <v>5</v>
      </c>
      <c r="H3756" s="283">
        <v>0</v>
      </c>
      <c r="I3756" s="283">
        <v>1</v>
      </c>
      <c r="J3756" s="284">
        <v>2</v>
      </c>
    </row>
    <row r="3757" spans="3:10" x14ac:dyDescent="0.25">
      <c r="C3757" s="300" t="s">
        <v>1062</v>
      </c>
      <c r="D3757" s="283" t="s">
        <v>1079</v>
      </c>
      <c r="E3757" s="283" t="s">
        <v>1081</v>
      </c>
      <c r="F3757" s="283" t="s">
        <v>1075</v>
      </c>
      <c r="G3757" s="283">
        <v>2</v>
      </c>
      <c r="H3757" s="283">
        <v>0</v>
      </c>
      <c r="I3757" s="283">
        <v>0</v>
      </c>
      <c r="J3757" s="284">
        <v>0</v>
      </c>
    </row>
    <row r="3758" spans="3:10" x14ac:dyDescent="0.25">
      <c r="C3758" s="300" t="s">
        <v>1063</v>
      </c>
      <c r="D3758" s="283" t="s">
        <v>1074</v>
      </c>
      <c r="E3758" s="283" t="s">
        <v>1075</v>
      </c>
      <c r="F3758" s="283" t="s">
        <v>1075</v>
      </c>
      <c r="G3758" s="283">
        <v>2</v>
      </c>
      <c r="H3758" s="283">
        <v>0</v>
      </c>
      <c r="I3758" s="283">
        <v>0</v>
      </c>
      <c r="J3758" s="284">
        <v>1</v>
      </c>
    </row>
    <row r="3759" spans="3:10" x14ac:dyDescent="0.25">
      <c r="C3759" s="300" t="s">
        <v>1061</v>
      </c>
      <c r="D3759" s="283" t="s">
        <v>1079</v>
      </c>
      <c r="E3759" s="283" t="s">
        <v>1084</v>
      </c>
      <c r="F3759" s="283" t="s">
        <v>1089</v>
      </c>
      <c r="G3759" s="283">
        <v>2</v>
      </c>
      <c r="H3759" s="283">
        <v>0</v>
      </c>
      <c r="I3759" s="283">
        <v>0</v>
      </c>
      <c r="J3759" s="284">
        <v>0</v>
      </c>
    </row>
    <row r="3760" spans="3:10" x14ac:dyDescent="0.25">
      <c r="C3760" s="300" t="s">
        <v>1065</v>
      </c>
      <c r="D3760" s="283" t="s">
        <v>1077</v>
      </c>
      <c r="E3760" s="283" t="s">
        <v>1075</v>
      </c>
      <c r="F3760" s="283" t="s">
        <v>1075</v>
      </c>
      <c r="G3760" s="283">
        <v>2</v>
      </c>
      <c r="H3760" s="283">
        <v>0</v>
      </c>
      <c r="I3760" s="283">
        <v>0</v>
      </c>
      <c r="J3760" s="284">
        <v>0</v>
      </c>
    </row>
    <row r="3761" spans="3:10" x14ac:dyDescent="0.25">
      <c r="C3761" s="300" t="s">
        <v>1064</v>
      </c>
      <c r="D3761" s="283" t="s">
        <v>1074</v>
      </c>
      <c r="E3761" s="283" t="s">
        <v>1075</v>
      </c>
      <c r="F3761" s="283" t="s">
        <v>1078</v>
      </c>
      <c r="G3761" s="283">
        <v>2</v>
      </c>
      <c r="H3761" s="283">
        <v>0</v>
      </c>
      <c r="I3761" s="283">
        <v>0</v>
      </c>
      <c r="J3761" s="284">
        <v>0</v>
      </c>
    </row>
    <row r="3762" spans="3:10" x14ac:dyDescent="0.25">
      <c r="C3762" s="300" t="s">
        <v>1065</v>
      </c>
      <c r="D3762" s="283" t="s">
        <v>1077</v>
      </c>
      <c r="E3762" s="283" t="s">
        <v>1089</v>
      </c>
      <c r="F3762" s="283" t="s">
        <v>1044</v>
      </c>
      <c r="G3762" s="283">
        <v>2</v>
      </c>
      <c r="H3762" s="283">
        <v>0</v>
      </c>
      <c r="I3762" s="283">
        <v>0</v>
      </c>
      <c r="J3762" s="284">
        <v>1</v>
      </c>
    </row>
    <row r="3763" spans="3:10" x14ac:dyDescent="0.25">
      <c r="C3763" s="300" t="s">
        <v>1062</v>
      </c>
      <c r="D3763" s="283" t="s">
        <v>1043</v>
      </c>
      <c r="E3763" s="283" t="s">
        <v>1075</v>
      </c>
      <c r="F3763" s="283" t="s">
        <v>1092</v>
      </c>
      <c r="G3763" s="283">
        <v>2</v>
      </c>
      <c r="H3763" s="283">
        <v>0</v>
      </c>
      <c r="I3763" s="283">
        <v>0</v>
      </c>
      <c r="J3763" s="284">
        <v>0</v>
      </c>
    </row>
    <row r="3764" spans="3:10" x14ac:dyDescent="0.25">
      <c r="C3764" s="300" t="s">
        <v>1064</v>
      </c>
      <c r="D3764" s="283" t="s">
        <v>1077</v>
      </c>
      <c r="E3764" s="283" t="s">
        <v>1075</v>
      </c>
      <c r="F3764" s="283" t="s">
        <v>1084</v>
      </c>
      <c r="G3764" s="283">
        <v>3</v>
      </c>
      <c r="H3764" s="283">
        <v>0</v>
      </c>
      <c r="I3764" s="283">
        <v>0</v>
      </c>
      <c r="J3764" s="284">
        <v>0</v>
      </c>
    </row>
    <row r="3765" spans="3:10" x14ac:dyDescent="0.25">
      <c r="C3765" s="300" t="s">
        <v>1062</v>
      </c>
      <c r="D3765" s="283" t="s">
        <v>1074</v>
      </c>
      <c r="E3765" s="283" t="s">
        <v>1078</v>
      </c>
      <c r="F3765" s="283" t="s">
        <v>1083</v>
      </c>
      <c r="G3765" s="283">
        <v>2</v>
      </c>
      <c r="H3765" s="283">
        <v>0</v>
      </c>
      <c r="I3765" s="283">
        <v>1</v>
      </c>
      <c r="J3765" s="284">
        <v>0</v>
      </c>
    </row>
    <row r="3766" spans="3:10" x14ac:dyDescent="0.25">
      <c r="C3766" s="300" t="s">
        <v>1065</v>
      </c>
      <c r="D3766" s="283" t="s">
        <v>1087</v>
      </c>
      <c r="E3766" s="283" t="s">
        <v>1075</v>
      </c>
      <c r="F3766" s="283" t="s">
        <v>524</v>
      </c>
      <c r="G3766" s="283">
        <v>1</v>
      </c>
      <c r="H3766" s="283">
        <v>0</v>
      </c>
      <c r="I3766" s="283">
        <v>1</v>
      </c>
      <c r="J3766" s="284">
        <v>0</v>
      </c>
    </row>
    <row r="3767" spans="3:10" x14ac:dyDescent="0.25">
      <c r="C3767" s="300" t="s">
        <v>1064</v>
      </c>
      <c r="D3767" s="283" t="s">
        <v>1077</v>
      </c>
      <c r="E3767" s="283" t="s">
        <v>1078</v>
      </c>
      <c r="F3767" s="283" t="s">
        <v>1075</v>
      </c>
      <c r="G3767" s="283">
        <v>2</v>
      </c>
      <c r="H3767" s="283">
        <v>0</v>
      </c>
      <c r="I3767" s="283">
        <v>0</v>
      </c>
      <c r="J3767" s="284">
        <v>0</v>
      </c>
    </row>
    <row r="3768" spans="3:10" x14ac:dyDescent="0.25">
      <c r="C3768" s="300" t="s">
        <v>1063</v>
      </c>
      <c r="D3768" s="283" t="s">
        <v>1074</v>
      </c>
      <c r="E3768" s="283" t="s">
        <v>1075</v>
      </c>
      <c r="F3768" s="283" t="s">
        <v>1102</v>
      </c>
      <c r="G3768" s="283">
        <v>2</v>
      </c>
      <c r="H3768" s="283">
        <v>0</v>
      </c>
      <c r="I3768" s="283">
        <v>0</v>
      </c>
      <c r="J3768" s="284">
        <v>0</v>
      </c>
    </row>
    <row r="3769" spans="3:10" x14ac:dyDescent="0.25">
      <c r="C3769" s="300" t="s">
        <v>1068</v>
      </c>
      <c r="D3769" s="283" t="s">
        <v>1087</v>
      </c>
      <c r="E3769" s="283" t="s">
        <v>1089</v>
      </c>
      <c r="F3769" s="283" t="s">
        <v>524</v>
      </c>
      <c r="G3769" s="283">
        <v>1</v>
      </c>
      <c r="H3769" s="283">
        <v>0</v>
      </c>
      <c r="I3769" s="283">
        <v>0</v>
      </c>
      <c r="J3769" s="284">
        <v>0</v>
      </c>
    </row>
    <row r="3770" spans="3:10" x14ac:dyDescent="0.25">
      <c r="C3770" s="300" t="s">
        <v>1063</v>
      </c>
      <c r="D3770" s="283" t="s">
        <v>1074</v>
      </c>
      <c r="E3770" s="283" t="s">
        <v>1089</v>
      </c>
      <c r="F3770" s="283" t="s">
        <v>1075</v>
      </c>
      <c r="G3770" s="283">
        <v>4</v>
      </c>
      <c r="H3770" s="283">
        <v>0</v>
      </c>
      <c r="I3770" s="283">
        <v>1</v>
      </c>
      <c r="J3770" s="284">
        <v>1</v>
      </c>
    </row>
    <row r="3771" spans="3:10" x14ac:dyDescent="0.25">
      <c r="C3771" s="300" t="s">
        <v>1057</v>
      </c>
      <c r="D3771" s="283" t="s">
        <v>1074</v>
      </c>
      <c r="E3771" s="283" t="s">
        <v>1075</v>
      </c>
      <c r="F3771" s="283" t="s">
        <v>1075</v>
      </c>
      <c r="G3771" s="283">
        <v>2</v>
      </c>
      <c r="H3771" s="283">
        <v>0</v>
      </c>
      <c r="I3771" s="283">
        <v>0</v>
      </c>
      <c r="J3771" s="284">
        <v>2</v>
      </c>
    </row>
    <row r="3772" spans="3:10" x14ac:dyDescent="0.25">
      <c r="C3772" s="300" t="s">
        <v>1061</v>
      </c>
      <c r="D3772" s="283" t="s">
        <v>1043</v>
      </c>
      <c r="E3772" s="283" t="s">
        <v>1089</v>
      </c>
      <c r="F3772" s="283" t="s">
        <v>1092</v>
      </c>
      <c r="G3772" s="283">
        <v>8</v>
      </c>
      <c r="H3772" s="283">
        <v>0</v>
      </c>
      <c r="I3772" s="283">
        <v>3</v>
      </c>
      <c r="J3772" s="284">
        <v>1</v>
      </c>
    </row>
    <row r="3773" spans="3:10" x14ac:dyDescent="0.25">
      <c r="C3773" s="300" t="s">
        <v>1067</v>
      </c>
      <c r="D3773" s="283" t="s">
        <v>1077</v>
      </c>
      <c r="E3773" s="283" t="s">
        <v>1075</v>
      </c>
      <c r="F3773" s="283" t="s">
        <v>1075</v>
      </c>
      <c r="G3773" s="283">
        <v>2</v>
      </c>
      <c r="H3773" s="283">
        <v>0</v>
      </c>
      <c r="I3773" s="283">
        <v>0</v>
      </c>
      <c r="J3773" s="284">
        <v>1</v>
      </c>
    </row>
    <row r="3774" spans="3:10" x14ac:dyDescent="0.25">
      <c r="C3774" s="300" t="s">
        <v>1063</v>
      </c>
      <c r="D3774" s="283" t="s">
        <v>1090</v>
      </c>
      <c r="E3774" s="283" t="s">
        <v>1080</v>
      </c>
      <c r="F3774" s="283" t="s">
        <v>524</v>
      </c>
      <c r="G3774" s="283">
        <v>1</v>
      </c>
      <c r="H3774" s="283">
        <v>0</v>
      </c>
      <c r="I3774" s="283">
        <v>0</v>
      </c>
      <c r="J3774" s="284">
        <v>1</v>
      </c>
    </row>
    <row r="3775" spans="3:10" x14ac:dyDescent="0.25">
      <c r="C3775" s="300" t="s">
        <v>1060</v>
      </c>
      <c r="D3775" s="283" t="s">
        <v>1074</v>
      </c>
      <c r="E3775" s="283" t="s">
        <v>1075</v>
      </c>
      <c r="F3775" s="283" t="s">
        <v>1089</v>
      </c>
      <c r="G3775" s="283">
        <v>2</v>
      </c>
      <c r="H3775" s="283">
        <v>0</v>
      </c>
      <c r="I3775" s="283">
        <v>0</v>
      </c>
      <c r="J3775" s="284">
        <v>0</v>
      </c>
    </row>
    <row r="3776" spans="3:10" x14ac:dyDescent="0.25">
      <c r="C3776" s="300" t="s">
        <v>1066</v>
      </c>
      <c r="D3776" s="283" t="s">
        <v>1079</v>
      </c>
      <c r="E3776" s="283" t="s">
        <v>1075</v>
      </c>
      <c r="F3776" s="283" t="s">
        <v>1076</v>
      </c>
      <c r="G3776" s="283">
        <v>2</v>
      </c>
      <c r="H3776" s="283">
        <v>0</v>
      </c>
      <c r="I3776" s="283">
        <v>0</v>
      </c>
      <c r="J3776" s="284">
        <v>0</v>
      </c>
    </row>
    <row r="3777" spans="3:10" x14ac:dyDescent="0.25">
      <c r="C3777" s="300" t="s">
        <v>1061</v>
      </c>
      <c r="D3777" s="283" t="s">
        <v>1077</v>
      </c>
      <c r="E3777" s="283" t="s">
        <v>1075</v>
      </c>
      <c r="F3777" s="283" t="s">
        <v>1081</v>
      </c>
      <c r="G3777" s="283">
        <v>3</v>
      </c>
      <c r="H3777" s="283">
        <v>0</v>
      </c>
      <c r="I3777" s="283">
        <v>0</v>
      </c>
      <c r="J3777" s="284">
        <v>1</v>
      </c>
    </row>
    <row r="3778" spans="3:10" x14ac:dyDescent="0.25">
      <c r="C3778" s="300" t="s">
        <v>1057</v>
      </c>
      <c r="D3778" s="283" t="s">
        <v>1087</v>
      </c>
      <c r="E3778" s="283" t="s">
        <v>1075</v>
      </c>
      <c r="F3778" s="283" t="s">
        <v>524</v>
      </c>
      <c r="G3778" s="283">
        <v>1</v>
      </c>
      <c r="H3778" s="283">
        <v>0</v>
      </c>
      <c r="I3778" s="283">
        <v>0</v>
      </c>
      <c r="J3778" s="284">
        <v>0</v>
      </c>
    </row>
    <row r="3779" spans="3:10" x14ac:dyDescent="0.25">
      <c r="C3779" s="300" t="s">
        <v>1064</v>
      </c>
      <c r="D3779" s="283" t="s">
        <v>1079</v>
      </c>
      <c r="E3779" s="283" t="s">
        <v>1089</v>
      </c>
      <c r="F3779" s="283" t="s">
        <v>1076</v>
      </c>
      <c r="G3779" s="283">
        <v>2</v>
      </c>
      <c r="H3779" s="283">
        <v>0</v>
      </c>
      <c r="I3779" s="283">
        <v>0</v>
      </c>
      <c r="J3779" s="284">
        <v>0</v>
      </c>
    </row>
    <row r="3780" spans="3:10" x14ac:dyDescent="0.25">
      <c r="C3780" s="300" t="s">
        <v>1062</v>
      </c>
      <c r="D3780" s="283" t="s">
        <v>1074</v>
      </c>
      <c r="E3780" s="283" t="s">
        <v>1075</v>
      </c>
      <c r="F3780" s="283" t="s">
        <v>1075</v>
      </c>
      <c r="G3780" s="283">
        <v>2</v>
      </c>
      <c r="H3780" s="283">
        <v>0</v>
      </c>
      <c r="I3780" s="283">
        <v>0</v>
      </c>
      <c r="J3780" s="284">
        <v>0</v>
      </c>
    </row>
    <row r="3781" spans="3:10" x14ac:dyDescent="0.25">
      <c r="C3781" s="300" t="s">
        <v>1067</v>
      </c>
      <c r="D3781" s="283" t="s">
        <v>1096</v>
      </c>
      <c r="E3781" s="283" t="s">
        <v>1075</v>
      </c>
      <c r="F3781" s="283" t="s">
        <v>524</v>
      </c>
      <c r="G3781" s="283">
        <v>1</v>
      </c>
      <c r="H3781" s="283">
        <v>0</v>
      </c>
      <c r="I3781" s="283">
        <v>0</v>
      </c>
      <c r="J3781" s="284">
        <v>0</v>
      </c>
    </row>
    <row r="3782" spans="3:10" x14ac:dyDescent="0.25">
      <c r="C3782" s="300" t="s">
        <v>1063</v>
      </c>
      <c r="D3782" s="283" t="s">
        <v>1079</v>
      </c>
      <c r="E3782" s="283" t="s">
        <v>1075</v>
      </c>
      <c r="F3782" s="283" t="s">
        <v>1076</v>
      </c>
      <c r="G3782" s="283">
        <v>2</v>
      </c>
      <c r="H3782" s="283">
        <v>0</v>
      </c>
      <c r="I3782" s="283">
        <v>0</v>
      </c>
      <c r="J3782" s="284">
        <v>0</v>
      </c>
    </row>
    <row r="3783" spans="3:10" x14ac:dyDescent="0.25">
      <c r="C3783" s="300" t="s">
        <v>1062</v>
      </c>
      <c r="D3783" s="283" t="s">
        <v>1079</v>
      </c>
      <c r="E3783" s="283" t="s">
        <v>1075</v>
      </c>
      <c r="F3783" s="283" t="s">
        <v>1075</v>
      </c>
      <c r="G3783" s="283">
        <v>2</v>
      </c>
      <c r="H3783" s="283">
        <v>0</v>
      </c>
      <c r="I3783" s="283">
        <v>0</v>
      </c>
      <c r="J3783" s="284">
        <v>0</v>
      </c>
    </row>
    <row r="3784" spans="3:10" x14ac:dyDescent="0.25">
      <c r="C3784" s="300" t="s">
        <v>1065</v>
      </c>
      <c r="D3784" s="283" t="s">
        <v>1077</v>
      </c>
      <c r="E3784" s="283" t="s">
        <v>1086</v>
      </c>
      <c r="F3784" s="283" t="s">
        <v>1075</v>
      </c>
      <c r="G3784" s="283">
        <v>2</v>
      </c>
      <c r="H3784" s="283">
        <v>0</v>
      </c>
      <c r="I3784" s="283">
        <v>0</v>
      </c>
      <c r="J3784" s="284">
        <v>0</v>
      </c>
    </row>
    <row r="3785" spans="3:10" x14ac:dyDescent="0.25">
      <c r="C3785" s="300" t="s">
        <v>1060</v>
      </c>
      <c r="D3785" s="283" t="s">
        <v>1077</v>
      </c>
      <c r="E3785" s="283" t="s">
        <v>1076</v>
      </c>
      <c r="F3785" s="283" t="s">
        <v>1089</v>
      </c>
      <c r="G3785" s="283">
        <v>2</v>
      </c>
      <c r="H3785" s="283">
        <v>0</v>
      </c>
      <c r="I3785" s="283">
        <v>0</v>
      </c>
      <c r="J3785" s="284">
        <v>0</v>
      </c>
    </row>
    <row r="3786" spans="3:10" x14ac:dyDescent="0.25">
      <c r="C3786" s="300" t="s">
        <v>1065</v>
      </c>
      <c r="D3786" s="283" t="s">
        <v>1079</v>
      </c>
      <c r="E3786" s="283" t="s">
        <v>1075</v>
      </c>
      <c r="F3786" s="283" t="s">
        <v>1075</v>
      </c>
      <c r="G3786" s="283">
        <v>2</v>
      </c>
      <c r="H3786" s="283">
        <v>0</v>
      </c>
      <c r="I3786" s="283">
        <v>0</v>
      </c>
      <c r="J3786" s="284">
        <v>0</v>
      </c>
    </row>
    <row r="3787" spans="3:10" x14ac:dyDescent="0.25">
      <c r="C3787" s="300" t="s">
        <v>1066</v>
      </c>
      <c r="D3787" s="283" t="s">
        <v>1074</v>
      </c>
      <c r="E3787" s="283" t="s">
        <v>1089</v>
      </c>
      <c r="F3787" s="283" t="s">
        <v>1044</v>
      </c>
      <c r="G3787" s="283">
        <v>2</v>
      </c>
      <c r="H3787" s="283">
        <v>0</v>
      </c>
      <c r="I3787" s="283">
        <v>0</v>
      </c>
      <c r="J3787" s="284">
        <v>1</v>
      </c>
    </row>
    <row r="3788" spans="3:10" x14ac:dyDescent="0.25">
      <c r="C3788" s="300" t="s">
        <v>1064</v>
      </c>
      <c r="D3788" s="283" t="s">
        <v>1074</v>
      </c>
      <c r="E3788" s="283" t="s">
        <v>1075</v>
      </c>
      <c r="F3788" s="283" t="s">
        <v>1075</v>
      </c>
      <c r="G3788" s="283">
        <v>2</v>
      </c>
      <c r="H3788" s="283">
        <v>0</v>
      </c>
      <c r="I3788" s="283">
        <v>0</v>
      </c>
      <c r="J3788" s="284">
        <v>0</v>
      </c>
    </row>
    <row r="3789" spans="3:10" x14ac:dyDescent="0.25">
      <c r="C3789" s="300" t="s">
        <v>1065</v>
      </c>
      <c r="D3789" s="283" t="s">
        <v>1077</v>
      </c>
      <c r="E3789" s="283" t="s">
        <v>1078</v>
      </c>
      <c r="F3789" s="283" t="s">
        <v>1075</v>
      </c>
      <c r="G3789" s="283">
        <v>2</v>
      </c>
      <c r="H3789" s="283">
        <v>0</v>
      </c>
      <c r="I3789" s="283">
        <v>0</v>
      </c>
      <c r="J3789" s="284">
        <v>0</v>
      </c>
    </row>
    <row r="3790" spans="3:10" x14ac:dyDescent="0.25">
      <c r="C3790" s="300" t="s">
        <v>1063</v>
      </c>
      <c r="D3790" s="283" t="s">
        <v>1077</v>
      </c>
      <c r="E3790" s="283" t="s">
        <v>1075</v>
      </c>
      <c r="F3790" s="283" t="s">
        <v>1078</v>
      </c>
      <c r="G3790" s="283">
        <v>2</v>
      </c>
      <c r="H3790" s="283">
        <v>0</v>
      </c>
      <c r="I3790" s="283">
        <v>0</v>
      </c>
      <c r="J3790" s="284">
        <v>0</v>
      </c>
    </row>
    <row r="3791" spans="3:10" x14ac:dyDescent="0.25">
      <c r="C3791" s="300" t="s">
        <v>1067</v>
      </c>
      <c r="D3791" s="283" t="s">
        <v>1087</v>
      </c>
      <c r="E3791" s="283" t="s">
        <v>1075</v>
      </c>
      <c r="F3791" s="283" t="s">
        <v>524</v>
      </c>
      <c r="G3791" s="283">
        <v>1</v>
      </c>
      <c r="H3791" s="283">
        <v>0</v>
      </c>
      <c r="I3791" s="283">
        <v>0</v>
      </c>
      <c r="J3791" s="284">
        <v>1</v>
      </c>
    </row>
    <row r="3792" spans="3:10" x14ac:dyDescent="0.25">
      <c r="C3792" s="300" t="s">
        <v>1061</v>
      </c>
      <c r="D3792" s="283" t="s">
        <v>1043</v>
      </c>
      <c r="E3792" s="283" t="s">
        <v>1075</v>
      </c>
      <c r="F3792" s="283" t="s">
        <v>1092</v>
      </c>
      <c r="G3792" s="283">
        <v>4</v>
      </c>
      <c r="H3792" s="283">
        <v>0</v>
      </c>
      <c r="I3792" s="283">
        <v>0</v>
      </c>
      <c r="J3792" s="284">
        <v>4</v>
      </c>
    </row>
    <row r="3793" spans="3:10" x14ac:dyDescent="0.25">
      <c r="C3793" s="300" t="s">
        <v>1064</v>
      </c>
      <c r="D3793" s="283" t="s">
        <v>1043</v>
      </c>
      <c r="E3793" s="283" t="s">
        <v>1075</v>
      </c>
      <c r="F3793" s="283" t="s">
        <v>1092</v>
      </c>
      <c r="G3793" s="283">
        <v>2</v>
      </c>
      <c r="H3793" s="283">
        <v>0</v>
      </c>
      <c r="I3793" s="283">
        <v>1</v>
      </c>
      <c r="J3793" s="284">
        <v>0</v>
      </c>
    </row>
    <row r="3794" spans="3:10" x14ac:dyDescent="0.25">
      <c r="C3794" s="300" t="s">
        <v>1065</v>
      </c>
      <c r="D3794" s="283" t="s">
        <v>1074</v>
      </c>
      <c r="E3794" s="283" t="s">
        <v>1075</v>
      </c>
      <c r="F3794" s="283" t="s">
        <v>1076</v>
      </c>
      <c r="G3794" s="283">
        <v>6</v>
      </c>
      <c r="H3794" s="283">
        <v>0</v>
      </c>
      <c r="I3794" s="283">
        <v>0</v>
      </c>
      <c r="J3794" s="284">
        <v>0</v>
      </c>
    </row>
    <row r="3795" spans="3:10" x14ac:dyDescent="0.25">
      <c r="C3795" s="300" t="s">
        <v>1064</v>
      </c>
      <c r="D3795" s="283" t="s">
        <v>1079</v>
      </c>
      <c r="E3795" s="283" t="s">
        <v>1078</v>
      </c>
      <c r="F3795" s="283" t="s">
        <v>1078</v>
      </c>
      <c r="G3795" s="283">
        <v>2</v>
      </c>
      <c r="H3795" s="283">
        <v>0</v>
      </c>
      <c r="I3795" s="283">
        <v>0</v>
      </c>
      <c r="J3795" s="284">
        <v>1</v>
      </c>
    </row>
    <row r="3796" spans="3:10" x14ac:dyDescent="0.25">
      <c r="C3796" s="300" t="s">
        <v>1067</v>
      </c>
      <c r="D3796" s="283" t="s">
        <v>1079</v>
      </c>
      <c r="E3796" s="283" t="s">
        <v>1078</v>
      </c>
      <c r="F3796" s="283" t="s">
        <v>1089</v>
      </c>
      <c r="G3796" s="283">
        <v>2</v>
      </c>
      <c r="H3796" s="283">
        <v>0</v>
      </c>
      <c r="I3796" s="283">
        <v>0</v>
      </c>
      <c r="J3796" s="284">
        <v>0</v>
      </c>
    </row>
    <row r="3797" spans="3:10" x14ac:dyDescent="0.25">
      <c r="C3797" s="300" t="s">
        <v>1062</v>
      </c>
      <c r="D3797" s="283" t="s">
        <v>1077</v>
      </c>
      <c r="E3797" s="283" t="s">
        <v>1075</v>
      </c>
      <c r="F3797" s="283" t="s">
        <v>1084</v>
      </c>
      <c r="G3797" s="283">
        <v>2</v>
      </c>
      <c r="H3797" s="283">
        <v>0</v>
      </c>
      <c r="I3797" s="283">
        <v>0</v>
      </c>
      <c r="J3797" s="284">
        <v>0</v>
      </c>
    </row>
    <row r="3798" spans="3:10" x14ac:dyDescent="0.25">
      <c r="C3798" s="300" t="s">
        <v>1062</v>
      </c>
      <c r="D3798" s="283" t="s">
        <v>1079</v>
      </c>
      <c r="E3798" s="283" t="s">
        <v>1080</v>
      </c>
      <c r="F3798" s="283" t="s">
        <v>1075</v>
      </c>
      <c r="G3798" s="283">
        <v>2</v>
      </c>
      <c r="H3798" s="283">
        <v>0</v>
      </c>
      <c r="I3798" s="283">
        <v>0</v>
      </c>
      <c r="J3798" s="284">
        <v>0</v>
      </c>
    </row>
    <row r="3799" spans="3:10" x14ac:dyDescent="0.25">
      <c r="C3799" s="300" t="s">
        <v>1061</v>
      </c>
      <c r="D3799" s="283" t="s">
        <v>1074</v>
      </c>
      <c r="E3799" s="283" t="s">
        <v>1089</v>
      </c>
      <c r="F3799" s="283" t="s">
        <v>1075</v>
      </c>
      <c r="G3799" s="283">
        <v>2</v>
      </c>
      <c r="H3799" s="283">
        <v>0</v>
      </c>
      <c r="I3799" s="283">
        <v>0</v>
      </c>
      <c r="J3799" s="284">
        <v>0</v>
      </c>
    </row>
    <row r="3800" spans="3:10" x14ac:dyDescent="0.25">
      <c r="C3800" s="300" t="s">
        <v>1063</v>
      </c>
      <c r="D3800" s="283" t="s">
        <v>1079</v>
      </c>
      <c r="E3800" s="283" t="s">
        <v>1089</v>
      </c>
      <c r="F3800" s="283" t="s">
        <v>1084</v>
      </c>
      <c r="G3800" s="283">
        <v>2</v>
      </c>
      <c r="H3800" s="283">
        <v>0</v>
      </c>
      <c r="I3800" s="283">
        <v>0</v>
      </c>
      <c r="J3800" s="284">
        <v>0</v>
      </c>
    </row>
    <row r="3801" spans="3:10" x14ac:dyDescent="0.25">
      <c r="C3801" s="300" t="s">
        <v>1063</v>
      </c>
      <c r="D3801" s="283" t="s">
        <v>1077</v>
      </c>
      <c r="E3801" s="283" t="s">
        <v>1086</v>
      </c>
      <c r="F3801" s="283" t="s">
        <v>1075</v>
      </c>
      <c r="G3801" s="283">
        <v>2</v>
      </c>
      <c r="H3801" s="283">
        <v>0</v>
      </c>
      <c r="I3801" s="283">
        <v>0</v>
      </c>
      <c r="J3801" s="284">
        <v>0</v>
      </c>
    </row>
    <row r="3802" spans="3:10" x14ac:dyDescent="0.25">
      <c r="C3802" s="300" t="s">
        <v>1064</v>
      </c>
      <c r="D3802" s="283" t="s">
        <v>1077</v>
      </c>
      <c r="E3802" s="283" t="s">
        <v>1089</v>
      </c>
      <c r="F3802" s="283" t="s">
        <v>1075</v>
      </c>
      <c r="G3802" s="283">
        <v>2</v>
      </c>
      <c r="H3802" s="283">
        <v>0</v>
      </c>
      <c r="I3802" s="283">
        <v>0</v>
      </c>
      <c r="J3802" s="284">
        <v>1</v>
      </c>
    </row>
    <row r="3803" spans="3:10" x14ac:dyDescent="0.25">
      <c r="C3803" s="300" t="s">
        <v>1064</v>
      </c>
      <c r="D3803" s="283" t="s">
        <v>1079</v>
      </c>
      <c r="E3803" s="283" t="s">
        <v>1075</v>
      </c>
      <c r="F3803" s="283" t="s">
        <v>1078</v>
      </c>
      <c r="G3803" s="283">
        <v>2</v>
      </c>
      <c r="H3803" s="283">
        <v>0</v>
      </c>
      <c r="I3803" s="283">
        <v>0</v>
      </c>
      <c r="J3803" s="284">
        <v>0</v>
      </c>
    </row>
    <row r="3804" spans="3:10" x14ac:dyDescent="0.25">
      <c r="C3804" s="300" t="s">
        <v>1065</v>
      </c>
      <c r="D3804" s="283" t="s">
        <v>1074</v>
      </c>
      <c r="E3804" s="283" t="s">
        <v>1075</v>
      </c>
      <c r="F3804" s="283" t="s">
        <v>1089</v>
      </c>
      <c r="G3804" s="283">
        <v>2</v>
      </c>
      <c r="H3804" s="283">
        <v>0</v>
      </c>
      <c r="I3804" s="283">
        <v>0</v>
      </c>
      <c r="J3804" s="284">
        <v>0</v>
      </c>
    </row>
    <row r="3805" spans="3:10" x14ac:dyDescent="0.25">
      <c r="C3805" s="300" t="s">
        <v>1063</v>
      </c>
      <c r="D3805" s="283" t="s">
        <v>1079</v>
      </c>
      <c r="E3805" s="283" t="s">
        <v>1075</v>
      </c>
      <c r="F3805" s="283" t="s">
        <v>1089</v>
      </c>
      <c r="G3805" s="283">
        <v>2</v>
      </c>
      <c r="H3805" s="283">
        <v>0</v>
      </c>
      <c r="I3805" s="283">
        <v>0</v>
      </c>
      <c r="J3805" s="284">
        <v>0</v>
      </c>
    </row>
    <row r="3806" spans="3:10" x14ac:dyDescent="0.25">
      <c r="C3806" s="300" t="s">
        <v>1067</v>
      </c>
      <c r="D3806" s="283" t="s">
        <v>1090</v>
      </c>
      <c r="E3806" s="283" t="s">
        <v>1075</v>
      </c>
      <c r="F3806" s="283" t="s">
        <v>524</v>
      </c>
      <c r="G3806" s="283">
        <v>1</v>
      </c>
      <c r="H3806" s="283">
        <v>0</v>
      </c>
      <c r="I3806" s="283">
        <v>0</v>
      </c>
      <c r="J3806" s="284">
        <v>0</v>
      </c>
    </row>
    <row r="3807" spans="3:10" x14ac:dyDescent="0.25">
      <c r="C3807" s="300" t="s">
        <v>1063</v>
      </c>
      <c r="D3807" s="283" t="s">
        <v>1079</v>
      </c>
      <c r="E3807" s="283" t="s">
        <v>1075</v>
      </c>
      <c r="F3807" s="283" t="s">
        <v>1075</v>
      </c>
      <c r="G3807" s="283">
        <v>2</v>
      </c>
      <c r="H3807" s="283">
        <v>0</v>
      </c>
      <c r="I3807" s="283">
        <v>0</v>
      </c>
      <c r="J3807" s="284">
        <v>0</v>
      </c>
    </row>
    <row r="3808" spans="3:10" x14ac:dyDescent="0.25">
      <c r="C3808" s="300" t="s">
        <v>1061</v>
      </c>
      <c r="D3808" s="283" t="s">
        <v>1077</v>
      </c>
      <c r="E3808" s="283" t="s">
        <v>1075</v>
      </c>
      <c r="F3808" s="283" t="s">
        <v>1076</v>
      </c>
      <c r="G3808" s="283">
        <v>2</v>
      </c>
      <c r="H3808" s="283">
        <v>0</v>
      </c>
      <c r="I3808" s="283">
        <v>0</v>
      </c>
      <c r="J3808" s="284">
        <v>0</v>
      </c>
    </row>
    <row r="3809" spans="3:10" x14ac:dyDescent="0.25">
      <c r="C3809" s="300" t="s">
        <v>1064</v>
      </c>
      <c r="D3809" s="283" t="s">
        <v>1077</v>
      </c>
      <c r="E3809" s="283" t="s">
        <v>1084</v>
      </c>
      <c r="F3809" s="283" t="s">
        <v>1078</v>
      </c>
      <c r="G3809" s="283">
        <v>2</v>
      </c>
      <c r="H3809" s="283">
        <v>0</v>
      </c>
      <c r="I3809" s="283">
        <v>0</v>
      </c>
      <c r="J3809" s="284">
        <v>0</v>
      </c>
    </row>
    <row r="3810" spans="3:10" x14ac:dyDescent="0.25">
      <c r="C3810" s="300" t="s">
        <v>1066</v>
      </c>
      <c r="D3810" s="283" t="s">
        <v>1074</v>
      </c>
      <c r="E3810" s="283" t="s">
        <v>1089</v>
      </c>
      <c r="F3810" s="283" t="s">
        <v>1075</v>
      </c>
      <c r="G3810" s="283">
        <v>2</v>
      </c>
      <c r="H3810" s="283">
        <v>0</v>
      </c>
      <c r="I3810" s="283">
        <v>0</v>
      </c>
      <c r="J3810" s="284">
        <v>0</v>
      </c>
    </row>
    <row r="3811" spans="3:10" x14ac:dyDescent="0.25">
      <c r="C3811" s="300" t="s">
        <v>1066</v>
      </c>
      <c r="D3811" s="283" t="s">
        <v>1090</v>
      </c>
      <c r="E3811" s="283" t="s">
        <v>1093</v>
      </c>
      <c r="F3811" s="283" t="s">
        <v>524</v>
      </c>
      <c r="G3811" s="283">
        <v>1</v>
      </c>
      <c r="H3811" s="283">
        <v>0</v>
      </c>
      <c r="I3811" s="283">
        <v>0</v>
      </c>
      <c r="J3811" s="284">
        <v>1</v>
      </c>
    </row>
    <row r="3812" spans="3:10" x14ac:dyDescent="0.25">
      <c r="C3812" s="300" t="s">
        <v>1065</v>
      </c>
      <c r="D3812" s="283" t="s">
        <v>1077</v>
      </c>
      <c r="E3812" s="283" t="s">
        <v>1075</v>
      </c>
      <c r="F3812" s="283" t="s">
        <v>1075</v>
      </c>
      <c r="G3812" s="283">
        <v>3</v>
      </c>
      <c r="H3812" s="283">
        <v>0</v>
      </c>
      <c r="I3812" s="283">
        <v>0</v>
      </c>
      <c r="J3812" s="284">
        <v>0</v>
      </c>
    </row>
    <row r="3813" spans="3:10" x14ac:dyDescent="0.25">
      <c r="C3813" s="300" t="s">
        <v>1062</v>
      </c>
      <c r="D3813" s="283" t="s">
        <v>1077</v>
      </c>
      <c r="E3813" s="283" t="s">
        <v>1075</v>
      </c>
      <c r="F3813" s="283" t="s">
        <v>1075</v>
      </c>
      <c r="G3813" s="283">
        <v>2</v>
      </c>
      <c r="H3813" s="283">
        <v>0</v>
      </c>
      <c r="I3813" s="283">
        <v>0</v>
      </c>
      <c r="J3813" s="284">
        <v>1</v>
      </c>
    </row>
    <row r="3814" spans="3:10" x14ac:dyDescent="0.25">
      <c r="C3814" s="300" t="s">
        <v>1057</v>
      </c>
      <c r="D3814" s="283" t="s">
        <v>1087</v>
      </c>
      <c r="E3814" s="283" t="s">
        <v>1075</v>
      </c>
      <c r="F3814" s="283" t="s">
        <v>524</v>
      </c>
      <c r="G3814" s="283">
        <v>1</v>
      </c>
      <c r="H3814" s="283">
        <v>0</v>
      </c>
      <c r="I3814" s="283">
        <v>0</v>
      </c>
      <c r="J3814" s="284">
        <v>0</v>
      </c>
    </row>
    <row r="3815" spans="3:10" x14ac:dyDescent="0.25">
      <c r="C3815" s="300" t="s">
        <v>1067</v>
      </c>
      <c r="D3815" s="283" t="s">
        <v>1079</v>
      </c>
      <c r="E3815" s="283" t="s">
        <v>1086</v>
      </c>
      <c r="F3815" s="283" t="s">
        <v>1075</v>
      </c>
      <c r="G3815" s="283">
        <v>2</v>
      </c>
      <c r="H3815" s="283">
        <v>0</v>
      </c>
      <c r="I3815" s="283">
        <v>0</v>
      </c>
      <c r="J3815" s="284">
        <v>0</v>
      </c>
    </row>
    <row r="3816" spans="3:10" x14ac:dyDescent="0.25">
      <c r="C3816" s="300" t="s">
        <v>1063</v>
      </c>
      <c r="D3816" s="283" t="s">
        <v>1077</v>
      </c>
      <c r="E3816" s="283" t="s">
        <v>1075</v>
      </c>
      <c r="F3816" s="283" t="s">
        <v>1076</v>
      </c>
      <c r="G3816" s="283">
        <v>2</v>
      </c>
      <c r="H3816" s="283">
        <v>0</v>
      </c>
      <c r="I3816" s="283">
        <v>0</v>
      </c>
      <c r="J3816" s="284">
        <v>0</v>
      </c>
    </row>
    <row r="3817" spans="3:10" x14ac:dyDescent="0.25">
      <c r="C3817" s="300" t="s">
        <v>1064</v>
      </c>
      <c r="D3817" s="283" t="s">
        <v>1079</v>
      </c>
      <c r="E3817" s="283" t="s">
        <v>1091</v>
      </c>
      <c r="F3817" s="283" t="s">
        <v>1089</v>
      </c>
      <c r="G3817" s="283">
        <v>2</v>
      </c>
      <c r="H3817" s="283">
        <v>0</v>
      </c>
      <c r="I3817" s="283">
        <v>0</v>
      </c>
      <c r="J3817" s="284">
        <v>0</v>
      </c>
    </row>
    <row r="3818" spans="3:10" x14ac:dyDescent="0.25">
      <c r="C3818" s="300" t="s">
        <v>1059</v>
      </c>
      <c r="D3818" s="283" t="s">
        <v>1079</v>
      </c>
      <c r="E3818" s="283" t="s">
        <v>1075</v>
      </c>
      <c r="F3818" s="283" t="s">
        <v>1076</v>
      </c>
      <c r="G3818" s="283">
        <v>2</v>
      </c>
      <c r="H3818" s="283">
        <v>0</v>
      </c>
      <c r="I3818" s="283">
        <v>0</v>
      </c>
      <c r="J3818" s="284">
        <v>1</v>
      </c>
    </row>
    <row r="3819" spans="3:10" x14ac:dyDescent="0.25">
      <c r="C3819" s="300" t="s">
        <v>1064</v>
      </c>
      <c r="D3819" s="283" t="s">
        <v>1082</v>
      </c>
      <c r="E3819" s="283" t="s">
        <v>1089</v>
      </c>
      <c r="F3819" s="283" t="s">
        <v>1075</v>
      </c>
      <c r="G3819" s="283">
        <v>2</v>
      </c>
      <c r="H3819" s="283">
        <v>0</v>
      </c>
      <c r="I3819" s="283">
        <v>2</v>
      </c>
      <c r="J3819" s="284">
        <v>0</v>
      </c>
    </row>
    <row r="3820" spans="3:10" x14ac:dyDescent="0.25">
      <c r="C3820" s="300" t="s">
        <v>1064</v>
      </c>
      <c r="D3820" s="283" t="s">
        <v>1079</v>
      </c>
      <c r="E3820" s="283" t="s">
        <v>1044</v>
      </c>
      <c r="F3820" s="283" t="s">
        <v>1089</v>
      </c>
      <c r="G3820" s="283">
        <v>2</v>
      </c>
      <c r="H3820" s="283">
        <v>0</v>
      </c>
      <c r="I3820" s="283">
        <v>0</v>
      </c>
      <c r="J3820" s="284">
        <v>0</v>
      </c>
    </row>
    <row r="3821" spans="3:10" x14ac:dyDescent="0.25">
      <c r="C3821" s="300" t="s">
        <v>1064</v>
      </c>
      <c r="D3821" s="283" t="s">
        <v>1079</v>
      </c>
      <c r="E3821" s="283" t="s">
        <v>1075</v>
      </c>
      <c r="F3821" s="283" t="s">
        <v>1080</v>
      </c>
      <c r="G3821" s="283">
        <v>2</v>
      </c>
      <c r="H3821" s="283">
        <v>0</v>
      </c>
      <c r="I3821" s="283">
        <v>0</v>
      </c>
      <c r="J3821" s="284">
        <v>0</v>
      </c>
    </row>
    <row r="3822" spans="3:10" x14ac:dyDescent="0.25">
      <c r="C3822" s="300" t="s">
        <v>1066</v>
      </c>
      <c r="D3822" s="283" t="s">
        <v>1087</v>
      </c>
      <c r="E3822" s="283" t="s">
        <v>1094</v>
      </c>
      <c r="F3822" s="283" t="s">
        <v>524</v>
      </c>
      <c r="G3822" s="283">
        <v>1</v>
      </c>
      <c r="H3822" s="283">
        <v>0</v>
      </c>
      <c r="I3822" s="283">
        <v>0</v>
      </c>
      <c r="J3822" s="284">
        <v>0</v>
      </c>
    </row>
    <row r="3823" spans="3:10" x14ac:dyDescent="0.25">
      <c r="C3823" s="300" t="s">
        <v>1061</v>
      </c>
      <c r="D3823" s="283" t="s">
        <v>1074</v>
      </c>
      <c r="E3823" s="283" t="s">
        <v>1076</v>
      </c>
      <c r="F3823" s="283" t="s">
        <v>1075</v>
      </c>
      <c r="G3823" s="283">
        <v>2</v>
      </c>
      <c r="H3823" s="283">
        <v>0</v>
      </c>
      <c r="I3823" s="283">
        <v>1</v>
      </c>
      <c r="J3823" s="284">
        <v>0</v>
      </c>
    </row>
    <row r="3824" spans="3:10" x14ac:dyDescent="0.25">
      <c r="C3824" s="300" t="s">
        <v>1061</v>
      </c>
      <c r="D3824" s="283" t="s">
        <v>1077</v>
      </c>
      <c r="E3824" s="283" t="s">
        <v>1076</v>
      </c>
      <c r="F3824" s="283" t="s">
        <v>1075</v>
      </c>
      <c r="G3824" s="283">
        <v>2</v>
      </c>
      <c r="H3824" s="283">
        <v>0</v>
      </c>
      <c r="I3824" s="283">
        <v>0</v>
      </c>
      <c r="J3824" s="284">
        <v>1</v>
      </c>
    </row>
    <row r="3825" spans="3:10" x14ac:dyDescent="0.25">
      <c r="C3825" s="300" t="s">
        <v>1066</v>
      </c>
      <c r="D3825" s="283" t="s">
        <v>1077</v>
      </c>
      <c r="E3825" s="283" t="s">
        <v>1084</v>
      </c>
      <c r="F3825" s="283" t="s">
        <v>1075</v>
      </c>
      <c r="G3825" s="283">
        <v>2</v>
      </c>
      <c r="H3825" s="283">
        <v>0</v>
      </c>
      <c r="I3825" s="283">
        <v>0</v>
      </c>
      <c r="J3825" s="284">
        <v>0</v>
      </c>
    </row>
    <row r="3826" spans="3:10" x14ac:dyDescent="0.25">
      <c r="C3826" s="300" t="s">
        <v>1067</v>
      </c>
      <c r="D3826" s="283" t="s">
        <v>1077</v>
      </c>
      <c r="E3826" s="283" t="s">
        <v>1078</v>
      </c>
      <c r="F3826" s="283" t="s">
        <v>1075</v>
      </c>
      <c r="G3826" s="283">
        <v>2</v>
      </c>
      <c r="H3826" s="283">
        <v>0</v>
      </c>
      <c r="I3826" s="283">
        <v>0</v>
      </c>
      <c r="J3826" s="284">
        <v>0</v>
      </c>
    </row>
    <row r="3827" spans="3:10" x14ac:dyDescent="0.25">
      <c r="C3827" s="300" t="s">
        <v>1065</v>
      </c>
      <c r="D3827" s="283" t="s">
        <v>1077</v>
      </c>
      <c r="E3827" s="283" t="s">
        <v>1075</v>
      </c>
      <c r="F3827" s="283" t="s">
        <v>1089</v>
      </c>
      <c r="G3827" s="283">
        <v>2</v>
      </c>
      <c r="H3827" s="283">
        <v>0</v>
      </c>
      <c r="I3827" s="283">
        <v>0</v>
      </c>
      <c r="J3827" s="284">
        <v>0</v>
      </c>
    </row>
    <row r="3828" spans="3:10" x14ac:dyDescent="0.25">
      <c r="C3828" s="300" t="s">
        <v>1066</v>
      </c>
      <c r="D3828" s="283" t="s">
        <v>1087</v>
      </c>
      <c r="E3828" s="283" t="s">
        <v>1075</v>
      </c>
      <c r="F3828" s="283" t="s">
        <v>524</v>
      </c>
      <c r="G3828" s="283">
        <v>1</v>
      </c>
      <c r="H3828" s="283">
        <v>0</v>
      </c>
      <c r="I3828" s="283">
        <v>0</v>
      </c>
      <c r="J3828" s="284">
        <v>0</v>
      </c>
    </row>
    <row r="3829" spans="3:10" x14ac:dyDescent="0.25">
      <c r="C3829" s="300" t="s">
        <v>1060</v>
      </c>
      <c r="D3829" s="283" t="s">
        <v>1077</v>
      </c>
      <c r="E3829" s="283" t="s">
        <v>1075</v>
      </c>
      <c r="F3829" s="283" t="s">
        <v>1075</v>
      </c>
      <c r="G3829" s="283">
        <v>3</v>
      </c>
      <c r="H3829" s="283">
        <v>0</v>
      </c>
      <c r="I3829" s="283">
        <v>0</v>
      </c>
      <c r="J3829" s="284">
        <v>0</v>
      </c>
    </row>
    <row r="3830" spans="3:10" x14ac:dyDescent="0.25">
      <c r="C3830" s="300" t="s">
        <v>1062</v>
      </c>
      <c r="D3830" s="283" t="s">
        <v>1079</v>
      </c>
      <c r="E3830" s="283" t="s">
        <v>1075</v>
      </c>
      <c r="F3830" s="283" t="s">
        <v>1089</v>
      </c>
      <c r="G3830" s="283">
        <v>2</v>
      </c>
      <c r="H3830" s="283">
        <v>0</v>
      </c>
      <c r="I3830" s="283">
        <v>0</v>
      </c>
      <c r="J3830" s="284">
        <v>0</v>
      </c>
    </row>
    <row r="3831" spans="3:10" x14ac:dyDescent="0.25">
      <c r="C3831" s="300" t="s">
        <v>1064</v>
      </c>
      <c r="D3831" s="283" t="s">
        <v>1079</v>
      </c>
      <c r="E3831" s="283" t="s">
        <v>1084</v>
      </c>
      <c r="F3831" s="283" t="s">
        <v>1083</v>
      </c>
      <c r="G3831" s="283">
        <v>2</v>
      </c>
      <c r="H3831" s="283">
        <v>0</v>
      </c>
      <c r="I3831" s="283">
        <v>0</v>
      </c>
      <c r="J3831" s="284">
        <v>1</v>
      </c>
    </row>
    <row r="3832" spans="3:10" x14ac:dyDescent="0.25">
      <c r="C3832" s="300" t="s">
        <v>1068</v>
      </c>
      <c r="D3832" s="283" t="s">
        <v>1077</v>
      </c>
      <c r="E3832" s="283" t="s">
        <v>1075</v>
      </c>
      <c r="F3832" s="283" t="s">
        <v>1075</v>
      </c>
      <c r="G3832" s="283">
        <v>2</v>
      </c>
      <c r="H3832" s="283">
        <v>0</v>
      </c>
      <c r="I3832" s="283">
        <v>0</v>
      </c>
      <c r="J3832" s="284">
        <v>0</v>
      </c>
    </row>
    <row r="3833" spans="3:10" x14ac:dyDescent="0.25">
      <c r="C3833" s="300" t="s">
        <v>1059</v>
      </c>
      <c r="D3833" s="283" t="s">
        <v>1077</v>
      </c>
      <c r="E3833" s="283" t="s">
        <v>1089</v>
      </c>
      <c r="F3833" s="283" t="s">
        <v>1080</v>
      </c>
      <c r="G3833" s="283">
        <v>2</v>
      </c>
      <c r="H3833" s="283">
        <v>0</v>
      </c>
      <c r="I3833" s="283">
        <v>1</v>
      </c>
      <c r="J3833" s="284">
        <v>1</v>
      </c>
    </row>
    <row r="3834" spans="3:10" x14ac:dyDescent="0.25">
      <c r="C3834" s="300" t="s">
        <v>1067</v>
      </c>
      <c r="D3834" s="283" t="s">
        <v>1077</v>
      </c>
      <c r="E3834" s="283" t="s">
        <v>1075</v>
      </c>
      <c r="F3834" s="283" t="s">
        <v>1093</v>
      </c>
      <c r="G3834" s="283">
        <v>2</v>
      </c>
      <c r="H3834" s="283">
        <v>0</v>
      </c>
      <c r="I3834" s="283">
        <v>0</v>
      </c>
      <c r="J3834" s="284">
        <v>1</v>
      </c>
    </row>
    <row r="3835" spans="3:10" x14ac:dyDescent="0.25">
      <c r="C3835" s="300" t="s">
        <v>1060</v>
      </c>
      <c r="D3835" s="283" t="s">
        <v>1043</v>
      </c>
      <c r="E3835" s="283" t="s">
        <v>1084</v>
      </c>
      <c r="F3835" s="283" t="s">
        <v>1092</v>
      </c>
      <c r="G3835" s="283">
        <v>2</v>
      </c>
      <c r="H3835" s="283">
        <v>0</v>
      </c>
      <c r="I3835" s="283">
        <v>0</v>
      </c>
      <c r="J3835" s="284">
        <v>1</v>
      </c>
    </row>
    <row r="3836" spans="3:10" x14ac:dyDescent="0.25">
      <c r="C3836" s="300" t="s">
        <v>1067</v>
      </c>
      <c r="D3836" s="283" t="s">
        <v>1079</v>
      </c>
      <c r="E3836" s="283" t="s">
        <v>1075</v>
      </c>
      <c r="F3836" s="283" t="s">
        <v>1044</v>
      </c>
      <c r="G3836" s="283">
        <v>2</v>
      </c>
      <c r="H3836" s="283">
        <v>0</v>
      </c>
      <c r="I3836" s="283">
        <v>0</v>
      </c>
      <c r="J3836" s="284">
        <v>0</v>
      </c>
    </row>
    <row r="3837" spans="3:10" x14ac:dyDescent="0.25">
      <c r="C3837" s="300" t="s">
        <v>1058</v>
      </c>
      <c r="D3837" s="283" t="s">
        <v>1087</v>
      </c>
      <c r="E3837" s="283" t="s">
        <v>1080</v>
      </c>
      <c r="F3837" s="283" t="s">
        <v>1086</v>
      </c>
      <c r="G3837" s="283">
        <v>2</v>
      </c>
      <c r="H3837" s="283">
        <v>0</v>
      </c>
      <c r="I3837" s="283">
        <v>0</v>
      </c>
      <c r="J3837" s="284">
        <v>0</v>
      </c>
    </row>
    <row r="3838" spans="3:10" x14ac:dyDescent="0.25">
      <c r="C3838" s="300" t="s">
        <v>1065</v>
      </c>
      <c r="D3838" s="283" t="s">
        <v>1074</v>
      </c>
      <c r="E3838" s="283" t="s">
        <v>1075</v>
      </c>
      <c r="F3838" s="283" t="s">
        <v>1076</v>
      </c>
      <c r="G3838" s="283">
        <v>2</v>
      </c>
      <c r="H3838" s="283">
        <v>0</v>
      </c>
      <c r="I3838" s="283">
        <v>2</v>
      </c>
      <c r="J3838" s="284">
        <v>0</v>
      </c>
    </row>
    <row r="3839" spans="3:10" x14ac:dyDescent="0.25">
      <c r="C3839" s="300" t="s">
        <v>1060</v>
      </c>
      <c r="D3839" s="283" t="s">
        <v>1079</v>
      </c>
      <c r="E3839" s="283" t="s">
        <v>1075</v>
      </c>
      <c r="F3839" s="283" t="s">
        <v>1075</v>
      </c>
      <c r="G3839" s="283">
        <v>2</v>
      </c>
      <c r="H3839" s="283">
        <v>0</v>
      </c>
      <c r="I3839" s="283">
        <v>0</v>
      </c>
      <c r="J3839" s="284">
        <v>1</v>
      </c>
    </row>
    <row r="3840" spans="3:10" x14ac:dyDescent="0.25">
      <c r="C3840" s="300" t="s">
        <v>1065</v>
      </c>
      <c r="D3840" s="283" t="s">
        <v>1079</v>
      </c>
      <c r="E3840" s="283" t="s">
        <v>1083</v>
      </c>
      <c r="F3840" s="283" t="s">
        <v>1089</v>
      </c>
      <c r="G3840" s="283">
        <v>2</v>
      </c>
      <c r="H3840" s="283">
        <v>0</v>
      </c>
      <c r="I3840" s="283">
        <v>0</v>
      </c>
      <c r="J3840" s="284">
        <v>0</v>
      </c>
    </row>
    <row r="3841" spans="3:10" x14ac:dyDescent="0.25">
      <c r="C3841" s="300" t="s">
        <v>1065</v>
      </c>
      <c r="D3841" s="283" t="s">
        <v>1079</v>
      </c>
      <c r="E3841" s="283" t="s">
        <v>1044</v>
      </c>
      <c r="F3841" s="283" t="s">
        <v>1075</v>
      </c>
      <c r="G3841" s="283">
        <v>2</v>
      </c>
      <c r="H3841" s="283">
        <v>0</v>
      </c>
      <c r="I3841" s="283">
        <v>1</v>
      </c>
      <c r="J3841" s="284">
        <v>0</v>
      </c>
    </row>
    <row r="3842" spans="3:10" x14ac:dyDescent="0.25">
      <c r="C3842" s="300" t="s">
        <v>1067</v>
      </c>
      <c r="D3842" s="283" t="s">
        <v>1087</v>
      </c>
      <c r="E3842" s="283" t="s">
        <v>1089</v>
      </c>
      <c r="F3842" s="283" t="s">
        <v>524</v>
      </c>
      <c r="G3842" s="283">
        <v>3</v>
      </c>
      <c r="H3842" s="283">
        <v>0</v>
      </c>
      <c r="I3842" s="283">
        <v>0</v>
      </c>
      <c r="J3842" s="284">
        <v>0</v>
      </c>
    </row>
    <row r="3843" spans="3:10" x14ac:dyDescent="0.25">
      <c r="C3843" s="300" t="s">
        <v>1065</v>
      </c>
      <c r="D3843" s="283" t="s">
        <v>1087</v>
      </c>
      <c r="E3843" s="283" t="s">
        <v>1075</v>
      </c>
      <c r="F3843" s="283" t="s">
        <v>524</v>
      </c>
      <c r="G3843" s="283">
        <v>1</v>
      </c>
      <c r="H3843" s="283">
        <v>0</v>
      </c>
      <c r="I3843" s="283">
        <v>0</v>
      </c>
      <c r="J3843" s="284">
        <v>2</v>
      </c>
    </row>
    <row r="3844" spans="3:10" x14ac:dyDescent="0.25">
      <c r="C3844" s="300" t="s">
        <v>1061</v>
      </c>
      <c r="D3844" s="283" t="s">
        <v>1074</v>
      </c>
      <c r="E3844" s="283" t="s">
        <v>1089</v>
      </c>
      <c r="F3844" s="283" t="s">
        <v>1089</v>
      </c>
      <c r="G3844" s="283">
        <v>2</v>
      </c>
      <c r="H3844" s="283">
        <v>0</v>
      </c>
      <c r="I3844" s="283">
        <v>0</v>
      </c>
      <c r="J3844" s="284">
        <v>0</v>
      </c>
    </row>
    <row r="3845" spans="3:10" x14ac:dyDescent="0.25">
      <c r="C3845" s="300" t="s">
        <v>1063</v>
      </c>
      <c r="D3845" s="283" t="s">
        <v>1087</v>
      </c>
      <c r="E3845" s="283" t="s">
        <v>1075</v>
      </c>
      <c r="F3845" s="283" t="s">
        <v>524</v>
      </c>
      <c r="G3845" s="283">
        <v>1</v>
      </c>
      <c r="H3845" s="283">
        <v>0</v>
      </c>
      <c r="I3845" s="283">
        <v>0</v>
      </c>
      <c r="J3845" s="284">
        <v>0</v>
      </c>
    </row>
    <row r="3846" spans="3:10" x14ac:dyDescent="0.25">
      <c r="C3846" s="300" t="s">
        <v>1066</v>
      </c>
      <c r="D3846" s="283" t="s">
        <v>1079</v>
      </c>
      <c r="E3846" s="283" t="s">
        <v>1075</v>
      </c>
      <c r="F3846" s="283" t="s">
        <v>1076</v>
      </c>
      <c r="G3846" s="283">
        <v>3</v>
      </c>
      <c r="H3846" s="283">
        <v>0</v>
      </c>
      <c r="I3846" s="283">
        <v>0</v>
      </c>
      <c r="J3846" s="284">
        <v>0</v>
      </c>
    </row>
    <row r="3847" spans="3:10" x14ac:dyDescent="0.25">
      <c r="C3847" s="300" t="s">
        <v>1065</v>
      </c>
      <c r="D3847" s="283" t="s">
        <v>1077</v>
      </c>
      <c r="E3847" s="283" t="s">
        <v>1076</v>
      </c>
      <c r="F3847" s="283" t="s">
        <v>1089</v>
      </c>
      <c r="G3847" s="283">
        <v>2</v>
      </c>
      <c r="H3847" s="283">
        <v>0</v>
      </c>
      <c r="I3847" s="283">
        <v>0</v>
      </c>
      <c r="J3847" s="284">
        <v>1</v>
      </c>
    </row>
    <row r="3848" spans="3:10" x14ac:dyDescent="0.25">
      <c r="C3848" s="300" t="s">
        <v>1068</v>
      </c>
      <c r="D3848" s="283" t="s">
        <v>1043</v>
      </c>
      <c r="E3848" s="283" t="s">
        <v>1086</v>
      </c>
      <c r="F3848" s="283" t="s">
        <v>1092</v>
      </c>
      <c r="G3848" s="283">
        <v>2</v>
      </c>
      <c r="H3848" s="283">
        <v>0</v>
      </c>
      <c r="I3848" s="283">
        <v>0</v>
      </c>
      <c r="J3848" s="284">
        <v>0</v>
      </c>
    </row>
    <row r="3849" spans="3:10" x14ac:dyDescent="0.25">
      <c r="C3849" s="300" t="s">
        <v>1061</v>
      </c>
      <c r="D3849" s="283" t="s">
        <v>1079</v>
      </c>
      <c r="E3849" s="283" t="s">
        <v>1086</v>
      </c>
      <c r="F3849" s="283" t="s">
        <v>1075</v>
      </c>
      <c r="G3849" s="283">
        <v>2</v>
      </c>
      <c r="H3849" s="283">
        <v>0</v>
      </c>
      <c r="I3849" s="283">
        <v>0</v>
      </c>
      <c r="J3849" s="284">
        <v>0</v>
      </c>
    </row>
    <row r="3850" spans="3:10" x14ac:dyDescent="0.25">
      <c r="C3850" s="300" t="s">
        <v>1064</v>
      </c>
      <c r="D3850" s="283" t="s">
        <v>1079</v>
      </c>
      <c r="E3850" s="283" t="s">
        <v>1075</v>
      </c>
      <c r="F3850" s="283" t="s">
        <v>1075</v>
      </c>
      <c r="G3850" s="283">
        <v>3</v>
      </c>
      <c r="H3850" s="283">
        <v>0</v>
      </c>
      <c r="I3850" s="283">
        <v>2</v>
      </c>
      <c r="J3850" s="284">
        <v>0</v>
      </c>
    </row>
    <row r="3851" spans="3:10" x14ac:dyDescent="0.25">
      <c r="C3851" s="300" t="s">
        <v>1063</v>
      </c>
      <c r="D3851" s="283" t="s">
        <v>1074</v>
      </c>
      <c r="E3851" s="283" t="s">
        <v>1075</v>
      </c>
      <c r="F3851" s="283" t="s">
        <v>1083</v>
      </c>
      <c r="G3851" s="283">
        <v>2</v>
      </c>
      <c r="H3851" s="283">
        <v>0</v>
      </c>
      <c r="I3851" s="283">
        <v>0</v>
      </c>
      <c r="J3851" s="284">
        <v>1</v>
      </c>
    </row>
    <row r="3852" spans="3:10" x14ac:dyDescent="0.25">
      <c r="C3852" s="300" t="s">
        <v>1065</v>
      </c>
      <c r="D3852" s="283" t="s">
        <v>1043</v>
      </c>
      <c r="E3852" s="283" t="s">
        <v>1075</v>
      </c>
      <c r="F3852" s="283" t="s">
        <v>1092</v>
      </c>
      <c r="G3852" s="283">
        <v>2</v>
      </c>
      <c r="H3852" s="283">
        <v>0</v>
      </c>
      <c r="I3852" s="283">
        <v>1</v>
      </c>
      <c r="J3852" s="284">
        <v>0</v>
      </c>
    </row>
    <row r="3853" spans="3:10" x14ac:dyDescent="0.25">
      <c r="C3853" s="300" t="s">
        <v>1061</v>
      </c>
      <c r="D3853" s="283" t="s">
        <v>1079</v>
      </c>
      <c r="E3853" s="283" t="s">
        <v>1075</v>
      </c>
      <c r="F3853" s="283" t="s">
        <v>1089</v>
      </c>
      <c r="G3853" s="283">
        <v>2</v>
      </c>
      <c r="H3853" s="283">
        <v>0</v>
      </c>
      <c r="I3853" s="283">
        <v>0</v>
      </c>
      <c r="J3853" s="284">
        <v>0</v>
      </c>
    </row>
    <row r="3854" spans="3:10" x14ac:dyDescent="0.25">
      <c r="C3854" s="300" t="s">
        <v>1067</v>
      </c>
      <c r="D3854" s="283" t="s">
        <v>1043</v>
      </c>
      <c r="E3854" s="283" t="s">
        <v>1075</v>
      </c>
      <c r="F3854" s="283" t="s">
        <v>1092</v>
      </c>
      <c r="G3854" s="283">
        <v>2</v>
      </c>
      <c r="H3854" s="283">
        <v>0</v>
      </c>
      <c r="I3854" s="283">
        <v>0</v>
      </c>
      <c r="J3854" s="284">
        <v>0</v>
      </c>
    </row>
    <row r="3855" spans="3:10" x14ac:dyDescent="0.25">
      <c r="C3855" s="300" t="s">
        <v>1059</v>
      </c>
      <c r="D3855" s="283" t="s">
        <v>1077</v>
      </c>
      <c r="E3855" s="283" t="s">
        <v>1075</v>
      </c>
      <c r="F3855" s="283" t="s">
        <v>1078</v>
      </c>
      <c r="G3855" s="283">
        <v>2</v>
      </c>
      <c r="H3855" s="283">
        <v>0</v>
      </c>
      <c r="I3855" s="283">
        <v>0</v>
      </c>
      <c r="J3855" s="284">
        <v>0</v>
      </c>
    </row>
    <row r="3856" spans="3:10" x14ac:dyDescent="0.25">
      <c r="C3856" s="300" t="s">
        <v>1063</v>
      </c>
      <c r="D3856" s="283" t="s">
        <v>1079</v>
      </c>
      <c r="E3856" s="283" t="s">
        <v>1075</v>
      </c>
      <c r="F3856" s="283" t="s">
        <v>1075</v>
      </c>
      <c r="G3856" s="283">
        <v>2</v>
      </c>
      <c r="H3856" s="283">
        <v>0</v>
      </c>
      <c r="I3856" s="283">
        <v>1</v>
      </c>
      <c r="J3856" s="284">
        <v>0</v>
      </c>
    </row>
    <row r="3857" spans="3:10" x14ac:dyDescent="0.25">
      <c r="C3857" s="300" t="s">
        <v>1065</v>
      </c>
      <c r="D3857" s="283" t="s">
        <v>1079</v>
      </c>
      <c r="E3857" s="283" t="s">
        <v>1075</v>
      </c>
      <c r="F3857" s="283" t="s">
        <v>1075</v>
      </c>
      <c r="G3857" s="283">
        <v>2</v>
      </c>
      <c r="H3857" s="283">
        <v>0</v>
      </c>
      <c r="I3857" s="283">
        <v>1</v>
      </c>
      <c r="J3857" s="284">
        <v>0</v>
      </c>
    </row>
    <row r="3858" spans="3:10" x14ac:dyDescent="0.25">
      <c r="C3858" s="300" t="s">
        <v>1063</v>
      </c>
      <c r="D3858" s="283" t="s">
        <v>1079</v>
      </c>
      <c r="E3858" s="283" t="s">
        <v>1075</v>
      </c>
      <c r="F3858" s="283" t="s">
        <v>1083</v>
      </c>
      <c r="G3858" s="283">
        <v>2</v>
      </c>
      <c r="H3858" s="283">
        <v>0</v>
      </c>
      <c r="I3858" s="283">
        <v>1</v>
      </c>
      <c r="J3858" s="284">
        <v>0</v>
      </c>
    </row>
    <row r="3859" spans="3:10" x14ac:dyDescent="0.25">
      <c r="C3859" s="300" t="s">
        <v>1062</v>
      </c>
      <c r="D3859" s="283" t="s">
        <v>1074</v>
      </c>
      <c r="E3859" s="283" t="s">
        <v>1075</v>
      </c>
      <c r="F3859" s="283" t="s">
        <v>1075</v>
      </c>
      <c r="G3859" s="283">
        <v>3</v>
      </c>
      <c r="H3859" s="283">
        <v>0</v>
      </c>
      <c r="I3859" s="283">
        <v>0</v>
      </c>
      <c r="J3859" s="284">
        <v>0</v>
      </c>
    </row>
    <row r="3860" spans="3:10" x14ac:dyDescent="0.25">
      <c r="C3860" s="300" t="s">
        <v>1063</v>
      </c>
      <c r="D3860" s="283" t="s">
        <v>1077</v>
      </c>
      <c r="E3860" s="283" t="s">
        <v>1083</v>
      </c>
      <c r="F3860" s="283" t="s">
        <v>1084</v>
      </c>
      <c r="G3860" s="283">
        <v>2</v>
      </c>
      <c r="H3860" s="283">
        <v>0</v>
      </c>
      <c r="I3860" s="283">
        <v>0</v>
      </c>
      <c r="J3860" s="284">
        <v>1</v>
      </c>
    </row>
    <row r="3861" spans="3:10" x14ac:dyDescent="0.25">
      <c r="C3861" s="300" t="s">
        <v>1064</v>
      </c>
      <c r="D3861" s="283" t="s">
        <v>1077</v>
      </c>
      <c r="E3861" s="283" t="s">
        <v>1080</v>
      </c>
      <c r="F3861" s="283" t="s">
        <v>1078</v>
      </c>
      <c r="G3861" s="283">
        <v>3</v>
      </c>
      <c r="H3861" s="283">
        <v>0</v>
      </c>
      <c r="I3861" s="283">
        <v>0</v>
      </c>
      <c r="J3861" s="284">
        <v>0</v>
      </c>
    </row>
    <row r="3862" spans="3:10" x14ac:dyDescent="0.25">
      <c r="C3862" s="300" t="s">
        <v>1064</v>
      </c>
      <c r="D3862" s="283" t="s">
        <v>1087</v>
      </c>
      <c r="E3862" s="283" t="s">
        <v>1076</v>
      </c>
      <c r="F3862" s="283" t="s">
        <v>524</v>
      </c>
      <c r="G3862" s="283">
        <v>1</v>
      </c>
      <c r="H3862" s="283">
        <v>0</v>
      </c>
      <c r="I3862" s="283">
        <v>0</v>
      </c>
      <c r="J3862" s="284">
        <v>0</v>
      </c>
    </row>
    <row r="3863" spans="3:10" x14ac:dyDescent="0.25">
      <c r="C3863" s="300" t="s">
        <v>1063</v>
      </c>
      <c r="D3863" s="283" t="s">
        <v>1079</v>
      </c>
      <c r="E3863" s="283" t="s">
        <v>1075</v>
      </c>
      <c r="F3863" s="283" t="s">
        <v>1078</v>
      </c>
      <c r="G3863" s="283">
        <v>2</v>
      </c>
      <c r="H3863" s="283">
        <v>0</v>
      </c>
      <c r="I3863" s="283">
        <v>0</v>
      </c>
      <c r="J3863" s="284">
        <v>0</v>
      </c>
    </row>
    <row r="3864" spans="3:10" x14ac:dyDescent="0.25">
      <c r="C3864" s="300" t="s">
        <v>1064</v>
      </c>
      <c r="D3864" s="283" t="s">
        <v>1043</v>
      </c>
      <c r="E3864" s="283" t="s">
        <v>1075</v>
      </c>
      <c r="F3864" s="283" t="s">
        <v>1092</v>
      </c>
      <c r="G3864" s="283">
        <v>2</v>
      </c>
      <c r="H3864" s="283">
        <v>0</v>
      </c>
      <c r="I3864" s="283">
        <v>0</v>
      </c>
      <c r="J3864" s="284">
        <v>1</v>
      </c>
    </row>
    <row r="3865" spans="3:10" x14ac:dyDescent="0.25">
      <c r="C3865" s="300" t="s">
        <v>1063</v>
      </c>
      <c r="D3865" s="283" t="s">
        <v>1043</v>
      </c>
      <c r="E3865" s="283" t="s">
        <v>1086</v>
      </c>
      <c r="F3865" s="283" t="s">
        <v>1092</v>
      </c>
      <c r="G3865" s="283">
        <v>2</v>
      </c>
      <c r="H3865" s="283">
        <v>0</v>
      </c>
      <c r="I3865" s="283">
        <v>0</v>
      </c>
      <c r="J3865" s="284">
        <v>1</v>
      </c>
    </row>
    <row r="3866" spans="3:10" x14ac:dyDescent="0.25">
      <c r="C3866" s="300" t="s">
        <v>1059</v>
      </c>
      <c r="D3866" s="283" t="s">
        <v>1077</v>
      </c>
      <c r="E3866" s="283" t="s">
        <v>1080</v>
      </c>
      <c r="F3866" s="283" t="s">
        <v>1089</v>
      </c>
      <c r="G3866" s="283">
        <v>2</v>
      </c>
      <c r="H3866" s="283">
        <v>0</v>
      </c>
      <c r="I3866" s="283">
        <v>0</v>
      </c>
      <c r="J3866" s="284">
        <v>0</v>
      </c>
    </row>
    <row r="3867" spans="3:10" x14ac:dyDescent="0.25">
      <c r="C3867" s="300" t="s">
        <v>1065</v>
      </c>
      <c r="D3867" s="283" t="s">
        <v>1077</v>
      </c>
      <c r="E3867" s="283" t="s">
        <v>1089</v>
      </c>
      <c r="F3867" s="283" t="s">
        <v>1084</v>
      </c>
      <c r="G3867" s="283">
        <v>3</v>
      </c>
      <c r="H3867" s="283">
        <v>0</v>
      </c>
      <c r="I3867" s="283">
        <v>1</v>
      </c>
      <c r="J3867" s="284">
        <v>0</v>
      </c>
    </row>
    <row r="3868" spans="3:10" x14ac:dyDescent="0.25">
      <c r="C3868" s="300" t="s">
        <v>1065</v>
      </c>
      <c r="D3868" s="283" t="s">
        <v>1087</v>
      </c>
      <c r="E3868" s="283" t="s">
        <v>1075</v>
      </c>
      <c r="F3868" s="283" t="s">
        <v>524</v>
      </c>
      <c r="G3868" s="283">
        <v>1</v>
      </c>
      <c r="H3868" s="283">
        <v>0</v>
      </c>
      <c r="I3868" s="283">
        <v>1</v>
      </c>
      <c r="J3868" s="284">
        <v>0</v>
      </c>
    </row>
    <row r="3869" spans="3:10" x14ac:dyDescent="0.25">
      <c r="C3869" s="300" t="s">
        <v>1060</v>
      </c>
      <c r="D3869" s="283" t="s">
        <v>1077</v>
      </c>
      <c r="E3869" s="283" t="s">
        <v>1078</v>
      </c>
      <c r="F3869" s="283" t="s">
        <v>1089</v>
      </c>
      <c r="G3869" s="283">
        <v>3</v>
      </c>
      <c r="H3869" s="283">
        <v>0</v>
      </c>
      <c r="I3869" s="283">
        <v>0</v>
      </c>
      <c r="J3869" s="284">
        <v>0</v>
      </c>
    </row>
    <row r="3870" spans="3:10" x14ac:dyDescent="0.25">
      <c r="C3870" s="300" t="s">
        <v>1065</v>
      </c>
      <c r="D3870" s="283" t="s">
        <v>1074</v>
      </c>
      <c r="E3870" s="283" t="s">
        <v>1075</v>
      </c>
      <c r="F3870" s="283" t="s">
        <v>1083</v>
      </c>
      <c r="G3870" s="283">
        <v>2</v>
      </c>
      <c r="H3870" s="283">
        <v>0</v>
      </c>
      <c r="I3870" s="283">
        <v>0</v>
      </c>
      <c r="J3870" s="284">
        <v>1</v>
      </c>
    </row>
    <row r="3871" spans="3:10" x14ac:dyDescent="0.25">
      <c r="C3871" s="300" t="s">
        <v>1060</v>
      </c>
      <c r="D3871" s="283" t="s">
        <v>1090</v>
      </c>
      <c r="E3871" s="283" t="s">
        <v>1084</v>
      </c>
      <c r="F3871" s="283" t="s">
        <v>524</v>
      </c>
      <c r="G3871" s="283">
        <v>1</v>
      </c>
      <c r="H3871" s="283">
        <v>0</v>
      </c>
      <c r="I3871" s="283">
        <v>0</v>
      </c>
      <c r="J3871" s="284">
        <v>0</v>
      </c>
    </row>
    <row r="3872" spans="3:10" x14ac:dyDescent="0.25">
      <c r="C3872" s="300" t="s">
        <v>1066</v>
      </c>
      <c r="D3872" s="283" t="s">
        <v>1077</v>
      </c>
      <c r="E3872" s="283" t="s">
        <v>1089</v>
      </c>
      <c r="F3872" s="283" t="s">
        <v>1078</v>
      </c>
      <c r="G3872" s="283">
        <v>2</v>
      </c>
      <c r="H3872" s="283">
        <v>0</v>
      </c>
      <c r="I3872" s="283">
        <v>0</v>
      </c>
      <c r="J3872" s="284">
        <v>0</v>
      </c>
    </row>
    <row r="3873" spans="3:10" x14ac:dyDescent="0.25">
      <c r="C3873" s="300" t="s">
        <v>1063</v>
      </c>
      <c r="D3873" s="283" t="s">
        <v>1079</v>
      </c>
      <c r="E3873" s="283" t="s">
        <v>1075</v>
      </c>
      <c r="F3873" s="283" t="s">
        <v>1075</v>
      </c>
      <c r="G3873" s="283">
        <v>2</v>
      </c>
      <c r="H3873" s="283">
        <v>0</v>
      </c>
      <c r="I3873" s="283">
        <v>0</v>
      </c>
      <c r="J3873" s="284">
        <v>1</v>
      </c>
    </row>
    <row r="3874" spans="3:10" x14ac:dyDescent="0.25">
      <c r="C3874" s="300" t="s">
        <v>1063</v>
      </c>
      <c r="D3874" s="283" t="s">
        <v>1079</v>
      </c>
      <c r="E3874" s="283" t="s">
        <v>1075</v>
      </c>
      <c r="F3874" s="283" t="s">
        <v>1080</v>
      </c>
      <c r="G3874" s="283">
        <v>2</v>
      </c>
      <c r="H3874" s="283">
        <v>0</v>
      </c>
      <c r="I3874" s="283">
        <v>1</v>
      </c>
      <c r="J3874" s="284">
        <v>0</v>
      </c>
    </row>
    <row r="3875" spans="3:10" x14ac:dyDescent="0.25">
      <c r="C3875" s="300" t="s">
        <v>1064</v>
      </c>
      <c r="D3875" s="283" t="s">
        <v>1079</v>
      </c>
      <c r="E3875" s="283" t="s">
        <v>1078</v>
      </c>
      <c r="F3875" s="283" t="s">
        <v>1075</v>
      </c>
      <c r="G3875" s="283">
        <v>2</v>
      </c>
      <c r="H3875" s="283">
        <v>0</v>
      </c>
      <c r="I3875" s="283">
        <v>0</v>
      </c>
      <c r="J3875" s="284">
        <v>2</v>
      </c>
    </row>
    <row r="3876" spans="3:10" x14ac:dyDescent="0.25">
      <c r="C3876" s="300" t="s">
        <v>1062</v>
      </c>
      <c r="D3876" s="283" t="s">
        <v>1087</v>
      </c>
      <c r="E3876" s="283" t="s">
        <v>1089</v>
      </c>
      <c r="F3876" s="283" t="s">
        <v>524</v>
      </c>
      <c r="G3876" s="283">
        <v>1</v>
      </c>
      <c r="H3876" s="283">
        <v>0</v>
      </c>
      <c r="I3876" s="283">
        <v>0</v>
      </c>
      <c r="J3876" s="284">
        <v>0</v>
      </c>
    </row>
    <row r="3877" spans="3:10" x14ac:dyDescent="0.25">
      <c r="C3877" s="300" t="s">
        <v>1061</v>
      </c>
      <c r="D3877" s="283" t="s">
        <v>1074</v>
      </c>
      <c r="E3877" s="283" t="s">
        <v>1075</v>
      </c>
      <c r="F3877" s="283" t="s">
        <v>1089</v>
      </c>
      <c r="G3877" s="283">
        <v>2</v>
      </c>
      <c r="H3877" s="283">
        <v>0</v>
      </c>
      <c r="I3877" s="283">
        <v>0</v>
      </c>
      <c r="J3877" s="284">
        <v>0</v>
      </c>
    </row>
    <row r="3878" spans="3:10" x14ac:dyDescent="0.25">
      <c r="C3878" s="300" t="s">
        <v>1060</v>
      </c>
      <c r="D3878" s="283" t="s">
        <v>1079</v>
      </c>
      <c r="E3878" s="283" t="s">
        <v>1075</v>
      </c>
      <c r="F3878" s="283" t="s">
        <v>1075</v>
      </c>
      <c r="G3878" s="283">
        <v>3</v>
      </c>
      <c r="H3878" s="283">
        <v>0</v>
      </c>
      <c r="I3878" s="283">
        <v>1</v>
      </c>
      <c r="J3878" s="284">
        <v>0</v>
      </c>
    </row>
    <row r="3879" spans="3:10" x14ac:dyDescent="0.25">
      <c r="C3879" s="300" t="s">
        <v>1063</v>
      </c>
      <c r="D3879" s="283" t="s">
        <v>1079</v>
      </c>
      <c r="E3879" s="283" t="s">
        <v>1094</v>
      </c>
      <c r="F3879" s="283" t="s">
        <v>1083</v>
      </c>
      <c r="G3879" s="283">
        <v>2</v>
      </c>
      <c r="H3879" s="283">
        <v>0</v>
      </c>
      <c r="I3879" s="283">
        <v>0</v>
      </c>
      <c r="J3879" s="284">
        <v>0</v>
      </c>
    </row>
    <row r="3880" spans="3:10" x14ac:dyDescent="0.25">
      <c r="C3880" s="300" t="s">
        <v>1066</v>
      </c>
      <c r="D3880" s="283" t="s">
        <v>1074</v>
      </c>
      <c r="E3880" s="283" t="s">
        <v>1075</v>
      </c>
      <c r="F3880" s="283" t="s">
        <v>1078</v>
      </c>
      <c r="G3880" s="283">
        <v>2</v>
      </c>
      <c r="H3880" s="283">
        <v>0</v>
      </c>
      <c r="I3880" s="283">
        <v>0</v>
      </c>
      <c r="J3880" s="284">
        <v>0</v>
      </c>
    </row>
    <row r="3881" spans="3:10" x14ac:dyDescent="0.25">
      <c r="C3881" s="300" t="s">
        <v>1060</v>
      </c>
      <c r="D3881" s="283" t="s">
        <v>1079</v>
      </c>
      <c r="E3881" s="283" t="s">
        <v>1075</v>
      </c>
      <c r="F3881" s="283" t="s">
        <v>1075</v>
      </c>
      <c r="G3881" s="283">
        <v>3</v>
      </c>
      <c r="H3881" s="283">
        <v>0</v>
      </c>
      <c r="I3881" s="283">
        <v>0</v>
      </c>
      <c r="J3881" s="284">
        <v>0</v>
      </c>
    </row>
    <row r="3882" spans="3:10" x14ac:dyDescent="0.25">
      <c r="C3882" s="300" t="s">
        <v>1064</v>
      </c>
      <c r="D3882" s="283" t="s">
        <v>1077</v>
      </c>
      <c r="E3882" s="283" t="s">
        <v>1080</v>
      </c>
      <c r="F3882" s="283" t="s">
        <v>1075</v>
      </c>
      <c r="G3882" s="283">
        <v>2</v>
      </c>
      <c r="H3882" s="283">
        <v>0</v>
      </c>
      <c r="I3882" s="283">
        <v>0</v>
      </c>
      <c r="J3882" s="284">
        <v>0</v>
      </c>
    </row>
    <row r="3883" spans="3:10" x14ac:dyDescent="0.25">
      <c r="C3883" s="300" t="s">
        <v>1065</v>
      </c>
      <c r="D3883" s="283" t="s">
        <v>1074</v>
      </c>
      <c r="E3883" s="283" t="s">
        <v>1075</v>
      </c>
      <c r="F3883" s="283" t="s">
        <v>1075</v>
      </c>
      <c r="G3883" s="283">
        <v>2</v>
      </c>
      <c r="H3883" s="283">
        <v>0</v>
      </c>
      <c r="I3883" s="283">
        <v>0</v>
      </c>
      <c r="J3883" s="284">
        <v>0</v>
      </c>
    </row>
    <row r="3884" spans="3:10" x14ac:dyDescent="0.25">
      <c r="C3884" s="300" t="s">
        <v>1063</v>
      </c>
      <c r="D3884" s="283" t="s">
        <v>1087</v>
      </c>
      <c r="E3884" s="283" t="s">
        <v>1075</v>
      </c>
      <c r="F3884" s="283" t="s">
        <v>524</v>
      </c>
      <c r="G3884" s="283">
        <v>1</v>
      </c>
      <c r="H3884" s="283">
        <v>0</v>
      </c>
      <c r="I3884" s="283">
        <v>0</v>
      </c>
      <c r="J3884" s="284">
        <v>0</v>
      </c>
    </row>
    <row r="3885" spans="3:10" x14ac:dyDescent="0.25">
      <c r="C3885" s="300" t="s">
        <v>1066</v>
      </c>
      <c r="D3885" s="283" t="s">
        <v>1077</v>
      </c>
      <c r="E3885" s="283" t="s">
        <v>1075</v>
      </c>
      <c r="F3885" s="283" t="s">
        <v>1089</v>
      </c>
      <c r="G3885" s="283">
        <v>2</v>
      </c>
      <c r="H3885" s="283">
        <v>0</v>
      </c>
      <c r="I3885" s="283">
        <v>0</v>
      </c>
      <c r="J3885" s="284">
        <v>0</v>
      </c>
    </row>
    <row r="3886" spans="3:10" x14ac:dyDescent="0.25">
      <c r="C3886" s="300" t="s">
        <v>1061</v>
      </c>
      <c r="D3886" s="283" t="s">
        <v>1079</v>
      </c>
      <c r="E3886" s="283" t="s">
        <v>1089</v>
      </c>
      <c r="F3886" s="283" t="s">
        <v>1093</v>
      </c>
      <c r="G3886" s="283">
        <v>2</v>
      </c>
      <c r="H3886" s="283">
        <v>0</v>
      </c>
      <c r="I3886" s="283">
        <v>0</v>
      </c>
      <c r="J3886" s="284">
        <v>0</v>
      </c>
    </row>
    <row r="3887" spans="3:10" x14ac:dyDescent="0.25">
      <c r="C3887" s="300" t="s">
        <v>1065</v>
      </c>
      <c r="D3887" s="283" t="s">
        <v>1079</v>
      </c>
      <c r="E3887" s="283" t="s">
        <v>1075</v>
      </c>
      <c r="F3887" s="283" t="s">
        <v>1089</v>
      </c>
      <c r="G3887" s="283">
        <v>2</v>
      </c>
      <c r="H3887" s="283">
        <v>0</v>
      </c>
      <c r="I3887" s="283">
        <v>0</v>
      </c>
      <c r="J3887" s="284">
        <v>0</v>
      </c>
    </row>
    <row r="3888" spans="3:10" x14ac:dyDescent="0.25">
      <c r="C3888" s="300" t="s">
        <v>1063</v>
      </c>
      <c r="D3888" s="283" t="s">
        <v>1074</v>
      </c>
      <c r="E3888" s="283" t="s">
        <v>1075</v>
      </c>
      <c r="F3888" s="283" t="s">
        <v>1075</v>
      </c>
      <c r="G3888" s="283">
        <v>2</v>
      </c>
      <c r="H3888" s="283">
        <v>0</v>
      </c>
      <c r="I3888" s="283">
        <v>0</v>
      </c>
      <c r="J3888" s="284">
        <v>0</v>
      </c>
    </row>
    <row r="3889" spans="3:10" x14ac:dyDescent="0.25">
      <c r="C3889" s="300" t="s">
        <v>1066</v>
      </c>
      <c r="D3889" s="283" t="s">
        <v>1077</v>
      </c>
      <c r="E3889" s="283" t="s">
        <v>1075</v>
      </c>
      <c r="F3889" s="283" t="s">
        <v>1075</v>
      </c>
      <c r="G3889" s="283">
        <v>2</v>
      </c>
      <c r="H3889" s="283">
        <v>0</v>
      </c>
      <c r="I3889" s="283">
        <v>0</v>
      </c>
      <c r="J3889" s="284">
        <v>0</v>
      </c>
    </row>
    <row r="3890" spans="3:10" x14ac:dyDescent="0.25">
      <c r="C3890" s="300" t="s">
        <v>1065</v>
      </c>
      <c r="D3890" s="283" t="s">
        <v>1074</v>
      </c>
      <c r="E3890" s="283" t="s">
        <v>1075</v>
      </c>
      <c r="F3890" s="283" t="s">
        <v>1075</v>
      </c>
      <c r="G3890" s="283">
        <v>2</v>
      </c>
      <c r="H3890" s="283">
        <v>0</v>
      </c>
      <c r="I3890" s="283">
        <v>0</v>
      </c>
      <c r="J3890" s="284">
        <v>0</v>
      </c>
    </row>
    <row r="3891" spans="3:10" x14ac:dyDescent="0.25">
      <c r="C3891" s="300" t="s">
        <v>1064</v>
      </c>
      <c r="D3891" s="283" t="s">
        <v>1087</v>
      </c>
      <c r="E3891" s="283" t="s">
        <v>1075</v>
      </c>
      <c r="F3891" s="283" t="s">
        <v>524</v>
      </c>
      <c r="G3891" s="283">
        <v>2</v>
      </c>
      <c r="H3891" s="283">
        <v>0</v>
      </c>
      <c r="I3891" s="283">
        <v>0</v>
      </c>
      <c r="J3891" s="284">
        <v>0</v>
      </c>
    </row>
    <row r="3892" spans="3:10" x14ac:dyDescent="0.25">
      <c r="C3892" s="300" t="s">
        <v>1064</v>
      </c>
      <c r="D3892" s="283" t="s">
        <v>1077</v>
      </c>
      <c r="E3892" s="283" t="s">
        <v>1075</v>
      </c>
      <c r="F3892" s="283" t="s">
        <v>1089</v>
      </c>
      <c r="G3892" s="283">
        <v>2</v>
      </c>
      <c r="H3892" s="283">
        <v>0</v>
      </c>
      <c r="I3892" s="283">
        <v>0</v>
      </c>
      <c r="J3892" s="284">
        <v>0</v>
      </c>
    </row>
    <row r="3893" spans="3:10" x14ac:dyDescent="0.25">
      <c r="C3893" s="300" t="s">
        <v>1064</v>
      </c>
      <c r="D3893" s="283" t="s">
        <v>1079</v>
      </c>
      <c r="E3893" s="283" t="s">
        <v>1084</v>
      </c>
      <c r="F3893" s="283" t="s">
        <v>1075</v>
      </c>
      <c r="G3893" s="283">
        <v>2</v>
      </c>
      <c r="H3893" s="283">
        <v>0</v>
      </c>
      <c r="I3893" s="283">
        <v>0</v>
      </c>
      <c r="J3893" s="284">
        <v>0</v>
      </c>
    </row>
    <row r="3894" spans="3:10" x14ac:dyDescent="0.25">
      <c r="C3894" s="300" t="s">
        <v>1062</v>
      </c>
      <c r="D3894" s="283" t="s">
        <v>1079</v>
      </c>
      <c r="E3894" s="283" t="s">
        <v>1075</v>
      </c>
      <c r="F3894" s="283" t="s">
        <v>1075</v>
      </c>
      <c r="G3894" s="283">
        <v>2</v>
      </c>
      <c r="H3894" s="283">
        <v>0</v>
      </c>
      <c r="I3894" s="283">
        <v>0</v>
      </c>
      <c r="J3894" s="284">
        <v>0</v>
      </c>
    </row>
    <row r="3895" spans="3:10" x14ac:dyDescent="0.25">
      <c r="C3895" s="300" t="s">
        <v>1065</v>
      </c>
      <c r="D3895" s="283" t="s">
        <v>1043</v>
      </c>
      <c r="E3895" s="283" t="s">
        <v>1089</v>
      </c>
      <c r="F3895" s="283" t="s">
        <v>1104</v>
      </c>
      <c r="G3895" s="283">
        <v>2</v>
      </c>
      <c r="H3895" s="283">
        <v>0</v>
      </c>
      <c r="I3895" s="283">
        <v>0</v>
      </c>
      <c r="J3895" s="284">
        <v>0</v>
      </c>
    </row>
    <row r="3896" spans="3:10" x14ac:dyDescent="0.25">
      <c r="C3896" s="300" t="s">
        <v>1065</v>
      </c>
      <c r="D3896" s="283" t="s">
        <v>1077</v>
      </c>
      <c r="E3896" s="283" t="s">
        <v>1089</v>
      </c>
      <c r="F3896" s="283" t="s">
        <v>1075</v>
      </c>
      <c r="G3896" s="283">
        <v>2</v>
      </c>
      <c r="H3896" s="283">
        <v>0</v>
      </c>
      <c r="I3896" s="283">
        <v>0</v>
      </c>
      <c r="J3896" s="284">
        <v>0</v>
      </c>
    </row>
    <row r="3897" spans="3:10" x14ac:dyDescent="0.25">
      <c r="C3897" s="300" t="s">
        <v>1063</v>
      </c>
      <c r="D3897" s="283" t="s">
        <v>1095</v>
      </c>
      <c r="E3897" s="283" t="s">
        <v>1089</v>
      </c>
      <c r="F3897" s="283" t="s">
        <v>1080</v>
      </c>
      <c r="G3897" s="283">
        <v>2</v>
      </c>
      <c r="H3897" s="283">
        <v>0</v>
      </c>
      <c r="I3897" s="283">
        <v>0</v>
      </c>
      <c r="J3897" s="284">
        <v>0</v>
      </c>
    </row>
    <row r="3898" spans="3:10" x14ac:dyDescent="0.25">
      <c r="C3898" s="300" t="s">
        <v>1066</v>
      </c>
      <c r="D3898" s="283" t="s">
        <v>1079</v>
      </c>
      <c r="E3898" s="283" t="s">
        <v>1078</v>
      </c>
      <c r="F3898" s="283" t="s">
        <v>1075</v>
      </c>
      <c r="G3898" s="283">
        <v>2</v>
      </c>
      <c r="H3898" s="283">
        <v>0</v>
      </c>
      <c r="I3898" s="283">
        <v>0</v>
      </c>
      <c r="J3898" s="284">
        <v>0</v>
      </c>
    </row>
    <row r="3899" spans="3:10" x14ac:dyDescent="0.25">
      <c r="C3899" s="300" t="s">
        <v>1067</v>
      </c>
      <c r="D3899" s="283" t="s">
        <v>1079</v>
      </c>
      <c r="E3899" s="283" t="s">
        <v>1075</v>
      </c>
      <c r="F3899" s="283" t="s">
        <v>1089</v>
      </c>
      <c r="G3899" s="283">
        <v>2</v>
      </c>
      <c r="H3899" s="283">
        <v>0</v>
      </c>
      <c r="I3899" s="283">
        <v>0</v>
      </c>
      <c r="J3899" s="284">
        <v>1</v>
      </c>
    </row>
    <row r="3900" spans="3:10" x14ac:dyDescent="0.25">
      <c r="C3900" s="300" t="s">
        <v>1067</v>
      </c>
      <c r="D3900" s="283" t="s">
        <v>1079</v>
      </c>
      <c r="E3900" s="283" t="s">
        <v>1100</v>
      </c>
      <c r="F3900" s="283" t="s">
        <v>1075</v>
      </c>
      <c r="G3900" s="283">
        <v>2</v>
      </c>
      <c r="H3900" s="283">
        <v>0</v>
      </c>
      <c r="I3900" s="283">
        <v>0</v>
      </c>
      <c r="J3900" s="284">
        <v>0</v>
      </c>
    </row>
    <row r="3901" spans="3:10" x14ac:dyDescent="0.25">
      <c r="C3901" s="300" t="s">
        <v>1065</v>
      </c>
      <c r="D3901" s="283" t="s">
        <v>1090</v>
      </c>
      <c r="E3901" s="283" t="s">
        <v>1083</v>
      </c>
      <c r="F3901" s="283" t="s">
        <v>524</v>
      </c>
      <c r="G3901" s="283">
        <v>1</v>
      </c>
      <c r="H3901" s="283">
        <v>0</v>
      </c>
      <c r="I3901" s="283">
        <v>0</v>
      </c>
      <c r="J3901" s="284">
        <v>1</v>
      </c>
    </row>
    <row r="3902" spans="3:10" x14ac:dyDescent="0.25">
      <c r="C3902" s="300" t="s">
        <v>1059</v>
      </c>
      <c r="D3902" s="283" t="s">
        <v>1090</v>
      </c>
      <c r="E3902" s="283" t="s">
        <v>1076</v>
      </c>
      <c r="F3902" s="283" t="s">
        <v>524</v>
      </c>
      <c r="G3902" s="283">
        <v>1</v>
      </c>
      <c r="H3902" s="283">
        <v>0</v>
      </c>
      <c r="I3902" s="283">
        <v>0</v>
      </c>
      <c r="J3902" s="284">
        <v>0</v>
      </c>
    </row>
    <row r="3903" spans="3:10" x14ac:dyDescent="0.25">
      <c r="C3903" s="300" t="s">
        <v>1064</v>
      </c>
      <c r="D3903" s="283" t="s">
        <v>1082</v>
      </c>
      <c r="E3903" s="283" t="s">
        <v>1083</v>
      </c>
      <c r="F3903" s="283" t="s">
        <v>1075</v>
      </c>
      <c r="G3903" s="283">
        <v>2</v>
      </c>
      <c r="H3903" s="283">
        <v>0</v>
      </c>
      <c r="I3903" s="283">
        <v>1</v>
      </c>
      <c r="J3903" s="284">
        <v>0</v>
      </c>
    </row>
    <row r="3904" spans="3:10" x14ac:dyDescent="0.25">
      <c r="C3904" s="300" t="s">
        <v>1068</v>
      </c>
      <c r="D3904" s="283" t="s">
        <v>1090</v>
      </c>
      <c r="E3904" s="283" t="s">
        <v>1093</v>
      </c>
      <c r="F3904" s="283" t="s">
        <v>524</v>
      </c>
      <c r="G3904" s="283">
        <v>1</v>
      </c>
      <c r="H3904" s="283">
        <v>0</v>
      </c>
      <c r="I3904" s="283">
        <v>0</v>
      </c>
      <c r="J3904" s="284">
        <v>1</v>
      </c>
    </row>
    <row r="3905" spans="3:10" x14ac:dyDescent="0.25">
      <c r="C3905" s="300" t="s">
        <v>1063</v>
      </c>
      <c r="D3905" s="283" t="s">
        <v>1074</v>
      </c>
      <c r="E3905" s="283" t="s">
        <v>1089</v>
      </c>
      <c r="F3905" s="283" t="s">
        <v>1075</v>
      </c>
      <c r="G3905" s="283">
        <v>2</v>
      </c>
      <c r="H3905" s="283">
        <v>0</v>
      </c>
      <c r="I3905" s="283">
        <v>0</v>
      </c>
      <c r="J3905" s="284">
        <v>0</v>
      </c>
    </row>
    <row r="3906" spans="3:10" x14ac:dyDescent="0.25">
      <c r="C3906" s="300" t="s">
        <v>1068</v>
      </c>
      <c r="D3906" s="283" t="s">
        <v>1074</v>
      </c>
      <c r="E3906" s="283" t="s">
        <v>1078</v>
      </c>
      <c r="F3906" s="283" t="s">
        <v>1075</v>
      </c>
      <c r="G3906" s="283">
        <v>2</v>
      </c>
      <c r="H3906" s="283">
        <v>0</v>
      </c>
      <c r="I3906" s="283">
        <v>0</v>
      </c>
      <c r="J3906" s="284">
        <v>0</v>
      </c>
    </row>
    <row r="3907" spans="3:10" x14ac:dyDescent="0.25">
      <c r="C3907" s="300" t="s">
        <v>1066</v>
      </c>
      <c r="D3907" s="283" t="s">
        <v>1082</v>
      </c>
      <c r="E3907" s="283" t="s">
        <v>1075</v>
      </c>
      <c r="F3907" s="283" t="s">
        <v>1089</v>
      </c>
      <c r="G3907" s="283">
        <v>2</v>
      </c>
      <c r="H3907" s="283">
        <v>0</v>
      </c>
      <c r="I3907" s="283">
        <v>0</v>
      </c>
      <c r="J3907" s="284">
        <v>1</v>
      </c>
    </row>
    <row r="3908" spans="3:10" x14ac:dyDescent="0.25">
      <c r="C3908" s="300" t="s">
        <v>1064</v>
      </c>
      <c r="D3908" s="283" t="s">
        <v>1079</v>
      </c>
      <c r="E3908" s="283" t="s">
        <v>1075</v>
      </c>
      <c r="F3908" s="283" t="s">
        <v>1089</v>
      </c>
      <c r="G3908" s="283">
        <v>2</v>
      </c>
      <c r="H3908" s="283">
        <v>0</v>
      </c>
      <c r="I3908" s="283">
        <v>0</v>
      </c>
      <c r="J3908" s="284">
        <v>0</v>
      </c>
    </row>
    <row r="3909" spans="3:10" x14ac:dyDescent="0.25">
      <c r="C3909" s="300" t="s">
        <v>1057</v>
      </c>
      <c r="D3909" s="283" t="s">
        <v>1087</v>
      </c>
      <c r="E3909" s="283" t="s">
        <v>1075</v>
      </c>
      <c r="F3909" s="283" t="s">
        <v>524</v>
      </c>
      <c r="G3909" s="283">
        <v>1</v>
      </c>
      <c r="H3909" s="283">
        <v>0</v>
      </c>
      <c r="I3909" s="283">
        <v>1</v>
      </c>
      <c r="J3909" s="284">
        <v>1</v>
      </c>
    </row>
    <row r="3910" spans="3:10" x14ac:dyDescent="0.25">
      <c r="C3910" s="300" t="s">
        <v>1064</v>
      </c>
      <c r="D3910" s="283" t="s">
        <v>1074</v>
      </c>
      <c r="E3910" s="283" t="s">
        <v>1075</v>
      </c>
      <c r="F3910" s="283" t="s">
        <v>1076</v>
      </c>
      <c r="G3910" s="283">
        <v>2</v>
      </c>
      <c r="H3910" s="283">
        <v>0</v>
      </c>
      <c r="I3910" s="283">
        <v>0</v>
      </c>
      <c r="J3910" s="284">
        <v>1</v>
      </c>
    </row>
    <row r="3911" spans="3:10" x14ac:dyDescent="0.25">
      <c r="C3911" s="300" t="s">
        <v>1065</v>
      </c>
      <c r="D3911" s="283" t="s">
        <v>1074</v>
      </c>
      <c r="E3911" s="283" t="s">
        <v>1075</v>
      </c>
      <c r="F3911" s="283" t="s">
        <v>1083</v>
      </c>
      <c r="G3911" s="283">
        <v>2</v>
      </c>
      <c r="H3911" s="283">
        <v>0</v>
      </c>
      <c r="I3911" s="283">
        <v>0</v>
      </c>
      <c r="J3911" s="284">
        <v>1</v>
      </c>
    </row>
    <row r="3912" spans="3:10" x14ac:dyDescent="0.25">
      <c r="C3912" s="300" t="s">
        <v>1065</v>
      </c>
      <c r="D3912" s="283" t="s">
        <v>1079</v>
      </c>
      <c r="E3912" s="283" t="s">
        <v>1044</v>
      </c>
      <c r="F3912" s="283" t="s">
        <v>1076</v>
      </c>
      <c r="G3912" s="283">
        <v>2</v>
      </c>
      <c r="H3912" s="283">
        <v>0</v>
      </c>
      <c r="I3912" s="283">
        <v>0</v>
      </c>
      <c r="J3912" s="284">
        <v>0</v>
      </c>
    </row>
    <row r="3913" spans="3:10" x14ac:dyDescent="0.25">
      <c r="C3913" s="300" t="s">
        <v>1063</v>
      </c>
      <c r="D3913" s="283" t="s">
        <v>1043</v>
      </c>
      <c r="E3913" s="283" t="s">
        <v>1089</v>
      </c>
      <c r="F3913" s="283" t="s">
        <v>1092</v>
      </c>
      <c r="G3913" s="283">
        <v>2</v>
      </c>
      <c r="H3913" s="283">
        <v>0</v>
      </c>
      <c r="I3913" s="283">
        <v>1</v>
      </c>
      <c r="J3913" s="284">
        <v>0</v>
      </c>
    </row>
    <row r="3914" spans="3:10" x14ac:dyDescent="0.25">
      <c r="C3914" s="300" t="s">
        <v>1064</v>
      </c>
      <c r="D3914" s="283" t="s">
        <v>1090</v>
      </c>
      <c r="E3914" s="283" t="s">
        <v>1080</v>
      </c>
      <c r="F3914" s="283" t="s">
        <v>524</v>
      </c>
      <c r="G3914" s="283">
        <v>1</v>
      </c>
      <c r="H3914" s="283">
        <v>0</v>
      </c>
      <c r="I3914" s="283">
        <v>0</v>
      </c>
      <c r="J3914" s="284">
        <v>0</v>
      </c>
    </row>
    <row r="3915" spans="3:10" x14ac:dyDescent="0.25">
      <c r="C3915" s="300" t="s">
        <v>1059</v>
      </c>
      <c r="D3915" s="283" t="s">
        <v>1087</v>
      </c>
      <c r="E3915" s="283" t="s">
        <v>1075</v>
      </c>
      <c r="F3915" s="283" t="s">
        <v>524</v>
      </c>
      <c r="G3915" s="283">
        <v>2</v>
      </c>
      <c r="H3915" s="283">
        <v>0</v>
      </c>
      <c r="I3915" s="283">
        <v>0</v>
      </c>
      <c r="J3915" s="284">
        <v>1</v>
      </c>
    </row>
    <row r="3916" spans="3:10" x14ac:dyDescent="0.25">
      <c r="C3916" s="300" t="s">
        <v>1067</v>
      </c>
      <c r="D3916" s="283" t="s">
        <v>1087</v>
      </c>
      <c r="E3916" s="283" t="s">
        <v>1075</v>
      </c>
      <c r="F3916" s="283" t="s">
        <v>524</v>
      </c>
      <c r="G3916" s="283">
        <v>1</v>
      </c>
      <c r="H3916" s="283">
        <v>0</v>
      </c>
      <c r="I3916" s="283">
        <v>0</v>
      </c>
      <c r="J3916" s="284">
        <v>0</v>
      </c>
    </row>
    <row r="3917" spans="3:10" x14ac:dyDescent="0.25">
      <c r="C3917" s="300" t="s">
        <v>1063</v>
      </c>
      <c r="D3917" s="283" t="s">
        <v>1087</v>
      </c>
      <c r="E3917" s="283" t="s">
        <v>1075</v>
      </c>
      <c r="F3917" s="283" t="s">
        <v>524</v>
      </c>
      <c r="G3917" s="283">
        <v>1</v>
      </c>
      <c r="H3917" s="283">
        <v>0</v>
      </c>
      <c r="I3917" s="283">
        <v>0</v>
      </c>
      <c r="J3917" s="284">
        <v>0</v>
      </c>
    </row>
    <row r="3918" spans="3:10" x14ac:dyDescent="0.25">
      <c r="C3918" s="300" t="s">
        <v>1065</v>
      </c>
      <c r="D3918" s="283" t="s">
        <v>1043</v>
      </c>
      <c r="E3918" s="283" t="s">
        <v>1075</v>
      </c>
      <c r="F3918" s="283" t="s">
        <v>1092</v>
      </c>
      <c r="G3918" s="283">
        <v>2</v>
      </c>
      <c r="H3918" s="283">
        <v>0</v>
      </c>
      <c r="I3918" s="283">
        <v>0</v>
      </c>
      <c r="J3918" s="284">
        <v>0</v>
      </c>
    </row>
    <row r="3919" spans="3:10" x14ac:dyDescent="0.25">
      <c r="C3919" s="300" t="s">
        <v>1064</v>
      </c>
      <c r="D3919" s="283" t="s">
        <v>1043</v>
      </c>
      <c r="E3919" s="283" t="s">
        <v>1083</v>
      </c>
      <c r="F3919" s="283" t="s">
        <v>1092</v>
      </c>
      <c r="G3919" s="283">
        <v>2</v>
      </c>
      <c r="H3919" s="283">
        <v>0</v>
      </c>
      <c r="I3919" s="283">
        <v>0</v>
      </c>
      <c r="J3919" s="284">
        <v>0</v>
      </c>
    </row>
    <row r="3920" spans="3:10" x14ac:dyDescent="0.25">
      <c r="C3920" s="300" t="s">
        <v>1061</v>
      </c>
      <c r="D3920" s="283" t="s">
        <v>1077</v>
      </c>
      <c r="E3920" s="283" t="s">
        <v>1075</v>
      </c>
      <c r="F3920" s="283" t="s">
        <v>1088</v>
      </c>
      <c r="G3920" s="283">
        <v>2</v>
      </c>
      <c r="H3920" s="283">
        <v>0</v>
      </c>
      <c r="I3920" s="283">
        <v>1</v>
      </c>
      <c r="J3920" s="284">
        <v>0</v>
      </c>
    </row>
    <row r="3921" spans="3:10" x14ac:dyDescent="0.25">
      <c r="C3921" s="300" t="s">
        <v>1068</v>
      </c>
      <c r="D3921" s="283" t="s">
        <v>1090</v>
      </c>
      <c r="E3921" s="283" t="s">
        <v>1075</v>
      </c>
      <c r="F3921" s="283" t="s">
        <v>524</v>
      </c>
      <c r="G3921" s="283">
        <v>1</v>
      </c>
      <c r="H3921" s="283">
        <v>0</v>
      </c>
      <c r="I3921" s="283">
        <v>0</v>
      </c>
      <c r="J3921" s="284">
        <v>0</v>
      </c>
    </row>
    <row r="3922" spans="3:10" x14ac:dyDescent="0.25">
      <c r="C3922" s="300" t="s">
        <v>1065</v>
      </c>
      <c r="D3922" s="283" t="s">
        <v>1043</v>
      </c>
      <c r="E3922" s="283" t="s">
        <v>1089</v>
      </c>
      <c r="F3922" s="283" t="s">
        <v>1092</v>
      </c>
      <c r="G3922" s="283">
        <v>2</v>
      </c>
      <c r="H3922" s="283">
        <v>0</v>
      </c>
      <c r="I3922" s="283">
        <v>0</v>
      </c>
      <c r="J3922" s="284">
        <v>1</v>
      </c>
    </row>
    <row r="3923" spans="3:10" x14ac:dyDescent="0.25">
      <c r="C3923" s="300" t="s">
        <v>1063</v>
      </c>
      <c r="D3923" s="283" t="s">
        <v>1079</v>
      </c>
      <c r="E3923" s="283" t="s">
        <v>1075</v>
      </c>
      <c r="F3923" s="283" t="s">
        <v>1089</v>
      </c>
      <c r="G3923" s="283">
        <v>3</v>
      </c>
      <c r="H3923" s="283">
        <v>0</v>
      </c>
      <c r="I3923" s="283">
        <v>0</v>
      </c>
      <c r="J3923" s="284">
        <v>0</v>
      </c>
    </row>
    <row r="3924" spans="3:10" x14ac:dyDescent="0.25">
      <c r="C3924" s="300" t="s">
        <v>1061</v>
      </c>
      <c r="D3924" s="283" t="s">
        <v>1079</v>
      </c>
      <c r="E3924" s="283" t="s">
        <v>1075</v>
      </c>
      <c r="F3924" s="283" t="s">
        <v>1075</v>
      </c>
      <c r="G3924" s="283">
        <v>4</v>
      </c>
      <c r="H3924" s="283">
        <v>0</v>
      </c>
      <c r="I3924" s="283">
        <v>0</v>
      </c>
      <c r="J3924" s="284">
        <v>0</v>
      </c>
    </row>
    <row r="3925" spans="3:10" x14ac:dyDescent="0.25">
      <c r="C3925" s="300" t="s">
        <v>1065</v>
      </c>
      <c r="D3925" s="283" t="s">
        <v>1077</v>
      </c>
      <c r="E3925" s="283" t="s">
        <v>1075</v>
      </c>
      <c r="F3925" s="283" t="s">
        <v>1075</v>
      </c>
      <c r="G3925" s="283">
        <v>2</v>
      </c>
      <c r="H3925" s="283">
        <v>0</v>
      </c>
      <c r="I3925" s="283">
        <v>0</v>
      </c>
      <c r="J3925" s="284">
        <v>0</v>
      </c>
    </row>
    <row r="3926" spans="3:10" x14ac:dyDescent="0.25">
      <c r="C3926" s="300" t="s">
        <v>1060</v>
      </c>
      <c r="D3926" s="283" t="s">
        <v>1079</v>
      </c>
      <c r="E3926" s="283" t="s">
        <v>1075</v>
      </c>
      <c r="F3926" s="283" t="s">
        <v>1075</v>
      </c>
      <c r="G3926" s="283">
        <v>2</v>
      </c>
      <c r="H3926" s="283">
        <v>0</v>
      </c>
      <c r="I3926" s="283">
        <v>0</v>
      </c>
      <c r="J3926" s="284">
        <v>0</v>
      </c>
    </row>
    <row r="3927" spans="3:10" x14ac:dyDescent="0.25">
      <c r="C3927" s="300" t="s">
        <v>1065</v>
      </c>
      <c r="D3927" s="283" t="s">
        <v>1079</v>
      </c>
      <c r="E3927" s="283" t="s">
        <v>1089</v>
      </c>
      <c r="F3927" s="283" t="s">
        <v>1075</v>
      </c>
      <c r="G3927" s="283">
        <v>2</v>
      </c>
      <c r="H3927" s="283">
        <v>0</v>
      </c>
      <c r="I3927" s="283">
        <v>0</v>
      </c>
      <c r="J3927" s="284">
        <v>0</v>
      </c>
    </row>
    <row r="3928" spans="3:10" x14ac:dyDescent="0.25">
      <c r="C3928" s="300" t="s">
        <v>1063</v>
      </c>
      <c r="D3928" s="283" t="s">
        <v>1077</v>
      </c>
      <c r="E3928" s="283" t="s">
        <v>1075</v>
      </c>
      <c r="F3928" s="283" t="s">
        <v>1076</v>
      </c>
      <c r="G3928" s="283">
        <v>2</v>
      </c>
      <c r="H3928" s="283">
        <v>0</v>
      </c>
      <c r="I3928" s="283">
        <v>0</v>
      </c>
      <c r="J3928" s="284">
        <v>0</v>
      </c>
    </row>
    <row r="3929" spans="3:10" x14ac:dyDescent="0.25">
      <c r="C3929" s="300" t="s">
        <v>1065</v>
      </c>
      <c r="D3929" s="283" t="s">
        <v>1077</v>
      </c>
      <c r="E3929" s="283" t="s">
        <v>1075</v>
      </c>
      <c r="F3929" s="283" t="s">
        <v>1075</v>
      </c>
      <c r="G3929" s="283">
        <v>2</v>
      </c>
      <c r="H3929" s="283">
        <v>0</v>
      </c>
      <c r="I3929" s="283">
        <v>0</v>
      </c>
      <c r="J3929" s="284">
        <v>0</v>
      </c>
    </row>
    <row r="3930" spans="3:10" x14ac:dyDescent="0.25">
      <c r="C3930" s="300" t="s">
        <v>1067</v>
      </c>
      <c r="D3930" s="283" t="s">
        <v>1077</v>
      </c>
      <c r="E3930" s="283" t="s">
        <v>1089</v>
      </c>
      <c r="F3930" s="283" t="s">
        <v>1075</v>
      </c>
      <c r="G3930" s="283">
        <v>2</v>
      </c>
      <c r="H3930" s="283">
        <v>0</v>
      </c>
      <c r="I3930" s="283">
        <v>0</v>
      </c>
      <c r="J3930" s="284">
        <v>0</v>
      </c>
    </row>
    <row r="3931" spans="3:10" x14ac:dyDescent="0.25">
      <c r="C3931" s="300" t="s">
        <v>1066</v>
      </c>
      <c r="D3931" s="283" t="s">
        <v>1077</v>
      </c>
      <c r="E3931" s="283" t="s">
        <v>1078</v>
      </c>
      <c r="F3931" s="283" t="s">
        <v>1076</v>
      </c>
      <c r="G3931" s="283">
        <v>2</v>
      </c>
      <c r="H3931" s="283">
        <v>0</v>
      </c>
      <c r="I3931" s="283">
        <v>0</v>
      </c>
      <c r="J3931" s="284">
        <v>0</v>
      </c>
    </row>
    <row r="3932" spans="3:10" x14ac:dyDescent="0.25">
      <c r="C3932" s="300" t="s">
        <v>1060</v>
      </c>
      <c r="D3932" s="283" t="s">
        <v>1079</v>
      </c>
      <c r="E3932" s="283" t="s">
        <v>1075</v>
      </c>
      <c r="F3932" s="283" t="s">
        <v>1084</v>
      </c>
      <c r="G3932" s="283">
        <v>2</v>
      </c>
      <c r="H3932" s="283">
        <v>0</v>
      </c>
      <c r="I3932" s="283">
        <v>0</v>
      </c>
      <c r="J3932" s="284">
        <v>0</v>
      </c>
    </row>
    <row r="3933" spans="3:10" x14ac:dyDescent="0.25">
      <c r="C3933" s="300" t="s">
        <v>1065</v>
      </c>
      <c r="D3933" s="283" t="s">
        <v>1079</v>
      </c>
      <c r="E3933" s="283" t="s">
        <v>1075</v>
      </c>
      <c r="F3933" s="283" t="s">
        <v>1075</v>
      </c>
      <c r="G3933" s="283">
        <v>2</v>
      </c>
      <c r="H3933" s="283">
        <v>0</v>
      </c>
      <c r="I3933" s="283">
        <v>0</v>
      </c>
      <c r="J3933" s="284">
        <v>0</v>
      </c>
    </row>
    <row r="3934" spans="3:10" x14ac:dyDescent="0.25">
      <c r="C3934" s="300" t="s">
        <v>1063</v>
      </c>
      <c r="D3934" s="283" t="s">
        <v>1077</v>
      </c>
      <c r="E3934" s="283" t="s">
        <v>1089</v>
      </c>
      <c r="F3934" s="283" t="s">
        <v>1075</v>
      </c>
      <c r="G3934" s="283">
        <v>2</v>
      </c>
      <c r="H3934" s="283">
        <v>0</v>
      </c>
      <c r="I3934" s="283">
        <v>0</v>
      </c>
      <c r="J3934" s="284">
        <v>0</v>
      </c>
    </row>
    <row r="3935" spans="3:10" x14ac:dyDescent="0.25">
      <c r="C3935" s="300" t="s">
        <v>1065</v>
      </c>
      <c r="D3935" s="283" t="s">
        <v>1079</v>
      </c>
      <c r="E3935" s="283" t="s">
        <v>1078</v>
      </c>
      <c r="F3935" s="283" t="s">
        <v>1075</v>
      </c>
      <c r="G3935" s="283">
        <v>2</v>
      </c>
      <c r="H3935" s="283">
        <v>0</v>
      </c>
      <c r="I3935" s="283">
        <v>0</v>
      </c>
      <c r="J3935" s="284">
        <v>0</v>
      </c>
    </row>
    <row r="3936" spans="3:10" x14ac:dyDescent="0.25">
      <c r="C3936" s="300" t="s">
        <v>1063</v>
      </c>
      <c r="D3936" s="283" t="s">
        <v>1077</v>
      </c>
      <c r="E3936" s="283" t="s">
        <v>1075</v>
      </c>
      <c r="F3936" s="283" t="s">
        <v>1076</v>
      </c>
      <c r="G3936" s="283">
        <v>2</v>
      </c>
      <c r="H3936" s="283">
        <v>0</v>
      </c>
      <c r="I3936" s="283">
        <v>0</v>
      </c>
      <c r="J3936" s="284">
        <v>0</v>
      </c>
    </row>
    <row r="3937" spans="3:10" x14ac:dyDescent="0.25">
      <c r="C3937" s="300" t="s">
        <v>1064</v>
      </c>
      <c r="D3937" s="283" t="s">
        <v>1079</v>
      </c>
      <c r="E3937" s="283" t="s">
        <v>1044</v>
      </c>
      <c r="F3937" s="283" t="s">
        <v>1089</v>
      </c>
      <c r="G3937" s="283">
        <v>2</v>
      </c>
      <c r="H3937" s="283">
        <v>0</v>
      </c>
      <c r="I3937" s="283">
        <v>0</v>
      </c>
      <c r="J3937" s="284">
        <v>0</v>
      </c>
    </row>
    <row r="3938" spans="3:10" x14ac:dyDescent="0.25">
      <c r="C3938" s="300" t="s">
        <v>1064</v>
      </c>
      <c r="D3938" s="283" t="s">
        <v>1077</v>
      </c>
      <c r="E3938" s="283" t="s">
        <v>1075</v>
      </c>
      <c r="F3938" s="283" t="s">
        <v>1075</v>
      </c>
      <c r="G3938" s="283">
        <v>2</v>
      </c>
      <c r="H3938" s="283">
        <v>0</v>
      </c>
      <c r="I3938" s="283">
        <v>0</v>
      </c>
      <c r="J3938" s="284">
        <v>0</v>
      </c>
    </row>
    <row r="3939" spans="3:10" x14ac:dyDescent="0.25">
      <c r="C3939" s="300" t="s">
        <v>1062</v>
      </c>
      <c r="D3939" s="283" t="s">
        <v>1087</v>
      </c>
      <c r="E3939" s="283" t="s">
        <v>1075</v>
      </c>
      <c r="F3939" s="283" t="s">
        <v>524</v>
      </c>
      <c r="G3939" s="283">
        <v>1</v>
      </c>
      <c r="H3939" s="283">
        <v>0</v>
      </c>
      <c r="I3939" s="283">
        <v>0</v>
      </c>
      <c r="J3939" s="284">
        <v>0</v>
      </c>
    </row>
    <row r="3940" spans="3:10" x14ac:dyDescent="0.25">
      <c r="C3940" s="300" t="s">
        <v>1064</v>
      </c>
      <c r="D3940" s="283" t="s">
        <v>1077</v>
      </c>
      <c r="E3940" s="283" t="s">
        <v>1084</v>
      </c>
      <c r="F3940" s="283" t="s">
        <v>1084</v>
      </c>
      <c r="G3940" s="283">
        <v>4</v>
      </c>
      <c r="H3940" s="283">
        <v>0</v>
      </c>
      <c r="I3940" s="283">
        <v>0</v>
      </c>
      <c r="J3940" s="284">
        <v>0</v>
      </c>
    </row>
    <row r="3941" spans="3:10" x14ac:dyDescent="0.25">
      <c r="C3941" s="300" t="s">
        <v>1057</v>
      </c>
      <c r="D3941" s="283" t="s">
        <v>1087</v>
      </c>
      <c r="E3941" s="283" t="s">
        <v>1075</v>
      </c>
      <c r="F3941" s="283" t="s">
        <v>524</v>
      </c>
      <c r="G3941" s="283">
        <v>1</v>
      </c>
      <c r="H3941" s="283">
        <v>0</v>
      </c>
      <c r="I3941" s="283">
        <v>0</v>
      </c>
      <c r="J3941" s="284">
        <v>0</v>
      </c>
    </row>
    <row r="3942" spans="3:10" x14ac:dyDescent="0.25">
      <c r="C3942" s="300" t="s">
        <v>1068</v>
      </c>
      <c r="D3942" s="283" t="s">
        <v>1079</v>
      </c>
      <c r="E3942" s="283" t="s">
        <v>1093</v>
      </c>
      <c r="F3942" s="283" t="s">
        <v>1076</v>
      </c>
      <c r="G3942" s="283">
        <v>2</v>
      </c>
      <c r="H3942" s="283">
        <v>0</v>
      </c>
      <c r="I3942" s="283">
        <v>1</v>
      </c>
      <c r="J3942" s="284">
        <v>0</v>
      </c>
    </row>
    <row r="3943" spans="3:10" x14ac:dyDescent="0.25">
      <c r="C3943" s="300" t="s">
        <v>1061</v>
      </c>
      <c r="D3943" s="283" t="s">
        <v>1074</v>
      </c>
      <c r="E3943" s="283" t="s">
        <v>1075</v>
      </c>
      <c r="F3943" s="283" t="s">
        <v>1085</v>
      </c>
      <c r="G3943" s="283">
        <v>2</v>
      </c>
      <c r="H3943" s="283">
        <v>0</v>
      </c>
      <c r="I3943" s="283">
        <v>1</v>
      </c>
      <c r="J3943" s="284">
        <v>0</v>
      </c>
    </row>
    <row r="3944" spans="3:10" x14ac:dyDescent="0.25">
      <c r="C3944" s="300" t="s">
        <v>1060</v>
      </c>
      <c r="D3944" s="283" t="s">
        <v>1090</v>
      </c>
      <c r="E3944" s="283" t="s">
        <v>1083</v>
      </c>
      <c r="F3944" s="283" t="s">
        <v>524</v>
      </c>
      <c r="G3944" s="283">
        <v>1</v>
      </c>
      <c r="H3944" s="283">
        <v>0</v>
      </c>
      <c r="I3944" s="283">
        <v>1</v>
      </c>
      <c r="J3944" s="284">
        <v>0</v>
      </c>
    </row>
    <row r="3945" spans="3:10" x14ac:dyDescent="0.25">
      <c r="C3945" s="300" t="s">
        <v>1067</v>
      </c>
      <c r="D3945" s="283" t="s">
        <v>1077</v>
      </c>
      <c r="E3945" s="283" t="s">
        <v>1075</v>
      </c>
      <c r="F3945" s="283" t="s">
        <v>1089</v>
      </c>
      <c r="G3945" s="283">
        <v>2</v>
      </c>
      <c r="H3945" s="283">
        <v>0</v>
      </c>
      <c r="I3945" s="283">
        <v>0</v>
      </c>
      <c r="J3945" s="284">
        <v>0</v>
      </c>
    </row>
    <row r="3946" spans="3:10" x14ac:dyDescent="0.25">
      <c r="C3946" s="300" t="s">
        <v>1060</v>
      </c>
      <c r="D3946" s="283" t="s">
        <v>1077</v>
      </c>
      <c r="E3946" s="283" t="s">
        <v>1086</v>
      </c>
      <c r="F3946" s="283" t="s">
        <v>1076</v>
      </c>
      <c r="G3946" s="283">
        <v>4</v>
      </c>
      <c r="H3946" s="283">
        <v>0</v>
      </c>
      <c r="I3946" s="283">
        <v>0</v>
      </c>
      <c r="J3946" s="284">
        <v>1</v>
      </c>
    </row>
    <row r="3947" spans="3:10" x14ac:dyDescent="0.25">
      <c r="C3947" s="300" t="s">
        <v>1065</v>
      </c>
      <c r="D3947" s="283" t="s">
        <v>1087</v>
      </c>
      <c r="E3947" s="283" t="s">
        <v>1075</v>
      </c>
      <c r="F3947" s="283" t="s">
        <v>524</v>
      </c>
      <c r="G3947" s="283">
        <v>1</v>
      </c>
      <c r="H3947" s="283">
        <v>0</v>
      </c>
      <c r="I3947" s="283">
        <v>0</v>
      </c>
      <c r="J3947" s="284">
        <v>0</v>
      </c>
    </row>
    <row r="3948" spans="3:10" x14ac:dyDescent="0.25">
      <c r="C3948" s="300" t="s">
        <v>1060</v>
      </c>
      <c r="D3948" s="283" t="s">
        <v>1043</v>
      </c>
      <c r="E3948" s="283" t="s">
        <v>1075</v>
      </c>
      <c r="F3948" s="283" t="s">
        <v>1092</v>
      </c>
      <c r="G3948" s="283">
        <v>3</v>
      </c>
      <c r="H3948" s="283">
        <v>0</v>
      </c>
      <c r="I3948" s="283">
        <v>0</v>
      </c>
      <c r="J3948" s="284">
        <v>1</v>
      </c>
    </row>
    <row r="3949" spans="3:10" x14ac:dyDescent="0.25">
      <c r="C3949" s="300" t="s">
        <v>1062</v>
      </c>
      <c r="D3949" s="283" t="s">
        <v>1074</v>
      </c>
      <c r="E3949" s="283" t="s">
        <v>1075</v>
      </c>
      <c r="F3949" s="283" t="s">
        <v>1075</v>
      </c>
      <c r="G3949" s="283">
        <v>2</v>
      </c>
      <c r="H3949" s="283">
        <v>0</v>
      </c>
      <c r="I3949" s="283">
        <v>0</v>
      </c>
      <c r="J3949" s="284">
        <v>0</v>
      </c>
    </row>
    <row r="3950" spans="3:10" x14ac:dyDescent="0.25">
      <c r="C3950" s="300" t="s">
        <v>1060</v>
      </c>
      <c r="D3950" s="283" t="s">
        <v>1079</v>
      </c>
      <c r="E3950" s="283" t="s">
        <v>1075</v>
      </c>
      <c r="F3950" s="283" t="s">
        <v>1083</v>
      </c>
      <c r="G3950" s="283">
        <v>2</v>
      </c>
      <c r="H3950" s="283">
        <v>0</v>
      </c>
      <c r="I3950" s="283">
        <v>1</v>
      </c>
      <c r="J3950" s="284">
        <v>1</v>
      </c>
    </row>
    <row r="3951" spans="3:10" x14ac:dyDescent="0.25">
      <c r="C3951" s="300" t="s">
        <v>1067</v>
      </c>
      <c r="D3951" s="283" t="s">
        <v>1079</v>
      </c>
      <c r="E3951" s="283" t="s">
        <v>1100</v>
      </c>
      <c r="F3951" s="283" t="s">
        <v>1088</v>
      </c>
      <c r="G3951" s="283">
        <v>2</v>
      </c>
      <c r="H3951" s="283">
        <v>0</v>
      </c>
      <c r="I3951" s="283">
        <v>0</v>
      </c>
      <c r="J3951" s="284">
        <v>0</v>
      </c>
    </row>
    <row r="3952" spans="3:10" x14ac:dyDescent="0.25">
      <c r="C3952" s="300" t="s">
        <v>1062</v>
      </c>
      <c r="D3952" s="283" t="s">
        <v>1074</v>
      </c>
      <c r="E3952" s="283" t="s">
        <v>1075</v>
      </c>
      <c r="F3952" s="283" t="s">
        <v>1075</v>
      </c>
      <c r="G3952" s="283">
        <v>2</v>
      </c>
      <c r="H3952" s="283">
        <v>0</v>
      </c>
      <c r="I3952" s="283">
        <v>0</v>
      </c>
      <c r="J3952" s="284">
        <v>0</v>
      </c>
    </row>
    <row r="3953" spans="3:10" x14ac:dyDescent="0.25">
      <c r="C3953" s="300" t="s">
        <v>1060</v>
      </c>
      <c r="D3953" s="283" t="s">
        <v>1077</v>
      </c>
      <c r="E3953" s="283" t="s">
        <v>1089</v>
      </c>
      <c r="F3953" s="283" t="s">
        <v>1075</v>
      </c>
      <c r="G3953" s="283">
        <v>2</v>
      </c>
      <c r="H3953" s="283">
        <v>0</v>
      </c>
      <c r="I3953" s="283">
        <v>0</v>
      </c>
      <c r="J3953" s="284">
        <v>0</v>
      </c>
    </row>
    <row r="3954" spans="3:10" x14ac:dyDescent="0.25">
      <c r="C3954" s="300" t="s">
        <v>1068</v>
      </c>
      <c r="D3954" s="283" t="s">
        <v>1079</v>
      </c>
      <c r="E3954" s="283" t="s">
        <v>1076</v>
      </c>
      <c r="F3954" s="283" t="s">
        <v>1075</v>
      </c>
      <c r="G3954" s="283">
        <v>2</v>
      </c>
      <c r="H3954" s="283">
        <v>0</v>
      </c>
      <c r="I3954" s="283">
        <v>0</v>
      </c>
      <c r="J3954" s="284">
        <v>0</v>
      </c>
    </row>
    <row r="3955" spans="3:10" x14ac:dyDescent="0.25">
      <c r="C3955" s="300" t="s">
        <v>1061</v>
      </c>
      <c r="D3955" s="283" t="s">
        <v>1043</v>
      </c>
      <c r="E3955" s="283" t="s">
        <v>1075</v>
      </c>
      <c r="F3955" s="283" t="s">
        <v>1092</v>
      </c>
      <c r="G3955" s="283">
        <v>2</v>
      </c>
      <c r="H3955" s="283">
        <v>0</v>
      </c>
      <c r="I3955" s="283">
        <v>0</v>
      </c>
      <c r="J3955" s="284">
        <v>0</v>
      </c>
    </row>
    <row r="3956" spans="3:10" x14ac:dyDescent="0.25">
      <c r="C3956" s="300" t="s">
        <v>1065</v>
      </c>
      <c r="D3956" s="283" t="s">
        <v>1074</v>
      </c>
      <c r="E3956" s="283" t="s">
        <v>1075</v>
      </c>
      <c r="F3956" s="283" t="s">
        <v>1075</v>
      </c>
      <c r="G3956" s="283">
        <v>2</v>
      </c>
      <c r="H3956" s="283">
        <v>0</v>
      </c>
      <c r="I3956" s="283">
        <v>0</v>
      </c>
      <c r="J3956" s="284">
        <v>1</v>
      </c>
    </row>
    <row r="3957" spans="3:10" x14ac:dyDescent="0.25">
      <c r="C3957" s="300" t="s">
        <v>1058</v>
      </c>
      <c r="D3957" s="283" t="s">
        <v>1087</v>
      </c>
      <c r="E3957" s="283" t="s">
        <v>1075</v>
      </c>
      <c r="F3957" s="283" t="s">
        <v>524</v>
      </c>
      <c r="G3957" s="283">
        <v>1</v>
      </c>
      <c r="H3957" s="283">
        <v>0</v>
      </c>
      <c r="I3957" s="283">
        <v>0</v>
      </c>
      <c r="J3957" s="284">
        <v>0</v>
      </c>
    </row>
    <row r="3958" spans="3:10" x14ac:dyDescent="0.25">
      <c r="C3958" s="300" t="s">
        <v>1059</v>
      </c>
      <c r="D3958" s="283" t="s">
        <v>1079</v>
      </c>
      <c r="E3958" s="283" t="s">
        <v>1081</v>
      </c>
      <c r="F3958" s="283" t="s">
        <v>1083</v>
      </c>
      <c r="G3958" s="283">
        <v>2</v>
      </c>
      <c r="H3958" s="283">
        <v>0</v>
      </c>
      <c r="I3958" s="283">
        <v>1</v>
      </c>
      <c r="J3958" s="284">
        <v>0</v>
      </c>
    </row>
    <row r="3959" spans="3:10" x14ac:dyDescent="0.25">
      <c r="C3959" s="300" t="s">
        <v>1066</v>
      </c>
      <c r="D3959" s="283" t="s">
        <v>1079</v>
      </c>
      <c r="E3959" s="283" t="s">
        <v>1076</v>
      </c>
      <c r="F3959" s="283" t="s">
        <v>1044</v>
      </c>
      <c r="G3959" s="283">
        <v>2</v>
      </c>
      <c r="H3959" s="283">
        <v>0</v>
      </c>
      <c r="I3959" s="283">
        <v>1</v>
      </c>
      <c r="J3959" s="284">
        <v>0</v>
      </c>
    </row>
    <row r="3960" spans="3:10" x14ac:dyDescent="0.25">
      <c r="C3960" s="300" t="s">
        <v>1066</v>
      </c>
      <c r="D3960" s="283" t="s">
        <v>1082</v>
      </c>
      <c r="E3960" s="283" t="s">
        <v>1094</v>
      </c>
      <c r="F3960" s="283" t="s">
        <v>1078</v>
      </c>
      <c r="G3960" s="283">
        <v>2</v>
      </c>
      <c r="H3960" s="283">
        <v>0</v>
      </c>
      <c r="I3960" s="283">
        <v>2</v>
      </c>
      <c r="J3960" s="284">
        <v>0</v>
      </c>
    </row>
    <row r="3961" spans="3:10" x14ac:dyDescent="0.25">
      <c r="C3961" s="300" t="s">
        <v>1066</v>
      </c>
      <c r="D3961" s="283" t="s">
        <v>1077</v>
      </c>
      <c r="E3961" s="283" t="s">
        <v>1089</v>
      </c>
      <c r="F3961" s="283" t="s">
        <v>1075</v>
      </c>
      <c r="G3961" s="283">
        <v>2</v>
      </c>
      <c r="H3961" s="283">
        <v>0</v>
      </c>
      <c r="I3961" s="283">
        <v>1</v>
      </c>
      <c r="J3961" s="284">
        <v>0</v>
      </c>
    </row>
    <row r="3962" spans="3:10" x14ac:dyDescent="0.25">
      <c r="C3962" s="300" t="s">
        <v>1068</v>
      </c>
      <c r="D3962" s="283" t="s">
        <v>1043</v>
      </c>
      <c r="E3962" s="283" t="s">
        <v>1075</v>
      </c>
      <c r="F3962" s="283" t="s">
        <v>1092</v>
      </c>
      <c r="G3962" s="283">
        <v>2</v>
      </c>
      <c r="H3962" s="283">
        <v>0</v>
      </c>
      <c r="I3962" s="283">
        <v>0</v>
      </c>
      <c r="J3962" s="284">
        <v>1</v>
      </c>
    </row>
    <row r="3963" spans="3:10" x14ac:dyDescent="0.25">
      <c r="C3963" s="300" t="s">
        <v>1064</v>
      </c>
      <c r="D3963" s="283" t="s">
        <v>1043</v>
      </c>
      <c r="E3963" s="283" t="s">
        <v>1075</v>
      </c>
      <c r="F3963" s="283" t="s">
        <v>1104</v>
      </c>
      <c r="G3963" s="283">
        <v>2</v>
      </c>
      <c r="H3963" s="283">
        <v>0</v>
      </c>
      <c r="I3963" s="283">
        <v>1</v>
      </c>
      <c r="J3963" s="284">
        <v>0</v>
      </c>
    </row>
    <row r="3964" spans="3:10" x14ac:dyDescent="0.25">
      <c r="C3964" s="300" t="s">
        <v>1064</v>
      </c>
      <c r="D3964" s="283" t="s">
        <v>1077</v>
      </c>
      <c r="E3964" s="283" t="s">
        <v>1076</v>
      </c>
      <c r="F3964" s="283" t="s">
        <v>1075</v>
      </c>
      <c r="G3964" s="283">
        <v>3</v>
      </c>
      <c r="H3964" s="283">
        <v>0</v>
      </c>
      <c r="I3964" s="283">
        <v>0</v>
      </c>
      <c r="J3964" s="284">
        <v>1</v>
      </c>
    </row>
    <row r="3965" spans="3:10" x14ac:dyDescent="0.25">
      <c r="C3965" s="300" t="s">
        <v>1060</v>
      </c>
      <c r="D3965" s="283" t="s">
        <v>1043</v>
      </c>
      <c r="E3965" s="283" t="s">
        <v>1075</v>
      </c>
      <c r="F3965" s="283" t="s">
        <v>1092</v>
      </c>
      <c r="G3965" s="283">
        <v>2</v>
      </c>
      <c r="H3965" s="283">
        <v>0</v>
      </c>
      <c r="I3965" s="283">
        <v>1</v>
      </c>
      <c r="J3965" s="284">
        <v>0</v>
      </c>
    </row>
    <row r="3966" spans="3:10" x14ac:dyDescent="0.25">
      <c r="C3966" s="300" t="s">
        <v>1064</v>
      </c>
      <c r="D3966" s="283" t="s">
        <v>1043</v>
      </c>
      <c r="E3966" s="283" t="s">
        <v>1075</v>
      </c>
      <c r="F3966" s="283" t="s">
        <v>1092</v>
      </c>
      <c r="G3966" s="283">
        <v>2</v>
      </c>
      <c r="H3966" s="283">
        <v>0</v>
      </c>
      <c r="I3966" s="283">
        <v>1</v>
      </c>
      <c r="J3966" s="284">
        <v>0</v>
      </c>
    </row>
    <row r="3967" spans="3:10" x14ac:dyDescent="0.25">
      <c r="C3967" s="300" t="s">
        <v>1065</v>
      </c>
      <c r="D3967" s="283" t="s">
        <v>1077</v>
      </c>
      <c r="E3967" s="283" t="s">
        <v>1078</v>
      </c>
      <c r="F3967" s="283" t="s">
        <v>1083</v>
      </c>
      <c r="G3967" s="283">
        <v>2</v>
      </c>
      <c r="H3967" s="283">
        <v>0</v>
      </c>
      <c r="I3967" s="283">
        <v>0</v>
      </c>
      <c r="J3967" s="284">
        <v>1</v>
      </c>
    </row>
    <row r="3968" spans="3:10" x14ac:dyDescent="0.25">
      <c r="C3968" s="300" t="s">
        <v>1061</v>
      </c>
      <c r="D3968" s="283" t="s">
        <v>1079</v>
      </c>
      <c r="E3968" s="283" t="s">
        <v>1081</v>
      </c>
      <c r="F3968" s="283" t="s">
        <v>1075</v>
      </c>
      <c r="G3968" s="283">
        <v>2</v>
      </c>
      <c r="H3968" s="283">
        <v>0</v>
      </c>
      <c r="I3968" s="283">
        <v>1</v>
      </c>
      <c r="J3968" s="284">
        <v>0</v>
      </c>
    </row>
    <row r="3969" spans="3:10" x14ac:dyDescent="0.25">
      <c r="C3969" s="300" t="s">
        <v>1066</v>
      </c>
      <c r="D3969" s="283" t="s">
        <v>1043</v>
      </c>
      <c r="E3969" s="283" t="s">
        <v>1089</v>
      </c>
      <c r="F3969" s="283" t="s">
        <v>1092</v>
      </c>
      <c r="G3969" s="283">
        <v>2</v>
      </c>
      <c r="H3969" s="283">
        <v>0</v>
      </c>
      <c r="I3969" s="283">
        <v>0</v>
      </c>
      <c r="J3969" s="284">
        <v>1</v>
      </c>
    </row>
    <row r="3970" spans="3:10" x14ac:dyDescent="0.25">
      <c r="C3970" s="300" t="s">
        <v>1065</v>
      </c>
      <c r="D3970" s="283" t="s">
        <v>1077</v>
      </c>
      <c r="E3970" s="283" t="s">
        <v>1080</v>
      </c>
      <c r="F3970" s="283" t="s">
        <v>1076</v>
      </c>
      <c r="G3970" s="283">
        <v>3</v>
      </c>
      <c r="H3970" s="283">
        <v>0</v>
      </c>
      <c r="I3970" s="283">
        <v>1</v>
      </c>
      <c r="J3970" s="284">
        <v>0</v>
      </c>
    </row>
    <row r="3971" spans="3:10" x14ac:dyDescent="0.25">
      <c r="C3971" s="300" t="s">
        <v>1061</v>
      </c>
      <c r="D3971" s="283" t="s">
        <v>1077</v>
      </c>
      <c r="E3971" s="283" t="s">
        <v>1083</v>
      </c>
      <c r="F3971" s="283" t="s">
        <v>1075</v>
      </c>
      <c r="G3971" s="283">
        <v>2</v>
      </c>
      <c r="H3971" s="283">
        <v>0</v>
      </c>
      <c r="I3971" s="283">
        <v>0</v>
      </c>
      <c r="J3971" s="284">
        <v>0</v>
      </c>
    </row>
    <row r="3972" spans="3:10" x14ac:dyDescent="0.25">
      <c r="C3972" s="300" t="s">
        <v>1063</v>
      </c>
      <c r="D3972" s="283" t="s">
        <v>1079</v>
      </c>
      <c r="E3972" s="283" t="s">
        <v>1086</v>
      </c>
      <c r="F3972" s="283" t="s">
        <v>1083</v>
      </c>
      <c r="G3972" s="283">
        <v>2</v>
      </c>
      <c r="H3972" s="283">
        <v>0</v>
      </c>
      <c r="I3972" s="283">
        <v>0</v>
      </c>
      <c r="J3972" s="284">
        <v>1</v>
      </c>
    </row>
    <row r="3973" spans="3:10" x14ac:dyDescent="0.25">
      <c r="C3973" s="300" t="s">
        <v>1061</v>
      </c>
      <c r="D3973" s="283" t="s">
        <v>1043</v>
      </c>
      <c r="E3973" s="283" t="s">
        <v>1099</v>
      </c>
      <c r="F3973" s="283" t="s">
        <v>1092</v>
      </c>
      <c r="G3973" s="283">
        <v>2</v>
      </c>
      <c r="H3973" s="283">
        <v>0</v>
      </c>
      <c r="I3973" s="283">
        <v>0</v>
      </c>
      <c r="J3973" s="284">
        <v>0</v>
      </c>
    </row>
    <row r="3974" spans="3:10" x14ac:dyDescent="0.25">
      <c r="C3974" s="300" t="s">
        <v>1064</v>
      </c>
      <c r="D3974" s="283" t="s">
        <v>1095</v>
      </c>
      <c r="E3974" s="283" t="s">
        <v>1075</v>
      </c>
      <c r="F3974" s="283" t="s">
        <v>524</v>
      </c>
      <c r="G3974" s="283">
        <v>1</v>
      </c>
      <c r="H3974" s="283">
        <v>0</v>
      </c>
      <c r="I3974" s="283">
        <v>0</v>
      </c>
      <c r="J3974" s="284">
        <v>0</v>
      </c>
    </row>
    <row r="3975" spans="3:10" x14ac:dyDescent="0.25">
      <c r="C3975" s="300" t="s">
        <v>1064</v>
      </c>
      <c r="D3975" s="283" t="s">
        <v>1082</v>
      </c>
      <c r="E3975" s="283" t="s">
        <v>1083</v>
      </c>
      <c r="F3975" s="283" t="s">
        <v>1076</v>
      </c>
      <c r="G3975" s="283">
        <v>2</v>
      </c>
      <c r="H3975" s="283">
        <v>0</v>
      </c>
      <c r="I3975" s="283">
        <v>1</v>
      </c>
      <c r="J3975" s="284">
        <v>0</v>
      </c>
    </row>
    <row r="3976" spans="3:10" x14ac:dyDescent="0.25">
      <c r="C3976" s="300" t="s">
        <v>1065</v>
      </c>
      <c r="D3976" s="283" t="s">
        <v>1043</v>
      </c>
      <c r="E3976" s="283" t="s">
        <v>1075</v>
      </c>
      <c r="F3976" s="283" t="s">
        <v>1104</v>
      </c>
      <c r="G3976" s="283">
        <v>2</v>
      </c>
      <c r="H3976" s="283">
        <v>0</v>
      </c>
      <c r="I3976" s="283">
        <v>0</v>
      </c>
      <c r="J3976" s="284">
        <v>0</v>
      </c>
    </row>
    <row r="3977" spans="3:10" x14ac:dyDescent="0.25">
      <c r="C3977" s="300" t="s">
        <v>1066</v>
      </c>
      <c r="D3977" s="283" t="s">
        <v>1074</v>
      </c>
      <c r="E3977" s="283" t="s">
        <v>1083</v>
      </c>
      <c r="F3977" s="283" t="s">
        <v>1075</v>
      </c>
      <c r="G3977" s="283">
        <v>2</v>
      </c>
      <c r="H3977" s="283">
        <v>0</v>
      </c>
      <c r="I3977" s="283">
        <v>0</v>
      </c>
      <c r="J3977" s="284">
        <v>1</v>
      </c>
    </row>
    <row r="3978" spans="3:10" x14ac:dyDescent="0.25">
      <c r="C3978" s="300" t="s">
        <v>1060</v>
      </c>
      <c r="D3978" s="283" t="s">
        <v>1079</v>
      </c>
      <c r="E3978" s="283" t="s">
        <v>1075</v>
      </c>
      <c r="F3978" s="283" t="s">
        <v>1083</v>
      </c>
      <c r="G3978" s="283">
        <v>2</v>
      </c>
      <c r="H3978" s="283">
        <v>0</v>
      </c>
      <c r="I3978" s="283">
        <v>0</v>
      </c>
      <c r="J3978" s="284">
        <v>0</v>
      </c>
    </row>
    <row r="3979" spans="3:10" x14ac:dyDescent="0.25">
      <c r="C3979" s="300" t="s">
        <v>1065</v>
      </c>
      <c r="D3979" s="283" t="s">
        <v>1077</v>
      </c>
      <c r="E3979" s="283" t="s">
        <v>1089</v>
      </c>
      <c r="F3979" s="283" t="s">
        <v>1075</v>
      </c>
      <c r="G3979" s="283">
        <v>2</v>
      </c>
      <c r="H3979" s="283">
        <v>0</v>
      </c>
      <c r="I3979" s="283">
        <v>0</v>
      </c>
      <c r="J3979" s="284">
        <v>0</v>
      </c>
    </row>
    <row r="3980" spans="3:10" x14ac:dyDescent="0.25">
      <c r="C3980" s="300" t="s">
        <v>1061</v>
      </c>
      <c r="D3980" s="283" t="s">
        <v>1077</v>
      </c>
      <c r="E3980" s="283" t="s">
        <v>1075</v>
      </c>
      <c r="F3980" s="283" t="s">
        <v>1083</v>
      </c>
      <c r="G3980" s="283">
        <v>2</v>
      </c>
      <c r="H3980" s="283">
        <v>0</v>
      </c>
      <c r="I3980" s="283">
        <v>0</v>
      </c>
      <c r="J3980" s="284">
        <v>0</v>
      </c>
    </row>
    <row r="3981" spans="3:10" x14ac:dyDescent="0.25">
      <c r="C3981" s="300" t="s">
        <v>1061</v>
      </c>
      <c r="D3981" s="283" t="s">
        <v>1074</v>
      </c>
      <c r="E3981" s="283" t="s">
        <v>1078</v>
      </c>
      <c r="F3981" s="283" t="s">
        <v>1044</v>
      </c>
      <c r="G3981" s="283">
        <v>2</v>
      </c>
      <c r="H3981" s="283">
        <v>0</v>
      </c>
      <c r="I3981" s="283">
        <v>0</v>
      </c>
      <c r="J3981" s="284">
        <v>1</v>
      </c>
    </row>
    <row r="3982" spans="3:10" x14ac:dyDescent="0.25">
      <c r="C3982" s="300" t="s">
        <v>1066</v>
      </c>
      <c r="D3982" s="283" t="s">
        <v>1074</v>
      </c>
      <c r="E3982" s="283" t="s">
        <v>1078</v>
      </c>
      <c r="F3982" s="283" t="s">
        <v>1089</v>
      </c>
      <c r="G3982" s="283">
        <v>2</v>
      </c>
      <c r="H3982" s="283">
        <v>0</v>
      </c>
      <c r="I3982" s="283">
        <v>1</v>
      </c>
      <c r="J3982" s="284">
        <v>0</v>
      </c>
    </row>
    <row r="3983" spans="3:10" x14ac:dyDescent="0.25">
      <c r="C3983" s="300" t="s">
        <v>1059</v>
      </c>
      <c r="D3983" s="283" t="s">
        <v>1079</v>
      </c>
      <c r="E3983" s="283" t="s">
        <v>1075</v>
      </c>
      <c r="F3983" s="283" t="s">
        <v>1094</v>
      </c>
      <c r="G3983" s="283">
        <v>5</v>
      </c>
      <c r="H3983" s="283">
        <v>0</v>
      </c>
      <c r="I3983" s="283">
        <v>0</v>
      </c>
      <c r="J3983" s="284">
        <v>1</v>
      </c>
    </row>
    <row r="3984" spans="3:10" x14ac:dyDescent="0.25">
      <c r="C3984" s="300" t="s">
        <v>1062</v>
      </c>
      <c r="D3984" s="283" t="s">
        <v>1079</v>
      </c>
      <c r="E3984" s="283" t="s">
        <v>1083</v>
      </c>
      <c r="F3984" s="283" t="s">
        <v>524</v>
      </c>
      <c r="G3984" s="283">
        <v>1</v>
      </c>
      <c r="H3984" s="283">
        <v>0</v>
      </c>
      <c r="I3984" s="283">
        <v>0</v>
      </c>
      <c r="J3984" s="284">
        <v>0</v>
      </c>
    </row>
    <row r="3985" spans="3:10" x14ac:dyDescent="0.25">
      <c r="C3985" s="300" t="s">
        <v>1065</v>
      </c>
      <c r="D3985" s="283" t="s">
        <v>1087</v>
      </c>
      <c r="E3985" s="283" t="s">
        <v>1083</v>
      </c>
      <c r="F3985" s="283" t="s">
        <v>524</v>
      </c>
      <c r="G3985" s="283">
        <v>1</v>
      </c>
      <c r="H3985" s="283">
        <v>0</v>
      </c>
      <c r="I3985" s="283">
        <v>1</v>
      </c>
      <c r="J3985" s="284">
        <v>0</v>
      </c>
    </row>
    <row r="3986" spans="3:10" x14ac:dyDescent="0.25">
      <c r="C3986" s="300" t="s">
        <v>1060</v>
      </c>
      <c r="D3986" s="283" t="s">
        <v>1074</v>
      </c>
      <c r="E3986" s="283" t="s">
        <v>1089</v>
      </c>
      <c r="F3986" s="283" t="s">
        <v>1089</v>
      </c>
      <c r="G3986" s="283">
        <v>2</v>
      </c>
      <c r="H3986" s="283">
        <v>0</v>
      </c>
      <c r="I3986" s="283">
        <v>1</v>
      </c>
      <c r="J3986" s="284">
        <v>0</v>
      </c>
    </row>
    <row r="3987" spans="3:10" x14ac:dyDescent="0.25">
      <c r="C3987" s="300" t="s">
        <v>1062</v>
      </c>
      <c r="D3987" s="283" t="s">
        <v>1079</v>
      </c>
      <c r="E3987" s="283" t="s">
        <v>1089</v>
      </c>
      <c r="F3987" s="283" t="s">
        <v>1089</v>
      </c>
      <c r="G3987" s="283">
        <v>2</v>
      </c>
      <c r="H3987" s="283">
        <v>0</v>
      </c>
      <c r="I3987" s="283">
        <v>0</v>
      </c>
      <c r="J3987" s="284">
        <v>0</v>
      </c>
    </row>
    <row r="3988" spans="3:10" x14ac:dyDescent="0.25">
      <c r="C3988" s="300" t="s">
        <v>1062</v>
      </c>
      <c r="D3988" s="283" t="s">
        <v>1079</v>
      </c>
      <c r="E3988" s="283" t="s">
        <v>1075</v>
      </c>
      <c r="F3988" s="283" t="s">
        <v>1083</v>
      </c>
      <c r="G3988" s="283">
        <v>2</v>
      </c>
      <c r="H3988" s="283">
        <v>0</v>
      </c>
      <c r="I3988" s="283">
        <v>0</v>
      </c>
      <c r="J3988" s="284">
        <v>1</v>
      </c>
    </row>
    <row r="3989" spans="3:10" x14ac:dyDescent="0.25">
      <c r="C3989" s="300" t="s">
        <v>1065</v>
      </c>
      <c r="D3989" s="283" t="s">
        <v>1079</v>
      </c>
      <c r="E3989" s="283" t="s">
        <v>1076</v>
      </c>
      <c r="F3989" s="283" t="s">
        <v>1093</v>
      </c>
      <c r="G3989" s="283">
        <v>2</v>
      </c>
      <c r="H3989" s="283">
        <v>0</v>
      </c>
      <c r="I3989" s="283">
        <v>0</v>
      </c>
      <c r="J3989" s="284">
        <v>1</v>
      </c>
    </row>
    <row r="3990" spans="3:10" x14ac:dyDescent="0.25">
      <c r="C3990" s="300" t="s">
        <v>1067</v>
      </c>
      <c r="D3990" s="283" t="s">
        <v>1074</v>
      </c>
      <c r="E3990" s="283" t="s">
        <v>1075</v>
      </c>
      <c r="F3990" s="283" t="s">
        <v>1075</v>
      </c>
      <c r="G3990" s="283">
        <v>2</v>
      </c>
      <c r="H3990" s="283">
        <v>0</v>
      </c>
      <c r="I3990" s="283">
        <v>0</v>
      </c>
      <c r="J3990" s="284">
        <v>0</v>
      </c>
    </row>
    <row r="3991" spans="3:10" x14ac:dyDescent="0.25">
      <c r="C3991" s="300" t="s">
        <v>1063</v>
      </c>
      <c r="D3991" s="283" t="s">
        <v>1074</v>
      </c>
      <c r="E3991" s="283" t="s">
        <v>1044</v>
      </c>
      <c r="F3991" s="283" t="s">
        <v>1075</v>
      </c>
      <c r="G3991" s="283">
        <v>2</v>
      </c>
      <c r="H3991" s="283">
        <v>0</v>
      </c>
      <c r="I3991" s="283">
        <v>1</v>
      </c>
      <c r="J3991" s="284">
        <v>0</v>
      </c>
    </row>
    <row r="3992" spans="3:10" x14ac:dyDescent="0.25">
      <c r="C3992" s="300" t="s">
        <v>1063</v>
      </c>
      <c r="D3992" s="283" t="s">
        <v>1079</v>
      </c>
      <c r="E3992" s="283" t="s">
        <v>1075</v>
      </c>
      <c r="F3992" s="283" t="s">
        <v>1089</v>
      </c>
      <c r="G3992" s="283">
        <v>7</v>
      </c>
      <c r="H3992" s="283">
        <v>0</v>
      </c>
      <c r="I3992" s="283">
        <v>0</v>
      </c>
      <c r="J3992" s="284">
        <v>1</v>
      </c>
    </row>
    <row r="3993" spans="3:10" x14ac:dyDescent="0.25">
      <c r="C3993" s="300" t="s">
        <v>1062</v>
      </c>
      <c r="D3993" s="283" t="s">
        <v>1087</v>
      </c>
      <c r="E3993" s="283" t="s">
        <v>1075</v>
      </c>
      <c r="F3993" s="283" t="s">
        <v>524</v>
      </c>
      <c r="G3993" s="283">
        <v>1</v>
      </c>
      <c r="H3993" s="283">
        <v>0</v>
      </c>
      <c r="I3993" s="283">
        <v>1</v>
      </c>
      <c r="J3993" s="284">
        <v>0</v>
      </c>
    </row>
    <row r="3994" spans="3:10" x14ac:dyDescent="0.25">
      <c r="C3994" s="300" t="s">
        <v>1064</v>
      </c>
      <c r="D3994" s="283" t="s">
        <v>1077</v>
      </c>
      <c r="E3994" s="283" t="s">
        <v>1075</v>
      </c>
      <c r="F3994" s="283" t="s">
        <v>1075</v>
      </c>
      <c r="G3994" s="283">
        <v>2</v>
      </c>
      <c r="H3994" s="283">
        <v>0</v>
      </c>
      <c r="I3994" s="283">
        <v>0</v>
      </c>
      <c r="J3994" s="284">
        <v>0</v>
      </c>
    </row>
    <row r="3995" spans="3:10" x14ac:dyDescent="0.25">
      <c r="C3995" s="300" t="s">
        <v>1065</v>
      </c>
      <c r="D3995" s="283" t="s">
        <v>1043</v>
      </c>
      <c r="E3995" s="283" t="s">
        <v>1075</v>
      </c>
      <c r="F3995" s="283" t="s">
        <v>1092</v>
      </c>
      <c r="G3995" s="283">
        <v>2</v>
      </c>
      <c r="H3995" s="283">
        <v>0</v>
      </c>
      <c r="I3995" s="283">
        <v>0</v>
      </c>
      <c r="J3995" s="284">
        <v>1</v>
      </c>
    </row>
    <row r="3996" spans="3:10" x14ac:dyDescent="0.25">
      <c r="C3996" s="300" t="s">
        <v>1064</v>
      </c>
      <c r="D3996" s="283" t="s">
        <v>1079</v>
      </c>
      <c r="E3996" s="283" t="s">
        <v>1089</v>
      </c>
      <c r="F3996" s="283" t="s">
        <v>1044</v>
      </c>
      <c r="G3996" s="283">
        <v>2</v>
      </c>
      <c r="H3996" s="283">
        <v>0</v>
      </c>
      <c r="I3996" s="283">
        <v>0</v>
      </c>
      <c r="J3996" s="284">
        <v>1</v>
      </c>
    </row>
    <row r="3997" spans="3:10" x14ac:dyDescent="0.25">
      <c r="C3997" s="300" t="s">
        <v>1063</v>
      </c>
      <c r="D3997" s="283" t="s">
        <v>1074</v>
      </c>
      <c r="E3997" s="283" t="s">
        <v>1075</v>
      </c>
      <c r="F3997" s="283" t="s">
        <v>1084</v>
      </c>
      <c r="G3997" s="283">
        <v>2</v>
      </c>
      <c r="H3997" s="283">
        <v>0</v>
      </c>
      <c r="I3997" s="283">
        <v>0</v>
      </c>
      <c r="J3997" s="284">
        <v>0</v>
      </c>
    </row>
    <row r="3998" spans="3:10" x14ac:dyDescent="0.25">
      <c r="C3998" s="300" t="s">
        <v>1065</v>
      </c>
      <c r="D3998" s="283" t="s">
        <v>1077</v>
      </c>
      <c r="E3998" s="283" t="s">
        <v>1075</v>
      </c>
      <c r="F3998" s="283" t="s">
        <v>1089</v>
      </c>
      <c r="G3998" s="283">
        <v>2</v>
      </c>
      <c r="H3998" s="283">
        <v>0</v>
      </c>
      <c r="I3998" s="283">
        <v>0</v>
      </c>
      <c r="J3998" s="284">
        <v>0</v>
      </c>
    </row>
    <row r="3999" spans="3:10" x14ac:dyDescent="0.25">
      <c r="C3999" s="300" t="s">
        <v>1060</v>
      </c>
      <c r="D3999" s="283" t="s">
        <v>1077</v>
      </c>
      <c r="E3999" s="283" t="s">
        <v>1076</v>
      </c>
      <c r="F3999" s="283" t="s">
        <v>1076</v>
      </c>
      <c r="G3999" s="283">
        <v>2</v>
      </c>
      <c r="H3999" s="283">
        <v>0</v>
      </c>
      <c r="I3999" s="283">
        <v>0</v>
      </c>
      <c r="J3999" s="284">
        <v>0</v>
      </c>
    </row>
    <row r="4000" spans="3:10" x14ac:dyDescent="0.25">
      <c r="C4000" s="300" t="s">
        <v>1063</v>
      </c>
      <c r="D4000" s="283" t="s">
        <v>1079</v>
      </c>
      <c r="E4000" s="283" t="s">
        <v>1075</v>
      </c>
      <c r="F4000" s="283" t="s">
        <v>1075</v>
      </c>
      <c r="G4000" s="283">
        <v>2</v>
      </c>
      <c r="H4000" s="283">
        <v>0</v>
      </c>
      <c r="I4000" s="283">
        <v>0</v>
      </c>
      <c r="J4000" s="284">
        <v>0</v>
      </c>
    </row>
    <row r="4001" spans="3:10" x14ac:dyDescent="0.25">
      <c r="C4001" s="300" t="s">
        <v>1057</v>
      </c>
      <c r="D4001" s="283" t="s">
        <v>1087</v>
      </c>
      <c r="E4001" s="283" t="s">
        <v>1089</v>
      </c>
      <c r="F4001" s="283" t="s">
        <v>524</v>
      </c>
      <c r="G4001" s="283">
        <v>1</v>
      </c>
      <c r="H4001" s="283">
        <v>0</v>
      </c>
      <c r="I4001" s="283">
        <v>0</v>
      </c>
      <c r="J4001" s="284">
        <v>0</v>
      </c>
    </row>
    <row r="4002" spans="3:10" x14ac:dyDescent="0.25">
      <c r="C4002" s="300" t="s">
        <v>1062</v>
      </c>
      <c r="D4002" s="283" t="s">
        <v>1079</v>
      </c>
      <c r="E4002" s="283" t="s">
        <v>1084</v>
      </c>
      <c r="F4002" s="283" t="s">
        <v>1075</v>
      </c>
      <c r="G4002" s="283">
        <v>2</v>
      </c>
      <c r="H4002" s="283">
        <v>0</v>
      </c>
      <c r="I4002" s="283">
        <v>0</v>
      </c>
      <c r="J4002" s="284">
        <v>0</v>
      </c>
    </row>
    <row r="4003" spans="3:10" x14ac:dyDescent="0.25">
      <c r="C4003" s="300" t="s">
        <v>1060</v>
      </c>
      <c r="D4003" s="283" t="s">
        <v>1079</v>
      </c>
      <c r="E4003" s="283" t="s">
        <v>1088</v>
      </c>
      <c r="F4003" s="283" t="s">
        <v>1089</v>
      </c>
      <c r="G4003" s="283">
        <v>2</v>
      </c>
      <c r="H4003" s="283">
        <v>0</v>
      </c>
      <c r="I4003" s="283">
        <v>0</v>
      </c>
      <c r="J4003" s="284">
        <v>0</v>
      </c>
    </row>
    <row r="4004" spans="3:10" x14ac:dyDescent="0.25">
      <c r="C4004" s="300" t="s">
        <v>1060</v>
      </c>
      <c r="D4004" s="283" t="s">
        <v>1087</v>
      </c>
      <c r="E4004" s="283" t="s">
        <v>1075</v>
      </c>
      <c r="F4004" s="283" t="s">
        <v>524</v>
      </c>
      <c r="G4004" s="283">
        <v>2</v>
      </c>
      <c r="H4004" s="283">
        <v>0</v>
      </c>
      <c r="I4004" s="283">
        <v>0</v>
      </c>
      <c r="J4004" s="284">
        <v>0</v>
      </c>
    </row>
    <row r="4005" spans="3:10" x14ac:dyDescent="0.25">
      <c r="C4005" s="300" t="s">
        <v>1061</v>
      </c>
      <c r="D4005" s="283" t="s">
        <v>1079</v>
      </c>
      <c r="E4005" s="283" t="s">
        <v>1075</v>
      </c>
      <c r="F4005" s="283" t="s">
        <v>1075</v>
      </c>
      <c r="G4005" s="283">
        <v>2</v>
      </c>
      <c r="H4005" s="283">
        <v>0</v>
      </c>
      <c r="I4005" s="283">
        <v>0</v>
      </c>
      <c r="J4005" s="284">
        <v>0</v>
      </c>
    </row>
    <row r="4006" spans="3:10" x14ac:dyDescent="0.25">
      <c r="C4006" s="300" t="s">
        <v>1065</v>
      </c>
      <c r="D4006" s="283" t="s">
        <v>1079</v>
      </c>
      <c r="E4006" s="283" t="s">
        <v>1075</v>
      </c>
      <c r="F4006" s="283" t="s">
        <v>1076</v>
      </c>
      <c r="G4006" s="283">
        <v>2</v>
      </c>
      <c r="H4006" s="283">
        <v>0</v>
      </c>
      <c r="I4006" s="283">
        <v>0</v>
      </c>
      <c r="J4006" s="284">
        <v>0</v>
      </c>
    </row>
    <row r="4007" spans="3:10" x14ac:dyDescent="0.25">
      <c r="C4007" s="300" t="s">
        <v>1060</v>
      </c>
      <c r="D4007" s="283" t="s">
        <v>1079</v>
      </c>
      <c r="E4007" s="283" t="s">
        <v>1089</v>
      </c>
      <c r="F4007" s="283" t="s">
        <v>1075</v>
      </c>
      <c r="G4007" s="283">
        <v>6</v>
      </c>
      <c r="H4007" s="283">
        <v>0</v>
      </c>
      <c r="I4007" s="283">
        <v>0</v>
      </c>
      <c r="J4007" s="284">
        <v>0</v>
      </c>
    </row>
    <row r="4008" spans="3:10" x14ac:dyDescent="0.25">
      <c r="C4008" s="300" t="s">
        <v>1060</v>
      </c>
      <c r="D4008" s="283" t="s">
        <v>1079</v>
      </c>
      <c r="E4008" s="283" t="s">
        <v>1075</v>
      </c>
      <c r="F4008" s="283" t="s">
        <v>1080</v>
      </c>
      <c r="G4008" s="283">
        <v>2</v>
      </c>
      <c r="H4008" s="283">
        <v>0</v>
      </c>
      <c r="I4008" s="283">
        <v>0</v>
      </c>
      <c r="J4008" s="284">
        <v>0</v>
      </c>
    </row>
    <row r="4009" spans="3:10" x14ac:dyDescent="0.25">
      <c r="C4009" s="300" t="s">
        <v>1064</v>
      </c>
      <c r="D4009" s="283" t="s">
        <v>1077</v>
      </c>
      <c r="E4009" s="283" t="s">
        <v>1075</v>
      </c>
      <c r="F4009" s="283" t="s">
        <v>1076</v>
      </c>
      <c r="G4009" s="283">
        <v>2</v>
      </c>
      <c r="H4009" s="283">
        <v>0</v>
      </c>
      <c r="I4009" s="283">
        <v>0</v>
      </c>
      <c r="J4009" s="284">
        <v>0</v>
      </c>
    </row>
    <row r="4010" spans="3:10" x14ac:dyDescent="0.25">
      <c r="C4010" s="300" t="s">
        <v>1065</v>
      </c>
      <c r="D4010" s="283" t="s">
        <v>1077</v>
      </c>
      <c r="E4010" s="283" t="s">
        <v>1084</v>
      </c>
      <c r="F4010" s="283" t="s">
        <v>1075</v>
      </c>
      <c r="G4010" s="283">
        <v>2</v>
      </c>
      <c r="H4010" s="283">
        <v>0</v>
      </c>
      <c r="I4010" s="283">
        <v>0</v>
      </c>
      <c r="J4010" s="284">
        <v>0</v>
      </c>
    </row>
    <row r="4011" spans="3:10" x14ac:dyDescent="0.25">
      <c r="C4011" s="300" t="s">
        <v>1064</v>
      </c>
      <c r="D4011" s="283" t="s">
        <v>1087</v>
      </c>
      <c r="E4011" s="283" t="s">
        <v>1075</v>
      </c>
      <c r="F4011" s="283" t="s">
        <v>524</v>
      </c>
      <c r="G4011" s="283">
        <v>1</v>
      </c>
      <c r="H4011" s="283">
        <v>0</v>
      </c>
      <c r="I4011" s="283">
        <v>0</v>
      </c>
      <c r="J4011" s="284">
        <v>0</v>
      </c>
    </row>
    <row r="4012" spans="3:10" x14ac:dyDescent="0.25">
      <c r="C4012" s="300" t="s">
        <v>1063</v>
      </c>
      <c r="D4012" s="283" t="s">
        <v>1043</v>
      </c>
      <c r="E4012" s="283" t="s">
        <v>1089</v>
      </c>
      <c r="F4012" s="283" t="s">
        <v>1092</v>
      </c>
      <c r="G4012" s="283">
        <v>2</v>
      </c>
      <c r="H4012" s="283">
        <v>0</v>
      </c>
      <c r="I4012" s="283">
        <v>0</v>
      </c>
      <c r="J4012" s="284">
        <v>1</v>
      </c>
    </row>
    <row r="4013" spans="3:10" x14ac:dyDescent="0.25">
      <c r="C4013" s="300" t="s">
        <v>1063</v>
      </c>
      <c r="D4013" s="283" t="s">
        <v>1043</v>
      </c>
      <c r="E4013" s="283" t="s">
        <v>1076</v>
      </c>
      <c r="F4013" s="283" t="s">
        <v>1092</v>
      </c>
      <c r="G4013" s="283">
        <v>2</v>
      </c>
      <c r="H4013" s="283">
        <v>0</v>
      </c>
      <c r="I4013" s="283">
        <v>1</v>
      </c>
      <c r="J4013" s="284">
        <v>0</v>
      </c>
    </row>
    <row r="4014" spans="3:10" x14ac:dyDescent="0.25">
      <c r="C4014" s="300" t="s">
        <v>1066</v>
      </c>
      <c r="D4014" s="283" t="s">
        <v>1043</v>
      </c>
      <c r="E4014" s="283" t="s">
        <v>1086</v>
      </c>
      <c r="F4014" s="283" t="s">
        <v>1092</v>
      </c>
      <c r="G4014" s="283">
        <v>2</v>
      </c>
      <c r="H4014" s="283">
        <v>0</v>
      </c>
      <c r="I4014" s="283">
        <v>0</v>
      </c>
      <c r="J4014" s="284">
        <v>1</v>
      </c>
    </row>
    <row r="4015" spans="3:10" x14ac:dyDescent="0.25">
      <c r="C4015" s="300" t="s">
        <v>1068</v>
      </c>
      <c r="D4015" s="283" t="s">
        <v>1043</v>
      </c>
      <c r="E4015" s="283" t="s">
        <v>1086</v>
      </c>
      <c r="F4015" s="283" t="s">
        <v>1092</v>
      </c>
      <c r="G4015" s="283">
        <v>2</v>
      </c>
      <c r="H4015" s="283">
        <v>0</v>
      </c>
      <c r="I4015" s="283">
        <v>1</v>
      </c>
      <c r="J4015" s="284">
        <v>0</v>
      </c>
    </row>
    <row r="4016" spans="3:10" x14ac:dyDescent="0.25">
      <c r="C4016" s="300" t="s">
        <v>1064</v>
      </c>
      <c r="D4016" s="283" t="s">
        <v>1079</v>
      </c>
      <c r="E4016" s="283" t="s">
        <v>1075</v>
      </c>
      <c r="F4016" s="283" t="s">
        <v>1075</v>
      </c>
      <c r="G4016" s="283">
        <v>4</v>
      </c>
      <c r="H4016" s="283">
        <v>0</v>
      </c>
      <c r="I4016" s="283">
        <v>1</v>
      </c>
      <c r="J4016" s="284">
        <v>0</v>
      </c>
    </row>
    <row r="4017" spans="3:10" x14ac:dyDescent="0.25">
      <c r="C4017" s="300" t="s">
        <v>1057</v>
      </c>
      <c r="D4017" s="283" t="s">
        <v>1087</v>
      </c>
      <c r="E4017" s="283" t="s">
        <v>1083</v>
      </c>
      <c r="F4017" s="283" t="s">
        <v>524</v>
      </c>
      <c r="G4017" s="283">
        <v>1</v>
      </c>
      <c r="H4017" s="283">
        <v>0</v>
      </c>
      <c r="I4017" s="283">
        <v>0</v>
      </c>
      <c r="J4017" s="284">
        <v>1</v>
      </c>
    </row>
    <row r="4018" spans="3:10" x14ac:dyDescent="0.25">
      <c r="C4018" s="300" t="s">
        <v>1065</v>
      </c>
      <c r="D4018" s="283" t="s">
        <v>1079</v>
      </c>
      <c r="E4018" s="283" t="s">
        <v>1086</v>
      </c>
      <c r="F4018" s="283" t="s">
        <v>1083</v>
      </c>
      <c r="G4018" s="283">
        <v>2</v>
      </c>
      <c r="H4018" s="283">
        <v>0</v>
      </c>
      <c r="I4018" s="283">
        <v>0</v>
      </c>
      <c r="J4018" s="284">
        <v>1</v>
      </c>
    </row>
    <row r="4019" spans="3:10" x14ac:dyDescent="0.25">
      <c r="C4019" s="300" t="s">
        <v>1065</v>
      </c>
      <c r="D4019" s="283" t="s">
        <v>1079</v>
      </c>
      <c r="E4019" s="283" t="s">
        <v>1084</v>
      </c>
      <c r="F4019" s="283" t="s">
        <v>1075</v>
      </c>
      <c r="G4019" s="283">
        <v>2</v>
      </c>
      <c r="H4019" s="283">
        <v>0</v>
      </c>
      <c r="I4019" s="283">
        <v>0</v>
      </c>
      <c r="J4019" s="284">
        <v>0</v>
      </c>
    </row>
    <row r="4020" spans="3:10" x14ac:dyDescent="0.25">
      <c r="C4020" s="300" t="s">
        <v>1064</v>
      </c>
      <c r="D4020" s="283" t="s">
        <v>1087</v>
      </c>
      <c r="E4020" s="283" t="s">
        <v>1089</v>
      </c>
      <c r="F4020" s="283" t="s">
        <v>524</v>
      </c>
      <c r="G4020" s="283">
        <v>1</v>
      </c>
      <c r="H4020" s="283">
        <v>0</v>
      </c>
      <c r="I4020" s="283">
        <v>1</v>
      </c>
      <c r="J4020" s="284">
        <v>0</v>
      </c>
    </row>
    <row r="4021" spans="3:10" x14ac:dyDescent="0.25">
      <c r="C4021" s="300" t="s">
        <v>1062</v>
      </c>
      <c r="D4021" s="283" t="s">
        <v>1074</v>
      </c>
      <c r="E4021" s="283" t="s">
        <v>1075</v>
      </c>
      <c r="F4021" s="283" t="s">
        <v>1044</v>
      </c>
      <c r="G4021" s="283">
        <v>2</v>
      </c>
      <c r="H4021" s="283">
        <v>0</v>
      </c>
      <c r="I4021" s="283">
        <v>1</v>
      </c>
      <c r="J4021" s="284">
        <v>0</v>
      </c>
    </row>
    <row r="4022" spans="3:10" x14ac:dyDescent="0.25">
      <c r="C4022" s="300" t="s">
        <v>1064</v>
      </c>
      <c r="D4022" s="283" t="s">
        <v>1079</v>
      </c>
      <c r="E4022" s="283" t="s">
        <v>1086</v>
      </c>
      <c r="F4022" s="283" t="s">
        <v>1078</v>
      </c>
      <c r="G4022" s="283">
        <v>2</v>
      </c>
      <c r="H4022" s="283">
        <v>0</v>
      </c>
      <c r="I4022" s="283">
        <v>0</v>
      </c>
      <c r="J4022" s="284">
        <v>0</v>
      </c>
    </row>
    <row r="4023" spans="3:10" x14ac:dyDescent="0.25">
      <c r="C4023" s="300" t="s">
        <v>1061</v>
      </c>
      <c r="D4023" s="283" t="s">
        <v>1090</v>
      </c>
      <c r="E4023" s="283" t="s">
        <v>1083</v>
      </c>
      <c r="F4023" s="283" t="s">
        <v>524</v>
      </c>
      <c r="G4023" s="283">
        <v>1</v>
      </c>
      <c r="H4023" s="283">
        <v>0</v>
      </c>
      <c r="I4023" s="283">
        <v>0</v>
      </c>
      <c r="J4023" s="284">
        <v>1</v>
      </c>
    </row>
    <row r="4024" spans="3:10" x14ac:dyDescent="0.25">
      <c r="C4024" s="300" t="s">
        <v>1064</v>
      </c>
      <c r="D4024" s="283" t="s">
        <v>1043</v>
      </c>
      <c r="E4024" s="283" t="s">
        <v>1044</v>
      </c>
      <c r="F4024" s="283" t="s">
        <v>1092</v>
      </c>
      <c r="G4024" s="283">
        <v>2</v>
      </c>
      <c r="H4024" s="283">
        <v>0</v>
      </c>
      <c r="I4024" s="283">
        <v>0</v>
      </c>
      <c r="J4024" s="284">
        <v>1</v>
      </c>
    </row>
    <row r="4025" spans="3:10" x14ac:dyDescent="0.25">
      <c r="C4025" s="300" t="s">
        <v>1066</v>
      </c>
      <c r="D4025" s="283" t="s">
        <v>1079</v>
      </c>
      <c r="E4025" s="283" t="s">
        <v>1075</v>
      </c>
      <c r="F4025" s="283" t="s">
        <v>1083</v>
      </c>
      <c r="G4025" s="283">
        <v>2</v>
      </c>
      <c r="H4025" s="283">
        <v>0</v>
      </c>
      <c r="I4025" s="283">
        <v>0</v>
      </c>
      <c r="J4025" s="284">
        <v>0</v>
      </c>
    </row>
    <row r="4026" spans="3:10" x14ac:dyDescent="0.25">
      <c r="C4026" s="300" t="s">
        <v>1060</v>
      </c>
      <c r="D4026" s="283" t="s">
        <v>1043</v>
      </c>
      <c r="E4026" s="283" t="s">
        <v>1076</v>
      </c>
      <c r="F4026" s="283" t="s">
        <v>1092</v>
      </c>
      <c r="G4026" s="283">
        <v>2</v>
      </c>
      <c r="H4026" s="283">
        <v>0</v>
      </c>
      <c r="I4026" s="283">
        <v>0</v>
      </c>
      <c r="J4026" s="284">
        <v>1</v>
      </c>
    </row>
    <row r="4027" spans="3:10" x14ac:dyDescent="0.25">
      <c r="C4027" s="300" t="s">
        <v>1061</v>
      </c>
      <c r="D4027" s="283" t="s">
        <v>1077</v>
      </c>
      <c r="E4027" s="283" t="s">
        <v>1076</v>
      </c>
      <c r="F4027" s="283" t="s">
        <v>1075</v>
      </c>
      <c r="G4027" s="283">
        <v>3</v>
      </c>
      <c r="H4027" s="283">
        <v>0</v>
      </c>
      <c r="I4027" s="283">
        <v>0</v>
      </c>
      <c r="J4027" s="284">
        <v>0</v>
      </c>
    </row>
    <row r="4028" spans="3:10" x14ac:dyDescent="0.25">
      <c r="C4028" s="300" t="s">
        <v>1067</v>
      </c>
      <c r="D4028" s="283" t="s">
        <v>1079</v>
      </c>
      <c r="E4028" s="283" t="s">
        <v>1075</v>
      </c>
      <c r="F4028" s="283" t="s">
        <v>1075</v>
      </c>
      <c r="G4028" s="283">
        <v>2</v>
      </c>
      <c r="H4028" s="283">
        <v>0</v>
      </c>
      <c r="I4028" s="283">
        <v>0</v>
      </c>
      <c r="J4028" s="284">
        <v>1</v>
      </c>
    </row>
    <row r="4029" spans="3:10" x14ac:dyDescent="0.25">
      <c r="C4029" s="300" t="s">
        <v>1063</v>
      </c>
      <c r="D4029" s="283" t="s">
        <v>1043</v>
      </c>
      <c r="E4029" s="283" t="s">
        <v>1075</v>
      </c>
      <c r="F4029" s="283" t="s">
        <v>1092</v>
      </c>
      <c r="G4029" s="283">
        <v>2</v>
      </c>
      <c r="H4029" s="283">
        <v>0</v>
      </c>
      <c r="I4029" s="283">
        <v>0</v>
      </c>
      <c r="J4029" s="284">
        <v>0</v>
      </c>
    </row>
    <row r="4030" spans="3:10" x14ac:dyDescent="0.25">
      <c r="C4030" s="300" t="s">
        <v>1059</v>
      </c>
      <c r="D4030" s="283" t="s">
        <v>1090</v>
      </c>
      <c r="E4030" s="283" t="s">
        <v>1083</v>
      </c>
      <c r="F4030" s="283" t="s">
        <v>524</v>
      </c>
      <c r="G4030" s="283">
        <v>1</v>
      </c>
      <c r="H4030" s="283">
        <v>0</v>
      </c>
      <c r="I4030" s="283">
        <v>1</v>
      </c>
      <c r="J4030" s="284">
        <v>0</v>
      </c>
    </row>
    <row r="4031" spans="3:10" x14ac:dyDescent="0.25">
      <c r="C4031" s="300" t="s">
        <v>1060</v>
      </c>
      <c r="D4031" s="283" t="s">
        <v>1079</v>
      </c>
      <c r="E4031" s="283" t="s">
        <v>1075</v>
      </c>
      <c r="F4031" s="283" t="s">
        <v>1089</v>
      </c>
      <c r="G4031" s="283">
        <v>3</v>
      </c>
      <c r="H4031" s="283">
        <v>0</v>
      </c>
      <c r="I4031" s="283">
        <v>0</v>
      </c>
      <c r="J4031" s="284">
        <v>2</v>
      </c>
    </row>
    <row r="4032" spans="3:10" x14ac:dyDescent="0.25">
      <c r="C4032" s="300" t="s">
        <v>1064</v>
      </c>
      <c r="D4032" s="283" t="s">
        <v>1043</v>
      </c>
      <c r="E4032" s="283" t="s">
        <v>1076</v>
      </c>
      <c r="F4032" s="283" t="s">
        <v>1104</v>
      </c>
      <c r="G4032" s="283">
        <v>2</v>
      </c>
      <c r="H4032" s="283">
        <v>0</v>
      </c>
      <c r="I4032" s="283">
        <v>0</v>
      </c>
      <c r="J4032" s="284">
        <v>0</v>
      </c>
    </row>
    <row r="4033" spans="3:10" x14ac:dyDescent="0.25">
      <c r="C4033" s="300" t="s">
        <v>1067</v>
      </c>
      <c r="D4033" s="283" t="s">
        <v>1087</v>
      </c>
      <c r="E4033" s="283" t="s">
        <v>1075</v>
      </c>
      <c r="F4033" s="283" t="s">
        <v>524</v>
      </c>
      <c r="G4033" s="283">
        <v>1</v>
      </c>
      <c r="H4033" s="283">
        <v>0</v>
      </c>
      <c r="I4033" s="283">
        <v>0</v>
      </c>
      <c r="J4033" s="284">
        <v>1</v>
      </c>
    </row>
    <row r="4034" spans="3:10" x14ac:dyDescent="0.25">
      <c r="C4034" s="300" t="s">
        <v>1057</v>
      </c>
      <c r="D4034" s="283" t="s">
        <v>1087</v>
      </c>
      <c r="E4034" s="283" t="s">
        <v>1075</v>
      </c>
      <c r="F4034" s="283" t="s">
        <v>524</v>
      </c>
      <c r="G4034" s="283">
        <v>1</v>
      </c>
      <c r="H4034" s="283">
        <v>0</v>
      </c>
      <c r="I4034" s="283">
        <v>0</v>
      </c>
      <c r="J4034" s="284">
        <v>0</v>
      </c>
    </row>
    <row r="4035" spans="3:10" x14ac:dyDescent="0.25">
      <c r="C4035" s="300" t="s">
        <v>1068</v>
      </c>
      <c r="D4035" s="283" t="s">
        <v>1079</v>
      </c>
      <c r="E4035" s="283" t="s">
        <v>1075</v>
      </c>
      <c r="F4035" s="283" t="s">
        <v>1089</v>
      </c>
      <c r="G4035" s="283">
        <v>3</v>
      </c>
      <c r="H4035" s="283">
        <v>0</v>
      </c>
      <c r="I4035" s="283">
        <v>0</v>
      </c>
      <c r="J4035" s="284">
        <v>0</v>
      </c>
    </row>
    <row r="4036" spans="3:10" x14ac:dyDescent="0.25">
      <c r="C4036" s="300" t="s">
        <v>1062</v>
      </c>
      <c r="D4036" s="283" t="s">
        <v>1077</v>
      </c>
      <c r="E4036" s="283" t="s">
        <v>1075</v>
      </c>
      <c r="F4036" s="283" t="s">
        <v>1094</v>
      </c>
      <c r="G4036" s="283">
        <v>2</v>
      </c>
      <c r="H4036" s="283">
        <v>0</v>
      </c>
      <c r="I4036" s="283">
        <v>0</v>
      </c>
      <c r="J4036" s="284">
        <v>0</v>
      </c>
    </row>
    <row r="4037" spans="3:10" x14ac:dyDescent="0.25">
      <c r="C4037" s="300" t="s">
        <v>1064</v>
      </c>
      <c r="D4037" s="283" t="s">
        <v>1077</v>
      </c>
      <c r="E4037" s="283" t="s">
        <v>1075</v>
      </c>
      <c r="F4037" s="283" t="s">
        <v>1075</v>
      </c>
      <c r="G4037" s="283">
        <v>2</v>
      </c>
      <c r="H4037" s="283">
        <v>0</v>
      </c>
      <c r="I4037" s="283">
        <v>0</v>
      </c>
      <c r="J4037" s="284">
        <v>0</v>
      </c>
    </row>
    <row r="4038" spans="3:10" x14ac:dyDescent="0.25">
      <c r="C4038" s="300" t="s">
        <v>1065</v>
      </c>
      <c r="D4038" s="283" t="s">
        <v>1079</v>
      </c>
      <c r="E4038" s="283" t="s">
        <v>1076</v>
      </c>
      <c r="F4038" s="283" t="s">
        <v>1075</v>
      </c>
      <c r="G4038" s="283">
        <v>2</v>
      </c>
      <c r="H4038" s="283">
        <v>0</v>
      </c>
      <c r="I4038" s="283">
        <v>0</v>
      </c>
      <c r="J4038" s="284">
        <v>0</v>
      </c>
    </row>
    <row r="4039" spans="3:10" x14ac:dyDescent="0.25">
      <c r="C4039" s="300" t="s">
        <v>1062</v>
      </c>
      <c r="D4039" s="283" t="s">
        <v>1074</v>
      </c>
      <c r="E4039" s="283" t="s">
        <v>1075</v>
      </c>
      <c r="F4039" s="283" t="s">
        <v>1078</v>
      </c>
      <c r="G4039" s="283">
        <v>2</v>
      </c>
      <c r="H4039" s="283">
        <v>0</v>
      </c>
      <c r="I4039" s="283">
        <v>0</v>
      </c>
      <c r="J4039" s="284">
        <v>0</v>
      </c>
    </row>
    <row r="4040" spans="3:10" x14ac:dyDescent="0.25">
      <c r="C4040" s="300" t="s">
        <v>1059</v>
      </c>
      <c r="D4040" s="283" t="s">
        <v>1079</v>
      </c>
      <c r="E4040" s="283" t="s">
        <v>1075</v>
      </c>
      <c r="F4040" s="283" t="s">
        <v>1075</v>
      </c>
      <c r="G4040" s="283">
        <v>2</v>
      </c>
      <c r="H4040" s="283">
        <v>0</v>
      </c>
      <c r="I4040" s="283">
        <v>0</v>
      </c>
      <c r="J4040" s="284">
        <v>0</v>
      </c>
    </row>
    <row r="4041" spans="3:10" x14ac:dyDescent="0.25">
      <c r="C4041" s="300" t="s">
        <v>1063</v>
      </c>
      <c r="D4041" s="283" t="s">
        <v>1074</v>
      </c>
      <c r="E4041" s="283" t="s">
        <v>1075</v>
      </c>
      <c r="F4041" s="283" t="s">
        <v>1075</v>
      </c>
      <c r="G4041" s="283">
        <v>2</v>
      </c>
      <c r="H4041" s="283">
        <v>0</v>
      </c>
      <c r="I4041" s="283">
        <v>0</v>
      </c>
      <c r="J4041" s="284">
        <v>0</v>
      </c>
    </row>
    <row r="4042" spans="3:10" x14ac:dyDescent="0.25">
      <c r="C4042" s="300" t="s">
        <v>1062</v>
      </c>
      <c r="D4042" s="283" t="s">
        <v>1087</v>
      </c>
      <c r="E4042" s="283" t="s">
        <v>1075</v>
      </c>
      <c r="F4042" s="283" t="s">
        <v>524</v>
      </c>
      <c r="G4042" s="283">
        <v>1</v>
      </c>
      <c r="H4042" s="283">
        <v>0</v>
      </c>
      <c r="I4042" s="283">
        <v>0</v>
      </c>
      <c r="J4042" s="284">
        <v>0</v>
      </c>
    </row>
    <row r="4043" spans="3:10" x14ac:dyDescent="0.25">
      <c r="C4043" s="300" t="s">
        <v>1064</v>
      </c>
      <c r="D4043" s="283" t="s">
        <v>1079</v>
      </c>
      <c r="E4043" s="283" t="s">
        <v>1044</v>
      </c>
      <c r="F4043" s="283" t="s">
        <v>1075</v>
      </c>
      <c r="G4043" s="283">
        <v>2</v>
      </c>
      <c r="H4043" s="283">
        <v>0</v>
      </c>
      <c r="I4043" s="283">
        <v>0</v>
      </c>
      <c r="J4043" s="284">
        <v>0</v>
      </c>
    </row>
    <row r="4044" spans="3:10" x14ac:dyDescent="0.25">
      <c r="C4044" s="300" t="s">
        <v>1064</v>
      </c>
      <c r="D4044" s="283" t="s">
        <v>1077</v>
      </c>
      <c r="E4044" s="283" t="s">
        <v>1089</v>
      </c>
      <c r="F4044" s="283" t="s">
        <v>1075</v>
      </c>
      <c r="G4044" s="283">
        <v>2</v>
      </c>
      <c r="H4044" s="283">
        <v>0</v>
      </c>
      <c r="I4044" s="283">
        <v>0</v>
      </c>
      <c r="J4044" s="284">
        <v>0</v>
      </c>
    </row>
    <row r="4045" spans="3:10" x14ac:dyDescent="0.25">
      <c r="C4045" s="300" t="s">
        <v>1062</v>
      </c>
      <c r="D4045" s="283" t="s">
        <v>1074</v>
      </c>
      <c r="E4045" s="283" t="s">
        <v>1084</v>
      </c>
      <c r="F4045" s="283" t="s">
        <v>1083</v>
      </c>
      <c r="G4045" s="283">
        <v>2</v>
      </c>
      <c r="H4045" s="283">
        <v>0</v>
      </c>
      <c r="I4045" s="283">
        <v>1</v>
      </c>
      <c r="J4045" s="284">
        <v>1</v>
      </c>
    </row>
    <row r="4046" spans="3:10" x14ac:dyDescent="0.25">
      <c r="C4046" s="300" t="s">
        <v>1064</v>
      </c>
      <c r="D4046" s="283" t="s">
        <v>1077</v>
      </c>
      <c r="E4046" s="283" t="s">
        <v>1075</v>
      </c>
      <c r="F4046" s="283" t="s">
        <v>1076</v>
      </c>
      <c r="G4046" s="283">
        <v>2</v>
      </c>
      <c r="H4046" s="283">
        <v>0</v>
      </c>
      <c r="I4046" s="283">
        <v>0</v>
      </c>
      <c r="J4046" s="284">
        <v>0</v>
      </c>
    </row>
    <row r="4047" spans="3:10" x14ac:dyDescent="0.25">
      <c r="C4047" s="300" t="s">
        <v>1067</v>
      </c>
      <c r="D4047" s="283" t="s">
        <v>1087</v>
      </c>
      <c r="E4047" s="283" t="s">
        <v>1075</v>
      </c>
      <c r="F4047" s="283" t="s">
        <v>524</v>
      </c>
      <c r="G4047" s="283">
        <v>2</v>
      </c>
      <c r="H4047" s="283">
        <v>0</v>
      </c>
      <c r="I4047" s="283">
        <v>1</v>
      </c>
      <c r="J4047" s="284">
        <v>0</v>
      </c>
    </row>
    <row r="4048" spans="3:10" x14ac:dyDescent="0.25">
      <c r="C4048" s="300" t="s">
        <v>1057</v>
      </c>
      <c r="D4048" s="283" t="s">
        <v>1087</v>
      </c>
      <c r="E4048" s="283" t="s">
        <v>1075</v>
      </c>
      <c r="F4048" s="283" t="s">
        <v>524</v>
      </c>
      <c r="G4048" s="283">
        <v>1</v>
      </c>
      <c r="H4048" s="283">
        <v>0</v>
      </c>
      <c r="I4048" s="283">
        <v>1</v>
      </c>
      <c r="J4048" s="284">
        <v>0</v>
      </c>
    </row>
    <row r="4049" spans="3:10" x14ac:dyDescent="0.25">
      <c r="C4049" s="300" t="s">
        <v>1060</v>
      </c>
      <c r="D4049" s="283" t="s">
        <v>1074</v>
      </c>
      <c r="E4049" s="283" t="s">
        <v>1084</v>
      </c>
      <c r="F4049" s="283" t="s">
        <v>1078</v>
      </c>
      <c r="G4049" s="283">
        <v>2</v>
      </c>
      <c r="H4049" s="283">
        <v>0</v>
      </c>
      <c r="I4049" s="283">
        <v>0</v>
      </c>
      <c r="J4049" s="284">
        <v>1</v>
      </c>
    </row>
    <row r="4050" spans="3:10" x14ac:dyDescent="0.25">
      <c r="C4050" s="300" t="s">
        <v>1060</v>
      </c>
      <c r="D4050" s="283" t="s">
        <v>1043</v>
      </c>
      <c r="E4050" s="283" t="s">
        <v>1081</v>
      </c>
      <c r="F4050" s="283" t="s">
        <v>1092</v>
      </c>
      <c r="G4050" s="283">
        <v>2</v>
      </c>
      <c r="H4050" s="283">
        <v>0</v>
      </c>
      <c r="I4050" s="283">
        <v>0</v>
      </c>
      <c r="J4050" s="284">
        <v>0</v>
      </c>
    </row>
    <row r="4051" spans="3:10" x14ac:dyDescent="0.25">
      <c r="C4051" s="300" t="s">
        <v>1063</v>
      </c>
      <c r="D4051" s="283" t="s">
        <v>1090</v>
      </c>
      <c r="E4051" s="283" t="s">
        <v>1093</v>
      </c>
      <c r="F4051" s="283" t="s">
        <v>524</v>
      </c>
      <c r="G4051" s="283">
        <v>1</v>
      </c>
      <c r="H4051" s="283">
        <v>0</v>
      </c>
      <c r="I4051" s="283">
        <v>0</v>
      </c>
      <c r="J4051" s="284">
        <v>0</v>
      </c>
    </row>
    <row r="4052" spans="3:10" x14ac:dyDescent="0.25">
      <c r="C4052" s="300" t="s">
        <v>1061</v>
      </c>
      <c r="D4052" s="283" t="s">
        <v>1043</v>
      </c>
      <c r="E4052" s="283" t="s">
        <v>1084</v>
      </c>
      <c r="F4052" s="283" t="s">
        <v>1092</v>
      </c>
      <c r="G4052" s="283">
        <v>2</v>
      </c>
      <c r="H4052" s="283">
        <v>1</v>
      </c>
      <c r="I4052" s="283">
        <v>0</v>
      </c>
      <c r="J4052" s="284">
        <v>0</v>
      </c>
    </row>
    <row r="4053" spans="3:10" x14ac:dyDescent="0.25">
      <c r="C4053" s="300" t="s">
        <v>1059</v>
      </c>
      <c r="D4053" s="283" t="s">
        <v>1087</v>
      </c>
      <c r="E4053" s="283" t="s">
        <v>1075</v>
      </c>
      <c r="F4053" s="283" t="s">
        <v>524</v>
      </c>
      <c r="G4053" s="283">
        <v>3</v>
      </c>
      <c r="H4053" s="283">
        <v>2</v>
      </c>
      <c r="I4053" s="283">
        <v>0</v>
      </c>
      <c r="J4053" s="284">
        <v>1</v>
      </c>
    </row>
    <row r="4054" spans="3:10" x14ac:dyDescent="0.25">
      <c r="C4054" s="300" t="s">
        <v>1057</v>
      </c>
      <c r="D4054" s="283" t="s">
        <v>1087</v>
      </c>
      <c r="E4054" s="283" t="s">
        <v>1075</v>
      </c>
      <c r="F4054" s="283" t="s">
        <v>524</v>
      </c>
      <c r="G4054" s="283">
        <v>1</v>
      </c>
      <c r="H4054" s="283">
        <v>0</v>
      </c>
      <c r="I4054" s="283">
        <v>0</v>
      </c>
      <c r="J4054" s="284">
        <v>1</v>
      </c>
    </row>
    <row r="4055" spans="3:10" x14ac:dyDescent="0.25">
      <c r="C4055" s="300" t="s">
        <v>1065</v>
      </c>
      <c r="D4055" s="283" t="s">
        <v>1079</v>
      </c>
      <c r="E4055" s="283" t="s">
        <v>1078</v>
      </c>
      <c r="F4055" s="283" t="s">
        <v>1075</v>
      </c>
      <c r="G4055" s="283">
        <v>2</v>
      </c>
      <c r="H4055" s="283">
        <v>0</v>
      </c>
      <c r="I4055" s="283">
        <v>1</v>
      </c>
      <c r="J4055" s="284">
        <v>0</v>
      </c>
    </row>
    <row r="4056" spans="3:10" x14ac:dyDescent="0.25">
      <c r="C4056" s="300" t="s">
        <v>1057</v>
      </c>
      <c r="D4056" s="283" t="s">
        <v>1043</v>
      </c>
      <c r="E4056" s="283" t="s">
        <v>1089</v>
      </c>
      <c r="F4056" s="283" t="s">
        <v>1092</v>
      </c>
      <c r="G4056" s="283">
        <v>2</v>
      </c>
      <c r="H4056" s="283">
        <v>0</v>
      </c>
      <c r="I4056" s="283">
        <v>0</v>
      </c>
      <c r="J4056" s="284">
        <v>0</v>
      </c>
    </row>
    <row r="4057" spans="3:10" x14ac:dyDescent="0.25">
      <c r="C4057" s="300" t="s">
        <v>1061</v>
      </c>
      <c r="D4057" s="283" t="s">
        <v>1079</v>
      </c>
      <c r="E4057" s="283" t="s">
        <v>1088</v>
      </c>
      <c r="F4057" s="283" t="s">
        <v>1075</v>
      </c>
      <c r="G4057" s="283">
        <v>2</v>
      </c>
      <c r="H4057" s="283">
        <v>0</v>
      </c>
      <c r="I4057" s="283">
        <v>0</v>
      </c>
      <c r="J4057" s="284">
        <v>0</v>
      </c>
    </row>
    <row r="4058" spans="3:10" x14ac:dyDescent="0.25">
      <c r="C4058" s="300" t="s">
        <v>1061</v>
      </c>
      <c r="D4058" s="283" t="s">
        <v>1079</v>
      </c>
      <c r="E4058" s="283" t="s">
        <v>1075</v>
      </c>
      <c r="F4058" s="283" t="s">
        <v>1076</v>
      </c>
      <c r="G4058" s="283">
        <v>3</v>
      </c>
      <c r="H4058" s="283">
        <v>0</v>
      </c>
      <c r="I4058" s="283">
        <v>0</v>
      </c>
      <c r="J4058" s="284">
        <v>0</v>
      </c>
    </row>
    <row r="4059" spans="3:10" x14ac:dyDescent="0.25">
      <c r="C4059" s="300" t="s">
        <v>1066</v>
      </c>
      <c r="D4059" s="283" t="s">
        <v>1079</v>
      </c>
      <c r="E4059" s="283" t="s">
        <v>1075</v>
      </c>
      <c r="F4059" s="283" t="s">
        <v>1075</v>
      </c>
      <c r="G4059" s="283">
        <v>2</v>
      </c>
      <c r="H4059" s="283">
        <v>0</v>
      </c>
      <c r="I4059" s="283">
        <v>0</v>
      </c>
      <c r="J4059" s="284">
        <v>0</v>
      </c>
    </row>
    <row r="4060" spans="3:10" x14ac:dyDescent="0.25">
      <c r="C4060" s="300" t="s">
        <v>1065</v>
      </c>
      <c r="D4060" s="283" t="s">
        <v>1079</v>
      </c>
      <c r="E4060" s="283" t="s">
        <v>1083</v>
      </c>
      <c r="F4060" s="283" t="s">
        <v>1075</v>
      </c>
      <c r="G4060" s="283">
        <v>2</v>
      </c>
      <c r="H4060" s="283">
        <v>0</v>
      </c>
      <c r="I4060" s="283">
        <v>1</v>
      </c>
      <c r="J4060" s="284">
        <v>0</v>
      </c>
    </row>
    <row r="4061" spans="3:10" x14ac:dyDescent="0.25">
      <c r="C4061" s="300" t="s">
        <v>1067</v>
      </c>
      <c r="D4061" s="283" t="s">
        <v>1077</v>
      </c>
      <c r="E4061" s="283" t="s">
        <v>1078</v>
      </c>
      <c r="F4061" s="283" t="s">
        <v>1075</v>
      </c>
      <c r="G4061" s="283">
        <v>3</v>
      </c>
      <c r="H4061" s="283">
        <v>0</v>
      </c>
      <c r="I4061" s="283">
        <v>0</v>
      </c>
      <c r="J4061" s="284">
        <v>0</v>
      </c>
    </row>
    <row r="4062" spans="3:10" x14ac:dyDescent="0.25">
      <c r="C4062" s="300" t="s">
        <v>1057</v>
      </c>
      <c r="D4062" s="283" t="s">
        <v>1079</v>
      </c>
      <c r="E4062" s="283" t="s">
        <v>1075</v>
      </c>
      <c r="F4062" s="283" t="s">
        <v>1076</v>
      </c>
      <c r="G4062" s="283">
        <v>5</v>
      </c>
      <c r="H4062" s="283">
        <v>0</v>
      </c>
      <c r="I4062" s="283">
        <v>0</v>
      </c>
      <c r="J4062" s="284">
        <v>0</v>
      </c>
    </row>
    <row r="4063" spans="3:10" x14ac:dyDescent="0.25">
      <c r="C4063" s="300" t="s">
        <v>1064</v>
      </c>
      <c r="D4063" s="283" t="s">
        <v>1043</v>
      </c>
      <c r="E4063" s="283" t="s">
        <v>1086</v>
      </c>
      <c r="F4063" s="283" t="s">
        <v>1092</v>
      </c>
      <c r="G4063" s="283">
        <v>2</v>
      </c>
      <c r="H4063" s="283">
        <v>0</v>
      </c>
      <c r="I4063" s="283">
        <v>1</v>
      </c>
      <c r="J4063" s="284">
        <v>0</v>
      </c>
    </row>
    <row r="4064" spans="3:10" x14ac:dyDescent="0.25">
      <c r="C4064" s="300" t="s">
        <v>1065</v>
      </c>
      <c r="D4064" s="283" t="s">
        <v>1079</v>
      </c>
      <c r="E4064" s="283" t="s">
        <v>1075</v>
      </c>
      <c r="F4064" s="283" t="s">
        <v>1083</v>
      </c>
      <c r="G4064" s="283">
        <v>2</v>
      </c>
      <c r="H4064" s="283">
        <v>0</v>
      </c>
      <c r="I4064" s="283">
        <v>1</v>
      </c>
      <c r="J4064" s="284">
        <v>0</v>
      </c>
    </row>
    <row r="4065" spans="3:10" x14ac:dyDescent="0.25">
      <c r="C4065" s="300" t="s">
        <v>1061</v>
      </c>
      <c r="D4065" s="283" t="s">
        <v>1079</v>
      </c>
      <c r="E4065" s="283" t="s">
        <v>1075</v>
      </c>
      <c r="F4065" s="283" t="s">
        <v>1075</v>
      </c>
      <c r="G4065" s="283">
        <v>2</v>
      </c>
      <c r="H4065" s="283">
        <v>0</v>
      </c>
      <c r="I4065" s="283">
        <v>0</v>
      </c>
      <c r="J4065" s="284">
        <v>1</v>
      </c>
    </row>
    <row r="4066" spans="3:10" x14ac:dyDescent="0.25">
      <c r="C4066" s="300" t="s">
        <v>1061</v>
      </c>
      <c r="D4066" s="283" t="s">
        <v>1079</v>
      </c>
      <c r="E4066" s="283" t="s">
        <v>1075</v>
      </c>
      <c r="F4066" s="283" t="s">
        <v>1099</v>
      </c>
      <c r="G4066" s="283">
        <v>4</v>
      </c>
      <c r="H4066" s="283">
        <v>0</v>
      </c>
      <c r="I4066" s="283">
        <v>1</v>
      </c>
      <c r="J4066" s="284">
        <v>1</v>
      </c>
    </row>
    <row r="4067" spans="3:10" x14ac:dyDescent="0.25">
      <c r="C4067" s="300" t="s">
        <v>1067</v>
      </c>
      <c r="D4067" s="283" t="s">
        <v>1077</v>
      </c>
      <c r="E4067" s="283" t="s">
        <v>1076</v>
      </c>
      <c r="F4067" s="283" t="s">
        <v>1044</v>
      </c>
      <c r="G4067" s="283">
        <v>2</v>
      </c>
      <c r="H4067" s="283">
        <v>0</v>
      </c>
      <c r="I4067" s="283">
        <v>0</v>
      </c>
      <c r="J4067" s="284">
        <v>0</v>
      </c>
    </row>
    <row r="4068" spans="3:10" x14ac:dyDescent="0.25">
      <c r="C4068" s="300" t="s">
        <v>1060</v>
      </c>
      <c r="D4068" s="283" t="s">
        <v>1074</v>
      </c>
      <c r="E4068" s="283" t="s">
        <v>1075</v>
      </c>
      <c r="F4068" s="283" t="s">
        <v>1075</v>
      </c>
      <c r="G4068" s="283">
        <v>2</v>
      </c>
      <c r="H4068" s="283">
        <v>0</v>
      </c>
      <c r="I4068" s="283">
        <v>0</v>
      </c>
      <c r="J4068" s="284">
        <v>0</v>
      </c>
    </row>
    <row r="4069" spans="3:10" x14ac:dyDescent="0.25">
      <c r="C4069" s="300" t="s">
        <v>1065</v>
      </c>
      <c r="D4069" s="283" t="s">
        <v>1077</v>
      </c>
      <c r="E4069" s="283" t="s">
        <v>1075</v>
      </c>
      <c r="F4069" s="283" t="s">
        <v>1075</v>
      </c>
      <c r="G4069" s="283">
        <v>2</v>
      </c>
      <c r="H4069" s="283">
        <v>0</v>
      </c>
      <c r="I4069" s="283">
        <v>0</v>
      </c>
      <c r="J4069" s="284">
        <v>0</v>
      </c>
    </row>
    <row r="4070" spans="3:10" x14ac:dyDescent="0.25">
      <c r="C4070" s="300" t="s">
        <v>1063</v>
      </c>
      <c r="D4070" s="283" t="s">
        <v>1074</v>
      </c>
      <c r="E4070" s="283" t="s">
        <v>1075</v>
      </c>
      <c r="F4070" s="283" t="s">
        <v>1080</v>
      </c>
      <c r="G4070" s="283">
        <v>2</v>
      </c>
      <c r="H4070" s="283">
        <v>0</v>
      </c>
      <c r="I4070" s="283">
        <v>0</v>
      </c>
      <c r="J4070" s="284">
        <v>0</v>
      </c>
    </row>
    <row r="4071" spans="3:10" x14ac:dyDescent="0.25">
      <c r="C4071" s="300" t="s">
        <v>1064</v>
      </c>
      <c r="D4071" s="283" t="s">
        <v>1082</v>
      </c>
      <c r="E4071" s="283" t="s">
        <v>1076</v>
      </c>
      <c r="F4071" s="283" t="s">
        <v>1089</v>
      </c>
      <c r="G4071" s="283">
        <v>3</v>
      </c>
      <c r="H4071" s="283">
        <v>0</v>
      </c>
      <c r="I4071" s="283">
        <v>1</v>
      </c>
      <c r="J4071" s="284">
        <v>0</v>
      </c>
    </row>
    <row r="4072" spans="3:10" x14ac:dyDescent="0.25">
      <c r="C4072" s="300" t="s">
        <v>1065</v>
      </c>
      <c r="D4072" s="283" t="s">
        <v>1043</v>
      </c>
      <c r="E4072" s="283" t="s">
        <v>1075</v>
      </c>
      <c r="F4072" s="283" t="s">
        <v>1092</v>
      </c>
      <c r="G4072" s="283">
        <v>2</v>
      </c>
      <c r="H4072" s="283">
        <v>0</v>
      </c>
      <c r="I4072" s="283">
        <v>0</v>
      </c>
      <c r="J4072" s="284">
        <v>1</v>
      </c>
    </row>
    <row r="4073" spans="3:10" x14ac:dyDescent="0.25">
      <c r="C4073" s="300" t="s">
        <v>1067</v>
      </c>
      <c r="D4073" s="283" t="s">
        <v>1077</v>
      </c>
      <c r="E4073" s="283" t="s">
        <v>1086</v>
      </c>
      <c r="F4073" s="283" t="s">
        <v>1075</v>
      </c>
      <c r="G4073" s="283">
        <v>2</v>
      </c>
      <c r="H4073" s="283">
        <v>0</v>
      </c>
      <c r="I4073" s="283">
        <v>0</v>
      </c>
      <c r="J4073" s="284">
        <v>0</v>
      </c>
    </row>
    <row r="4074" spans="3:10" x14ac:dyDescent="0.25">
      <c r="C4074" s="300" t="s">
        <v>1067</v>
      </c>
      <c r="D4074" s="283" t="s">
        <v>1043</v>
      </c>
      <c r="E4074" s="283" t="s">
        <v>1089</v>
      </c>
      <c r="F4074" s="283" t="s">
        <v>1092</v>
      </c>
      <c r="G4074" s="283">
        <v>2</v>
      </c>
      <c r="H4074" s="283">
        <v>0</v>
      </c>
      <c r="I4074" s="283">
        <v>0</v>
      </c>
      <c r="J4074" s="284">
        <v>1</v>
      </c>
    </row>
    <row r="4075" spans="3:10" x14ac:dyDescent="0.25">
      <c r="C4075" s="300" t="s">
        <v>1064</v>
      </c>
      <c r="D4075" s="283" t="s">
        <v>1077</v>
      </c>
      <c r="E4075" s="283" t="s">
        <v>1075</v>
      </c>
      <c r="F4075" s="283" t="s">
        <v>1076</v>
      </c>
      <c r="G4075" s="283">
        <v>2</v>
      </c>
      <c r="H4075" s="283">
        <v>0</v>
      </c>
      <c r="I4075" s="283">
        <v>0</v>
      </c>
      <c r="J4075" s="284">
        <v>0</v>
      </c>
    </row>
    <row r="4076" spans="3:10" x14ac:dyDescent="0.25">
      <c r="C4076" s="300" t="s">
        <v>1063</v>
      </c>
      <c r="D4076" s="283" t="s">
        <v>1082</v>
      </c>
      <c r="E4076" s="283" t="s">
        <v>1075</v>
      </c>
      <c r="F4076" s="283" t="s">
        <v>1089</v>
      </c>
      <c r="G4076" s="283">
        <v>2</v>
      </c>
      <c r="H4076" s="283">
        <v>0</v>
      </c>
      <c r="I4076" s="283">
        <v>0</v>
      </c>
      <c r="J4076" s="284">
        <v>0</v>
      </c>
    </row>
    <row r="4077" spans="3:10" x14ac:dyDescent="0.25">
      <c r="C4077" s="300" t="s">
        <v>1066</v>
      </c>
      <c r="D4077" s="283" t="s">
        <v>1074</v>
      </c>
      <c r="E4077" s="283" t="s">
        <v>1075</v>
      </c>
      <c r="F4077" s="283" t="s">
        <v>1076</v>
      </c>
      <c r="G4077" s="283">
        <v>2</v>
      </c>
      <c r="H4077" s="283">
        <v>0</v>
      </c>
      <c r="I4077" s="283">
        <v>0</v>
      </c>
      <c r="J4077" s="284">
        <v>0</v>
      </c>
    </row>
    <row r="4078" spans="3:10" x14ac:dyDescent="0.25">
      <c r="C4078" s="300" t="s">
        <v>1068</v>
      </c>
      <c r="D4078" s="283" t="s">
        <v>1074</v>
      </c>
      <c r="E4078" s="283" t="s">
        <v>1075</v>
      </c>
      <c r="F4078" s="283" t="s">
        <v>1075</v>
      </c>
      <c r="G4078" s="283">
        <v>2</v>
      </c>
      <c r="H4078" s="283">
        <v>0</v>
      </c>
      <c r="I4078" s="283">
        <v>0</v>
      </c>
      <c r="J4078" s="284">
        <v>0</v>
      </c>
    </row>
    <row r="4079" spans="3:10" x14ac:dyDescent="0.25">
      <c r="C4079" s="300" t="s">
        <v>1066</v>
      </c>
      <c r="D4079" s="283" t="s">
        <v>1077</v>
      </c>
      <c r="E4079" s="283" t="s">
        <v>1075</v>
      </c>
      <c r="F4079" s="283" t="s">
        <v>1089</v>
      </c>
      <c r="G4079" s="283">
        <v>2</v>
      </c>
      <c r="H4079" s="283">
        <v>0</v>
      </c>
      <c r="I4079" s="283">
        <v>0</v>
      </c>
      <c r="J4079" s="284">
        <v>0</v>
      </c>
    </row>
    <row r="4080" spans="3:10" x14ac:dyDescent="0.25">
      <c r="C4080" s="300" t="s">
        <v>1062</v>
      </c>
      <c r="D4080" s="283" t="s">
        <v>1077</v>
      </c>
      <c r="E4080" s="283" t="s">
        <v>1078</v>
      </c>
      <c r="F4080" s="283" t="s">
        <v>1075</v>
      </c>
      <c r="G4080" s="283">
        <v>2</v>
      </c>
      <c r="H4080" s="283">
        <v>0</v>
      </c>
      <c r="I4080" s="283">
        <v>0</v>
      </c>
      <c r="J4080" s="284">
        <v>0</v>
      </c>
    </row>
    <row r="4081" spans="3:10" x14ac:dyDescent="0.25">
      <c r="C4081" s="300" t="s">
        <v>1065</v>
      </c>
      <c r="D4081" s="283" t="s">
        <v>1077</v>
      </c>
      <c r="E4081" s="283" t="s">
        <v>1075</v>
      </c>
      <c r="F4081" s="283" t="s">
        <v>1089</v>
      </c>
      <c r="G4081" s="283">
        <v>2</v>
      </c>
      <c r="H4081" s="283">
        <v>0</v>
      </c>
      <c r="I4081" s="283">
        <v>0</v>
      </c>
      <c r="J4081" s="284">
        <v>0</v>
      </c>
    </row>
    <row r="4082" spans="3:10" x14ac:dyDescent="0.25">
      <c r="C4082" s="300" t="s">
        <v>1062</v>
      </c>
      <c r="D4082" s="283" t="s">
        <v>1077</v>
      </c>
      <c r="E4082" s="283" t="s">
        <v>1084</v>
      </c>
      <c r="F4082" s="283" t="s">
        <v>1076</v>
      </c>
      <c r="G4082" s="283">
        <v>2</v>
      </c>
      <c r="H4082" s="283">
        <v>0</v>
      </c>
      <c r="I4082" s="283">
        <v>0</v>
      </c>
      <c r="J4082" s="284">
        <v>0</v>
      </c>
    </row>
    <row r="4083" spans="3:10" x14ac:dyDescent="0.25">
      <c r="C4083" s="300" t="s">
        <v>1063</v>
      </c>
      <c r="D4083" s="283" t="s">
        <v>1082</v>
      </c>
      <c r="E4083" s="283" t="s">
        <v>1084</v>
      </c>
      <c r="F4083" s="283" t="s">
        <v>1083</v>
      </c>
      <c r="G4083" s="283">
        <v>2</v>
      </c>
      <c r="H4083" s="283">
        <v>0</v>
      </c>
      <c r="I4083" s="283">
        <v>0</v>
      </c>
      <c r="J4083" s="284">
        <v>0</v>
      </c>
    </row>
    <row r="4084" spans="3:10" x14ac:dyDescent="0.25">
      <c r="C4084" s="300" t="s">
        <v>1062</v>
      </c>
      <c r="D4084" s="283" t="s">
        <v>1074</v>
      </c>
      <c r="E4084" s="283" t="s">
        <v>1089</v>
      </c>
      <c r="F4084" s="283" t="s">
        <v>1075</v>
      </c>
      <c r="G4084" s="283">
        <v>2</v>
      </c>
      <c r="H4084" s="283">
        <v>0</v>
      </c>
      <c r="I4084" s="283">
        <v>0</v>
      </c>
      <c r="J4084" s="284">
        <v>0</v>
      </c>
    </row>
    <row r="4085" spans="3:10" x14ac:dyDescent="0.25">
      <c r="C4085" s="300" t="s">
        <v>1064</v>
      </c>
      <c r="D4085" s="283" t="s">
        <v>1077</v>
      </c>
      <c r="E4085" s="283" t="s">
        <v>1075</v>
      </c>
      <c r="F4085" s="283" t="s">
        <v>1075</v>
      </c>
      <c r="G4085" s="283">
        <v>3</v>
      </c>
      <c r="H4085" s="283">
        <v>0</v>
      </c>
      <c r="I4085" s="283">
        <v>0</v>
      </c>
      <c r="J4085" s="284">
        <v>0</v>
      </c>
    </row>
    <row r="4086" spans="3:10" x14ac:dyDescent="0.25">
      <c r="C4086" s="300" t="s">
        <v>1062</v>
      </c>
      <c r="D4086" s="283" t="s">
        <v>1077</v>
      </c>
      <c r="E4086" s="283" t="s">
        <v>1075</v>
      </c>
      <c r="F4086" s="283" t="s">
        <v>1075</v>
      </c>
      <c r="G4086" s="283">
        <v>2</v>
      </c>
      <c r="H4086" s="283">
        <v>0</v>
      </c>
      <c r="I4086" s="283">
        <v>0</v>
      </c>
      <c r="J4086" s="284">
        <v>0</v>
      </c>
    </row>
    <row r="4087" spans="3:10" x14ac:dyDescent="0.25">
      <c r="C4087" s="300" t="s">
        <v>1060</v>
      </c>
      <c r="D4087" s="283" t="s">
        <v>1079</v>
      </c>
      <c r="E4087" s="283" t="s">
        <v>1089</v>
      </c>
      <c r="F4087" s="283" t="s">
        <v>1075</v>
      </c>
      <c r="G4087" s="283">
        <v>2</v>
      </c>
      <c r="H4087" s="283">
        <v>0</v>
      </c>
      <c r="I4087" s="283">
        <v>0</v>
      </c>
      <c r="J4087" s="284">
        <v>0</v>
      </c>
    </row>
    <row r="4088" spans="3:10" x14ac:dyDescent="0.25">
      <c r="C4088" s="300" t="s">
        <v>1065</v>
      </c>
      <c r="D4088" s="283" t="s">
        <v>1077</v>
      </c>
      <c r="E4088" s="283" t="s">
        <v>1081</v>
      </c>
      <c r="F4088" s="283" t="s">
        <v>1075</v>
      </c>
      <c r="G4088" s="283">
        <v>2</v>
      </c>
      <c r="H4088" s="283">
        <v>0</v>
      </c>
      <c r="I4088" s="283">
        <v>0</v>
      </c>
      <c r="J4088" s="284">
        <v>0</v>
      </c>
    </row>
    <row r="4089" spans="3:10" x14ac:dyDescent="0.25">
      <c r="C4089" s="300" t="s">
        <v>1065</v>
      </c>
      <c r="D4089" s="283" t="s">
        <v>1077</v>
      </c>
      <c r="E4089" s="283" t="s">
        <v>1075</v>
      </c>
      <c r="F4089" s="283" t="s">
        <v>1075</v>
      </c>
      <c r="G4089" s="283">
        <v>2</v>
      </c>
      <c r="H4089" s="283">
        <v>0</v>
      </c>
      <c r="I4089" s="283">
        <v>0</v>
      </c>
      <c r="J4089" s="284">
        <v>0</v>
      </c>
    </row>
    <row r="4090" spans="3:10" x14ac:dyDescent="0.25">
      <c r="C4090" s="300" t="s">
        <v>1063</v>
      </c>
      <c r="D4090" s="283" t="s">
        <v>1079</v>
      </c>
      <c r="E4090" s="283" t="s">
        <v>1089</v>
      </c>
      <c r="F4090" s="283" t="s">
        <v>1084</v>
      </c>
      <c r="G4090" s="283">
        <v>2</v>
      </c>
      <c r="H4090" s="283">
        <v>0</v>
      </c>
      <c r="I4090" s="283">
        <v>0</v>
      </c>
      <c r="J4090" s="284">
        <v>0</v>
      </c>
    </row>
    <row r="4091" spans="3:10" x14ac:dyDescent="0.25">
      <c r="C4091" s="300" t="s">
        <v>1063</v>
      </c>
      <c r="D4091" s="283" t="s">
        <v>1077</v>
      </c>
      <c r="E4091" s="283" t="s">
        <v>1080</v>
      </c>
      <c r="F4091" s="283" t="s">
        <v>1075</v>
      </c>
      <c r="G4091" s="283">
        <v>3</v>
      </c>
      <c r="H4091" s="283">
        <v>0</v>
      </c>
      <c r="I4091" s="283">
        <v>0</v>
      </c>
      <c r="J4091" s="284">
        <v>0</v>
      </c>
    </row>
    <row r="4092" spans="3:10" x14ac:dyDescent="0.25">
      <c r="C4092" s="300" t="s">
        <v>1067</v>
      </c>
      <c r="D4092" s="283" t="s">
        <v>1087</v>
      </c>
      <c r="E4092" s="283" t="s">
        <v>1089</v>
      </c>
      <c r="F4092" s="283" t="s">
        <v>524</v>
      </c>
      <c r="G4092" s="283">
        <v>1</v>
      </c>
      <c r="H4092" s="283">
        <v>0</v>
      </c>
      <c r="I4092" s="283">
        <v>0</v>
      </c>
      <c r="J4092" s="284">
        <v>1</v>
      </c>
    </row>
    <row r="4093" spans="3:10" x14ac:dyDescent="0.25">
      <c r="C4093" s="300" t="s">
        <v>1064</v>
      </c>
      <c r="D4093" s="283" t="s">
        <v>1079</v>
      </c>
      <c r="E4093" s="283" t="s">
        <v>1075</v>
      </c>
      <c r="F4093" s="283" t="s">
        <v>1075</v>
      </c>
      <c r="G4093" s="283">
        <v>2</v>
      </c>
      <c r="H4093" s="283">
        <v>0</v>
      </c>
      <c r="I4093" s="283">
        <v>0</v>
      </c>
      <c r="J4093" s="284">
        <v>0</v>
      </c>
    </row>
    <row r="4094" spans="3:10" x14ac:dyDescent="0.25">
      <c r="C4094" s="300" t="s">
        <v>1066</v>
      </c>
      <c r="D4094" s="283" t="s">
        <v>1077</v>
      </c>
      <c r="E4094" s="283" t="s">
        <v>1075</v>
      </c>
      <c r="F4094" s="283" t="s">
        <v>1075</v>
      </c>
      <c r="G4094" s="283">
        <v>3</v>
      </c>
      <c r="H4094" s="283">
        <v>0</v>
      </c>
      <c r="I4094" s="283">
        <v>0</v>
      </c>
      <c r="J4094" s="284">
        <v>0</v>
      </c>
    </row>
    <row r="4095" spans="3:10" x14ac:dyDescent="0.25">
      <c r="C4095" s="300" t="s">
        <v>1060</v>
      </c>
      <c r="D4095" s="283" t="s">
        <v>1077</v>
      </c>
      <c r="E4095" s="283" t="s">
        <v>1075</v>
      </c>
      <c r="F4095" s="283" t="s">
        <v>1075</v>
      </c>
      <c r="G4095" s="283">
        <v>2</v>
      </c>
      <c r="H4095" s="283">
        <v>0</v>
      </c>
      <c r="I4095" s="283">
        <v>0</v>
      </c>
      <c r="J4095" s="284">
        <v>0</v>
      </c>
    </row>
    <row r="4096" spans="3:10" x14ac:dyDescent="0.25">
      <c r="C4096" s="300" t="s">
        <v>1065</v>
      </c>
      <c r="D4096" s="283" t="s">
        <v>1074</v>
      </c>
      <c r="E4096" s="283" t="s">
        <v>1075</v>
      </c>
      <c r="F4096" s="283" t="s">
        <v>1075</v>
      </c>
      <c r="G4096" s="283">
        <v>2</v>
      </c>
      <c r="H4096" s="283">
        <v>0</v>
      </c>
      <c r="I4096" s="283">
        <v>0</v>
      </c>
      <c r="J4096" s="284">
        <v>0</v>
      </c>
    </row>
    <row r="4097" spans="3:10" x14ac:dyDescent="0.25">
      <c r="C4097" s="300" t="s">
        <v>1065</v>
      </c>
      <c r="D4097" s="283" t="s">
        <v>1077</v>
      </c>
      <c r="E4097" s="283" t="s">
        <v>1075</v>
      </c>
      <c r="F4097" s="283" t="s">
        <v>1089</v>
      </c>
      <c r="G4097" s="283">
        <v>3</v>
      </c>
      <c r="H4097" s="283">
        <v>0</v>
      </c>
      <c r="I4097" s="283">
        <v>0</v>
      </c>
      <c r="J4097" s="284">
        <v>0</v>
      </c>
    </row>
    <row r="4098" spans="3:10" x14ac:dyDescent="0.25">
      <c r="C4098" s="300" t="s">
        <v>1065</v>
      </c>
      <c r="D4098" s="283" t="s">
        <v>1077</v>
      </c>
      <c r="E4098" s="283" t="s">
        <v>1078</v>
      </c>
      <c r="F4098" s="283" t="s">
        <v>1075</v>
      </c>
      <c r="G4098" s="283">
        <v>2</v>
      </c>
      <c r="H4098" s="283">
        <v>0</v>
      </c>
      <c r="I4098" s="283">
        <v>0</v>
      </c>
      <c r="J4098" s="284">
        <v>0</v>
      </c>
    </row>
    <row r="4099" spans="3:10" x14ac:dyDescent="0.25">
      <c r="C4099" s="300" t="s">
        <v>1066</v>
      </c>
      <c r="D4099" s="283" t="s">
        <v>1074</v>
      </c>
      <c r="E4099" s="283" t="s">
        <v>1075</v>
      </c>
      <c r="F4099" s="283" t="s">
        <v>1075</v>
      </c>
      <c r="G4099" s="283">
        <v>2</v>
      </c>
      <c r="H4099" s="283">
        <v>0</v>
      </c>
      <c r="I4099" s="283">
        <v>0</v>
      </c>
      <c r="J4099" s="284">
        <v>0</v>
      </c>
    </row>
    <row r="4100" spans="3:10" x14ac:dyDescent="0.25">
      <c r="C4100" s="300" t="s">
        <v>1064</v>
      </c>
      <c r="D4100" s="283" t="s">
        <v>1077</v>
      </c>
      <c r="E4100" s="283" t="s">
        <v>1075</v>
      </c>
      <c r="F4100" s="283" t="s">
        <v>1075</v>
      </c>
      <c r="G4100" s="283">
        <v>2</v>
      </c>
      <c r="H4100" s="283">
        <v>0</v>
      </c>
      <c r="I4100" s="283">
        <v>0</v>
      </c>
      <c r="J4100" s="284">
        <v>0</v>
      </c>
    </row>
    <row r="4101" spans="3:10" x14ac:dyDescent="0.25">
      <c r="C4101" s="300" t="s">
        <v>1062</v>
      </c>
      <c r="D4101" s="283" t="s">
        <v>1077</v>
      </c>
      <c r="E4101" s="283" t="s">
        <v>1089</v>
      </c>
      <c r="F4101" s="283" t="s">
        <v>1076</v>
      </c>
      <c r="G4101" s="283">
        <v>2</v>
      </c>
      <c r="H4101" s="283">
        <v>0</v>
      </c>
      <c r="I4101" s="283">
        <v>0</v>
      </c>
      <c r="J4101" s="284">
        <v>0</v>
      </c>
    </row>
    <row r="4102" spans="3:10" x14ac:dyDescent="0.25">
      <c r="C4102" s="300" t="s">
        <v>1067</v>
      </c>
      <c r="D4102" s="283" t="s">
        <v>1074</v>
      </c>
      <c r="E4102" s="283" t="s">
        <v>1075</v>
      </c>
      <c r="F4102" s="283" t="s">
        <v>1078</v>
      </c>
      <c r="G4102" s="283">
        <v>2</v>
      </c>
      <c r="H4102" s="283">
        <v>0</v>
      </c>
      <c r="I4102" s="283">
        <v>0</v>
      </c>
      <c r="J4102" s="284">
        <v>0</v>
      </c>
    </row>
    <row r="4103" spans="3:10" x14ac:dyDescent="0.25">
      <c r="C4103" s="300" t="s">
        <v>1060</v>
      </c>
      <c r="D4103" s="283" t="s">
        <v>1079</v>
      </c>
      <c r="E4103" s="283" t="s">
        <v>1083</v>
      </c>
      <c r="F4103" s="283" t="s">
        <v>1080</v>
      </c>
      <c r="G4103" s="283">
        <v>2</v>
      </c>
      <c r="H4103" s="283">
        <v>0</v>
      </c>
      <c r="I4103" s="283">
        <v>1</v>
      </c>
      <c r="J4103" s="284">
        <v>0</v>
      </c>
    </row>
    <row r="4104" spans="3:10" x14ac:dyDescent="0.25">
      <c r="C4104" s="300" t="s">
        <v>1061</v>
      </c>
      <c r="D4104" s="283" t="s">
        <v>1079</v>
      </c>
      <c r="E4104" s="283" t="s">
        <v>1084</v>
      </c>
      <c r="F4104" s="283" t="s">
        <v>1083</v>
      </c>
      <c r="G4104" s="283">
        <v>2</v>
      </c>
      <c r="H4104" s="283">
        <v>0</v>
      </c>
      <c r="I4104" s="283">
        <v>1</v>
      </c>
      <c r="J4104" s="284">
        <v>0</v>
      </c>
    </row>
    <row r="4105" spans="3:10" x14ac:dyDescent="0.25">
      <c r="C4105" s="300" t="s">
        <v>1066</v>
      </c>
      <c r="D4105" s="283" t="s">
        <v>1082</v>
      </c>
      <c r="E4105" s="283" t="s">
        <v>1075</v>
      </c>
      <c r="F4105" s="283" t="s">
        <v>1075</v>
      </c>
      <c r="G4105" s="283">
        <v>3</v>
      </c>
      <c r="H4105" s="283">
        <v>0</v>
      </c>
      <c r="I4105" s="283">
        <v>0</v>
      </c>
      <c r="J4105" s="284">
        <v>0</v>
      </c>
    </row>
    <row r="4106" spans="3:10" x14ac:dyDescent="0.25">
      <c r="C4106" s="300" t="s">
        <v>1064</v>
      </c>
      <c r="D4106" s="283" t="s">
        <v>1079</v>
      </c>
      <c r="E4106" s="283" t="s">
        <v>1075</v>
      </c>
      <c r="F4106" s="283" t="s">
        <v>1075</v>
      </c>
      <c r="G4106" s="283">
        <v>2</v>
      </c>
      <c r="H4106" s="283">
        <v>0</v>
      </c>
      <c r="I4106" s="283">
        <v>0</v>
      </c>
      <c r="J4106" s="284">
        <v>0</v>
      </c>
    </row>
    <row r="4107" spans="3:10" x14ac:dyDescent="0.25">
      <c r="C4107" s="300" t="s">
        <v>1065</v>
      </c>
      <c r="D4107" s="283" t="s">
        <v>1077</v>
      </c>
      <c r="E4107" s="283" t="s">
        <v>1089</v>
      </c>
      <c r="F4107" s="283" t="s">
        <v>1075</v>
      </c>
      <c r="G4107" s="283">
        <v>2</v>
      </c>
      <c r="H4107" s="283">
        <v>0</v>
      </c>
      <c r="I4107" s="283">
        <v>0</v>
      </c>
      <c r="J4107" s="284">
        <v>0</v>
      </c>
    </row>
    <row r="4108" spans="3:10" x14ac:dyDescent="0.25">
      <c r="C4108" s="300" t="s">
        <v>1063</v>
      </c>
      <c r="D4108" s="283" t="s">
        <v>1074</v>
      </c>
      <c r="E4108" s="283" t="s">
        <v>1075</v>
      </c>
      <c r="F4108" s="283" t="s">
        <v>1075</v>
      </c>
      <c r="G4108" s="283">
        <v>2</v>
      </c>
      <c r="H4108" s="283">
        <v>0</v>
      </c>
      <c r="I4108" s="283">
        <v>3</v>
      </c>
      <c r="J4108" s="284">
        <v>0</v>
      </c>
    </row>
    <row r="4109" spans="3:10" x14ac:dyDescent="0.25">
      <c r="C4109" s="300" t="s">
        <v>1064</v>
      </c>
      <c r="D4109" s="283" t="s">
        <v>1090</v>
      </c>
      <c r="E4109" s="283" t="s">
        <v>1083</v>
      </c>
      <c r="F4109" s="283" t="s">
        <v>524</v>
      </c>
      <c r="G4109" s="283">
        <v>1</v>
      </c>
      <c r="H4109" s="283">
        <v>0</v>
      </c>
      <c r="I4109" s="283">
        <v>1</v>
      </c>
      <c r="J4109" s="284">
        <v>0</v>
      </c>
    </row>
    <row r="4110" spans="3:10" x14ac:dyDescent="0.25">
      <c r="C4110" s="300" t="s">
        <v>1066</v>
      </c>
      <c r="D4110" s="283" t="s">
        <v>1077</v>
      </c>
      <c r="E4110" s="283" t="s">
        <v>1075</v>
      </c>
      <c r="F4110" s="283" t="s">
        <v>1075</v>
      </c>
      <c r="G4110" s="283">
        <v>2</v>
      </c>
      <c r="H4110" s="283">
        <v>0</v>
      </c>
      <c r="I4110" s="283">
        <v>0</v>
      </c>
      <c r="J4110" s="284">
        <v>1</v>
      </c>
    </row>
    <row r="4111" spans="3:10" x14ac:dyDescent="0.25">
      <c r="C4111" s="300" t="s">
        <v>1067</v>
      </c>
      <c r="D4111" s="283" t="s">
        <v>1087</v>
      </c>
      <c r="E4111" s="283" t="s">
        <v>1076</v>
      </c>
      <c r="F4111" s="283" t="s">
        <v>524</v>
      </c>
      <c r="G4111" s="283">
        <v>1</v>
      </c>
      <c r="H4111" s="283">
        <v>0</v>
      </c>
      <c r="I4111" s="283">
        <v>0</v>
      </c>
      <c r="J4111" s="284">
        <v>1</v>
      </c>
    </row>
    <row r="4112" spans="3:10" x14ac:dyDescent="0.25">
      <c r="C4112" s="300" t="s">
        <v>1066</v>
      </c>
      <c r="D4112" s="283" t="s">
        <v>1077</v>
      </c>
      <c r="E4112" s="283" t="s">
        <v>1100</v>
      </c>
      <c r="F4112" s="283" t="s">
        <v>1075</v>
      </c>
      <c r="G4112" s="283">
        <v>2</v>
      </c>
      <c r="H4112" s="283">
        <v>0</v>
      </c>
      <c r="I4112" s="283">
        <v>0</v>
      </c>
      <c r="J4112" s="284">
        <v>1</v>
      </c>
    </row>
    <row r="4113" spans="3:10" x14ac:dyDescent="0.25">
      <c r="C4113" s="300" t="s">
        <v>1064</v>
      </c>
      <c r="D4113" s="283" t="s">
        <v>1079</v>
      </c>
      <c r="E4113" s="283" t="s">
        <v>1083</v>
      </c>
      <c r="F4113" s="283" t="s">
        <v>1089</v>
      </c>
      <c r="G4113" s="283">
        <v>2</v>
      </c>
      <c r="H4113" s="283">
        <v>0</v>
      </c>
      <c r="I4113" s="283">
        <v>1</v>
      </c>
      <c r="J4113" s="284">
        <v>0</v>
      </c>
    </row>
    <row r="4114" spans="3:10" x14ac:dyDescent="0.25">
      <c r="C4114" s="300" t="s">
        <v>1063</v>
      </c>
      <c r="D4114" s="283" t="s">
        <v>1079</v>
      </c>
      <c r="E4114" s="283" t="s">
        <v>1075</v>
      </c>
      <c r="F4114" s="283" t="s">
        <v>1080</v>
      </c>
      <c r="G4114" s="283">
        <v>4</v>
      </c>
      <c r="H4114" s="283">
        <v>0</v>
      </c>
      <c r="I4114" s="283">
        <v>0</v>
      </c>
      <c r="J4114" s="284">
        <v>0</v>
      </c>
    </row>
    <row r="4115" spans="3:10" x14ac:dyDescent="0.25">
      <c r="C4115" s="300" t="s">
        <v>1058</v>
      </c>
      <c r="D4115" s="283" t="s">
        <v>1079</v>
      </c>
      <c r="E4115" s="283" t="s">
        <v>1089</v>
      </c>
      <c r="F4115" s="283" t="s">
        <v>1075</v>
      </c>
      <c r="G4115" s="283">
        <v>2</v>
      </c>
      <c r="H4115" s="283">
        <v>0</v>
      </c>
      <c r="I4115" s="283">
        <v>1</v>
      </c>
      <c r="J4115" s="284">
        <v>0</v>
      </c>
    </row>
    <row r="4116" spans="3:10" x14ac:dyDescent="0.25">
      <c r="C4116" s="300" t="s">
        <v>1065</v>
      </c>
      <c r="D4116" s="283" t="s">
        <v>1077</v>
      </c>
      <c r="E4116" s="283" t="s">
        <v>1075</v>
      </c>
      <c r="F4116" s="283" t="s">
        <v>1075</v>
      </c>
      <c r="G4116" s="283">
        <v>2</v>
      </c>
      <c r="H4116" s="283">
        <v>0</v>
      </c>
      <c r="I4116" s="283">
        <v>0</v>
      </c>
      <c r="J4116" s="284">
        <v>0</v>
      </c>
    </row>
    <row r="4117" spans="3:10" x14ac:dyDescent="0.25">
      <c r="C4117" s="300" t="s">
        <v>1065</v>
      </c>
      <c r="D4117" s="283" t="s">
        <v>1087</v>
      </c>
      <c r="E4117" s="283" t="s">
        <v>1075</v>
      </c>
      <c r="F4117" s="283" t="s">
        <v>524</v>
      </c>
      <c r="G4117" s="283">
        <v>1</v>
      </c>
      <c r="H4117" s="283">
        <v>0</v>
      </c>
      <c r="I4117" s="283">
        <v>0</v>
      </c>
      <c r="J4117" s="284">
        <v>0</v>
      </c>
    </row>
    <row r="4118" spans="3:10" x14ac:dyDescent="0.25">
      <c r="C4118" s="300" t="s">
        <v>1063</v>
      </c>
      <c r="D4118" s="283" t="s">
        <v>1043</v>
      </c>
      <c r="E4118" s="283" t="s">
        <v>1075</v>
      </c>
      <c r="F4118" s="283" t="s">
        <v>1092</v>
      </c>
      <c r="G4118" s="283">
        <v>2</v>
      </c>
      <c r="H4118" s="283">
        <v>0</v>
      </c>
      <c r="I4118" s="283">
        <v>0</v>
      </c>
      <c r="J4118" s="284">
        <v>2</v>
      </c>
    </row>
    <row r="4119" spans="3:10" x14ac:dyDescent="0.25">
      <c r="C4119" s="300" t="s">
        <v>1062</v>
      </c>
      <c r="D4119" s="283" t="s">
        <v>1077</v>
      </c>
      <c r="E4119" s="283" t="s">
        <v>1075</v>
      </c>
      <c r="F4119" s="283" t="s">
        <v>1089</v>
      </c>
      <c r="G4119" s="283">
        <v>2</v>
      </c>
      <c r="H4119" s="283">
        <v>0</v>
      </c>
      <c r="I4119" s="283">
        <v>0</v>
      </c>
      <c r="J4119" s="284">
        <v>0</v>
      </c>
    </row>
    <row r="4120" spans="3:10" x14ac:dyDescent="0.25">
      <c r="C4120" s="300" t="s">
        <v>1067</v>
      </c>
      <c r="D4120" s="283" t="s">
        <v>1079</v>
      </c>
      <c r="E4120" s="283" t="s">
        <v>1075</v>
      </c>
      <c r="F4120" s="283" t="s">
        <v>1075</v>
      </c>
      <c r="G4120" s="283">
        <v>3</v>
      </c>
      <c r="H4120" s="283">
        <v>0</v>
      </c>
      <c r="I4120" s="283">
        <v>0</v>
      </c>
      <c r="J4120" s="284">
        <v>0</v>
      </c>
    </row>
    <row r="4121" spans="3:10" x14ac:dyDescent="0.25">
      <c r="C4121" s="300" t="s">
        <v>1064</v>
      </c>
      <c r="D4121" s="283" t="s">
        <v>1079</v>
      </c>
      <c r="E4121" s="283" t="s">
        <v>1076</v>
      </c>
      <c r="F4121" s="283" t="s">
        <v>1089</v>
      </c>
      <c r="G4121" s="283">
        <v>2</v>
      </c>
      <c r="H4121" s="283">
        <v>0</v>
      </c>
      <c r="I4121" s="283">
        <v>0</v>
      </c>
      <c r="J4121" s="284">
        <v>0</v>
      </c>
    </row>
    <row r="4122" spans="3:10" x14ac:dyDescent="0.25">
      <c r="C4122" s="300" t="s">
        <v>1064</v>
      </c>
      <c r="D4122" s="283" t="s">
        <v>1082</v>
      </c>
      <c r="E4122" s="283" t="s">
        <v>1075</v>
      </c>
      <c r="F4122" s="283" t="s">
        <v>1078</v>
      </c>
      <c r="G4122" s="283">
        <v>2</v>
      </c>
      <c r="H4122" s="283">
        <v>0</v>
      </c>
      <c r="I4122" s="283">
        <v>1</v>
      </c>
      <c r="J4122" s="284">
        <v>0</v>
      </c>
    </row>
    <row r="4123" spans="3:10" x14ac:dyDescent="0.25">
      <c r="C4123" s="300" t="s">
        <v>1065</v>
      </c>
      <c r="D4123" s="283" t="s">
        <v>1079</v>
      </c>
      <c r="E4123" s="283" t="s">
        <v>1075</v>
      </c>
      <c r="F4123" s="283" t="s">
        <v>1083</v>
      </c>
      <c r="G4123" s="283">
        <v>2</v>
      </c>
      <c r="H4123" s="283">
        <v>0</v>
      </c>
      <c r="I4123" s="283">
        <v>1</v>
      </c>
      <c r="J4123" s="284">
        <v>0</v>
      </c>
    </row>
    <row r="4124" spans="3:10" x14ac:dyDescent="0.25">
      <c r="C4124" s="300" t="s">
        <v>1057</v>
      </c>
      <c r="D4124" s="283" t="s">
        <v>1079</v>
      </c>
      <c r="E4124" s="283" t="s">
        <v>1075</v>
      </c>
      <c r="F4124" s="283" t="s">
        <v>1075</v>
      </c>
      <c r="G4124" s="283">
        <v>2</v>
      </c>
      <c r="H4124" s="283">
        <v>0</v>
      </c>
      <c r="I4124" s="283">
        <v>0</v>
      </c>
      <c r="J4124" s="284">
        <v>0</v>
      </c>
    </row>
    <row r="4125" spans="3:10" x14ac:dyDescent="0.25">
      <c r="C4125" s="300" t="s">
        <v>1066</v>
      </c>
      <c r="D4125" s="283" t="s">
        <v>1079</v>
      </c>
      <c r="E4125" s="283" t="s">
        <v>1078</v>
      </c>
      <c r="F4125" s="283" t="s">
        <v>1083</v>
      </c>
      <c r="G4125" s="283">
        <v>2</v>
      </c>
      <c r="H4125" s="283">
        <v>0</v>
      </c>
      <c r="I4125" s="283">
        <v>0</v>
      </c>
      <c r="J4125" s="284">
        <v>0</v>
      </c>
    </row>
    <row r="4126" spans="3:10" x14ac:dyDescent="0.25">
      <c r="C4126" s="300" t="s">
        <v>1063</v>
      </c>
      <c r="D4126" s="283" t="s">
        <v>1077</v>
      </c>
      <c r="E4126" s="283" t="s">
        <v>1080</v>
      </c>
      <c r="F4126" s="283" t="s">
        <v>1075</v>
      </c>
      <c r="G4126" s="283">
        <v>2</v>
      </c>
      <c r="H4126" s="283">
        <v>0</v>
      </c>
      <c r="I4126" s="283">
        <v>0</v>
      </c>
      <c r="J4126" s="284">
        <v>1</v>
      </c>
    </row>
    <row r="4127" spans="3:10" x14ac:dyDescent="0.25">
      <c r="C4127" s="300" t="s">
        <v>1059</v>
      </c>
      <c r="D4127" s="283" t="s">
        <v>1074</v>
      </c>
      <c r="E4127" s="283" t="s">
        <v>1089</v>
      </c>
      <c r="F4127" s="283" t="s">
        <v>1094</v>
      </c>
      <c r="G4127" s="283">
        <v>2</v>
      </c>
      <c r="H4127" s="283">
        <v>0</v>
      </c>
      <c r="I4127" s="283">
        <v>0</v>
      </c>
      <c r="J4127" s="284">
        <v>0</v>
      </c>
    </row>
    <row r="4128" spans="3:10" x14ac:dyDescent="0.25">
      <c r="C4128" s="300" t="s">
        <v>1065</v>
      </c>
      <c r="D4128" s="283" t="s">
        <v>1077</v>
      </c>
      <c r="E4128" s="283" t="s">
        <v>1076</v>
      </c>
      <c r="F4128" s="283" t="s">
        <v>1075</v>
      </c>
      <c r="G4128" s="283">
        <v>2</v>
      </c>
      <c r="H4128" s="283">
        <v>0</v>
      </c>
      <c r="I4128" s="283">
        <v>0</v>
      </c>
      <c r="J4128" s="284">
        <v>1</v>
      </c>
    </row>
    <row r="4129" spans="3:10" x14ac:dyDescent="0.25">
      <c r="C4129" s="300" t="s">
        <v>1059</v>
      </c>
      <c r="D4129" s="283" t="s">
        <v>1079</v>
      </c>
      <c r="E4129" s="283" t="s">
        <v>1075</v>
      </c>
      <c r="F4129" s="283" t="s">
        <v>1076</v>
      </c>
      <c r="G4129" s="283">
        <v>3</v>
      </c>
      <c r="H4129" s="283">
        <v>0</v>
      </c>
      <c r="I4129" s="283">
        <v>1</v>
      </c>
      <c r="J4129" s="284">
        <v>0</v>
      </c>
    </row>
    <row r="4130" spans="3:10" x14ac:dyDescent="0.25">
      <c r="C4130" s="300" t="s">
        <v>1062</v>
      </c>
      <c r="D4130" s="283" t="s">
        <v>1077</v>
      </c>
      <c r="E4130" s="283" t="s">
        <v>1080</v>
      </c>
      <c r="F4130" s="283" t="s">
        <v>1080</v>
      </c>
      <c r="G4130" s="283">
        <v>2</v>
      </c>
      <c r="H4130" s="283">
        <v>0</v>
      </c>
      <c r="I4130" s="283">
        <v>0</v>
      </c>
      <c r="J4130" s="284">
        <v>0</v>
      </c>
    </row>
    <row r="4131" spans="3:10" x14ac:dyDescent="0.25">
      <c r="C4131" s="300" t="s">
        <v>1060</v>
      </c>
      <c r="D4131" s="283" t="s">
        <v>1079</v>
      </c>
      <c r="E4131" s="283" t="s">
        <v>1086</v>
      </c>
      <c r="F4131" s="283" t="s">
        <v>1089</v>
      </c>
      <c r="G4131" s="283">
        <v>2</v>
      </c>
      <c r="H4131" s="283">
        <v>0</v>
      </c>
      <c r="I4131" s="283">
        <v>0</v>
      </c>
      <c r="J4131" s="284">
        <v>0</v>
      </c>
    </row>
    <row r="4132" spans="3:10" x14ac:dyDescent="0.25">
      <c r="C4132" s="300" t="s">
        <v>1064</v>
      </c>
      <c r="D4132" s="283" t="s">
        <v>1077</v>
      </c>
      <c r="E4132" s="283" t="s">
        <v>1080</v>
      </c>
      <c r="F4132" s="283" t="s">
        <v>1081</v>
      </c>
      <c r="G4132" s="283">
        <v>2</v>
      </c>
      <c r="H4132" s="283">
        <v>0</v>
      </c>
      <c r="I4132" s="283">
        <v>0</v>
      </c>
      <c r="J4132" s="284">
        <v>0</v>
      </c>
    </row>
    <row r="4133" spans="3:10" x14ac:dyDescent="0.25">
      <c r="C4133" s="300" t="s">
        <v>1064</v>
      </c>
      <c r="D4133" s="283" t="s">
        <v>1077</v>
      </c>
      <c r="E4133" s="283" t="s">
        <v>1076</v>
      </c>
      <c r="F4133" s="283" t="s">
        <v>1089</v>
      </c>
      <c r="G4133" s="283">
        <v>2</v>
      </c>
      <c r="H4133" s="283">
        <v>0</v>
      </c>
      <c r="I4133" s="283">
        <v>0</v>
      </c>
      <c r="J4133" s="284">
        <v>0</v>
      </c>
    </row>
    <row r="4134" spans="3:10" x14ac:dyDescent="0.25">
      <c r="C4134" s="300" t="s">
        <v>1067</v>
      </c>
      <c r="D4134" s="283" t="s">
        <v>1043</v>
      </c>
      <c r="E4134" s="283" t="s">
        <v>1075</v>
      </c>
      <c r="F4134" s="283" t="s">
        <v>1092</v>
      </c>
      <c r="G4134" s="283">
        <v>2</v>
      </c>
      <c r="H4134" s="283">
        <v>0</v>
      </c>
      <c r="I4134" s="283">
        <v>0</v>
      </c>
      <c r="J4134" s="284">
        <v>0</v>
      </c>
    </row>
    <row r="4135" spans="3:10" x14ac:dyDescent="0.25">
      <c r="C4135" s="300" t="s">
        <v>1063</v>
      </c>
      <c r="D4135" s="283" t="s">
        <v>1074</v>
      </c>
      <c r="E4135" s="283" t="s">
        <v>1084</v>
      </c>
      <c r="F4135" s="283" t="s">
        <v>1080</v>
      </c>
      <c r="G4135" s="283">
        <v>2</v>
      </c>
      <c r="H4135" s="283">
        <v>0</v>
      </c>
      <c r="I4135" s="283">
        <v>0</v>
      </c>
      <c r="J4135" s="284">
        <v>0</v>
      </c>
    </row>
    <row r="4136" spans="3:10" x14ac:dyDescent="0.25">
      <c r="C4136" s="300" t="s">
        <v>1065</v>
      </c>
      <c r="D4136" s="283" t="s">
        <v>1077</v>
      </c>
      <c r="E4136" s="283" t="s">
        <v>1076</v>
      </c>
      <c r="F4136" s="283" t="s">
        <v>1089</v>
      </c>
      <c r="G4136" s="283">
        <v>2</v>
      </c>
      <c r="H4136" s="283">
        <v>0</v>
      </c>
      <c r="I4136" s="283">
        <v>0</v>
      </c>
      <c r="J4136" s="284">
        <v>0</v>
      </c>
    </row>
    <row r="4137" spans="3:10" x14ac:dyDescent="0.25">
      <c r="C4137" s="300" t="s">
        <v>1066</v>
      </c>
      <c r="D4137" s="283" t="s">
        <v>1082</v>
      </c>
      <c r="E4137" s="283" t="s">
        <v>1075</v>
      </c>
      <c r="F4137" s="283" t="s">
        <v>1075</v>
      </c>
      <c r="G4137" s="283">
        <v>2</v>
      </c>
      <c r="H4137" s="283">
        <v>0</v>
      </c>
      <c r="I4137" s="283">
        <v>0</v>
      </c>
      <c r="J4137" s="284">
        <v>0</v>
      </c>
    </row>
    <row r="4138" spans="3:10" x14ac:dyDescent="0.25">
      <c r="C4138" s="300" t="s">
        <v>1064</v>
      </c>
      <c r="D4138" s="283" t="s">
        <v>1077</v>
      </c>
      <c r="E4138" s="283" t="s">
        <v>1078</v>
      </c>
      <c r="F4138" s="283" t="s">
        <v>1078</v>
      </c>
      <c r="G4138" s="283">
        <v>2</v>
      </c>
      <c r="H4138" s="283">
        <v>0</v>
      </c>
      <c r="I4138" s="283">
        <v>0</v>
      </c>
      <c r="J4138" s="284">
        <v>0</v>
      </c>
    </row>
    <row r="4139" spans="3:10" x14ac:dyDescent="0.25">
      <c r="C4139" s="300" t="s">
        <v>1065</v>
      </c>
      <c r="D4139" s="283" t="s">
        <v>1079</v>
      </c>
      <c r="E4139" s="283" t="s">
        <v>1075</v>
      </c>
      <c r="F4139" s="283" t="s">
        <v>1083</v>
      </c>
      <c r="G4139" s="283">
        <v>2</v>
      </c>
      <c r="H4139" s="283">
        <v>0</v>
      </c>
      <c r="I4139" s="283">
        <v>0</v>
      </c>
      <c r="J4139" s="284">
        <v>0</v>
      </c>
    </row>
    <row r="4140" spans="3:10" x14ac:dyDescent="0.25">
      <c r="C4140" s="300" t="s">
        <v>1066</v>
      </c>
      <c r="D4140" s="283" t="s">
        <v>1077</v>
      </c>
      <c r="E4140" s="283" t="s">
        <v>1089</v>
      </c>
      <c r="F4140" s="283" t="s">
        <v>1075</v>
      </c>
      <c r="G4140" s="283">
        <v>2</v>
      </c>
      <c r="H4140" s="283">
        <v>0</v>
      </c>
      <c r="I4140" s="283">
        <v>0</v>
      </c>
      <c r="J4140" s="284">
        <v>0</v>
      </c>
    </row>
    <row r="4141" spans="3:10" x14ac:dyDescent="0.25">
      <c r="C4141" s="300" t="s">
        <v>1061</v>
      </c>
      <c r="D4141" s="283" t="s">
        <v>1077</v>
      </c>
      <c r="E4141" s="283" t="s">
        <v>1080</v>
      </c>
      <c r="F4141" s="283" t="s">
        <v>1089</v>
      </c>
      <c r="G4141" s="283">
        <v>2</v>
      </c>
      <c r="H4141" s="283">
        <v>0</v>
      </c>
      <c r="I4141" s="283">
        <v>0</v>
      </c>
      <c r="J4141" s="284">
        <v>0</v>
      </c>
    </row>
    <row r="4142" spans="3:10" x14ac:dyDescent="0.25">
      <c r="C4142" s="300" t="s">
        <v>1060</v>
      </c>
      <c r="D4142" s="283" t="s">
        <v>1087</v>
      </c>
      <c r="E4142" s="283" t="s">
        <v>1075</v>
      </c>
      <c r="F4142" s="283" t="s">
        <v>524</v>
      </c>
      <c r="G4142" s="283">
        <v>1</v>
      </c>
      <c r="H4142" s="283">
        <v>0</v>
      </c>
      <c r="I4142" s="283">
        <v>0</v>
      </c>
      <c r="J4142" s="284">
        <v>0</v>
      </c>
    </row>
    <row r="4143" spans="3:10" x14ac:dyDescent="0.25">
      <c r="C4143" s="300" t="s">
        <v>1058</v>
      </c>
      <c r="D4143" s="283" t="s">
        <v>1079</v>
      </c>
      <c r="E4143" s="283" t="s">
        <v>1075</v>
      </c>
      <c r="F4143" s="283" t="s">
        <v>1075</v>
      </c>
      <c r="G4143" s="283">
        <v>2</v>
      </c>
      <c r="H4143" s="283">
        <v>0</v>
      </c>
      <c r="I4143" s="283">
        <v>0</v>
      </c>
      <c r="J4143" s="284">
        <v>0</v>
      </c>
    </row>
    <row r="4144" spans="3:10" x14ac:dyDescent="0.25">
      <c r="C4144" s="300" t="s">
        <v>1065</v>
      </c>
      <c r="D4144" s="283" t="s">
        <v>1079</v>
      </c>
      <c r="E4144" s="283" t="s">
        <v>1075</v>
      </c>
      <c r="F4144" s="283" t="s">
        <v>1089</v>
      </c>
      <c r="G4144" s="283">
        <v>3</v>
      </c>
      <c r="H4144" s="283">
        <v>0</v>
      </c>
      <c r="I4144" s="283">
        <v>0</v>
      </c>
      <c r="J4144" s="284">
        <v>0</v>
      </c>
    </row>
    <row r="4145" spans="3:10" x14ac:dyDescent="0.25">
      <c r="C4145" s="300" t="s">
        <v>1061</v>
      </c>
      <c r="D4145" s="283" t="s">
        <v>1074</v>
      </c>
      <c r="E4145" s="283" t="s">
        <v>1075</v>
      </c>
      <c r="F4145" s="283" t="s">
        <v>1089</v>
      </c>
      <c r="G4145" s="283">
        <v>4</v>
      </c>
      <c r="H4145" s="283">
        <v>0</v>
      </c>
      <c r="I4145" s="283">
        <v>0</v>
      </c>
      <c r="J4145" s="284">
        <v>0</v>
      </c>
    </row>
    <row r="4146" spans="3:10" x14ac:dyDescent="0.25">
      <c r="C4146" s="300" t="s">
        <v>1061</v>
      </c>
      <c r="D4146" s="283" t="s">
        <v>1079</v>
      </c>
      <c r="E4146" s="283" t="s">
        <v>1044</v>
      </c>
      <c r="F4146" s="283" t="s">
        <v>1089</v>
      </c>
      <c r="G4146" s="283">
        <v>2</v>
      </c>
      <c r="H4146" s="283">
        <v>0</v>
      </c>
      <c r="I4146" s="283">
        <v>0</v>
      </c>
      <c r="J4146" s="284">
        <v>0</v>
      </c>
    </row>
    <row r="4147" spans="3:10" x14ac:dyDescent="0.25">
      <c r="C4147" s="300" t="s">
        <v>1063</v>
      </c>
      <c r="D4147" s="283" t="s">
        <v>1079</v>
      </c>
      <c r="E4147" s="283" t="s">
        <v>1080</v>
      </c>
      <c r="F4147" s="283" t="s">
        <v>1075</v>
      </c>
      <c r="G4147" s="283">
        <v>2</v>
      </c>
      <c r="H4147" s="283">
        <v>0</v>
      </c>
      <c r="I4147" s="283">
        <v>0</v>
      </c>
      <c r="J4147" s="284">
        <v>1</v>
      </c>
    </row>
    <row r="4148" spans="3:10" x14ac:dyDescent="0.25">
      <c r="C4148" s="300" t="s">
        <v>1061</v>
      </c>
      <c r="D4148" s="283" t="s">
        <v>1087</v>
      </c>
      <c r="E4148" s="283" t="s">
        <v>1084</v>
      </c>
      <c r="F4148" s="283" t="s">
        <v>524</v>
      </c>
      <c r="G4148" s="283">
        <v>1</v>
      </c>
      <c r="H4148" s="283">
        <v>0</v>
      </c>
      <c r="I4148" s="283">
        <v>1</v>
      </c>
      <c r="J4148" s="284">
        <v>0</v>
      </c>
    </row>
    <row r="4149" spans="3:10" x14ac:dyDescent="0.25">
      <c r="C4149" s="300" t="s">
        <v>1065</v>
      </c>
      <c r="D4149" s="283" t="s">
        <v>1074</v>
      </c>
      <c r="E4149" s="283" t="s">
        <v>1075</v>
      </c>
      <c r="F4149" s="283" t="s">
        <v>1044</v>
      </c>
      <c r="G4149" s="283">
        <v>2</v>
      </c>
      <c r="H4149" s="283">
        <v>0</v>
      </c>
      <c r="I4149" s="283">
        <v>0</v>
      </c>
      <c r="J4149" s="284">
        <v>0</v>
      </c>
    </row>
    <row r="4150" spans="3:10" x14ac:dyDescent="0.25">
      <c r="C4150" s="300" t="s">
        <v>1064</v>
      </c>
      <c r="D4150" s="283" t="s">
        <v>1043</v>
      </c>
      <c r="E4150" s="283" t="s">
        <v>1089</v>
      </c>
      <c r="F4150" s="283" t="s">
        <v>1092</v>
      </c>
      <c r="G4150" s="283">
        <v>2</v>
      </c>
      <c r="H4150" s="283">
        <v>0</v>
      </c>
      <c r="I4150" s="283">
        <v>1</v>
      </c>
      <c r="J4150" s="284">
        <v>0</v>
      </c>
    </row>
    <row r="4151" spans="3:10" x14ac:dyDescent="0.25">
      <c r="C4151" s="300" t="s">
        <v>1065</v>
      </c>
      <c r="D4151" s="283" t="s">
        <v>1079</v>
      </c>
      <c r="E4151" s="283" t="s">
        <v>1075</v>
      </c>
      <c r="F4151" s="283" t="s">
        <v>1089</v>
      </c>
      <c r="G4151" s="283">
        <v>2</v>
      </c>
      <c r="H4151" s="283">
        <v>0</v>
      </c>
      <c r="I4151" s="283">
        <v>0</v>
      </c>
      <c r="J4151" s="284">
        <v>0</v>
      </c>
    </row>
    <row r="4152" spans="3:10" x14ac:dyDescent="0.25">
      <c r="C4152" s="300" t="s">
        <v>1065</v>
      </c>
      <c r="D4152" s="283" t="s">
        <v>1087</v>
      </c>
      <c r="E4152" s="283" t="s">
        <v>1075</v>
      </c>
      <c r="F4152" s="283" t="s">
        <v>524</v>
      </c>
      <c r="G4152" s="283">
        <v>1</v>
      </c>
      <c r="H4152" s="283">
        <v>0</v>
      </c>
      <c r="I4152" s="283">
        <v>0</v>
      </c>
      <c r="J4152" s="284">
        <v>0</v>
      </c>
    </row>
    <row r="4153" spans="3:10" x14ac:dyDescent="0.25">
      <c r="C4153" s="300" t="s">
        <v>1066</v>
      </c>
      <c r="D4153" s="283" t="s">
        <v>1087</v>
      </c>
      <c r="E4153" s="283" t="s">
        <v>1075</v>
      </c>
      <c r="F4153" s="283" t="s">
        <v>524</v>
      </c>
      <c r="G4153" s="283">
        <v>1</v>
      </c>
      <c r="H4153" s="283">
        <v>0</v>
      </c>
      <c r="I4153" s="283">
        <v>0</v>
      </c>
      <c r="J4153" s="284">
        <v>1</v>
      </c>
    </row>
    <row r="4154" spans="3:10" x14ac:dyDescent="0.25">
      <c r="C4154" s="300" t="s">
        <v>1063</v>
      </c>
      <c r="D4154" s="283" t="s">
        <v>1079</v>
      </c>
      <c r="E4154" s="283" t="s">
        <v>1075</v>
      </c>
      <c r="F4154" s="283" t="s">
        <v>1075</v>
      </c>
      <c r="G4154" s="283">
        <v>2</v>
      </c>
      <c r="H4154" s="283">
        <v>0</v>
      </c>
      <c r="I4154" s="283">
        <v>0</v>
      </c>
      <c r="J4154" s="284">
        <v>0</v>
      </c>
    </row>
    <row r="4155" spans="3:10" x14ac:dyDescent="0.25">
      <c r="C4155" s="300" t="s">
        <v>1064</v>
      </c>
      <c r="D4155" s="283" t="s">
        <v>1095</v>
      </c>
      <c r="E4155" s="283" t="s">
        <v>1083</v>
      </c>
      <c r="F4155" s="283" t="s">
        <v>524</v>
      </c>
      <c r="G4155" s="283">
        <v>1</v>
      </c>
      <c r="H4155" s="283">
        <v>0</v>
      </c>
      <c r="I4155" s="283">
        <v>0</v>
      </c>
      <c r="J4155" s="284">
        <v>0</v>
      </c>
    </row>
    <row r="4156" spans="3:10" x14ac:dyDescent="0.25">
      <c r="C4156" s="300" t="s">
        <v>1063</v>
      </c>
      <c r="D4156" s="283" t="s">
        <v>1079</v>
      </c>
      <c r="E4156" s="283" t="s">
        <v>1111</v>
      </c>
      <c r="F4156" s="283" t="s">
        <v>1075</v>
      </c>
      <c r="G4156" s="283">
        <v>2</v>
      </c>
      <c r="H4156" s="283">
        <v>0</v>
      </c>
      <c r="I4156" s="283">
        <v>0</v>
      </c>
      <c r="J4156" s="284">
        <v>0</v>
      </c>
    </row>
    <row r="4157" spans="3:10" x14ac:dyDescent="0.25">
      <c r="C4157" s="300" t="s">
        <v>1061</v>
      </c>
      <c r="D4157" s="283" t="s">
        <v>1077</v>
      </c>
      <c r="E4157" s="283" t="s">
        <v>1075</v>
      </c>
      <c r="F4157" s="283" t="s">
        <v>1089</v>
      </c>
      <c r="G4157" s="283">
        <v>2</v>
      </c>
      <c r="H4157" s="283">
        <v>0</v>
      </c>
      <c r="I4157" s="283">
        <v>0</v>
      </c>
      <c r="J4157" s="284">
        <v>0</v>
      </c>
    </row>
    <row r="4158" spans="3:10" x14ac:dyDescent="0.25">
      <c r="C4158" s="300" t="s">
        <v>1064</v>
      </c>
      <c r="D4158" s="283" t="s">
        <v>1079</v>
      </c>
      <c r="E4158" s="283" t="s">
        <v>1086</v>
      </c>
      <c r="F4158" s="283" t="s">
        <v>1075</v>
      </c>
      <c r="G4158" s="283">
        <v>2</v>
      </c>
      <c r="H4158" s="283">
        <v>0</v>
      </c>
      <c r="I4158" s="283">
        <v>0</v>
      </c>
      <c r="J4158" s="284">
        <v>0</v>
      </c>
    </row>
    <row r="4159" spans="3:10" x14ac:dyDescent="0.25">
      <c r="C4159" s="300" t="s">
        <v>1062</v>
      </c>
      <c r="D4159" s="283" t="s">
        <v>1079</v>
      </c>
      <c r="E4159" s="283" t="s">
        <v>1086</v>
      </c>
      <c r="F4159" s="283" t="s">
        <v>1076</v>
      </c>
      <c r="G4159" s="283">
        <v>2</v>
      </c>
      <c r="H4159" s="283">
        <v>0</v>
      </c>
      <c r="I4159" s="283">
        <v>0</v>
      </c>
      <c r="J4159" s="284">
        <v>0</v>
      </c>
    </row>
    <row r="4160" spans="3:10" x14ac:dyDescent="0.25">
      <c r="C4160" s="300" t="s">
        <v>1060</v>
      </c>
      <c r="D4160" s="283" t="s">
        <v>1082</v>
      </c>
      <c r="E4160" s="283" t="s">
        <v>1075</v>
      </c>
      <c r="F4160" s="283" t="s">
        <v>1076</v>
      </c>
      <c r="G4160" s="283">
        <v>2</v>
      </c>
      <c r="H4160" s="283">
        <v>0</v>
      </c>
      <c r="I4160" s="283">
        <v>2</v>
      </c>
      <c r="J4160" s="284">
        <v>0</v>
      </c>
    </row>
    <row r="4161" spans="3:10" x14ac:dyDescent="0.25">
      <c r="C4161" s="300" t="s">
        <v>1065</v>
      </c>
      <c r="D4161" s="283" t="s">
        <v>1079</v>
      </c>
      <c r="E4161" s="283" t="s">
        <v>1075</v>
      </c>
      <c r="F4161" s="283" t="s">
        <v>1089</v>
      </c>
      <c r="G4161" s="283">
        <v>2</v>
      </c>
      <c r="H4161" s="283">
        <v>0</v>
      </c>
      <c r="I4161" s="283">
        <v>0</v>
      </c>
      <c r="J4161" s="284">
        <v>1</v>
      </c>
    </row>
    <row r="4162" spans="3:10" x14ac:dyDescent="0.25">
      <c r="C4162" s="300" t="s">
        <v>1064</v>
      </c>
      <c r="D4162" s="283" t="s">
        <v>1079</v>
      </c>
      <c r="E4162" s="283" t="s">
        <v>1075</v>
      </c>
      <c r="F4162" s="283" t="s">
        <v>1075</v>
      </c>
      <c r="G4162" s="283">
        <v>2</v>
      </c>
      <c r="H4162" s="283">
        <v>0</v>
      </c>
      <c r="I4162" s="283">
        <v>0</v>
      </c>
      <c r="J4162" s="284">
        <v>0</v>
      </c>
    </row>
    <row r="4163" spans="3:10" x14ac:dyDescent="0.25">
      <c r="C4163" s="300" t="s">
        <v>1061</v>
      </c>
      <c r="D4163" s="283" t="s">
        <v>1079</v>
      </c>
      <c r="E4163" s="283" t="s">
        <v>1075</v>
      </c>
      <c r="F4163" s="283" t="s">
        <v>1075</v>
      </c>
      <c r="G4163" s="283">
        <v>3</v>
      </c>
      <c r="H4163" s="283">
        <v>0</v>
      </c>
      <c r="I4163" s="283">
        <v>1</v>
      </c>
      <c r="J4163" s="284">
        <v>1</v>
      </c>
    </row>
    <row r="4164" spans="3:10" x14ac:dyDescent="0.25">
      <c r="C4164" s="300" t="s">
        <v>1064</v>
      </c>
      <c r="D4164" s="283" t="s">
        <v>1077</v>
      </c>
      <c r="E4164" s="283" t="s">
        <v>1089</v>
      </c>
      <c r="F4164" s="283" t="s">
        <v>1075</v>
      </c>
      <c r="G4164" s="283">
        <v>3</v>
      </c>
      <c r="H4164" s="283">
        <v>0</v>
      </c>
      <c r="I4164" s="283">
        <v>1</v>
      </c>
      <c r="J4164" s="284">
        <v>1</v>
      </c>
    </row>
    <row r="4165" spans="3:10" x14ac:dyDescent="0.25">
      <c r="C4165" s="300" t="s">
        <v>1062</v>
      </c>
      <c r="D4165" s="283" t="s">
        <v>1074</v>
      </c>
      <c r="E4165" s="283" t="s">
        <v>1075</v>
      </c>
      <c r="F4165" s="283" t="s">
        <v>1083</v>
      </c>
      <c r="G4165" s="283">
        <v>2</v>
      </c>
      <c r="H4165" s="283">
        <v>0</v>
      </c>
      <c r="I4165" s="283">
        <v>0</v>
      </c>
      <c r="J4165" s="284">
        <v>1</v>
      </c>
    </row>
    <row r="4166" spans="3:10" x14ac:dyDescent="0.25">
      <c r="C4166" s="300" t="s">
        <v>1063</v>
      </c>
      <c r="D4166" s="283" t="s">
        <v>1077</v>
      </c>
      <c r="E4166" s="283" t="s">
        <v>1094</v>
      </c>
      <c r="F4166" s="283" t="s">
        <v>1084</v>
      </c>
      <c r="G4166" s="283">
        <v>2</v>
      </c>
      <c r="H4166" s="283">
        <v>0</v>
      </c>
      <c r="I4166" s="283">
        <v>0</v>
      </c>
      <c r="J4166" s="284">
        <v>0</v>
      </c>
    </row>
    <row r="4167" spans="3:10" x14ac:dyDescent="0.25">
      <c r="C4167" s="300" t="s">
        <v>1066</v>
      </c>
      <c r="D4167" s="283" t="s">
        <v>1043</v>
      </c>
      <c r="E4167" s="283" t="s">
        <v>1075</v>
      </c>
      <c r="F4167" s="283" t="s">
        <v>1092</v>
      </c>
      <c r="G4167" s="283">
        <v>2</v>
      </c>
      <c r="H4167" s="283">
        <v>0</v>
      </c>
      <c r="I4167" s="283">
        <v>0</v>
      </c>
      <c r="J4167" s="284">
        <v>0</v>
      </c>
    </row>
    <row r="4168" spans="3:10" x14ac:dyDescent="0.25">
      <c r="C4168" s="300" t="s">
        <v>1061</v>
      </c>
      <c r="D4168" s="283" t="s">
        <v>1074</v>
      </c>
      <c r="E4168" s="283" t="s">
        <v>1075</v>
      </c>
      <c r="F4168" s="283" t="s">
        <v>1081</v>
      </c>
      <c r="G4168" s="283">
        <v>3</v>
      </c>
      <c r="H4168" s="283">
        <v>0</v>
      </c>
      <c r="I4168" s="283">
        <v>1</v>
      </c>
      <c r="J4168" s="284">
        <v>0</v>
      </c>
    </row>
    <row r="4169" spans="3:10" x14ac:dyDescent="0.25">
      <c r="C4169" s="300" t="s">
        <v>1057</v>
      </c>
      <c r="D4169" s="283" t="s">
        <v>1074</v>
      </c>
      <c r="E4169" s="283" t="s">
        <v>1093</v>
      </c>
      <c r="F4169" s="283" t="s">
        <v>1075</v>
      </c>
      <c r="G4169" s="283">
        <v>2</v>
      </c>
      <c r="H4169" s="283">
        <v>0</v>
      </c>
      <c r="I4169" s="283">
        <v>1</v>
      </c>
      <c r="J4169" s="284">
        <v>0</v>
      </c>
    </row>
    <row r="4170" spans="3:10" x14ac:dyDescent="0.25">
      <c r="C4170" s="300" t="s">
        <v>1065</v>
      </c>
      <c r="D4170" s="283" t="s">
        <v>1082</v>
      </c>
      <c r="E4170" s="283" t="s">
        <v>1075</v>
      </c>
      <c r="F4170" s="283" t="s">
        <v>1075</v>
      </c>
      <c r="G4170" s="283">
        <v>2</v>
      </c>
      <c r="H4170" s="283">
        <v>0</v>
      </c>
      <c r="I4170" s="283">
        <v>0</v>
      </c>
      <c r="J4170" s="284">
        <v>0</v>
      </c>
    </row>
    <row r="4171" spans="3:10" x14ac:dyDescent="0.25">
      <c r="C4171" s="300" t="s">
        <v>1066</v>
      </c>
      <c r="D4171" s="283" t="s">
        <v>1077</v>
      </c>
      <c r="E4171" s="283" t="s">
        <v>1089</v>
      </c>
      <c r="F4171" s="283" t="s">
        <v>1075</v>
      </c>
      <c r="G4171" s="283">
        <v>3</v>
      </c>
      <c r="H4171" s="283">
        <v>0</v>
      </c>
      <c r="I4171" s="283">
        <v>0</v>
      </c>
      <c r="J4171" s="284">
        <v>0</v>
      </c>
    </row>
    <row r="4172" spans="3:10" x14ac:dyDescent="0.25">
      <c r="C4172" s="300" t="s">
        <v>1063</v>
      </c>
      <c r="D4172" s="283" t="s">
        <v>1079</v>
      </c>
      <c r="E4172" s="283" t="s">
        <v>1044</v>
      </c>
      <c r="F4172" s="283" t="s">
        <v>1076</v>
      </c>
      <c r="G4172" s="283">
        <v>2</v>
      </c>
      <c r="H4172" s="283">
        <v>0</v>
      </c>
      <c r="I4172" s="283">
        <v>0</v>
      </c>
      <c r="J4172" s="284">
        <v>0</v>
      </c>
    </row>
    <row r="4173" spans="3:10" x14ac:dyDescent="0.25">
      <c r="C4173" s="300" t="s">
        <v>1065</v>
      </c>
      <c r="D4173" s="283" t="s">
        <v>1043</v>
      </c>
      <c r="E4173" s="283" t="s">
        <v>1075</v>
      </c>
      <c r="F4173" s="283" t="s">
        <v>1092</v>
      </c>
      <c r="G4173" s="283">
        <v>2</v>
      </c>
      <c r="H4173" s="283">
        <v>0</v>
      </c>
      <c r="I4173" s="283">
        <v>0</v>
      </c>
      <c r="J4173" s="284">
        <v>0</v>
      </c>
    </row>
    <row r="4174" spans="3:10" x14ac:dyDescent="0.25">
      <c r="C4174" s="300" t="s">
        <v>1061</v>
      </c>
      <c r="D4174" s="283" t="s">
        <v>1079</v>
      </c>
      <c r="E4174" s="283" t="s">
        <v>1075</v>
      </c>
      <c r="F4174" s="283" t="s">
        <v>1083</v>
      </c>
      <c r="G4174" s="283">
        <v>2</v>
      </c>
      <c r="H4174" s="283">
        <v>0</v>
      </c>
      <c r="I4174" s="283">
        <v>0</v>
      </c>
      <c r="J4174" s="284">
        <v>0</v>
      </c>
    </row>
    <row r="4175" spans="3:10" x14ac:dyDescent="0.25">
      <c r="C4175" s="300" t="s">
        <v>1065</v>
      </c>
      <c r="D4175" s="283" t="s">
        <v>1079</v>
      </c>
      <c r="E4175" s="283" t="s">
        <v>1089</v>
      </c>
      <c r="F4175" s="283" t="s">
        <v>1083</v>
      </c>
      <c r="G4175" s="283">
        <v>2</v>
      </c>
      <c r="H4175" s="283">
        <v>0</v>
      </c>
      <c r="I4175" s="283">
        <v>0</v>
      </c>
      <c r="J4175" s="284">
        <v>0</v>
      </c>
    </row>
    <row r="4176" spans="3:10" x14ac:dyDescent="0.25">
      <c r="C4176" s="300" t="s">
        <v>1063</v>
      </c>
      <c r="D4176" s="283" t="s">
        <v>1077</v>
      </c>
      <c r="E4176" s="283" t="s">
        <v>1089</v>
      </c>
      <c r="F4176" s="283" t="s">
        <v>1089</v>
      </c>
      <c r="G4176" s="283">
        <v>2</v>
      </c>
      <c r="H4176" s="283">
        <v>0</v>
      </c>
      <c r="I4176" s="283">
        <v>0</v>
      </c>
      <c r="J4176" s="284">
        <v>0</v>
      </c>
    </row>
    <row r="4177" spans="3:10" x14ac:dyDescent="0.25">
      <c r="C4177" s="300" t="s">
        <v>1063</v>
      </c>
      <c r="D4177" s="283" t="s">
        <v>1079</v>
      </c>
      <c r="E4177" s="283" t="s">
        <v>1075</v>
      </c>
      <c r="F4177" s="283" t="s">
        <v>1076</v>
      </c>
      <c r="G4177" s="283">
        <v>3</v>
      </c>
      <c r="H4177" s="283">
        <v>0</v>
      </c>
      <c r="I4177" s="283">
        <v>0</v>
      </c>
      <c r="J4177" s="284">
        <v>0</v>
      </c>
    </row>
    <row r="4178" spans="3:10" x14ac:dyDescent="0.25">
      <c r="C4178" s="300" t="s">
        <v>1060</v>
      </c>
      <c r="D4178" s="283" t="s">
        <v>1074</v>
      </c>
      <c r="E4178" s="283" t="s">
        <v>1044</v>
      </c>
      <c r="F4178" s="283" t="s">
        <v>1075</v>
      </c>
      <c r="G4178" s="283">
        <v>2</v>
      </c>
      <c r="H4178" s="283">
        <v>0</v>
      </c>
      <c r="I4178" s="283">
        <v>1</v>
      </c>
      <c r="J4178" s="284">
        <v>0</v>
      </c>
    </row>
    <row r="4179" spans="3:10" x14ac:dyDescent="0.25">
      <c r="C4179" s="300" t="s">
        <v>1057</v>
      </c>
      <c r="D4179" s="283" t="s">
        <v>1079</v>
      </c>
      <c r="E4179" s="283" t="s">
        <v>1076</v>
      </c>
      <c r="F4179" s="283" t="s">
        <v>1089</v>
      </c>
      <c r="G4179" s="283">
        <v>2</v>
      </c>
      <c r="H4179" s="283">
        <v>0</v>
      </c>
      <c r="I4179" s="283">
        <v>0</v>
      </c>
      <c r="J4179" s="284">
        <v>0</v>
      </c>
    </row>
    <row r="4180" spans="3:10" x14ac:dyDescent="0.25">
      <c r="C4180" s="300" t="s">
        <v>1061</v>
      </c>
      <c r="D4180" s="283" t="s">
        <v>1087</v>
      </c>
      <c r="E4180" s="283" t="s">
        <v>1075</v>
      </c>
      <c r="F4180" s="283" t="s">
        <v>524</v>
      </c>
      <c r="G4180" s="283">
        <v>1</v>
      </c>
      <c r="H4180" s="283">
        <v>0</v>
      </c>
      <c r="I4180" s="283">
        <v>0</v>
      </c>
      <c r="J4180" s="284">
        <v>0</v>
      </c>
    </row>
    <row r="4181" spans="3:10" x14ac:dyDescent="0.25">
      <c r="C4181" s="300" t="s">
        <v>1060</v>
      </c>
      <c r="D4181" s="283" t="s">
        <v>1074</v>
      </c>
      <c r="E4181" s="283" t="s">
        <v>1089</v>
      </c>
      <c r="F4181" s="283" t="s">
        <v>1089</v>
      </c>
      <c r="G4181" s="283">
        <v>2</v>
      </c>
      <c r="H4181" s="283">
        <v>0</v>
      </c>
      <c r="I4181" s="283">
        <v>0</v>
      </c>
      <c r="J4181" s="284">
        <v>0</v>
      </c>
    </row>
    <row r="4182" spans="3:10" x14ac:dyDescent="0.25">
      <c r="C4182" s="300" t="s">
        <v>1064</v>
      </c>
      <c r="D4182" s="283" t="s">
        <v>1079</v>
      </c>
      <c r="E4182" s="283" t="s">
        <v>1089</v>
      </c>
      <c r="F4182" s="283" t="s">
        <v>1083</v>
      </c>
      <c r="G4182" s="283">
        <v>2</v>
      </c>
      <c r="H4182" s="283">
        <v>0</v>
      </c>
      <c r="I4182" s="283">
        <v>0</v>
      </c>
      <c r="J4182" s="284">
        <v>0</v>
      </c>
    </row>
    <row r="4183" spans="3:10" x14ac:dyDescent="0.25">
      <c r="C4183" s="300" t="s">
        <v>1066</v>
      </c>
      <c r="D4183" s="283" t="s">
        <v>1079</v>
      </c>
      <c r="E4183" s="283" t="s">
        <v>1089</v>
      </c>
      <c r="F4183" s="283" t="s">
        <v>1089</v>
      </c>
      <c r="G4183" s="283">
        <v>2</v>
      </c>
      <c r="H4183" s="283">
        <v>0</v>
      </c>
      <c r="I4183" s="283">
        <v>0</v>
      </c>
      <c r="J4183" s="284">
        <v>1</v>
      </c>
    </row>
    <row r="4184" spans="3:10" x14ac:dyDescent="0.25">
      <c r="C4184" s="300" t="s">
        <v>1057</v>
      </c>
      <c r="D4184" s="283" t="s">
        <v>1077</v>
      </c>
      <c r="E4184" s="283" t="s">
        <v>1086</v>
      </c>
      <c r="F4184" s="283" t="s">
        <v>1075</v>
      </c>
      <c r="G4184" s="283">
        <v>2</v>
      </c>
      <c r="H4184" s="283">
        <v>0</v>
      </c>
      <c r="I4184" s="283">
        <v>0</v>
      </c>
      <c r="J4184" s="284">
        <v>0</v>
      </c>
    </row>
    <row r="4185" spans="3:10" x14ac:dyDescent="0.25">
      <c r="C4185" s="300" t="s">
        <v>1067</v>
      </c>
      <c r="D4185" s="283" t="s">
        <v>1079</v>
      </c>
      <c r="E4185" s="283" t="s">
        <v>1081</v>
      </c>
      <c r="F4185" s="283" t="s">
        <v>1086</v>
      </c>
      <c r="G4185" s="283">
        <v>3</v>
      </c>
      <c r="H4185" s="283">
        <v>0</v>
      </c>
      <c r="I4185" s="283">
        <v>0</v>
      </c>
      <c r="J4185" s="284">
        <v>1</v>
      </c>
    </row>
    <row r="4186" spans="3:10" x14ac:dyDescent="0.25">
      <c r="C4186" s="300" t="s">
        <v>1066</v>
      </c>
      <c r="D4186" s="283" t="s">
        <v>1074</v>
      </c>
      <c r="E4186" s="283" t="s">
        <v>1089</v>
      </c>
      <c r="F4186" s="283" t="s">
        <v>1083</v>
      </c>
      <c r="G4186" s="283">
        <v>2</v>
      </c>
      <c r="H4186" s="283">
        <v>0</v>
      </c>
      <c r="I4186" s="283">
        <v>0</v>
      </c>
      <c r="J4186" s="284">
        <v>1</v>
      </c>
    </row>
    <row r="4187" spans="3:10" x14ac:dyDescent="0.25">
      <c r="C4187" s="300" t="s">
        <v>1060</v>
      </c>
      <c r="D4187" s="283" t="s">
        <v>1077</v>
      </c>
      <c r="E4187" s="283" t="s">
        <v>1075</v>
      </c>
      <c r="F4187" s="283" t="s">
        <v>1078</v>
      </c>
      <c r="G4187" s="283">
        <v>2</v>
      </c>
      <c r="H4187" s="283">
        <v>0</v>
      </c>
      <c r="I4187" s="283">
        <v>0</v>
      </c>
      <c r="J4187" s="284">
        <v>0</v>
      </c>
    </row>
    <row r="4188" spans="3:10" x14ac:dyDescent="0.25">
      <c r="C4188" s="300" t="s">
        <v>1062</v>
      </c>
      <c r="D4188" s="283" t="s">
        <v>1043</v>
      </c>
      <c r="E4188" s="283" t="s">
        <v>1084</v>
      </c>
      <c r="F4188" s="283" t="s">
        <v>1092</v>
      </c>
      <c r="G4188" s="283">
        <v>2</v>
      </c>
      <c r="H4188" s="283">
        <v>0</v>
      </c>
      <c r="I4188" s="283">
        <v>0</v>
      </c>
      <c r="J4188" s="284">
        <v>0</v>
      </c>
    </row>
    <row r="4189" spans="3:10" x14ac:dyDescent="0.25">
      <c r="C4189" s="300" t="s">
        <v>1067</v>
      </c>
      <c r="D4189" s="283" t="s">
        <v>1077</v>
      </c>
      <c r="E4189" s="283" t="s">
        <v>1075</v>
      </c>
      <c r="F4189" s="283" t="s">
        <v>1089</v>
      </c>
      <c r="G4189" s="283">
        <v>2</v>
      </c>
      <c r="H4189" s="283">
        <v>0</v>
      </c>
      <c r="I4189" s="283">
        <v>0</v>
      </c>
      <c r="J4189" s="284">
        <v>1</v>
      </c>
    </row>
    <row r="4190" spans="3:10" x14ac:dyDescent="0.25">
      <c r="C4190" s="300" t="s">
        <v>1061</v>
      </c>
      <c r="D4190" s="283" t="s">
        <v>1074</v>
      </c>
      <c r="E4190" s="283" t="s">
        <v>1076</v>
      </c>
      <c r="F4190" s="283" t="s">
        <v>1075</v>
      </c>
      <c r="G4190" s="283">
        <v>3</v>
      </c>
      <c r="H4190" s="283">
        <v>0</v>
      </c>
      <c r="I4190" s="283">
        <v>1</v>
      </c>
      <c r="J4190" s="284">
        <v>1</v>
      </c>
    </row>
    <row r="4191" spans="3:10" x14ac:dyDescent="0.25">
      <c r="C4191" s="300" t="s">
        <v>1068</v>
      </c>
      <c r="D4191" s="283" t="s">
        <v>1079</v>
      </c>
      <c r="E4191" s="283" t="s">
        <v>1086</v>
      </c>
      <c r="F4191" s="283" t="s">
        <v>1075</v>
      </c>
      <c r="G4191" s="283">
        <v>2</v>
      </c>
      <c r="H4191" s="283">
        <v>0</v>
      </c>
      <c r="I4191" s="283">
        <v>0</v>
      </c>
      <c r="J4191" s="284">
        <v>0</v>
      </c>
    </row>
    <row r="4192" spans="3:10" x14ac:dyDescent="0.25">
      <c r="C4192" s="300" t="s">
        <v>1060</v>
      </c>
      <c r="D4192" s="283" t="s">
        <v>1074</v>
      </c>
      <c r="E4192" s="283" t="s">
        <v>1084</v>
      </c>
      <c r="F4192" s="283" t="s">
        <v>1089</v>
      </c>
      <c r="G4192" s="283">
        <v>2</v>
      </c>
      <c r="H4192" s="283">
        <v>0</v>
      </c>
      <c r="I4192" s="283">
        <v>1</v>
      </c>
      <c r="J4192" s="284">
        <v>1</v>
      </c>
    </row>
    <row r="4193" spans="3:10" x14ac:dyDescent="0.25">
      <c r="C4193" s="300" t="s">
        <v>1066</v>
      </c>
      <c r="D4193" s="283" t="s">
        <v>1087</v>
      </c>
      <c r="E4193" s="283" t="s">
        <v>1083</v>
      </c>
      <c r="F4193" s="283" t="s">
        <v>524</v>
      </c>
      <c r="G4193" s="283">
        <v>1</v>
      </c>
      <c r="H4193" s="283">
        <v>0</v>
      </c>
      <c r="I4193" s="283">
        <v>1</v>
      </c>
      <c r="J4193" s="284">
        <v>0</v>
      </c>
    </row>
    <row r="4194" spans="3:10" x14ac:dyDescent="0.25">
      <c r="C4194" s="300" t="s">
        <v>1065</v>
      </c>
      <c r="D4194" s="283" t="s">
        <v>1077</v>
      </c>
      <c r="E4194" s="283" t="s">
        <v>1075</v>
      </c>
      <c r="F4194" s="283" t="s">
        <v>1075</v>
      </c>
      <c r="G4194" s="283">
        <v>2</v>
      </c>
      <c r="H4194" s="283">
        <v>0</v>
      </c>
      <c r="I4194" s="283">
        <v>0</v>
      </c>
      <c r="J4194" s="284">
        <v>1</v>
      </c>
    </row>
    <row r="4195" spans="3:10" x14ac:dyDescent="0.25">
      <c r="C4195" s="300" t="s">
        <v>1062</v>
      </c>
      <c r="D4195" s="283" t="s">
        <v>1074</v>
      </c>
      <c r="E4195" s="283" t="s">
        <v>1080</v>
      </c>
      <c r="F4195" s="283" t="s">
        <v>1089</v>
      </c>
      <c r="G4195" s="283">
        <v>2</v>
      </c>
      <c r="H4195" s="283">
        <v>0</v>
      </c>
      <c r="I4195" s="283">
        <v>1</v>
      </c>
      <c r="J4195" s="284">
        <v>0</v>
      </c>
    </row>
    <row r="4196" spans="3:10" x14ac:dyDescent="0.25">
      <c r="C4196" s="300" t="s">
        <v>1066</v>
      </c>
      <c r="D4196" s="283" t="s">
        <v>1074</v>
      </c>
      <c r="E4196" s="283" t="s">
        <v>1076</v>
      </c>
      <c r="F4196" s="283" t="s">
        <v>1075</v>
      </c>
      <c r="G4196" s="283">
        <v>2</v>
      </c>
      <c r="H4196" s="283">
        <v>0</v>
      </c>
      <c r="I4196" s="283">
        <v>0</v>
      </c>
      <c r="J4196" s="284">
        <v>0</v>
      </c>
    </row>
    <row r="4197" spans="3:10" x14ac:dyDescent="0.25">
      <c r="C4197" s="300" t="s">
        <v>1067</v>
      </c>
      <c r="D4197" s="283" t="s">
        <v>1087</v>
      </c>
      <c r="E4197" s="283" t="s">
        <v>1075</v>
      </c>
      <c r="F4197" s="283" t="s">
        <v>524</v>
      </c>
      <c r="G4197" s="283">
        <v>1</v>
      </c>
      <c r="H4197" s="283">
        <v>0</v>
      </c>
      <c r="I4197" s="283">
        <v>0</v>
      </c>
      <c r="J4197" s="284">
        <v>1</v>
      </c>
    </row>
    <row r="4198" spans="3:10" x14ac:dyDescent="0.25">
      <c r="C4198" s="300" t="s">
        <v>1062</v>
      </c>
      <c r="D4198" s="283" t="s">
        <v>1074</v>
      </c>
      <c r="E4198" s="283" t="s">
        <v>1075</v>
      </c>
      <c r="F4198" s="283" t="s">
        <v>1102</v>
      </c>
      <c r="G4198" s="283">
        <v>2</v>
      </c>
      <c r="H4198" s="283">
        <v>0</v>
      </c>
      <c r="I4198" s="283">
        <v>0</v>
      </c>
      <c r="J4198" s="284">
        <v>0</v>
      </c>
    </row>
    <row r="4199" spans="3:10" x14ac:dyDescent="0.25">
      <c r="C4199" s="300" t="s">
        <v>1061</v>
      </c>
      <c r="D4199" s="283" t="s">
        <v>1079</v>
      </c>
      <c r="E4199" s="283" t="s">
        <v>1080</v>
      </c>
      <c r="F4199" s="283" t="s">
        <v>1075</v>
      </c>
      <c r="G4199" s="283">
        <v>3</v>
      </c>
      <c r="H4199" s="283">
        <v>0</v>
      </c>
      <c r="I4199" s="283">
        <v>0</v>
      </c>
      <c r="J4199" s="284">
        <v>0</v>
      </c>
    </row>
    <row r="4200" spans="3:10" x14ac:dyDescent="0.25">
      <c r="C4200" s="300" t="s">
        <v>1062</v>
      </c>
      <c r="D4200" s="283" t="s">
        <v>1079</v>
      </c>
      <c r="E4200" s="283" t="s">
        <v>1075</v>
      </c>
      <c r="F4200" s="283" t="s">
        <v>1089</v>
      </c>
      <c r="G4200" s="283">
        <v>2</v>
      </c>
      <c r="H4200" s="283">
        <v>0</v>
      </c>
      <c r="I4200" s="283">
        <v>1</v>
      </c>
      <c r="J4200" s="284">
        <v>0</v>
      </c>
    </row>
    <row r="4201" spans="3:10" x14ac:dyDescent="0.25">
      <c r="C4201" s="300" t="s">
        <v>1066</v>
      </c>
      <c r="D4201" s="283" t="s">
        <v>1074</v>
      </c>
      <c r="E4201" s="283" t="s">
        <v>1081</v>
      </c>
      <c r="F4201" s="283" t="s">
        <v>1084</v>
      </c>
      <c r="G4201" s="283">
        <v>2</v>
      </c>
      <c r="H4201" s="283">
        <v>0</v>
      </c>
      <c r="I4201" s="283">
        <v>0</v>
      </c>
      <c r="J4201" s="284">
        <v>2</v>
      </c>
    </row>
    <row r="4202" spans="3:10" x14ac:dyDescent="0.25">
      <c r="C4202" s="300" t="s">
        <v>1066</v>
      </c>
      <c r="D4202" s="283" t="s">
        <v>1087</v>
      </c>
      <c r="E4202" s="283" t="s">
        <v>1076</v>
      </c>
      <c r="F4202" s="283" t="s">
        <v>524</v>
      </c>
      <c r="G4202" s="283">
        <v>1</v>
      </c>
      <c r="H4202" s="283">
        <v>0</v>
      </c>
      <c r="I4202" s="283">
        <v>0</v>
      </c>
      <c r="J4202" s="284">
        <v>0</v>
      </c>
    </row>
    <row r="4203" spans="3:10" x14ac:dyDescent="0.25">
      <c r="C4203" s="300" t="s">
        <v>1057</v>
      </c>
      <c r="D4203" s="283" t="s">
        <v>1087</v>
      </c>
      <c r="E4203" s="283" t="s">
        <v>1076</v>
      </c>
      <c r="F4203" s="283" t="s">
        <v>524</v>
      </c>
      <c r="G4203" s="283">
        <v>1</v>
      </c>
      <c r="H4203" s="283">
        <v>0</v>
      </c>
      <c r="I4203" s="283">
        <v>0</v>
      </c>
      <c r="J4203" s="284">
        <v>0</v>
      </c>
    </row>
    <row r="4204" spans="3:10" x14ac:dyDescent="0.25">
      <c r="C4204" s="300" t="s">
        <v>1060</v>
      </c>
      <c r="D4204" s="283" t="s">
        <v>1077</v>
      </c>
      <c r="E4204" s="283" t="s">
        <v>1076</v>
      </c>
      <c r="F4204" s="283" t="s">
        <v>1089</v>
      </c>
      <c r="G4204" s="283">
        <v>3</v>
      </c>
      <c r="H4204" s="283">
        <v>0</v>
      </c>
      <c r="I4204" s="283">
        <v>0</v>
      </c>
      <c r="J4204" s="284">
        <v>1</v>
      </c>
    </row>
    <row r="4205" spans="3:10" x14ac:dyDescent="0.25">
      <c r="C4205" s="300" t="s">
        <v>1059</v>
      </c>
      <c r="D4205" s="283" t="s">
        <v>1079</v>
      </c>
      <c r="E4205" s="283" t="s">
        <v>1075</v>
      </c>
      <c r="F4205" s="283" t="s">
        <v>1075</v>
      </c>
      <c r="G4205" s="283">
        <v>3</v>
      </c>
      <c r="H4205" s="283">
        <v>0</v>
      </c>
      <c r="I4205" s="283">
        <v>0</v>
      </c>
      <c r="J4205" s="284">
        <v>0</v>
      </c>
    </row>
    <row r="4206" spans="3:10" x14ac:dyDescent="0.25">
      <c r="C4206" s="300" t="s">
        <v>1061</v>
      </c>
      <c r="D4206" s="283" t="s">
        <v>1074</v>
      </c>
      <c r="E4206" s="283" t="s">
        <v>1075</v>
      </c>
      <c r="F4206" s="283" t="s">
        <v>1093</v>
      </c>
      <c r="G4206" s="283">
        <v>2</v>
      </c>
      <c r="H4206" s="283">
        <v>0</v>
      </c>
      <c r="I4206" s="283">
        <v>1</v>
      </c>
      <c r="J4206" s="284">
        <v>1</v>
      </c>
    </row>
    <row r="4207" spans="3:10" x14ac:dyDescent="0.25">
      <c r="C4207" s="300" t="s">
        <v>1062</v>
      </c>
      <c r="D4207" s="283" t="s">
        <v>1043</v>
      </c>
      <c r="E4207" s="283" t="s">
        <v>1075</v>
      </c>
      <c r="F4207" s="283" t="s">
        <v>1092</v>
      </c>
      <c r="G4207" s="283">
        <v>2</v>
      </c>
      <c r="H4207" s="283">
        <v>0</v>
      </c>
      <c r="I4207" s="283">
        <v>1</v>
      </c>
      <c r="J4207" s="284">
        <v>0</v>
      </c>
    </row>
    <row r="4208" spans="3:10" x14ac:dyDescent="0.25">
      <c r="C4208" s="300" t="s">
        <v>1057</v>
      </c>
      <c r="D4208" s="283" t="s">
        <v>1087</v>
      </c>
      <c r="E4208" s="283" t="s">
        <v>1089</v>
      </c>
      <c r="F4208" s="283" t="s">
        <v>524</v>
      </c>
      <c r="G4208" s="283">
        <v>1</v>
      </c>
      <c r="H4208" s="283">
        <v>0</v>
      </c>
      <c r="I4208" s="283">
        <v>0</v>
      </c>
      <c r="J4208" s="284">
        <v>0</v>
      </c>
    </row>
    <row r="4209" spans="3:10" x14ac:dyDescent="0.25">
      <c r="C4209" s="300" t="s">
        <v>1060</v>
      </c>
      <c r="D4209" s="283" t="s">
        <v>1077</v>
      </c>
      <c r="E4209" s="283" t="s">
        <v>1086</v>
      </c>
      <c r="F4209" s="283" t="s">
        <v>1076</v>
      </c>
      <c r="G4209" s="283">
        <v>3</v>
      </c>
      <c r="H4209" s="283">
        <v>0</v>
      </c>
      <c r="I4209" s="283">
        <v>0</v>
      </c>
      <c r="J4209" s="284">
        <v>1</v>
      </c>
    </row>
    <row r="4210" spans="3:10" x14ac:dyDescent="0.25">
      <c r="C4210" s="300" t="s">
        <v>1061</v>
      </c>
      <c r="D4210" s="283" t="s">
        <v>1043</v>
      </c>
      <c r="E4210" s="283" t="s">
        <v>1086</v>
      </c>
      <c r="F4210" s="283" t="s">
        <v>1092</v>
      </c>
      <c r="G4210" s="283">
        <v>2</v>
      </c>
      <c r="H4210" s="283">
        <v>0</v>
      </c>
      <c r="I4210" s="283">
        <v>0</v>
      </c>
      <c r="J4210" s="284">
        <v>1</v>
      </c>
    </row>
    <row r="4211" spans="3:10" x14ac:dyDescent="0.25">
      <c r="C4211" s="300" t="s">
        <v>1061</v>
      </c>
      <c r="D4211" s="283" t="s">
        <v>1079</v>
      </c>
      <c r="E4211" s="283" t="s">
        <v>1086</v>
      </c>
      <c r="F4211" s="283" t="s">
        <v>1076</v>
      </c>
      <c r="G4211" s="283">
        <v>3</v>
      </c>
      <c r="H4211" s="283">
        <v>0</v>
      </c>
      <c r="I4211" s="283">
        <v>0</v>
      </c>
      <c r="J4211" s="284">
        <v>0</v>
      </c>
    </row>
    <row r="4212" spans="3:10" x14ac:dyDescent="0.25">
      <c r="C4212" s="300" t="s">
        <v>1063</v>
      </c>
      <c r="D4212" s="283" t="s">
        <v>1082</v>
      </c>
      <c r="E4212" s="283" t="s">
        <v>1089</v>
      </c>
      <c r="F4212" s="283" t="s">
        <v>1075</v>
      </c>
      <c r="G4212" s="283">
        <v>4</v>
      </c>
      <c r="H4212" s="283">
        <v>0</v>
      </c>
      <c r="I4212" s="283">
        <v>0</v>
      </c>
      <c r="J4212" s="284">
        <v>1</v>
      </c>
    </row>
    <row r="4213" spans="3:10" x14ac:dyDescent="0.25">
      <c r="C4213" s="300" t="s">
        <v>1061</v>
      </c>
      <c r="D4213" s="283" t="s">
        <v>1079</v>
      </c>
      <c r="E4213" s="283" t="s">
        <v>1075</v>
      </c>
      <c r="F4213" s="283" t="s">
        <v>1075</v>
      </c>
      <c r="G4213" s="283">
        <v>2</v>
      </c>
      <c r="H4213" s="283">
        <v>0</v>
      </c>
      <c r="I4213" s="283">
        <v>0</v>
      </c>
      <c r="J4213" s="284">
        <v>0</v>
      </c>
    </row>
    <row r="4214" spans="3:10" x14ac:dyDescent="0.25">
      <c r="C4214" s="300" t="s">
        <v>1062</v>
      </c>
      <c r="D4214" s="283" t="s">
        <v>1087</v>
      </c>
      <c r="E4214" s="283" t="s">
        <v>1083</v>
      </c>
      <c r="F4214" s="283" t="s">
        <v>524</v>
      </c>
      <c r="G4214" s="283">
        <v>1</v>
      </c>
      <c r="H4214" s="283">
        <v>0</v>
      </c>
      <c r="I4214" s="283">
        <v>1</v>
      </c>
      <c r="J4214" s="284">
        <v>0</v>
      </c>
    </row>
    <row r="4215" spans="3:10" x14ac:dyDescent="0.25">
      <c r="C4215" s="300" t="s">
        <v>1063</v>
      </c>
      <c r="D4215" s="283" t="s">
        <v>1079</v>
      </c>
      <c r="E4215" s="283" t="s">
        <v>1075</v>
      </c>
      <c r="F4215" s="283" t="s">
        <v>1089</v>
      </c>
      <c r="G4215" s="283">
        <v>2</v>
      </c>
      <c r="H4215" s="283">
        <v>0</v>
      </c>
      <c r="I4215" s="283">
        <v>0</v>
      </c>
      <c r="J4215" s="284">
        <v>0</v>
      </c>
    </row>
    <row r="4216" spans="3:10" x14ac:dyDescent="0.25">
      <c r="C4216" s="300" t="s">
        <v>1065</v>
      </c>
      <c r="D4216" s="283" t="s">
        <v>1074</v>
      </c>
      <c r="E4216" s="283" t="s">
        <v>1084</v>
      </c>
      <c r="F4216" s="283" t="s">
        <v>1093</v>
      </c>
      <c r="G4216" s="283">
        <v>2</v>
      </c>
      <c r="H4216" s="283">
        <v>0</v>
      </c>
      <c r="I4216" s="283">
        <v>0</v>
      </c>
      <c r="J4216" s="284">
        <v>1</v>
      </c>
    </row>
    <row r="4217" spans="3:10" x14ac:dyDescent="0.25">
      <c r="C4217" s="300" t="s">
        <v>1063</v>
      </c>
      <c r="D4217" s="283" t="s">
        <v>1079</v>
      </c>
      <c r="E4217" s="283" t="s">
        <v>1075</v>
      </c>
      <c r="F4217" s="283" t="s">
        <v>1076</v>
      </c>
      <c r="G4217" s="283">
        <v>2</v>
      </c>
      <c r="H4217" s="283">
        <v>0</v>
      </c>
      <c r="I4217" s="283">
        <v>0</v>
      </c>
      <c r="J4217" s="284">
        <v>0</v>
      </c>
    </row>
    <row r="4218" spans="3:10" x14ac:dyDescent="0.25">
      <c r="C4218" s="300" t="s">
        <v>1065</v>
      </c>
      <c r="D4218" s="283" t="s">
        <v>1087</v>
      </c>
      <c r="E4218" s="283" t="s">
        <v>1089</v>
      </c>
      <c r="F4218" s="283" t="s">
        <v>524</v>
      </c>
      <c r="G4218" s="283">
        <v>1</v>
      </c>
      <c r="H4218" s="283">
        <v>0</v>
      </c>
      <c r="I4218" s="283">
        <v>1</v>
      </c>
      <c r="J4218" s="284">
        <v>0</v>
      </c>
    </row>
    <row r="4219" spans="3:10" x14ac:dyDescent="0.25">
      <c r="C4219" s="300" t="s">
        <v>1063</v>
      </c>
      <c r="D4219" s="283" t="s">
        <v>1077</v>
      </c>
      <c r="E4219" s="283" t="s">
        <v>1075</v>
      </c>
      <c r="F4219" s="283" t="s">
        <v>1084</v>
      </c>
      <c r="G4219" s="283">
        <v>2</v>
      </c>
      <c r="H4219" s="283">
        <v>0</v>
      </c>
      <c r="I4219" s="283">
        <v>1</v>
      </c>
      <c r="J4219" s="284">
        <v>0</v>
      </c>
    </row>
    <row r="4220" spans="3:10" x14ac:dyDescent="0.25">
      <c r="C4220" s="300" t="s">
        <v>1064</v>
      </c>
      <c r="D4220" s="283" t="s">
        <v>1087</v>
      </c>
      <c r="E4220" s="283" t="s">
        <v>1089</v>
      </c>
      <c r="F4220" s="283" t="s">
        <v>524</v>
      </c>
      <c r="G4220" s="283">
        <v>1</v>
      </c>
      <c r="H4220" s="283">
        <v>0</v>
      </c>
      <c r="I4220" s="283">
        <v>1</v>
      </c>
      <c r="J4220" s="284">
        <v>0</v>
      </c>
    </row>
    <row r="4221" spans="3:10" x14ac:dyDescent="0.25">
      <c r="C4221" s="300" t="s">
        <v>1065</v>
      </c>
      <c r="D4221" s="283" t="s">
        <v>1077</v>
      </c>
      <c r="E4221" s="283" t="s">
        <v>1076</v>
      </c>
      <c r="F4221" s="283" t="s">
        <v>1075</v>
      </c>
      <c r="G4221" s="283">
        <v>2</v>
      </c>
      <c r="H4221" s="283">
        <v>0</v>
      </c>
      <c r="I4221" s="283">
        <v>0</v>
      </c>
      <c r="J4221" s="284">
        <v>0</v>
      </c>
    </row>
    <row r="4222" spans="3:10" x14ac:dyDescent="0.25">
      <c r="C4222" s="300" t="s">
        <v>1062</v>
      </c>
      <c r="D4222" s="283" t="s">
        <v>1106</v>
      </c>
      <c r="E4222" s="283" t="s">
        <v>1075</v>
      </c>
      <c r="F4222" s="283" t="s">
        <v>524</v>
      </c>
      <c r="G4222" s="283">
        <v>1</v>
      </c>
      <c r="H4222" s="283">
        <v>0</v>
      </c>
      <c r="I4222" s="283">
        <v>1</v>
      </c>
      <c r="J4222" s="284">
        <v>0</v>
      </c>
    </row>
    <row r="4223" spans="3:10" x14ac:dyDescent="0.25">
      <c r="C4223" s="300" t="s">
        <v>1057</v>
      </c>
      <c r="D4223" s="283" t="s">
        <v>1087</v>
      </c>
      <c r="E4223" s="283" t="s">
        <v>1083</v>
      </c>
      <c r="F4223" s="283" t="s">
        <v>524</v>
      </c>
      <c r="G4223" s="283">
        <v>1</v>
      </c>
      <c r="H4223" s="283">
        <v>1</v>
      </c>
      <c r="I4223" s="283">
        <v>0</v>
      </c>
      <c r="J4223" s="284">
        <v>0</v>
      </c>
    </row>
    <row r="4224" spans="3:10" x14ac:dyDescent="0.25">
      <c r="C4224" s="300" t="s">
        <v>1064</v>
      </c>
      <c r="D4224" s="283" t="s">
        <v>1074</v>
      </c>
      <c r="E4224" s="283" t="s">
        <v>1075</v>
      </c>
      <c r="F4224" s="283" t="s">
        <v>1075</v>
      </c>
      <c r="G4224" s="283">
        <v>2</v>
      </c>
      <c r="H4224" s="283">
        <v>0</v>
      </c>
      <c r="I4224" s="283">
        <v>0</v>
      </c>
      <c r="J4224" s="284">
        <v>2</v>
      </c>
    </row>
    <row r="4225" spans="3:10" x14ac:dyDescent="0.25">
      <c r="C4225" s="300" t="s">
        <v>1065</v>
      </c>
      <c r="D4225" s="283" t="s">
        <v>1074</v>
      </c>
      <c r="E4225" s="283" t="s">
        <v>1075</v>
      </c>
      <c r="F4225" s="283" t="s">
        <v>1089</v>
      </c>
      <c r="G4225" s="283">
        <v>2</v>
      </c>
      <c r="H4225" s="283">
        <v>0</v>
      </c>
      <c r="I4225" s="283">
        <v>0</v>
      </c>
      <c r="J4225" s="284">
        <v>0</v>
      </c>
    </row>
    <row r="4226" spans="3:10" x14ac:dyDescent="0.25">
      <c r="C4226" s="300" t="s">
        <v>1060</v>
      </c>
      <c r="D4226" s="283" t="s">
        <v>1077</v>
      </c>
      <c r="E4226" s="283" t="s">
        <v>1084</v>
      </c>
      <c r="F4226" s="283" t="s">
        <v>1078</v>
      </c>
      <c r="G4226" s="283">
        <v>2</v>
      </c>
      <c r="H4226" s="283">
        <v>0</v>
      </c>
      <c r="I4226" s="283">
        <v>0</v>
      </c>
      <c r="J4226" s="284">
        <v>0</v>
      </c>
    </row>
    <row r="4227" spans="3:10" x14ac:dyDescent="0.25">
      <c r="C4227" s="300" t="s">
        <v>1057</v>
      </c>
      <c r="D4227" s="283" t="s">
        <v>1087</v>
      </c>
      <c r="E4227" s="283" t="s">
        <v>1076</v>
      </c>
      <c r="F4227" s="283" t="s">
        <v>524</v>
      </c>
      <c r="G4227" s="283">
        <v>1</v>
      </c>
      <c r="H4227" s="283">
        <v>0</v>
      </c>
      <c r="I4227" s="283">
        <v>0</v>
      </c>
      <c r="J4227" s="284">
        <v>1</v>
      </c>
    </row>
    <row r="4228" spans="3:10" x14ac:dyDescent="0.25">
      <c r="C4228" s="300" t="s">
        <v>1063</v>
      </c>
      <c r="D4228" s="283" t="s">
        <v>1074</v>
      </c>
      <c r="E4228" s="283" t="s">
        <v>1078</v>
      </c>
      <c r="F4228" s="283" t="s">
        <v>1075</v>
      </c>
      <c r="G4228" s="283">
        <v>2</v>
      </c>
      <c r="H4228" s="283">
        <v>0</v>
      </c>
      <c r="I4228" s="283">
        <v>0</v>
      </c>
      <c r="J4228" s="284">
        <v>0</v>
      </c>
    </row>
    <row r="4229" spans="3:10" x14ac:dyDescent="0.25">
      <c r="C4229" s="300" t="s">
        <v>1062</v>
      </c>
      <c r="D4229" s="283" t="s">
        <v>1082</v>
      </c>
      <c r="E4229" s="283" t="s">
        <v>1089</v>
      </c>
      <c r="F4229" s="283" t="s">
        <v>1075</v>
      </c>
      <c r="G4229" s="283">
        <v>2</v>
      </c>
      <c r="H4229" s="283">
        <v>0</v>
      </c>
      <c r="I4229" s="283">
        <v>2</v>
      </c>
      <c r="J4229" s="284">
        <v>0</v>
      </c>
    </row>
    <row r="4230" spans="3:10" x14ac:dyDescent="0.25">
      <c r="C4230" s="300" t="s">
        <v>1064</v>
      </c>
      <c r="D4230" s="283" t="s">
        <v>1090</v>
      </c>
      <c r="E4230" s="283" t="s">
        <v>1083</v>
      </c>
      <c r="F4230" s="283" t="s">
        <v>524</v>
      </c>
      <c r="G4230" s="283">
        <v>1</v>
      </c>
      <c r="H4230" s="283">
        <v>0</v>
      </c>
      <c r="I4230" s="283">
        <v>1</v>
      </c>
      <c r="J4230" s="284">
        <v>0</v>
      </c>
    </row>
    <row r="4231" spans="3:10" x14ac:dyDescent="0.25">
      <c r="C4231" s="300" t="s">
        <v>1065</v>
      </c>
      <c r="D4231" s="283" t="s">
        <v>1077</v>
      </c>
      <c r="E4231" s="283" t="s">
        <v>1083</v>
      </c>
      <c r="F4231" s="283" t="s">
        <v>1075</v>
      </c>
      <c r="G4231" s="283">
        <v>2</v>
      </c>
      <c r="H4231" s="283">
        <v>0</v>
      </c>
      <c r="I4231" s="283">
        <v>0</v>
      </c>
      <c r="J4231" s="284">
        <v>0</v>
      </c>
    </row>
    <row r="4232" spans="3:10" x14ac:dyDescent="0.25">
      <c r="C4232" s="300" t="s">
        <v>1063</v>
      </c>
      <c r="D4232" s="283" t="s">
        <v>1082</v>
      </c>
      <c r="E4232" s="283" t="s">
        <v>1084</v>
      </c>
      <c r="F4232" s="283" t="s">
        <v>1084</v>
      </c>
      <c r="G4232" s="283">
        <v>2</v>
      </c>
      <c r="H4232" s="283">
        <v>0</v>
      </c>
      <c r="I4232" s="283">
        <v>2</v>
      </c>
      <c r="J4232" s="284">
        <v>0</v>
      </c>
    </row>
    <row r="4233" spans="3:10" x14ac:dyDescent="0.25">
      <c r="C4233" s="300" t="s">
        <v>1066</v>
      </c>
      <c r="D4233" s="283" t="s">
        <v>1087</v>
      </c>
      <c r="E4233" s="283" t="s">
        <v>1075</v>
      </c>
      <c r="F4233" s="283" t="s">
        <v>524</v>
      </c>
      <c r="G4233" s="283">
        <v>1</v>
      </c>
      <c r="H4233" s="283">
        <v>0</v>
      </c>
      <c r="I4233" s="283">
        <v>0</v>
      </c>
      <c r="J4233" s="284">
        <v>0</v>
      </c>
    </row>
    <row r="4234" spans="3:10" x14ac:dyDescent="0.25">
      <c r="C4234" s="300" t="s">
        <v>1062</v>
      </c>
      <c r="D4234" s="283" t="s">
        <v>1043</v>
      </c>
      <c r="E4234" s="283" t="s">
        <v>1075</v>
      </c>
      <c r="F4234" s="283" t="s">
        <v>1092</v>
      </c>
      <c r="G4234" s="283">
        <v>2</v>
      </c>
      <c r="H4234" s="283">
        <v>0</v>
      </c>
      <c r="I4234" s="283">
        <v>0</v>
      </c>
      <c r="J4234" s="284">
        <v>0</v>
      </c>
    </row>
    <row r="4235" spans="3:10" x14ac:dyDescent="0.25">
      <c r="C4235" s="300" t="s">
        <v>1063</v>
      </c>
      <c r="D4235" s="283" t="s">
        <v>1079</v>
      </c>
      <c r="E4235" s="283" t="s">
        <v>1076</v>
      </c>
      <c r="F4235" s="283" t="s">
        <v>1112</v>
      </c>
      <c r="G4235" s="283">
        <v>2</v>
      </c>
      <c r="H4235" s="283">
        <v>0</v>
      </c>
      <c r="I4235" s="283">
        <v>0</v>
      </c>
      <c r="J4235" s="284">
        <v>0</v>
      </c>
    </row>
    <row r="4236" spans="3:10" x14ac:dyDescent="0.25">
      <c r="C4236" s="300" t="s">
        <v>1064</v>
      </c>
      <c r="D4236" s="283" t="s">
        <v>1106</v>
      </c>
      <c r="E4236" s="283" t="s">
        <v>1086</v>
      </c>
      <c r="F4236" s="283" t="s">
        <v>524</v>
      </c>
      <c r="G4236" s="283">
        <v>1</v>
      </c>
      <c r="H4236" s="283">
        <v>0</v>
      </c>
      <c r="I4236" s="283">
        <v>0</v>
      </c>
      <c r="J4236" s="284">
        <v>0</v>
      </c>
    </row>
    <row r="4237" spans="3:10" x14ac:dyDescent="0.25">
      <c r="C4237" s="300" t="s">
        <v>1061</v>
      </c>
      <c r="D4237" s="283" t="s">
        <v>1074</v>
      </c>
      <c r="E4237" s="283" t="s">
        <v>1075</v>
      </c>
      <c r="F4237" s="283" t="s">
        <v>1075</v>
      </c>
      <c r="G4237" s="283">
        <v>3</v>
      </c>
      <c r="H4237" s="283">
        <v>0</v>
      </c>
      <c r="I4237" s="283">
        <v>0</v>
      </c>
      <c r="J4237" s="284">
        <v>0</v>
      </c>
    </row>
    <row r="4238" spans="3:10" x14ac:dyDescent="0.25">
      <c r="C4238" s="300" t="s">
        <v>1064</v>
      </c>
      <c r="D4238" s="283" t="s">
        <v>1082</v>
      </c>
      <c r="E4238" s="283" t="s">
        <v>1089</v>
      </c>
      <c r="F4238" s="283" t="s">
        <v>1075</v>
      </c>
      <c r="G4238" s="283">
        <v>2</v>
      </c>
      <c r="H4238" s="283">
        <v>0</v>
      </c>
      <c r="I4238" s="283">
        <v>0</v>
      </c>
      <c r="J4238" s="284">
        <v>1</v>
      </c>
    </row>
    <row r="4239" spans="3:10" x14ac:dyDescent="0.25">
      <c r="C4239" s="300" t="s">
        <v>1068</v>
      </c>
      <c r="D4239" s="283" t="s">
        <v>1087</v>
      </c>
      <c r="E4239" s="283" t="s">
        <v>1078</v>
      </c>
      <c r="F4239" s="283" t="s">
        <v>524</v>
      </c>
      <c r="G4239" s="283">
        <v>1</v>
      </c>
      <c r="H4239" s="283">
        <v>0</v>
      </c>
      <c r="I4239" s="283">
        <v>0</v>
      </c>
      <c r="J4239" s="284">
        <v>0</v>
      </c>
    </row>
    <row r="4240" spans="3:10" x14ac:dyDescent="0.25">
      <c r="C4240" s="300" t="s">
        <v>1064</v>
      </c>
      <c r="D4240" s="283" t="s">
        <v>1074</v>
      </c>
      <c r="E4240" s="283" t="s">
        <v>1089</v>
      </c>
      <c r="F4240" s="283" t="s">
        <v>1044</v>
      </c>
      <c r="G4240" s="283">
        <v>2</v>
      </c>
      <c r="H4240" s="283">
        <v>0</v>
      </c>
      <c r="I4240" s="283">
        <v>0</v>
      </c>
      <c r="J4240" s="284">
        <v>1</v>
      </c>
    </row>
    <row r="4241" spans="3:10" x14ac:dyDescent="0.25">
      <c r="C4241" s="300" t="s">
        <v>1067</v>
      </c>
      <c r="D4241" s="283" t="s">
        <v>1079</v>
      </c>
      <c r="E4241" s="283" t="s">
        <v>1076</v>
      </c>
      <c r="F4241" s="283" t="s">
        <v>1075</v>
      </c>
      <c r="G4241" s="283">
        <v>2</v>
      </c>
      <c r="H4241" s="283">
        <v>0</v>
      </c>
      <c r="I4241" s="283">
        <v>0</v>
      </c>
      <c r="J4241" s="284">
        <v>0</v>
      </c>
    </row>
    <row r="4242" spans="3:10" x14ac:dyDescent="0.25">
      <c r="C4242" s="300" t="s">
        <v>1063</v>
      </c>
      <c r="D4242" s="283" t="s">
        <v>1079</v>
      </c>
      <c r="E4242" s="283" t="s">
        <v>1075</v>
      </c>
      <c r="F4242" s="283" t="s">
        <v>1084</v>
      </c>
      <c r="G4242" s="283">
        <v>2</v>
      </c>
      <c r="H4242" s="283">
        <v>0</v>
      </c>
      <c r="I4242" s="283">
        <v>0</v>
      </c>
      <c r="J4242" s="284">
        <v>0</v>
      </c>
    </row>
    <row r="4243" spans="3:10" x14ac:dyDescent="0.25">
      <c r="C4243" s="300" t="s">
        <v>1060</v>
      </c>
      <c r="D4243" s="283" t="s">
        <v>1074</v>
      </c>
      <c r="E4243" s="283" t="s">
        <v>1075</v>
      </c>
      <c r="F4243" s="283" t="s">
        <v>1044</v>
      </c>
      <c r="G4243" s="283">
        <v>3</v>
      </c>
      <c r="H4243" s="283">
        <v>0</v>
      </c>
      <c r="I4243" s="283">
        <v>0</v>
      </c>
      <c r="J4243" s="284">
        <v>0</v>
      </c>
    </row>
    <row r="4244" spans="3:10" x14ac:dyDescent="0.25">
      <c r="C4244" s="300" t="s">
        <v>1068</v>
      </c>
      <c r="D4244" s="283" t="s">
        <v>1087</v>
      </c>
      <c r="E4244" s="283" t="s">
        <v>1075</v>
      </c>
      <c r="F4244" s="283" t="s">
        <v>524</v>
      </c>
      <c r="G4244" s="283">
        <v>1</v>
      </c>
      <c r="H4244" s="283">
        <v>0</v>
      </c>
      <c r="I4244" s="283">
        <v>0</v>
      </c>
      <c r="J4244" s="284">
        <v>1</v>
      </c>
    </row>
    <row r="4245" spans="3:10" x14ac:dyDescent="0.25">
      <c r="C4245" s="300" t="s">
        <v>1064</v>
      </c>
      <c r="D4245" s="283" t="s">
        <v>1074</v>
      </c>
      <c r="E4245" s="283" t="s">
        <v>1089</v>
      </c>
      <c r="F4245" s="283" t="s">
        <v>1075</v>
      </c>
      <c r="G4245" s="283">
        <v>2</v>
      </c>
      <c r="H4245" s="283">
        <v>0</v>
      </c>
      <c r="I4245" s="283">
        <v>1</v>
      </c>
      <c r="J4245" s="284">
        <v>0</v>
      </c>
    </row>
    <row r="4246" spans="3:10" x14ac:dyDescent="0.25">
      <c r="C4246" s="300" t="s">
        <v>1059</v>
      </c>
      <c r="D4246" s="283" t="s">
        <v>1079</v>
      </c>
      <c r="E4246" s="283" t="s">
        <v>1075</v>
      </c>
      <c r="F4246" s="283" t="s">
        <v>1075</v>
      </c>
      <c r="G4246" s="283">
        <v>4</v>
      </c>
      <c r="H4246" s="283">
        <v>0</v>
      </c>
      <c r="I4246" s="283">
        <v>0</v>
      </c>
      <c r="J4246" s="284">
        <v>0</v>
      </c>
    </row>
    <row r="4247" spans="3:10" x14ac:dyDescent="0.25">
      <c r="C4247" s="300" t="s">
        <v>1064</v>
      </c>
      <c r="D4247" s="283" t="s">
        <v>1077</v>
      </c>
      <c r="E4247" s="283" t="s">
        <v>1075</v>
      </c>
      <c r="F4247" s="283" t="s">
        <v>1075</v>
      </c>
      <c r="G4247" s="283">
        <v>2</v>
      </c>
      <c r="H4247" s="283">
        <v>0</v>
      </c>
      <c r="I4247" s="283">
        <v>0</v>
      </c>
      <c r="J4247" s="284">
        <v>0</v>
      </c>
    </row>
    <row r="4248" spans="3:10" x14ac:dyDescent="0.25">
      <c r="C4248" s="300" t="s">
        <v>1062</v>
      </c>
      <c r="D4248" s="283" t="s">
        <v>1077</v>
      </c>
      <c r="E4248" s="283" t="s">
        <v>1075</v>
      </c>
      <c r="F4248" s="283" t="s">
        <v>1089</v>
      </c>
      <c r="G4248" s="283">
        <v>2</v>
      </c>
      <c r="H4248" s="283">
        <v>0</v>
      </c>
      <c r="I4248" s="283">
        <v>0</v>
      </c>
      <c r="J4248" s="284">
        <v>1</v>
      </c>
    </row>
    <row r="4249" spans="3:10" x14ac:dyDescent="0.25">
      <c r="C4249" s="300" t="s">
        <v>1068</v>
      </c>
      <c r="D4249" s="283" t="s">
        <v>1079</v>
      </c>
      <c r="E4249" s="283" t="s">
        <v>1086</v>
      </c>
      <c r="F4249" s="283" t="s">
        <v>1044</v>
      </c>
      <c r="G4249" s="283">
        <v>2</v>
      </c>
      <c r="H4249" s="283">
        <v>0</v>
      </c>
      <c r="I4249" s="283">
        <v>0</v>
      </c>
      <c r="J4249" s="284">
        <v>0</v>
      </c>
    </row>
    <row r="4250" spans="3:10" x14ac:dyDescent="0.25">
      <c r="C4250" s="300" t="s">
        <v>1057</v>
      </c>
      <c r="D4250" s="283" t="s">
        <v>1087</v>
      </c>
      <c r="E4250" s="283" t="s">
        <v>1089</v>
      </c>
      <c r="F4250" s="283" t="s">
        <v>524</v>
      </c>
      <c r="G4250" s="283">
        <v>2</v>
      </c>
      <c r="H4250" s="283">
        <v>0</v>
      </c>
      <c r="I4250" s="283">
        <v>0</v>
      </c>
      <c r="J4250" s="284">
        <v>0</v>
      </c>
    </row>
    <row r="4251" spans="3:10" x14ac:dyDescent="0.25">
      <c r="C4251" s="300" t="s">
        <v>1066</v>
      </c>
      <c r="D4251" s="283" t="s">
        <v>1079</v>
      </c>
      <c r="E4251" s="283" t="s">
        <v>1075</v>
      </c>
      <c r="F4251" s="283" t="s">
        <v>1089</v>
      </c>
      <c r="G4251" s="283">
        <v>2</v>
      </c>
      <c r="H4251" s="283">
        <v>0</v>
      </c>
      <c r="I4251" s="283">
        <v>0</v>
      </c>
      <c r="J4251" s="284">
        <v>1</v>
      </c>
    </row>
    <row r="4252" spans="3:10" x14ac:dyDescent="0.25">
      <c r="C4252" s="300" t="s">
        <v>1059</v>
      </c>
      <c r="D4252" s="283" t="s">
        <v>1079</v>
      </c>
      <c r="E4252" s="283" t="s">
        <v>1075</v>
      </c>
      <c r="F4252" s="283" t="s">
        <v>1075</v>
      </c>
      <c r="G4252" s="283">
        <v>3</v>
      </c>
      <c r="H4252" s="283">
        <v>0</v>
      </c>
      <c r="I4252" s="283">
        <v>0</v>
      </c>
      <c r="J4252" s="284">
        <v>0</v>
      </c>
    </row>
    <row r="4253" spans="3:10" x14ac:dyDescent="0.25">
      <c r="C4253" s="300" t="s">
        <v>1063</v>
      </c>
      <c r="D4253" s="283" t="s">
        <v>1077</v>
      </c>
      <c r="E4253" s="283" t="s">
        <v>1076</v>
      </c>
      <c r="F4253" s="283" t="s">
        <v>1076</v>
      </c>
      <c r="G4253" s="283">
        <v>2</v>
      </c>
      <c r="H4253" s="283">
        <v>0</v>
      </c>
      <c r="I4253" s="283">
        <v>0</v>
      </c>
      <c r="J4253" s="284">
        <v>0</v>
      </c>
    </row>
    <row r="4254" spans="3:10" x14ac:dyDescent="0.25">
      <c r="C4254" s="300" t="s">
        <v>1064</v>
      </c>
      <c r="D4254" s="283" t="s">
        <v>1087</v>
      </c>
      <c r="E4254" s="283" t="s">
        <v>1075</v>
      </c>
      <c r="F4254" s="283" t="s">
        <v>524</v>
      </c>
      <c r="G4254" s="283">
        <v>3</v>
      </c>
      <c r="H4254" s="283">
        <v>0</v>
      </c>
      <c r="I4254" s="283">
        <v>0</v>
      </c>
      <c r="J4254" s="284">
        <v>0</v>
      </c>
    </row>
    <row r="4255" spans="3:10" x14ac:dyDescent="0.25">
      <c r="C4255" s="300" t="s">
        <v>1062</v>
      </c>
      <c r="D4255" s="283" t="s">
        <v>1082</v>
      </c>
      <c r="E4255" s="283" t="s">
        <v>1089</v>
      </c>
      <c r="F4255" s="283" t="s">
        <v>1076</v>
      </c>
      <c r="G4255" s="283">
        <v>2</v>
      </c>
      <c r="H4255" s="283">
        <v>0</v>
      </c>
      <c r="I4255" s="283">
        <v>0</v>
      </c>
      <c r="J4255" s="284">
        <v>0</v>
      </c>
    </row>
    <row r="4256" spans="3:10" x14ac:dyDescent="0.25">
      <c r="C4256" s="300" t="s">
        <v>1064</v>
      </c>
      <c r="D4256" s="283" t="s">
        <v>1087</v>
      </c>
      <c r="E4256" s="283" t="s">
        <v>1075</v>
      </c>
      <c r="F4256" s="283" t="s">
        <v>524</v>
      </c>
      <c r="G4256" s="283">
        <v>1</v>
      </c>
      <c r="H4256" s="283">
        <v>0</v>
      </c>
      <c r="I4256" s="283">
        <v>1</v>
      </c>
      <c r="J4256" s="284">
        <v>0</v>
      </c>
    </row>
    <row r="4257" spans="3:10" x14ac:dyDescent="0.25">
      <c r="C4257" s="300" t="s">
        <v>1062</v>
      </c>
      <c r="D4257" s="283" t="s">
        <v>1077</v>
      </c>
      <c r="E4257" s="283" t="s">
        <v>1083</v>
      </c>
      <c r="F4257" s="283" t="s">
        <v>1076</v>
      </c>
      <c r="G4257" s="283">
        <v>2</v>
      </c>
      <c r="H4257" s="283">
        <v>0</v>
      </c>
      <c r="I4257" s="283">
        <v>0</v>
      </c>
      <c r="J4257" s="284">
        <v>1</v>
      </c>
    </row>
    <row r="4258" spans="3:10" x14ac:dyDescent="0.25">
      <c r="C4258" s="300" t="s">
        <v>1063</v>
      </c>
      <c r="D4258" s="283" t="s">
        <v>1077</v>
      </c>
      <c r="E4258" s="283" t="s">
        <v>1076</v>
      </c>
      <c r="F4258" s="283" t="s">
        <v>1075</v>
      </c>
      <c r="G4258" s="283">
        <v>3</v>
      </c>
      <c r="H4258" s="283">
        <v>0</v>
      </c>
      <c r="I4258" s="283">
        <v>0</v>
      </c>
      <c r="J4258" s="284">
        <v>1</v>
      </c>
    </row>
    <row r="4259" spans="3:10" x14ac:dyDescent="0.25">
      <c r="C4259" s="300" t="s">
        <v>1068</v>
      </c>
      <c r="D4259" s="283" t="s">
        <v>1077</v>
      </c>
      <c r="E4259" s="283" t="s">
        <v>1084</v>
      </c>
      <c r="F4259" s="283" t="s">
        <v>1075</v>
      </c>
      <c r="G4259" s="283">
        <v>3</v>
      </c>
      <c r="H4259" s="283">
        <v>0</v>
      </c>
      <c r="I4259" s="283">
        <v>0</v>
      </c>
      <c r="J4259" s="284">
        <v>0</v>
      </c>
    </row>
    <row r="4260" spans="3:10" x14ac:dyDescent="0.25">
      <c r="C4260" s="300" t="s">
        <v>1059</v>
      </c>
      <c r="D4260" s="283" t="s">
        <v>1087</v>
      </c>
      <c r="E4260" s="283" t="s">
        <v>1075</v>
      </c>
      <c r="F4260" s="283" t="s">
        <v>524</v>
      </c>
      <c r="G4260" s="283">
        <v>1</v>
      </c>
      <c r="H4260" s="283">
        <v>0</v>
      </c>
      <c r="I4260" s="283">
        <v>1</v>
      </c>
      <c r="J4260" s="284">
        <v>0</v>
      </c>
    </row>
    <row r="4261" spans="3:10" x14ac:dyDescent="0.25">
      <c r="C4261" s="300" t="s">
        <v>1065</v>
      </c>
      <c r="D4261" s="283" t="s">
        <v>1079</v>
      </c>
      <c r="E4261" s="283" t="s">
        <v>1084</v>
      </c>
      <c r="F4261" s="283" t="s">
        <v>1078</v>
      </c>
      <c r="G4261" s="283">
        <v>2</v>
      </c>
      <c r="H4261" s="283">
        <v>0</v>
      </c>
      <c r="I4261" s="283">
        <v>0</v>
      </c>
      <c r="J4261" s="284">
        <v>1</v>
      </c>
    </row>
    <row r="4262" spans="3:10" x14ac:dyDescent="0.25">
      <c r="C4262" s="300" t="s">
        <v>1062</v>
      </c>
      <c r="D4262" s="283" t="s">
        <v>1077</v>
      </c>
      <c r="E4262" s="283" t="s">
        <v>1113</v>
      </c>
      <c r="F4262" s="283" t="s">
        <v>1075</v>
      </c>
      <c r="G4262" s="283">
        <v>2</v>
      </c>
      <c r="H4262" s="283">
        <v>0</v>
      </c>
      <c r="I4262" s="283">
        <v>1</v>
      </c>
      <c r="J4262" s="284">
        <v>0</v>
      </c>
    </row>
    <row r="4263" spans="3:10" x14ac:dyDescent="0.25">
      <c r="C4263" s="300" t="s">
        <v>1060</v>
      </c>
      <c r="D4263" s="283" t="s">
        <v>1074</v>
      </c>
      <c r="E4263" s="283" t="s">
        <v>1089</v>
      </c>
      <c r="F4263" s="283" t="s">
        <v>1083</v>
      </c>
      <c r="G4263" s="283">
        <v>2</v>
      </c>
      <c r="H4263" s="283">
        <v>0</v>
      </c>
      <c r="I4263" s="283">
        <v>0</v>
      </c>
      <c r="J4263" s="284">
        <v>0</v>
      </c>
    </row>
    <row r="4264" spans="3:10" x14ac:dyDescent="0.25">
      <c r="C4264" s="300" t="s">
        <v>1067</v>
      </c>
      <c r="D4264" s="283" t="s">
        <v>1079</v>
      </c>
      <c r="E4264" s="283" t="s">
        <v>1075</v>
      </c>
      <c r="F4264" s="283" t="s">
        <v>1093</v>
      </c>
      <c r="G4264" s="283">
        <v>2</v>
      </c>
      <c r="H4264" s="283">
        <v>0</v>
      </c>
      <c r="I4264" s="283">
        <v>1</v>
      </c>
      <c r="J4264" s="284">
        <v>0</v>
      </c>
    </row>
    <row r="4265" spans="3:10" x14ac:dyDescent="0.25">
      <c r="C4265" s="300" t="s">
        <v>1065</v>
      </c>
      <c r="D4265" s="283" t="s">
        <v>1077</v>
      </c>
      <c r="E4265" s="283" t="s">
        <v>1075</v>
      </c>
      <c r="F4265" s="283" t="s">
        <v>1075</v>
      </c>
      <c r="G4265" s="283">
        <v>2</v>
      </c>
      <c r="H4265" s="283">
        <v>0</v>
      </c>
      <c r="I4265" s="283">
        <v>0</v>
      </c>
      <c r="J4265" s="284">
        <v>0</v>
      </c>
    </row>
    <row r="4266" spans="3:10" x14ac:dyDescent="0.25">
      <c r="C4266" s="300" t="s">
        <v>1061</v>
      </c>
      <c r="D4266" s="283" t="s">
        <v>1090</v>
      </c>
      <c r="E4266" s="283" t="s">
        <v>1044</v>
      </c>
      <c r="F4266" s="283" t="s">
        <v>524</v>
      </c>
      <c r="G4266" s="283">
        <v>1</v>
      </c>
      <c r="H4266" s="283">
        <v>0</v>
      </c>
      <c r="I4266" s="283">
        <v>0</v>
      </c>
      <c r="J4266" s="284">
        <v>1</v>
      </c>
    </row>
    <row r="4267" spans="3:10" x14ac:dyDescent="0.25">
      <c r="C4267" s="300" t="s">
        <v>1061</v>
      </c>
      <c r="D4267" s="283" t="s">
        <v>1074</v>
      </c>
      <c r="E4267" s="283" t="s">
        <v>1075</v>
      </c>
      <c r="F4267" s="283" t="s">
        <v>1089</v>
      </c>
      <c r="G4267" s="283">
        <v>2</v>
      </c>
      <c r="H4267" s="283">
        <v>0</v>
      </c>
      <c r="I4267" s="283">
        <v>0</v>
      </c>
      <c r="J4267" s="284">
        <v>0</v>
      </c>
    </row>
    <row r="4268" spans="3:10" x14ac:dyDescent="0.25">
      <c r="C4268" s="300" t="s">
        <v>1057</v>
      </c>
      <c r="D4268" s="283" t="s">
        <v>1087</v>
      </c>
      <c r="E4268" s="283" t="s">
        <v>1075</v>
      </c>
      <c r="F4268" s="283" t="s">
        <v>524</v>
      </c>
      <c r="G4268" s="283">
        <v>1</v>
      </c>
      <c r="H4268" s="283">
        <v>0</v>
      </c>
      <c r="I4268" s="283">
        <v>0</v>
      </c>
      <c r="J4268" s="284">
        <v>0</v>
      </c>
    </row>
    <row r="4269" spans="3:10" x14ac:dyDescent="0.25">
      <c r="C4269" s="300" t="s">
        <v>1059</v>
      </c>
      <c r="D4269" s="283" t="s">
        <v>1079</v>
      </c>
      <c r="E4269" s="283" t="s">
        <v>1088</v>
      </c>
      <c r="F4269" s="283" t="s">
        <v>1075</v>
      </c>
      <c r="G4269" s="283">
        <v>2</v>
      </c>
      <c r="H4269" s="283">
        <v>0</v>
      </c>
      <c r="I4269" s="283">
        <v>0</v>
      </c>
      <c r="J4269" s="284">
        <v>0</v>
      </c>
    </row>
    <row r="4270" spans="3:10" x14ac:dyDescent="0.25">
      <c r="C4270" s="300" t="s">
        <v>1066</v>
      </c>
      <c r="D4270" s="283" t="s">
        <v>1087</v>
      </c>
      <c r="E4270" s="283" t="s">
        <v>1089</v>
      </c>
      <c r="F4270" s="283" t="s">
        <v>524</v>
      </c>
      <c r="G4270" s="283">
        <v>1</v>
      </c>
      <c r="H4270" s="283">
        <v>0</v>
      </c>
      <c r="I4270" s="283">
        <v>0</v>
      </c>
      <c r="J4270" s="284">
        <v>0</v>
      </c>
    </row>
    <row r="4271" spans="3:10" x14ac:dyDescent="0.25">
      <c r="C4271" s="300" t="s">
        <v>1065</v>
      </c>
      <c r="D4271" s="283" t="s">
        <v>1077</v>
      </c>
      <c r="E4271" s="283" t="s">
        <v>1089</v>
      </c>
      <c r="F4271" s="283" t="s">
        <v>1075</v>
      </c>
      <c r="G4271" s="283">
        <v>2</v>
      </c>
      <c r="H4271" s="283">
        <v>0</v>
      </c>
      <c r="I4271" s="283">
        <v>0</v>
      </c>
      <c r="J4271" s="284">
        <v>0</v>
      </c>
    </row>
    <row r="4272" spans="3:10" x14ac:dyDescent="0.25">
      <c r="C4272" s="300" t="s">
        <v>1063</v>
      </c>
      <c r="D4272" s="283" t="s">
        <v>1079</v>
      </c>
      <c r="E4272" s="283" t="s">
        <v>1086</v>
      </c>
      <c r="F4272" s="283" t="s">
        <v>1084</v>
      </c>
      <c r="G4272" s="283">
        <v>3</v>
      </c>
      <c r="H4272" s="283">
        <v>0</v>
      </c>
      <c r="I4272" s="283">
        <v>0</v>
      </c>
      <c r="J4272" s="284">
        <v>0</v>
      </c>
    </row>
    <row r="4273" spans="3:10" x14ac:dyDescent="0.25">
      <c r="C4273" s="300" t="s">
        <v>1068</v>
      </c>
      <c r="D4273" s="283" t="s">
        <v>1087</v>
      </c>
      <c r="E4273" s="283" t="s">
        <v>1044</v>
      </c>
      <c r="F4273" s="283" t="s">
        <v>524</v>
      </c>
      <c r="G4273" s="283">
        <v>1</v>
      </c>
      <c r="H4273" s="283">
        <v>0</v>
      </c>
      <c r="I4273" s="283">
        <v>1</v>
      </c>
      <c r="J4273" s="284">
        <v>0</v>
      </c>
    </row>
    <row r="4274" spans="3:10" x14ac:dyDescent="0.25">
      <c r="C4274" s="300" t="s">
        <v>1064</v>
      </c>
      <c r="D4274" s="283" t="s">
        <v>1079</v>
      </c>
      <c r="E4274" s="283" t="s">
        <v>1075</v>
      </c>
      <c r="F4274" s="283" t="s">
        <v>1075</v>
      </c>
      <c r="G4274" s="283">
        <v>2</v>
      </c>
      <c r="H4274" s="283">
        <v>0</v>
      </c>
      <c r="I4274" s="283">
        <v>0</v>
      </c>
      <c r="J4274" s="284">
        <v>1</v>
      </c>
    </row>
    <row r="4275" spans="3:10" x14ac:dyDescent="0.25">
      <c r="C4275" s="300" t="s">
        <v>1066</v>
      </c>
      <c r="D4275" s="283" t="s">
        <v>1077</v>
      </c>
      <c r="E4275" s="283" t="s">
        <v>1075</v>
      </c>
      <c r="F4275" s="283" t="s">
        <v>1075</v>
      </c>
      <c r="G4275" s="283">
        <v>2</v>
      </c>
      <c r="H4275" s="283">
        <v>0</v>
      </c>
      <c r="I4275" s="283">
        <v>0</v>
      </c>
      <c r="J4275" s="284">
        <v>0</v>
      </c>
    </row>
    <row r="4276" spans="3:10" x14ac:dyDescent="0.25">
      <c r="C4276" s="300" t="s">
        <v>1057</v>
      </c>
      <c r="D4276" s="283" t="s">
        <v>1087</v>
      </c>
      <c r="E4276" s="283" t="s">
        <v>1084</v>
      </c>
      <c r="F4276" s="283" t="s">
        <v>524</v>
      </c>
      <c r="G4276" s="283">
        <v>1</v>
      </c>
      <c r="H4276" s="283">
        <v>0</v>
      </c>
      <c r="I4276" s="283">
        <v>0</v>
      </c>
      <c r="J4276" s="284">
        <v>0</v>
      </c>
    </row>
    <row r="4277" spans="3:10" x14ac:dyDescent="0.25">
      <c r="C4277" s="300" t="s">
        <v>1067</v>
      </c>
      <c r="D4277" s="283" t="s">
        <v>1090</v>
      </c>
      <c r="E4277" s="283" t="s">
        <v>1080</v>
      </c>
      <c r="F4277" s="283" t="s">
        <v>524</v>
      </c>
      <c r="G4277" s="283">
        <v>1</v>
      </c>
      <c r="H4277" s="283">
        <v>0</v>
      </c>
      <c r="I4277" s="283">
        <v>0</v>
      </c>
      <c r="J4277" s="284">
        <v>0</v>
      </c>
    </row>
    <row r="4278" spans="3:10" x14ac:dyDescent="0.25">
      <c r="C4278" s="300" t="s">
        <v>1065</v>
      </c>
      <c r="D4278" s="283" t="s">
        <v>1074</v>
      </c>
      <c r="E4278" s="283" t="s">
        <v>1075</v>
      </c>
      <c r="F4278" s="283" t="s">
        <v>1075</v>
      </c>
      <c r="G4278" s="283">
        <v>2</v>
      </c>
      <c r="H4278" s="283">
        <v>0</v>
      </c>
      <c r="I4278" s="283">
        <v>0</v>
      </c>
      <c r="J4278" s="284">
        <v>0</v>
      </c>
    </row>
    <row r="4279" spans="3:10" x14ac:dyDescent="0.25">
      <c r="C4279" s="300" t="s">
        <v>1064</v>
      </c>
      <c r="D4279" s="283" t="s">
        <v>1077</v>
      </c>
      <c r="E4279" s="283" t="s">
        <v>1075</v>
      </c>
      <c r="F4279" s="283" t="s">
        <v>1075</v>
      </c>
      <c r="G4279" s="283">
        <v>2</v>
      </c>
      <c r="H4279" s="283">
        <v>0</v>
      </c>
      <c r="I4279" s="283">
        <v>0</v>
      </c>
      <c r="J4279" s="284">
        <v>0</v>
      </c>
    </row>
    <row r="4280" spans="3:10" x14ac:dyDescent="0.25">
      <c r="C4280" s="300" t="s">
        <v>1064</v>
      </c>
      <c r="D4280" s="283" t="s">
        <v>1077</v>
      </c>
      <c r="E4280" s="283" t="s">
        <v>1075</v>
      </c>
      <c r="F4280" s="283" t="s">
        <v>1075</v>
      </c>
      <c r="G4280" s="283">
        <v>2</v>
      </c>
      <c r="H4280" s="283">
        <v>0</v>
      </c>
      <c r="I4280" s="283">
        <v>0</v>
      </c>
      <c r="J4280" s="284">
        <v>0</v>
      </c>
    </row>
    <row r="4281" spans="3:10" x14ac:dyDescent="0.25">
      <c r="C4281" s="300" t="s">
        <v>1068</v>
      </c>
      <c r="D4281" s="283" t="s">
        <v>1087</v>
      </c>
      <c r="E4281" s="283" t="s">
        <v>1075</v>
      </c>
      <c r="F4281" s="283" t="s">
        <v>524</v>
      </c>
      <c r="G4281" s="283">
        <v>1</v>
      </c>
      <c r="H4281" s="283">
        <v>0</v>
      </c>
      <c r="I4281" s="283">
        <v>0</v>
      </c>
      <c r="J4281" s="284">
        <v>0</v>
      </c>
    </row>
    <row r="4282" spans="3:10" x14ac:dyDescent="0.25">
      <c r="C4282" s="300" t="s">
        <v>1065</v>
      </c>
      <c r="D4282" s="283" t="s">
        <v>1079</v>
      </c>
      <c r="E4282" s="283" t="s">
        <v>1086</v>
      </c>
      <c r="F4282" s="283" t="s">
        <v>1078</v>
      </c>
      <c r="G4282" s="283">
        <v>2</v>
      </c>
      <c r="H4282" s="283">
        <v>0</v>
      </c>
      <c r="I4282" s="283">
        <v>0</v>
      </c>
      <c r="J4282" s="284">
        <v>0</v>
      </c>
    </row>
    <row r="4283" spans="3:10" x14ac:dyDescent="0.25">
      <c r="C4283" s="300" t="s">
        <v>1067</v>
      </c>
      <c r="D4283" s="283" t="s">
        <v>1079</v>
      </c>
      <c r="E4283" s="283" t="s">
        <v>1075</v>
      </c>
      <c r="F4283" s="283" t="s">
        <v>1075</v>
      </c>
      <c r="G4283" s="283">
        <v>2</v>
      </c>
      <c r="H4283" s="283">
        <v>0</v>
      </c>
      <c r="I4283" s="283">
        <v>0</v>
      </c>
      <c r="J4283" s="284">
        <v>0</v>
      </c>
    </row>
    <row r="4284" spans="3:10" x14ac:dyDescent="0.25">
      <c r="C4284" s="300" t="s">
        <v>1065</v>
      </c>
      <c r="D4284" s="283" t="s">
        <v>1074</v>
      </c>
      <c r="E4284" s="283" t="s">
        <v>1075</v>
      </c>
      <c r="F4284" s="283" t="s">
        <v>1075</v>
      </c>
      <c r="G4284" s="283">
        <v>2</v>
      </c>
      <c r="H4284" s="283">
        <v>0</v>
      </c>
      <c r="I4284" s="283">
        <v>0</v>
      </c>
      <c r="J4284" s="284">
        <v>0</v>
      </c>
    </row>
    <row r="4285" spans="3:10" x14ac:dyDescent="0.25">
      <c r="C4285" s="300" t="s">
        <v>1064</v>
      </c>
      <c r="D4285" s="283" t="s">
        <v>1082</v>
      </c>
      <c r="E4285" s="283" t="s">
        <v>1075</v>
      </c>
      <c r="F4285" s="283" t="s">
        <v>1075</v>
      </c>
      <c r="G4285" s="283">
        <v>2</v>
      </c>
      <c r="H4285" s="283">
        <v>0</v>
      </c>
      <c r="I4285" s="283">
        <v>1</v>
      </c>
      <c r="J4285" s="284">
        <v>0</v>
      </c>
    </row>
    <row r="4286" spans="3:10" x14ac:dyDescent="0.25">
      <c r="C4286" s="300" t="s">
        <v>1062</v>
      </c>
      <c r="D4286" s="283" t="s">
        <v>1079</v>
      </c>
      <c r="E4286" s="283" t="s">
        <v>1089</v>
      </c>
      <c r="F4286" s="283" t="s">
        <v>1080</v>
      </c>
      <c r="G4286" s="283">
        <v>2</v>
      </c>
      <c r="H4286" s="283">
        <v>0</v>
      </c>
      <c r="I4286" s="283">
        <v>0</v>
      </c>
      <c r="J4286" s="284">
        <v>0</v>
      </c>
    </row>
    <row r="4287" spans="3:10" x14ac:dyDescent="0.25">
      <c r="C4287" s="300" t="s">
        <v>1061</v>
      </c>
      <c r="D4287" s="283" t="s">
        <v>1077</v>
      </c>
      <c r="E4287" s="283" t="s">
        <v>1080</v>
      </c>
      <c r="F4287" s="283" t="s">
        <v>1075</v>
      </c>
      <c r="G4287" s="283">
        <v>2</v>
      </c>
      <c r="H4287" s="283">
        <v>0</v>
      </c>
      <c r="I4287" s="283">
        <v>0</v>
      </c>
      <c r="J4287" s="284">
        <v>0</v>
      </c>
    </row>
    <row r="4288" spans="3:10" x14ac:dyDescent="0.25">
      <c r="C4288" s="300" t="s">
        <v>1068</v>
      </c>
      <c r="D4288" s="283" t="s">
        <v>1079</v>
      </c>
      <c r="E4288" s="283" t="s">
        <v>1089</v>
      </c>
      <c r="F4288" s="283" t="s">
        <v>1075</v>
      </c>
      <c r="G4288" s="283">
        <v>3</v>
      </c>
      <c r="H4288" s="283">
        <v>0</v>
      </c>
      <c r="I4288" s="283">
        <v>0</v>
      </c>
      <c r="J4288" s="284">
        <v>0</v>
      </c>
    </row>
    <row r="4289" spans="3:10" x14ac:dyDescent="0.25">
      <c r="C4289" s="300" t="s">
        <v>1068</v>
      </c>
      <c r="D4289" s="283" t="s">
        <v>1087</v>
      </c>
      <c r="E4289" s="283" t="s">
        <v>1089</v>
      </c>
      <c r="F4289" s="283" t="s">
        <v>524</v>
      </c>
      <c r="G4289" s="283">
        <v>1</v>
      </c>
      <c r="H4289" s="283">
        <v>0</v>
      </c>
      <c r="I4289" s="283">
        <v>0</v>
      </c>
      <c r="J4289" s="284">
        <v>0</v>
      </c>
    </row>
    <row r="4290" spans="3:10" x14ac:dyDescent="0.25">
      <c r="C4290" s="300" t="s">
        <v>1064</v>
      </c>
      <c r="D4290" s="283" t="s">
        <v>1077</v>
      </c>
      <c r="E4290" s="283" t="s">
        <v>1078</v>
      </c>
      <c r="F4290" s="283" t="s">
        <v>1076</v>
      </c>
      <c r="G4290" s="283">
        <v>2</v>
      </c>
      <c r="H4290" s="283">
        <v>0</v>
      </c>
      <c r="I4290" s="283">
        <v>0</v>
      </c>
      <c r="J4290" s="284">
        <v>0</v>
      </c>
    </row>
    <row r="4291" spans="3:10" x14ac:dyDescent="0.25">
      <c r="C4291" s="300" t="s">
        <v>1067</v>
      </c>
      <c r="D4291" s="283" t="s">
        <v>1079</v>
      </c>
      <c r="E4291" s="283" t="s">
        <v>1075</v>
      </c>
      <c r="F4291" s="283" t="s">
        <v>1075</v>
      </c>
      <c r="G4291" s="283">
        <v>2</v>
      </c>
      <c r="H4291" s="283">
        <v>0</v>
      </c>
      <c r="I4291" s="283">
        <v>0</v>
      </c>
      <c r="J4291" s="284">
        <v>0</v>
      </c>
    </row>
    <row r="4292" spans="3:10" x14ac:dyDescent="0.25">
      <c r="C4292" s="300" t="s">
        <v>1058</v>
      </c>
      <c r="D4292" s="283" t="s">
        <v>1087</v>
      </c>
      <c r="E4292" s="283" t="s">
        <v>1076</v>
      </c>
      <c r="F4292" s="283" t="s">
        <v>524</v>
      </c>
      <c r="G4292" s="283">
        <v>1</v>
      </c>
      <c r="H4292" s="283">
        <v>0</v>
      </c>
      <c r="I4292" s="283">
        <v>0</v>
      </c>
      <c r="J4292" s="284">
        <v>1</v>
      </c>
    </row>
    <row r="4293" spans="3:10" x14ac:dyDescent="0.25">
      <c r="C4293" s="300" t="s">
        <v>1068</v>
      </c>
      <c r="D4293" s="283" t="s">
        <v>1074</v>
      </c>
      <c r="E4293" s="283" t="s">
        <v>1089</v>
      </c>
      <c r="F4293" s="283" t="s">
        <v>1083</v>
      </c>
      <c r="G4293" s="283">
        <v>2</v>
      </c>
      <c r="H4293" s="283">
        <v>0</v>
      </c>
      <c r="I4293" s="283">
        <v>0</v>
      </c>
      <c r="J4293" s="284">
        <v>0</v>
      </c>
    </row>
    <row r="4294" spans="3:10" x14ac:dyDescent="0.25">
      <c r="C4294" s="300" t="s">
        <v>1058</v>
      </c>
      <c r="D4294" s="283" t="s">
        <v>1090</v>
      </c>
      <c r="E4294" s="283" t="s">
        <v>1083</v>
      </c>
      <c r="F4294" s="283" t="s">
        <v>524</v>
      </c>
      <c r="G4294" s="283">
        <v>1</v>
      </c>
      <c r="H4294" s="283">
        <v>0</v>
      </c>
      <c r="I4294" s="283">
        <v>1</v>
      </c>
      <c r="J4294" s="284">
        <v>0</v>
      </c>
    </row>
    <row r="4295" spans="3:10" x14ac:dyDescent="0.25">
      <c r="C4295" s="300" t="s">
        <v>1063</v>
      </c>
      <c r="D4295" s="283" t="s">
        <v>1087</v>
      </c>
      <c r="E4295" s="283" t="s">
        <v>1084</v>
      </c>
      <c r="F4295" s="283" t="s">
        <v>524</v>
      </c>
      <c r="G4295" s="283">
        <v>2</v>
      </c>
      <c r="H4295" s="283">
        <v>0</v>
      </c>
      <c r="I4295" s="283">
        <v>0</v>
      </c>
      <c r="J4295" s="284">
        <v>1</v>
      </c>
    </row>
    <row r="4296" spans="3:10" x14ac:dyDescent="0.25">
      <c r="C4296" s="300" t="s">
        <v>1062</v>
      </c>
      <c r="D4296" s="283" t="s">
        <v>1079</v>
      </c>
      <c r="E4296" s="283" t="s">
        <v>1076</v>
      </c>
      <c r="F4296" s="283" t="s">
        <v>1089</v>
      </c>
      <c r="G4296" s="283">
        <v>2</v>
      </c>
      <c r="H4296" s="283">
        <v>0</v>
      </c>
      <c r="I4296" s="283">
        <v>0</v>
      </c>
      <c r="J4296" s="284">
        <v>0</v>
      </c>
    </row>
    <row r="4297" spans="3:10" x14ac:dyDescent="0.25">
      <c r="C4297" s="300" t="s">
        <v>1058</v>
      </c>
      <c r="D4297" s="283" t="s">
        <v>1087</v>
      </c>
      <c r="E4297" s="283" t="s">
        <v>1075</v>
      </c>
      <c r="F4297" s="283" t="s">
        <v>524</v>
      </c>
      <c r="G4297" s="283">
        <v>1</v>
      </c>
      <c r="H4297" s="283">
        <v>0</v>
      </c>
      <c r="I4297" s="283">
        <v>0</v>
      </c>
      <c r="J4297" s="284">
        <v>0</v>
      </c>
    </row>
    <row r="4298" spans="3:10" x14ac:dyDescent="0.25">
      <c r="C4298" s="300" t="s">
        <v>1066</v>
      </c>
      <c r="D4298" s="283" t="s">
        <v>1077</v>
      </c>
      <c r="E4298" s="283" t="s">
        <v>1076</v>
      </c>
      <c r="F4298" s="283" t="s">
        <v>1075</v>
      </c>
      <c r="G4298" s="283">
        <v>2</v>
      </c>
      <c r="H4298" s="283">
        <v>0</v>
      </c>
      <c r="I4298" s="283">
        <v>0</v>
      </c>
      <c r="J4298" s="284">
        <v>0</v>
      </c>
    </row>
    <row r="4299" spans="3:10" x14ac:dyDescent="0.25">
      <c r="C4299" s="300" t="s">
        <v>1068</v>
      </c>
      <c r="D4299" s="283" t="s">
        <v>1074</v>
      </c>
      <c r="E4299" s="283" t="s">
        <v>1081</v>
      </c>
      <c r="F4299" s="283" t="s">
        <v>1075</v>
      </c>
      <c r="G4299" s="283">
        <v>2</v>
      </c>
      <c r="H4299" s="283">
        <v>0</v>
      </c>
      <c r="I4299" s="283">
        <v>0</v>
      </c>
      <c r="J4299" s="284">
        <v>0</v>
      </c>
    </row>
    <row r="4300" spans="3:10" x14ac:dyDescent="0.25">
      <c r="C4300" s="300" t="s">
        <v>1064</v>
      </c>
      <c r="D4300" s="283" t="s">
        <v>1090</v>
      </c>
      <c r="E4300" s="283" t="s">
        <v>1084</v>
      </c>
      <c r="F4300" s="283" t="s">
        <v>524</v>
      </c>
      <c r="G4300" s="283">
        <v>1</v>
      </c>
      <c r="H4300" s="283">
        <v>0</v>
      </c>
      <c r="I4300" s="283">
        <v>0</v>
      </c>
      <c r="J4300" s="284">
        <v>0</v>
      </c>
    </row>
    <row r="4301" spans="3:10" x14ac:dyDescent="0.25">
      <c r="C4301" s="300" t="s">
        <v>1067</v>
      </c>
      <c r="D4301" s="283" t="s">
        <v>1087</v>
      </c>
      <c r="E4301" s="283" t="s">
        <v>1083</v>
      </c>
      <c r="F4301" s="283" t="s">
        <v>524</v>
      </c>
      <c r="G4301" s="283">
        <v>1</v>
      </c>
      <c r="H4301" s="283">
        <v>0</v>
      </c>
      <c r="I4301" s="283">
        <v>0</v>
      </c>
      <c r="J4301" s="284">
        <v>1</v>
      </c>
    </row>
    <row r="4302" spans="3:10" x14ac:dyDescent="0.25">
      <c r="C4302" s="300" t="s">
        <v>1064</v>
      </c>
      <c r="D4302" s="283" t="s">
        <v>1079</v>
      </c>
      <c r="E4302" s="283" t="s">
        <v>1084</v>
      </c>
      <c r="F4302" s="283" t="s">
        <v>1083</v>
      </c>
      <c r="G4302" s="283">
        <v>2</v>
      </c>
      <c r="H4302" s="283">
        <v>0</v>
      </c>
      <c r="I4302" s="283">
        <v>0</v>
      </c>
      <c r="J4302" s="284">
        <v>0</v>
      </c>
    </row>
    <row r="4303" spans="3:10" x14ac:dyDescent="0.25">
      <c r="C4303" s="300" t="s">
        <v>1064</v>
      </c>
      <c r="D4303" s="283" t="s">
        <v>1079</v>
      </c>
      <c r="E4303" s="283" t="s">
        <v>1089</v>
      </c>
      <c r="F4303" s="283" t="s">
        <v>1075</v>
      </c>
      <c r="G4303" s="283">
        <v>2</v>
      </c>
      <c r="H4303" s="283">
        <v>0</v>
      </c>
      <c r="I4303" s="283">
        <v>0</v>
      </c>
      <c r="J4303" s="284">
        <v>0</v>
      </c>
    </row>
    <row r="4304" spans="3:10" x14ac:dyDescent="0.25">
      <c r="C4304" s="300" t="s">
        <v>1063</v>
      </c>
      <c r="D4304" s="283" t="s">
        <v>1079</v>
      </c>
      <c r="E4304" s="283" t="s">
        <v>1088</v>
      </c>
      <c r="F4304" s="283" t="s">
        <v>1075</v>
      </c>
      <c r="G4304" s="283">
        <v>2</v>
      </c>
      <c r="H4304" s="283">
        <v>0</v>
      </c>
      <c r="I4304" s="283">
        <v>0</v>
      </c>
      <c r="J4304" s="284">
        <v>0</v>
      </c>
    </row>
    <row r="4305" spans="3:10" x14ac:dyDescent="0.25">
      <c r="C4305" s="300" t="s">
        <v>1060</v>
      </c>
      <c r="D4305" s="283" t="s">
        <v>1087</v>
      </c>
      <c r="E4305" s="283" t="s">
        <v>1075</v>
      </c>
      <c r="F4305" s="283" t="s">
        <v>524</v>
      </c>
      <c r="G4305" s="283">
        <v>1</v>
      </c>
      <c r="H4305" s="283">
        <v>0</v>
      </c>
      <c r="I4305" s="283">
        <v>1</v>
      </c>
      <c r="J4305" s="284">
        <v>0</v>
      </c>
    </row>
    <row r="4306" spans="3:10" x14ac:dyDescent="0.25">
      <c r="C4306" s="300" t="s">
        <v>1063</v>
      </c>
      <c r="D4306" s="283" t="s">
        <v>1079</v>
      </c>
      <c r="E4306" s="283" t="s">
        <v>1075</v>
      </c>
      <c r="F4306" s="283" t="s">
        <v>1075</v>
      </c>
      <c r="G4306" s="283">
        <v>3</v>
      </c>
      <c r="H4306" s="283">
        <v>0</v>
      </c>
      <c r="I4306" s="283">
        <v>0</v>
      </c>
      <c r="J4306" s="284">
        <v>0</v>
      </c>
    </row>
    <row r="4307" spans="3:10" x14ac:dyDescent="0.25">
      <c r="C4307" s="300" t="s">
        <v>1066</v>
      </c>
      <c r="D4307" s="283" t="s">
        <v>1106</v>
      </c>
      <c r="E4307" s="283" t="s">
        <v>1075</v>
      </c>
      <c r="F4307" s="283" t="s">
        <v>524</v>
      </c>
      <c r="G4307" s="283">
        <v>2</v>
      </c>
      <c r="H4307" s="283">
        <v>0</v>
      </c>
      <c r="I4307" s="283">
        <v>0</v>
      </c>
      <c r="J4307" s="284">
        <v>0</v>
      </c>
    </row>
    <row r="4308" spans="3:10" x14ac:dyDescent="0.25">
      <c r="C4308" s="300" t="s">
        <v>1065</v>
      </c>
      <c r="D4308" s="283" t="s">
        <v>1074</v>
      </c>
      <c r="E4308" s="283" t="s">
        <v>1089</v>
      </c>
      <c r="F4308" s="283" t="s">
        <v>1044</v>
      </c>
      <c r="G4308" s="283">
        <v>2</v>
      </c>
      <c r="H4308" s="283">
        <v>0</v>
      </c>
      <c r="I4308" s="283">
        <v>0</v>
      </c>
      <c r="J4308" s="284">
        <v>0</v>
      </c>
    </row>
    <row r="4309" spans="3:10" x14ac:dyDescent="0.25">
      <c r="C4309" s="300" t="s">
        <v>1060</v>
      </c>
      <c r="D4309" s="283" t="s">
        <v>1074</v>
      </c>
      <c r="E4309" s="283" t="s">
        <v>1086</v>
      </c>
      <c r="F4309" s="283" t="s">
        <v>1044</v>
      </c>
      <c r="G4309" s="283">
        <v>2</v>
      </c>
      <c r="H4309" s="283">
        <v>0</v>
      </c>
      <c r="I4309" s="283">
        <v>0</v>
      </c>
      <c r="J4309" s="284">
        <v>0</v>
      </c>
    </row>
    <row r="4310" spans="3:10" x14ac:dyDescent="0.25">
      <c r="C4310" s="300" t="s">
        <v>1060</v>
      </c>
      <c r="D4310" s="283" t="s">
        <v>1074</v>
      </c>
      <c r="E4310" s="283" t="s">
        <v>1085</v>
      </c>
      <c r="F4310" s="283" t="s">
        <v>1075</v>
      </c>
      <c r="G4310" s="283">
        <v>2</v>
      </c>
      <c r="H4310" s="283">
        <v>0</v>
      </c>
      <c r="I4310" s="283">
        <v>0</v>
      </c>
      <c r="J4310" s="284">
        <v>0</v>
      </c>
    </row>
    <row r="4311" spans="3:10" x14ac:dyDescent="0.25">
      <c r="C4311" s="300" t="s">
        <v>1062</v>
      </c>
      <c r="D4311" s="283" t="s">
        <v>1090</v>
      </c>
      <c r="E4311" s="283" t="s">
        <v>1080</v>
      </c>
      <c r="F4311" s="283" t="s">
        <v>524</v>
      </c>
      <c r="G4311" s="283">
        <v>1</v>
      </c>
      <c r="H4311" s="283">
        <v>0</v>
      </c>
      <c r="I4311" s="283">
        <v>0</v>
      </c>
      <c r="J4311" s="284">
        <v>0</v>
      </c>
    </row>
    <row r="4312" spans="3:10" x14ac:dyDescent="0.25">
      <c r="C4312" s="300" t="s">
        <v>1065</v>
      </c>
      <c r="D4312" s="283" t="s">
        <v>1079</v>
      </c>
      <c r="E4312" s="283" t="s">
        <v>1044</v>
      </c>
      <c r="F4312" s="283" t="s">
        <v>1078</v>
      </c>
      <c r="G4312" s="283">
        <v>2</v>
      </c>
      <c r="H4312" s="283">
        <v>0</v>
      </c>
      <c r="I4312" s="283">
        <v>1</v>
      </c>
      <c r="J4312" s="284">
        <v>0</v>
      </c>
    </row>
    <row r="4313" spans="3:10" x14ac:dyDescent="0.25">
      <c r="C4313" s="300" t="s">
        <v>1063</v>
      </c>
      <c r="D4313" s="283" t="s">
        <v>1074</v>
      </c>
      <c r="E4313" s="283" t="s">
        <v>1089</v>
      </c>
      <c r="F4313" s="283" t="s">
        <v>1075</v>
      </c>
      <c r="G4313" s="283">
        <v>2</v>
      </c>
      <c r="H4313" s="283">
        <v>0</v>
      </c>
      <c r="I4313" s="283">
        <v>0</v>
      </c>
      <c r="J4313" s="284">
        <v>0</v>
      </c>
    </row>
    <row r="4314" spans="3:10" x14ac:dyDescent="0.25">
      <c r="C4314" s="300" t="s">
        <v>1066</v>
      </c>
      <c r="D4314" s="283" t="s">
        <v>1077</v>
      </c>
      <c r="E4314" s="283" t="s">
        <v>1075</v>
      </c>
      <c r="F4314" s="283" t="s">
        <v>1089</v>
      </c>
      <c r="G4314" s="283">
        <v>4</v>
      </c>
      <c r="H4314" s="283">
        <v>0</v>
      </c>
      <c r="I4314" s="283">
        <v>0</v>
      </c>
      <c r="J4314" s="284">
        <v>2</v>
      </c>
    </row>
    <row r="4315" spans="3:10" x14ac:dyDescent="0.25">
      <c r="C4315" s="300" t="s">
        <v>1060</v>
      </c>
      <c r="D4315" s="283" t="s">
        <v>1074</v>
      </c>
      <c r="E4315" s="283" t="s">
        <v>1075</v>
      </c>
      <c r="F4315" s="283" t="s">
        <v>1089</v>
      </c>
      <c r="G4315" s="283">
        <v>2</v>
      </c>
      <c r="H4315" s="283">
        <v>0</v>
      </c>
      <c r="I4315" s="283">
        <v>0</v>
      </c>
      <c r="J4315" s="284">
        <v>0</v>
      </c>
    </row>
    <row r="4316" spans="3:10" x14ac:dyDescent="0.25">
      <c r="C4316" s="300" t="s">
        <v>1063</v>
      </c>
      <c r="D4316" s="283" t="s">
        <v>1079</v>
      </c>
      <c r="E4316" s="283" t="s">
        <v>1076</v>
      </c>
      <c r="F4316" s="283" t="s">
        <v>1088</v>
      </c>
      <c r="G4316" s="283">
        <v>3</v>
      </c>
      <c r="H4316" s="283">
        <v>0</v>
      </c>
      <c r="I4316" s="283">
        <v>0</v>
      </c>
      <c r="J4316" s="284">
        <v>0</v>
      </c>
    </row>
    <row r="4317" spans="3:10" x14ac:dyDescent="0.25">
      <c r="C4317" s="300" t="s">
        <v>1064</v>
      </c>
      <c r="D4317" s="283" t="s">
        <v>1079</v>
      </c>
      <c r="E4317" s="283" t="s">
        <v>1075</v>
      </c>
      <c r="F4317" s="283" t="s">
        <v>1075</v>
      </c>
      <c r="G4317" s="283">
        <v>2</v>
      </c>
      <c r="H4317" s="283">
        <v>0</v>
      </c>
      <c r="I4317" s="283">
        <v>0</v>
      </c>
      <c r="J4317" s="284">
        <v>0</v>
      </c>
    </row>
    <row r="4318" spans="3:10" x14ac:dyDescent="0.25">
      <c r="C4318" s="300" t="s">
        <v>1057</v>
      </c>
      <c r="D4318" s="283" t="s">
        <v>1079</v>
      </c>
      <c r="E4318" s="283" t="s">
        <v>1086</v>
      </c>
      <c r="F4318" s="283" t="s">
        <v>1089</v>
      </c>
      <c r="G4318" s="283">
        <v>2</v>
      </c>
      <c r="H4318" s="283">
        <v>0</v>
      </c>
      <c r="I4318" s="283">
        <v>0</v>
      </c>
      <c r="J4318" s="284">
        <v>0</v>
      </c>
    </row>
    <row r="4319" spans="3:10" x14ac:dyDescent="0.25">
      <c r="C4319" s="300" t="s">
        <v>1062</v>
      </c>
      <c r="D4319" s="283" t="s">
        <v>1043</v>
      </c>
      <c r="E4319" s="283" t="s">
        <v>1086</v>
      </c>
      <c r="F4319" s="283" t="s">
        <v>1092</v>
      </c>
      <c r="G4319" s="283">
        <v>2</v>
      </c>
      <c r="H4319" s="283">
        <v>0</v>
      </c>
      <c r="I4319" s="283">
        <v>0</v>
      </c>
      <c r="J4319" s="284">
        <v>1</v>
      </c>
    </row>
    <row r="4320" spans="3:10" x14ac:dyDescent="0.25">
      <c r="C4320" s="300" t="s">
        <v>1060</v>
      </c>
      <c r="D4320" s="283" t="s">
        <v>1074</v>
      </c>
      <c r="E4320" s="283" t="s">
        <v>1075</v>
      </c>
      <c r="F4320" s="283" t="s">
        <v>1044</v>
      </c>
      <c r="G4320" s="283">
        <v>2</v>
      </c>
      <c r="H4320" s="283">
        <v>0</v>
      </c>
      <c r="I4320" s="283">
        <v>0</v>
      </c>
      <c r="J4320" s="284">
        <v>1</v>
      </c>
    </row>
    <row r="4321" spans="3:10" x14ac:dyDescent="0.25">
      <c r="C4321" s="300" t="s">
        <v>1062</v>
      </c>
      <c r="D4321" s="283" t="s">
        <v>1079</v>
      </c>
      <c r="E4321" s="283" t="s">
        <v>1075</v>
      </c>
      <c r="F4321" s="283" t="s">
        <v>1075</v>
      </c>
      <c r="G4321" s="283">
        <v>3</v>
      </c>
      <c r="H4321" s="283">
        <v>0</v>
      </c>
      <c r="I4321" s="283">
        <v>0</v>
      </c>
      <c r="J4321" s="284">
        <v>0</v>
      </c>
    </row>
    <row r="4322" spans="3:10" x14ac:dyDescent="0.25">
      <c r="C4322" s="300" t="s">
        <v>1066</v>
      </c>
      <c r="D4322" s="283" t="s">
        <v>1079</v>
      </c>
      <c r="E4322" s="283" t="s">
        <v>1080</v>
      </c>
      <c r="F4322" s="283" t="s">
        <v>1075</v>
      </c>
      <c r="G4322" s="283">
        <v>2</v>
      </c>
      <c r="H4322" s="283">
        <v>0</v>
      </c>
      <c r="I4322" s="283">
        <v>0</v>
      </c>
      <c r="J4322" s="284">
        <v>0</v>
      </c>
    </row>
    <row r="4323" spans="3:10" x14ac:dyDescent="0.25">
      <c r="C4323" s="300" t="s">
        <v>1065</v>
      </c>
      <c r="D4323" s="283" t="s">
        <v>1077</v>
      </c>
      <c r="E4323" s="283" t="s">
        <v>1075</v>
      </c>
      <c r="F4323" s="283" t="s">
        <v>1075</v>
      </c>
      <c r="G4323" s="283">
        <v>2</v>
      </c>
      <c r="H4323" s="283">
        <v>0</v>
      </c>
      <c r="I4323" s="283">
        <v>0</v>
      </c>
      <c r="J4323" s="284">
        <v>1</v>
      </c>
    </row>
    <row r="4324" spans="3:10" x14ac:dyDescent="0.25">
      <c r="C4324" s="300" t="s">
        <v>1061</v>
      </c>
      <c r="D4324" s="283" t="s">
        <v>1079</v>
      </c>
      <c r="E4324" s="283" t="s">
        <v>1089</v>
      </c>
      <c r="F4324" s="283" t="s">
        <v>1075</v>
      </c>
      <c r="G4324" s="283">
        <v>2</v>
      </c>
      <c r="H4324" s="283">
        <v>0</v>
      </c>
      <c r="I4324" s="283">
        <v>0</v>
      </c>
      <c r="J4324" s="284">
        <v>1</v>
      </c>
    </row>
    <row r="4325" spans="3:10" x14ac:dyDescent="0.25">
      <c r="C4325" s="300" t="s">
        <v>1066</v>
      </c>
      <c r="D4325" s="283" t="s">
        <v>1079</v>
      </c>
      <c r="E4325" s="283" t="s">
        <v>1075</v>
      </c>
      <c r="F4325" s="283" t="s">
        <v>1114</v>
      </c>
      <c r="G4325" s="283">
        <v>2</v>
      </c>
      <c r="H4325" s="283">
        <v>0</v>
      </c>
      <c r="I4325" s="283">
        <v>1</v>
      </c>
      <c r="J4325" s="284">
        <v>0</v>
      </c>
    </row>
    <row r="4326" spans="3:10" x14ac:dyDescent="0.25">
      <c r="C4326" s="300" t="s">
        <v>1062</v>
      </c>
      <c r="D4326" s="283" t="s">
        <v>1077</v>
      </c>
      <c r="E4326" s="283" t="s">
        <v>1088</v>
      </c>
      <c r="F4326" s="283" t="s">
        <v>1075</v>
      </c>
      <c r="G4326" s="283">
        <v>2</v>
      </c>
      <c r="H4326" s="283">
        <v>0</v>
      </c>
      <c r="I4326" s="283">
        <v>0</v>
      </c>
      <c r="J4326" s="284">
        <v>1</v>
      </c>
    </row>
    <row r="4327" spans="3:10" x14ac:dyDescent="0.25">
      <c r="C4327" s="300" t="s">
        <v>1067</v>
      </c>
      <c r="D4327" s="283" t="s">
        <v>1079</v>
      </c>
      <c r="E4327" s="283" t="s">
        <v>1115</v>
      </c>
      <c r="F4327" s="283" t="s">
        <v>1076</v>
      </c>
      <c r="G4327" s="283">
        <v>2</v>
      </c>
      <c r="H4327" s="283">
        <v>0</v>
      </c>
      <c r="I4327" s="283">
        <v>1</v>
      </c>
      <c r="J4327" s="284">
        <v>0</v>
      </c>
    </row>
    <row r="4328" spans="3:10" x14ac:dyDescent="0.25">
      <c r="C4328" s="300" t="s">
        <v>1064</v>
      </c>
      <c r="D4328" s="283" t="s">
        <v>1077</v>
      </c>
      <c r="E4328" s="283" t="s">
        <v>1075</v>
      </c>
      <c r="F4328" s="283" t="s">
        <v>1089</v>
      </c>
      <c r="G4328" s="283">
        <v>2</v>
      </c>
      <c r="H4328" s="283">
        <v>0</v>
      </c>
      <c r="I4328" s="283">
        <v>1</v>
      </c>
      <c r="J4328" s="284">
        <v>0</v>
      </c>
    </row>
    <row r="4329" spans="3:10" x14ac:dyDescent="0.25">
      <c r="C4329" s="300" t="s">
        <v>1063</v>
      </c>
      <c r="D4329" s="283" t="s">
        <v>1077</v>
      </c>
      <c r="E4329" s="283" t="s">
        <v>1084</v>
      </c>
      <c r="F4329" s="283" t="s">
        <v>1080</v>
      </c>
      <c r="G4329" s="283">
        <v>2</v>
      </c>
      <c r="H4329" s="283">
        <v>0</v>
      </c>
      <c r="I4329" s="283">
        <v>1</v>
      </c>
      <c r="J4329" s="284">
        <v>0</v>
      </c>
    </row>
    <row r="4330" spans="3:10" x14ac:dyDescent="0.25">
      <c r="C4330" s="300" t="s">
        <v>1060</v>
      </c>
      <c r="D4330" s="283" t="s">
        <v>1079</v>
      </c>
      <c r="E4330" s="283" t="s">
        <v>1089</v>
      </c>
      <c r="F4330" s="283" t="s">
        <v>1075</v>
      </c>
      <c r="G4330" s="283">
        <v>2</v>
      </c>
      <c r="H4330" s="283">
        <v>0</v>
      </c>
      <c r="I4330" s="283">
        <v>0</v>
      </c>
      <c r="J4330" s="284">
        <v>1</v>
      </c>
    </row>
    <row r="4331" spans="3:10" x14ac:dyDescent="0.25">
      <c r="C4331" s="300" t="s">
        <v>1062</v>
      </c>
      <c r="D4331" s="283" t="s">
        <v>1079</v>
      </c>
      <c r="E4331" s="283" t="s">
        <v>1089</v>
      </c>
      <c r="F4331" s="283" t="s">
        <v>1076</v>
      </c>
      <c r="G4331" s="283">
        <v>2</v>
      </c>
      <c r="H4331" s="283">
        <v>0</v>
      </c>
      <c r="I4331" s="283">
        <v>0</v>
      </c>
      <c r="J4331" s="284">
        <v>0</v>
      </c>
    </row>
    <row r="4332" spans="3:10" x14ac:dyDescent="0.25">
      <c r="C4332" s="300" t="s">
        <v>1065</v>
      </c>
      <c r="D4332" s="283" t="s">
        <v>1079</v>
      </c>
      <c r="E4332" s="283" t="s">
        <v>1075</v>
      </c>
      <c r="F4332" s="283" t="s">
        <v>1076</v>
      </c>
      <c r="G4332" s="283">
        <v>2</v>
      </c>
      <c r="H4332" s="283">
        <v>0</v>
      </c>
      <c r="I4332" s="283">
        <v>0</v>
      </c>
      <c r="J4332" s="284">
        <v>0</v>
      </c>
    </row>
    <row r="4333" spans="3:10" x14ac:dyDescent="0.25">
      <c r="C4333" s="300" t="s">
        <v>1062</v>
      </c>
      <c r="D4333" s="283" t="s">
        <v>1077</v>
      </c>
      <c r="E4333" s="283" t="s">
        <v>1084</v>
      </c>
      <c r="F4333" s="283" t="s">
        <v>1075</v>
      </c>
      <c r="G4333" s="283">
        <v>3</v>
      </c>
      <c r="H4333" s="283">
        <v>0</v>
      </c>
      <c r="I4333" s="283">
        <v>0</v>
      </c>
      <c r="J4333" s="284">
        <v>0</v>
      </c>
    </row>
    <row r="4334" spans="3:10" x14ac:dyDescent="0.25">
      <c r="C4334" s="300" t="s">
        <v>1062</v>
      </c>
      <c r="D4334" s="283" t="s">
        <v>1077</v>
      </c>
      <c r="E4334" s="283" t="s">
        <v>1075</v>
      </c>
      <c r="F4334" s="283" t="s">
        <v>1076</v>
      </c>
      <c r="G4334" s="283">
        <v>2</v>
      </c>
      <c r="H4334" s="283">
        <v>0</v>
      </c>
      <c r="I4334" s="283">
        <v>0</v>
      </c>
      <c r="J4334" s="284">
        <v>0</v>
      </c>
    </row>
    <row r="4335" spans="3:10" x14ac:dyDescent="0.25">
      <c r="C4335" s="300" t="s">
        <v>1066</v>
      </c>
      <c r="D4335" s="283" t="s">
        <v>1079</v>
      </c>
      <c r="E4335" s="283" t="s">
        <v>1075</v>
      </c>
      <c r="F4335" s="283" t="s">
        <v>1075</v>
      </c>
      <c r="G4335" s="283">
        <v>2</v>
      </c>
      <c r="H4335" s="283">
        <v>0</v>
      </c>
      <c r="I4335" s="283">
        <v>0</v>
      </c>
      <c r="J4335" s="284">
        <v>0</v>
      </c>
    </row>
    <row r="4336" spans="3:10" x14ac:dyDescent="0.25">
      <c r="C4336" s="300" t="s">
        <v>1065</v>
      </c>
      <c r="D4336" s="283" t="s">
        <v>1077</v>
      </c>
      <c r="E4336" s="283" t="s">
        <v>1078</v>
      </c>
      <c r="F4336" s="283" t="s">
        <v>1086</v>
      </c>
      <c r="G4336" s="283">
        <v>2</v>
      </c>
      <c r="H4336" s="283">
        <v>0</v>
      </c>
      <c r="I4336" s="283">
        <v>0</v>
      </c>
      <c r="J4336" s="284">
        <v>0</v>
      </c>
    </row>
    <row r="4337" spans="3:10" x14ac:dyDescent="0.25">
      <c r="C4337" s="300" t="s">
        <v>1060</v>
      </c>
      <c r="D4337" s="283" t="s">
        <v>1074</v>
      </c>
      <c r="E4337" s="283" t="s">
        <v>1075</v>
      </c>
      <c r="F4337" s="283" t="s">
        <v>1078</v>
      </c>
      <c r="G4337" s="283">
        <v>2</v>
      </c>
      <c r="H4337" s="283">
        <v>0</v>
      </c>
      <c r="I4337" s="283">
        <v>0</v>
      </c>
      <c r="J4337" s="284">
        <v>1</v>
      </c>
    </row>
    <row r="4338" spans="3:10" x14ac:dyDescent="0.25">
      <c r="C4338" s="300" t="s">
        <v>1065</v>
      </c>
      <c r="D4338" s="283" t="s">
        <v>1079</v>
      </c>
      <c r="E4338" s="283" t="s">
        <v>1075</v>
      </c>
      <c r="F4338" s="283" t="s">
        <v>1083</v>
      </c>
      <c r="G4338" s="283">
        <v>2</v>
      </c>
      <c r="H4338" s="283">
        <v>0</v>
      </c>
      <c r="I4338" s="283">
        <v>1</v>
      </c>
      <c r="J4338" s="284">
        <v>0</v>
      </c>
    </row>
    <row r="4339" spans="3:10" x14ac:dyDescent="0.25">
      <c r="C4339" s="300" t="s">
        <v>1065</v>
      </c>
      <c r="D4339" s="283" t="s">
        <v>1074</v>
      </c>
      <c r="E4339" s="283" t="s">
        <v>1075</v>
      </c>
      <c r="F4339" s="283" t="s">
        <v>1075</v>
      </c>
      <c r="G4339" s="283">
        <v>2</v>
      </c>
      <c r="H4339" s="283">
        <v>0</v>
      </c>
      <c r="I4339" s="283">
        <v>1</v>
      </c>
      <c r="J4339" s="284">
        <v>0</v>
      </c>
    </row>
    <row r="4340" spans="3:10" x14ac:dyDescent="0.25">
      <c r="C4340" s="300" t="s">
        <v>1063</v>
      </c>
      <c r="D4340" s="283" t="s">
        <v>1043</v>
      </c>
      <c r="E4340" s="283" t="s">
        <v>1075</v>
      </c>
      <c r="F4340" s="283" t="s">
        <v>1092</v>
      </c>
      <c r="G4340" s="283">
        <v>2</v>
      </c>
      <c r="H4340" s="283">
        <v>0</v>
      </c>
      <c r="I4340" s="283">
        <v>0</v>
      </c>
      <c r="J4340" s="284">
        <v>0</v>
      </c>
    </row>
    <row r="4341" spans="3:10" x14ac:dyDescent="0.25">
      <c r="C4341" s="300" t="s">
        <v>1068</v>
      </c>
      <c r="D4341" s="283" t="s">
        <v>1079</v>
      </c>
      <c r="E4341" s="283" t="s">
        <v>1078</v>
      </c>
      <c r="F4341" s="283" t="s">
        <v>1044</v>
      </c>
      <c r="G4341" s="283">
        <v>2</v>
      </c>
      <c r="H4341" s="283">
        <v>0</v>
      </c>
      <c r="I4341" s="283">
        <v>0</v>
      </c>
      <c r="J4341" s="284">
        <v>0</v>
      </c>
    </row>
    <row r="4342" spans="3:10" x14ac:dyDescent="0.25">
      <c r="C4342" s="300" t="s">
        <v>1064</v>
      </c>
      <c r="D4342" s="283" t="s">
        <v>1077</v>
      </c>
      <c r="E4342" s="283" t="s">
        <v>1084</v>
      </c>
      <c r="F4342" s="283" t="s">
        <v>1075</v>
      </c>
      <c r="G4342" s="283">
        <v>2</v>
      </c>
      <c r="H4342" s="283">
        <v>0</v>
      </c>
      <c r="I4342" s="283">
        <v>0</v>
      </c>
      <c r="J4342" s="284">
        <v>0</v>
      </c>
    </row>
    <row r="4343" spans="3:10" x14ac:dyDescent="0.25">
      <c r="C4343" s="300" t="s">
        <v>1063</v>
      </c>
      <c r="D4343" s="283" t="s">
        <v>1077</v>
      </c>
      <c r="E4343" s="283" t="s">
        <v>1075</v>
      </c>
      <c r="F4343" s="283" t="s">
        <v>1089</v>
      </c>
      <c r="G4343" s="283">
        <v>2</v>
      </c>
      <c r="H4343" s="283">
        <v>0</v>
      </c>
      <c r="I4343" s="283">
        <v>0</v>
      </c>
      <c r="J4343" s="284">
        <v>1</v>
      </c>
    </row>
    <row r="4344" spans="3:10" x14ac:dyDescent="0.25">
      <c r="C4344" s="300" t="s">
        <v>1063</v>
      </c>
      <c r="D4344" s="283" t="s">
        <v>1074</v>
      </c>
      <c r="E4344" s="283" t="s">
        <v>1075</v>
      </c>
      <c r="F4344" s="283" t="s">
        <v>1089</v>
      </c>
      <c r="G4344" s="283">
        <v>2</v>
      </c>
      <c r="H4344" s="283">
        <v>0</v>
      </c>
      <c r="I4344" s="283">
        <v>0</v>
      </c>
      <c r="J4344" s="284">
        <v>0</v>
      </c>
    </row>
    <row r="4345" spans="3:10" x14ac:dyDescent="0.25">
      <c r="C4345" s="300" t="s">
        <v>1066</v>
      </c>
      <c r="D4345" s="283" t="s">
        <v>1074</v>
      </c>
      <c r="E4345" s="283" t="s">
        <v>1089</v>
      </c>
      <c r="F4345" s="283" t="s">
        <v>1075</v>
      </c>
      <c r="G4345" s="283">
        <v>2</v>
      </c>
      <c r="H4345" s="283">
        <v>0</v>
      </c>
      <c r="I4345" s="283">
        <v>0</v>
      </c>
      <c r="J4345" s="284">
        <v>0</v>
      </c>
    </row>
    <row r="4346" spans="3:10" x14ac:dyDescent="0.25">
      <c r="C4346" s="300" t="s">
        <v>1061</v>
      </c>
      <c r="D4346" s="283" t="s">
        <v>1077</v>
      </c>
      <c r="E4346" s="283" t="s">
        <v>1075</v>
      </c>
      <c r="F4346" s="283" t="s">
        <v>1075</v>
      </c>
      <c r="G4346" s="283">
        <v>4</v>
      </c>
      <c r="H4346" s="283">
        <v>0</v>
      </c>
      <c r="I4346" s="283">
        <v>0</v>
      </c>
      <c r="J4346" s="284">
        <v>0</v>
      </c>
    </row>
    <row r="4347" spans="3:10" x14ac:dyDescent="0.25">
      <c r="C4347" s="300" t="s">
        <v>1061</v>
      </c>
      <c r="D4347" s="283" t="s">
        <v>1077</v>
      </c>
      <c r="E4347" s="283" t="s">
        <v>1089</v>
      </c>
      <c r="F4347" s="283" t="s">
        <v>1076</v>
      </c>
      <c r="G4347" s="283">
        <v>2</v>
      </c>
      <c r="H4347" s="283">
        <v>0</v>
      </c>
      <c r="I4347" s="283">
        <v>0</v>
      </c>
      <c r="J4347" s="284">
        <v>0</v>
      </c>
    </row>
    <row r="4348" spans="3:10" x14ac:dyDescent="0.25">
      <c r="C4348" s="300" t="s">
        <v>1062</v>
      </c>
      <c r="D4348" s="283" t="s">
        <v>1077</v>
      </c>
      <c r="E4348" s="283" t="s">
        <v>1089</v>
      </c>
      <c r="F4348" s="283" t="s">
        <v>1075</v>
      </c>
      <c r="G4348" s="283">
        <v>2</v>
      </c>
      <c r="H4348" s="283">
        <v>0</v>
      </c>
      <c r="I4348" s="283">
        <v>0</v>
      </c>
      <c r="J4348" s="284">
        <v>0</v>
      </c>
    </row>
    <row r="4349" spans="3:10" x14ac:dyDescent="0.25">
      <c r="C4349" s="300" t="s">
        <v>1065</v>
      </c>
      <c r="D4349" s="283" t="s">
        <v>1077</v>
      </c>
      <c r="E4349" s="283" t="s">
        <v>1089</v>
      </c>
      <c r="F4349" s="283" t="s">
        <v>1089</v>
      </c>
      <c r="G4349" s="283">
        <v>3</v>
      </c>
      <c r="H4349" s="283">
        <v>0</v>
      </c>
      <c r="I4349" s="283">
        <v>0</v>
      </c>
      <c r="J4349" s="284">
        <v>0</v>
      </c>
    </row>
    <row r="4350" spans="3:10" x14ac:dyDescent="0.25">
      <c r="C4350" s="300" t="s">
        <v>1067</v>
      </c>
      <c r="D4350" s="283" t="s">
        <v>1079</v>
      </c>
      <c r="E4350" s="283" t="s">
        <v>1075</v>
      </c>
      <c r="F4350" s="283" t="s">
        <v>1075</v>
      </c>
      <c r="G4350" s="283">
        <v>2</v>
      </c>
      <c r="H4350" s="283">
        <v>0</v>
      </c>
      <c r="I4350" s="283">
        <v>0</v>
      </c>
      <c r="J4350" s="284">
        <v>0</v>
      </c>
    </row>
    <row r="4351" spans="3:10" x14ac:dyDescent="0.25">
      <c r="C4351" s="300" t="s">
        <v>1064</v>
      </c>
      <c r="D4351" s="283" t="s">
        <v>1079</v>
      </c>
      <c r="E4351" s="283" t="s">
        <v>1075</v>
      </c>
      <c r="F4351" s="283" t="s">
        <v>1085</v>
      </c>
      <c r="G4351" s="283">
        <v>2</v>
      </c>
      <c r="H4351" s="283">
        <v>0</v>
      </c>
      <c r="I4351" s="283">
        <v>0</v>
      </c>
      <c r="J4351" s="284">
        <v>0</v>
      </c>
    </row>
    <row r="4352" spans="3:10" x14ac:dyDescent="0.25">
      <c r="C4352" s="300" t="s">
        <v>1063</v>
      </c>
      <c r="D4352" s="283" t="s">
        <v>1079</v>
      </c>
      <c r="E4352" s="283" t="s">
        <v>1075</v>
      </c>
      <c r="F4352" s="283" t="s">
        <v>1075</v>
      </c>
      <c r="G4352" s="283">
        <v>2</v>
      </c>
      <c r="H4352" s="283">
        <v>0</v>
      </c>
      <c r="I4352" s="283">
        <v>0</v>
      </c>
      <c r="J4352" s="284">
        <v>0</v>
      </c>
    </row>
    <row r="4353" spans="3:10" x14ac:dyDescent="0.25">
      <c r="C4353" s="300" t="s">
        <v>1064</v>
      </c>
      <c r="D4353" s="283" t="s">
        <v>1074</v>
      </c>
      <c r="E4353" s="283" t="s">
        <v>1075</v>
      </c>
      <c r="F4353" s="283" t="s">
        <v>1075</v>
      </c>
      <c r="G4353" s="283">
        <v>2</v>
      </c>
      <c r="H4353" s="283">
        <v>0</v>
      </c>
      <c r="I4353" s="283">
        <v>0</v>
      </c>
      <c r="J4353" s="284">
        <v>0</v>
      </c>
    </row>
    <row r="4354" spans="3:10" x14ac:dyDescent="0.25">
      <c r="C4354" s="300" t="s">
        <v>1066</v>
      </c>
      <c r="D4354" s="283" t="s">
        <v>1074</v>
      </c>
      <c r="E4354" s="283" t="s">
        <v>1075</v>
      </c>
      <c r="F4354" s="283" t="s">
        <v>1089</v>
      </c>
      <c r="G4354" s="283">
        <v>2</v>
      </c>
      <c r="H4354" s="283">
        <v>0</v>
      </c>
      <c r="I4354" s="283">
        <v>0</v>
      </c>
      <c r="J4354" s="284">
        <v>0</v>
      </c>
    </row>
    <row r="4355" spans="3:10" x14ac:dyDescent="0.25">
      <c r="C4355" s="300" t="s">
        <v>1066</v>
      </c>
      <c r="D4355" s="283" t="s">
        <v>1074</v>
      </c>
      <c r="E4355" s="283" t="s">
        <v>1075</v>
      </c>
      <c r="F4355" s="283" t="s">
        <v>1076</v>
      </c>
      <c r="G4355" s="283">
        <v>2</v>
      </c>
      <c r="H4355" s="283">
        <v>0</v>
      </c>
      <c r="I4355" s="283">
        <v>0</v>
      </c>
      <c r="J4355" s="284">
        <v>0</v>
      </c>
    </row>
    <row r="4356" spans="3:10" x14ac:dyDescent="0.25">
      <c r="C4356" s="300" t="s">
        <v>1059</v>
      </c>
      <c r="D4356" s="283" t="s">
        <v>1090</v>
      </c>
      <c r="E4356" s="283" t="s">
        <v>1086</v>
      </c>
      <c r="F4356" s="283" t="s">
        <v>524</v>
      </c>
      <c r="G4356" s="283">
        <v>1</v>
      </c>
      <c r="H4356" s="283">
        <v>0</v>
      </c>
      <c r="I4356" s="283">
        <v>0</v>
      </c>
      <c r="J4356" s="284">
        <v>0</v>
      </c>
    </row>
    <row r="4357" spans="3:10" x14ac:dyDescent="0.25">
      <c r="C4357" s="300" t="s">
        <v>1064</v>
      </c>
      <c r="D4357" s="283" t="s">
        <v>1043</v>
      </c>
      <c r="E4357" s="283" t="s">
        <v>1086</v>
      </c>
      <c r="F4357" s="283" t="s">
        <v>1092</v>
      </c>
      <c r="G4357" s="283">
        <v>2</v>
      </c>
      <c r="H4357" s="283">
        <v>0</v>
      </c>
      <c r="I4357" s="283">
        <v>1</v>
      </c>
      <c r="J4357" s="284">
        <v>0</v>
      </c>
    </row>
    <row r="4358" spans="3:10" x14ac:dyDescent="0.25">
      <c r="C4358" s="300" t="s">
        <v>1065</v>
      </c>
      <c r="D4358" s="283" t="s">
        <v>1079</v>
      </c>
      <c r="E4358" s="283" t="s">
        <v>1075</v>
      </c>
      <c r="F4358" s="283" t="s">
        <v>1089</v>
      </c>
      <c r="G4358" s="283">
        <v>2</v>
      </c>
      <c r="H4358" s="283">
        <v>0</v>
      </c>
      <c r="I4358" s="283">
        <v>0</v>
      </c>
      <c r="J4358" s="284">
        <v>1</v>
      </c>
    </row>
    <row r="4359" spans="3:10" x14ac:dyDescent="0.25">
      <c r="C4359" s="300" t="s">
        <v>1062</v>
      </c>
      <c r="D4359" s="283" t="s">
        <v>1079</v>
      </c>
      <c r="E4359" s="283" t="s">
        <v>1075</v>
      </c>
      <c r="F4359" s="283" t="s">
        <v>1075</v>
      </c>
      <c r="G4359" s="283">
        <v>2</v>
      </c>
      <c r="H4359" s="283">
        <v>0</v>
      </c>
      <c r="I4359" s="283">
        <v>0</v>
      </c>
      <c r="J4359" s="284">
        <v>2</v>
      </c>
    </row>
    <row r="4360" spans="3:10" x14ac:dyDescent="0.25">
      <c r="C4360" s="300" t="s">
        <v>1060</v>
      </c>
      <c r="D4360" s="283" t="s">
        <v>1087</v>
      </c>
      <c r="E4360" s="283" t="s">
        <v>1075</v>
      </c>
      <c r="F4360" s="283" t="s">
        <v>524</v>
      </c>
      <c r="G4360" s="283">
        <v>1</v>
      </c>
      <c r="H4360" s="283">
        <v>0</v>
      </c>
      <c r="I4360" s="283">
        <v>0</v>
      </c>
      <c r="J4360" s="284">
        <v>0</v>
      </c>
    </row>
    <row r="4361" spans="3:10" x14ac:dyDescent="0.25">
      <c r="C4361" s="300" t="s">
        <v>1058</v>
      </c>
      <c r="D4361" s="283" t="s">
        <v>1087</v>
      </c>
      <c r="E4361" s="283" t="s">
        <v>1075</v>
      </c>
      <c r="F4361" s="283" t="s">
        <v>524</v>
      </c>
      <c r="G4361" s="283">
        <v>2</v>
      </c>
      <c r="H4361" s="283">
        <v>0</v>
      </c>
      <c r="I4361" s="283">
        <v>0</v>
      </c>
      <c r="J4361" s="284">
        <v>0</v>
      </c>
    </row>
    <row r="4362" spans="3:10" x14ac:dyDescent="0.25">
      <c r="C4362" s="300" t="s">
        <v>1058</v>
      </c>
      <c r="D4362" s="283" t="s">
        <v>1087</v>
      </c>
      <c r="E4362" s="283" t="s">
        <v>1075</v>
      </c>
      <c r="F4362" s="283" t="s">
        <v>524</v>
      </c>
      <c r="G4362" s="283">
        <v>1</v>
      </c>
      <c r="H4362" s="283">
        <v>0</v>
      </c>
      <c r="I4362" s="283">
        <v>0</v>
      </c>
      <c r="J4362" s="284">
        <v>0</v>
      </c>
    </row>
    <row r="4363" spans="3:10" x14ac:dyDescent="0.25">
      <c r="C4363" s="300" t="s">
        <v>1068</v>
      </c>
      <c r="D4363" s="283" t="s">
        <v>1090</v>
      </c>
      <c r="E4363" s="283" t="s">
        <v>1083</v>
      </c>
      <c r="F4363" s="283" t="s">
        <v>524</v>
      </c>
      <c r="G4363" s="283">
        <v>1</v>
      </c>
      <c r="H4363" s="283">
        <v>1</v>
      </c>
      <c r="I4363" s="283">
        <v>0</v>
      </c>
      <c r="J4363" s="284">
        <v>0</v>
      </c>
    </row>
    <row r="4364" spans="3:10" x14ac:dyDescent="0.25">
      <c r="C4364" s="300" t="s">
        <v>1065</v>
      </c>
      <c r="D4364" s="283" t="s">
        <v>1079</v>
      </c>
      <c r="E4364" s="283" t="s">
        <v>1075</v>
      </c>
      <c r="F4364" s="283" t="s">
        <v>1085</v>
      </c>
      <c r="G4364" s="283">
        <v>2</v>
      </c>
      <c r="H4364" s="283">
        <v>0</v>
      </c>
      <c r="I4364" s="283">
        <v>0</v>
      </c>
      <c r="J4364" s="284">
        <v>0</v>
      </c>
    </row>
    <row r="4365" spans="3:10" x14ac:dyDescent="0.25">
      <c r="C4365" s="300" t="s">
        <v>1064</v>
      </c>
      <c r="D4365" s="283" t="s">
        <v>1074</v>
      </c>
      <c r="E4365" s="283" t="s">
        <v>1075</v>
      </c>
      <c r="F4365" s="283" t="s">
        <v>1075</v>
      </c>
      <c r="G4365" s="283">
        <v>2</v>
      </c>
      <c r="H4365" s="283">
        <v>0</v>
      </c>
      <c r="I4365" s="283">
        <v>1</v>
      </c>
      <c r="J4365" s="284">
        <v>0</v>
      </c>
    </row>
    <row r="4366" spans="3:10" x14ac:dyDescent="0.25">
      <c r="C4366" s="300" t="s">
        <v>1061</v>
      </c>
      <c r="D4366" s="283" t="s">
        <v>1077</v>
      </c>
      <c r="E4366" s="283" t="s">
        <v>1075</v>
      </c>
      <c r="F4366" s="283" t="s">
        <v>1075</v>
      </c>
      <c r="G4366" s="283">
        <v>2</v>
      </c>
      <c r="H4366" s="283">
        <v>0</v>
      </c>
      <c r="I4366" s="283">
        <v>1</v>
      </c>
      <c r="J4366" s="284">
        <v>0</v>
      </c>
    </row>
    <row r="4367" spans="3:10" x14ac:dyDescent="0.25">
      <c r="C4367" s="300" t="s">
        <v>1066</v>
      </c>
      <c r="D4367" s="283" t="s">
        <v>1079</v>
      </c>
      <c r="E4367" s="283" t="s">
        <v>1075</v>
      </c>
      <c r="F4367" s="283" t="s">
        <v>1075</v>
      </c>
      <c r="G4367" s="283">
        <v>4</v>
      </c>
      <c r="H4367" s="283">
        <v>0</v>
      </c>
      <c r="I4367" s="283">
        <v>0</v>
      </c>
      <c r="J4367" s="284">
        <v>1</v>
      </c>
    </row>
    <row r="4368" spans="3:10" x14ac:dyDescent="0.25">
      <c r="C4368" s="300" t="s">
        <v>1066</v>
      </c>
      <c r="D4368" s="283" t="s">
        <v>1074</v>
      </c>
      <c r="E4368" s="283" t="s">
        <v>1075</v>
      </c>
      <c r="F4368" s="283" t="s">
        <v>1083</v>
      </c>
      <c r="G4368" s="283">
        <v>2</v>
      </c>
      <c r="H4368" s="283">
        <v>0</v>
      </c>
      <c r="I4368" s="283">
        <v>1</v>
      </c>
      <c r="J4368" s="284">
        <v>0</v>
      </c>
    </row>
    <row r="4369" spans="3:10" x14ac:dyDescent="0.25">
      <c r="C4369" s="300" t="s">
        <v>1064</v>
      </c>
      <c r="D4369" s="283" t="s">
        <v>1079</v>
      </c>
      <c r="E4369" s="283" t="s">
        <v>1089</v>
      </c>
      <c r="F4369" s="283" t="s">
        <v>1089</v>
      </c>
      <c r="G4369" s="283">
        <v>3</v>
      </c>
      <c r="H4369" s="283">
        <v>0</v>
      </c>
      <c r="I4369" s="283">
        <v>0</v>
      </c>
      <c r="J4369" s="284">
        <v>0</v>
      </c>
    </row>
    <row r="4370" spans="3:10" x14ac:dyDescent="0.25">
      <c r="C4370" s="300" t="s">
        <v>1065</v>
      </c>
      <c r="D4370" s="283" t="s">
        <v>1079</v>
      </c>
      <c r="E4370" s="283" t="s">
        <v>1075</v>
      </c>
      <c r="F4370" s="283" t="s">
        <v>1089</v>
      </c>
      <c r="G4370" s="283">
        <v>2</v>
      </c>
      <c r="H4370" s="283">
        <v>0</v>
      </c>
      <c r="I4370" s="283">
        <v>0</v>
      </c>
      <c r="J4370" s="284">
        <v>0</v>
      </c>
    </row>
    <row r="4371" spans="3:10" x14ac:dyDescent="0.25">
      <c r="C4371" s="300" t="s">
        <v>1067</v>
      </c>
      <c r="D4371" s="283" t="s">
        <v>1079</v>
      </c>
      <c r="E4371" s="283" t="s">
        <v>1078</v>
      </c>
      <c r="F4371" s="283" t="s">
        <v>1075</v>
      </c>
      <c r="G4371" s="283">
        <v>3</v>
      </c>
      <c r="H4371" s="283">
        <v>0</v>
      </c>
      <c r="I4371" s="283">
        <v>0</v>
      </c>
      <c r="J4371" s="284">
        <v>1</v>
      </c>
    </row>
    <row r="4372" spans="3:10" x14ac:dyDescent="0.25">
      <c r="C4372" s="300" t="s">
        <v>1061</v>
      </c>
      <c r="D4372" s="283" t="s">
        <v>1079</v>
      </c>
      <c r="E4372" s="283" t="s">
        <v>1085</v>
      </c>
      <c r="F4372" s="283" t="s">
        <v>1075</v>
      </c>
      <c r="G4372" s="283">
        <v>4</v>
      </c>
      <c r="H4372" s="283">
        <v>0</v>
      </c>
      <c r="I4372" s="283">
        <v>0</v>
      </c>
      <c r="J4372" s="284">
        <v>0</v>
      </c>
    </row>
    <row r="4373" spans="3:10" x14ac:dyDescent="0.25">
      <c r="C4373" s="300" t="s">
        <v>1065</v>
      </c>
      <c r="D4373" s="283" t="s">
        <v>1079</v>
      </c>
      <c r="E4373" s="283" t="s">
        <v>1075</v>
      </c>
      <c r="F4373" s="283" t="s">
        <v>1083</v>
      </c>
      <c r="G4373" s="283">
        <v>2</v>
      </c>
      <c r="H4373" s="283">
        <v>0</v>
      </c>
      <c r="I4373" s="283">
        <v>1</v>
      </c>
      <c r="J4373" s="284">
        <v>0</v>
      </c>
    </row>
    <row r="4374" spans="3:10" x14ac:dyDescent="0.25">
      <c r="C4374" s="300" t="s">
        <v>1065</v>
      </c>
      <c r="D4374" s="283" t="s">
        <v>1074</v>
      </c>
      <c r="E4374" s="283" t="s">
        <v>1089</v>
      </c>
      <c r="F4374" s="283" t="s">
        <v>1078</v>
      </c>
      <c r="G4374" s="283">
        <v>2</v>
      </c>
      <c r="H4374" s="283">
        <v>0</v>
      </c>
      <c r="I4374" s="283">
        <v>0</v>
      </c>
      <c r="J4374" s="284">
        <v>0</v>
      </c>
    </row>
    <row r="4375" spans="3:10" x14ac:dyDescent="0.25">
      <c r="C4375" s="300" t="s">
        <v>1067</v>
      </c>
      <c r="D4375" s="283" t="s">
        <v>1087</v>
      </c>
      <c r="E4375" s="283" t="s">
        <v>1076</v>
      </c>
      <c r="F4375" s="283" t="s">
        <v>524</v>
      </c>
      <c r="G4375" s="283">
        <v>4</v>
      </c>
      <c r="H4375" s="283">
        <v>0</v>
      </c>
      <c r="I4375" s="283">
        <v>1</v>
      </c>
      <c r="J4375" s="284">
        <v>0</v>
      </c>
    </row>
    <row r="4376" spans="3:10" x14ac:dyDescent="0.25">
      <c r="C4376" s="300" t="s">
        <v>1066</v>
      </c>
      <c r="D4376" s="283" t="s">
        <v>1079</v>
      </c>
      <c r="E4376" s="283" t="s">
        <v>1089</v>
      </c>
      <c r="F4376" s="283" t="s">
        <v>1093</v>
      </c>
      <c r="G4376" s="283">
        <v>2</v>
      </c>
      <c r="H4376" s="283">
        <v>0</v>
      </c>
      <c r="I4376" s="283">
        <v>0</v>
      </c>
      <c r="J4376" s="284">
        <v>1</v>
      </c>
    </row>
    <row r="4377" spans="3:10" x14ac:dyDescent="0.25">
      <c r="C4377" s="300" t="s">
        <v>1065</v>
      </c>
      <c r="D4377" s="283" t="s">
        <v>1077</v>
      </c>
      <c r="E4377" s="283" t="s">
        <v>1078</v>
      </c>
      <c r="F4377" s="283" t="s">
        <v>1078</v>
      </c>
      <c r="G4377" s="283">
        <v>2</v>
      </c>
      <c r="H4377" s="283">
        <v>0</v>
      </c>
      <c r="I4377" s="283">
        <v>0</v>
      </c>
      <c r="J4377" s="284">
        <v>0</v>
      </c>
    </row>
    <row r="4378" spans="3:10" x14ac:dyDescent="0.25">
      <c r="C4378" s="300" t="s">
        <v>1063</v>
      </c>
      <c r="D4378" s="283" t="s">
        <v>1079</v>
      </c>
      <c r="E4378" s="283" t="s">
        <v>1075</v>
      </c>
      <c r="F4378" s="283" t="s">
        <v>1080</v>
      </c>
      <c r="G4378" s="283">
        <v>2</v>
      </c>
      <c r="H4378" s="283">
        <v>0</v>
      </c>
      <c r="I4378" s="283">
        <v>0</v>
      </c>
      <c r="J4378" s="284">
        <v>0</v>
      </c>
    </row>
    <row r="4379" spans="3:10" x14ac:dyDescent="0.25">
      <c r="C4379" s="300" t="s">
        <v>1061</v>
      </c>
      <c r="D4379" s="283" t="s">
        <v>1077</v>
      </c>
      <c r="E4379" s="283" t="s">
        <v>1075</v>
      </c>
      <c r="F4379" s="283" t="s">
        <v>1078</v>
      </c>
      <c r="G4379" s="283">
        <v>2</v>
      </c>
      <c r="H4379" s="283">
        <v>0</v>
      </c>
      <c r="I4379" s="283">
        <v>0</v>
      </c>
      <c r="J4379" s="284">
        <v>0</v>
      </c>
    </row>
    <row r="4380" spans="3:10" x14ac:dyDescent="0.25">
      <c r="C4380" s="300" t="s">
        <v>1065</v>
      </c>
      <c r="D4380" s="283" t="s">
        <v>1079</v>
      </c>
      <c r="E4380" s="283" t="s">
        <v>1075</v>
      </c>
      <c r="F4380" s="283" t="s">
        <v>1076</v>
      </c>
      <c r="G4380" s="283">
        <v>2</v>
      </c>
      <c r="H4380" s="283">
        <v>0</v>
      </c>
      <c r="I4380" s="283">
        <v>0</v>
      </c>
      <c r="J4380" s="284">
        <v>0</v>
      </c>
    </row>
    <row r="4381" spans="3:10" x14ac:dyDescent="0.25">
      <c r="C4381" s="300" t="s">
        <v>1062</v>
      </c>
      <c r="D4381" s="283" t="s">
        <v>1077</v>
      </c>
      <c r="E4381" s="283" t="s">
        <v>1089</v>
      </c>
      <c r="F4381" s="283" t="s">
        <v>1078</v>
      </c>
      <c r="G4381" s="283">
        <v>2</v>
      </c>
      <c r="H4381" s="283">
        <v>0</v>
      </c>
      <c r="I4381" s="283">
        <v>0</v>
      </c>
      <c r="J4381" s="284">
        <v>0</v>
      </c>
    </row>
    <row r="4382" spans="3:10" x14ac:dyDescent="0.25">
      <c r="C4382" s="300" t="s">
        <v>1062</v>
      </c>
      <c r="D4382" s="283" t="s">
        <v>1079</v>
      </c>
      <c r="E4382" s="283" t="s">
        <v>1075</v>
      </c>
      <c r="F4382" s="283" t="s">
        <v>1083</v>
      </c>
      <c r="G4382" s="283">
        <v>2</v>
      </c>
      <c r="H4382" s="283">
        <v>0</v>
      </c>
      <c r="I4382" s="283">
        <v>0</v>
      </c>
      <c r="J4382" s="284">
        <v>1</v>
      </c>
    </row>
    <row r="4383" spans="3:10" x14ac:dyDescent="0.25">
      <c r="C4383" s="300" t="s">
        <v>1064</v>
      </c>
      <c r="D4383" s="283" t="s">
        <v>1074</v>
      </c>
      <c r="E4383" s="283" t="s">
        <v>1089</v>
      </c>
      <c r="F4383" s="283" t="s">
        <v>1089</v>
      </c>
      <c r="G4383" s="283">
        <v>3</v>
      </c>
      <c r="H4383" s="283">
        <v>0</v>
      </c>
      <c r="I4383" s="283">
        <v>0</v>
      </c>
      <c r="J4383" s="284">
        <v>0</v>
      </c>
    </row>
    <row r="4384" spans="3:10" x14ac:dyDescent="0.25">
      <c r="C4384" s="300" t="s">
        <v>1065</v>
      </c>
      <c r="D4384" s="283" t="s">
        <v>1077</v>
      </c>
      <c r="E4384" s="283" t="s">
        <v>1080</v>
      </c>
      <c r="F4384" s="283" t="s">
        <v>1076</v>
      </c>
      <c r="G4384" s="283">
        <v>3</v>
      </c>
      <c r="H4384" s="283">
        <v>0</v>
      </c>
      <c r="I4384" s="283">
        <v>0</v>
      </c>
      <c r="J4384" s="284">
        <v>0</v>
      </c>
    </row>
    <row r="4385" spans="3:10" x14ac:dyDescent="0.25">
      <c r="C4385" s="300" t="s">
        <v>1068</v>
      </c>
      <c r="D4385" s="283" t="s">
        <v>1090</v>
      </c>
      <c r="E4385" s="283" t="s">
        <v>1083</v>
      </c>
      <c r="F4385" s="283" t="s">
        <v>524</v>
      </c>
      <c r="G4385" s="283">
        <v>1</v>
      </c>
      <c r="H4385" s="283">
        <v>0</v>
      </c>
      <c r="I4385" s="283">
        <v>0</v>
      </c>
      <c r="J4385" s="284">
        <v>1</v>
      </c>
    </row>
    <row r="4386" spans="3:10" x14ac:dyDescent="0.25">
      <c r="C4386" s="300" t="s">
        <v>1065</v>
      </c>
      <c r="D4386" s="283" t="s">
        <v>1079</v>
      </c>
      <c r="E4386" s="283" t="s">
        <v>1044</v>
      </c>
      <c r="F4386" s="283" t="s">
        <v>1075</v>
      </c>
      <c r="G4386" s="283">
        <v>2</v>
      </c>
      <c r="H4386" s="283">
        <v>0</v>
      </c>
      <c r="I4386" s="283">
        <v>0</v>
      </c>
      <c r="J4386" s="284">
        <v>1</v>
      </c>
    </row>
    <row r="4387" spans="3:10" x14ac:dyDescent="0.25">
      <c r="C4387" s="300" t="s">
        <v>1064</v>
      </c>
      <c r="D4387" s="283" t="s">
        <v>1077</v>
      </c>
      <c r="E4387" s="283" t="s">
        <v>1075</v>
      </c>
      <c r="F4387" s="283" t="s">
        <v>1075</v>
      </c>
      <c r="G4387" s="283">
        <v>2</v>
      </c>
      <c r="H4387" s="283">
        <v>0</v>
      </c>
      <c r="I4387" s="283">
        <v>0</v>
      </c>
      <c r="J4387" s="284">
        <v>0</v>
      </c>
    </row>
    <row r="4388" spans="3:10" x14ac:dyDescent="0.25">
      <c r="C4388" s="300" t="s">
        <v>1061</v>
      </c>
      <c r="D4388" s="283" t="s">
        <v>1074</v>
      </c>
      <c r="E4388" s="283" t="s">
        <v>1075</v>
      </c>
      <c r="F4388" s="283" t="s">
        <v>1075</v>
      </c>
      <c r="G4388" s="283">
        <v>2</v>
      </c>
      <c r="H4388" s="283">
        <v>0</v>
      </c>
      <c r="I4388" s="283">
        <v>0</v>
      </c>
      <c r="J4388" s="284">
        <v>1</v>
      </c>
    </row>
    <row r="4389" spans="3:10" x14ac:dyDescent="0.25">
      <c r="C4389" s="300" t="s">
        <v>1067</v>
      </c>
      <c r="D4389" s="283" t="s">
        <v>1074</v>
      </c>
      <c r="E4389" s="283" t="s">
        <v>1081</v>
      </c>
      <c r="F4389" s="283" t="s">
        <v>1075</v>
      </c>
      <c r="G4389" s="283">
        <v>2</v>
      </c>
      <c r="H4389" s="283">
        <v>0</v>
      </c>
      <c r="I4389" s="283">
        <v>0</v>
      </c>
      <c r="J4389" s="284">
        <v>0</v>
      </c>
    </row>
    <row r="4390" spans="3:10" x14ac:dyDescent="0.25">
      <c r="C4390" s="300" t="s">
        <v>1063</v>
      </c>
      <c r="D4390" s="283" t="s">
        <v>1077</v>
      </c>
      <c r="E4390" s="283" t="s">
        <v>1075</v>
      </c>
      <c r="F4390" s="283" t="s">
        <v>1075</v>
      </c>
      <c r="G4390" s="283">
        <v>2</v>
      </c>
      <c r="H4390" s="283">
        <v>0</v>
      </c>
      <c r="I4390" s="283">
        <v>0</v>
      </c>
      <c r="J4390" s="284">
        <v>0</v>
      </c>
    </row>
    <row r="4391" spans="3:10" x14ac:dyDescent="0.25">
      <c r="C4391" s="300" t="s">
        <v>1059</v>
      </c>
      <c r="D4391" s="283" t="s">
        <v>1074</v>
      </c>
      <c r="E4391" s="283" t="s">
        <v>1080</v>
      </c>
      <c r="F4391" s="283" t="s">
        <v>1078</v>
      </c>
      <c r="G4391" s="283">
        <v>2</v>
      </c>
      <c r="H4391" s="283">
        <v>0</v>
      </c>
      <c r="I4391" s="283">
        <v>0</v>
      </c>
      <c r="J4391" s="284">
        <v>1</v>
      </c>
    </row>
    <row r="4392" spans="3:10" x14ac:dyDescent="0.25">
      <c r="C4392" s="300" t="s">
        <v>1065</v>
      </c>
      <c r="D4392" s="283" t="s">
        <v>1077</v>
      </c>
      <c r="E4392" s="283" t="s">
        <v>1100</v>
      </c>
      <c r="F4392" s="283" t="s">
        <v>1076</v>
      </c>
      <c r="G4392" s="283">
        <v>5</v>
      </c>
      <c r="H4392" s="283">
        <v>0</v>
      </c>
      <c r="I4392" s="283">
        <v>0</v>
      </c>
      <c r="J4392" s="284">
        <v>1</v>
      </c>
    </row>
    <row r="4393" spans="3:10" x14ac:dyDescent="0.25">
      <c r="C4393" s="300" t="s">
        <v>1064</v>
      </c>
      <c r="D4393" s="283" t="s">
        <v>1074</v>
      </c>
      <c r="E4393" s="283" t="s">
        <v>1075</v>
      </c>
      <c r="F4393" s="283" t="s">
        <v>1076</v>
      </c>
      <c r="G4393" s="283">
        <v>2</v>
      </c>
      <c r="H4393" s="283">
        <v>0</v>
      </c>
      <c r="I4393" s="283">
        <v>0</v>
      </c>
      <c r="J4393" s="284">
        <v>0</v>
      </c>
    </row>
    <row r="4394" spans="3:10" x14ac:dyDescent="0.25">
      <c r="C4394" s="300" t="s">
        <v>1059</v>
      </c>
      <c r="D4394" s="283" t="s">
        <v>1087</v>
      </c>
      <c r="E4394" s="283" t="s">
        <v>1083</v>
      </c>
      <c r="F4394" s="283" t="s">
        <v>524</v>
      </c>
      <c r="G4394" s="283">
        <v>1</v>
      </c>
      <c r="H4394" s="283">
        <v>0</v>
      </c>
      <c r="I4394" s="283">
        <v>0</v>
      </c>
      <c r="J4394" s="284">
        <v>1</v>
      </c>
    </row>
    <row r="4395" spans="3:10" x14ac:dyDescent="0.25">
      <c r="C4395" s="300" t="s">
        <v>1064</v>
      </c>
      <c r="D4395" s="283" t="s">
        <v>1077</v>
      </c>
      <c r="E4395" s="283" t="s">
        <v>1089</v>
      </c>
      <c r="F4395" s="283" t="s">
        <v>1075</v>
      </c>
      <c r="G4395" s="283">
        <v>2</v>
      </c>
      <c r="H4395" s="283">
        <v>0</v>
      </c>
      <c r="I4395" s="283">
        <v>0</v>
      </c>
      <c r="J4395" s="284">
        <v>0</v>
      </c>
    </row>
    <row r="4396" spans="3:10" x14ac:dyDescent="0.25">
      <c r="C4396" s="300" t="s">
        <v>1059</v>
      </c>
      <c r="D4396" s="283" t="s">
        <v>1074</v>
      </c>
      <c r="E4396" s="283" t="s">
        <v>1089</v>
      </c>
      <c r="F4396" s="283" t="s">
        <v>1075</v>
      </c>
      <c r="G4396" s="283">
        <v>2</v>
      </c>
      <c r="H4396" s="283">
        <v>0</v>
      </c>
      <c r="I4396" s="283">
        <v>0</v>
      </c>
      <c r="J4396" s="284">
        <v>0</v>
      </c>
    </row>
    <row r="4397" spans="3:10" x14ac:dyDescent="0.25">
      <c r="C4397" s="300" t="s">
        <v>1064</v>
      </c>
      <c r="D4397" s="283" t="s">
        <v>1090</v>
      </c>
      <c r="E4397" s="283" t="s">
        <v>1093</v>
      </c>
      <c r="F4397" s="283" t="s">
        <v>524</v>
      </c>
      <c r="G4397" s="283">
        <v>1</v>
      </c>
      <c r="H4397" s="283">
        <v>0</v>
      </c>
      <c r="I4397" s="283">
        <v>0</v>
      </c>
      <c r="J4397" s="284">
        <v>1</v>
      </c>
    </row>
    <row r="4398" spans="3:10" x14ac:dyDescent="0.25">
      <c r="C4398" s="300" t="s">
        <v>1059</v>
      </c>
      <c r="D4398" s="283" t="s">
        <v>1079</v>
      </c>
      <c r="E4398" s="283" t="s">
        <v>1089</v>
      </c>
      <c r="F4398" s="283" t="s">
        <v>1075</v>
      </c>
      <c r="G4398" s="283">
        <v>2</v>
      </c>
      <c r="H4398" s="283">
        <v>0</v>
      </c>
      <c r="I4398" s="283">
        <v>0</v>
      </c>
      <c r="J4398" s="284">
        <v>0</v>
      </c>
    </row>
    <row r="4399" spans="3:10" x14ac:dyDescent="0.25">
      <c r="C4399" s="300" t="s">
        <v>1065</v>
      </c>
      <c r="D4399" s="283" t="s">
        <v>1079</v>
      </c>
      <c r="E4399" s="283" t="s">
        <v>1075</v>
      </c>
      <c r="F4399" s="283" t="s">
        <v>1083</v>
      </c>
      <c r="G4399" s="283">
        <v>2</v>
      </c>
      <c r="H4399" s="283">
        <v>0</v>
      </c>
      <c r="I4399" s="283">
        <v>1</v>
      </c>
      <c r="J4399" s="284">
        <v>0</v>
      </c>
    </row>
    <row r="4400" spans="3:10" x14ac:dyDescent="0.25">
      <c r="C4400" s="300" t="s">
        <v>1068</v>
      </c>
      <c r="D4400" s="283" t="s">
        <v>1087</v>
      </c>
      <c r="E4400" s="283" t="s">
        <v>1075</v>
      </c>
      <c r="F4400" s="283" t="s">
        <v>524</v>
      </c>
      <c r="G4400" s="283">
        <v>1</v>
      </c>
      <c r="H4400" s="283">
        <v>0</v>
      </c>
      <c r="I4400" s="283">
        <v>0</v>
      </c>
      <c r="J4400" s="284">
        <v>0</v>
      </c>
    </row>
    <row r="4401" spans="3:10" x14ac:dyDescent="0.25">
      <c r="C4401" s="300" t="s">
        <v>1064</v>
      </c>
      <c r="D4401" s="283" t="s">
        <v>1077</v>
      </c>
      <c r="E4401" s="283" t="s">
        <v>1076</v>
      </c>
      <c r="F4401" s="283" t="s">
        <v>1075</v>
      </c>
      <c r="G4401" s="283">
        <v>4</v>
      </c>
      <c r="H4401" s="283">
        <v>0</v>
      </c>
      <c r="I4401" s="283">
        <v>0</v>
      </c>
      <c r="J4401" s="284">
        <v>0</v>
      </c>
    </row>
    <row r="4402" spans="3:10" x14ac:dyDescent="0.25">
      <c r="C4402" s="300" t="s">
        <v>1067</v>
      </c>
      <c r="D4402" s="283" t="s">
        <v>1079</v>
      </c>
      <c r="E4402" s="283" t="s">
        <v>1089</v>
      </c>
      <c r="F4402" s="283" t="s">
        <v>1075</v>
      </c>
      <c r="G4402" s="283">
        <v>3</v>
      </c>
      <c r="H4402" s="283">
        <v>0</v>
      </c>
      <c r="I4402" s="283">
        <v>0</v>
      </c>
      <c r="J4402" s="284">
        <v>0</v>
      </c>
    </row>
    <row r="4403" spans="3:10" x14ac:dyDescent="0.25">
      <c r="C4403" s="300" t="s">
        <v>1065</v>
      </c>
      <c r="D4403" s="283" t="s">
        <v>1077</v>
      </c>
      <c r="E4403" s="283" t="s">
        <v>1080</v>
      </c>
      <c r="F4403" s="283" t="s">
        <v>1075</v>
      </c>
      <c r="G4403" s="283">
        <v>2</v>
      </c>
      <c r="H4403" s="283">
        <v>0</v>
      </c>
      <c r="I4403" s="283">
        <v>0</v>
      </c>
      <c r="J4403" s="284">
        <v>1</v>
      </c>
    </row>
    <row r="4404" spans="3:10" x14ac:dyDescent="0.25">
      <c r="C4404" s="300" t="s">
        <v>1061</v>
      </c>
      <c r="D4404" s="283" t="s">
        <v>1090</v>
      </c>
      <c r="E4404" s="283" t="s">
        <v>1083</v>
      </c>
      <c r="F4404" s="283" t="s">
        <v>524</v>
      </c>
      <c r="G4404" s="283">
        <v>1</v>
      </c>
      <c r="H4404" s="283">
        <v>0</v>
      </c>
      <c r="I4404" s="283">
        <v>0</v>
      </c>
      <c r="J4404" s="284">
        <v>1</v>
      </c>
    </row>
    <row r="4405" spans="3:10" x14ac:dyDescent="0.25">
      <c r="C4405" s="300" t="s">
        <v>1060</v>
      </c>
      <c r="D4405" s="283" t="s">
        <v>1079</v>
      </c>
      <c r="E4405" s="283" t="s">
        <v>1084</v>
      </c>
      <c r="F4405" s="283" t="s">
        <v>1078</v>
      </c>
      <c r="G4405" s="283">
        <v>2</v>
      </c>
      <c r="H4405" s="283">
        <v>0</v>
      </c>
      <c r="I4405" s="283">
        <v>0</v>
      </c>
      <c r="J4405" s="284">
        <v>0</v>
      </c>
    </row>
    <row r="4406" spans="3:10" x14ac:dyDescent="0.25">
      <c r="C4406" s="300" t="s">
        <v>1065</v>
      </c>
      <c r="D4406" s="283" t="s">
        <v>1043</v>
      </c>
      <c r="E4406" s="283" t="s">
        <v>1075</v>
      </c>
      <c r="F4406" s="283" t="s">
        <v>1104</v>
      </c>
      <c r="G4406" s="283">
        <v>2</v>
      </c>
      <c r="H4406" s="283">
        <v>0</v>
      </c>
      <c r="I4406" s="283">
        <v>0</v>
      </c>
      <c r="J4406" s="284">
        <v>0</v>
      </c>
    </row>
    <row r="4407" spans="3:10" x14ac:dyDescent="0.25">
      <c r="C4407" s="300" t="s">
        <v>1060</v>
      </c>
      <c r="D4407" s="283" t="s">
        <v>1043</v>
      </c>
      <c r="E4407" s="283" t="s">
        <v>1075</v>
      </c>
      <c r="F4407" s="283" t="s">
        <v>1092</v>
      </c>
      <c r="G4407" s="283">
        <v>2</v>
      </c>
      <c r="H4407" s="283">
        <v>0</v>
      </c>
      <c r="I4407" s="283">
        <v>1</v>
      </c>
      <c r="J4407" s="284">
        <v>0</v>
      </c>
    </row>
    <row r="4408" spans="3:10" x14ac:dyDescent="0.25">
      <c r="C4408" s="300" t="s">
        <v>1064</v>
      </c>
      <c r="D4408" s="283" t="s">
        <v>1087</v>
      </c>
      <c r="E4408" s="283" t="s">
        <v>1075</v>
      </c>
      <c r="F4408" s="283" t="s">
        <v>524</v>
      </c>
      <c r="G4408" s="283">
        <v>1</v>
      </c>
      <c r="H4408" s="283">
        <v>0</v>
      </c>
      <c r="I4408" s="283">
        <v>0</v>
      </c>
      <c r="J4408" s="284">
        <v>0</v>
      </c>
    </row>
    <row r="4409" spans="3:10" x14ac:dyDescent="0.25">
      <c r="C4409" s="300" t="s">
        <v>1060</v>
      </c>
      <c r="D4409" s="283" t="s">
        <v>1074</v>
      </c>
      <c r="E4409" s="283" t="s">
        <v>1084</v>
      </c>
      <c r="F4409" s="283" t="s">
        <v>1044</v>
      </c>
      <c r="G4409" s="283">
        <v>2</v>
      </c>
      <c r="H4409" s="283">
        <v>0</v>
      </c>
      <c r="I4409" s="283">
        <v>0</v>
      </c>
      <c r="J4409" s="284">
        <v>1</v>
      </c>
    </row>
    <row r="4410" spans="3:10" x14ac:dyDescent="0.25">
      <c r="C4410" s="300" t="s">
        <v>1062</v>
      </c>
      <c r="D4410" s="283" t="s">
        <v>1087</v>
      </c>
      <c r="E4410" s="283" t="s">
        <v>1089</v>
      </c>
      <c r="F4410" s="283" t="s">
        <v>524</v>
      </c>
      <c r="G4410" s="283">
        <v>1</v>
      </c>
      <c r="H4410" s="283">
        <v>0</v>
      </c>
      <c r="I4410" s="283">
        <v>0</v>
      </c>
      <c r="J4410" s="284">
        <v>0</v>
      </c>
    </row>
    <row r="4411" spans="3:10" x14ac:dyDescent="0.25">
      <c r="C4411" s="300" t="s">
        <v>1063</v>
      </c>
      <c r="D4411" s="283" t="s">
        <v>1077</v>
      </c>
      <c r="E4411" s="283" t="s">
        <v>1080</v>
      </c>
      <c r="F4411" s="283" t="s">
        <v>1084</v>
      </c>
      <c r="G4411" s="283">
        <v>5</v>
      </c>
      <c r="H4411" s="283">
        <v>0</v>
      </c>
      <c r="I4411" s="283">
        <v>0</v>
      </c>
      <c r="J4411" s="284">
        <v>1</v>
      </c>
    </row>
    <row r="4412" spans="3:10" x14ac:dyDescent="0.25">
      <c r="C4412" s="300" t="s">
        <v>1062</v>
      </c>
      <c r="D4412" s="283" t="s">
        <v>1077</v>
      </c>
      <c r="E4412" s="283" t="s">
        <v>1083</v>
      </c>
      <c r="F4412" s="283" t="s">
        <v>1075</v>
      </c>
      <c r="G4412" s="283">
        <v>2</v>
      </c>
      <c r="H4412" s="283">
        <v>0</v>
      </c>
      <c r="I4412" s="283">
        <v>0</v>
      </c>
      <c r="J4412" s="284">
        <v>1</v>
      </c>
    </row>
    <row r="4413" spans="3:10" x14ac:dyDescent="0.25">
      <c r="C4413" s="300" t="s">
        <v>1066</v>
      </c>
      <c r="D4413" s="283" t="s">
        <v>1077</v>
      </c>
      <c r="E4413" s="283" t="s">
        <v>1075</v>
      </c>
      <c r="F4413" s="283" t="s">
        <v>1075</v>
      </c>
      <c r="G4413" s="283">
        <v>3</v>
      </c>
      <c r="H4413" s="283">
        <v>0</v>
      </c>
      <c r="I4413" s="283">
        <v>0</v>
      </c>
      <c r="J4413" s="284">
        <v>1</v>
      </c>
    </row>
    <row r="4414" spans="3:10" x14ac:dyDescent="0.25">
      <c r="C4414" s="300" t="s">
        <v>1065</v>
      </c>
      <c r="D4414" s="283" t="s">
        <v>1074</v>
      </c>
      <c r="E4414" s="283" t="s">
        <v>1075</v>
      </c>
      <c r="F4414" s="283" t="s">
        <v>1044</v>
      </c>
      <c r="G4414" s="283">
        <v>2</v>
      </c>
      <c r="H4414" s="283">
        <v>0</v>
      </c>
      <c r="I4414" s="283">
        <v>1</v>
      </c>
      <c r="J4414" s="284">
        <v>0</v>
      </c>
    </row>
    <row r="4415" spans="3:10" x14ac:dyDescent="0.25">
      <c r="C4415" s="300" t="s">
        <v>1065</v>
      </c>
      <c r="D4415" s="283" t="s">
        <v>1079</v>
      </c>
      <c r="E4415" s="283" t="s">
        <v>1075</v>
      </c>
      <c r="F4415" s="283" t="s">
        <v>1075</v>
      </c>
      <c r="G4415" s="283">
        <v>2</v>
      </c>
      <c r="H4415" s="283">
        <v>0</v>
      </c>
      <c r="I4415" s="283">
        <v>0</v>
      </c>
      <c r="J4415" s="284">
        <v>0</v>
      </c>
    </row>
    <row r="4416" spans="3:10" x14ac:dyDescent="0.25">
      <c r="C4416" s="300" t="s">
        <v>1065</v>
      </c>
      <c r="D4416" s="283" t="s">
        <v>1074</v>
      </c>
      <c r="E4416" s="283" t="s">
        <v>1089</v>
      </c>
      <c r="F4416" s="283" t="s">
        <v>1075</v>
      </c>
      <c r="G4416" s="283">
        <v>2</v>
      </c>
      <c r="H4416" s="283">
        <v>0</v>
      </c>
      <c r="I4416" s="283">
        <v>0</v>
      </c>
      <c r="J4416" s="284">
        <v>0</v>
      </c>
    </row>
    <row r="4417" spans="3:10" x14ac:dyDescent="0.25">
      <c r="C4417" s="300" t="s">
        <v>1065</v>
      </c>
      <c r="D4417" s="283" t="s">
        <v>1074</v>
      </c>
      <c r="E4417" s="283" t="s">
        <v>1076</v>
      </c>
      <c r="F4417" s="283" t="s">
        <v>1089</v>
      </c>
      <c r="G4417" s="283">
        <v>2</v>
      </c>
      <c r="H4417" s="283">
        <v>0</v>
      </c>
      <c r="I4417" s="283">
        <v>0</v>
      </c>
      <c r="J4417" s="284">
        <v>0</v>
      </c>
    </row>
    <row r="4418" spans="3:10" x14ac:dyDescent="0.25">
      <c r="C4418" s="300" t="s">
        <v>1068</v>
      </c>
      <c r="D4418" s="283" t="s">
        <v>1077</v>
      </c>
      <c r="E4418" s="283" t="s">
        <v>1075</v>
      </c>
      <c r="F4418" s="283" t="s">
        <v>1075</v>
      </c>
      <c r="G4418" s="283">
        <v>2</v>
      </c>
      <c r="H4418" s="283">
        <v>0</v>
      </c>
      <c r="I4418" s="283">
        <v>0</v>
      </c>
      <c r="J4418" s="284">
        <v>0</v>
      </c>
    </row>
    <row r="4419" spans="3:10" x14ac:dyDescent="0.25">
      <c r="C4419" s="300" t="s">
        <v>1064</v>
      </c>
      <c r="D4419" s="283" t="s">
        <v>1079</v>
      </c>
      <c r="E4419" s="283" t="s">
        <v>1075</v>
      </c>
      <c r="F4419" s="283" t="s">
        <v>1078</v>
      </c>
      <c r="G4419" s="283">
        <v>2</v>
      </c>
      <c r="H4419" s="283">
        <v>0</v>
      </c>
      <c r="I4419" s="283">
        <v>0</v>
      </c>
      <c r="J4419" s="284">
        <v>0</v>
      </c>
    </row>
    <row r="4420" spans="3:10" x14ac:dyDescent="0.25">
      <c r="C4420" s="300" t="s">
        <v>1061</v>
      </c>
      <c r="D4420" s="283" t="s">
        <v>1074</v>
      </c>
      <c r="E4420" s="283" t="s">
        <v>1075</v>
      </c>
      <c r="F4420" s="283" t="s">
        <v>1076</v>
      </c>
      <c r="G4420" s="283">
        <v>2</v>
      </c>
      <c r="H4420" s="283">
        <v>0</v>
      </c>
      <c r="I4420" s="283">
        <v>0</v>
      </c>
      <c r="J4420" s="284">
        <v>0</v>
      </c>
    </row>
    <row r="4421" spans="3:10" x14ac:dyDescent="0.25">
      <c r="C4421" s="300" t="s">
        <v>1062</v>
      </c>
      <c r="D4421" s="283" t="s">
        <v>1079</v>
      </c>
      <c r="E4421" s="283" t="s">
        <v>1080</v>
      </c>
      <c r="F4421" s="283" t="s">
        <v>1075</v>
      </c>
      <c r="G4421" s="283">
        <v>2</v>
      </c>
      <c r="H4421" s="283">
        <v>0</v>
      </c>
      <c r="I4421" s="283">
        <v>0</v>
      </c>
      <c r="J4421" s="284">
        <v>0</v>
      </c>
    </row>
    <row r="4422" spans="3:10" x14ac:dyDescent="0.25">
      <c r="C4422" s="300" t="s">
        <v>1066</v>
      </c>
      <c r="D4422" s="283" t="s">
        <v>1077</v>
      </c>
      <c r="E4422" s="283" t="s">
        <v>1076</v>
      </c>
      <c r="F4422" s="283" t="s">
        <v>1075</v>
      </c>
      <c r="G4422" s="283">
        <v>2</v>
      </c>
      <c r="H4422" s="283">
        <v>0</v>
      </c>
      <c r="I4422" s="283">
        <v>0</v>
      </c>
      <c r="J4422" s="284">
        <v>0</v>
      </c>
    </row>
    <row r="4423" spans="3:10" x14ac:dyDescent="0.25">
      <c r="C4423" s="300" t="s">
        <v>1061</v>
      </c>
      <c r="D4423" s="283" t="s">
        <v>1079</v>
      </c>
      <c r="E4423" s="283" t="s">
        <v>1086</v>
      </c>
      <c r="F4423" s="283" t="s">
        <v>1075</v>
      </c>
      <c r="G4423" s="283">
        <v>2</v>
      </c>
      <c r="H4423" s="283">
        <v>0</v>
      </c>
      <c r="I4423" s="283">
        <v>0</v>
      </c>
      <c r="J4423" s="284">
        <v>0</v>
      </c>
    </row>
    <row r="4424" spans="3:10" x14ac:dyDescent="0.25">
      <c r="C4424" s="300" t="s">
        <v>1064</v>
      </c>
      <c r="D4424" s="283" t="s">
        <v>1079</v>
      </c>
      <c r="E4424" s="283" t="s">
        <v>1076</v>
      </c>
      <c r="F4424" s="283" t="s">
        <v>1083</v>
      </c>
      <c r="G4424" s="283">
        <v>2</v>
      </c>
      <c r="H4424" s="283">
        <v>0</v>
      </c>
      <c r="I4424" s="283">
        <v>0</v>
      </c>
      <c r="J4424" s="284">
        <v>0</v>
      </c>
    </row>
    <row r="4425" spans="3:10" x14ac:dyDescent="0.25">
      <c r="C4425" s="300" t="s">
        <v>1066</v>
      </c>
      <c r="D4425" s="283" t="s">
        <v>1077</v>
      </c>
      <c r="E4425" s="283" t="s">
        <v>1094</v>
      </c>
      <c r="F4425" s="283" t="s">
        <v>1076</v>
      </c>
      <c r="G4425" s="283">
        <v>2</v>
      </c>
      <c r="H4425" s="283">
        <v>0</v>
      </c>
      <c r="I4425" s="283">
        <v>0</v>
      </c>
      <c r="J4425" s="284">
        <v>0</v>
      </c>
    </row>
    <row r="4426" spans="3:10" x14ac:dyDescent="0.25">
      <c r="C4426" s="300" t="s">
        <v>1065</v>
      </c>
      <c r="D4426" s="283" t="s">
        <v>1079</v>
      </c>
      <c r="E4426" s="283" t="s">
        <v>1075</v>
      </c>
      <c r="F4426" s="283" t="s">
        <v>1075</v>
      </c>
      <c r="G4426" s="283">
        <v>2</v>
      </c>
      <c r="H4426" s="283">
        <v>0</v>
      </c>
      <c r="I4426" s="283">
        <v>0</v>
      </c>
      <c r="J4426" s="284">
        <v>0</v>
      </c>
    </row>
    <row r="4427" spans="3:10" x14ac:dyDescent="0.25">
      <c r="C4427" s="300" t="s">
        <v>1066</v>
      </c>
      <c r="D4427" s="283" t="s">
        <v>1074</v>
      </c>
      <c r="E4427" s="283" t="s">
        <v>1076</v>
      </c>
      <c r="F4427" s="283" t="s">
        <v>1078</v>
      </c>
      <c r="G4427" s="283">
        <v>2</v>
      </c>
      <c r="H4427" s="283">
        <v>0</v>
      </c>
      <c r="I4427" s="283">
        <v>0</v>
      </c>
      <c r="J4427" s="284">
        <v>0</v>
      </c>
    </row>
    <row r="4428" spans="3:10" x14ac:dyDescent="0.25">
      <c r="C4428" s="300" t="s">
        <v>1064</v>
      </c>
      <c r="D4428" s="283" t="s">
        <v>1079</v>
      </c>
      <c r="E4428" s="283" t="s">
        <v>1075</v>
      </c>
      <c r="F4428" s="283" t="s">
        <v>1075</v>
      </c>
      <c r="G4428" s="283">
        <v>2</v>
      </c>
      <c r="H4428" s="283">
        <v>0</v>
      </c>
      <c r="I4428" s="283">
        <v>0</v>
      </c>
      <c r="J4428" s="284">
        <v>0</v>
      </c>
    </row>
    <row r="4429" spans="3:10" x14ac:dyDescent="0.25">
      <c r="C4429" s="300" t="s">
        <v>1065</v>
      </c>
      <c r="D4429" s="283" t="s">
        <v>1079</v>
      </c>
      <c r="E4429" s="283" t="s">
        <v>1089</v>
      </c>
      <c r="F4429" s="283" t="s">
        <v>1075</v>
      </c>
      <c r="G4429" s="283">
        <v>2</v>
      </c>
      <c r="H4429" s="283">
        <v>0</v>
      </c>
      <c r="I4429" s="283">
        <v>0</v>
      </c>
      <c r="J4429" s="284">
        <v>0</v>
      </c>
    </row>
    <row r="4430" spans="3:10" x14ac:dyDescent="0.25">
      <c r="C4430" s="300" t="s">
        <v>1066</v>
      </c>
      <c r="D4430" s="283" t="s">
        <v>1079</v>
      </c>
      <c r="E4430" s="283" t="s">
        <v>1081</v>
      </c>
      <c r="F4430" s="283" t="s">
        <v>1078</v>
      </c>
      <c r="G4430" s="283">
        <v>2</v>
      </c>
      <c r="H4430" s="283">
        <v>0</v>
      </c>
      <c r="I4430" s="283">
        <v>0</v>
      </c>
      <c r="J4430" s="284">
        <v>0</v>
      </c>
    </row>
    <row r="4431" spans="3:10" x14ac:dyDescent="0.25">
      <c r="C4431" s="300" t="s">
        <v>1065</v>
      </c>
      <c r="D4431" s="283" t="s">
        <v>1074</v>
      </c>
      <c r="E4431" s="283" t="s">
        <v>1075</v>
      </c>
      <c r="F4431" s="283" t="s">
        <v>1075</v>
      </c>
      <c r="G4431" s="283">
        <v>3</v>
      </c>
      <c r="H4431" s="283">
        <v>0</v>
      </c>
      <c r="I4431" s="283">
        <v>0</v>
      </c>
      <c r="J4431" s="284">
        <v>0</v>
      </c>
    </row>
    <row r="4432" spans="3:10" x14ac:dyDescent="0.25">
      <c r="C4432" s="300" t="s">
        <v>1066</v>
      </c>
      <c r="D4432" s="283" t="s">
        <v>1087</v>
      </c>
      <c r="E4432" s="283" t="s">
        <v>1089</v>
      </c>
      <c r="F4432" s="283" t="s">
        <v>524</v>
      </c>
      <c r="G4432" s="283">
        <v>1</v>
      </c>
      <c r="H4432" s="283">
        <v>0</v>
      </c>
      <c r="I4432" s="283">
        <v>0</v>
      </c>
      <c r="J4432" s="284">
        <v>0</v>
      </c>
    </row>
    <row r="4433" spans="3:10" x14ac:dyDescent="0.25">
      <c r="C4433" s="300" t="s">
        <v>1067</v>
      </c>
      <c r="D4433" s="283" t="s">
        <v>1077</v>
      </c>
      <c r="E4433" s="283" t="s">
        <v>1075</v>
      </c>
      <c r="F4433" s="283" t="s">
        <v>1075</v>
      </c>
      <c r="G4433" s="283">
        <v>4</v>
      </c>
      <c r="H4433" s="283">
        <v>0</v>
      </c>
      <c r="I4433" s="283">
        <v>0</v>
      </c>
      <c r="J4433" s="284">
        <v>0</v>
      </c>
    </row>
    <row r="4434" spans="3:10" x14ac:dyDescent="0.25">
      <c r="C4434" s="300" t="s">
        <v>1062</v>
      </c>
      <c r="D4434" s="283" t="s">
        <v>1077</v>
      </c>
      <c r="E4434" s="283" t="s">
        <v>1080</v>
      </c>
      <c r="F4434" s="283" t="s">
        <v>1089</v>
      </c>
      <c r="G4434" s="283">
        <v>2</v>
      </c>
      <c r="H4434" s="283">
        <v>0</v>
      </c>
      <c r="I4434" s="283">
        <v>0</v>
      </c>
      <c r="J4434" s="284">
        <v>0</v>
      </c>
    </row>
    <row r="4435" spans="3:10" x14ac:dyDescent="0.25">
      <c r="C4435" s="300" t="s">
        <v>1065</v>
      </c>
      <c r="D4435" s="283" t="s">
        <v>1079</v>
      </c>
      <c r="E4435" s="283" t="s">
        <v>1089</v>
      </c>
      <c r="F4435" s="283" t="s">
        <v>1075</v>
      </c>
      <c r="G4435" s="283">
        <v>2</v>
      </c>
      <c r="H4435" s="283">
        <v>0</v>
      </c>
      <c r="I4435" s="283">
        <v>0</v>
      </c>
      <c r="J4435" s="284">
        <v>0</v>
      </c>
    </row>
    <row r="4436" spans="3:10" x14ac:dyDescent="0.25">
      <c r="C4436" s="300" t="s">
        <v>1065</v>
      </c>
      <c r="D4436" s="283" t="s">
        <v>1082</v>
      </c>
      <c r="E4436" s="283" t="s">
        <v>1075</v>
      </c>
      <c r="F4436" s="283" t="s">
        <v>1075</v>
      </c>
      <c r="G4436" s="283">
        <v>4</v>
      </c>
      <c r="H4436" s="283">
        <v>0</v>
      </c>
      <c r="I4436" s="283">
        <v>0</v>
      </c>
      <c r="J4436" s="284">
        <v>0</v>
      </c>
    </row>
    <row r="4437" spans="3:10" x14ac:dyDescent="0.25">
      <c r="C4437" s="300" t="s">
        <v>1066</v>
      </c>
      <c r="D4437" s="283" t="s">
        <v>1077</v>
      </c>
      <c r="E4437" s="283" t="s">
        <v>1089</v>
      </c>
      <c r="F4437" s="283" t="s">
        <v>1089</v>
      </c>
      <c r="G4437" s="283">
        <v>3</v>
      </c>
      <c r="H4437" s="283">
        <v>0</v>
      </c>
      <c r="I4437" s="283">
        <v>0</v>
      </c>
      <c r="J4437" s="284">
        <v>0</v>
      </c>
    </row>
    <row r="4438" spans="3:10" x14ac:dyDescent="0.25">
      <c r="C4438" s="300" t="s">
        <v>1062</v>
      </c>
      <c r="D4438" s="283" t="s">
        <v>1074</v>
      </c>
      <c r="E4438" s="283" t="s">
        <v>1075</v>
      </c>
      <c r="F4438" s="283" t="s">
        <v>1075</v>
      </c>
      <c r="G4438" s="283">
        <v>2</v>
      </c>
      <c r="H4438" s="283">
        <v>0</v>
      </c>
      <c r="I4438" s="283">
        <v>0</v>
      </c>
      <c r="J4438" s="284">
        <v>0</v>
      </c>
    </row>
    <row r="4439" spans="3:10" x14ac:dyDescent="0.25">
      <c r="C4439" s="300" t="s">
        <v>1060</v>
      </c>
      <c r="D4439" s="283" t="s">
        <v>1079</v>
      </c>
      <c r="E4439" s="283" t="s">
        <v>1075</v>
      </c>
      <c r="F4439" s="283" t="s">
        <v>1076</v>
      </c>
      <c r="G4439" s="283">
        <v>4</v>
      </c>
      <c r="H4439" s="283">
        <v>0</v>
      </c>
      <c r="I4439" s="283">
        <v>0</v>
      </c>
      <c r="J4439" s="284">
        <v>0</v>
      </c>
    </row>
    <row r="4440" spans="3:10" x14ac:dyDescent="0.25">
      <c r="C4440" s="300" t="s">
        <v>1066</v>
      </c>
      <c r="D4440" s="283" t="s">
        <v>1079</v>
      </c>
      <c r="E4440" s="283" t="s">
        <v>1075</v>
      </c>
      <c r="F4440" s="283" t="s">
        <v>1075</v>
      </c>
      <c r="G4440" s="283">
        <v>3</v>
      </c>
      <c r="H4440" s="283">
        <v>0</v>
      </c>
      <c r="I4440" s="283">
        <v>0</v>
      </c>
      <c r="J4440" s="284">
        <v>0</v>
      </c>
    </row>
    <row r="4441" spans="3:10" x14ac:dyDescent="0.25">
      <c r="C4441" s="300" t="s">
        <v>1062</v>
      </c>
      <c r="D4441" s="283" t="s">
        <v>1082</v>
      </c>
      <c r="E4441" s="283" t="s">
        <v>1075</v>
      </c>
      <c r="F4441" s="283" t="s">
        <v>1075</v>
      </c>
      <c r="G4441" s="283">
        <v>2</v>
      </c>
      <c r="H4441" s="283">
        <v>0</v>
      </c>
      <c r="I4441" s="283">
        <v>0</v>
      </c>
      <c r="J4441" s="284">
        <v>0</v>
      </c>
    </row>
    <row r="4442" spans="3:10" x14ac:dyDescent="0.25">
      <c r="C4442" s="300" t="s">
        <v>1068</v>
      </c>
      <c r="D4442" s="283" t="s">
        <v>1087</v>
      </c>
      <c r="E4442" s="283" t="s">
        <v>1075</v>
      </c>
      <c r="F4442" s="283" t="s">
        <v>524</v>
      </c>
      <c r="G4442" s="283">
        <v>1</v>
      </c>
      <c r="H4442" s="283">
        <v>0</v>
      </c>
      <c r="I4442" s="283">
        <v>0</v>
      </c>
      <c r="J4442" s="284">
        <v>0</v>
      </c>
    </row>
    <row r="4443" spans="3:10" x14ac:dyDescent="0.25">
      <c r="C4443" s="300" t="s">
        <v>1057</v>
      </c>
      <c r="D4443" s="283" t="s">
        <v>1079</v>
      </c>
      <c r="E4443" s="283" t="s">
        <v>1086</v>
      </c>
      <c r="F4443" s="283" t="s">
        <v>1075</v>
      </c>
      <c r="G4443" s="283">
        <v>2</v>
      </c>
      <c r="H4443" s="283">
        <v>0</v>
      </c>
      <c r="I4443" s="283">
        <v>0</v>
      </c>
      <c r="J4443" s="284">
        <v>0</v>
      </c>
    </row>
    <row r="4444" spans="3:10" x14ac:dyDescent="0.25">
      <c r="C4444" s="300" t="s">
        <v>1060</v>
      </c>
      <c r="D4444" s="283" t="s">
        <v>1077</v>
      </c>
      <c r="E4444" s="283" t="s">
        <v>1076</v>
      </c>
      <c r="F4444" s="283" t="s">
        <v>1075</v>
      </c>
      <c r="G4444" s="283">
        <v>3</v>
      </c>
      <c r="H4444" s="283">
        <v>0</v>
      </c>
      <c r="I4444" s="283">
        <v>0</v>
      </c>
      <c r="J4444" s="284">
        <v>0</v>
      </c>
    </row>
    <row r="4445" spans="3:10" x14ac:dyDescent="0.25">
      <c r="C4445" s="300" t="s">
        <v>1065</v>
      </c>
      <c r="D4445" s="283" t="s">
        <v>1043</v>
      </c>
      <c r="E4445" s="283" t="s">
        <v>1075</v>
      </c>
      <c r="F4445" s="283" t="s">
        <v>1092</v>
      </c>
      <c r="G4445" s="283">
        <v>2</v>
      </c>
      <c r="H4445" s="283">
        <v>0</v>
      </c>
      <c r="I4445" s="283">
        <v>1</v>
      </c>
      <c r="J4445" s="284">
        <v>0</v>
      </c>
    </row>
    <row r="4446" spans="3:10" x14ac:dyDescent="0.25">
      <c r="C4446" s="300" t="s">
        <v>1063</v>
      </c>
      <c r="D4446" s="283" t="s">
        <v>1087</v>
      </c>
      <c r="E4446" s="283" t="s">
        <v>1075</v>
      </c>
      <c r="F4446" s="283" t="s">
        <v>524</v>
      </c>
      <c r="G4446" s="283">
        <v>1</v>
      </c>
      <c r="H4446" s="283">
        <v>0</v>
      </c>
      <c r="I4446" s="283">
        <v>1</v>
      </c>
      <c r="J4446" s="284">
        <v>0</v>
      </c>
    </row>
    <row r="4447" spans="3:10" x14ac:dyDescent="0.25">
      <c r="C4447" s="300" t="s">
        <v>1058</v>
      </c>
      <c r="D4447" s="283" t="s">
        <v>1087</v>
      </c>
      <c r="E4447" s="283" t="s">
        <v>1078</v>
      </c>
      <c r="F4447" s="283" t="s">
        <v>524</v>
      </c>
      <c r="G4447" s="283">
        <v>1</v>
      </c>
      <c r="H4447" s="283">
        <v>0</v>
      </c>
      <c r="I4447" s="283">
        <v>0</v>
      </c>
      <c r="J4447" s="284">
        <v>0</v>
      </c>
    </row>
    <row r="4448" spans="3:10" x14ac:dyDescent="0.25">
      <c r="C4448" s="300" t="s">
        <v>1060</v>
      </c>
      <c r="D4448" s="283" t="s">
        <v>1077</v>
      </c>
      <c r="E4448" s="283" t="s">
        <v>1076</v>
      </c>
      <c r="F4448" s="283" t="s">
        <v>1075</v>
      </c>
      <c r="G4448" s="283">
        <v>3</v>
      </c>
      <c r="H4448" s="283">
        <v>0</v>
      </c>
      <c r="I4448" s="283">
        <v>0</v>
      </c>
      <c r="J4448" s="284">
        <v>0</v>
      </c>
    </row>
    <row r="4449" spans="3:10" x14ac:dyDescent="0.25">
      <c r="C4449" s="300" t="s">
        <v>1065</v>
      </c>
      <c r="D4449" s="283" t="s">
        <v>1087</v>
      </c>
      <c r="E4449" s="283" t="s">
        <v>1089</v>
      </c>
      <c r="F4449" s="283" t="s">
        <v>524</v>
      </c>
      <c r="G4449" s="283">
        <v>1</v>
      </c>
      <c r="H4449" s="283">
        <v>0</v>
      </c>
      <c r="I4449" s="283">
        <v>0</v>
      </c>
      <c r="J4449" s="284">
        <v>1</v>
      </c>
    </row>
    <row r="4450" spans="3:10" x14ac:dyDescent="0.25">
      <c r="C4450" s="300" t="s">
        <v>1065</v>
      </c>
      <c r="D4450" s="283" t="s">
        <v>1082</v>
      </c>
      <c r="E4450" s="283" t="s">
        <v>1075</v>
      </c>
      <c r="F4450" s="283" t="s">
        <v>1075</v>
      </c>
      <c r="G4450" s="283">
        <v>2</v>
      </c>
      <c r="H4450" s="283">
        <v>0</v>
      </c>
      <c r="I4450" s="283">
        <v>0</v>
      </c>
      <c r="J4450" s="284">
        <v>0</v>
      </c>
    </row>
    <row r="4451" spans="3:10" x14ac:dyDescent="0.25">
      <c r="C4451" s="300" t="s">
        <v>1063</v>
      </c>
      <c r="D4451" s="283" t="s">
        <v>1077</v>
      </c>
      <c r="E4451" s="283" t="s">
        <v>1075</v>
      </c>
      <c r="F4451" s="283" t="s">
        <v>1075</v>
      </c>
      <c r="G4451" s="283">
        <v>2</v>
      </c>
      <c r="H4451" s="283">
        <v>0</v>
      </c>
      <c r="I4451" s="283">
        <v>0</v>
      </c>
      <c r="J4451" s="284">
        <v>0</v>
      </c>
    </row>
    <row r="4452" spans="3:10" x14ac:dyDescent="0.25">
      <c r="C4452" s="300" t="s">
        <v>1066</v>
      </c>
      <c r="D4452" s="283" t="s">
        <v>1079</v>
      </c>
      <c r="E4452" s="283" t="s">
        <v>1075</v>
      </c>
      <c r="F4452" s="283" t="s">
        <v>1075</v>
      </c>
      <c r="G4452" s="283">
        <v>2</v>
      </c>
      <c r="H4452" s="283">
        <v>0</v>
      </c>
      <c r="I4452" s="283">
        <v>1</v>
      </c>
      <c r="J4452" s="284">
        <v>0</v>
      </c>
    </row>
    <row r="4453" spans="3:10" x14ac:dyDescent="0.25">
      <c r="C4453" s="300" t="s">
        <v>1066</v>
      </c>
      <c r="D4453" s="283" t="s">
        <v>1074</v>
      </c>
      <c r="E4453" s="283" t="s">
        <v>1075</v>
      </c>
      <c r="F4453" s="283" t="s">
        <v>1044</v>
      </c>
      <c r="G4453" s="283">
        <v>2</v>
      </c>
      <c r="H4453" s="283">
        <v>0</v>
      </c>
      <c r="I4453" s="283">
        <v>0</v>
      </c>
      <c r="J4453" s="284">
        <v>0</v>
      </c>
    </row>
    <row r="4454" spans="3:10" x14ac:dyDescent="0.25">
      <c r="C4454" s="300" t="s">
        <v>1065</v>
      </c>
      <c r="D4454" s="283" t="s">
        <v>1074</v>
      </c>
      <c r="E4454" s="283" t="s">
        <v>1078</v>
      </c>
      <c r="F4454" s="283" t="s">
        <v>1075</v>
      </c>
      <c r="G4454" s="283">
        <v>2</v>
      </c>
      <c r="H4454" s="283">
        <v>0</v>
      </c>
      <c r="I4454" s="283">
        <v>0</v>
      </c>
      <c r="J4454" s="284">
        <v>0</v>
      </c>
    </row>
    <row r="4455" spans="3:10" x14ac:dyDescent="0.25">
      <c r="C4455" s="300" t="s">
        <v>1067</v>
      </c>
      <c r="D4455" s="283" t="s">
        <v>1079</v>
      </c>
      <c r="E4455" s="283" t="s">
        <v>1076</v>
      </c>
      <c r="F4455" s="283" t="s">
        <v>1075</v>
      </c>
      <c r="G4455" s="283">
        <v>3</v>
      </c>
      <c r="H4455" s="283">
        <v>0</v>
      </c>
      <c r="I4455" s="283">
        <v>1</v>
      </c>
      <c r="J4455" s="284">
        <v>0</v>
      </c>
    </row>
    <row r="4456" spans="3:10" x14ac:dyDescent="0.25">
      <c r="C4456" s="300" t="s">
        <v>1062</v>
      </c>
      <c r="D4456" s="283" t="s">
        <v>1079</v>
      </c>
      <c r="E4456" s="283" t="s">
        <v>1075</v>
      </c>
      <c r="F4456" s="283" t="s">
        <v>1075</v>
      </c>
      <c r="G4456" s="283">
        <v>2</v>
      </c>
      <c r="H4456" s="283">
        <v>0</v>
      </c>
      <c r="I4456" s="283">
        <v>1</v>
      </c>
      <c r="J4456" s="284">
        <v>0</v>
      </c>
    </row>
    <row r="4457" spans="3:10" x14ac:dyDescent="0.25">
      <c r="C4457" s="300" t="s">
        <v>1065</v>
      </c>
      <c r="D4457" s="283" t="s">
        <v>1077</v>
      </c>
      <c r="E4457" s="283" t="s">
        <v>1099</v>
      </c>
      <c r="F4457" s="283" t="s">
        <v>1099</v>
      </c>
      <c r="G4457" s="283">
        <v>2</v>
      </c>
      <c r="H4457" s="283">
        <v>0</v>
      </c>
      <c r="I4457" s="283">
        <v>0</v>
      </c>
      <c r="J4457" s="284">
        <v>0</v>
      </c>
    </row>
    <row r="4458" spans="3:10" x14ac:dyDescent="0.25">
      <c r="C4458" s="300" t="s">
        <v>1065</v>
      </c>
      <c r="D4458" s="283" t="s">
        <v>1043</v>
      </c>
      <c r="E4458" s="283" t="s">
        <v>1084</v>
      </c>
      <c r="F4458" s="283" t="s">
        <v>1092</v>
      </c>
      <c r="G4458" s="283">
        <v>2</v>
      </c>
      <c r="H4458" s="283">
        <v>0</v>
      </c>
      <c r="I4458" s="283">
        <v>1</v>
      </c>
      <c r="J4458" s="284">
        <v>0</v>
      </c>
    </row>
    <row r="4459" spans="3:10" x14ac:dyDescent="0.25">
      <c r="C4459" s="300" t="s">
        <v>1064</v>
      </c>
      <c r="D4459" s="283" t="s">
        <v>1079</v>
      </c>
      <c r="E4459" s="283" t="s">
        <v>1076</v>
      </c>
      <c r="F4459" s="283" t="s">
        <v>1075</v>
      </c>
      <c r="G4459" s="283">
        <v>2</v>
      </c>
      <c r="H4459" s="283">
        <v>0</v>
      </c>
      <c r="I4459" s="283">
        <v>0</v>
      </c>
      <c r="J4459" s="284">
        <v>0</v>
      </c>
    </row>
    <row r="4460" spans="3:10" x14ac:dyDescent="0.25">
      <c r="C4460" s="300" t="s">
        <v>1059</v>
      </c>
      <c r="D4460" s="283" t="s">
        <v>1079</v>
      </c>
      <c r="E4460" s="283" t="s">
        <v>1075</v>
      </c>
      <c r="F4460" s="283" t="s">
        <v>1084</v>
      </c>
      <c r="G4460" s="283">
        <v>2</v>
      </c>
      <c r="H4460" s="283">
        <v>0</v>
      </c>
      <c r="I4460" s="283">
        <v>0</v>
      </c>
      <c r="J4460" s="284">
        <v>0</v>
      </c>
    </row>
    <row r="4461" spans="3:10" x14ac:dyDescent="0.25">
      <c r="C4461" s="300" t="s">
        <v>1067</v>
      </c>
      <c r="D4461" s="283" t="s">
        <v>1087</v>
      </c>
      <c r="E4461" s="283" t="s">
        <v>1084</v>
      </c>
      <c r="F4461" s="283" t="s">
        <v>524</v>
      </c>
      <c r="G4461" s="283">
        <v>1</v>
      </c>
      <c r="H4461" s="283">
        <v>0</v>
      </c>
      <c r="I4461" s="283">
        <v>0</v>
      </c>
      <c r="J4461" s="284">
        <v>0</v>
      </c>
    </row>
    <row r="4462" spans="3:10" x14ac:dyDescent="0.25">
      <c r="C4462" s="300" t="s">
        <v>1065</v>
      </c>
      <c r="D4462" s="283" t="s">
        <v>1074</v>
      </c>
      <c r="E4462" s="283" t="s">
        <v>1076</v>
      </c>
      <c r="F4462" s="283" t="s">
        <v>1075</v>
      </c>
      <c r="G4462" s="283">
        <v>2</v>
      </c>
      <c r="H4462" s="283">
        <v>0</v>
      </c>
      <c r="I4462" s="283">
        <v>0</v>
      </c>
      <c r="J4462" s="284">
        <v>0</v>
      </c>
    </row>
    <row r="4463" spans="3:10" x14ac:dyDescent="0.25">
      <c r="C4463" s="300" t="s">
        <v>1065</v>
      </c>
      <c r="D4463" s="283" t="s">
        <v>1077</v>
      </c>
      <c r="E4463" s="283" t="s">
        <v>1075</v>
      </c>
      <c r="F4463" s="283" t="s">
        <v>1089</v>
      </c>
      <c r="G4463" s="283">
        <v>2</v>
      </c>
      <c r="H4463" s="283">
        <v>0</v>
      </c>
      <c r="I4463" s="283">
        <v>0</v>
      </c>
      <c r="J4463" s="284">
        <v>0</v>
      </c>
    </row>
    <row r="4464" spans="3:10" x14ac:dyDescent="0.25">
      <c r="C4464" s="300" t="s">
        <v>1063</v>
      </c>
      <c r="D4464" s="283" t="s">
        <v>1077</v>
      </c>
      <c r="E4464" s="283" t="s">
        <v>1075</v>
      </c>
      <c r="F4464" s="283" t="s">
        <v>1083</v>
      </c>
      <c r="G4464" s="283">
        <v>2</v>
      </c>
      <c r="H4464" s="283">
        <v>0</v>
      </c>
      <c r="I4464" s="283">
        <v>0</v>
      </c>
      <c r="J4464" s="284">
        <v>0</v>
      </c>
    </row>
    <row r="4465" spans="3:10" x14ac:dyDescent="0.25">
      <c r="C4465" s="300" t="s">
        <v>1063</v>
      </c>
      <c r="D4465" s="283" t="s">
        <v>1079</v>
      </c>
      <c r="E4465" s="283" t="s">
        <v>1081</v>
      </c>
      <c r="F4465" s="283" t="s">
        <v>1075</v>
      </c>
      <c r="G4465" s="283">
        <v>2</v>
      </c>
      <c r="H4465" s="283">
        <v>0</v>
      </c>
      <c r="I4465" s="283">
        <v>0</v>
      </c>
      <c r="J4465" s="284">
        <v>0</v>
      </c>
    </row>
    <row r="4466" spans="3:10" x14ac:dyDescent="0.25">
      <c r="C4466" s="300" t="s">
        <v>1065</v>
      </c>
      <c r="D4466" s="283" t="s">
        <v>1079</v>
      </c>
      <c r="E4466" s="283" t="s">
        <v>1075</v>
      </c>
      <c r="F4466" s="283" t="s">
        <v>1075</v>
      </c>
      <c r="G4466" s="283">
        <v>2</v>
      </c>
      <c r="H4466" s="283">
        <v>0</v>
      </c>
      <c r="I4466" s="283">
        <v>0</v>
      </c>
      <c r="J4466" s="284">
        <v>0</v>
      </c>
    </row>
    <row r="4467" spans="3:10" x14ac:dyDescent="0.25">
      <c r="C4467" s="300" t="s">
        <v>1063</v>
      </c>
      <c r="D4467" s="283" t="s">
        <v>1074</v>
      </c>
      <c r="E4467" s="283" t="s">
        <v>1089</v>
      </c>
      <c r="F4467" s="283" t="s">
        <v>1089</v>
      </c>
      <c r="G4467" s="283">
        <v>2</v>
      </c>
      <c r="H4467" s="283">
        <v>0</v>
      </c>
      <c r="I4467" s="283">
        <v>0</v>
      </c>
      <c r="J4467" s="284">
        <v>0</v>
      </c>
    </row>
    <row r="4468" spans="3:10" x14ac:dyDescent="0.25">
      <c r="C4468" s="300" t="s">
        <v>1066</v>
      </c>
      <c r="D4468" s="283" t="s">
        <v>1077</v>
      </c>
      <c r="E4468" s="283" t="s">
        <v>1089</v>
      </c>
      <c r="F4468" s="283" t="s">
        <v>1093</v>
      </c>
      <c r="G4468" s="283">
        <v>2</v>
      </c>
      <c r="H4468" s="283">
        <v>0</v>
      </c>
      <c r="I4468" s="283">
        <v>0</v>
      </c>
      <c r="J4468" s="284">
        <v>0</v>
      </c>
    </row>
    <row r="4469" spans="3:10" x14ac:dyDescent="0.25">
      <c r="C4469" s="300" t="s">
        <v>1063</v>
      </c>
      <c r="D4469" s="283" t="s">
        <v>1087</v>
      </c>
      <c r="E4469" s="283" t="s">
        <v>1089</v>
      </c>
      <c r="F4469" s="283" t="s">
        <v>524</v>
      </c>
      <c r="G4469" s="283">
        <v>1</v>
      </c>
      <c r="H4469" s="283">
        <v>0</v>
      </c>
      <c r="I4469" s="283">
        <v>0</v>
      </c>
      <c r="J4469" s="284">
        <v>0</v>
      </c>
    </row>
    <row r="4470" spans="3:10" x14ac:dyDescent="0.25">
      <c r="C4470" s="300" t="s">
        <v>1065</v>
      </c>
      <c r="D4470" s="283" t="s">
        <v>1074</v>
      </c>
      <c r="E4470" s="283" t="s">
        <v>1078</v>
      </c>
      <c r="F4470" s="283" t="s">
        <v>1075</v>
      </c>
      <c r="G4470" s="283">
        <v>2</v>
      </c>
      <c r="H4470" s="283">
        <v>0</v>
      </c>
      <c r="I4470" s="283">
        <v>0</v>
      </c>
      <c r="J4470" s="284">
        <v>0</v>
      </c>
    </row>
    <row r="4471" spans="3:10" x14ac:dyDescent="0.25">
      <c r="C4471" s="300" t="s">
        <v>1067</v>
      </c>
      <c r="D4471" s="283" t="s">
        <v>1079</v>
      </c>
      <c r="E4471" s="283" t="s">
        <v>1089</v>
      </c>
      <c r="F4471" s="283" t="s">
        <v>1076</v>
      </c>
      <c r="G4471" s="283">
        <v>4</v>
      </c>
      <c r="H4471" s="283">
        <v>0</v>
      </c>
      <c r="I4471" s="283">
        <v>0</v>
      </c>
      <c r="J4471" s="284">
        <v>0</v>
      </c>
    </row>
    <row r="4472" spans="3:10" x14ac:dyDescent="0.25">
      <c r="C4472" s="300" t="s">
        <v>1065</v>
      </c>
      <c r="D4472" s="283" t="s">
        <v>1074</v>
      </c>
      <c r="E4472" s="283" t="s">
        <v>1078</v>
      </c>
      <c r="F4472" s="283" t="s">
        <v>1075</v>
      </c>
      <c r="G4472" s="283">
        <v>2</v>
      </c>
      <c r="H4472" s="283">
        <v>0</v>
      </c>
      <c r="I4472" s="283">
        <v>0</v>
      </c>
      <c r="J4472" s="284">
        <v>0</v>
      </c>
    </row>
    <row r="4473" spans="3:10" x14ac:dyDescent="0.25">
      <c r="C4473" s="300" t="s">
        <v>1063</v>
      </c>
      <c r="D4473" s="283" t="s">
        <v>1079</v>
      </c>
      <c r="E4473" s="283" t="s">
        <v>1076</v>
      </c>
      <c r="F4473" s="283" t="s">
        <v>1075</v>
      </c>
      <c r="G4473" s="283">
        <v>2</v>
      </c>
      <c r="H4473" s="283">
        <v>0</v>
      </c>
      <c r="I4473" s="283">
        <v>0</v>
      </c>
      <c r="J4473" s="284">
        <v>0</v>
      </c>
    </row>
    <row r="4474" spans="3:10" x14ac:dyDescent="0.25">
      <c r="C4474" s="300" t="s">
        <v>1061</v>
      </c>
      <c r="D4474" s="283" t="s">
        <v>1043</v>
      </c>
      <c r="E4474" s="283" t="s">
        <v>1075</v>
      </c>
      <c r="F4474" s="283" t="s">
        <v>1092</v>
      </c>
      <c r="G4474" s="283">
        <v>2</v>
      </c>
      <c r="H4474" s="283">
        <v>0</v>
      </c>
      <c r="I4474" s="283">
        <v>0</v>
      </c>
      <c r="J4474" s="284">
        <v>0</v>
      </c>
    </row>
    <row r="4475" spans="3:10" x14ac:dyDescent="0.25">
      <c r="C4475" s="300" t="s">
        <v>1064</v>
      </c>
      <c r="D4475" s="283" t="s">
        <v>1074</v>
      </c>
      <c r="E4475" s="283" t="s">
        <v>1075</v>
      </c>
      <c r="F4475" s="283" t="s">
        <v>1044</v>
      </c>
      <c r="G4475" s="283">
        <v>2</v>
      </c>
      <c r="H4475" s="283">
        <v>0</v>
      </c>
      <c r="I4475" s="283">
        <v>0</v>
      </c>
      <c r="J4475" s="284">
        <v>0</v>
      </c>
    </row>
    <row r="4476" spans="3:10" x14ac:dyDescent="0.25">
      <c r="C4476" s="300" t="s">
        <v>1061</v>
      </c>
      <c r="D4476" s="283" t="s">
        <v>1087</v>
      </c>
      <c r="E4476" s="283" t="s">
        <v>1083</v>
      </c>
      <c r="F4476" s="283" t="s">
        <v>524</v>
      </c>
      <c r="G4476" s="283">
        <v>1</v>
      </c>
      <c r="H4476" s="283">
        <v>0</v>
      </c>
      <c r="I4476" s="283">
        <v>0</v>
      </c>
      <c r="J4476" s="284">
        <v>2</v>
      </c>
    </row>
    <row r="4477" spans="3:10" x14ac:dyDescent="0.25">
      <c r="C4477" s="300" t="s">
        <v>1065</v>
      </c>
      <c r="D4477" s="283" t="s">
        <v>1043</v>
      </c>
      <c r="E4477" s="283" t="s">
        <v>1086</v>
      </c>
      <c r="F4477" s="283" t="s">
        <v>1092</v>
      </c>
      <c r="G4477" s="283">
        <v>2</v>
      </c>
      <c r="H4477" s="283">
        <v>0</v>
      </c>
      <c r="I4477" s="283">
        <v>0</v>
      </c>
      <c r="J4477" s="284">
        <v>1</v>
      </c>
    </row>
    <row r="4478" spans="3:10" x14ac:dyDescent="0.25">
      <c r="C4478" s="300" t="s">
        <v>1067</v>
      </c>
      <c r="D4478" s="283" t="s">
        <v>1043</v>
      </c>
      <c r="E4478" s="283" t="s">
        <v>1075</v>
      </c>
      <c r="F4478" s="283" t="s">
        <v>1092</v>
      </c>
      <c r="G4478" s="283">
        <v>2</v>
      </c>
      <c r="H4478" s="283">
        <v>0</v>
      </c>
      <c r="I4478" s="283">
        <v>0</v>
      </c>
      <c r="J4478" s="284">
        <v>0</v>
      </c>
    </row>
    <row r="4479" spans="3:10" x14ac:dyDescent="0.25">
      <c r="C4479" s="300" t="s">
        <v>1063</v>
      </c>
      <c r="D4479" s="283" t="s">
        <v>1074</v>
      </c>
      <c r="E4479" s="283" t="s">
        <v>1078</v>
      </c>
      <c r="F4479" s="283" t="s">
        <v>1075</v>
      </c>
      <c r="G4479" s="283">
        <v>2</v>
      </c>
      <c r="H4479" s="283">
        <v>0</v>
      </c>
      <c r="I4479" s="283">
        <v>1</v>
      </c>
      <c r="J4479" s="284">
        <v>1</v>
      </c>
    </row>
    <row r="4480" spans="3:10" x14ac:dyDescent="0.25">
      <c r="C4480" s="300" t="s">
        <v>1068</v>
      </c>
      <c r="D4480" s="283" t="s">
        <v>1043</v>
      </c>
      <c r="E4480" s="283" t="s">
        <v>1089</v>
      </c>
      <c r="F4480" s="283" t="s">
        <v>1092</v>
      </c>
      <c r="G4480" s="283">
        <v>2</v>
      </c>
      <c r="H4480" s="283">
        <v>0</v>
      </c>
      <c r="I4480" s="283">
        <v>0</v>
      </c>
      <c r="J4480" s="284">
        <v>0</v>
      </c>
    </row>
    <row r="4481" spans="3:10" x14ac:dyDescent="0.25">
      <c r="C4481" s="300" t="s">
        <v>1060</v>
      </c>
      <c r="D4481" s="283" t="s">
        <v>1079</v>
      </c>
      <c r="E4481" s="283" t="s">
        <v>1089</v>
      </c>
      <c r="F4481" s="283" t="s">
        <v>1083</v>
      </c>
      <c r="G4481" s="283">
        <v>2</v>
      </c>
      <c r="H4481" s="283">
        <v>0</v>
      </c>
      <c r="I4481" s="283">
        <v>0</v>
      </c>
      <c r="J4481" s="284">
        <v>0</v>
      </c>
    </row>
    <row r="4482" spans="3:10" x14ac:dyDescent="0.25">
      <c r="C4482" s="300" t="s">
        <v>1065</v>
      </c>
      <c r="D4482" s="283" t="s">
        <v>1074</v>
      </c>
      <c r="E4482" s="283" t="s">
        <v>1075</v>
      </c>
      <c r="F4482" s="283" t="s">
        <v>1089</v>
      </c>
      <c r="G4482" s="283">
        <v>3</v>
      </c>
      <c r="H4482" s="283">
        <v>0</v>
      </c>
      <c r="I4482" s="283">
        <v>0</v>
      </c>
      <c r="J4482" s="284">
        <v>0</v>
      </c>
    </row>
    <row r="4483" spans="3:10" x14ac:dyDescent="0.25">
      <c r="C4483" s="300" t="s">
        <v>1062</v>
      </c>
      <c r="D4483" s="283" t="s">
        <v>1077</v>
      </c>
      <c r="E4483" s="283" t="s">
        <v>1089</v>
      </c>
      <c r="F4483" s="283" t="s">
        <v>1078</v>
      </c>
      <c r="G4483" s="283">
        <v>3</v>
      </c>
      <c r="H4483" s="283">
        <v>0</v>
      </c>
      <c r="I4483" s="283">
        <v>0</v>
      </c>
      <c r="J4483" s="284">
        <v>0</v>
      </c>
    </row>
    <row r="4484" spans="3:10" x14ac:dyDescent="0.25">
      <c r="C4484" s="300" t="s">
        <v>1065</v>
      </c>
      <c r="D4484" s="283" t="s">
        <v>1043</v>
      </c>
      <c r="E4484" s="283" t="s">
        <v>1075</v>
      </c>
      <c r="F4484" s="283" t="s">
        <v>1092</v>
      </c>
      <c r="G4484" s="283">
        <v>2</v>
      </c>
      <c r="H4484" s="283">
        <v>0</v>
      </c>
      <c r="I4484" s="283">
        <v>0</v>
      </c>
      <c r="J4484" s="284">
        <v>0</v>
      </c>
    </row>
    <row r="4485" spans="3:10" x14ac:dyDescent="0.25">
      <c r="C4485" s="300" t="s">
        <v>1063</v>
      </c>
      <c r="D4485" s="283" t="s">
        <v>1079</v>
      </c>
      <c r="E4485" s="283" t="s">
        <v>1078</v>
      </c>
      <c r="F4485" s="283" t="s">
        <v>1075</v>
      </c>
      <c r="G4485" s="283">
        <v>2</v>
      </c>
      <c r="H4485" s="283">
        <v>0</v>
      </c>
      <c r="I4485" s="283">
        <v>1</v>
      </c>
      <c r="J4485" s="284">
        <v>0</v>
      </c>
    </row>
    <row r="4486" spans="3:10" x14ac:dyDescent="0.25">
      <c r="C4486" s="300" t="s">
        <v>1064</v>
      </c>
      <c r="D4486" s="283" t="s">
        <v>1079</v>
      </c>
      <c r="E4486" s="283" t="s">
        <v>1089</v>
      </c>
      <c r="F4486" s="283" t="s">
        <v>1075</v>
      </c>
      <c r="G4486" s="283">
        <v>2</v>
      </c>
      <c r="H4486" s="283">
        <v>0</v>
      </c>
      <c r="I4486" s="283">
        <v>1</v>
      </c>
      <c r="J4486" s="284">
        <v>0</v>
      </c>
    </row>
    <row r="4487" spans="3:10" x14ac:dyDescent="0.25">
      <c r="C4487" s="300" t="s">
        <v>1062</v>
      </c>
      <c r="D4487" s="283" t="s">
        <v>1079</v>
      </c>
      <c r="E4487" s="283" t="s">
        <v>1075</v>
      </c>
      <c r="F4487" s="283" t="s">
        <v>1089</v>
      </c>
      <c r="G4487" s="283">
        <v>2</v>
      </c>
      <c r="H4487" s="283">
        <v>0</v>
      </c>
      <c r="I4487" s="283">
        <v>1</v>
      </c>
      <c r="J4487" s="284">
        <v>0</v>
      </c>
    </row>
    <row r="4488" spans="3:10" x14ac:dyDescent="0.25">
      <c r="C4488" s="300" t="s">
        <v>1066</v>
      </c>
      <c r="D4488" s="283" t="s">
        <v>1079</v>
      </c>
      <c r="E4488" s="283" t="s">
        <v>1075</v>
      </c>
      <c r="F4488" s="283" t="s">
        <v>1089</v>
      </c>
      <c r="G4488" s="283">
        <v>2</v>
      </c>
      <c r="H4488" s="283">
        <v>0</v>
      </c>
      <c r="I4488" s="283">
        <v>0</v>
      </c>
      <c r="J4488" s="284">
        <v>0</v>
      </c>
    </row>
    <row r="4489" spans="3:10" x14ac:dyDescent="0.25">
      <c r="C4489" s="300" t="s">
        <v>1059</v>
      </c>
      <c r="D4489" s="283" t="s">
        <v>1087</v>
      </c>
      <c r="E4489" s="283" t="s">
        <v>1086</v>
      </c>
      <c r="F4489" s="283" t="s">
        <v>524</v>
      </c>
      <c r="G4489" s="283">
        <v>1</v>
      </c>
      <c r="H4489" s="283">
        <v>0</v>
      </c>
      <c r="I4489" s="283">
        <v>0</v>
      </c>
      <c r="J4489" s="284">
        <v>0</v>
      </c>
    </row>
    <row r="4490" spans="3:10" x14ac:dyDescent="0.25">
      <c r="C4490" s="300" t="s">
        <v>1061</v>
      </c>
      <c r="D4490" s="283" t="s">
        <v>1077</v>
      </c>
      <c r="E4490" s="283" t="s">
        <v>1083</v>
      </c>
      <c r="F4490" s="283" t="s">
        <v>1075</v>
      </c>
      <c r="G4490" s="283">
        <v>2</v>
      </c>
      <c r="H4490" s="283">
        <v>0</v>
      </c>
      <c r="I4490" s="283">
        <v>0</v>
      </c>
      <c r="J4490" s="284">
        <v>1</v>
      </c>
    </row>
    <row r="4491" spans="3:10" x14ac:dyDescent="0.25">
      <c r="C4491" s="300" t="s">
        <v>1063</v>
      </c>
      <c r="D4491" s="283" t="s">
        <v>1077</v>
      </c>
      <c r="E4491" s="283" t="s">
        <v>1075</v>
      </c>
      <c r="F4491" s="283" t="s">
        <v>1075</v>
      </c>
      <c r="G4491" s="283">
        <v>2</v>
      </c>
      <c r="H4491" s="283">
        <v>0</v>
      </c>
      <c r="I4491" s="283">
        <v>0</v>
      </c>
      <c r="J4491" s="284">
        <v>0</v>
      </c>
    </row>
    <row r="4492" spans="3:10" x14ac:dyDescent="0.25">
      <c r="C4492" s="300" t="s">
        <v>1063</v>
      </c>
      <c r="D4492" s="283" t="s">
        <v>1079</v>
      </c>
      <c r="E4492" s="283" t="s">
        <v>1075</v>
      </c>
      <c r="F4492" s="283" t="s">
        <v>1075</v>
      </c>
      <c r="G4492" s="283">
        <v>2</v>
      </c>
      <c r="H4492" s="283">
        <v>0</v>
      </c>
      <c r="I4492" s="283">
        <v>2</v>
      </c>
      <c r="J4492" s="284">
        <v>0</v>
      </c>
    </row>
    <row r="4493" spans="3:10" x14ac:dyDescent="0.25">
      <c r="C4493" s="300" t="s">
        <v>1063</v>
      </c>
      <c r="D4493" s="283" t="s">
        <v>1079</v>
      </c>
      <c r="E4493" s="283" t="s">
        <v>1116</v>
      </c>
      <c r="F4493" s="283" t="s">
        <v>1075</v>
      </c>
      <c r="G4493" s="283">
        <v>2</v>
      </c>
      <c r="H4493" s="283">
        <v>0</v>
      </c>
      <c r="I4493" s="283">
        <v>0</v>
      </c>
      <c r="J4493" s="284">
        <v>2</v>
      </c>
    </row>
    <row r="4494" spans="3:10" x14ac:dyDescent="0.25">
      <c r="C4494" s="300" t="s">
        <v>1068</v>
      </c>
      <c r="D4494" s="283" t="s">
        <v>1090</v>
      </c>
      <c r="E4494" s="283" t="s">
        <v>1083</v>
      </c>
      <c r="F4494" s="283" t="s">
        <v>524</v>
      </c>
      <c r="G4494" s="283">
        <v>1</v>
      </c>
      <c r="H4494" s="283">
        <v>0</v>
      </c>
      <c r="I4494" s="283">
        <v>0</v>
      </c>
      <c r="J4494" s="284">
        <v>1</v>
      </c>
    </row>
    <row r="4495" spans="3:10" x14ac:dyDescent="0.25">
      <c r="C4495" s="300" t="s">
        <v>1061</v>
      </c>
      <c r="D4495" s="283" t="s">
        <v>1082</v>
      </c>
      <c r="E4495" s="283" t="s">
        <v>1075</v>
      </c>
      <c r="F4495" s="283" t="s">
        <v>1089</v>
      </c>
      <c r="G4495" s="283">
        <v>4</v>
      </c>
      <c r="H4495" s="283">
        <v>0</v>
      </c>
      <c r="I4495" s="283">
        <v>0</v>
      </c>
      <c r="J4495" s="284">
        <v>1</v>
      </c>
    </row>
    <row r="4496" spans="3:10" x14ac:dyDescent="0.25">
      <c r="C4496" s="300" t="s">
        <v>1061</v>
      </c>
      <c r="D4496" s="283" t="s">
        <v>1074</v>
      </c>
      <c r="E4496" s="283" t="s">
        <v>1093</v>
      </c>
      <c r="F4496" s="283" t="s">
        <v>1075</v>
      </c>
      <c r="G4496" s="283">
        <v>2</v>
      </c>
      <c r="H4496" s="283">
        <v>0</v>
      </c>
      <c r="I4496" s="283">
        <v>0</v>
      </c>
      <c r="J4496" s="284">
        <v>0</v>
      </c>
    </row>
    <row r="4497" spans="3:10" x14ac:dyDescent="0.25">
      <c r="C4497" s="300" t="s">
        <v>1065</v>
      </c>
      <c r="D4497" s="283" t="s">
        <v>1074</v>
      </c>
      <c r="E4497" s="283" t="s">
        <v>1075</v>
      </c>
      <c r="F4497" s="283" t="s">
        <v>1075</v>
      </c>
      <c r="G4497" s="283">
        <v>2</v>
      </c>
      <c r="H4497" s="283">
        <v>0</v>
      </c>
      <c r="I4497" s="283">
        <v>1</v>
      </c>
      <c r="J4497" s="284">
        <v>0</v>
      </c>
    </row>
    <row r="4498" spans="3:10" x14ac:dyDescent="0.25">
      <c r="C4498" s="300" t="s">
        <v>1061</v>
      </c>
      <c r="D4498" s="283" t="s">
        <v>1087</v>
      </c>
      <c r="E4498" s="283" t="s">
        <v>1089</v>
      </c>
      <c r="F4498" s="283" t="s">
        <v>524</v>
      </c>
      <c r="G4498" s="283">
        <v>1</v>
      </c>
      <c r="H4498" s="283">
        <v>0</v>
      </c>
      <c r="I4498" s="283">
        <v>1</v>
      </c>
      <c r="J4498" s="284">
        <v>0</v>
      </c>
    </row>
    <row r="4499" spans="3:10" x14ac:dyDescent="0.25">
      <c r="C4499" s="300" t="s">
        <v>1060</v>
      </c>
      <c r="D4499" s="283" t="s">
        <v>1079</v>
      </c>
      <c r="E4499" s="283" t="s">
        <v>1044</v>
      </c>
      <c r="F4499" s="283" t="s">
        <v>1076</v>
      </c>
      <c r="G4499" s="283">
        <v>2</v>
      </c>
      <c r="H4499" s="283">
        <v>0</v>
      </c>
      <c r="I4499" s="283">
        <v>1</v>
      </c>
      <c r="J4499" s="284">
        <v>0</v>
      </c>
    </row>
    <row r="4500" spans="3:10" x14ac:dyDescent="0.25">
      <c r="C4500" s="300" t="s">
        <v>1060</v>
      </c>
      <c r="D4500" s="283" t="s">
        <v>1074</v>
      </c>
      <c r="E4500" s="283" t="s">
        <v>1081</v>
      </c>
      <c r="F4500" s="283" t="s">
        <v>1089</v>
      </c>
      <c r="G4500" s="283">
        <v>2</v>
      </c>
      <c r="H4500" s="283">
        <v>0</v>
      </c>
      <c r="I4500" s="283">
        <v>0</v>
      </c>
      <c r="J4500" s="284">
        <v>0</v>
      </c>
    </row>
    <row r="4501" spans="3:10" x14ac:dyDescent="0.25">
      <c r="C4501" s="300" t="s">
        <v>1068</v>
      </c>
      <c r="D4501" s="283" t="s">
        <v>1077</v>
      </c>
      <c r="E4501" s="283" t="s">
        <v>1083</v>
      </c>
      <c r="F4501" s="283" t="s">
        <v>1075</v>
      </c>
      <c r="G4501" s="283">
        <v>2</v>
      </c>
      <c r="H4501" s="283">
        <v>0</v>
      </c>
      <c r="I4501" s="283">
        <v>1</v>
      </c>
      <c r="J4501" s="284">
        <v>0</v>
      </c>
    </row>
    <row r="4502" spans="3:10" x14ac:dyDescent="0.25">
      <c r="C4502" s="300" t="s">
        <v>1064</v>
      </c>
      <c r="D4502" s="283" t="s">
        <v>1079</v>
      </c>
      <c r="E4502" s="283" t="s">
        <v>1089</v>
      </c>
      <c r="F4502" s="283" t="s">
        <v>1078</v>
      </c>
      <c r="G4502" s="283">
        <v>2</v>
      </c>
      <c r="H4502" s="283">
        <v>0</v>
      </c>
      <c r="I4502" s="283">
        <v>0</v>
      </c>
      <c r="J4502" s="284">
        <v>0</v>
      </c>
    </row>
    <row r="4503" spans="3:10" x14ac:dyDescent="0.25">
      <c r="C4503" s="300" t="s">
        <v>1064</v>
      </c>
      <c r="D4503" s="283" t="s">
        <v>1079</v>
      </c>
      <c r="E4503" s="283" t="s">
        <v>1078</v>
      </c>
      <c r="F4503" s="283" t="s">
        <v>1044</v>
      </c>
      <c r="G4503" s="283">
        <v>2</v>
      </c>
      <c r="H4503" s="283">
        <v>0</v>
      </c>
      <c r="I4503" s="283">
        <v>0</v>
      </c>
      <c r="J4503" s="284">
        <v>0</v>
      </c>
    </row>
    <row r="4504" spans="3:10" x14ac:dyDescent="0.25">
      <c r="C4504" s="300" t="s">
        <v>1059</v>
      </c>
      <c r="D4504" s="283" t="s">
        <v>1087</v>
      </c>
      <c r="E4504" s="283" t="s">
        <v>1075</v>
      </c>
      <c r="F4504" s="283" t="s">
        <v>524</v>
      </c>
      <c r="G4504" s="283">
        <v>1</v>
      </c>
      <c r="H4504" s="283">
        <v>0</v>
      </c>
      <c r="I4504" s="283">
        <v>0</v>
      </c>
      <c r="J4504" s="284">
        <v>0</v>
      </c>
    </row>
    <row r="4505" spans="3:10" x14ac:dyDescent="0.25">
      <c r="C4505" s="300" t="s">
        <v>1063</v>
      </c>
      <c r="D4505" s="283" t="s">
        <v>1079</v>
      </c>
      <c r="E4505" s="283" t="s">
        <v>1078</v>
      </c>
      <c r="F4505" s="283" t="s">
        <v>1083</v>
      </c>
      <c r="G4505" s="283">
        <v>2</v>
      </c>
      <c r="H4505" s="283">
        <v>0</v>
      </c>
      <c r="I4505" s="283">
        <v>1</v>
      </c>
      <c r="J4505" s="284">
        <v>0</v>
      </c>
    </row>
    <row r="4506" spans="3:10" x14ac:dyDescent="0.25">
      <c r="C4506" s="300" t="s">
        <v>1065</v>
      </c>
      <c r="D4506" s="283" t="s">
        <v>1079</v>
      </c>
      <c r="E4506" s="283" t="s">
        <v>1075</v>
      </c>
      <c r="F4506" s="283" t="s">
        <v>1081</v>
      </c>
      <c r="G4506" s="283">
        <v>2</v>
      </c>
      <c r="H4506" s="283">
        <v>0</v>
      </c>
      <c r="I4506" s="283">
        <v>0</v>
      </c>
      <c r="J4506" s="284">
        <v>0</v>
      </c>
    </row>
    <row r="4507" spans="3:10" x14ac:dyDescent="0.25">
      <c r="C4507" s="300" t="s">
        <v>1068</v>
      </c>
      <c r="D4507" s="283" t="s">
        <v>1087</v>
      </c>
      <c r="E4507" s="283" t="s">
        <v>1089</v>
      </c>
      <c r="F4507" s="283" t="s">
        <v>524</v>
      </c>
      <c r="G4507" s="283">
        <v>1</v>
      </c>
      <c r="H4507" s="283">
        <v>0</v>
      </c>
      <c r="I4507" s="283">
        <v>1</v>
      </c>
      <c r="J4507" s="284">
        <v>0</v>
      </c>
    </row>
    <row r="4508" spans="3:10" x14ac:dyDescent="0.25">
      <c r="C4508" s="300" t="s">
        <v>1059</v>
      </c>
      <c r="D4508" s="283" t="s">
        <v>1079</v>
      </c>
      <c r="E4508" s="283" t="s">
        <v>1089</v>
      </c>
      <c r="F4508" s="283" t="s">
        <v>1075</v>
      </c>
      <c r="G4508" s="283">
        <v>3</v>
      </c>
      <c r="H4508" s="283">
        <v>0</v>
      </c>
      <c r="I4508" s="283">
        <v>0</v>
      </c>
      <c r="J4508" s="284">
        <v>0</v>
      </c>
    </row>
    <row r="4509" spans="3:10" x14ac:dyDescent="0.25">
      <c r="C4509" s="300" t="s">
        <v>1057</v>
      </c>
      <c r="D4509" s="283" t="s">
        <v>1087</v>
      </c>
      <c r="E4509" s="283" t="s">
        <v>1094</v>
      </c>
      <c r="F4509" s="283" t="s">
        <v>524</v>
      </c>
      <c r="G4509" s="283">
        <v>1</v>
      </c>
      <c r="H4509" s="283">
        <v>0</v>
      </c>
      <c r="I4509" s="283">
        <v>1</v>
      </c>
      <c r="J4509" s="284">
        <v>0</v>
      </c>
    </row>
    <row r="4510" spans="3:10" x14ac:dyDescent="0.25">
      <c r="C4510" s="300" t="s">
        <v>1066</v>
      </c>
      <c r="D4510" s="283" t="s">
        <v>1079</v>
      </c>
      <c r="E4510" s="283" t="s">
        <v>1078</v>
      </c>
      <c r="F4510" s="283" t="s">
        <v>1083</v>
      </c>
      <c r="G4510" s="283">
        <v>2</v>
      </c>
      <c r="H4510" s="283">
        <v>0</v>
      </c>
      <c r="I4510" s="283">
        <v>0</v>
      </c>
      <c r="J4510" s="284">
        <v>1</v>
      </c>
    </row>
    <row r="4511" spans="3:10" x14ac:dyDescent="0.25">
      <c r="C4511" s="300" t="s">
        <v>1065</v>
      </c>
      <c r="D4511" s="283" t="s">
        <v>1074</v>
      </c>
      <c r="E4511" s="283" t="s">
        <v>1089</v>
      </c>
      <c r="F4511" s="283" t="s">
        <v>1076</v>
      </c>
      <c r="G4511" s="283">
        <v>3</v>
      </c>
      <c r="H4511" s="283">
        <v>0</v>
      </c>
      <c r="I4511" s="283">
        <v>0</v>
      </c>
      <c r="J4511" s="284">
        <v>0</v>
      </c>
    </row>
    <row r="4512" spans="3:10" x14ac:dyDescent="0.25">
      <c r="C4512" s="300" t="s">
        <v>1060</v>
      </c>
      <c r="D4512" s="283" t="s">
        <v>1079</v>
      </c>
      <c r="E4512" s="283" t="s">
        <v>1083</v>
      </c>
      <c r="F4512" s="283" t="s">
        <v>1076</v>
      </c>
      <c r="G4512" s="283">
        <v>2</v>
      </c>
      <c r="H4512" s="283">
        <v>0</v>
      </c>
      <c r="I4512" s="283">
        <v>1</v>
      </c>
      <c r="J4512" s="284">
        <v>0</v>
      </c>
    </row>
    <row r="4513" spans="3:10" x14ac:dyDescent="0.25">
      <c r="C4513" s="300" t="s">
        <v>1065</v>
      </c>
      <c r="D4513" s="283" t="s">
        <v>1079</v>
      </c>
      <c r="E4513" s="283" t="s">
        <v>1075</v>
      </c>
      <c r="F4513" s="283" t="s">
        <v>1083</v>
      </c>
      <c r="G4513" s="283">
        <v>2</v>
      </c>
      <c r="H4513" s="283">
        <v>0</v>
      </c>
      <c r="I4513" s="283">
        <v>0</v>
      </c>
      <c r="J4513" s="284">
        <v>1</v>
      </c>
    </row>
    <row r="4514" spans="3:10" x14ac:dyDescent="0.25">
      <c r="C4514" s="300" t="s">
        <v>1064</v>
      </c>
      <c r="D4514" s="283" t="s">
        <v>1074</v>
      </c>
      <c r="E4514" s="283" t="s">
        <v>1076</v>
      </c>
      <c r="F4514" s="283" t="s">
        <v>1083</v>
      </c>
      <c r="G4514" s="283">
        <v>2</v>
      </c>
      <c r="H4514" s="283">
        <v>0</v>
      </c>
      <c r="I4514" s="283">
        <v>0</v>
      </c>
      <c r="J4514" s="284">
        <v>0</v>
      </c>
    </row>
    <row r="4515" spans="3:10" x14ac:dyDescent="0.25">
      <c r="C4515" s="300" t="s">
        <v>1061</v>
      </c>
      <c r="D4515" s="283" t="s">
        <v>1077</v>
      </c>
      <c r="E4515" s="283" t="s">
        <v>1085</v>
      </c>
      <c r="F4515" s="283" t="s">
        <v>1076</v>
      </c>
      <c r="G4515" s="283">
        <v>2</v>
      </c>
      <c r="H4515" s="283">
        <v>0</v>
      </c>
      <c r="I4515" s="283">
        <v>1</v>
      </c>
      <c r="J4515" s="284">
        <v>0</v>
      </c>
    </row>
    <row r="4516" spans="3:10" x14ac:dyDescent="0.25">
      <c r="C4516" s="300" t="s">
        <v>1061</v>
      </c>
      <c r="D4516" s="283" t="s">
        <v>1043</v>
      </c>
      <c r="E4516" s="283" t="s">
        <v>1089</v>
      </c>
      <c r="F4516" s="283" t="s">
        <v>1092</v>
      </c>
      <c r="G4516" s="283">
        <v>2</v>
      </c>
      <c r="H4516" s="283">
        <v>0</v>
      </c>
      <c r="I4516" s="283">
        <v>0</v>
      </c>
      <c r="J4516" s="284">
        <v>1</v>
      </c>
    </row>
    <row r="4517" spans="3:10" x14ac:dyDescent="0.25">
      <c r="C4517" s="300" t="s">
        <v>1061</v>
      </c>
      <c r="D4517" s="283" t="s">
        <v>1074</v>
      </c>
      <c r="E4517" s="283" t="s">
        <v>1089</v>
      </c>
      <c r="F4517" s="283" t="s">
        <v>1075</v>
      </c>
      <c r="G4517" s="283">
        <v>2</v>
      </c>
      <c r="H4517" s="283">
        <v>0</v>
      </c>
      <c r="I4517" s="283">
        <v>1</v>
      </c>
      <c r="J4517" s="284">
        <v>0</v>
      </c>
    </row>
    <row r="4518" spans="3:10" x14ac:dyDescent="0.25">
      <c r="C4518" s="300" t="s">
        <v>1060</v>
      </c>
      <c r="D4518" s="283" t="s">
        <v>1077</v>
      </c>
      <c r="E4518" s="283" t="s">
        <v>1083</v>
      </c>
      <c r="F4518" s="283" t="s">
        <v>1076</v>
      </c>
      <c r="G4518" s="283">
        <v>2</v>
      </c>
      <c r="H4518" s="283">
        <v>0</v>
      </c>
      <c r="I4518" s="283">
        <v>0</v>
      </c>
      <c r="J4518" s="284">
        <v>1</v>
      </c>
    </row>
    <row r="4519" spans="3:10" x14ac:dyDescent="0.25">
      <c r="C4519" s="300" t="s">
        <v>1064</v>
      </c>
      <c r="D4519" s="283" t="s">
        <v>1043</v>
      </c>
      <c r="E4519" s="283" t="s">
        <v>1089</v>
      </c>
      <c r="F4519" s="283" t="s">
        <v>1104</v>
      </c>
      <c r="G4519" s="283">
        <v>2</v>
      </c>
      <c r="H4519" s="283">
        <v>0</v>
      </c>
      <c r="I4519" s="283">
        <v>0</v>
      </c>
      <c r="J4519" s="284">
        <v>0</v>
      </c>
    </row>
    <row r="4520" spans="3:10" x14ac:dyDescent="0.25">
      <c r="C4520" s="300" t="s">
        <v>1065</v>
      </c>
      <c r="D4520" s="283" t="s">
        <v>1079</v>
      </c>
      <c r="E4520" s="283" t="s">
        <v>1089</v>
      </c>
      <c r="F4520" s="283" t="s">
        <v>1075</v>
      </c>
      <c r="G4520" s="283">
        <v>2</v>
      </c>
      <c r="H4520" s="283">
        <v>0</v>
      </c>
      <c r="I4520" s="283">
        <v>0</v>
      </c>
      <c r="J4520" s="284">
        <v>1</v>
      </c>
    </row>
    <row r="4521" spans="3:10" x14ac:dyDescent="0.25">
      <c r="C4521" s="300" t="s">
        <v>1059</v>
      </c>
      <c r="D4521" s="283" t="s">
        <v>1106</v>
      </c>
      <c r="E4521" s="283" t="s">
        <v>1084</v>
      </c>
      <c r="F4521" s="283" t="s">
        <v>1084</v>
      </c>
      <c r="G4521" s="283">
        <v>2</v>
      </c>
      <c r="H4521" s="283">
        <v>0</v>
      </c>
      <c r="I4521" s="283">
        <v>1</v>
      </c>
      <c r="J4521" s="284">
        <v>0</v>
      </c>
    </row>
    <row r="4522" spans="3:10" x14ac:dyDescent="0.25">
      <c r="C4522" s="300" t="s">
        <v>1063</v>
      </c>
      <c r="D4522" s="283" t="s">
        <v>1043</v>
      </c>
      <c r="E4522" s="283" t="s">
        <v>1075</v>
      </c>
      <c r="F4522" s="283" t="s">
        <v>1092</v>
      </c>
      <c r="G4522" s="283">
        <v>2</v>
      </c>
      <c r="H4522" s="283">
        <v>0</v>
      </c>
      <c r="I4522" s="283">
        <v>0</v>
      </c>
      <c r="J4522" s="284">
        <v>0</v>
      </c>
    </row>
    <row r="4523" spans="3:10" x14ac:dyDescent="0.25">
      <c r="C4523" s="300" t="s">
        <v>1063</v>
      </c>
      <c r="D4523" s="283" t="s">
        <v>1074</v>
      </c>
      <c r="E4523" s="283" t="s">
        <v>1075</v>
      </c>
      <c r="F4523" s="283" t="s">
        <v>1075</v>
      </c>
      <c r="G4523" s="283">
        <v>3</v>
      </c>
      <c r="H4523" s="283">
        <v>0</v>
      </c>
      <c r="I4523" s="283">
        <v>1</v>
      </c>
      <c r="J4523" s="284">
        <v>0</v>
      </c>
    </row>
    <row r="4524" spans="3:10" x14ac:dyDescent="0.25">
      <c r="C4524" s="300" t="s">
        <v>1061</v>
      </c>
      <c r="D4524" s="283" t="s">
        <v>1074</v>
      </c>
      <c r="E4524" s="283" t="s">
        <v>1088</v>
      </c>
      <c r="F4524" s="283" t="s">
        <v>1094</v>
      </c>
      <c r="G4524" s="283">
        <v>2</v>
      </c>
      <c r="H4524" s="283">
        <v>0</v>
      </c>
      <c r="I4524" s="283">
        <v>0</v>
      </c>
      <c r="J4524" s="284">
        <v>1</v>
      </c>
    </row>
    <row r="4525" spans="3:10" x14ac:dyDescent="0.25">
      <c r="C4525" s="300" t="s">
        <v>1064</v>
      </c>
      <c r="D4525" s="283" t="s">
        <v>1043</v>
      </c>
      <c r="E4525" s="283" t="s">
        <v>1084</v>
      </c>
      <c r="F4525" s="283" t="s">
        <v>1092</v>
      </c>
      <c r="G4525" s="283">
        <v>2</v>
      </c>
      <c r="H4525" s="283">
        <v>0</v>
      </c>
      <c r="I4525" s="283">
        <v>0</v>
      </c>
      <c r="J4525" s="284">
        <v>1</v>
      </c>
    </row>
    <row r="4526" spans="3:10" x14ac:dyDescent="0.25">
      <c r="C4526" s="300" t="s">
        <v>1062</v>
      </c>
      <c r="D4526" s="283" t="s">
        <v>1043</v>
      </c>
      <c r="E4526" s="283" t="s">
        <v>1076</v>
      </c>
      <c r="F4526" s="283" t="s">
        <v>1092</v>
      </c>
      <c r="G4526" s="283">
        <v>2</v>
      </c>
      <c r="H4526" s="283">
        <v>0</v>
      </c>
      <c r="I4526" s="283">
        <v>1</v>
      </c>
      <c r="J4526" s="284">
        <v>0</v>
      </c>
    </row>
    <row r="4527" spans="3:10" x14ac:dyDescent="0.25">
      <c r="C4527" s="300" t="s">
        <v>1064</v>
      </c>
      <c r="D4527" s="283" t="s">
        <v>1074</v>
      </c>
      <c r="E4527" s="283" t="s">
        <v>1075</v>
      </c>
      <c r="F4527" s="283" t="s">
        <v>1084</v>
      </c>
      <c r="G4527" s="283">
        <v>2</v>
      </c>
      <c r="H4527" s="283">
        <v>0</v>
      </c>
      <c r="I4527" s="283">
        <v>0</v>
      </c>
      <c r="J4527" s="284">
        <v>0</v>
      </c>
    </row>
    <row r="4528" spans="3:10" x14ac:dyDescent="0.25">
      <c r="C4528" s="300" t="s">
        <v>1061</v>
      </c>
      <c r="D4528" s="283" t="s">
        <v>1074</v>
      </c>
      <c r="E4528" s="283" t="s">
        <v>1075</v>
      </c>
      <c r="F4528" s="283" t="s">
        <v>1044</v>
      </c>
      <c r="G4528" s="283">
        <v>2</v>
      </c>
      <c r="H4528" s="283">
        <v>0</v>
      </c>
      <c r="I4528" s="283">
        <v>1</v>
      </c>
      <c r="J4528" s="284">
        <v>0</v>
      </c>
    </row>
    <row r="4529" spans="3:10" x14ac:dyDescent="0.25">
      <c r="C4529" s="300" t="s">
        <v>1064</v>
      </c>
      <c r="D4529" s="283" t="s">
        <v>1079</v>
      </c>
      <c r="E4529" s="283" t="s">
        <v>1075</v>
      </c>
      <c r="F4529" s="283" t="s">
        <v>1085</v>
      </c>
      <c r="G4529" s="283">
        <v>2</v>
      </c>
      <c r="H4529" s="283">
        <v>0</v>
      </c>
      <c r="I4529" s="283">
        <v>0</v>
      </c>
      <c r="J4529" s="284">
        <v>0</v>
      </c>
    </row>
    <row r="4530" spans="3:10" x14ac:dyDescent="0.25">
      <c r="C4530" s="300" t="s">
        <v>1062</v>
      </c>
      <c r="D4530" s="283" t="s">
        <v>1077</v>
      </c>
      <c r="E4530" s="283" t="s">
        <v>1075</v>
      </c>
      <c r="F4530" s="283" t="s">
        <v>1075</v>
      </c>
      <c r="G4530" s="283">
        <v>3</v>
      </c>
      <c r="H4530" s="283">
        <v>0</v>
      </c>
      <c r="I4530" s="283">
        <v>1</v>
      </c>
      <c r="J4530" s="284">
        <v>0</v>
      </c>
    </row>
    <row r="4531" spans="3:10" x14ac:dyDescent="0.25">
      <c r="C4531" s="300" t="s">
        <v>1067</v>
      </c>
      <c r="D4531" s="283" t="s">
        <v>1077</v>
      </c>
      <c r="E4531" s="283" t="s">
        <v>1089</v>
      </c>
      <c r="F4531" s="283" t="s">
        <v>1075</v>
      </c>
      <c r="G4531" s="283">
        <v>2</v>
      </c>
      <c r="H4531" s="283">
        <v>0</v>
      </c>
      <c r="I4531" s="283">
        <v>0</v>
      </c>
      <c r="J4531" s="284">
        <v>0</v>
      </c>
    </row>
    <row r="4532" spans="3:10" x14ac:dyDescent="0.25">
      <c r="C4532" s="300" t="s">
        <v>1065</v>
      </c>
      <c r="D4532" s="283" t="s">
        <v>1077</v>
      </c>
      <c r="E4532" s="283" t="s">
        <v>1089</v>
      </c>
      <c r="F4532" s="283" t="s">
        <v>1078</v>
      </c>
      <c r="G4532" s="283">
        <v>2</v>
      </c>
      <c r="H4532" s="283">
        <v>0</v>
      </c>
      <c r="I4532" s="283">
        <v>0</v>
      </c>
      <c r="J4532" s="284">
        <v>0</v>
      </c>
    </row>
    <row r="4533" spans="3:10" x14ac:dyDescent="0.25">
      <c r="C4533" s="300" t="s">
        <v>1067</v>
      </c>
      <c r="D4533" s="283" t="s">
        <v>1079</v>
      </c>
      <c r="E4533" s="283" t="s">
        <v>1075</v>
      </c>
      <c r="F4533" s="283" t="s">
        <v>1083</v>
      </c>
      <c r="G4533" s="283">
        <v>2</v>
      </c>
      <c r="H4533" s="283">
        <v>0</v>
      </c>
      <c r="I4533" s="283">
        <v>0</v>
      </c>
      <c r="J4533" s="284">
        <v>1</v>
      </c>
    </row>
    <row r="4534" spans="3:10" x14ac:dyDescent="0.25">
      <c r="C4534" s="300" t="s">
        <v>1062</v>
      </c>
      <c r="D4534" s="283" t="s">
        <v>1087</v>
      </c>
      <c r="E4534" s="283" t="s">
        <v>1075</v>
      </c>
      <c r="F4534" s="283" t="s">
        <v>524</v>
      </c>
      <c r="G4534" s="283">
        <v>1</v>
      </c>
      <c r="H4534" s="283">
        <v>0</v>
      </c>
      <c r="I4534" s="283">
        <v>0</v>
      </c>
      <c r="J4534" s="284">
        <v>0</v>
      </c>
    </row>
    <row r="4535" spans="3:10" x14ac:dyDescent="0.25">
      <c r="C4535" s="300" t="s">
        <v>1061</v>
      </c>
      <c r="D4535" s="283" t="s">
        <v>1074</v>
      </c>
      <c r="E4535" s="283" t="s">
        <v>1075</v>
      </c>
      <c r="F4535" s="283" t="s">
        <v>1075</v>
      </c>
      <c r="G4535" s="283">
        <v>3</v>
      </c>
      <c r="H4535" s="283">
        <v>0</v>
      </c>
      <c r="I4535" s="283">
        <v>2</v>
      </c>
      <c r="J4535" s="284">
        <v>0</v>
      </c>
    </row>
    <row r="4536" spans="3:10" x14ac:dyDescent="0.25">
      <c r="C4536" s="300" t="s">
        <v>1063</v>
      </c>
      <c r="D4536" s="283" t="s">
        <v>1079</v>
      </c>
      <c r="E4536" s="283" t="s">
        <v>1080</v>
      </c>
      <c r="F4536" s="283" t="s">
        <v>1075</v>
      </c>
      <c r="G4536" s="283">
        <v>2</v>
      </c>
      <c r="H4536" s="283">
        <v>0</v>
      </c>
      <c r="I4536" s="283">
        <v>1</v>
      </c>
      <c r="J4536" s="284">
        <v>0</v>
      </c>
    </row>
    <row r="4537" spans="3:10" x14ac:dyDescent="0.25">
      <c r="C4537" s="300" t="s">
        <v>1059</v>
      </c>
      <c r="D4537" s="283" t="s">
        <v>1079</v>
      </c>
      <c r="E4537" s="283" t="s">
        <v>1075</v>
      </c>
      <c r="F4537" s="283" t="s">
        <v>1075</v>
      </c>
      <c r="G4537" s="283">
        <v>2</v>
      </c>
      <c r="H4537" s="283">
        <v>0</v>
      </c>
      <c r="I4537" s="283">
        <v>0</v>
      </c>
      <c r="J4537" s="284">
        <v>0</v>
      </c>
    </row>
    <row r="4538" spans="3:10" x14ac:dyDescent="0.25">
      <c r="C4538" s="300" t="s">
        <v>1061</v>
      </c>
      <c r="D4538" s="283" t="s">
        <v>1079</v>
      </c>
      <c r="E4538" s="283" t="s">
        <v>1086</v>
      </c>
      <c r="F4538" s="283" t="s">
        <v>1075</v>
      </c>
      <c r="G4538" s="283">
        <v>2</v>
      </c>
      <c r="H4538" s="283">
        <v>0</v>
      </c>
      <c r="I4538" s="283">
        <v>0</v>
      </c>
      <c r="J4538" s="284">
        <v>0</v>
      </c>
    </row>
    <row r="4539" spans="3:10" x14ac:dyDescent="0.25">
      <c r="C4539" s="300" t="s">
        <v>1067</v>
      </c>
      <c r="D4539" s="283" t="s">
        <v>1079</v>
      </c>
      <c r="E4539" s="283" t="s">
        <v>1084</v>
      </c>
      <c r="F4539" s="283" t="s">
        <v>1083</v>
      </c>
      <c r="G4539" s="283">
        <v>2</v>
      </c>
      <c r="H4539" s="283">
        <v>0</v>
      </c>
      <c r="I4539" s="283">
        <v>1</v>
      </c>
      <c r="J4539" s="284">
        <v>0</v>
      </c>
    </row>
    <row r="4540" spans="3:10" x14ac:dyDescent="0.25">
      <c r="C4540" s="300" t="s">
        <v>1068</v>
      </c>
      <c r="D4540" s="283" t="s">
        <v>1090</v>
      </c>
      <c r="E4540" s="283" t="s">
        <v>1075</v>
      </c>
      <c r="F4540" s="283" t="s">
        <v>524</v>
      </c>
      <c r="G4540" s="283">
        <v>1</v>
      </c>
      <c r="H4540" s="283">
        <v>0</v>
      </c>
      <c r="I4540" s="283">
        <v>0</v>
      </c>
      <c r="J4540" s="284">
        <v>0</v>
      </c>
    </row>
    <row r="4541" spans="3:10" x14ac:dyDescent="0.25">
      <c r="C4541" s="300" t="s">
        <v>1066</v>
      </c>
      <c r="D4541" s="283" t="s">
        <v>1074</v>
      </c>
      <c r="E4541" s="283" t="s">
        <v>1044</v>
      </c>
      <c r="F4541" s="283" t="s">
        <v>1076</v>
      </c>
      <c r="G4541" s="283">
        <v>2</v>
      </c>
      <c r="H4541" s="283">
        <v>0</v>
      </c>
      <c r="I4541" s="283">
        <v>0</v>
      </c>
      <c r="J4541" s="284">
        <v>1</v>
      </c>
    </row>
    <row r="4542" spans="3:10" x14ac:dyDescent="0.25">
      <c r="C4542" s="300" t="s">
        <v>1062</v>
      </c>
      <c r="D4542" s="283" t="s">
        <v>1079</v>
      </c>
      <c r="E4542" s="283" t="s">
        <v>1044</v>
      </c>
      <c r="F4542" s="283" t="s">
        <v>1075</v>
      </c>
      <c r="G4542" s="283">
        <v>2</v>
      </c>
      <c r="H4542" s="283">
        <v>0</v>
      </c>
      <c r="I4542" s="283">
        <v>1</v>
      </c>
      <c r="J4542" s="284">
        <v>0</v>
      </c>
    </row>
    <row r="4543" spans="3:10" x14ac:dyDescent="0.25">
      <c r="C4543" s="300" t="s">
        <v>1066</v>
      </c>
      <c r="D4543" s="283" t="s">
        <v>1090</v>
      </c>
      <c r="E4543" s="283" t="s">
        <v>1083</v>
      </c>
      <c r="F4543" s="283" t="s">
        <v>524</v>
      </c>
      <c r="G4543" s="283">
        <v>1</v>
      </c>
      <c r="H4543" s="283">
        <v>0</v>
      </c>
      <c r="I4543" s="283">
        <v>0</v>
      </c>
      <c r="J4543" s="284">
        <v>1</v>
      </c>
    </row>
    <row r="4544" spans="3:10" x14ac:dyDescent="0.25">
      <c r="C4544" s="300" t="s">
        <v>1067</v>
      </c>
      <c r="D4544" s="283" t="s">
        <v>1079</v>
      </c>
      <c r="E4544" s="283" t="s">
        <v>1075</v>
      </c>
      <c r="F4544" s="283" t="s">
        <v>1105</v>
      </c>
      <c r="G4544" s="283">
        <v>3</v>
      </c>
      <c r="H4544" s="283">
        <v>0</v>
      </c>
      <c r="I4544" s="283">
        <v>0</v>
      </c>
      <c r="J4544" s="284">
        <v>0</v>
      </c>
    </row>
    <row r="4545" spans="3:10" x14ac:dyDescent="0.25">
      <c r="C4545" s="300" t="s">
        <v>1067</v>
      </c>
      <c r="D4545" s="283" t="s">
        <v>1074</v>
      </c>
      <c r="E4545" s="283" t="s">
        <v>1078</v>
      </c>
      <c r="F4545" s="283" t="s">
        <v>1083</v>
      </c>
      <c r="G4545" s="283">
        <v>2</v>
      </c>
      <c r="H4545" s="283">
        <v>0</v>
      </c>
      <c r="I4545" s="283">
        <v>1</v>
      </c>
      <c r="J4545" s="284">
        <v>0</v>
      </c>
    </row>
    <row r="4546" spans="3:10" x14ac:dyDescent="0.25">
      <c r="C4546" s="300" t="s">
        <v>1058</v>
      </c>
      <c r="D4546" s="283" t="s">
        <v>1079</v>
      </c>
      <c r="E4546" s="283" t="s">
        <v>1075</v>
      </c>
      <c r="F4546" s="283" t="s">
        <v>1075</v>
      </c>
      <c r="G4546" s="283">
        <v>2</v>
      </c>
      <c r="H4546" s="283">
        <v>0</v>
      </c>
      <c r="I4546" s="283">
        <v>0</v>
      </c>
      <c r="J4546" s="284">
        <v>1</v>
      </c>
    </row>
    <row r="4547" spans="3:10" x14ac:dyDescent="0.25">
      <c r="C4547" s="300" t="s">
        <v>1059</v>
      </c>
      <c r="D4547" s="283" t="s">
        <v>1087</v>
      </c>
      <c r="E4547" s="283" t="s">
        <v>1075</v>
      </c>
      <c r="F4547" s="283" t="s">
        <v>524</v>
      </c>
      <c r="G4547" s="283">
        <v>1</v>
      </c>
      <c r="H4547" s="283">
        <v>0</v>
      </c>
      <c r="I4547" s="283">
        <v>0</v>
      </c>
      <c r="J4547" s="284">
        <v>0</v>
      </c>
    </row>
    <row r="4548" spans="3:10" x14ac:dyDescent="0.25">
      <c r="C4548" s="300" t="s">
        <v>1068</v>
      </c>
      <c r="D4548" s="283" t="s">
        <v>1082</v>
      </c>
      <c r="E4548" s="283" t="s">
        <v>1075</v>
      </c>
      <c r="F4548" s="283" t="s">
        <v>1089</v>
      </c>
      <c r="G4548" s="283">
        <v>2</v>
      </c>
      <c r="H4548" s="283">
        <v>0</v>
      </c>
      <c r="I4548" s="283">
        <v>0</v>
      </c>
      <c r="J4548" s="284">
        <v>1</v>
      </c>
    </row>
    <row r="4549" spans="3:10" x14ac:dyDescent="0.25">
      <c r="C4549" s="300" t="s">
        <v>1062</v>
      </c>
      <c r="D4549" s="283" t="s">
        <v>1079</v>
      </c>
      <c r="E4549" s="283" t="s">
        <v>1075</v>
      </c>
      <c r="F4549" s="283" t="s">
        <v>1086</v>
      </c>
      <c r="G4549" s="283">
        <v>2</v>
      </c>
      <c r="H4549" s="283">
        <v>0</v>
      </c>
      <c r="I4549" s="283">
        <v>0</v>
      </c>
      <c r="J4549" s="284">
        <v>0</v>
      </c>
    </row>
    <row r="4550" spans="3:10" x14ac:dyDescent="0.25">
      <c r="C4550" s="300" t="s">
        <v>1063</v>
      </c>
      <c r="D4550" s="283" t="s">
        <v>1074</v>
      </c>
      <c r="E4550" s="283" t="s">
        <v>1089</v>
      </c>
      <c r="F4550" s="283" t="s">
        <v>1089</v>
      </c>
      <c r="G4550" s="283">
        <v>2</v>
      </c>
      <c r="H4550" s="283">
        <v>0</v>
      </c>
      <c r="I4550" s="283">
        <v>0</v>
      </c>
      <c r="J4550" s="284">
        <v>0</v>
      </c>
    </row>
    <row r="4551" spans="3:10" x14ac:dyDescent="0.25">
      <c r="C4551" s="300" t="s">
        <v>1068</v>
      </c>
      <c r="D4551" s="283" t="s">
        <v>1087</v>
      </c>
      <c r="E4551" s="283" t="s">
        <v>1075</v>
      </c>
      <c r="F4551" s="283" t="s">
        <v>524</v>
      </c>
      <c r="G4551" s="283">
        <v>1</v>
      </c>
      <c r="H4551" s="283">
        <v>0</v>
      </c>
      <c r="I4551" s="283">
        <v>0</v>
      </c>
      <c r="J4551" s="284">
        <v>0</v>
      </c>
    </row>
    <row r="4552" spans="3:10" x14ac:dyDescent="0.25">
      <c r="C4552" s="300" t="s">
        <v>1060</v>
      </c>
      <c r="D4552" s="283" t="s">
        <v>1077</v>
      </c>
      <c r="E4552" s="283" t="s">
        <v>1075</v>
      </c>
      <c r="F4552" s="283" t="s">
        <v>1089</v>
      </c>
      <c r="G4552" s="283">
        <v>2</v>
      </c>
      <c r="H4552" s="283">
        <v>0</v>
      </c>
      <c r="I4552" s="283">
        <v>0</v>
      </c>
      <c r="J4552" s="284">
        <v>0</v>
      </c>
    </row>
    <row r="4553" spans="3:10" x14ac:dyDescent="0.25">
      <c r="C4553" s="300" t="s">
        <v>1063</v>
      </c>
      <c r="D4553" s="283" t="s">
        <v>1087</v>
      </c>
      <c r="E4553" s="283" t="s">
        <v>1083</v>
      </c>
      <c r="F4553" s="283" t="s">
        <v>524</v>
      </c>
      <c r="G4553" s="283">
        <v>1</v>
      </c>
      <c r="H4553" s="283">
        <v>0</v>
      </c>
      <c r="I4553" s="283">
        <v>0</v>
      </c>
      <c r="J4553" s="284">
        <v>0</v>
      </c>
    </row>
    <row r="4554" spans="3:10" x14ac:dyDescent="0.25">
      <c r="C4554" s="300" t="s">
        <v>1065</v>
      </c>
      <c r="D4554" s="283" t="s">
        <v>1079</v>
      </c>
      <c r="E4554" s="283" t="s">
        <v>1086</v>
      </c>
      <c r="F4554" s="283" t="s">
        <v>1085</v>
      </c>
      <c r="G4554" s="283">
        <v>2</v>
      </c>
      <c r="H4554" s="283">
        <v>0</v>
      </c>
      <c r="I4554" s="283">
        <v>0</v>
      </c>
      <c r="J4554" s="284">
        <v>0</v>
      </c>
    </row>
    <row r="4555" spans="3:10" x14ac:dyDescent="0.25">
      <c r="C4555" s="300" t="s">
        <v>1064</v>
      </c>
      <c r="D4555" s="283" t="s">
        <v>1087</v>
      </c>
      <c r="E4555" s="283" t="s">
        <v>1089</v>
      </c>
      <c r="F4555" s="283" t="s">
        <v>524</v>
      </c>
      <c r="G4555" s="283">
        <v>1</v>
      </c>
      <c r="H4555" s="283">
        <v>0</v>
      </c>
      <c r="I4555" s="283">
        <v>0</v>
      </c>
      <c r="J4555" s="284">
        <v>0</v>
      </c>
    </row>
    <row r="4556" spans="3:10" x14ac:dyDescent="0.25">
      <c r="C4556" s="300" t="s">
        <v>1064</v>
      </c>
      <c r="D4556" s="283" t="s">
        <v>1087</v>
      </c>
      <c r="E4556" s="283" t="s">
        <v>1075</v>
      </c>
      <c r="F4556" s="283" t="s">
        <v>524</v>
      </c>
      <c r="G4556" s="283">
        <v>1</v>
      </c>
      <c r="H4556" s="283">
        <v>0</v>
      </c>
      <c r="I4556" s="283">
        <v>0</v>
      </c>
      <c r="J4556" s="284">
        <v>0</v>
      </c>
    </row>
    <row r="4557" spans="3:10" x14ac:dyDescent="0.25">
      <c r="C4557" s="300" t="s">
        <v>1067</v>
      </c>
      <c r="D4557" s="283" t="s">
        <v>1079</v>
      </c>
      <c r="E4557" s="283" t="s">
        <v>1075</v>
      </c>
      <c r="F4557" s="283" t="s">
        <v>1075</v>
      </c>
      <c r="G4557" s="283">
        <v>2</v>
      </c>
      <c r="H4557" s="283">
        <v>0</v>
      </c>
      <c r="I4557" s="283">
        <v>0</v>
      </c>
      <c r="J4557" s="284">
        <v>0</v>
      </c>
    </row>
    <row r="4558" spans="3:10" x14ac:dyDescent="0.25">
      <c r="C4558" s="300" t="s">
        <v>1061</v>
      </c>
      <c r="D4558" s="283" t="s">
        <v>1079</v>
      </c>
      <c r="E4558" s="283" t="s">
        <v>1089</v>
      </c>
      <c r="F4558" s="283" t="s">
        <v>1083</v>
      </c>
      <c r="G4558" s="283">
        <v>2</v>
      </c>
      <c r="H4558" s="283">
        <v>0</v>
      </c>
      <c r="I4558" s="283">
        <v>1</v>
      </c>
      <c r="J4558" s="284">
        <v>0</v>
      </c>
    </row>
    <row r="4559" spans="3:10" x14ac:dyDescent="0.25">
      <c r="C4559" s="300" t="s">
        <v>1063</v>
      </c>
      <c r="D4559" s="283" t="s">
        <v>1074</v>
      </c>
      <c r="E4559" s="283" t="s">
        <v>1089</v>
      </c>
      <c r="F4559" s="283" t="s">
        <v>1075</v>
      </c>
      <c r="G4559" s="283">
        <v>2</v>
      </c>
      <c r="H4559" s="283">
        <v>0</v>
      </c>
      <c r="I4559" s="283">
        <v>0</v>
      </c>
      <c r="J4559" s="284">
        <v>0</v>
      </c>
    </row>
    <row r="4560" spans="3:10" x14ac:dyDescent="0.25">
      <c r="C4560" s="300" t="s">
        <v>1064</v>
      </c>
      <c r="D4560" s="283" t="s">
        <v>1074</v>
      </c>
      <c r="E4560" s="283" t="s">
        <v>1075</v>
      </c>
      <c r="F4560" s="283" t="s">
        <v>1044</v>
      </c>
      <c r="G4560" s="283">
        <v>2</v>
      </c>
      <c r="H4560" s="283">
        <v>0</v>
      </c>
      <c r="I4560" s="283">
        <v>0</v>
      </c>
      <c r="J4560" s="284">
        <v>1</v>
      </c>
    </row>
    <row r="4561" spans="3:10" x14ac:dyDescent="0.25">
      <c r="C4561" s="300" t="s">
        <v>1059</v>
      </c>
      <c r="D4561" s="283" t="s">
        <v>1079</v>
      </c>
      <c r="E4561" s="283" t="s">
        <v>1084</v>
      </c>
      <c r="F4561" s="283" t="s">
        <v>1099</v>
      </c>
      <c r="G4561" s="283">
        <v>2</v>
      </c>
      <c r="H4561" s="283">
        <v>0</v>
      </c>
      <c r="I4561" s="283">
        <v>0</v>
      </c>
      <c r="J4561" s="284">
        <v>0</v>
      </c>
    </row>
    <row r="4562" spans="3:10" x14ac:dyDescent="0.25">
      <c r="C4562" s="300" t="s">
        <v>1067</v>
      </c>
      <c r="D4562" s="283" t="s">
        <v>1079</v>
      </c>
      <c r="E4562" s="283" t="s">
        <v>1075</v>
      </c>
      <c r="F4562" s="283" t="s">
        <v>1075</v>
      </c>
      <c r="G4562" s="283">
        <v>2</v>
      </c>
      <c r="H4562" s="283">
        <v>0</v>
      </c>
      <c r="I4562" s="283">
        <v>0</v>
      </c>
      <c r="J4562" s="284">
        <v>1</v>
      </c>
    </row>
    <row r="4563" spans="3:10" x14ac:dyDescent="0.25">
      <c r="C4563" s="300" t="s">
        <v>1066</v>
      </c>
      <c r="D4563" s="283" t="s">
        <v>1087</v>
      </c>
      <c r="E4563" s="283" t="s">
        <v>1094</v>
      </c>
      <c r="F4563" s="283" t="s">
        <v>524</v>
      </c>
      <c r="G4563" s="283">
        <v>1</v>
      </c>
      <c r="H4563" s="283">
        <v>0</v>
      </c>
      <c r="I4563" s="283">
        <v>0</v>
      </c>
      <c r="J4563" s="284">
        <v>0</v>
      </c>
    </row>
    <row r="4564" spans="3:10" x14ac:dyDescent="0.25">
      <c r="C4564" s="300" t="s">
        <v>1068</v>
      </c>
      <c r="D4564" s="283" t="s">
        <v>1079</v>
      </c>
      <c r="E4564" s="283" t="s">
        <v>1075</v>
      </c>
      <c r="F4564" s="283" t="s">
        <v>524</v>
      </c>
      <c r="G4564" s="283">
        <v>1</v>
      </c>
      <c r="H4564" s="283">
        <v>0</v>
      </c>
      <c r="I4564" s="283">
        <v>0</v>
      </c>
      <c r="J4564" s="284">
        <v>0</v>
      </c>
    </row>
    <row r="4565" spans="3:10" x14ac:dyDescent="0.25">
      <c r="C4565" s="300" t="s">
        <v>1065</v>
      </c>
      <c r="D4565" s="283" t="s">
        <v>1079</v>
      </c>
      <c r="E4565" s="283" t="s">
        <v>1075</v>
      </c>
      <c r="F4565" s="283" t="s">
        <v>1075</v>
      </c>
      <c r="G4565" s="283">
        <v>2</v>
      </c>
      <c r="H4565" s="283">
        <v>0</v>
      </c>
      <c r="I4565" s="283">
        <v>0</v>
      </c>
      <c r="J4565" s="284">
        <v>0</v>
      </c>
    </row>
    <row r="4566" spans="3:10" x14ac:dyDescent="0.25">
      <c r="C4566" s="300" t="s">
        <v>1064</v>
      </c>
      <c r="D4566" s="283" t="s">
        <v>1079</v>
      </c>
      <c r="E4566" s="283" t="s">
        <v>1089</v>
      </c>
      <c r="F4566" s="283" t="s">
        <v>1075</v>
      </c>
      <c r="G4566" s="283">
        <v>2</v>
      </c>
      <c r="H4566" s="283">
        <v>0</v>
      </c>
      <c r="I4566" s="283">
        <v>0</v>
      </c>
      <c r="J4566" s="284">
        <v>0</v>
      </c>
    </row>
    <row r="4567" spans="3:10" x14ac:dyDescent="0.25">
      <c r="C4567" s="300" t="s">
        <v>1062</v>
      </c>
      <c r="D4567" s="283" t="s">
        <v>1079</v>
      </c>
      <c r="E4567" s="283" t="s">
        <v>1084</v>
      </c>
      <c r="F4567" s="283" t="s">
        <v>1088</v>
      </c>
      <c r="G4567" s="283">
        <v>2</v>
      </c>
      <c r="H4567" s="283">
        <v>0</v>
      </c>
      <c r="I4567" s="283">
        <v>0</v>
      </c>
      <c r="J4567" s="284">
        <v>1</v>
      </c>
    </row>
    <row r="4568" spans="3:10" x14ac:dyDescent="0.25">
      <c r="C4568" s="300" t="s">
        <v>1063</v>
      </c>
      <c r="D4568" s="283" t="s">
        <v>1077</v>
      </c>
      <c r="E4568" s="283" t="s">
        <v>1076</v>
      </c>
      <c r="F4568" s="283" t="s">
        <v>1075</v>
      </c>
      <c r="G4568" s="283">
        <v>3</v>
      </c>
      <c r="H4568" s="283">
        <v>0</v>
      </c>
      <c r="I4568" s="283">
        <v>0</v>
      </c>
      <c r="J4568" s="284">
        <v>0</v>
      </c>
    </row>
    <row r="4569" spans="3:10" x14ac:dyDescent="0.25">
      <c r="C4569" s="300" t="s">
        <v>1064</v>
      </c>
      <c r="D4569" s="283" t="s">
        <v>1074</v>
      </c>
      <c r="E4569" s="283" t="s">
        <v>1075</v>
      </c>
      <c r="F4569" s="283" t="s">
        <v>1081</v>
      </c>
      <c r="G4569" s="283">
        <v>2</v>
      </c>
      <c r="H4569" s="283">
        <v>0</v>
      </c>
      <c r="I4569" s="283">
        <v>0</v>
      </c>
      <c r="J4569" s="284">
        <v>2</v>
      </c>
    </row>
    <row r="4570" spans="3:10" x14ac:dyDescent="0.25">
      <c r="C4570" s="300" t="s">
        <v>1063</v>
      </c>
      <c r="D4570" s="283" t="s">
        <v>1079</v>
      </c>
      <c r="E4570" s="283" t="s">
        <v>1086</v>
      </c>
      <c r="F4570" s="283" t="s">
        <v>1075</v>
      </c>
      <c r="G4570" s="283">
        <v>2</v>
      </c>
      <c r="H4570" s="283">
        <v>0</v>
      </c>
      <c r="I4570" s="283">
        <v>0</v>
      </c>
      <c r="J4570" s="284">
        <v>1</v>
      </c>
    </row>
    <row r="4571" spans="3:10" x14ac:dyDescent="0.25">
      <c r="C4571" s="300" t="s">
        <v>1064</v>
      </c>
      <c r="D4571" s="283" t="s">
        <v>1082</v>
      </c>
      <c r="E4571" s="283" t="s">
        <v>1075</v>
      </c>
      <c r="F4571" s="283" t="s">
        <v>1075</v>
      </c>
      <c r="G4571" s="283">
        <v>3</v>
      </c>
      <c r="H4571" s="283">
        <v>0</v>
      </c>
      <c r="I4571" s="283">
        <v>0</v>
      </c>
      <c r="J4571" s="284">
        <v>0</v>
      </c>
    </row>
    <row r="4572" spans="3:10" x14ac:dyDescent="0.25">
      <c r="C4572" s="300" t="s">
        <v>1066</v>
      </c>
      <c r="D4572" s="283" t="s">
        <v>1077</v>
      </c>
      <c r="E4572" s="283" t="s">
        <v>1084</v>
      </c>
      <c r="F4572" s="283" t="s">
        <v>1075</v>
      </c>
      <c r="G4572" s="283">
        <v>2</v>
      </c>
      <c r="H4572" s="283">
        <v>0</v>
      </c>
      <c r="I4572" s="283">
        <v>0</v>
      </c>
      <c r="J4572" s="284">
        <v>0</v>
      </c>
    </row>
    <row r="4573" spans="3:10" x14ac:dyDescent="0.25">
      <c r="C4573" s="300" t="s">
        <v>1061</v>
      </c>
      <c r="D4573" s="283" t="s">
        <v>1087</v>
      </c>
      <c r="E4573" s="283" t="s">
        <v>1076</v>
      </c>
      <c r="F4573" s="283" t="s">
        <v>524</v>
      </c>
      <c r="G4573" s="283">
        <v>1</v>
      </c>
      <c r="H4573" s="283">
        <v>0</v>
      </c>
      <c r="I4573" s="283">
        <v>0</v>
      </c>
      <c r="J4573" s="284">
        <v>0</v>
      </c>
    </row>
    <row r="4574" spans="3:10" x14ac:dyDescent="0.25">
      <c r="C4574" s="300" t="s">
        <v>1061</v>
      </c>
      <c r="D4574" s="283" t="s">
        <v>1074</v>
      </c>
      <c r="E4574" s="283" t="s">
        <v>1075</v>
      </c>
      <c r="F4574" s="283" t="s">
        <v>1081</v>
      </c>
      <c r="G4574" s="283">
        <v>2</v>
      </c>
      <c r="H4574" s="283">
        <v>0</v>
      </c>
      <c r="I4574" s="283">
        <v>0</v>
      </c>
      <c r="J4574" s="284">
        <v>0</v>
      </c>
    </row>
    <row r="4575" spans="3:10" x14ac:dyDescent="0.25">
      <c r="C4575" s="300" t="s">
        <v>1061</v>
      </c>
      <c r="D4575" s="283" t="s">
        <v>1079</v>
      </c>
      <c r="E4575" s="283" t="s">
        <v>1089</v>
      </c>
      <c r="F4575" s="283" t="s">
        <v>1075</v>
      </c>
      <c r="G4575" s="283">
        <v>2</v>
      </c>
      <c r="H4575" s="283">
        <v>0</v>
      </c>
      <c r="I4575" s="283">
        <v>0</v>
      </c>
      <c r="J4575" s="284">
        <v>0</v>
      </c>
    </row>
    <row r="4576" spans="3:10" x14ac:dyDescent="0.25">
      <c r="C4576" s="300" t="s">
        <v>1057</v>
      </c>
      <c r="D4576" s="283" t="s">
        <v>1079</v>
      </c>
      <c r="E4576" s="283" t="s">
        <v>1075</v>
      </c>
      <c r="F4576" s="283" t="s">
        <v>1089</v>
      </c>
      <c r="G4576" s="283">
        <v>2</v>
      </c>
      <c r="H4576" s="283">
        <v>0</v>
      </c>
      <c r="I4576" s="283">
        <v>0</v>
      </c>
      <c r="J4576" s="284">
        <v>0</v>
      </c>
    </row>
    <row r="4577" spans="3:10" x14ac:dyDescent="0.25">
      <c r="C4577" s="300" t="s">
        <v>1062</v>
      </c>
      <c r="D4577" s="283" t="s">
        <v>1079</v>
      </c>
      <c r="E4577" s="283" t="s">
        <v>1075</v>
      </c>
      <c r="F4577" s="283" t="s">
        <v>1089</v>
      </c>
      <c r="G4577" s="283">
        <v>2</v>
      </c>
      <c r="H4577" s="283">
        <v>0</v>
      </c>
      <c r="I4577" s="283">
        <v>0</v>
      </c>
      <c r="J4577" s="284">
        <v>0</v>
      </c>
    </row>
    <row r="4578" spans="3:10" x14ac:dyDescent="0.25">
      <c r="C4578" s="300" t="s">
        <v>1062</v>
      </c>
      <c r="D4578" s="283" t="s">
        <v>1079</v>
      </c>
      <c r="E4578" s="283" t="s">
        <v>1078</v>
      </c>
      <c r="F4578" s="283" t="s">
        <v>1078</v>
      </c>
      <c r="G4578" s="283">
        <v>2</v>
      </c>
      <c r="H4578" s="283">
        <v>0</v>
      </c>
      <c r="I4578" s="283">
        <v>0</v>
      </c>
      <c r="J4578" s="284">
        <v>0</v>
      </c>
    </row>
    <row r="4579" spans="3:10" x14ac:dyDescent="0.25">
      <c r="C4579" s="300" t="s">
        <v>1065</v>
      </c>
      <c r="D4579" s="283" t="s">
        <v>1079</v>
      </c>
      <c r="E4579" s="283" t="s">
        <v>1076</v>
      </c>
      <c r="F4579" s="283" t="s">
        <v>1076</v>
      </c>
      <c r="G4579" s="283">
        <v>3</v>
      </c>
      <c r="H4579" s="283">
        <v>0</v>
      </c>
      <c r="I4579" s="283">
        <v>0</v>
      </c>
      <c r="J4579" s="284">
        <v>0</v>
      </c>
    </row>
    <row r="4580" spans="3:10" x14ac:dyDescent="0.25">
      <c r="C4580" s="300" t="s">
        <v>1062</v>
      </c>
      <c r="D4580" s="283" t="s">
        <v>1079</v>
      </c>
      <c r="E4580" s="283" t="s">
        <v>1075</v>
      </c>
      <c r="F4580" s="283" t="s">
        <v>1083</v>
      </c>
      <c r="G4580" s="283">
        <v>2</v>
      </c>
      <c r="H4580" s="283">
        <v>0</v>
      </c>
      <c r="I4580" s="283">
        <v>0</v>
      </c>
      <c r="J4580" s="284">
        <v>1</v>
      </c>
    </row>
    <row r="4581" spans="3:10" x14ac:dyDescent="0.25">
      <c r="C4581" s="300" t="s">
        <v>1068</v>
      </c>
      <c r="D4581" s="283" t="s">
        <v>1079</v>
      </c>
      <c r="E4581" s="283" t="s">
        <v>1075</v>
      </c>
      <c r="F4581" s="283" t="s">
        <v>1089</v>
      </c>
      <c r="G4581" s="283">
        <v>2</v>
      </c>
      <c r="H4581" s="283">
        <v>0</v>
      </c>
      <c r="I4581" s="283">
        <v>0</v>
      </c>
      <c r="J4581" s="284">
        <v>0</v>
      </c>
    </row>
    <row r="4582" spans="3:10" x14ac:dyDescent="0.25">
      <c r="C4582" s="300" t="s">
        <v>1061</v>
      </c>
      <c r="D4582" s="283" t="s">
        <v>1043</v>
      </c>
      <c r="E4582" s="283" t="s">
        <v>1089</v>
      </c>
      <c r="F4582" s="283" t="s">
        <v>1092</v>
      </c>
      <c r="G4582" s="283">
        <v>2</v>
      </c>
      <c r="H4582" s="283">
        <v>0</v>
      </c>
      <c r="I4582" s="283">
        <v>1</v>
      </c>
      <c r="J4582" s="284">
        <v>0</v>
      </c>
    </row>
    <row r="4583" spans="3:10" x14ac:dyDescent="0.25">
      <c r="C4583" s="300" t="s">
        <v>1067</v>
      </c>
      <c r="D4583" s="283" t="s">
        <v>1087</v>
      </c>
      <c r="E4583" s="283" t="s">
        <v>1076</v>
      </c>
      <c r="F4583" s="283" t="s">
        <v>524</v>
      </c>
      <c r="G4583" s="283">
        <v>1</v>
      </c>
      <c r="H4583" s="283">
        <v>0</v>
      </c>
      <c r="I4583" s="283">
        <v>0</v>
      </c>
      <c r="J4583" s="284">
        <v>0</v>
      </c>
    </row>
    <row r="4584" spans="3:10" x14ac:dyDescent="0.25">
      <c r="C4584" s="300" t="s">
        <v>1059</v>
      </c>
      <c r="D4584" s="283" t="s">
        <v>1087</v>
      </c>
      <c r="E4584" s="283" t="s">
        <v>1075</v>
      </c>
      <c r="F4584" s="283" t="s">
        <v>524</v>
      </c>
      <c r="G4584" s="283">
        <v>1</v>
      </c>
      <c r="H4584" s="283">
        <v>0</v>
      </c>
      <c r="I4584" s="283">
        <v>0</v>
      </c>
      <c r="J4584" s="284">
        <v>1</v>
      </c>
    </row>
    <row r="4585" spans="3:10" x14ac:dyDescent="0.25">
      <c r="C4585" s="300" t="s">
        <v>1063</v>
      </c>
      <c r="D4585" s="283" t="s">
        <v>1043</v>
      </c>
      <c r="E4585" s="283" t="s">
        <v>1075</v>
      </c>
      <c r="F4585" s="283" t="s">
        <v>1092</v>
      </c>
      <c r="G4585" s="283">
        <v>2</v>
      </c>
      <c r="H4585" s="283">
        <v>0</v>
      </c>
      <c r="I4585" s="283">
        <v>1</v>
      </c>
      <c r="J4585" s="284">
        <v>0</v>
      </c>
    </row>
    <row r="4586" spans="3:10" x14ac:dyDescent="0.25">
      <c r="C4586" s="300" t="s">
        <v>1062</v>
      </c>
      <c r="D4586" s="283" t="s">
        <v>1074</v>
      </c>
      <c r="E4586" s="283" t="s">
        <v>1078</v>
      </c>
      <c r="F4586" s="283" t="s">
        <v>1044</v>
      </c>
      <c r="G4586" s="283">
        <v>2</v>
      </c>
      <c r="H4586" s="283">
        <v>0</v>
      </c>
      <c r="I4586" s="283">
        <v>0</v>
      </c>
      <c r="J4586" s="284">
        <v>0</v>
      </c>
    </row>
    <row r="4587" spans="3:10" x14ac:dyDescent="0.25">
      <c r="C4587" s="300" t="s">
        <v>1066</v>
      </c>
      <c r="D4587" s="283" t="s">
        <v>1079</v>
      </c>
      <c r="E4587" s="283" t="s">
        <v>1075</v>
      </c>
      <c r="F4587" s="283" t="s">
        <v>1075</v>
      </c>
      <c r="G4587" s="283">
        <v>2</v>
      </c>
      <c r="H4587" s="283">
        <v>0</v>
      </c>
      <c r="I4587" s="283">
        <v>0</v>
      </c>
      <c r="J4587" s="284">
        <v>0</v>
      </c>
    </row>
    <row r="4588" spans="3:10" x14ac:dyDescent="0.25">
      <c r="C4588" s="300" t="s">
        <v>1066</v>
      </c>
      <c r="D4588" s="283" t="s">
        <v>1074</v>
      </c>
      <c r="E4588" s="283" t="s">
        <v>1075</v>
      </c>
      <c r="F4588" s="283" t="s">
        <v>1076</v>
      </c>
      <c r="G4588" s="283">
        <v>2</v>
      </c>
      <c r="H4588" s="283">
        <v>0</v>
      </c>
      <c r="I4588" s="283">
        <v>0</v>
      </c>
      <c r="J4588" s="284">
        <v>0</v>
      </c>
    </row>
    <row r="4589" spans="3:10" x14ac:dyDescent="0.25">
      <c r="C4589" s="300" t="s">
        <v>1068</v>
      </c>
      <c r="D4589" s="283" t="s">
        <v>1087</v>
      </c>
      <c r="E4589" s="283" t="s">
        <v>1089</v>
      </c>
      <c r="F4589" s="283" t="s">
        <v>524</v>
      </c>
      <c r="G4589" s="283">
        <v>1</v>
      </c>
      <c r="H4589" s="283">
        <v>0</v>
      </c>
      <c r="I4589" s="283">
        <v>0</v>
      </c>
      <c r="J4589" s="284">
        <v>0</v>
      </c>
    </row>
    <row r="4590" spans="3:10" x14ac:dyDescent="0.25">
      <c r="C4590" s="300" t="s">
        <v>1065</v>
      </c>
      <c r="D4590" s="283" t="s">
        <v>1077</v>
      </c>
      <c r="E4590" s="283" t="s">
        <v>1075</v>
      </c>
      <c r="F4590" s="283" t="s">
        <v>1089</v>
      </c>
      <c r="G4590" s="283">
        <v>2</v>
      </c>
      <c r="H4590" s="283">
        <v>0</v>
      </c>
      <c r="I4590" s="283">
        <v>0</v>
      </c>
      <c r="J4590" s="284">
        <v>0</v>
      </c>
    </row>
    <row r="4591" spans="3:10" x14ac:dyDescent="0.25">
      <c r="C4591" s="300" t="s">
        <v>1060</v>
      </c>
      <c r="D4591" s="283" t="s">
        <v>1079</v>
      </c>
      <c r="E4591" s="283" t="s">
        <v>1089</v>
      </c>
      <c r="F4591" s="283" t="s">
        <v>1075</v>
      </c>
      <c r="G4591" s="283">
        <v>2</v>
      </c>
      <c r="H4591" s="283">
        <v>0</v>
      </c>
      <c r="I4591" s="283">
        <v>0</v>
      </c>
      <c r="J4591" s="284">
        <v>0</v>
      </c>
    </row>
    <row r="4592" spans="3:10" x14ac:dyDescent="0.25">
      <c r="C4592" s="300" t="s">
        <v>1064</v>
      </c>
      <c r="D4592" s="283" t="s">
        <v>1074</v>
      </c>
      <c r="E4592" s="283" t="s">
        <v>1089</v>
      </c>
      <c r="F4592" s="283" t="s">
        <v>1089</v>
      </c>
      <c r="G4592" s="283">
        <v>3</v>
      </c>
      <c r="H4592" s="283">
        <v>0</v>
      </c>
      <c r="I4592" s="283">
        <v>0</v>
      </c>
      <c r="J4592" s="284">
        <v>0</v>
      </c>
    </row>
    <row r="4593" spans="3:10" x14ac:dyDescent="0.25">
      <c r="C4593" s="300" t="s">
        <v>1068</v>
      </c>
      <c r="D4593" s="283" t="s">
        <v>1079</v>
      </c>
      <c r="E4593" s="283" t="s">
        <v>1075</v>
      </c>
      <c r="F4593" s="283" t="s">
        <v>1075</v>
      </c>
      <c r="G4593" s="283">
        <v>2</v>
      </c>
      <c r="H4593" s="283">
        <v>0</v>
      </c>
      <c r="I4593" s="283">
        <v>0</v>
      </c>
      <c r="J4593" s="284">
        <v>0</v>
      </c>
    </row>
    <row r="4594" spans="3:10" x14ac:dyDescent="0.25">
      <c r="C4594" s="300" t="s">
        <v>1062</v>
      </c>
      <c r="D4594" s="283" t="s">
        <v>1079</v>
      </c>
      <c r="E4594" s="283" t="s">
        <v>1075</v>
      </c>
      <c r="F4594" s="283" t="s">
        <v>1075</v>
      </c>
      <c r="G4594" s="283">
        <v>2</v>
      </c>
      <c r="H4594" s="283">
        <v>0</v>
      </c>
      <c r="I4594" s="283">
        <v>0</v>
      </c>
      <c r="J4594" s="284">
        <v>0</v>
      </c>
    </row>
    <row r="4595" spans="3:10" x14ac:dyDescent="0.25">
      <c r="C4595" s="300" t="s">
        <v>1063</v>
      </c>
      <c r="D4595" s="283" t="s">
        <v>1079</v>
      </c>
      <c r="E4595" s="283" t="s">
        <v>1083</v>
      </c>
      <c r="F4595" s="283" t="s">
        <v>1075</v>
      </c>
      <c r="G4595" s="283">
        <v>2</v>
      </c>
      <c r="H4595" s="283">
        <v>0</v>
      </c>
      <c r="I4595" s="283">
        <v>0</v>
      </c>
      <c r="J4595" s="284">
        <v>0</v>
      </c>
    </row>
    <row r="4596" spans="3:10" x14ac:dyDescent="0.25">
      <c r="C4596" s="300" t="s">
        <v>1064</v>
      </c>
      <c r="D4596" s="283" t="s">
        <v>1079</v>
      </c>
      <c r="E4596" s="283" t="s">
        <v>1075</v>
      </c>
      <c r="F4596" s="283" t="s">
        <v>1075</v>
      </c>
      <c r="G4596" s="283">
        <v>2</v>
      </c>
      <c r="H4596" s="283">
        <v>0</v>
      </c>
      <c r="I4596" s="283">
        <v>0</v>
      </c>
      <c r="J4596" s="284">
        <v>0</v>
      </c>
    </row>
    <row r="4597" spans="3:10" x14ac:dyDescent="0.25">
      <c r="C4597" s="300" t="s">
        <v>1066</v>
      </c>
      <c r="D4597" s="283" t="s">
        <v>1077</v>
      </c>
      <c r="E4597" s="283" t="s">
        <v>1075</v>
      </c>
      <c r="F4597" s="283" t="s">
        <v>1075</v>
      </c>
      <c r="G4597" s="283">
        <v>2</v>
      </c>
      <c r="H4597" s="283">
        <v>0</v>
      </c>
      <c r="I4597" s="283">
        <v>0</v>
      </c>
      <c r="J4597" s="284">
        <v>1</v>
      </c>
    </row>
    <row r="4598" spans="3:10" x14ac:dyDescent="0.25">
      <c r="C4598" s="300" t="s">
        <v>1065</v>
      </c>
      <c r="D4598" s="283" t="s">
        <v>1079</v>
      </c>
      <c r="E4598" s="283" t="s">
        <v>1089</v>
      </c>
      <c r="F4598" s="283" t="s">
        <v>1075</v>
      </c>
      <c r="G4598" s="283">
        <v>2</v>
      </c>
      <c r="H4598" s="283">
        <v>0</v>
      </c>
      <c r="I4598" s="283">
        <v>0</v>
      </c>
      <c r="J4598" s="284">
        <v>0</v>
      </c>
    </row>
    <row r="4599" spans="3:10" x14ac:dyDescent="0.25">
      <c r="C4599" s="300" t="s">
        <v>1065</v>
      </c>
      <c r="D4599" s="283" t="s">
        <v>1087</v>
      </c>
      <c r="E4599" s="283" t="s">
        <v>1075</v>
      </c>
      <c r="F4599" s="283" t="s">
        <v>524</v>
      </c>
      <c r="G4599" s="283">
        <v>1</v>
      </c>
      <c r="H4599" s="283">
        <v>0</v>
      </c>
      <c r="I4599" s="283">
        <v>0</v>
      </c>
      <c r="J4599" s="284">
        <v>0</v>
      </c>
    </row>
    <row r="4600" spans="3:10" x14ac:dyDescent="0.25">
      <c r="C4600" s="300" t="s">
        <v>1062</v>
      </c>
      <c r="D4600" s="283" t="s">
        <v>1074</v>
      </c>
      <c r="E4600" s="283" t="s">
        <v>1080</v>
      </c>
      <c r="F4600" s="283" t="s">
        <v>1076</v>
      </c>
      <c r="G4600" s="283">
        <v>2</v>
      </c>
      <c r="H4600" s="283">
        <v>0</v>
      </c>
      <c r="I4600" s="283">
        <v>0</v>
      </c>
      <c r="J4600" s="284">
        <v>0</v>
      </c>
    </row>
    <row r="4601" spans="3:10" x14ac:dyDescent="0.25">
      <c r="C4601" s="300" t="s">
        <v>1067</v>
      </c>
      <c r="D4601" s="283" t="s">
        <v>1079</v>
      </c>
      <c r="E4601" s="283" t="s">
        <v>1075</v>
      </c>
      <c r="F4601" s="283" t="s">
        <v>1075</v>
      </c>
      <c r="G4601" s="283">
        <v>2</v>
      </c>
      <c r="H4601" s="283">
        <v>0</v>
      </c>
      <c r="I4601" s="283">
        <v>0</v>
      </c>
      <c r="J4601" s="284">
        <v>0</v>
      </c>
    </row>
    <row r="4602" spans="3:10" x14ac:dyDescent="0.25">
      <c r="C4602" s="300" t="s">
        <v>1060</v>
      </c>
      <c r="D4602" s="283" t="s">
        <v>1090</v>
      </c>
      <c r="E4602" s="283" t="s">
        <v>1044</v>
      </c>
      <c r="F4602" s="283" t="s">
        <v>524</v>
      </c>
      <c r="G4602" s="283">
        <v>1</v>
      </c>
      <c r="H4602" s="283">
        <v>0</v>
      </c>
      <c r="I4602" s="283">
        <v>1</v>
      </c>
      <c r="J4602" s="284">
        <v>0</v>
      </c>
    </row>
    <row r="4603" spans="3:10" x14ac:dyDescent="0.25">
      <c r="C4603" s="300" t="s">
        <v>1066</v>
      </c>
      <c r="D4603" s="283" t="s">
        <v>1087</v>
      </c>
      <c r="E4603" s="283" t="s">
        <v>1075</v>
      </c>
      <c r="F4603" s="283" t="s">
        <v>524</v>
      </c>
      <c r="G4603" s="283">
        <v>1</v>
      </c>
      <c r="H4603" s="283">
        <v>0</v>
      </c>
      <c r="I4603" s="283">
        <v>0</v>
      </c>
      <c r="J4603" s="284">
        <v>0</v>
      </c>
    </row>
    <row r="4604" spans="3:10" x14ac:dyDescent="0.25">
      <c r="C4604" s="300" t="s">
        <v>1057</v>
      </c>
      <c r="D4604" s="283" t="s">
        <v>1079</v>
      </c>
      <c r="E4604" s="283" t="s">
        <v>1076</v>
      </c>
      <c r="F4604" s="283" t="s">
        <v>1076</v>
      </c>
      <c r="G4604" s="283">
        <v>2</v>
      </c>
      <c r="H4604" s="283">
        <v>0</v>
      </c>
      <c r="I4604" s="283">
        <v>0</v>
      </c>
      <c r="J4604" s="284">
        <v>0</v>
      </c>
    </row>
    <row r="4605" spans="3:10" x14ac:dyDescent="0.25">
      <c r="C4605" s="300" t="s">
        <v>1066</v>
      </c>
      <c r="D4605" s="283" t="s">
        <v>1079</v>
      </c>
      <c r="E4605" s="283" t="s">
        <v>1075</v>
      </c>
      <c r="F4605" s="283" t="s">
        <v>1075</v>
      </c>
      <c r="G4605" s="283">
        <v>2</v>
      </c>
      <c r="H4605" s="283">
        <v>0</v>
      </c>
      <c r="I4605" s="283">
        <v>1</v>
      </c>
      <c r="J4605" s="284">
        <v>0</v>
      </c>
    </row>
    <row r="4606" spans="3:10" x14ac:dyDescent="0.25">
      <c r="C4606" s="300" t="s">
        <v>1062</v>
      </c>
      <c r="D4606" s="283" t="s">
        <v>1090</v>
      </c>
      <c r="E4606" s="283" t="s">
        <v>1093</v>
      </c>
      <c r="F4606" s="283" t="s">
        <v>524</v>
      </c>
      <c r="G4606" s="283">
        <v>1</v>
      </c>
      <c r="H4606" s="283">
        <v>0</v>
      </c>
      <c r="I4606" s="283">
        <v>1</v>
      </c>
      <c r="J4606" s="284">
        <v>0</v>
      </c>
    </row>
    <row r="4607" spans="3:10" x14ac:dyDescent="0.25">
      <c r="C4607" s="300" t="s">
        <v>1064</v>
      </c>
      <c r="D4607" s="283" t="s">
        <v>1077</v>
      </c>
      <c r="E4607" s="283" t="s">
        <v>1076</v>
      </c>
      <c r="F4607" s="283" t="s">
        <v>1075</v>
      </c>
      <c r="G4607" s="283">
        <v>3</v>
      </c>
      <c r="H4607" s="283">
        <v>0</v>
      </c>
      <c r="I4607" s="283">
        <v>0</v>
      </c>
      <c r="J4607" s="284">
        <v>0</v>
      </c>
    </row>
    <row r="4608" spans="3:10" x14ac:dyDescent="0.25">
      <c r="C4608" s="300" t="s">
        <v>1064</v>
      </c>
      <c r="D4608" s="283" t="s">
        <v>1079</v>
      </c>
      <c r="E4608" s="283" t="s">
        <v>1076</v>
      </c>
      <c r="F4608" s="283" t="s">
        <v>1083</v>
      </c>
      <c r="G4608" s="283">
        <v>2</v>
      </c>
      <c r="H4608" s="283">
        <v>0</v>
      </c>
      <c r="I4608" s="283">
        <v>1</v>
      </c>
      <c r="J4608" s="284">
        <v>0</v>
      </c>
    </row>
    <row r="4609" spans="3:10" x14ac:dyDescent="0.25">
      <c r="C4609" s="300" t="s">
        <v>1061</v>
      </c>
      <c r="D4609" s="283" t="s">
        <v>1077</v>
      </c>
      <c r="E4609" s="283" t="s">
        <v>1089</v>
      </c>
      <c r="F4609" s="283" t="s">
        <v>1078</v>
      </c>
      <c r="G4609" s="283">
        <v>4</v>
      </c>
      <c r="H4609" s="283">
        <v>0</v>
      </c>
      <c r="I4609" s="283">
        <v>0</v>
      </c>
      <c r="J4609" s="284">
        <v>1</v>
      </c>
    </row>
    <row r="4610" spans="3:10" x14ac:dyDescent="0.25">
      <c r="C4610" s="300" t="s">
        <v>1061</v>
      </c>
      <c r="D4610" s="283" t="s">
        <v>1087</v>
      </c>
      <c r="E4610" s="283" t="s">
        <v>1078</v>
      </c>
      <c r="F4610" s="283" t="s">
        <v>524</v>
      </c>
      <c r="G4610" s="283">
        <v>1</v>
      </c>
      <c r="H4610" s="283">
        <v>0</v>
      </c>
      <c r="I4610" s="283">
        <v>0</v>
      </c>
      <c r="J4610" s="284">
        <v>1</v>
      </c>
    </row>
    <row r="4611" spans="3:10" x14ac:dyDescent="0.25">
      <c r="C4611" s="300" t="s">
        <v>1068</v>
      </c>
      <c r="D4611" s="283" t="s">
        <v>1043</v>
      </c>
      <c r="E4611" s="283" t="s">
        <v>1075</v>
      </c>
      <c r="F4611" s="283" t="s">
        <v>1092</v>
      </c>
      <c r="G4611" s="283">
        <v>2</v>
      </c>
      <c r="H4611" s="283">
        <v>0</v>
      </c>
      <c r="I4611" s="283">
        <v>1</v>
      </c>
      <c r="J4611" s="284">
        <v>0</v>
      </c>
    </row>
    <row r="4612" spans="3:10" x14ac:dyDescent="0.25">
      <c r="C4612" s="300" t="s">
        <v>1067</v>
      </c>
      <c r="D4612" s="283" t="s">
        <v>1087</v>
      </c>
      <c r="E4612" s="283" t="s">
        <v>1084</v>
      </c>
      <c r="F4612" s="283" t="s">
        <v>524</v>
      </c>
      <c r="G4612" s="283">
        <v>1</v>
      </c>
      <c r="H4612" s="283">
        <v>0</v>
      </c>
      <c r="I4612" s="283">
        <v>1</v>
      </c>
      <c r="J4612" s="284">
        <v>0</v>
      </c>
    </row>
    <row r="4613" spans="3:10" x14ac:dyDescent="0.25">
      <c r="C4613" s="300" t="s">
        <v>1065</v>
      </c>
      <c r="D4613" s="283" t="s">
        <v>1079</v>
      </c>
      <c r="E4613" s="283" t="s">
        <v>1086</v>
      </c>
      <c r="F4613" s="283" t="s">
        <v>1075</v>
      </c>
      <c r="G4613" s="283">
        <v>2</v>
      </c>
      <c r="H4613" s="283">
        <v>0</v>
      </c>
      <c r="I4613" s="283">
        <v>0</v>
      </c>
      <c r="J4613" s="284">
        <v>0</v>
      </c>
    </row>
    <row r="4614" spans="3:10" x14ac:dyDescent="0.25">
      <c r="C4614" s="300" t="s">
        <v>1065</v>
      </c>
      <c r="D4614" s="283" t="s">
        <v>1077</v>
      </c>
      <c r="E4614" s="283" t="s">
        <v>1075</v>
      </c>
      <c r="F4614" s="283" t="s">
        <v>1076</v>
      </c>
      <c r="G4614" s="283">
        <v>5</v>
      </c>
      <c r="H4614" s="283">
        <v>0</v>
      </c>
      <c r="I4614" s="283">
        <v>0</v>
      </c>
      <c r="J4614" s="284">
        <v>0</v>
      </c>
    </row>
    <row r="4615" spans="3:10" x14ac:dyDescent="0.25">
      <c r="C4615" s="300" t="s">
        <v>1063</v>
      </c>
      <c r="D4615" s="283" t="s">
        <v>1082</v>
      </c>
      <c r="E4615" s="283" t="s">
        <v>1044</v>
      </c>
      <c r="F4615" s="283" t="s">
        <v>1075</v>
      </c>
      <c r="G4615" s="283">
        <v>2</v>
      </c>
      <c r="H4615" s="283">
        <v>0</v>
      </c>
      <c r="I4615" s="283">
        <v>0</v>
      </c>
      <c r="J4615" s="284">
        <v>1</v>
      </c>
    </row>
    <row r="4616" spans="3:10" x14ac:dyDescent="0.25">
      <c r="C4616" s="300" t="s">
        <v>1068</v>
      </c>
      <c r="D4616" s="283" t="s">
        <v>1077</v>
      </c>
      <c r="E4616" s="283" t="s">
        <v>1075</v>
      </c>
      <c r="F4616" s="283" t="s">
        <v>1075</v>
      </c>
      <c r="G4616" s="283">
        <v>2</v>
      </c>
      <c r="H4616" s="283">
        <v>0</v>
      </c>
      <c r="I4616" s="283">
        <v>0</v>
      </c>
      <c r="J4616" s="284">
        <v>0</v>
      </c>
    </row>
    <row r="4617" spans="3:10" x14ac:dyDescent="0.25">
      <c r="C4617" s="300" t="s">
        <v>1068</v>
      </c>
      <c r="D4617" s="283" t="s">
        <v>1043</v>
      </c>
      <c r="E4617" s="283" t="s">
        <v>1075</v>
      </c>
      <c r="F4617" s="283" t="s">
        <v>1092</v>
      </c>
      <c r="G4617" s="283">
        <v>2</v>
      </c>
      <c r="H4617" s="283">
        <v>0</v>
      </c>
      <c r="I4617" s="283">
        <v>0</v>
      </c>
      <c r="J4617" s="284">
        <v>0</v>
      </c>
    </row>
    <row r="4618" spans="3:10" x14ac:dyDescent="0.25">
      <c r="C4618" s="300" t="s">
        <v>1065</v>
      </c>
      <c r="D4618" s="283" t="s">
        <v>1077</v>
      </c>
      <c r="E4618" s="283" t="s">
        <v>1044</v>
      </c>
      <c r="F4618" s="283" t="s">
        <v>1075</v>
      </c>
      <c r="G4618" s="283">
        <v>2</v>
      </c>
      <c r="H4618" s="283">
        <v>0</v>
      </c>
      <c r="I4618" s="283">
        <v>0</v>
      </c>
      <c r="J4618" s="284">
        <v>1</v>
      </c>
    </row>
    <row r="4619" spans="3:10" x14ac:dyDescent="0.25">
      <c r="C4619" s="300" t="s">
        <v>1060</v>
      </c>
      <c r="D4619" s="283" t="s">
        <v>1106</v>
      </c>
      <c r="E4619" s="283" t="s">
        <v>1076</v>
      </c>
      <c r="F4619" s="283" t="s">
        <v>524</v>
      </c>
      <c r="G4619" s="283">
        <v>1</v>
      </c>
      <c r="H4619" s="283">
        <v>0</v>
      </c>
      <c r="I4619" s="283">
        <v>0</v>
      </c>
      <c r="J4619" s="284">
        <v>1</v>
      </c>
    </row>
    <row r="4620" spans="3:10" x14ac:dyDescent="0.25">
      <c r="C4620" s="300" t="s">
        <v>1061</v>
      </c>
      <c r="D4620" s="283" t="s">
        <v>1087</v>
      </c>
      <c r="E4620" s="283" t="s">
        <v>1083</v>
      </c>
      <c r="F4620" s="283" t="s">
        <v>524</v>
      </c>
      <c r="G4620" s="283">
        <v>1</v>
      </c>
      <c r="H4620" s="283">
        <v>0</v>
      </c>
      <c r="I4620" s="283">
        <v>0</v>
      </c>
      <c r="J4620" s="284">
        <v>1</v>
      </c>
    </row>
    <row r="4621" spans="3:10" x14ac:dyDescent="0.25">
      <c r="C4621" s="300" t="s">
        <v>1059</v>
      </c>
      <c r="D4621" s="283" t="s">
        <v>1087</v>
      </c>
      <c r="E4621" s="283" t="s">
        <v>1094</v>
      </c>
      <c r="F4621" s="283" t="s">
        <v>524</v>
      </c>
      <c r="G4621" s="283">
        <v>1</v>
      </c>
      <c r="H4621" s="283">
        <v>0</v>
      </c>
      <c r="I4621" s="283">
        <v>0</v>
      </c>
      <c r="J4621" s="284">
        <v>0</v>
      </c>
    </row>
    <row r="4622" spans="3:10" x14ac:dyDescent="0.25">
      <c r="C4622" s="300" t="s">
        <v>1060</v>
      </c>
      <c r="D4622" s="283" t="s">
        <v>1074</v>
      </c>
      <c r="E4622" s="283" t="s">
        <v>1089</v>
      </c>
      <c r="F4622" s="283" t="s">
        <v>1083</v>
      </c>
      <c r="G4622" s="283">
        <v>2</v>
      </c>
      <c r="H4622" s="283">
        <v>0</v>
      </c>
      <c r="I4622" s="283">
        <v>1</v>
      </c>
      <c r="J4622" s="284">
        <v>0</v>
      </c>
    </row>
    <row r="4623" spans="3:10" x14ac:dyDescent="0.25">
      <c r="C4623" s="300" t="s">
        <v>1068</v>
      </c>
      <c r="D4623" s="283" t="s">
        <v>1087</v>
      </c>
      <c r="E4623" s="283" t="s">
        <v>1083</v>
      </c>
      <c r="F4623" s="283" t="s">
        <v>524</v>
      </c>
      <c r="G4623" s="283">
        <v>1</v>
      </c>
      <c r="H4623" s="283">
        <v>0</v>
      </c>
      <c r="I4623" s="283">
        <v>0</v>
      </c>
      <c r="J4623" s="284">
        <v>0</v>
      </c>
    </row>
    <row r="4624" spans="3:10" x14ac:dyDescent="0.25">
      <c r="C4624" s="300" t="s">
        <v>1065</v>
      </c>
      <c r="D4624" s="283" t="s">
        <v>1077</v>
      </c>
      <c r="E4624" s="283" t="s">
        <v>1075</v>
      </c>
      <c r="F4624" s="283" t="s">
        <v>1089</v>
      </c>
      <c r="G4624" s="283">
        <v>2</v>
      </c>
      <c r="H4624" s="283">
        <v>0</v>
      </c>
      <c r="I4624" s="283">
        <v>0</v>
      </c>
      <c r="J4624" s="284">
        <v>1</v>
      </c>
    </row>
    <row r="4625" spans="3:10" x14ac:dyDescent="0.25">
      <c r="C4625" s="300" t="s">
        <v>1065</v>
      </c>
      <c r="D4625" s="283" t="s">
        <v>1087</v>
      </c>
      <c r="E4625" s="283" t="s">
        <v>1089</v>
      </c>
      <c r="F4625" s="283" t="s">
        <v>524</v>
      </c>
      <c r="G4625" s="283">
        <v>1</v>
      </c>
      <c r="H4625" s="283">
        <v>0</v>
      </c>
      <c r="I4625" s="283">
        <v>1</v>
      </c>
      <c r="J4625" s="284">
        <v>1</v>
      </c>
    </row>
    <row r="4626" spans="3:10" x14ac:dyDescent="0.25">
      <c r="C4626" s="300" t="s">
        <v>1065</v>
      </c>
      <c r="D4626" s="283" t="s">
        <v>1043</v>
      </c>
      <c r="E4626" s="283" t="s">
        <v>1075</v>
      </c>
      <c r="F4626" s="283" t="s">
        <v>1092</v>
      </c>
      <c r="G4626" s="283">
        <v>2</v>
      </c>
      <c r="H4626" s="283">
        <v>0</v>
      </c>
      <c r="I4626" s="283">
        <v>0</v>
      </c>
      <c r="J4626" s="284">
        <v>1</v>
      </c>
    </row>
    <row r="4627" spans="3:10" x14ac:dyDescent="0.25">
      <c r="C4627" s="300" t="s">
        <v>1063</v>
      </c>
      <c r="D4627" s="283" t="s">
        <v>1074</v>
      </c>
      <c r="E4627" s="283" t="s">
        <v>1076</v>
      </c>
      <c r="F4627" s="283" t="s">
        <v>1044</v>
      </c>
      <c r="G4627" s="283">
        <v>2</v>
      </c>
      <c r="H4627" s="283">
        <v>0</v>
      </c>
      <c r="I4627" s="283">
        <v>0</v>
      </c>
      <c r="J4627" s="284">
        <v>1</v>
      </c>
    </row>
    <row r="4628" spans="3:10" x14ac:dyDescent="0.25">
      <c r="C4628" s="300" t="s">
        <v>1064</v>
      </c>
      <c r="D4628" s="283" t="s">
        <v>1043</v>
      </c>
      <c r="E4628" s="283" t="s">
        <v>1078</v>
      </c>
      <c r="F4628" s="283" t="s">
        <v>1092</v>
      </c>
      <c r="G4628" s="283">
        <v>2</v>
      </c>
      <c r="H4628" s="283">
        <v>0</v>
      </c>
      <c r="I4628" s="283">
        <v>0</v>
      </c>
      <c r="J4628" s="284">
        <v>0</v>
      </c>
    </row>
    <row r="4629" spans="3:10" x14ac:dyDescent="0.25">
      <c r="C4629" s="300" t="s">
        <v>1066</v>
      </c>
      <c r="D4629" s="283" t="s">
        <v>1079</v>
      </c>
      <c r="E4629" s="283" t="s">
        <v>1044</v>
      </c>
      <c r="F4629" s="283" t="s">
        <v>1089</v>
      </c>
      <c r="G4629" s="283">
        <v>2</v>
      </c>
      <c r="H4629" s="283">
        <v>0</v>
      </c>
      <c r="I4629" s="283">
        <v>0</v>
      </c>
      <c r="J4629" s="284">
        <v>0</v>
      </c>
    </row>
    <row r="4630" spans="3:10" x14ac:dyDescent="0.25">
      <c r="C4630" s="300" t="s">
        <v>1065</v>
      </c>
      <c r="D4630" s="283" t="s">
        <v>1079</v>
      </c>
      <c r="E4630" s="283" t="s">
        <v>1075</v>
      </c>
      <c r="F4630" s="283" t="s">
        <v>1075</v>
      </c>
      <c r="G4630" s="283">
        <v>2</v>
      </c>
      <c r="H4630" s="283">
        <v>0</v>
      </c>
      <c r="I4630" s="283">
        <v>0</v>
      </c>
      <c r="J4630" s="284">
        <v>0</v>
      </c>
    </row>
    <row r="4631" spans="3:10" x14ac:dyDescent="0.25">
      <c r="C4631" s="300" t="s">
        <v>1057</v>
      </c>
      <c r="D4631" s="283" t="s">
        <v>1079</v>
      </c>
      <c r="E4631" s="283" t="s">
        <v>1085</v>
      </c>
      <c r="F4631" s="283" t="s">
        <v>1089</v>
      </c>
      <c r="G4631" s="283">
        <v>6</v>
      </c>
      <c r="H4631" s="283">
        <v>0</v>
      </c>
      <c r="I4631" s="283">
        <v>0</v>
      </c>
      <c r="J4631" s="284">
        <v>0</v>
      </c>
    </row>
    <row r="4632" spans="3:10" x14ac:dyDescent="0.25">
      <c r="C4632" s="300" t="s">
        <v>1065</v>
      </c>
      <c r="D4632" s="283" t="s">
        <v>1090</v>
      </c>
      <c r="E4632" s="283" t="s">
        <v>1075</v>
      </c>
      <c r="F4632" s="283" t="s">
        <v>524</v>
      </c>
      <c r="G4632" s="283">
        <v>1</v>
      </c>
      <c r="H4632" s="283">
        <v>0</v>
      </c>
      <c r="I4632" s="283">
        <v>0</v>
      </c>
      <c r="J4632" s="284">
        <v>1</v>
      </c>
    </row>
    <row r="4633" spans="3:10" x14ac:dyDescent="0.25">
      <c r="C4633" s="300" t="s">
        <v>1063</v>
      </c>
      <c r="D4633" s="283" t="s">
        <v>1077</v>
      </c>
      <c r="E4633" s="283" t="s">
        <v>1083</v>
      </c>
      <c r="F4633" s="283" t="s">
        <v>1078</v>
      </c>
      <c r="G4633" s="283">
        <v>2</v>
      </c>
      <c r="H4633" s="283">
        <v>0</v>
      </c>
      <c r="I4633" s="283">
        <v>1</v>
      </c>
      <c r="J4633" s="284">
        <v>0</v>
      </c>
    </row>
    <row r="4634" spans="3:10" x14ac:dyDescent="0.25">
      <c r="C4634" s="300" t="s">
        <v>1067</v>
      </c>
      <c r="D4634" s="283" t="s">
        <v>1079</v>
      </c>
      <c r="E4634" s="283" t="s">
        <v>1075</v>
      </c>
      <c r="F4634" s="283" t="s">
        <v>1076</v>
      </c>
      <c r="G4634" s="283">
        <v>2</v>
      </c>
      <c r="H4634" s="283">
        <v>0</v>
      </c>
      <c r="I4634" s="283">
        <v>0</v>
      </c>
      <c r="J4634" s="284">
        <v>2</v>
      </c>
    </row>
    <row r="4635" spans="3:10" x14ac:dyDescent="0.25">
      <c r="C4635" s="300" t="s">
        <v>1065</v>
      </c>
      <c r="D4635" s="283" t="s">
        <v>1079</v>
      </c>
      <c r="E4635" s="283" t="s">
        <v>1084</v>
      </c>
      <c r="F4635" s="283" t="s">
        <v>1075</v>
      </c>
      <c r="G4635" s="283">
        <v>2</v>
      </c>
      <c r="H4635" s="283">
        <v>0</v>
      </c>
      <c r="I4635" s="283">
        <v>0</v>
      </c>
      <c r="J4635" s="284">
        <v>1</v>
      </c>
    </row>
    <row r="4636" spans="3:10" x14ac:dyDescent="0.25">
      <c r="C4636" s="300" t="s">
        <v>1065</v>
      </c>
      <c r="D4636" s="283" t="s">
        <v>1079</v>
      </c>
      <c r="E4636" s="283" t="s">
        <v>1076</v>
      </c>
      <c r="F4636" s="283" t="s">
        <v>1075</v>
      </c>
      <c r="G4636" s="283">
        <v>2</v>
      </c>
      <c r="H4636" s="283">
        <v>0</v>
      </c>
      <c r="I4636" s="283">
        <v>0</v>
      </c>
      <c r="J4636" s="284">
        <v>1</v>
      </c>
    </row>
    <row r="4637" spans="3:10" x14ac:dyDescent="0.25">
      <c r="C4637" s="300" t="s">
        <v>1065</v>
      </c>
      <c r="D4637" s="283" t="s">
        <v>1079</v>
      </c>
      <c r="E4637" s="283" t="s">
        <v>1044</v>
      </c>
      <c r="F4637" s="283" t="s">
        <v>1075</v>
      </c>
      <c r="G4637" s="283">
        <v>2</v>
      </c>
      <c r="H4637" s="283">
        <v>0</v>
      </c>
      <c r="I4637" s="283">
        <v>0</v>
      </c>
      <c r="J4637" s="284">
        <v>1</v>
      </c>
    </row>
    <row r="4638" spans="3:10" x14ac:dyDescent="0.25">
      <c r="C4638" s="300" t="s">
        <v>1063</v>
      </c>
      <c r="D4638" s="283" t="s">
        <v>1074</v>
      </c>
      <c r="E4638" s="283" t="s">
        <v>1089</v>
      </c>
      <c r="F4638" s="283" t="s">
        <v>1044</v>
      </c>
      <c r="G4638" s="283">
        <v>2</v>
      </c>
      <c r="H4638" s="283">
        <v>0</v>
      </c>
      <c r="I4638" s="283">
        <v>0</v>
      </c>
      <c r="J4638" s="284">
        <v>0</v>
      </c>
    </row>
    <row r="4639" spans="3:10" x14ac:dyDescent="0.25">
      <c r="C4639" s="300" t="s">
        <v>1068</v>
      </c>
      <c r="D4639" s="283" t="s">
        <v>1087</v>
      </c>
      <c r="E4639" s="283" t="s">
        <v>1075</v>
      </c>
      <c r="F4639" s="283" t="s">
        <v>524</v>
      </c>
      <c r="G4639" s="283">
        <v>1</v>
      </c>
      <c r="H4639" s="283">
        <v>0</v>
      </c>
      <c r="I4639" s="283">
        <v>0</v>
      </c>
      <c r="J4639" s="284">
        <v>0</v>
      </c>
    </row>
    <row r="4640" spans="3:10" x14ac:dyDescent="0.25">
      <c r="C4640" s="300" t="s">
        <v>1067</v>
      </c>
      <c r="D4640" s="283" t="s">
        <v>1079</v>
      </c>
      <c r="E4640" s="283" t="s">
        <v>1089</v>
      </c>
      <c r="F4640" s="283" t="s">
        <v>1075</v>
      </c>
      <c r="G4640" s="283">
        <v>2</v>
      </c>
      <c r="H4640" s="283">
        <v>0</v>
      </c>
      <c r="I4640" s="283">
        <v>0</v>
      </c>
      <c r="J4640" s="284">
        <v>0</v>
      </c>
    </row>
    <row r="4641" spans="3:10" x14ac:dyDescent="0.25">
      <c r="C4641" s="300" t="s">
        <v>1060</v>
      </c>
      <c r="D4641" s="283" t="s">
        <v>1074</v>
      </c>
      <c r="E4641" s="283" t="s">
        <v>1075</v>
      </c>
      <c r="F4641" s="283" t="s">
        <v>1076</v>
      </c>
      <c r="G4641" s="283">
        <v>2</v>
      </c>
      <c r="H4641" s="283">
        <v>0</v>
      </c>
      <c r="I4641" s="283">
        <v>0</v>
      </c>
      <c r="J4641" s="284">
        <v>1</v>
      </c>
    </row>
    <row r="4642" spans="3:10" x14ac:dyDescent="0.25">
      <c r="C4642" s="300" t="s">
        <v>1063</v>
      </c>
      <c r="D4642" s="283" t="s">
        <v>1077</v>
      </c>
      <c r="E4642" s="283" t="s">
        <v>1075</v>
      </c>
      <c r="F4642" s="283" t="s">
        <v>1075</v>
      </c>
      <c r="G4642" s="283">
        <v>3</v>
      </c>
      <c r="H4642" s="283">
        <v>0</v>
      </c>
      <c r="I4642" s="283">
        <v>0</v>
      </c>
      <c r="J4642" s="284">
        <v>0</v>
      </c>
    </row>
    <row r="4643" spans="3:10" x14ac:dyDescent="0.25">
      <c r="C4643" s="300" t="s">
        <v>1061</v>
      </c>
      <c r="D4643" s="283" t="s">
        <v>1079</v>
      </c>
      <c r="E4643" s="283" t="s">
        <v>1084</v>
      </c>
      <c r="F4643" s="283" t="s">
        <v>1075</v>
      </c>
      <c r="G4643" s="283">
        <v>2</v>
      </c>
      <c r="H4643" s="283">
        <v>0</v>
      </c>
      <c r="I4643" s="283">
        <v>0</v>
      </c>
      <c r="J4643" s="284">
        <v>0</v>
      </c>
    </row>
    <row r="4644" spans="3:10" x14ac:dyDescent="0.25">
      <c r="C4644" s="300" t="s">
        <v>1063</v>
      </c>
      <c r="D4644" s="283" t="s">
        <v>1079</v>
      </c>
      <c r="E4644" s="283" t="s">
        <v>1089</v>
      </c>
      <c r="F4644" s="283" t="s">
        <v>1089</v>
      </c>
      <c r="G4644" s="283">
        <v>3</v>
      </c>
      <c r="H4644" s="283">
        <v>0</v>
      </c>
      <c r="I4644" s="283">
        <v>0</v>
      </c>
      <c r="J4644" s="284">
        <v>0</v>
      </c>
    </row>
    <row r="4645" spans="3:10" x14ac:dyDescent="0.25">
      <c r="C4645" s="300" t="s">
        <v>1065</v>
      </c>
      <c r="D4645" s="283" t="s">
        <v>1074</v>
      </c>
      <c r="E4645" s="283" t="s">
        <v>1075</v>
      </c>
      <c r="F4645" s="283" t="s">
        <v>1076</v>
      </c>
      <c r="G4645" s="283">
        <v>4</v>
      </c>
      <c r="H4645" s="283">
        <v>0</v>
      </c>
      <c r="I4645" s="283">
        <v>0</v>
      </c>
      <c r="J4645" s="284">
        <v>0</v>
      </c>
    </row>
    <row r="4646" spans="3:10" x14ac:dyDescent="0.25">
      <c r="C4646" s="300" t="s">
        <v>1061</v>
      </c>
      <c r="D4646" s="283" t="s">
        <v>1077</v>
      </c>
      <c r="E4646" s="283" t="s">
        <v>1075</v>
      </c>
      <c r="F4646" s="283" t="s">
        <v>1089</v>
      </c>
      <c r="G4646" s="283">
        <v>2</v>
      </c>
      <c r="H4646" s="283">
        <v>0</v>
      </c>
      <c r="I4646" s="283">
        <v>0</v>
      </c>
      <c r="J4646" s="284">
        <v>0</v>
      </c>
    </row>
    <row r="4647" spans="3:10" x14ac:dyDescent="0.25">
      <c r="C4647" s="300" t="s">
        <v>1063</v>
      </c>
      <c r="D4647" s="283" t="s">
        <v>1079</v>
      </c>
      <c r="E4647" s="283" t="s">
        <v>1075</v>
      </c>
      <c r="F4647" s="283" t="s">
        <v>1089</v>
      </c>
      <c r="G4647" s="283">
        <v>2</v>
      </c>
      <c r="H4647" s="283">
        <v>0</v>
      </c>
      <c r="I4647" s="283">
        <v>0</v>
      </c>
      <c r="J4647" s="284">
        <v>1</v>
      </c>
    </row>
    <row r="4648" spans="3:10" x14ac:dyDescent="0.25">
      <c r="C4648" s="300" t="s">
        <v>1065</v>
      </c>
      <c r="D4648" s="283" t="s">
        <v>1079</v>
      </c>
      <c r="E4648" s="283" t="s">
        <v>1081</v>
      </c>
      <c r="F4648" s="283" t="s">
        <v>1075</v>
      </c>
      <c r="G4648" s="283">
        <v>2</v>
      </c>
      <c r="H4648" s="283">
        <v>0</v>
      </c>
      <c r="I4648" s="283">
        <v>0</v>
      </c>
      <c r="J4648" s="284">
        <v>1</v>
      </c>
    </row>
    <row r="4649" spans="3:10" x14ac:dyDescent="0.25">
      <c r="C4649" s="300" t="s">
        <v>1057</v>
      </c>
      <c r="D4649" s="283" t="s">
        <v>1079</v>
      </c>
      <c r="E4649" s="283" t="s">
        <v>1075</v>
      </c>
      <c r="F4649" s="283" t="s">
        <v>1075</v>
      </c>
      <c r="G4649" s="283">
        <v>2</v>
      </c>
      <c r="H4649" s="283">
        <v>0</v>
      </c>
      <c r="I4649" s="283">
        <v>0</v>
      </c>
      <c r="J4649" s="284">
        <v>0</v>
      </c>
    </row>
    <row r="4650" spans="3:10" x14ac:dyDescent="0.25">
      <c r="C4650" s="300" t="s">
        <v>1062</v>
      </c>
      <c r="D4650" s="283" t="s">
        <v>1090</v>
      </c>
      <c r="E4650" s="283" t="s">
        <v>1075</v>
      </c>
      <c r="F4650" s="283" t="s">
        <v>524</v>
      </c>
      <c r="G4650" s="283">
        <v>1</v>
      </c>
      <c r="H4650" s="283">
        <v>0</v>
      </c>
      <c r="I4650" s="283">
        <v>0</v>
      </c>
      <c r="J4650" s="284">
        <v>0</v>
      </c>
    </row>
    <row r="4651" spans="3:10" x14ac:dyDescent="0.25">
      <c r="C4651" s="300" t="s">
        <v>1062</v>
      </c>
      <c r="D4651" s="283" t="s">
        <v>1074</v>
      </c>
      <c r="E4651" s="283" t="s">
        <v>1078</v>
      </c>
      <c r="F4651" s="283" t="s">
        <v>1075</v>
      </c>
      <c r="G4651" s="283">
        <v>2</v>
      </c>
      <c r="H4651" s="283">
        <v>0</v>
      </c>
      <c r="I4651" s="283">
        <v>0</v>
      </c>
      <c r="J4651" s="284">
        <v>0</v>
      </c>
    </row>
    <row r="4652" spans="3:10" x14ac:dyDescent="0.25">
      <c r="C4652" s="300" t="s">
        <v>1060</v>
      </c>
      <c r="D4652" s="283" t="s">
        <v>1077</v>
      </c>
      <c r="E4652" s="283" t="s">
        <v>1084</v>
      </c>
      <c r="F4652" s="283" t="s">
        <v>1089</v>
      </c>
      <c r="G4652" s="283">
        <v>2</v>
      </c>
      <c r="H4652" s="283">
        <v>0</v>
      </c>
      <c r="I4652" s="283">
        <v>0</v>
      </c>
      <c r="J4652" s="284">
        <v>0</v>
      </c>
    </row>
    <row r="4653" spans="3:10" x14ac:dyDescent="0.25">
      <c r="C4653" s="300" t="s">
        <v>1065</v>
      </c>
      <c r="D4653" s="283" t="s">
        <v>1077</v>
      </c>
      <c r="E4653" s="283" t="s">
        <v>1076</v>
      </c>
      <c r="F4653" s="283" t="s">
        <v>1078</v>
      </c>
      <c r="G4653" s="283">
        <v>3</v>
      </c>
      <c r="H4653" s="283">
        <v>0</v>
      </c>
      <c r="I4653" s="283">
        <v>0</v>
      </c>
      <c r="J4653" s="284">
        <v>0</v>
      </c>
    </row>
    <row r="4654" spans="3:10" x14ac:dyDescent="0.25">
      <c r="C4654" s="300" t="s">
        <v>1063</v>
      </c>
      <c r="D4654" s="283" t="s">
        <v>1079</v>
      </c>
      <c r="E4654" s="283" t="s">
        <v>1075</v>
      </c>
      <c r="F4654" s="283" t="s">
        <v>1075</v>
      </c>
      <c r="G4654" s="283">
        <v>2</v>
      </c>
      <c r="H4654" s="283">
        <v>0</v>
      </c>
      <c r="I4654" s="283">
        <v>1</v>
      </c>
      <c r="J4654" s="284">
        <v>0</v>
      </c>
    </row>
    <row r="4655" spans="3:10" x14ac:dyDescent="0.25">
      <c r="C4655" s="300" t="s">
        <v>1062</v>
      </c>
      <c r="D4655" s="283" t="s">
        <v>1074</v>
      </c>
      <c r="E4655" s="283" t="s">
        <v>1084</v>
      </c>
      <c r="F4655" s="283" t="s">
        <v>1075</v>
      </c>
      <c r="G4655" s="283">
        <v>2</v>
      </c>
      <c r="H4655" s="283">
        <v>0</v>
      </c>
      <c r="I4655" s="283">
        <v>0</v>
      </c>
      <c r="J4655" s="284">
        <v>1</v>
      </c>
    </row>
    <row r="4656" spans="3:10" x14ac:dyDescent="0.25">
      <c r="C4656" s="300" t="s">
        <v>1060</v>
      </c>
      <c r="D4656" s="283" t="s">
        <v>1079</v>
      </c>
      <c r="E4656" s="283" t="s">
        <v>1089</v>
      </c>
      <c r="F4656" s="283" t="s">
        <v>1094</v>
      </c>
      <c r="G4656" s="283">
        <v>2</v>
      </c>
      <c r="H4656" s="283">
        <v>0</v>
      </c>
      <c r="I4656" s="283">
        <v>1</v>
      </c>
      <c r="J4656" s="284">
        <v>1</v>
      </c>
    </row>
    <row r="4657" spans="3:10" x14ac:dyDescent="0.25">
      <c r="C4657" s="300" t="s">
        <v>1064</v>
      </c>
      <c r="D4657" s="283" t="s">
        <v>1077</v>
      </c>
      <c r="E4657" s="283" t="s">
        <v>1089</v>
      </c>
      <c r="F4657" s="283" t="s">
        <v>1075</v>
      </c>
      <c r="G4657" s="283">
        <v>2</v>
      </c>
      <c r="H4657" s="283">
        <v>0</v>
      </c>
      <c r="I4657" s="283">
        <v>0</v>
      </c>
      <c r="J4657" s="284">
        <v>0</v>
      </c>
    </row>
    <row r="4658" spans="3:10" x14ac:dyDescent="0.25">
      <c r="C4658" s="300" t="s">
        <v>1062</v>
      </c>
      <c r="D4658" s="283" t="s">
        <v>1074</v>
      </c>
      <c r="E4658" s="283" t="s">
        <v>1089</v>
      </c>
      <c r="F4658" s="283" t="s">
        <v>1084</v>
      </c>
      <c r="G4658" s="283">
        <v>2</v>
      </c>
      <c r="H4658" s="283">
        <v>0</v>
      </c>
      <c r="I4658" s="283">
        <v>0</v>
      </c>
      <c r="J4658" s="284">
        <v>1</v>
      </c>
    </row>
    <row r="4659" spans="3:10" x14ac:dyDescent="0.25">
      <c r="C4659" s="300" t="s">
        <v>1061</v>
      </c>
      <c r="D4659" s="283" t="s">
        <v>1090</v>
      </c>
      <c r="E4659" s="283" t="s">
        <v>1083</v>
      </c>
      <c r="F4659" s="283" t="s">
        <v>524</v>
      </c>
      <c r="G4659" s="283">
        <v>1</v>
      </c>
      <c r="H4659" s="283">
        <v>0</v>
      </c>
      <c r="I4659" s="283">
        <v>0</v>
      </c>
      <c r="J4659" s="284">
        <v>0</v>
      </c>
    </row>
    <row r="4660" spans="3:10" x14ac:dyDescent="0.25">
      <c r="C4660" s="300" t="s">
        <v>1060</v>
      </c>
      <c r="D4660" s="283" t="s">
        <v>1077</v>
      </c>
      <c r="E4660" s="283" t="s">
        <v>1078</v>
      </c>
      <c r="F4660" s="283" t="s">
        <v>1089</v>
      </c>
      <c r="G4660" s="283">
        <v>2</v>
      </c>
      <c r="H4660" s="283">
        <v>0</v>
      </c>
      <c r="I4660" s="283">
        <v>0</v>
      </c>
      <c r="J4660" s="284">
        <v>0</v>
      </c>
    </row>
    <row r="4661" spans="3:10" x14ac:dyDescent="0.25">
      <c r="C4661" s="300" t="s">
        <v>1062</v>
      </c>
      <c r="D4661" s="283" t="s">
        <v>1074</v>
      </c>
      <c r="E4661" s="283" t="s">
        <v>1075</v>
      </c>
      <c r="F4661" s="283" t="s">
        <v>1075</v>
      </c>
      <c r="G4661" s="283">
        <v>2</v>
      </c>
      <c r="H4661" s="283">
        <v>0</v>
      </c>
      <c r="I4661" s="283">
        <v>0</v>
      </c>
      <c r="J4661" s="284">
        <v>0</v>
      </c>
    </row>
    <row r="4662" spans="3:10" x14ac:dyDescent="0.25">
      <c r="C4662" s="300" t="s">
        <v>1065</v>
      </c>
      <c r="D4662" s="283" t="s">
        <v>1077</v>
      </c>
      <c r="E4662" s="283" t="s">
        <v>1075</v>
      </c>
      <c r="F4662" s="283" t="s">
        <v>1089</v>
      </c>
      <c r="G4662" s="283">
        <v>2</v>
      </c>
      <c r="H4662" s="283">
        <v>0</v>
      </c>
      <c r="I4662" s="283">
        <v>0</v>
      </c>
      <c r="J4662" s="284">
        <v>1</v>
      </c>
    </row>
    <row r="4663" spans="3:10" x14ac:dyDescent="0.25">
      <c r="C4663" s="300" t="s">
        <v>1063</v>
      </c>
      <c r="D4663" s="283" t="s">
        <v>1079</v>
      </c>
      <c r="E4663" s="283" t="s">
        <v>1080</v>
      </c>
      <c r="F4663" s="283" t="s">
        <v>1075</v>
      </c>
      <c r="G4663" s="283">
        <v>2</v>
      </c>
      <c r="H4663" s="283">
        <v>0</v>
      </c>
      <c r="I4663" s="283">
        <v>0</v>
      </c>
      <c r="J4663" s="284">
        <v>1</v>
      </c>
    </row>
    <row r="4664" spans="3:10" x14ac:dyDescent="0.25">
      <c r="C4664" s="300" t="s">
        <v>1067</v>
      </c>
      <c r="D4664" s="283" t="s">
        <v>1077</v>
      </c>
      <c r="E4664" s="283" t="s">
        <v>1089</v>
      </c>
      <c r="F4664" s="283" t="s">
        <v>1075</v>
      </c>
      <c r="G4664" s="283">
        <v>2</v>
      </c>
      <c r="H4664" s="283">
        <v>0</v>
      </c>
      <c r="I4664" s="283">
        <v>0</v>
      </c>
      <c r="J4664" s="284">
        <v>0</v>
      </c>
    </row>
    <row r="4665" spans="3:10" x14ac:dyDescent="0.25">
      <c r="C4665" s="300" t="s">
        <v>1060</v>
      </c>
      <c r="D4665" s="283" t="s">
        <v>1077</v>
      </c>
      <c r="E4665" s="283" t="s">
        <v>1075</v>
      </c>
      <c r="F4665" s="283" t="s">
        <v>1075</v>
      </c>
      <c r="G4665" s="283">
        <v>3</v>
      </c>
      <c r="H4665" s="283">
        <v>0</v>
      </c>
      <c r="I4665" s="283">
        <v>0</v>
      </c>
      <c r="J4665" s="284">
        <v>0</v>
      </c>
    </row>
    <row r="4666" spans="3:10" x14ac:dyDescent="0.25">
      <c r="C4666" s="300" t="s">
        <v>1067</v>
      </c>
      <c r="D4666" s="283" t="s">
        <v>1079</v>
      </c>
      <c r="E4666" s="283" t="s">
        <v>1083</v>
      </c>
      <c r="F4666" s="283" t="s">
        <v>1075</v>
      </c>
      <c r="G4666" s="283">
        <v>2</v>
      </c>
      <c r="H4666" s="283">
        <v>0</v>
      </c>
      <c r="I4666" s="283">
        <v>1</v>
      </c>
      <c r="J4666" s="284">
        <v>0</v>
      </c>
    </row>
    <row r="4667" spans="3:10" x14ac:dyDescent="0.25">
      <c r="C4667" s="300" t="s">
        <v>1061</v>
      </c>
      <c r="D4667" s="283" t="s">
        <v>1077</v>
      </c>
      <c r="E4667" s="283" t="s">
        <v>1075</v>
      </c>
      <c r="F4667" s="283" t="s">
        <v>1089</v>
      </c>
      <c r="G4667" s="283">
        <v>3</v>
      </c>
      <c r="H4667" s="283">
        <v>0</v>
      </c>
      <c r="I4667" s="283">
        <v>0</v>
      </c>
      <c r="J4667" s="284">
        <v>1</v>
      </c>
    </row>
    <row r="4668" spans="3:10" x14ac:dyDescent="0.25">
      <c r="C4668" s="300" t="s">
        <v>1060</v>
      </c>
      <c r="D4668" s="283" t="s">
        <v>1087</v>
      </c>
      <c r="E4668" s="283" t="s">
        <v>1075</v>
      </c>
      <c r="F4668" s="283" t="s">
        <v>524</v>
      </c>
      <c r="G4668" s="283">
        <v>1</v>
      </c>
      <c r="H4668" s="283">
        <v>0</v>
      </c>
      <c r="I4668" s="283">
        <v>0</v>
      </c>
      <c r="J4668" s="284">
        <v>1</v>
      </c>
    </row>
    <row r="4669" spans="3:10" x14ac:dyDescent="0.25">
      <c r="C4669" s="300" t="s">
        <v>1063</v>
      </c>
      <c r="D4669" s="283" t="s">
        <v>1079</v>
      </c>
      <c r="E4669" s="283" t="s">
        <v>1075</v>
      </c>
      <c r="F4669" s="283" t="s">
        <v>1075</v>
      </c>
      <c r="G4669" s="283">
        <v>2</v>
      </c>
      <c r="H4669" s="283">
        <v>0</v>
      </c>
      <c r="I4669" s="283">
        <v>0</v>
      </c>
      <c r="J4669" s="284">
        <v>0</v>
      </c>
    </row>
    <row r="4670" spans="3:10" x14ac:dyDescent="0.25">
      <c r="C4670" s="300" t="s">
        <v>1057</v>
      </c>
      <c r="D4670" s="283" t="s">
        <v>1079</v>
      </c>
      <c r="E4670" s="283" t="s">
        <v>1089</v>
      </c>
      <c r="F4670" s="283" t="s">
        <v>1075</v>
      </c>
      <c r="G4670" s="283">
        <v>2</v>
      </c>
      <c r="H4670" s="283">
        <v>0</v>
      </c>
      <c r="I4670" s="283">
        <v>0</v>
      </c>
      <c r="J4670" s="284">
        <v>0</v>
      </c>
    </row>
    <row r="4671" spans="3:10" x14ac:dyDescent="0.25">
      <c r="C4671" s="300" t="s">
        <v>1067</v>
      </c>
      <c r="D4671" s="283" t="s">
        <v>1079</v>
      </c>
      <c r="E4671" s="283" t="s">
        <v>1083</v>
      </c>
      <c r="F4671" s="283" t="s">
        <v>1075</v>
      </c>
      <c r="G4671" s="283">
        <v>2</v>
      </c>
      <c r="H4671" s="283">
        <v>0</v>
      </c>
      <c r="I4671" s="283">
        <v>0</v>
      </c>
      <c r="J4671" s="284">
        <v>0</v>
      </c>
    </row>
    <row r="4672" spans="3:10" x14ac:dyDescent="0.25">
      <c r="C4672" s="300" t="s">
        <v>1065</v>
      </c>
      <c r="D4672" s="283" t="s">
        <v>1074</v>
      </c>
      <c r="E4672" s="283" t="s">
        <v>1075</v>
      </c>
      <c r="F4672" s="283" t="s">
        <v>1075</v>
      </c>
      <c r="G4672" s="283">
        <v>2</v>
      </c>
      <c r="H4672" s="283">
        <v>0</v>
      </c>
      <c r="I4672" s="283">
        <v>1</v>
      </c>
      <c r="J4672" s="284">
        <v>1</v>
      </c>
    </row>
    <row r="4673" spans="3:10" x14ac:dyDescent="0.25">
      <c r="C4673" s="300" t="s">
        <v>1063</v>
      </c>
      <c r="D4673" s="283" t="s">
        <v>1074</v>
      </c>
      <c r="E4673" s="283" t="s">
        <v>1075</v>
      </c>
      <c r="F4673" s="283" t="s">
        <v>1093</v>
      </c>
      <c r="G4673" s="283">
        <v>2</v>
      </c>
      <c r="H4673" s="283">
        <v>0</v>
      </c>
      <c r="I4673" s="283">
        <v>0</v>
      </c>
      <c r="J4673" s="284">
        <v>1</v>
      </c>
    </row>
    <row r="4674" spans="3:10" x14ac:dyDescent="0.25">
      <c r="C4674" s="300" t="s">
        <v>1065</v>
      </c>
      <c r="D4674" s="283" t="s">
        <v>1043</v>
      </c>
      <c r="E4674" s="283" t="s">
        <v>1084</v>
      </c>
      <c r="F4674" s="283" t="s">
        <v>1092</v>
      </c>
      <c r="G4674" s="283">
        <v>2</v>
      </c>
      <c r="H4674" s="283">
        <v>0</v>
      </c>
      <c r="I4674" s="283">
        <v>0</v>
      </c>
      <c r="J4674" s="284">
        <v>0</v>
      </c>
    </row>
    <row r="4675" spans="3:10" x14ac:dyDescent="0.25">
      <c r="C4675" s="300" t="s">
        <v>1060</v>
      </c>
      <c r="D4675" s="283" t="s">
        <v>1079</v>
      </c>
      <c r="E4675" s="283" t="s">
        <v>1086</v>
      </c>
      <c r="F4675" s="283" t="s">
        <v>1089</v>
      </c>
      <c r="G4675" s="283">
        <v>2</v>
      </c>
      <c r="H4675" s="283">
        <v>0</v>
      </c>
      <c r="I4675" s="283">
        <v>0</v>
      </c>
      <c r="J4675" s="284">
        <v>0</v>
      </c>
    </row>
    <row r="4676" spans="3:10" x14ac:dyDescent="0.25">
      <c r="C4676" s="300" t="s">
        <v>1059</v>
      </c>
      <c r="D4676" s="283" t="s">
        <v>1079</v>
      </c>
      <c r="E4676" s="283" t="s">
        <v>1075</v>
      </c>
      <c r="F4676" s="283" t="s">
        <v>1075</v>
      </c>
      <c r="G4676" s="283">
        <v>3</v>
      </c>
      <c r="H4676" s="283">
        <v>0</v>
      </c>
      <c r="I4676" s="283">
        <v>0</v>
      </c>
      <c r="J4676" s="284">
        <v>1</v>
      </c>
    </row>
    <row r="4677" spans="3:10" x14ac:dyDescent="0.25">
      <c r="C4677" s="300" t="s">
        <v>1061</v>
      </c>
      <c r="D4677" s="283" t="s">
        <v>1077</v>
      </c>
      <c r="E4677" s="283" t="s">
        <v>1075</v>
      </c>
      <c r="F4677" s="283" t="s">
        <v>1086</v>
      </c>
      <c r="G4677" s="283">
        <v>2</v>
      </c>
      <c r="H4677" s="283">
        <v>0</v>
      </c>
      <c r="I4677" s="283">
        <v>0</v>
      </c>
      <c r="J4677" s="284">
        <v>1</v>
      </c>
    </row>
    <row r="4678" spans="3:10" x14ac:dyDescent="0.25">
      <c r="C4678" s="300" t="s">
        <v>1064</v>
      </c>
      <c r="D4678" s="283" t="s">
        <v>1079</v>
      </c>
      <c r="E4678" s="283" t="s">
        <v>1089</v>
      </c>
      <c r="F4678" s="283" t="s">
        <v>1075</v>
      </c>
      <c r="G4678" s="283">
        <v>3</v>
      </c>
      <c r="H4678" s="283">
        <v>0</v>
      </c>
      <c r="I4678" s="283">
        <v>0</v>
      </c>
      <c r="J4678" s="284">
        <v>0</v>
      </c>
    </row>
    <row r="4679" spans="3:10" x14ac:dyDescent="0.25">
      <c r="C4679" s="300" t="s">
        <v>1068</v>
      </c>
      <c r="D4679" s="283" t="s">
        <v>1079</v>
      </c>
      <c r="E4679" s="283" t="s">
        <v>1086</v>
      </c>
      <c r="F4679" s="283" t="s">
        <v>1075</v>
      </c>
      <c r="G4679" s="283">
        <v>2</v>
      </c>
      <c r="H4679" s="283">
        <v>0</v>
      </c>
      <c r="I4679" s="283">
        <v>0</v>
      </c>
      <c r="J4679" s="284">
        <v>0</v>
      </c>
    </row>
    <row r="4680" spans="3:10" x14ac:dyDescent="0.25">
      <c r="C4680" s="300" t="s">
        <v>1064</v>
      </c>
      <c r="D4680" s="283" t="s">
        <v>1079</v>
      </c>
      <c r="E4680" s="283" t="s">
        <v>1102</v>
      </c>
      <c r="F4680" s="283" t="s">
        <v>1075</v>
      </c>
      <c r="G4680" s="283">
        <v>2</v>
      </c>
      <c r="H4680" s="283">
        <v>0</v>
      </c>
      <c r="I4680" s="283">
        <v>1</v>
      </c>
      <c r="J4680" s="284">
        <v>0</v>
      </c>
    </row>
    <row r="4681" spans="3:10" x14ac:dyDescent="0.25">
      <c r="C4681" s="300" t="s">
        <v>1064</v>
      </c>
      <c r="D4681" s="283" t="s">
        <v>1087</v>
      </c>
      <c r="E4681" s="283" t="s">
        <v>1083</v>
      </c>
      <c r="F4681" s="283" t="s">
        <v>524</v>
      </c>
      <c r="G4681" s="283">
        <v>1</v>
      </c>
      <c r="H4681" s="283">
        <v>0</v>
      </c>
      <c r="I4681" s="283">
        <v>1</v>
      </c>
      <c r="J4681" s="284">
        <v>0</v>
      </c>
    </row>
    <row r="4682" spans="3:10" x14ac:dyDescent="0.25">
      <c r="C4682" s="300" t="s">
        <v>1063</v>
      </c>
      <c r="D4682" s="283" t="s">
        <v>1090</v>
      </c>
      <c r="E4682" s="283" t="s">
        <v>1083</v>
      </c>
      <c r="F4682" s="283" t="s">
        <v>524</v>
      </c>
      <c r="G4682" s="283">
        <v>1</v>
      </c>
      <c r="H4682" s="283">
        <v>0</v>
      </c>
      <c r="I4682" s="283">
        <v>0</v>
      </c>
      <c r="J4682" s="284">
        <v>0</v>
      </c>
    </row>
    <row r="4683" spans="3:10" x14ac:dyDescent="0.25">
      <c r="C4683" s="300" t="s">
        <v>1064</v>
      </c>
      <c r="D4683" s="283" t="s">
        <v>1079</v>
      </c>
      <c r="E4683" s="283" t="s">
        <v>1091</v>
      </c>
      <c r="F4683" s="283" t="s">
        <v>1075</v>
      </c>
      <c r="G4683" s="283">
        <v>2</v>
      </c>
      <c r="H4683" s="283">
        <v>0</v>
      </c>
      <c r="I4683" s="283">
        <v>0</v>
      </c>
      <c r="J4683" s="284">
        <v>0</v>
      </c>
    </row>
    <row r="4684" spans="3:10" x14ac:dyDescent="0.25">
      <c r="C4684" s="300" t="s">
        <v>1065</v>
      </c>
      <c r="D4684" s="283" t="s">
        <v>1087</v>
      </c>
      <c r="E4684" s="283" t="s">
        <v>1076</v>
      </c>
      <c r="F4684" s="283" t="s">
        <v>524</v>
      </c>
      <c r="G4684" s="283">
        <v>1</v>
      </c>
      <c r="H4684" s="283">
        <v>0</v>
      </c>
      <c r="I4684" s="283">
        <v>0</v>
      </c>
      <c r="J4684" s="284">
        <v>0</v>
      </c>
    </row>
    <row r="4685" spans="3:10" x14ac:dyDescent="0.25">
      <c r="C4685" s="300" t="s">
        <v>1062</v>
      </c>
      <c r="D4685" s="283" t="s">
        <v>1079</v>
      </c>
      <c r="E4685" s="283" t="s">
        <v>1075</v>
      </c>
      <c r="F4685" s="283" t="s">
        <v>1075</v>
      </c>
      <c r="G4685" s="283">
        <v>2</v>
      </c>
      <c r="H4685" s="283">
        <v>0</v>
      </c>
      <c r="I4685" s="283">
        <v>0</v>
      </c>
      <c r="J4685" s="284">
        <v>0</v>
      </c>
    </row>
    <row r="4686" spans="3:10" x14ac:dyDescent="0.25">
      <c r="C4686" s="300" t="s">
        <v>1063</v>
      </c>
      <c r="D4686" s="283" t="s">
        <v>1079</v>
      </c>
      <c r="E4686" s="283" t="s">
        <v>1075</v>
      </c>
      <c r="F4686" s="283" t="s">
        <v>1075</v>
      </c>
      <c r="G4686" s="283">
        <v>2</v>
      </c>
      <c r="H4686" s="283">
        <v>0</v>
      </c>
      <c r="I4686" s="283">
        <v>1</v>
      </c>
      <c r="J4686" s="284">
        <v>0</v>
      </c>
    </row>
    <row r="4687" spans="3:10" x14ac:dyDescent="0.25">
      <c r="C4687" s="300" t="s">
        <v>1063</v>
      </c>
      <c r="D4687" s="283" t="s">
        <v>1043</v>
      </c>
      <c r="E4687" s="283" t="s">
        <v>1089</v>
      </c>
      <c r="F4687" s="283" t="s">
        <v>1092</v>
      </c>
      <c r="G4687" s="283">
        <v>2</v>
      </c>
      <c r="H4687" s="283">
        <v>0</v>
      </c>
      <c r="I4687" s="283">
        <v>1</v>
      </c>
      <c r="J4687" s="284">
        <v>0</v>
      </c>
    </row>
    <row r="4688" spans="3:10" x14ac:dyDescent="0.25">
      <c r="C4688" s="300" t="s">
        <v>1064</v>
      </c>
      <c r="D4688" s="283" t="s">
        <v>1079</v>
      </c>
      <c r="E4688" s="283" t="s">
        <v>1075</v>
      </c>
      <c r="F4688" s="283" t="s">
        <v>1044</v>
      </c>
      <c r="G4688" s="283">
        <v>2</v>
      </c>
      <c r="H4688" s="283">
        <v>0</v>
      </c>
      <c r="I4688" s="283">
        <v>0</v>
      </c>
      <c r="J4688" s="284">
        <v>1</v>
      </c>
    </row>
    <row r="4689" spans="3:10" x14ac:dyDescent="0.25">
      <c r="C4689" s="300" t="s">
        <v>1063</v>
      </c>
      <c r="D4689" s="283" t="s">
        <v>1079</v>
      </c>
      <c r="E4689" s="283" t="s">
        <v>1075</v>
      </c>
      <c r="F4689" s="283" t="s">
        <v>1075</v>
      </c>
      <c r="G4689" s="283">
        <v>2</v>
      </c>
      <c r="H4689" s="283">
        <v>0</v>
      </c>
      <c r="I4689" s="283">
        <v>0</v>
      </c>
      <c r="J4689" s="284">
        <v>0</v>
      </c>
    </row>
    <row r="4690" spans="3:10" x14ac:dyDescent="0.25">
      <c r="C4690" s="300" t="s">
        <v>1064</v>
      </c>
      <c r="D4690" s="283" t="s">
        <v>1077</v>
      </c>
      <c r="E4690" s="283" t="s">
        <v>1075</v>
      </c>
      <c r="F4690" s="283" t="s">
        <v>1075</v>
      </c>
      <c r="G4690" s="283">
        <v>2</v>
      </c>
      <c r="H4690" s="283">
        <v>0</v>
      </c>
      <c r="I4690" s="283">
        <v>0</v>
      </c>
      <c r="J4690" s="284">
        <v>0</v>
      </c>
    </row>
    <row r="4691" spans="3:10" x14ac:dyDescent="0.25">
      <c r="C4691" s="300" t="s">
        <v>1063</v>
      </c>
      <c r="D4691" s="283" t="s">
        <v>1074</v>
      </c>
      <c r="E4691" s="283" t="s">
        <v>1083</v>
      </c>
      <c r="F4691" s="283" t="s">
        <v>1075</v>
      </c>
      <c r="G4691" s="283">
        <v>2</v>
      </c>
      <c r="H4691" s="283">
        <v>0</v>
      </c>
      <c r="I4691" s="283">
        <v>0</v>
      </c>
      <c r="J4691" s="284">
        <v>1</v>
      </c>
    </row>
    <row r="4692" spans="3:10" x14ac:dyDescent="0.25">
      <c r="C4692" s="300" t="s">
        <v>1067</v>
      </c>
      <c r="D4692" s="283" t="s">
        <v>1087</v>
      </c>
      <c r="E4692" s="283" t="s">
        <v>1078</v>
      </c>
      <c r="F4692" s="283" t="s">
        <v>524</v>
      </c>
      <c r="G4692" s="283">
        <v>1</v>
      </c>
      <c r="H4692" s="283">
        <v>0</v>
      </c>
      <c r="I4692" s="283">
        <v>2</v>
      </c>
      <c r="J4692" s="284">
        <v>2</v>
      </c>
    </row>
    <row r="4693" spans="3:10" x14ac:dyDescent="0.25">
      <c r="C4693" s="300" t="s">
        <v>1067</v>
      </c>
      <c r="D4693" s="283" t="s">
        <v>1077</v>
      </c>
      <c r="E4693" s="283" t="s">
        <v>1075</v>
      </c>
      <c r="F4693" s="283" t="s">
        <v>1075</v>
      </c>
      <c r="G4693" s="283">
        <v>2</v>
      </c>
      <c r="H4693" s="283">
        <v>0</v>
      </c>
      <c r="I4693" s="283">
        <v>1</v>
      </c>
      <c r="J4693" s="284">
        <v>0</v>
      </c>
    </row>
    <row r="4694" spans="3:10" x14ac:dyDescent="0.25">
      <c r="C4694" s="300" t="s">
        <v>1058</v>
      </c>
      <c r="D4694" s="283" t="s">
        <v>1087</v>
      </c>
      <c r="E4694" s="283" t="s">
        <v>1083</v>
      </c>
      <c r="F4694" s="283" t="s">
        <v>524</v>
      </c>
      <c r="G4694" s="283">
        <v>1</v>
      </c>
      <c r="H4694" s="283">
        <v>1</v>
      </c>
      <c r="I4694" s="283">
        <v>0</v>
      </c>
      <c r="J4694" s="284">
        <v>0</v>
      </c>
    </row>
    <row r="4695" spans="3:10" x14ac:dyDescent="0.25">
      <c r="C4695" s="300" t="s">
        <v>1061</v>
      </c>
      <c r="D4695" s="283" t="s">
        <v>1079</v>
      </c>
      <c r="E4695" s="283" t="s">
        <v>1075</v>
      </c>
      <c r="F4695" s="283" t="s">
        <v>1075</v>
      </c>
      <c r="G4695" s="283">
        <v>2</v>
      </c>
      <c r="H4695" s="283">
        <v>0</v>
      </c>
      <c r="I4695" s="283">
        <v>0</v>
      </c>
      <c r="J4695" s="284">
        <v>0</v>
      </c>
    </row>
    <row r="4696" spans="3:10" x14ac:dyDescent="0.25">
      <c r="C4696" s="300" t="s">
        <v>1057</v>
      </c>
      <c r="D4696" s="283" t="s">
        <v>1087</v>
      </c>
      <c r="E4696" s="283" t="s">
        <v>1075</v>
      </c>
      <c r="F4696" s="283" t="s">
        <v>524</v>
      </c>
      <c r="G4696" s="283">
        <v>1</v>
      </c>
      <c r="H4696" s="283">
        <v>0</v>
      </c>
      <c r="I4696" s="283">
        <v>0</v>
      </c>
      <c r="J4696" s="284">
        <v>1</v>
      </c>
    </row>
    <row r="4697" spans="3:10" x14ac:dyDescent="0.25">
      <c r="C4697" s="300" t="s">
        <v>1066</v>
      </c>
      <c r="D4697" s="283" t="s">
        <v>1082</v>
      </c>
      <c r="E4697" s="283" t="s">
        <v>1075</v>
      </c>
      <c r="F4697" s="283" t="s">
        <v>1099</v>
      </c>
      <c r="G4697" s="283">
        <v>2</v>
      </c>
      <c r="H4697" s="283">
        <v>0</v>
      </c>
      <c r="I4697" s="283">
        <v>0</v>
      </c>
      <c r="J4697" s="284">
        <v>0</v>
      </c>
    </row>
    <row r="4698" spans="3:10" x14ac:dyDescent="0.25">
      <c r="C4698" s="300" t="s">
        <v>1060</v>
      </c>
      <c r="D4698" s="283" t="s">
        <v>1090</v>
      </c>
      <c r="E4698" s="283" t="s">
        <v>1089</v>
      </c>
      <c r="F4698" s="283" t="s">
        <v>524</v>
      </c>
      <c r="G4698" s="283">
        <v>1</v>
      </c>
      <c r="H4698" s="283">
        <v>0</v>
      </c>
      <c r="I4698" s="283">
        <v>0</v>
      </c>
      <c r="J4698" s="284">
        <v>0</v>
      </c>
    </row>
    <row r="4699" spans="3:10" x14ac:dyDescent="0.25">
      <c r="C4699" s="300" t="s">
        <v>1064</v>
      </c>
      <c r="D4699" s="283" t="s">
        <v>1079</v>
      </c>
      <c r="E4699" s="283" t="s">
        <v>1075</v>
      </c>
      <c r="F4699" s="283" t="s">
        <v>1075</v>
      </c>
      <c r="G4699" s="283">
        <v>3</v>
      </c>
      <c r="H4699" s="283">
        <v>0</v>
      </c>
      <c r="I4699" s="283">
        <v>0</v>
      </c>
      <c r="J4699" s="284">
        <v>1</v>
      </c>
    </row>
    <row r="4700" spans="3:10" x14ac:dyDescent="0.25">
      <c r="C4700" s="300" t="s">
        <v>1064</v>
      </c>
      <c r="D4700" s="283" t="s">
        <v>1079</v>
      </c>
      <c r="E4700" s="283" t="s">
        <v>1075</v>
      </c>
      <c r="F4700" s="283" t="s">
        <v>524</v>
      </c>
      <c r="G4700" s="283">
        <v>1</v>
      </c>
      <c r="H4700" s="283">
        <v>0</v>
      </c>
      <c r="I4700" s="283">
        <v>1</v>
      </c>
      <c r="J4700" s="284">
        <v>0</v>
      </c>
    </row>
    <row r="4701" spans="3:10" x14ac:dyDescent="0.25">
      <c r="C4701" s="300" t="s">
        <v>1063</v>
      </c>
      <c r="D4701" s="283" t="s">
        <v>1077</v>
      </c>
      <c r="E4701" s="283" t="s">
        <v>1075</v>
      </c>
      <c r="F4701" s="283" t="s">
        <v>1078</v>
      </c>
      <c r="G4701" s="283">
        <v>2</v>
      </c>
      <c r="H4701" s="283">
        <v>0</v>
      </c>
      <c r="I4701" s="283">
        <v>0</v>
      </c>
      <c r="J4701" s="284">
        <v>0</v>
      </c>
    </row>
    <row r="4702" spans="3:10" x14ac:dyDescent="0.25">
      <c r="C4702" s="300" t="s">
        <v>1064</v>
      </c>
      <c r="D4702" s="283" t="s">
        <v>1079</v>
      </c>
      <c r="E4702" s="283" t="s">
        <v>1089</v>
      </c>
      <c r="F4702" s="283" t="s">
        <v>1083</v>
      </c>
      <c r="G4702" s="283">
        <v>2</v>
      </c>
      <c r="H4702" s="283">
        <v>0</v>
      </c>
      <c r="I4702" s="283">
        <v>0</v>
      </c>
      <c r="J4702" s="284">
        <v>1</v>
      </c>
    </row>
    <row r="4703" spans="3:10" x14ac:dyDescent="0.25">
      <c r="C4703" s="300" t="s">
        <v>1061</v>
      </c>
      <c r="D4703" s="283" t="s">
        <v>1079</v>
      </c>
      <c r="E4703" s="283" t="s">
        <v>1078</v>
      </c>
      <c r="F4703" s="283" t="s">
        <v>1076</v>
      </c>
      <c r="G4703" s="283">
        <v>3</v>
      </c>
      <c r="H4703" s="283">
        <v>0</v>
      </c>
      <c r="I4703" s="283">
        <v>0</v>
      </c>
      <c r="J4703" s="284">
        <v>0</v>
      </c>
    </row>
    <row r="4704" spans="3:10" x14ac:dyDescent="0.25">
      <c r="C4704" s="300" t="s">
        <v>1062</v>
      </c>
      <c r="D4704" s="283" t="s">
        <v>1079</v>
      </c>
      <c r="E4704" s="283" t="s">
        <v>1089</v>
      </c>
      <c r="F4704" s="283" t="s">
        <v>1089</v>
      </c>
      <c r="G4704" s="283">
        <v>2</v>
      </c>
      <c r="H4704" s="283">
        <v>0</v>
      </c>
      <c r="I4704" s="283">
        <v>0</v>
      </c>
      <c r="J4704" s="284">
        <v>0</v>
      </c>
    </row>
    <row r="4705" spans="3:10" x14ac:dyDescent="0.25">
      <c r="C4705" s="300" t="s">
        <v>1065</v>
      </c>
      <c r="D4705" s="283" t="s">
        <v>1087</v>
      </c>
      <c r="E4705" s="283" t="s">
        <v>1044</v>
      </c>
      <c r="F4705" s="283" t="s">
        <v>524</v>
      </c>
      <c r="G4705" s="283">
        <v>1</v>
      </c>
      <c r="H4705" s="283">
        <v>0</v>
      </c>
      <c r="I4705" s="283">
        <v>1</v>
      </c>
      <c r="J4705" s="284">
        <v>0</v>
      </c>
    </row>
    <row r="4706" spans="3:10" x14ac:dyDescent="0.25">
      <c r="C4706" s="300" t="s">
        <v>1063</v>
      </c>
      <c r="D4706" s="283" t="s">
        <v>1087</v>
      </c>
      <c r="E4706" s="283" t="s">
        <v>1075</v>
      </c>
      <c r="F4706" s="283" t="s">
        <v>524</v>
      </c>
      <c r="G4706" s="283">
        <v>1</v>
      </c>
      <c r="H4706" s="283">
        <v>0</v>
      </c>
      <c r="I4706" s="283">
        <v>0</v>
      </c>
      <c r="J4706" s="284">
        <v>0</v>
      </c>
    </row>
    <row r="4707" spans="3:10" x14ac:dyDescent="0.25">
      <c r="C4707" s="300" t="s">
        <v>1064</v>
      </c>
      <c r="D4707" s="283" t="s">
        <v>1077</v>
      </c>
      <c r="E4707" s="283" t="s">
        <v>1075</v>
      </c>
      <c r="F4707" s="283" t="s">
        <v>1076</v>
      </c>
      <c r="G4707" s="283">
        <v>2</v>
      </c>
      <c r="H4707" s="283">
        <v>0</v>
      </c>
      <c r="I4707" s="283">
        <v>0</v>
      </c>
      <c r="J4707" s="284">
        <v>1</v>
      </c>
    </row>
    <row r="4708" spans="3:10" x14ac:dyDescent="0.25">
      <c r="C4708" s="300" t="s">
        <v>1060</v>
      </c>
      <c r="D4708" s="283" t="s">
        <v>1077</v>
      </c>
      <c r="E4708" s="283" t="s">
        <v>1075</v>
      </c>
      <c r="F4708" s="283" t="s">
        <v>1076</v>
      </c>
      <c r="G4708" s="283">
        <v>4</v>
      </c>
      <c r="H4708" s="283">
        <v>0</v>
      </c>
      <c r="I4708" s="283">
        <v>0</v>
      </c>
      <c r="J4708" s="284">
        <v>0</v>
      </c>
    </row>
    <row r="4709" spans="3:10" x14ac:dyDescent="0.25">
      <c r="C4709" s="300" t="s">
        <v>1062</v>
      </c>
      <c r="D4709" s="283" t="s">
        <v>1079</v>
      </c>
      <c r="E4709" s="283" t="s">
        <v>1084</v>
      </c>
      <c r="F4709" s="283" t="s">
        <v>1089</v>
      </c>
      <c r="G4709" s="283">
        <v>2</v>
      </c>
      <c r="H4709" s="283">
        <v>0</v>
      </c>
      <c r="I4709" s="283">
        <v>0</v>
      </c>
      <c r="J4709" s="284">
        <v>0</v>
      </c>
    </row>
    <row r="4710" spans="3:10" x14ac:dyDescent="0.25">
      <c r="C4710" s="300" t="s">
        <v>1062</v>
      </c>
      <c r="D4710" s="283" t="s">
        <v>1087</v>
      </c>
      <c r="E4710" s="283" t="s">
        <v>1075</v>
      </c>
      <c r="F4710" s="283" t="s">
        <v>524</v>
      </c>
      <c r="G4710" s="283">
        <v>1</v>
      </c>
      <c r="H4710" s="283">
        <v>0</v>
      </c>
      <c r="I4710" s="283">
        <v>1</v>
      </c>
      <c r="J4710" s="284">
        <v>0</v>
      </c>
    </row>
    <row r="4711" spans="3:10" x14ac:dyDescent="0.25">
      <c r="C4711" s="300" t="s">
        <v>1061</v>
      </c>
      <c r="D4711" s="283" t="s">
        <v>1079</v>
      </c>
      <c r="E4711" s="283" t="s">
        <v>1089</v>
      </c>
      <c r="F4711" s="283" t="s">
        <v>1075</v>
      </c>
      <c r="G4711" s="283">
        <v>2</v>
      </c>
      <c r="H4711" s="283">
        <v>0</v>
      </c>
      <c r="I4711" s="283">
        <v>0</v>
      </c>
      <c r="J4711" s="284">
        <v>1</v>
      </c>
    </row>
    <row r="4712" spans="3:10" x14ac:dyDescent="0.25">
      <c r="C4712" s="300" t="s">
        <v>1059</v>
      </c>
      <c r="D4712" s="283" t="s">
        <v>1095</v>
      </c>
      <c r="E4712" s="283" t="s">
        <v>1078</v>
      </c>
      <c r="F4712" s="283" t="s">
        <v>524</v>
      </c>
      <c r="G4712" s="283">
        <v>1</v>
      </c>
      <c r="H4712" s="283">
        <v>0</v>
      </c>
      <c r="I4712" s="283">
        <v>0</v>
      </c>
      <c r="J4712" s="284">
        <v>0</v>
      </c>
    </row>
    <row r="4713" spans="3:10" x14ac:dyDescent="0.25">
      <c r="C4713" s="300" t="s">
        <v>1065</v>
      </c>
      <c r="D4713" s="283" t="s">
        <v>1079</v>
      </c>
      <c r="E4713" s="283" t="s">
        <v>1075</v>
      </c>
      <c r="F4713" s="283" t="s">
        <v>1075</v>
      </c>
      <c r="G4713" s="283">
        <v>2</v>
      </c>
      <c r="H4713" s="283">
        <v>0</v>
      </c>
      <c r="I4713" s="283">
        <v>0</v>
      </c>
      <c r="J4713" s="284">
        <v>0</v>
      </c>
    </row>
    <row r="4714" spans="3:10" x14ac:dyDescent="0.25">
      <c r="C4714" s="300" t="s">
        <v>1061</v>
      </c>
      <c r="D4714" s="283" t="s">
        <v>1074</v>
      </c>
      <c r="E4714" s="283" t="s">
        <v>1075</v>
      </c>
      <c r="F4714" s="283" t="s">
        <v>1075</v>
      </c>
      <c r="G4714" s="283">
        <v>3</v>
      </c>
      <c r="H4714" s="283">
        <v>0</v>
      </c>
      <c r="I4714" s="283">
        <v>1</v>
      </c>
      <c r="J4714" s="284">
        <v>1</v>
      </c>
    </row>
    <row r="4715" spans="3:10" x14ac:dyDescent="0.25">
      <c r="C4715" s="300" t="s">
        <v>1065</v>
      </c>
      <c r="D4715" s="283" t="s">
        <v>1077</v>
      </c>
      <c r="E4715" s="283" t="s">
        <v>1075</v>
      </c>
      <c r="F4715" s="283" t="s">
        <v>1078</v>
      </c>
      <c r="G4715" s="283">
        <v>3</v>
      </c>
      <c r="H4715" s="283">
        <v>0</v>
      </c>
      <c r="I4715" s="283">
        <v>0</v>
      </c>
      <c r="J4715" s="284">
        <v>0</v>
      </c>
    </row>
    <row r="4716" spans="3:10" x14ac:dyDescent="0.25">
      <c r="C4716" s="300" t="s">
        <v>1066</v>
      </c>
      <c r="D4716" s="283" t="s">
        <v>1074</v>
      </c>
      <c r="E4716" s="283" t="s">
        <v>1075</v>
      </c>
      <c r="F4716" s="283" t="s">
        <v>1075</v>
      </c>
      <c r="G4716" s="283">
        <v>2</v>
      </c>
      <c r="H4716" s="283">
        <v>0</v>
      </c>
      <c r="I4716" s="283">
        <v>0</v>
      </c>
      <c r="J4716" s="284">
        <v>0</v>
      </c>
    </row>
    <row r="4717" spans="3:10" x14ac:dyDescent="0.25">
      <c r="C4717" s="300" t="s">
        <v>1067</v>
      </c>
      <c r="D4717" s="283" t="s">
        <v>1087</v>
      </c>
      <c r="E4717" s="283" t="s">
        <v>1075</v>
      </c>
      <c r="F4717" s="283" t="s">
        <v>524</v>
      </c>
      <c r="G4717" s="283">
        <v>1</v>
      </c>
      <c r="H4717" s="283">
        <v>0</v>
      </c>
      <c r="I4717" s="283">
        <v>0</v>
      </c>
      <c r="J4717" s="284">
        <v>1</v>
      </c>
    </row>
    <row r="4718" spans="3:10" x14ac:dyDescent="0.25">
      <c r="C4718" s="300" t="s">
        <v>1062</v>
      </c>
      <c r="D4718" s="283" t="s">
        <v>1087</v>
      </c>
      <c r="E4718" s="283" t="s">
        <v>1083</v>
      </c>
      <c r="F4718" s="283" t="s">
        <v>524</v>
      </c>
      <c r="G4718" s="283">
        <v>1</v>
      </c>
      <c r="H4718" s="283">
        <v>0</v>
      </c>
      <c r="I4718" s="283">
        <v>1</v>
      </c>
      <c r="J4718" s="284">
        <v>0</v>
      </c>
    </row>
    <row r="4719" spans="3:10" x14ac:dyDescent="0.25">
      <c r="C4719" s="300" t="s">
        <v>1065</v>
      </c>
      <c r="D4719" s="283" t="s">
        <v>1087</v>
      </c>
      <c r="E4719" s="283" t="s">
        <v>1075</v>
      </c>
      <c r="F4719" s="283" t="s">
        <v>524</v>
      </c>
      <c r="G4719" s="283">
        <v>1</v>
      </c>
      <c r="H4719" s="283">
        <v>0</v>
      </c>
      <c r="I4719" s="283">
        <v>0</v>
      </c>
      <c r="J4719" s="284">
        <v>0</v>
      </c>
    </row>
    <row r="4720" spans="3:10" x14ac:dyDescent="0.25">
      <c r="C4720" s="300" t="s">
        <v>1067</v>
      </c>
      <c r="D4720" s="283" t="s">
        <v>1096</v>
      </c>
      <c r="E4720" s="283" t="s">
        <v>1089</v>
      </c>
      <c r="F4720" s="283" t="s">
        <v>524</v>
      </c>
      <c r="G4720" s="283">
        <v>1</v>
      </c>
      <c r="H4720" s="283">
        <v>0</v>
      </c>
      <c r="I4720" s="283">
        <v>0</v>
      </c>
      <c r="J4720" s="284">
        <v>0</v>
      </c>
    </row>
    <row r="4721" spans="3:10" x14ac:dyDescent="0.25">
      <c r="C4721" s="300" t="s">
        <v>1067</v>
      </c>
      <c r="D4721" s="283" t="s">
        <v>1074</v>
      </c>
      <c r="E4721" s="283" t="s">
        <v>1075</v>
      </c>
      <c r="F4721" s="283" t="s">
        <v>1075</v>
      </c>
      <c r="G4721" s="283">
        <v>3</v>
      </c>
      <c r="H4721" s="283">
        <v>0</v>
      </c>
      <c r="I4721" s="283">
        <v>0</v>
      </c>
      <c r="J4721" s="284">
        <v>1</v>
      </c>
    </row>
    <row r="4722" spans="3:10" x14ac:dyDescent="0.25">
      <c r="C4722" s="300" t="s">
        <v>1065</v>
      </c>
      <c r="D4722" s="283" t="s">
        <v>1074</v>
      </c>
      <c r="E4722" s="283" t="s">
        <v>1083</v>
      </c>
      <c r="F4722" s="283" t="s">
        <v>1078</v>
      </c>
      <c r="G4722" s="283">
        <v>2</v>
      </c>
      <c r="H4722" s="283">
        <v>0</v>
      </c>
      <c r="I4722" s="283">
        <v>0</v>
      </c>
      <c r="J4722" s="284">
        <v>0</v>
      </c>
    </row>
    <row r="4723" spans="3:10" x14ac:dyDescent="0.25">
      <c r="C4723" s="300" t="s">
        <v>1064</v>
      </c>
      <c r="D4723" s="283" t="s">
        <v>1079</v>
      </c>
      <c r="E4723" s="283" t="s">
        <v>1078</v>
      </c>
      <c r="F4723" s="283" t="s">
        <v>1044</v>
      </c>
      <c r="G4723" s="283">
        <v>2</v>
      </c>
      <c r="H4723" s="283">
        <v>0</v>
      </c>
      <c r="I4723" s="283">
        <v>0</v>
      </c>
      <c r="J4723" s="284">
        <v>0</v>
      </c>
    </row>
    <row r="4724" spans="3:10" x14ac:dyDescent="0.25">
      <c r="C4724" s="300" t="s">
        <v>1065</v>
      </c>
      <c r="D4724" s="283" t="s">
        <v>1077</v>
      </c>
      <c r="E4724" s="283" t="s">
        <v>1076</v>
      </c>
      <c r="F4724" s="283" t="s">
        <v>1075</v>
      </c>
      <c r="G4724" s="283">
        <v>2</v>
      </c>
      <c r="H4724" s="283">
        <v>0</v>
      </c>
      <c r="I4724" s="283">
        <v>0</v>
      </c>
      <c r="J4724" s="284">
        <v>0</v>
      </c>
    </row>
    <row r="4725" spans="3:10" x14ac:dyDescent="0.25">
      <c r="C4725" s="300" t="s">
        <v>1065</v>
      </c>
      <c r="D4725" s="283" t="s">
        <v>1079</v>
      </c>
      <c r="E4725" s="283" t="s">
        <v>1075</v>
      </c>
      <c r="F4725" s="283" t="s">
        <v>1075</v>
      </c>
      <c r="G4725" s="283">
        <v>2</v>
      </c>
      <c r="H4725" s="283">
        <v>0</v>
      </c>
      <c r="I4725" s="283">
        <v>0</v>
      </c>
      <c r="J4725" s="284">
        <v>0</v>
      </c>
    </row>
    <row r="4726" spans="3:10" x14ac:dyDescent="0.25">
      <c r="C4726" s="300" t="s">
        <v>1060</v>
      </c>
      <c r="D4726" s="283" t="s">
        <v>1043</v>
      </c>
      <c r="E4726" s="283" t="s">
        <v>1086</v>
      </c>
      <c r="F4726" s="283" t="s">
        <v>1104</v>
      </c>
      <c r="G4726" s="283">
        <v>2</v>
      </c>
      <c r="H4726" s="283">
        <v>0</v>
      </c>
      <c r="I4726" s="283">
        <v>0</v>
      </c>
      <c r="J4726" s="284">
        <v>0</v>
      </c>
    </row>
    <row r="4727" spans="3:10" x14ac:dyDescent="0.25">
      <c r="C4727" s="300" t="s">
        <v>1063</v>
      </c>
      <c r="D4727" s="283" t="s">
        <v>1074</v>
      </c>
      <c r="E4727" s="283" t="s">
        <v>1075</v>
      </c>
      <c r="F4727" s="283" t="s">
        <v>1075</v>
      </c>
      <c r="G4727" s="283">
        <v>2</v>
      </c>
      <c r="H4727" s="283">
        <v>0</v>
      </c>
      <c r="I4727" s="283">
        <v>0</v>
      </c>
      <c r="J4727" s="284">
        <v>0</v>
      </c>
    </row>
    <row r="4728" spans="3:10" x14ac:dyDescent="0.25">
      <c r="C4728" s="300" t="s">
        <v>1063</v>
      </c>
      <c r="D4728" s="283" t="s">
        <v>1043</v>
      </c>
      <c r="E4728" s="283" t="s">
        <v>1075</v>
      </c>
      <c r="F4728" s="283" t="s">
        <v>1092</v>
      </c>
      <c r="G4728" s="283">
        <v>2</v>
      </c>
      <c r="H4728" s="283">
        <v>0</v>
      </c>
      <c r="I4728" s="283">
        <v>0</v>
      </c>
      <c r="J4728" s="284">
        <v>1</v>
      </c>
    </row>
    <row r="4729" spans="3:10" x14ac:dyDescent="0.25">
      <c r="C4729" s="300" t="s">
        <v>1064</v>
      </c>
      <c r="D4729" s="283" t="s">
        <v>1077</v>
      </c>
      <c r="E4729" s="283" t="s">
        <v>1080</v>
      </c>
      <c r="F4729" s="283" t="s">
        <v>1075</v>
      </c>
      <c r="G4729" s="283">
        <v>3</v>
      </c>
      <c r="H4729" s="283">
        <v>0</v>
      </c>
      <c r="I4729" s="283">
        <v>0</v>
      </c>
      <c r="J4729" s="284">
        <v>1</v>
      </c>
    </row>
    <row r="4730" spans="3:10" x14ac:dyDescent="0.25">
      <c r="C4730" s="300" t="s">
        <v>1063</v>
      </c>
      <c r="D4730" s="283" t="s">
        <v>1077</v>
      </c>
      <c r="E4730" s="283" t="s">
        <v>1089</v>
      </c>
      <c r="F4730" s="283" t="s">
        <v>1075</v>
      </c>
      <c r="G4730" s="283">
        <v>3</v>
      </c>
      <c r="H4730" s="283">
        <v>0</v>
      </c>
      <c r="I4730" s="283">
        <v>0</v>
      </c>
      <c r="J4730" s="284">
        <v>0</v>
      </c>
    </row>
    <row r="4731" spans="3:10" x14ac:dyDescent="0.25">
      <c r="C4731" s="300" t="s">
        <v>1062</v>
      </c>
      <c r="D4731" s="283" t="s">
        <v>1079</v>
      </c>
      <c r="E4731" s="283" t="s">
        <v>1075</v>
      </c>
      <c r="F4731" s="283" t="s">
        <v>1075</v>
      </c>
      <c r="G4731" s="283">
        <v>2</v>
      </c>
      <c r="H4731" s="283">
        <v>0</v>
      </c>
      <c r="I4731" s="283">
        <v>0</v>
      </c>
      <c r="J4731" s="284">
        <v>0</v>
      </c>
    </row>
    <row r="4732" spans="3:10" x14ac:dyDescent="0.25">
      <c r="C4732" s="300" t="s">
        <v>1067</v>
      </c>
      <c r="D4732" s="283" t="s">
        <v>1074</v>
      </c>
      <c r="E4732" s="283" t="s">
        <v>1089</v>
      </c>
      <c r="F4732" s="283" t="s">
        <v>1075</v>
      </c>
      <c r="G4732" s="283">
        <v>2</v>
      </c>
      <c r="H4732" s="283">
        <v>0</v>
      </c>
      <c r="I4732" s="283">
        <v>0</v>
      </c>
      <c r="J4732" s="284">
        <v>2</v>
      </c>
    </row>
    <row r="4733" spans="3:10" x14ac:dyDescent="0.25">
      <c r="C4733" s="300" t="s">
        <v>1061</v>
      </c>
      <c r="D4733" s="283" t="s">
        <v>1079</v>
      </c>
      <c r="E4733" s="283" t="s">
        <v>1078</v>
      </c>
      <c r="F4733" s="283" t="s">
        <v>1083</v>
      </c>
      <c r="G4733" s="283">
        <v>2</v>
      </c>
      <c r="H4733" s="283">
        <v>0</v>
      </c>
      <c r="I4733" s="283">
        <v>0</v>
      </c>
      <c r="J4733" s="284">
        <v>0</v>
      </c>
    </row>
    <row r="4734" spans="3:10" x14ac:dyDescent="0.25">
      <c r="C4734" s="300" t="s">
        <v>1061</v>
      </c>
      <c r="D4734" s="283" t="s">
        <v>1079</v>
      </c>
      <c r="E4734" s="283" t="s">
        <v>1083</v>
      </c>
      <c r="F4734" s="283" t="s">
        <v>1086</v>
      </c>
      <c r="G4734" s="283">
        <v>2</v>
      </c>
      <c r="H4734" s="283">
        <v>0</v>
      </c>
      <c r="I4734" s="283">
        <v>0</v>
      </c>
      <c r="J4734" s="284">
        <v>1</v>
      </c>
    </row>
    <row r="4735" spans="3:10" x14ac:dyDescent="0.25">
      <c r="C4735" s="300" t="s">
        <v>1065</v>
      </c>
      <c r="D4735" s="283" t="s">
        <v>1079</v>
      </c>
      <c r="E4735" s="283" t="s">
        <v>1078</v>
      </c>
      <c r="F4735" s="283" t="s">
        <v>1075</v>
      </c>
      <c r="G4735" s="283">
        <v>3</v>
      </c>
      <c r="H4735" s="283">
        <v>0</v>
      </c>
      <c r="I4735" s="283">
        <v>1</v>
      </c>
      <c r="J4735" s="284">
        <v>0</v>
      </c>
    </row>
    <row r="4736" spans="3:10" x14ac:dyDescent="0.25">
      <c r="C4736" s="300" t="s">
        <v>1066</v>
      </c>
      <c r="D4736" s="283" t="s">
        <v>1087</v>
      </c>
      <c r="E4736" s="283" t="s">
        <v>1076</v>
      </c>
      <c r="F4736" s="283" t="s">
        <v>524</v>
      </c>
      <c r="G4736" s="283">
        <v>1</v>
      </c>
      <c r="H4736" s="283">
        <v>0</v>
      </c>
      <c r="I4736" s="283">
        <v>1</v>
      </c>
      <c r="J4736" s="284">
        <v>0</v>
      </c>
    </row>
    <row r="4737" spans="3:10" x14ac:dyDescent="0.25">
      <c r="C4737" s="300" t="s">
        <v>1065</v>
      </c>
      <c r="D4737" s="283" t="s">
        <v>1077</v>
      </c>
      <c r="E4737" s="283" t="s">
        <v>1089</v>
      </c>
      <c r="F4737" s="283" t="s">
        <v>1075</v>
      </c>
      <c r="G4737" s="283">
        <v>2</v>
      </c>
      <c r="H4737" s="283">
        <v>0</v>
      </c>
      <c r="I4737" s="283">
        <v>0</v>
      </c>
      <c r="J4737" s="284">
        <v>0</v>
      </c>
    </row>
    <row r="4738" spans="3:10" x14ac:dyDescent="0.25">
      <c r="C4738" s="300" t="s">
        <v>1065</v>
      </c>
      <c r="D4738" s="283" t="s">
        <v>1090</v>
      </c>
      <c r="E4738" s="283" t="s">
        <v>1088</v>
      </c>
      <c r="F4738" s="283" t="s">
        <v>524</v>
      </c>
      <c r="G4738" s="283">
        <v>1</v>
      </c>
      <c r="H4738" s="283">
        <v>0</v>
      </c>
      <c r="I4738" s="283">
        <v>0</v>
      </c>
      <c r="J4738" s="284">
        <v>0</v>
      </c>
    </row>
    <row r="4739" spans="3:10" x14ac:dyDescent="0.25">
      <c r="C4739" s="300" t="s">
        <v>1063</v>
      </c>
      <c r="D4739" s="283" t="s">
        <v>1077</v>
      </c>
      <c r="E4739" s="283" t="s">
        <v>1089</v>
      </c>
      <c r="F4739" s="283" t="s">
        <v>1089</v>
      </c>
      <c r="G4739" s="283">
        <v>2</v>
      </c>
      <c r="H4739" s="283">
        <v>0</v>
      </c>
      <c r="I4739" s="283">
        <v>0</v>
      </c>
      <c r="J4739" s="284">
        <v>0</v>
      </c>
    </row>
    <row r="4740" spans="3:10" x14ac:dyDescent="0.25">
      <c r="C4740" s="300" t="s">
        <v>1064</v>
      </c>
      <c r="D4740" s="283" t="s">
        <v>1077</v>
      </c>
      <c r="E4740" s="283" t="s">
        <v>1078</v>
      </c>
      <c r="F4740" s="283" t="s">
        <v>1075</v>
      </c>
      <c r="G4740" s="283">
        <v>2</v>
      </c>
      <c r="H4740" s="283">
        <v>0</v>
      </c>
      <c r="I4740" s="283">
        <v>0</v>
      </c>
      <c r="J4740" s="284">
        <v>2</v>
      </c>
    </row>
    <row r="4741" spans="3:10" x14ac:dyDescent="0.25">
      <c r="C4741" s="300" t="s">
        <v>1063</v>
      </c>
      <c r="D4741" s="283" t="s">
        <v>1082</v>
      </c>
      <c r="E4741" s="283" t="s">
        <v>1076</v>
      </c>
      <c r="F4741" s="283" t="s">
        <v>1089</v>
      </c>
      <c r="G4741" s="283">
        <v>2</v>
      </c>
      <c r="H4741" s="283">
        <v>0</v>
      </c>
      <c r="I4741" s="283">
        <v>0</v>
      </c>
      <c r="J4741" s="284">
        <v>0</v>
      </c>
    </row>
    <row r="4742" spans="3:10" x14ac:dyDescent="0.25">
      <c r="C4742" s="300" t="s">
        <v>1067</v>
      </c>
      <c r="D4742" s="283" t="s">
        <v>1087</v>
      </c>
      <c r="E4742" s="283" t="s">
        <v>1083</v>
      </c>
      <c r="F4742" s="283" t="s">
        <v>524</v>
      </c>
      <c r="G4742" s="283">
        <v>1</v>
      </c>
      <c r="H4742" s="283">
        <v>0</v>
      </c>
      <c r="I4742" s="283">
        <v>1</v>
      </c>
      <c r="J4742" s="284">
        <v>0</v>
      </c>
    </row>
    <row r="4743" spans="3:10" x14ac:dyDescent="0.25">
      <c r="C4743" s="300" t="s">
        <v>1065</v>
      </c>
      <c r="D4743" s="283" t="s">
        <v>1079</v>
      </c>
      <c r="E4743" s="283" t="s">
        <v>1083</v>
      </c>
      <c r="F4743" s="283" t="s">
        <v>1075</v>
      </c>
      <c r="G4743" s="283">
        <v>2</v>
      </c>
      <c r="H4743" s="283">
        <v>0</v>
      </c>
      <c r="I4743" s="283">
        <v>0</v>
      </c>
      <c r="J4743" s="284">
        <v>0</v>
      </c>
    </row>
    <row r="4744" spans="3:10" x14ac:dyDescent="0.25">
      <c r="C4744" s="300" t="s">
        <v>1062</v>
      </c>
      <c r="D4744" s="283" t="s">
        <v>1090</v>
      </c>
      <c r="E4744" s="283" t="s">
        <v>1083</v>
      </c>
      <c r="F4744" s="283" t="s">
        <v>524</v>
      </c>
      <c r="G4744" s="283">
        <v>1</v>
      </c>
      <c r="H4744" s="283">
        <v>0</v>
      </c>
      <c r="I4744" s="283">
        <v>0</v>
      </c>
      <c r="J4744" s="284">
        <v>0</v>
      </c>
    </row>
    <row r="4745" spans="3:10" x14ac:dyDescent="0.25">
      <c r="C4745" s="300" t="s">
        <v>1065</v>
      </c>
      <c r="D4745" s="283" t="s">
        <v>1077</v>
      </c>
      <c r="E4745" s="283" t="s">
        <v>1075</v>
      </c>
      <c r="F4745" s="283" t="s">
        <v>1089</v>
      </c>
      <c r="G4745" s="283">
        <v>2</v>
      </c>
      <c r="H4745" s="283">
        <v>0</v>
      </c>
      <c r="I4745" s="283">
        <v>0</v>
      </c>
      <c r="J4745" s="284">
        <v>0</v>
      </c>
    </row>
    <row r="4746" spans="3:10" x14ac:dyDescent="0.25">
      <c r="C4746" s="300" t="s">
        <v>1060</v>
      </c>
      <c r="D4746" s="283" t="s">
        <v>1079</v>
      </c>
      <c r="E4746" s="283" t="s">
        <v>1089</v>
      </c>
      <c r="F4746" s="283" t="s">
        <v>1075</v>
      </c>
      <c r="G4746" s="283">
        <v>2</v>
      </c>
      <c r="H4746" s="283">
        <v>0</v>
      </c>
      <c r="I4746" s="283">
        <v>0</v>
      </c>
      <c r="J4746" s="284">
        <v>0</v>
      </c>
    </row>
    <row r="4747" spans="3:10" x14ac:dyDescent="0.25">
      <c r="C4747" s="300" t="s">
        <v>1068</v>
      </c>
      <c r="D4747" s="283" t="s">
        <v>1074</v>
      </c>
      <c r="E4747" s="283" t="s">
        <v>1084</v>
      </c>
      <c r="F4747" s="283" t="s">
        <v>1075</v>
      </c>
      <c r="G4747" s="283">
        <v>2</v>
      </c>
      <c r="H4747" s="283">
        <v>0</v>
      </c>
      <c r="I4747" s="283">
        <v>0</v>
      </c>
      <c r="J4747" s="284">
        <v>0</v>
      </c>
    </row>
    <row r="4748" spans="3:10" x14ac:dyDescent="0.25">
      <c r="C4748" s="300" t="s">
        <v>1067</v>
      </c>
      <c r="D4748" s="283" t="s">
        <v>1074</v>
      </c>
      <c r="E4748" s="283" t="s">
        <v>1075</v>
      </c>
      <c r="F4748" s="283" t="s">
        <v>1075</v>
      </c>
      <c r="G4748" s="283">
        <v>2</v>
      </c>
      <c r="H4748" s="283">
        <v>0</v>
      </c>
      <c r="I4748" s="283">
        <v>0</v>
      </c>
      <c r="J4748" s="284">
        <v>0</v>
      </c>
    </row>
    <row r="4749" spans="3:10" x14ac:dyDescent="0.25">
      <c r="C4749" s="300" t="s">
        <v>1063</v>
      </c>
      <c r="D4749" s="283" t="s">
        <v>1079</v>
      </c>
      <c r="E4749" s="283" t="s">
        <v>1084</v>
      </c>
      <c r="F4749" s="283" t="s">
        <v>1078</v>
      </c>
      <c r="G4749" s="283">
        <v>2</v>
      </c>
      <c r="H4749" s="283">
        <v>0</v>
      </c>
      <c r="I4749" s="283">
        <v>0</v>
      </c>
      <c r="J4749" s="284">
        <v>0</v>
      </c>
    </row>
    <row r="4750" spans="3:10" x14ac:dyDescent="0.25">
      <c r="C4750" s="300" t="s">
        <v>1064</v>
      </c>
      <c r="D4750" s="283" t="s">
        <v>1074</v>
      </c>
      <c r="E4750" s="283" t="s">
        <v>1089</v>
      </c>
      <c r="F4750" s="283" t="s">
        <v>1075</v>
      </c>
      <c r="G4750" s="283">
        <v>2</v>
      </c>
      <c r="H4750" s="283">
        <v>0</v>
      </c>
      <c r="I4750" s="283">
        <v>0</v>
      </c>
      <c r="J4750" s="284">
        <v>1</v>
      </c>
    </row>
    <row r="4751" spans="3:10" x14ac:dyDescent="0.25">
      <c r="C4751" s="300" t="s">
        <v>1066</v>
      </c>
      <c r="D4751" s="283" t="s">
        <v>1090</v>
      </c>
      <c r="E4751" s="283" t="s">
        <v>1093</v>
      </c>
      <c r="F4751" s="283" t="s">
        <v>524</v>
      </c>
      <c r="G4751" s="283">
        <v>1</v>
      </c>
      <c r="H4751" s="283">
        <v>0</v>
      </c>
      <c r="I4751" s="283">
        <v>0</v>
      </c>
      <c r="J4751" s="284">
        <v>0</v>
      </c>
    </row>
    <row r="4752" spans="3:10" x14ac:dyDescent="0.25">
      <c r="C4752" s="300" t="s">
        <v>1065</v>
      </c>
      <c r="D4752" s="283" t="s">
        <v>1074</v>
      </c>
      <c r="E4752" s="283" t="s">
        <v>1075</v>
      </c>
      <c r="F4752" s="283" t="s">
        <v>1075</v>
      </c>
      <c r="G4752" s="283">
        <v>2</v>
      </c>
      <c r="H4752" s="283">
        <v>0</v>
      </c>
      <c r="I4752" s="283">
        <v>0</v>
      </c>
      <c r="J4752" s="284">
        <v>0</v>
      </c>
    </row>
    <row r="4753" spans="3:10" x14ac:dyDescent="0.25">
      <c r="C4753" s="300" t="s">
        <v>1067</v>
      </c>
      <c r="D4753" s="283" t="s">
        <v>1082</v>
      </c>
      <c r="E4753" s="283" t="s">
        <v>1075</v>
      </c>
      <c r="F4753" s="283" t="s">
        <v>1075</v>
      </c>
      <c r="G4753" s="283">
        <v>2</v>
      </c>
      <c r="H4753" s="283">
        <v>0</v>
      </c>
      <c r="I4753" s="283">
        <v>0</v>
      </c>
      <c r="J4753" s="284">
        <v>0</v>
      </c>
    </row>
    <row r="4754" spans="3:10" x14ac:dyDescent="0.25">
      <c r="C4754" s="300" t="s">
        <v>1065</v>
      </c>
      <c r="D4754" s="283" t="s">
        <v>1079</v>
      </c>
      <c r="E4754" s="283" t="s">
        <v>1078</v>
      </c>
      <c r="F4754" s="283" t="s">
        <v>1075</v>
      </c>
      <c r="G4754" s="283">
        <v>3</v>
      </c>
      <c r="H4754" s="283">
        <v>0</v>
      </c>
      <c r="I4754" s="283">
        <v>0</v>
      </c>
      <c r="J4754" s="284">
        <v>0</v>
      </c>
    </row>
    <row r="4755" spans="3:10" x14ac:dyDescent="0.25">
      <c r="C4755" s="300" t="s">
        <v>1063</v>
      </c>
      <c r="D4755" s="283" t="s">
        <v>1077</v>
      </c>
      <c r="E4755" s="283" t="s">
        <v>1075</v>
      </c>
      <c r="F4755" s="283" t="s">
        <v>1089</v>
      </c>
      <c r="G4755" s="283">
        <v>2</v>
      </c>
      <c r="H4755" s="283">
        <v>0</v>
      </c>
      <c r="I4755" s="283">
        <v>0</v>
      </c>
      <c r="J4755" s="284">
        <v>0</v>
      </c>
    </row>
    <row r="4756" spans="3:10" x14ac:dyDescent="0.25">
      <c r="C4756" s="300" t="s">
        <v>1062</v>
      </c>
      <c r="D4756" s="283" t="s">
        <v>1079</v>
      </c>
      <c r="E4756" s="283" t="s">
        <v>1080</v>
      </c>
      <c r="F4756" s="283" t="s">
        <v>1075</v>
      </c>
      <c r="G4756" s="283">
        <v>2</v>
      </c>
      <c r="H4756" s="283">
        <v>0</v>
      </c>
      <c r="I4756" s="283">
        <v>0</v>
      </c>
      <c r="J4756" s="284">
        <v>0</v>
      </c>
    </row>
    <row r="4757" spans="3:10" x14ac:dyDescent="0.25">
      <c r="C4757" s="300" t="s">
        <v>1059</v>
      </c>
      <c r="D4757" s="283" t="s">
        <v>1087</v>
      </c>
      <c r="E4757" s="283" t="s">
        <v>1078</v>
      </c>
      <c r="F4757" s="283" t="s">
        <v>524</v>
      </c>
      <c r="G4757" s="283">
        <v>1</v>
      </c>
      <c r="H4757" s="283">
        <v>0</v>
      </c>
      <c r="I4757" s="283">
        <v>0</v>
      </c>
      <c r="J4757" s="284">
        <v>1</v>
      </c>
    </row>
    <row r="4758" spans="3:10" x14ac:dyDescent="0.25">
      <c r="C4758" s="300" t="s">
        <v>1062</v>
      </c>
      <c r="D4758" s="283" t="s">
        <v>1082</v>
      </c>
      <c r="E4758" s="283" t="s">
        <v>1089</v>
      </c>
      <c r="F4758" s="283" t="s">
        <v>1089</v>
      </c>
      <c r="G4758" s="283">
        <v>2</v>
      </c>
      <c r="H4758" s="283">
        <v>0</v>
      </c>
      <c r="I4758" s="283">
        <v>0</v>
      </c>
      <c r="J4758" s="284">
        <v>0</v>
      </c>
    </row>
    <row r="4759" spans="3:10" x14ac:dyDescent="0.25">
      <c r="C4759" s="300" t="s">
        <v>1062</v>
      </c>
      <c r="D4759" s="283" t="s">
        <v>1079</v>
      </c>
      <c r="E4759" s="283" t="s">
        <v>1075</v>
      </c>
      <c r="F4759" s="283" t="s">
        <v>1076</v>
      </c>
      <c r="G4759" s="283">
        <v>2</v>
      </c>
      <c r="H4759" s="283">
        <v>0</v>
      </c>
      <c r="I4759" s="283">
        <v>0</v>
      </c>
      <c r="J4759" s="284">
        <v>0</v>
      </c>
    </row>
    <row r="4760" spans="3:10" x14ac:dyDescent="0.25">
      <c r="C4760" s="300" t="s">
        <v>1064</v>
      </c>
      <c r="D4760" s="283" t="s">
        <v>1079</v>
      </c>
      <c r="E4760" s="283" t="s">
        <v>1081</v>
      </c>
      <c r="F4760" s="283" t="s">
        <v>1075</v>
      </c>
      <c r="G4760" s="283">
        <v>2</v>
      </c>
      <c r="H4760" s="283">
        <v>0</v>
      </c>
      <c r="I4760" s="283">
        <v>0</v>
      </c>
      <c r="J4760" s="284">
        <v>0</v>
      </c>
    </row>
    <row r="4761" spans="3:10" x14ac:dyDescent="0.25">
      <c r="C4761" s="300" t="s">
        <v>1065</v>
      </c>
      <c r="D4761" s="283" t="s">
        <v>1077</v>
      </c>
      <c r="E4761" s="283" t="s">
        <v>1075</v>
      </c>
      <c r="F4761" s="283" t="s">
        <v>1075</v>
      </c>
      <c r="G4761" s="283">
        <v>2</v>
      </c>
      <c r="H4761" s="283">
        <v>0</v>
      </c>
      <c r="I4761" s="283">
        <v>0</v>
      </c>
      <c r="J4761" s="284">
        <v>0</v>
      </c>
    </row>
    <row r="4762" spans="3:10" x14ac:dyDescent="0.25">
      <c r="C4762" s="300" t="s">
        <v>1065</v>
      </c>
      <c r="D4762" s="283" t="s">
        <v>1077</v>
      </c>
      <c r="E4762" s="283" t="s">
        <v>1075</v>
      </c>
      <c r="F4762" s="283" t="s">
        <v>1078</v>
      </c>
      <c r="G4762" s="283">
        <v>2</v>
      </c>
      <c r="H4762" s="283">
        <v>0</v>
      </c>
      <c r="I4762" s="283">
        <v>0</v>
      </c>
      <c r="J4762" s="284">
        <v>0</v>
      </c>
    </row>
    <row r="4763" spans="3:10" x14ac:dyDescent="0.25">
      <c r="C4763" s="300" t="s">
        <v>1066</v>
      </c>
      <c r="D4763" s="283" t="s">
        <v>1077</v>
      </c>
      <c r="E4763" s="283" t="s">
        <v>1086</v>
      </c>
      <c r="F4763" s="283" t="s">
        <v>1078</v>
      </c>
      <c r="G4763" s="283">
        <v>2</v>
      </c>
      <c r="H4763" s="283">
        <v>0</v>
      </c>
      <c r="I4763" s="283">
        <v>0</v>
      </c>
      <c r="J4763" s="284">
        <v>0</v>
      </c>
    </row>
    <row r="4764" spans="3:10" x14ac:dyDescent="0.25">
      <c r="C4764" s="300" t="s">
        <v>1061</v>
      </c>
      <c r="D4764" s="283" t="s">
        <v>1074</v>
      </c>
      <c r="E4764" s="283" t="s">
        <v>1089</v>
      </c>
      <c r="F4764" s="283" t="s">
        <v>1089</v>
      </c>
      <c r="G4764" s="283">
        <v>2</v>
      </c>
      <c r="H4764" s="283">
        <v>0</v>
      </c>
      <c r="I4764" s="283">
        <v>0</v>
      </c>
      <c r="J4764" s="284">
        <v>0</v>
      </c>
    </row>
    <row r="4765" spans="3:10" x14ac:dyDescent="0.25">
      <c r="C4765" s="300" t="s">
        <v>1064</v>
      </c>
      <c r="D4765" s="283" t="s">
        <v>1077</v>
      </c>
      <c r="E4765" s="283" t="s">
        <v>1084</v>
      </c>
      <c r="F4765" s="283" t="s">
        <v>1075</v>
      </c>
      <c r="G4765" s="283">
        <v>2</v>
      </c>
      <c r="H4765" s="283">
        <v>0</v>
      </c>
      <c r="I4765" s="283">
        <v>0</v>
      </c>
      <c r="J4765" s="284">
        <v>0</v>
      </c>
    </row>
    <row r="4766" spans="3:10" x14ac:dyDescent="0.25">
      <c r="C4766" s="300" t="s">
        <v>1063</v>
      </c>
      <c r="D4766" s="283" t="s">
        <v>1074</v>
      </c>
      <c r="E4766" s="283" t="s">
        <v>1075</v>
      </c>
      <c r="F4766" s="283" t="s">
        <v>1089</v>
      </c>
      <c r="G4766" s="283">
        <v>2</v>
      </c>
      <c r="H4766" s="283">
        <v>0</v>
      </c>
      <c r="I4766" s="283">
        <v>0</v>
      </c>
      <c r="J4766" s="284">
        <v>0</v>
      </c>
    </row>
    <row r="4767" spans="3:10" x14ac:dyDescent="0.25">
      <c r="C4767" s="300" t="s">
        <v>1064</v>
      </c>
      <c r="D4767" s="283" t="s">
        <v>1079</v>
      </c>
      <c r="E4767" s="283" t="s">
        <v>1084</v>
      </c>
      <c r="F4767" s="283" t="s">
        <v>1083</v>
      </c>
      <c r="G4767" s="283">
        <v>2</v>
      </c>
      <c r="H4767" s="283">
        <v>0</v>
      </c>
      <c r="I4767" s="283">
        <v>0</v>
      </c>
      <c r="J4767" s="284">
        <v>0</v>
      </c>
    </row>
    <row r="4768" spans="3:10" x14ac:dyDescent="0.25">
      <c r="C4768" s="300" t="s">
        <v>1067</v>
      </c>
      <c r="D4768" s="283" t="s">
        <v>1079</v>
      </c>
      <c r="E4768" s="283" t="s">
        <v>1075</v>
      </c>
      <c r="F4768" s="283" t="s">
        <v>1075</v>
      </c>
      <c r="G4768" s="283">
        <v>3</v>
      </c>
      <c r="H4768" s="283">
        <v>0</v>
      </c>
      <c r="I4768" s="283">
        <v>0</v>
      </c>
      <c r="J4768" s="284">
        <v>0</v>
      </c>
    </row>
    <row r="4769" spans="3:10" x14ac:dyDescent="0.25">
      <c r="C4769" s="300" t="s">
        <v>1062</v>
      </c>
      <c r="D4769" s="283" t="s">
        <v>1074</v>
      </c>
      <c r="E4769" s="283" t="s">
        <v>1078</v>
      </c>
      <c r="F4769" s="283" t="s">
        <v>1076</v>
      </c>
      <c r="G4769" s="283">
        <v>2</v>
      </c>
      <c r="H4769" s="283">
        <v>0</v>
      </c>
      <c r="I4769" s="283">
        <v>0</v>
      </c>
      <c r="J4769" s="284">
        <v>1</v>
      </c>
    </row>
    <row r="4770" spans="3:10" x14ac:dyDescent="0.25">
      <c r="C4770" s="300" t="s">
        <v>1065</v>
      </c>
      <c r="D4770" s="283" t="s">
        <v>1077</v>
      </c>
      <c r="E4770" s="283" t="s">
        <v>1075</v>
      </c>
      <c r="F4770" s="283" t="s">
        <v>1075</v>
      </c>
      <c r="G4770" s="283">
        <v>2</v>
      </c>
      <c r="H4770" s="283">
        <v>0</v>
      </c>
      <c r="I4770" s="283">
        <v>0</v>
      </c>
      <c r="J4770" s="284">
        <v>0</v>
      </c>
    </row>
    <row r="4771" spans="3:10" x14ac:dyDescent="0.25">
      <c r="C4771" s="300" t="s">
        <v>1063</v>
      </c>
      <c r="D4771" s="283" t="s">
        <v>1074</v>
      </c>
      <c r="E4771" s="283" t="s">
        <v>1078</v>
      </c>
      <c r="F4771" s="283" t="s">
        <v>1075</v>
      </c>
      <c r="G4771" s="283">
        <v>2</v>
      </c>
      <c r="H4771" s="283">
        <v>0</v>
      </c>
      <c r="I4771" s="283">
        <v>0</v>
      </c>
      <c r="J4771" s="284">
        <v>1</v>
      </c>
    </row>
    <row r="4772" spans="3:10" x14ac:dyDescent="0.25">
      <c r="C4772" s="300" t="s">
        <v>1063</v>
      </c>
      <c r="D4772" s="283" t="s">
        <v>1079</v>
      </c>
      <c r="E4772" s="283" t="s">
        <v>1075</v>
      </c>
      <c r="F4772" s="283" t="s">
        <v>1044</v>
      </c>
      <c r="G4772" s="283">
        <v>2</v>
      </c>
      <c r="H4772" s="283">
        <v>0</v>
      </c>
      <c r="I4772" s="283">
        <v>0</v>
      </c>
      <c r="J4772" s="284">
        <v>0</v>
      </c>
    </row>
    <row r="4773" spans="3:10" x14ac:dyDescent="0.25">
      <c r="C4773" s="300" t="s">
        <v>1065</v>
      </c>
      <c r="D4773" s="283" t="s">
        <v>1082</v>
      </c>
      <c r="E4773" s="283" t="s">
        <v>1075</v>
      </c>
      <c r="F4773" s="283" t="s">
        <v>1075</v>
      </c>
      <c r="G4773" s="283">
        <v>2</v>
      </c>
      <c r="H4773" s="283">
        <v>0</v>
      </c>
      <c r="I4773" s="283">
        <v>0</v>
      </c>
      <c r="J4773" s="284">
        <v>0</v>
      </c>
    </row>
    <row r="4774" spans="3:10" x14ac:dyDescent="0.25">
      <c r="C4774" s="300" t="s">
        <v>1065</v>
      </c>
      <c r="D4774" s="283" t="s">
        <v>1087</v>
      </c>
      <c r="E4774" s="283" t="s">
        <v>1075</v>
      </c>
      <c r="F4774" s="283" t="s">
        <v>524</v>
      </c>
      <c r="G4774" s="283">
        <v>1</v>
      </c>
      <c r="H4774" s="283">
        <v>0</v>
      </c>
      <c r="I4774" s="283">
        <v>0</v>
      </c>
      <c r="J4774" s="284">
        <v>0</v>
      </c>
    </row>
    <row r="4775" spans="3:10" x14ac:dyDescent="0.25">
      <c r="C4775" s="300" t="s">
        <v>1064</v>
      </c>
      <c r="D4775" s="283" t="s">
        <v>1077</v>
      </c>
      <c r="E4775" s="283" t="s">
        <v>1084</v>
      </c>
      <c r="F4775" s="283" t="s">
        <v>1075</v>
      </c>
      <c r="G4775" s="283">
        <v>2</v>
      </c>
      <c r="H4775" s="283">
        <v>0</v>
      </c>
      <c r="I4775" s="283">
        <v>0</v>
      </c>
      <c r="J4775" s="284">
        <v>0</v>
      </c>
    </row>
    <row r="4776" spans="3:10" x14ac:dyDescent="0.25">
      <c r="C4776" s="300" t="s">
        <v>1066</v>
      </c>
      <c r="D4776" s="283" t="s">
        <v>1079</v>
      </c>
      <c r="E4776" s="283" t="s">
        <v>1075</v>
      </c>
      <c r="F4776" s="283" t="s">
        <v>1075</v>
      </c>
      <c r="G4776" s="283">
        <v>3</v>
      </c>
      <c r="H4776" s="283">
        <v>0</v>
      </c>
      <c r="I4776" s="283">
        <v>0</v>
      </c>
      <c r="J4776" s="284">
        <v>0</v>
      </c>
    </row>
    <row r="4777" spans="3:10" x14ac:dyDescent="0.25">
      <c r="C4777" s="300" t="s">
        <v>1065</v>
      </c>
      <c r="D4777" s="283" t="s">
        <v>1079</v>
      </c>
      <c r="E4777" s="283" t="s">
        <v>1089</v>
      </c>
      <c r="F4777" s="283" t="s">
        <v>1083</v>
      </c>
      <c r="G4777" s="283">
        <v>2</v>
      </c>
      <c r="H4777" s="283">
        <v>0</v>
      </c>
      <c r="I4777" s="283">
        <v>0</v>
      </c>
      <c r="J4777" s="284">
        <v>2</v>
      </c>
    </row>
    <row r="4778" spans="3:10" x14ac:dyDescent="0.25">
      <c r="C4778" s="300" t="s">
        <v>1064</v>
      </c>
      <c r="D4778" s="283" t="s">
        <v>1079</v>
      </c>
      <c r="E4778" s="283" t="s">
        <v>1075</v>
      </c>
      <c r="F4778" s="283" t="s">
        <v>1083</v>
      </c>
      <c r="G4778" s="283">
        <v>3</v>
      </c>
      <c r="H4778" s="283">
        <v>0</v>
      </c>
      <c r="I4778" s="283">
        <v>0</v>
      </c>
      <c r="J4778" s="284">
        <v>0</v>
      </c>
    </row>
    <row r="4779" spans="3:10" x14ac:dyDescent="0.25">
      <c r="C4779" s="300" t="s">
        <v>1065</v>
      </c>
      <c r="D4779" s="283" t="s">
        <v>1077</v>
      </c>
      <c r="E4779" s="283" t="s">
        <v>1083</v>
      </c>
      <c r="F4779" s="283" t="s">
        <v>1075</v>
      </c>
      <c r="G4779" s="283">
        <v>2</v>
      </c>
      <c r="H4779" s="283">
        <v>0</v>
      </c>
      <c r="I4779" s="283">
        <v>1</v>
      </c>
      <c r="J4779" s="284">
        <v>0</v>
      </c>
    </row>
    <row r="4780" spans="3:10" x14ac:dyDescent="0.25">
      <c r="C4780" s="300" t="s">
        <v>1064</v>
      </c>
      <c r="D4780" s="283" t="s">
        <v>1043</v>
      </c>
      <c r="E4780" s="283" t="s">
        <v>1078</v>
      </c>
      <c r="F4780" s="283" t="s">
        <v>1092</v>
      </c>
      <c r="G4780" s="283">
        <v>3</v>
      </c>
      <c r="H4780" s="283">
        <v>0</v>
      </c>
      <c r="I4780" s="283">
        <v>1</v>
      </c>
      <c r="J4780" s="284">
        <v>0</v>
      </c>
    </row>
    <row r="4781" spans="3:10" x14ac:dyDescent="0.25">
      <c r="C4781" s="300" t="s">
        <v>1057</v>
      </c>
      <c r="D4781" s="283" t="s">
        <v>1087</v>
      </c>
      <c r="E4781" s="283" t="s">
        <v>1075</v>
      </c>
      <c r="F4781" s="283" t="s">
        <v>524</v>
      </c>
      <c r="G4781" s="283">
        <v>1</v>
      </c>
      <c r="H4781" s="283">
        <v>0</v>
      </c>
      <c r="I4781" s="283">
        <v>1</v>
      </c>
      <c r="J4781" s="284">
        <v>0</v>
      </c>
    </row>
    <row r="4782" spans="3:10" x14ac:dyDescent="0.25">
      <c r="C4782" s="300" t="s">
        <v>1058</v>
      </c>
      <c r="D4782" s="283" t="s">
        <v>1079</v>
      </c>
      <c r="E4782" s="283" t="s">
        <v>1084</v>
      </c>
      <c r="F4782" s="283" t="s">
        <v>1075</v>
      </c>
      <c r="G4782" s="283">
        <v>2</v>
      </c>
      <c r="H4782" s="283">
        <v>0</v>
      </c>
      <c r="I4782" s="283">
        <v>2</v>
      </c>
      <c r="J4782" s="284">
        <v>0</v>
      </c>
    </row>
    <row r="4783" spans="3:10" x14ac:dyDescent="0.25">
      <c r="C4783" s="300" t="s">
        <v>1058</v>
      </c>
      <c r="D4783" s="283" t="s">
        <v>1082</v>
      </c>
      <c r="E4783" s="283" t="s">
        <v>1075</v>
      </c>
      <c r="F4783" s="283" t="s">
        <v>1084</v>
      </c>
      <c r="G4783" s="283">
        <v>2</v>
      </c>
      <c r="H4783" s="283">
        <v>0</v>
      </c>
      <c r="I4783" s="283">
        <v>0</v>
      </c>
      <c r="J4783" s="284">
        <v>1</v>
      </c>
    </row>
    <row r="4784" spans="3:10" x14ac:dyDescent="0.25">
      <c r="C4784" s="300" t="s">
        <v>1062</v>
      </c>
      <c r="D4784" s="283" t="s">
        <v>1079</v>
      </c>
      <c r="E4784" s="283" t="s">
        <v>1086</v>
      </c>
      <c r="F4784" s="283" t="s">
        <v>1075</v>
      </c>
      <c r="G4784" s="283">
        <v>2</v>
      </c>
      <c r="H4784" s="283">
        <v>0</v>
      </c>
      <c r="I4784" s="283">
        <v>0</v>
      </c>
      <c r="J4784" s="284">
        <v>0</v>
      </c>
    </row>
    <row r="4785" spans="3:10" x14ac:dyDescent="0.25">
      <c r="C4785" s="300" t="s">
        <v>1065</v>
      </c>
      <c r="D4785" s="283" t="s">
        <v>1079</v>
      </c>
      <c r="E4785" s="283" t="s">
        <v>1089</v>
      </c>
      <c r="F4785" s="283" t="s">
        <v>1075</v>
      </c>
      <c r="G4785" s="283">
        <v>2</v>
      </c>
      <c r="H4785" s="283">
        <v>0</v>
      </c>
      <c r="I4785" s="283">
        <v>0</v>
      </c>
      <c r="J4785" s="284">
        <v>1</v>
      </c>
    </row>
    <row r="4786" spans="3:10" x14ac:dyDescent="0.25">
      <c r="C4786" s="300" t="s">
        <v>1059</v>
      </c>
      <c r="D4786" s="283" t="s">
        <v>1079</v>
      </c>
      <c r="E4786" s="283" t="s">
        <v>1044</v>
      </c>
      <c r="F4786" s="283" t="s">
        <v>1089</v>
      </c>
      <c r="G4786" s="283">
        <v>2</v>
      </c>
      <c r="H4786" s="283">
        <v>1</v>
      </c>
      <c r="I4786" s="283">
        <v>0</v>
      </c>
      <c r="J4786" s="284">
        <v>1</v>
      </c>
    </row>
    <row r="4787" spans="3:10" x14ac:dyDescent="0.25">
      <c r="C4787" s="300" t="s">
        <v>1063</v>
      </c>
      <c r="D4787" s="283" t="s">
        <v>1077</v>
      </c>
      <c r="E4787" s="283" t="s">
        <v>1078</v>
      </c>
      <c r="F4787" s="283" t="s">
        <v>1076</v>
      </c>
      <c r="G4787" s="283">
        <v>2</v>
      </c>
      <c r="H4787" s="283">
        <v>0</v>
      </c>
      <c r="I4787" s="283">
        <v>0</v>
      </c>
      <c r="J4787" s="284">
        <v>0</v>
      </c>
    </row>
    <row r="4788" spans="3:10" x14ac:dyDescent="0.25">
      <c r="C4788" s="300" t="s">
        <v>1062</v>
      </c>
      <c r="D4788" s="283" t="s">
        <v>1087</v>
      </c>
      <c r="E4788" s="283" t="s">
        <v>1075</v>
      </c>
      <c r="F4788" s="283" t="s">
        <v>524</v>
      </c>
      <c r="G4788" s="283">
        <v>1</v>
      </c>
      <c r="H4788" s="283">
        <v>0</v>
      </c>
      <c r="I4788" s="283">
        <v>0</v>
      </c>
      <c r="J4788" s="284">
        <v>0</v>
      </c>
    </row>
    <row r="4789" spans="3:10" x14ac:dyDescent="0.25">
      <c r="C4789" s="300" t="s">
        <v>1065</v>
      </c>
      <c r="D4789" s="283" t="s">
        <v>1077</v>
      </c>
      <c r="E4789" s="283" t="s">
        <v>1075</v>
      </c>
      <c r="F4789" s="283" t="s">
        <v>1089</v>
      </c>
      <c r="G4789" s="283">
        <v>2</v>
      </c>
      <c r="H4789" s="283">
        <v>0</v>
      </c>
      <c r="I4789" s="283">
        <v>0</v>
      </c>
      <c r="J4789" s="284">
        <v>0</v>
      </c>
    </row>
    <row r="4790" spans="3:10" x14ac:dyDescent="0.25">
      <c r="C4790" s="300" t="s">
        <v>1063</v>
      </c>
      <c r="D4790" s="283" t="s">
        <v>1079</v>
      </c>
      <c r="E4790" s="283" t="s">
        <v>1075</v>
      </c>
      <c r="F4790" s="283" t="s">
        <v>1075</v>
      </c>
      <c r="G4790" s="283">
        <v>2</v>
      </c>
      <c r="H4790" s="283">
        <v>0</v>
      </c>
      <c r="I4790" s="283">
        <v>0</v>
      </c>
      <c r="J4790" s="284">
        <v>0</v>
      </c>
    </row>
    <row r="4791" spans="3:10" x14ac:dyDescent="0.25">
      <c r="C4791" s="300" t="s">
        <v>1061</v>
      </c>
      <c r="D4791" s="283" t="s">
        <v>1090</v>
      </c>
      <c r="E4791" s="283" t="s">
        <v>1083</v>
      </c>
      <c r="F4791" s="283" t="s">
        <v>524</v>
      </c>
      <c r="G4791" s="283">
        <v>1</v>
      </c>
      <c r="H4791" s="283">
        <v>0</v>
      </c>
      <c r="I4791" s="283">
        <v>0</v>
      </c>
      <c r="J4791" s="284">
        <v>0</v>
      </c>
    </row>
    <row r="4792" spans="3:10" x14ac:dyDescent="0.25">
      <c r="C4792" s="300" t="s">
        <v>1062</v>
      </c>
      <c r="D4792" s="283" t="s">
        <v>1077</v>
      </c>
      <c r="E4792" s="283" t="s">
        <v>1089</v>
      </c>
      <c r="F4792" s="283" t="s">
        <v>1078</v>
      </c>
      <c r="G4792" s="283">
        <v>2</v>
      </c>
      <c r="H4792" s="283">
        <v>0</v>
      </c>
      <c r="I4792" s="283">
        <v>0</v>
      </c>
      <c r="J4792" s="284">
        <v>0</v>
      </c>
    </row>
    <row r="4793" spans="3:10" x14ac:dyDescent="0.25">
      <c r="C4793" s="300" t="s">
        <v>1065</v>
      </c>
      <c r="D4793" s="283" t="s">
        <v>1090</v>
      </c>
      <c r="E4793" s="283" t="s">
        <v>1076</v>
      </c>
      <c r="F4793" s="283" t="s">
        <v>524</v>
      </c>
      <c r="G4793" s="283">
        <v>1</v>
      </c>
      <c r="H4793" s="283">
        <v>0</v>
      </c>
      <c r="I4793" s="283">
        <v>0</v>
      </c>
      <c r="J4793" s="284">
        <v>0</v>
      </c>
    </row>
    <row r="4794" spans="3:10" x14ac:dyDescent="0.25">
      <c r="C4794" s="300" t="s">
        <v>1067</v>
      </c>
      <c r="D4794" s="283" t="s">
        <v>1087</v>
      </c>
      <c r="E4794" s="283" t="s">
        <v>1075</v>
      </c>
      <c r="F4794" s="283" t="s">
        <v>524</v>
      </c>
      <c r="G4794" s="283">
        <v>1</v>
      </c>
      <c r="H4794" s="283">
        <v>0</v>
      </c>
      <c r="I4794" s="283">
        <v>0</v>
      </c>
      <c r="J4794" s="284">
        <v>0</v>
      </c>
    </row>
    <row r="4795" spans="3:10" x14ac:dyDescent="0.25">
      <c r="C4795" s="300" t="s">
        <v>1064</v>
      </c>
      <c r="D4795" s="283" t="s">
        <v>1074</v>
      </c>
      <c r="E4795" s="283" t="s">
        <v>1089</v>
      </c>
      <c r="F4795" s="283" t="s">
        <v>1075</v>
      </c>
      <c r="G4795" s="283">
        <v>2</v>
      </c>
      <c r="H4795" s="283">
        <v>0</v>
      </c>
      <c r="I4795" s="283">
        <v>0</v>
      </c>
      <c r="J4795" s="284">
        <v>0</v>
      </c>
    </row>
    <row r="4796" spans="3:10" x14ac:dyDescent="0.25">
      <c r="C4796" s="300" t="s">
        <v>1062</v>
      </c>
      <c r="D4796" s="283" t="s">
        <v>1079</v>
      </c>
      <c r="E4796" s="283" t="s">
        <v>1094</v>
      </c>
      <c r="F4796" s="283" t="s">
        <v>1080</v>
      </c>
      <c r="G4796" s="283">
        <v>2</v>
      </c>
      <c r="H4796" s="283">
        <v>0</v>
      </c>
      <c r="I4796" s="283">
        <v>0</v>
      </c>
      <c r="J4796" s="284">
        <v>0</v>
      </c>
    </row>
    <row r="4797" spans="3:10" x14ac:dyDescent="0.25">
      <c r="C4797" s="300" t="s">
        <v>1063</v>
      </c>
      <c r="D4797" s="283" t="s">
        <v>1043</v>
      </c>
      <c r="E4797" s="283" t="s">
        <v>1075</v>
      </c>
      <c r="F4797" s="283" t="s">
        <v>1092</v>
      </c>
      <c r="G4797" s="283">
        <v>2</v>
      </c>
      <c r="H4797" s="283">
        <v>0</v>
      </c>
      <c r="I4797" s="283">
        <v>0</v>
      </c>
      <c r="J4797" s="284">
        <v>2</v>
      </c>
    </row>
    <row r="4798" spans="3:10" x14ac:dyDescent="0.25">
      <c r="C4798" s="300" t="s">
        <v>1063</v>
      </c>
      <c r="D4798" s="283" t="s">
        <v>1079</v>
      </c>
      <c r="E4798" s="283" t="s">
        <v>1076</v>
      </c>
      <c r="F4798" s="283" t="s">
        <v>1093</v>
      </c>
      <c r="G4798" s="283">
        <v>2</v>
      </c>
      <c r="H4798" s="283">
        <v>0</v>
      </c>
      <c r="I4798" s="283">
        <v>0</v>
      </c>
      <c r="J4798" s="284">
        <v>1</v>
      </c>
    </row>
    <row r="4799" spans="3:10" x14ac:dyDescent="0.25">
      <c r="C4799" s="300" t="s">
        <v>1065</v>
      </c>
      <c r="D4799" s="283" t="s">
        <v>1087</v>
      </c>
      <c r="E4799" s="283" t="s">
        <v>1075</v>
      </c>
      <c r="F4799" s="283" t="s">
        <v>524</v>
      </c>
      <c r="G4799" s="283">
        <v>1</v>
      </c>
      <c r="H4799" s="283">
        <v>0</v>
      </c>
      <c r="I4799" s="283">
        <v>0</v>
      </c>
      <c r="J4799" s="284">
        <v>0</v>
      </c>
    </row>
    <row r="4800" spans="3:10" x14ac:dyDescent="0.25">
      <c r="C4800" s="300" t="s">
        <v>1063</v>
      </c>
      <c r="D4800" s="283" t="s">
        <v>1090</v>
      </c>
      <c r="E4800" s="283" t="s">
        <v>1089</v>
      </c>
      <c r="F4800" s="283" t="s">
        <v>524</v>
      </c>
      <c r="G4800" s="283">
        <v>1</v>
      </c>
      <c r="H4800" s="283">
        <v>0</v>
      </c>
      <c r="I4800" s="283">
        <v>0</v>
      </c>
      <c r="J4800" s="284">
        <v>0</v>
      </c>
    </row>
    <row r="4801" spans="3:10" x14ac:dyDescent="0.25">
      <c r="C4801" s="300" t="s">
        <v>1061</v>
      </c>
      <c r="D4801" s="283" t="s">
        <v>1079</v>
      </c>
      <c r="E4801" s="283" t="s">
        <v>1044</v>
      </c>
      <c r="F4801" s="283" t="s">
        <v>1075</v>
      </c>
      <c r="G4801" s="283">
        <v>2</v>
      </c>
      <c r="H4801" s="283">
        <v>0</v>
      </c>
      <c r="I4801" s="283">
        <v>0</v>
      </c>
      <c r="J4801" s="284">
        <v>1</v>
      </c>
    </row>
    <row r="4802" spans="3:10" x14ac:dyDescent="0.25">
      <c r="C4802" s="300" t="s">
        <v>1065</v>
      </c>
      <c r="D4802" s="283" t="s">
        <v>1074</v>
      </c>
      <c r="E4802" s="283" t="s">
        <v>1075</v>
      </c>
      <c r="F4802" s="283" t="s">
        <v>1083</v>
      </c>
      <c r="G4802" s="283">
        <v>2</v>
      </c>
      <c r="H4802" s="283">
        <v>0</v>
      </c>
      <c r="I4802" s="283">
        <v>0</v>
      </c>
      <c r="J4802" s="284">
        <v>1</v>
      </c>
    </row>
    <row r="4803" spans="3:10" x14ac:dyDescent="0.25">
      <c r="C4803" s="300" t="s">
        <v>1066</v>
      </c>
      <c r="D4803" s="283" t="s">
        <v>1074</v>
      </c>
      <c r="E4803" s="283" t="s">
        <v>1089</v>
      </c>
      <c r="F4803" s="283" t="s">
        <v>1075</v>
      </c>
      <c r="G4803" s="283">
        <v>2</v>
      </c>
      <c r="H4803" s="283">
        <v>0</v>
      </c>
      <c r="I4803" s="283">
        <v>0</v>
      </c>
      <c r="J4803" s="284">
        <v>1</v>
      </c>
    </row>
    <row r="4804" spans="3:10" x14ac:dyDescent="0.25">
      <c r="C4804" s="300" t="s">
        <v>1066</v>
      </c>
      <c r="D4804" s="283" t="s">
        <v>1079</v>
      </c>
      <c r="E4804" s="283" t="s">
        <v>1089</v>
      </c>
      <c r="F4804" s="283" t="s">
        <v>1075</v>
      </c>
      <c r="G4804" s="283">
        <v>2</v>
      </c>
      <c r="H4804" s="283">
        <v>0</v>
      </c>
      <c r="I4804" s="283">
        <v>0</v>
      </c>
      <c r="J4804" s="284">
        <v>0</v>
      </c>
    </row>
    <row r="4805" spans="3:10" x14ac:dyDescent="0.25">
      <c r="C4805" s="300" t="s">
        <v>1068</v>
      </c>
      <c r="D4805" s="283" t="s">
        <v>1074</v>
      </c>
      <c r="E4805" s="283" t="s">
        <v>1075</v>
      </c>
      <c r="F4805" s="283" t="s">
        <v>1075</v>
      </c>
      <c r="G4805" s="283">
        <v>2</v>
      </c>
      <c r="H4805" s="283">
        <v>0</v>
      </c>
      <c r="I4805" s="283">
        <v>0</v>
      </c>
      <c r="J4805" s="284">
        <v>1</v>
      </c>
    </row>
    <row r="4806" spans="3:10" x14ac:dyDescent="0.25">
      <c r="C4806" s="300" t="s">
        <v>1065</v>
      </c>
      <c r="D4806" s="283" t="s">
        <v>1079</v>
      </c>
      <c r="E4806" s="283" t="s">
        <v>1086</v>
      </c>
      <c r="F4806" s="283" t="s">
        <v>1075</v>
      </c>
      <c r="G4806" s="283">
        <v>2</v>
      </c>
      <c r="H4806" s="283">
        <v>0</v>
      </c>
      <c r="I4806" s="283">
        <v>0</v>
      </c>
      <c r="J4806" s="284">
        <v>0</v>
      </c>
    </row>
    <row r="4807" spans="3:10" x14ac:dyDescent="0.25">
      <c r="C4807" s="300" t="s">
        <v>1067</v>
      </c>
      <c r="D4807" s="283" t="s">
        <v>1077</v>
      </c>
      <c r="E4807" s="283" t="s">
        <v>1076</v>
      </c>
      <c r="F4807" s="283" t="s">
        <v>1076</v>
      </c>
      <c r="G4807" s="283">
        <v>2</v>
      </c>
      <c r="H4807" s="283">
        <v>0</v>
      </c>
      <c r="I4807" s="283">
        <v>0</v>
      </c>
      <c r="J4807" s="284">
        <v>1</v>
      </c>
    </row>
    <row r="4808" spans="3:10" x14ac:dyDescent="0.25">
      <c r="C4808" s="300" t="s">
        <v>1068</v>
      </c>
      <c r="D4808" s="283" t="s">
        <v>1079</v>
      </c>
      <c r="E4808" s="283" t="s">
        <v>1075</v>
      </c>
      <c r="F4808" s="283" t="s">
        <v>1075</v>
      </c>
      <c r="G4808" s="283">
        <v>2</v>
      </c>
      <c r="H4808" s="283">
        <v>0</v>
      </c>
      <c r="I4808" s="283">
        <v>0</v>
      </c>
      <c r="J4808" s="284">
        <v>0</v>
      </c>
    </row>
    <row r="4809" spans="3:10" x14ac:dyDescent="0.25">
      <c r="C4809" s="300" t="s">
        <v>1063</v>
      </c>
      <c r="D4809" s="283" t="s">
        <v>1074</v>
      </c>
      <c r="E4809" s="283" t="s">
        <v>1075</v>
      </c>
      <c r="F4809" s="283" t="s">
        <v>1044</v>
      </c>
      <c r="G4809" s="283">
        <v>2</v>
      </c>
      <c r="H4809" s="283">
        <v>0</v>
      </c>
      <c r="I4809" s="283">
        <v>0</v>
      </c>
      <c r="J4809" s="284">
        <v>0</v>
      </c>
    </row>
    <row r="4810" spans="3:10" x14ac:dyDescent="0.25">
      <c r="C4810" s="300" t="s">
        <v>1066</v>
      </c>
      <c r="D4810" s="283" t="s">
        <v>1079</v>
      </c>
      <c r="E4810" s="283" t="s">
        <v>1086</v>
      </c>
      <c r="F4810" s="283" t="s">
        <v>1075</v>
      </c>
      <c r="G4810" s="283">
        <v>2</v>
      </c>
      <c r="H4810" s="283">
        <v>0</v>
      </c>
      <c r="I4810" s="283">
        <v>0</v>
      </c>
      <c r="J4810" s="284">
        <v>0</v>
      </c>
    </row>
    <row r="4811" spans="3:10" x14ac:dyDescent="0.25">
      <c r="C4811" s="300" t="s">
        <v>1065</v>
      </c>
      <c r="D4811" s="283" t="s">
        <v>1090</v>
      </c>
      <c r="E4811" s="283" t="s">
        <v>1083</v>
      </c>
      <c r="F4811" s="283" t="s">
        <v>524</v>
      </c>
      <c r="G4811" s="283">
        <v>2</v>
      </c>
      <c r="H4811" s="283">
        <v>0</v>
      </c>
      <c r="I4811" s="283">
        <v>1</v>
      </c>
      <c r="J4811" s="284">
        <v>0</v>
      </c>
    </row>
    <row r="4812" spans="3:10" x14ac:dyDescent="0.25">
      <c r="C4812" s="300" t="s">
        <v>1065</v>
      </c>
      <c r="D4812" s="283" t="s">
        <v>1079</v>
      </c>
      <c r="E4812" s="283" t="s">
        <v>1075</v>
      </c>
      <c r="F4812" s="283" t="s">
        <v>1089</v>
      </c>
      <c r="G4812" s="283">
        <v>2</v>
      </c>
      <c r="H4812" s="283">
        <v>0</v>
      </c>
      <c r="I4812" s="283">
        <v>0</v>
      </c>
      <c r="J4812" s="284">
        <v>0</v>
      </c>
    </row>
    <row r="4813" spans="3:10" x14ac:dyDescent="0.25">
      <c r="C4813" s="300" t="s">
        <v>1063</v>
      </c>
      <c r="D4813" s="283" t="s">
        <v>1087</v>
      </c>
      <c r="E4813" s="283" t="s">
        <v>1075</v>
      </c>
      <c r="F4813" s="283" t="s">
        <v>524</v>
      </c>
      <c r="G4813" s="283">
        <v>1</v>
      </c>
      <c r="H4813" s="283">
        <v>0</v>
      </c>
      <c r="I4813" s="283">
        <v>0</v>
      </c>
      <c r="J4813" s="284">
        <v>0</v>
      </c>
    </row>
    <row r="4814" spans="3:10" x14ac:dyDescent="0.25">
      <c r="C4814" s="300" t="s">
        <v>1065</v>
      </c>
      <c r="D4814" s="283" t="s">
        <v>1074</v>
      </c>
      <c r="E4814" s="283" t="s">
        <v>1075</v>
      </c>
      <c r="F4814" s="283" t="s">
        <v>1075</v>
      </c>
      <c r="G4814" s="283">
        <v>2</v>
      </c>
      <c r="H4814" s="283">
        <v>0</v>
      </c>
      <c r="I4814" s="283">
        <v>1</v>
      </c>
      <c r="J4814" s="284">
        <v>0</v>
      </c>
    </row>
    <row r="4815" spans="3:10" x14ac:dyDescent="0.25">
      <c r="C4815" s="300" t="s">
        <v>1061</v>
      </c>
      <c r="D4815" s="283" t="s">
        <v>1079</v>
      </c>
      <c r="E4815" s="283" t="s">
        <v>1083</v>
      </c>
      <c r="F4815" s="283" t="s">
        <v>1075</v>
      </c>
      <c r="G4815" s="283">
        <v>2</v>
      </c>
      <c r="H4815" s="283">
        <v>0</v>
      </c>
      <c r="I4815" s="283">
        <v>0</v>
      </c>
      <c r="J4815" s="284">
        <v>1</v>
      </c>
    </row>
    <row r="4816" spans="3:10" x14ac:dyDescent="0.25">
      <c r="C4816" s="300" t="s">
        <v>1061</v>
      </c>
      <c r="D4816" s="283" t="s">
        <v>1043</v>
      </c>
      <c r="E4816" s="283" t="s">
        <v>1075</v>
      </c>
      <c r="F4816" s="283" t="s">
        <v>1092</v>
      </c>
      <c r="G4816" s="283">
        <v>2</v>
      </c>
      <c r="H4816" s="283">
        <v>0</v>
      </c>
      <c r="I4816" s="283">
        <v>0</v>
      </c>
      <c r="J4816" s="284">
        <v>0</v>
      </c>
    </row>
    <row r="4817" spans="3:10" x14ac:dyDescent="0.25">
      <c r="C4817" s="300" t="s">
        <v>1062</v>
      </c>
      <c r="D4817" s="283" t="s">
        <v>1043</v>
      </c>
      <c r="E4817" s="283" t="s">
        <v>1075</v>
      </c>
      <c r="F4817" s="283" t="s">
        <v>1092</v>
      </c>
      <c r="G4817" s="283">
        <v>2</v>
      </c>
      <c r="H4817" s="283">
        <v>0</v>
      </c>
      <c r="I4817" s="283">
        <v>0</v>
      </c>
      <c r="J4817" s="284">
        <v>0</v>
      </c>
    </row>
    <row r="4818" spans="3:10" x14ac:dyDescent="0.25">
      <c r="C4818" s="300" t="s">
        <v>1061</v>
      </c>
      <c r="D4818" s="283" t="s">
        <v>1087</v>
      </c>
      <c r="E4818" s="283" t="s">
        <v>1075</v>
      </c>
      <c r="F4818" s="283" t="s">
        <v>524</v>
      </c>
      <c r="G4818" s="283">
        <v>1</v>
      </c>
      <c r="H4818" s="283">
        <v>0</v>
      </c>
      <c r="I4818" s="283">
        <v>0</v>
      </c>
      <c r="J4818" s="284">
        <v>1</v>
      </c>
    </row>
    <row r="4819" spans="3:10" x14ac:dyDescent="0.25">
      <c r="C4819" s="300" t="s">
        <v>1064</v>
      </c>
      <c r="D4819" s="283" t="s">
        <v>1087</v>
      </c>
      <c r="E4819" s="283" t="s">
        <v>1078</v>
      </c>
      <c r="F4819" s="283" t="s">
        <v>524</v>
      </c>
      <c r="G4819" s="283">
        <v>1</v>
      </c>
      <c r="H4819" s="283">
        <v>0</v>
      </c>
      <c r="I4819" s="283">
        <v>1</v>
      </c>
      <c r="J4819" s="284">
        <v>0</v>
      </c>
    </row>
    <row r="4820" spans="3:10" x14ac:dyDescent="0.25">
      <c r="C4820" s="300" t="s">
        <v>1068</v>
      </c>
      <c r="D4820" s="283" t="s">
        <v>1074</v>
      </c>
      <c r="E4820" s="283" t="s">
        <v>1076</v>
      </c>
      <c r="F4820" s="283" t="s">
        <v>1089</v>
      </c>
      <c r="G4820" s="283">
        <v>2</v>
      </c>
      <c r="H4820" s="283">
        <v>0</v>
      </c>
      <c r="I4820" s="283">
        <v>0</v>
      </c>
      <c r="J4820" s="284">
        <v>2</v>
      </c>
    </row>
    <row r="4821" spans="3:10" x14ac:dyDescent="0.25">
      <c r="C4821" s="300" t="s">
        <v>1064</v>
      </c>
      <c r="D4821" s="283" t="s">
        <v>1079</v>
      </c>
      <c r="E4821" s="283" t="s">
        <v>1075</v>
      </c>
      <c r="F4821" s="283" t="s">
        <v>1076</v>
      </c>
      <c r="G4821" s="283">
        <v>3</v>
      </c>
      <c r="H4821" s="283">
        <v>0</v>
      </c>
      <c r="I4821" s="283">
        <v>0</v>
      </c>
      <c r="J4821" s="284">
        <v>0</v>
      </c>
    </row>
    <row r="4822" spans="3:10" x14ac:dyDescent="0.25">
      <c r="C4822" s="300" t="s">
        <v>1064</v>
      </c>
      <c r="D4822" s="283" t="s">
        <v>1079</v>
      </c>
      <c r="E4822" s="283" t="s">
        <v>1093</v>
      </c>
      <c r="F4822" s="283" t="s">
        <v>1078</v>
      </c>
      <c r="G4822" s="283">
        <v>2</v>
      </c>
      <c r="H4822" s="283">
        <v>0</v>
      </c>
      <c r="I4822" s="283">
        <v>0</v>
      </c>
      <c r="J4822" s="284">
        <v>0</v>
      </c>
    </row>
    <row r="4823" spans="3:10" x14ac:dyDescent="0.25">
      <c r="C4823" s="300" t="s">
        <v>1068</v>
      </c>
      <c r="D4823" s="283" t="s">
        <v>1087</v>
      </c>
      <c r="E4823" s="283" t="s">
        <v>1089</v>
      </c>
      <c r="F4823" s="283" t="s">
        <v>524</v>
      </c>
      <c r="G4823" s="283">
        <v>1</v>
      </c>
      <c r="H4823" s="283">
        <v>0</v>
      </c>
      <c r="I4823" s="283">
        <v>1</v>
      </c>
      <c r="J4823" s="284">
        <v>0</v>
      </c>
    </row>
    <row r="4824" spans="3:10" x14ac:dyDescent="0.25">
      <c r="C4824" s="300" t="s">
        <v>1064</v>
      </c>
      <c r="D4824" s="283" t="s">
        <v>1074</v>
      </c>
      <c r="E4824" s="283" t="s">
        <v>1076</v>
      </c>
      <c r="F4824" s="283" t="s">
        <v>1089</v>
      </c>
      <c r="G4824" s="283">
        <v>2</v>
      </c>
      <c r="H4824" s="283">
        <v>0</v>
      </c>
      <c r="I4824" s="283">
        <v>0</v>
      </c>
      <c r="J4824" s="284">
        <v>2</v>
      </c>
    </row>
    <row r="4825" spans="3:10" x14ac:dyDescent="0.25">
      <c r="C4825" s="300" t="s">
        <v>1064</v>
      </c>
      <c r="D4825" s="283" t="s">
        <v>1077</v>
      </c>
      <c r="E4825" s="283" t="s">
        <v>1075</v>
      </c>
      <c r="F4825" s="283" t="s">
        <v>1084</v>
      </c>
      <c r="G4825" s="283">
        <v>2</v>
      </c>
      <c r="H4825" s="283">
        <v>0</v>
      </c>
      <c r="I4825" s="283">
        <v>0</v>
      </c>
      <c r="J4825" s="284">
        <v>1</v>
      </c>
    </row>
    <row r="4826" spans="3:10" x14ac:dyDescent="0.25">
      <c r="C4826" s="300" t="s">
        <v>1060</v>
      </c>
      <c r="D4826" s="283" t="s">
        <v>1079</v>
      </c>
      <c r="E4826" s="283" t="s">
        <v>1075</v>
      </c>
      <c r="F4826" s="283" t="s">
        <v>1044</v>
      </c>
      <c r="G4826" s="283">
        <v>2</v>
      </c>
      <c r="H4826" s="283">
        <v>0</v>
      </c>
      <c r="I4826" s="283">
        <v>0</v>
      </c>
      <c r="J4826" s="284">
        <v>1</v>
      </c>
    </row>
    <row r="4827" spans="3:10" x14ac:dyDescent="0.25">
      <c r="C4827" s="300" t="s">
        <v>1067</v>
      </c>
      <c r="D4827" s="283" t="s">
        <v>1077</v>
      </c>
      <c r="E4827" s="283" t="s">
        <v>1076</v>
      </c>
      <c r="F4827" s="283" t="s">
        <v>1076</v>
      </c>
      <c r="G4827" s="283">
        <v>3</v>
      </c>
      <c r="H4827" s="283">
        <v>0</v>
      </c>
      <c r="I4827" s="283">
        <v>0</v>
      </c>
      <c r="J4827" s="284">
        <v>0</v>
      </c>
    </row>
    <row r="4828" spans="3:10" x14ac:dyDescent="0.25">
      <c r="C4828" s="300" t="s">
        <v>1063</v>
      </c>
      <c r="D4828" s="283" t="s">
        <v>1087</v>
      </c>
      <c r="E4828" s="283" t="s">
        <v>1093</v>
      </c>
      <c r="F4828" s="283" t="s">
        <v>524</v>
      </c>
      <c r="G4828" s="283">
        <v>1</v>
      </c>
      <c r="H4828" s="283">
        <v>0</v>
      </c>
      <c r="I4828" s="283">
        <v>0</v>
      </c>
      <c r="J4828" s="284">
        <v>0</v>
      </c>
    </row>
    <row r="4829" spans="3:10" x14ac:dyDescent="0.25">
      <c r="C4829" s="300" t="s">
        <v>1064</v>
      </c>
      <c r="D4829" s="283" t="s">
        <v>1087</v>
      </c>
      <c r="E4829" s="283" t="s">
        <v>1075</v>
      </c>
      <c r="F4829" s="283" t="s">
        <v>524</v>
      </c>
      <c r="G4829" s="283">
        <v>1</v>
      </c>
      <c r="H4829" s="283">
        <v>0</v>
      </c>
      <c r="I4829" s="283">
        <v>0</v>
      </c>
      <c r="J4829" s="284">
        <v>0</v>
      </c>
    </row>
    <row r="4830" spans="3:10" x14ac:dyDescent="0.25">
      <c r="C4830" s="300" t="s">
        <v>1057</v>
      </c>
      <c r="D4830" s="283" t="s">
        <v>1079</v>
      </c>
      <c r="E4830" s="283" t="s">
        <v>1075</v>
      </c>
      <c r="F4830" s="283" t="s">
        <v>1075</v>
      </c>
      <c r="G4830" s="283">
        <v>2</v>
      </c>
      <c r="H4830" s="283">
        <v>0</v>
      </c>
      <c r="I4830" s="283">
        <v>0</v>
      </c>
      <c r="J4830" s="284">
        <v>1</v>
      </c>
    </row>
    <row r="4831" spans="3:10" x14ac:dyDescent="0.25">
      <c r="C4831" s="300" t="s">
        <v>1060</v>
      </c>
      <c r="D4831" s="283" t="s">
        <v>1077</v>
      </c>
      <c r="E4831" s="283" t="s">
        <v>1075</v>
      </c>
      <c r="F4831" s="283" t="s">
        <v>1075</v>
      </c>
      <c r="G4831" s="283">
        <v>2</v>
      </c>
      <c r="H4831" s="283">
        <v>0</v>
      </c>
      <c r="I4831" s="283">
        <v>0</v>
      </c>
      <c r="J4831" s="284">
        <v>0</v>
      </c>
    </row>
    <row r="4832" spans="3:10" x14ac:dyDescent="0.25">
      <c r="C4832" s="300" t="s">
        <v>1063</v>
      </c>
      <c r="D4832" s="283" t="s">
        <v>1079</v>
      </c>
      <c r="E4832" s="283" t="s">
        <v>1084</v>
      </c>
      <c r="F4832" s="283" t="s">
        <v>1078</v>
      </c>
      <c r="G4832" s="283">
        <v>2</v>
      </c>
      <c r="H4832" s="283">
        <v>0</v>
      </c>
      <c r="I4832" s="283">
        <v>0</v>
      </c>
      <c r="J4832" s="284">
        <v>0</v>
      </c>
    </row>
    <row r="4833" spans="3:10" x14ac:dyDescent="0.25">
      <c r="C4833" s="300" t="s">
        <v>1059</v>
      </c>
      <c r="D4833" s="283" t="s">
        <v>1077</v>
      </c>
      <c r="E4833" s="283" t="s">
        <v>1075</v>
      </c>
      <c r="F4833" s="283" t="s">
        <v>1078</v>
      </c>
      <c r="G4833" s="283">
        <v>2</v>
      </c>
      <c r="H4833" s="283">
        <v>0</v>
      </c>
      <c r="I4833" s="283">
        <v>0</v>
      </c>
      <c r="J4833" s="284">
        <v>0</v>
      </c>
    </row>
    <row r="4834" spans="3:10" x14ac:dyDescent="0.25">
      <c r="C4834" s="300" t="s">
        <v>1065</v>
      </c>
      <c r="D4834" s="283" t="s">
        <v>1077</v>
      </c>
      <c r="E4834" s="283" t="s">
        <v>1078</v>
      </c>
      <c r="F4834" s="283" t="s">
        <v>1081</v>
      </c>
      <c r="G4834" s="283">
        <v>2</v>
      </c>
      <c r="H4834" s="283">
        <v>0</v>
      </c>
      <c r="I4834" s="283">
        <v>0</v>
      </c>
      <c r="J4834" s="284">
        <v>0</v>
      </c>
    </row>
    <row r="4835" spans="3:10" x14ac:dyDescent="0.25">
      <c r="C4835" s="300" t="s">
        <v>1064</v>
      </c>
      <c r="D4835" s="283" t="s">
        <v>1077</v>
      </c>
      <c r="E4835" s="283" t="s">
        <v>1089</v>
      </c>
      <c r="F4835" s="283" t="s">
        <v>1078</v>
      </c>
      <c r="G4835" s="283">
        <v>2</v>
      </c>
      <c r="H4835" s="283">
        <v>0</v>
      </c>
      <c r="I4835" s="283">
        <v>0</v>
      </c>
      <c r="J4835" s="284">
        <v>0</v>
      </c>
    </row>
    <row r="4836" spans="3:10" x14ac:dyDescent="0.25">
      <c r="C4836" s="300" t="s">
        <v>1064</v>
      </c>
      <c r="D4836" s="283" t="s">
        <v>1079</v>
      </c>
      <c r="E4836" s="283" t="s">
        <v>1075</v>
      </c>
      <c r="F4836" s="283" t="s">
        <v>1075</v>
      </c>
      <c r="G4836" s="283">
        <v>2</v>
      </c>
      <c r="H4836" s="283">
        <v>0</v>
      </c>
      <c r="I4836" s="283">
        <v>0</v>
      </c>
      <c r="J4836" s="284">
        <v>0</v>
      </c>
    </row>
    <row r="4837" spans="3:10" x14ac:dyDescent="0.25">
      <c r="C4837" s="300" t="s">
        <v>1067</v>
      </c>
      <c r="D4837" s="283" t="s">
        <v>1077</v>
      </c>
      <c r="E4837" s="283" t="s">
        <v>1089</v>
      </c>
      <c r="F4837" s="283" t="s">
        <v>1075</v>
      </c>
      <c r="G4837" s="283">
        <v>2</v>
      </c>
      <c r="H4837" s="283">
        <v>0</v>
      </c>
      <c r="I4837" s="283">
        <v>0</v>
      </c>
      <c r="J4837" s="284">
        <v>0</v>
      </c>
    </row>
    <row r="4838" spans="3:10" x14ac:dyDescent="0.25">
      <c r="C4838" s="300" t="s">
        <v>1064</v>
      </c>
      <c r="D4838" s="283" t="s">
        <v>1077</v>
      </c>
      <c r="E4838" s="283" t="s">
        <v>1084</v>
      </c>
      <c r="F4838" s="283" t="s">
        <v>1075</v>
      </c>
      <c r="G4838" s="283">
        <v>2</v>
      </c>
      <c r="H4838" s="283">
        <v>0</v>
      </c>
      <c r="I4838" s="283">
        <v>0</v>
      </c>
      <c r="J4838" s="284">
        <v>0</v>
      </c>
    </row>
    <row r="4839" spans="3:10" x14ac:dyDescent="0.25">
      <c r="C4839" s="300" t="s">
        <v>1066</v>
      </c>
      <c r="D4839" s="283" t="s">
        <v>1090</v>
      </c>
      <c r="E4839" s="283" t="s">
        <v>1093</v>
      </c>
      <c r="F4839" s="283" t="s">
        <v>524</v>
      </c>
      <c r="G4839" s="283">
        <v>1</v>
      </c>
      <c r="H4839" s="283">
        <v>0</v>
      </c>
      <c r="I4839" s="283">
        <v>0</v>
      </c>
      <c r="J4839" s="284">
        <v>0</v>
      </c>
    </row>
    <row r="4840" spans="3:10" x14ac:dyDescent="0.25">
      <c r="C4840" s="300" t="s">
        <v>1063</v>
      </c>
      <c r="D4840" s="283" t="s">
        <v>1074</v>
      </c>
      <c r="E4840" s="283" t="s">
        <v>1075</v>
      </c>
      <c r="F4840" s="283" t="s">
        <v>1075</v>
      </c>
      <c r="G4840" s="283">
        <v>2</v>
      </c>
      <c r="H4840" s="283">
        <v>0</v>
      </c>
      <c r="I4840" s="283">
        <v>0</v>
      </c>
      <c r="J4840" s="284">
        <v>0</v>
      </c>
    </row>
    <row r="4841" spans="3:10" x14ac:dyDescent="0.25">
      <c r="C4841" s="300" t="s">
        <v>1065</v>
      </c>
      <c r="D4841" s="283" t="s">
        <v>1079</v>
      </c>
      <c r="E4841" s="283" t="s">
        <v>1075</v>
      </c>
      <c r="F4841" s="283" t="s">
        <v>1089</v>
      </c>
      <c r="G4841" s="283">
        <v>2</v>
      </c>
      <c r="H4841" s="283">
        <v>0</v>
      </c>
      <c r="I4841" s="283">
        <v>0</v>
      </c>
      <c r="J4841" s="284">
        <v>0</v>
      </c>
    </row>
    <row r="4842" spans="3:10" x14ac:dyDescent="0.25">
      <c r="C4842" s="300" t="s">
        <v>1065</v>
      </c>
      <c r="D4842" s="283" t="s">
        <v>1074</v>
      </c>
      <c r="E4842" s="283" t="s">
        <v>1075</v>
      </c>
      <c r="F4842" s="283" t="s">
        <v>1089</v>
      </c>
      <c r="G4842" s="283">
        <v>2</v>
      </c>
      <c r="H4842" s="283">
        <v>0</v>
      </c>
      <c r="I4842" s="283">
        <v>0</v>
      </c>
      <c r="J4842" s="284">
        <v>0</v>
      </c>
    </row>
    <row r="4843" spans="3:10" x14ac:dyDescent="0.25">
      <c r="C4843" s="300" t="s">
        <v>1065</v>
      </c>
      <c r="D4843" s="283" t="s">
        <v>1074</v>
      </c>
      <c r="E4843" s="283" t="s">
        <v>1075</v>
      </c>
      <c r="F4843" s="283" t="s">
        <v>1089</v>
      </c>
      <c r="G4843" s="283">
        <v>2</v>
      </c>
      <c r="H4843" s="283">
        <v>0</v>
      </c>
      <c r="I4843" s="283">
        <v>0</v>
      </c>
      <c r="J4843" s="284">
        <v>0</v>
      </c>
    </row>
    <row r="4844" spans="3:10" x14ac:dyDescent="0.25">
      <c r="C4844" s="300" t="s">
        <v>1065</v>
      </c>
      <c r="D4844" s="283" t="s">
        <v>1090</v>
      </c>
      <c r="E4844" s="283" t="s">
        <v>1075</v>
      </c>
      <c r="F4844" s="283" t="s">
        <v>524</v>
      </c>
      <c r="G4844" s="283">
        <v>1</v>
      </c>
      <c r="H4844" s="283">
        <v>0</v>
      </c>
      <c r="I4844" s="283">
        <v>0</v>
      </c>
      <c r="J4844" s="284">
        <v>1</v>
      </c>
    </row>
    <row r="4845" spans="3:10" x14ac:dyDescent="0.25">
      <c r="C4845" s="300" t="s">
        <v>1065</v>
      </c>
      <c r="D4845" s="283" t="s">
        <v>1082</v>
      </c>
      <c r="E4845" s="283" t="s">
        <v>1075</v>
      </c>
      <c r="F4845" s="283" t="s">
        <v>1089</v>
      </c>
      <c r="G4845" s="283">
        <v>3</v>
      </c>
      <c r="H4845" s="283">
        <v>0</v>
      </c>
      <c r="I4845" s="283">
        <v>0</v>
      </c>
      <c r="J4845" s="284">
        <v>0</v>
      </c>
    </row>
    <row r="4846" spans="3:10" x14ac:dyDescent="0.25">
      <c r="C4846" s="300" t="s">
        <v>1064</v>
      </c>
      <c r="D4846" s="283" t="s">
        <v>1087</v>
      </c>
      <c r="E4846" s="283" t="s">
        <v>1075</v>
      </c>
      <c r="F4846" s="283" t="s">
        <v>524</v>
      </c>
      <c r="G4846" s="283">
        <v>1</v>
      </c>
      <c r="H4846" s="283">
        <v>0</v>
      </c>
      <c r="I4846" s="283">
        <v>1</v>
      </c>
      <c r="J4846" s="284">
        <v>0</v>
      </c>
    </row>
    <row r="4847" spans="3:10" x14ac:dyDescent="0.25">
      <c r="C4847" s="300" t="s">
        <v>1063</v>
      </c>
      <c r="D4847" s="283" t="s">
        <v>1079</v>
      </c>
      <c r="E4847" s="283" t="s">
        <v>1089</v>
      </c>
      <c r="F4847" s="283" t="s">
        <v>1075</v>
      </c>
      <c r="G4847" s="283">
        <v>2</v>
      </c>
      <c r="H4847" s="283">
        <v>0</v>
      </c>
      <c r="I4847" s="283">
        <v>0</v>
      </c>
      <c r="J4847" s="284">
        <v>1</v>
      </c>
    </row>
    <row r="4848" spans="3:10" x14ac:dyDescent="0.25">
      <c r="C4848" s="300" t="s">
        <v>1061</v>
      </c>
      <c r="D4848" s="283" t="s">
        <v>1043</v>
      </c>
      <c r="E4848" s="283" t="s">
        <v>1086</v>
      </c>
      <c r="F4848" s="283" t="s">
        <v>1092</v>
      </c>
      <c r="G4848" s="283">
        <v>2</v>
      </c>
      <c r="H4848" s="283">
        <v>0</v>
      </c>
      <c r="I4848" s="283">
        <v>0</v>
      </c>
      <c r="J4848" s="284">
        <v>1</v>
      </c>
    </row>
    <row r="4849" spans="3:10" x14ac:dyDescent="0.25">
      <c r="C4849" s="300" t="s">
        <v>1068</v>
      </c>
      <c r="D4849" s="283" t="s">
        <v>1090</v>
      </c>
      <c r="E4849" s="283" t="s">
        <v>1078</v>
      </c>
      <c r="F4849" s="283" t="s">
        <v>524</v>
      </c>
      <c r="G4849" s="283">
        <v>1</v>
      </c>
      <c r="H4849" s="283">
        <v>0</v>
      </c>
      <c r="I4849" s="283">
        <v>0</v>
      </c>
      <c r="J4849" s="284">
        <v>0</v>
      </c>
    </row>
    <row r="4850" spans="3:10" x14ac:dyDescent="0.25">
      <c r="C4850" s="300" t="s">
        <v>1068</v>
      </c>
      <c r="D4850" s="283" t="s">
        <v>1087</v>
      </c>
      <c r="E4850" s="283" t="s">
        <v>1089</v>
      </c>
      <c r="F4850" s="283" t="s">
        <v>524</v>
      </c>
      <c r="G4850" s="283">
        <v>1</v>
      </c>
      <c r="H4850" s="283">
        <v>0</v>
      </c>
      <c r="I4850" s="283">
        <v>0</v>
      </c>
      <c r="J4850" s="284">
        <v>0</v>
      </c>
    </row>
    <row r="4851" spans="3:10" x14ac:dyDescent="0.25">
      <c r="C4851" s="300" t="s">
        <v>1062</v>
      </c>
      <c r="D4851" s="283" t="s">
        <v>1079</v>
      </c>
      <c r="E4851" s="283" t="s">
        <v>1075</v>
      </c>
      <c r="F4851" s="283" t="s">
        <v>1075</v>
      </c>
      <c r="G4851" s="283">
        <v>2</v>
      </c>
      <c r="H4851" s="283">
        <v>0</v>
      </c>
      <c r="I4851" s="283">
        <v>0</v>
      </c>
      <c r="J4851" s="284">
        <v>0</v>
      </c>
    </row>
    <row r="4852" spans="3:10" x14ac:dyDescent="0.25">
      <c r="C4852" s="300" t="s">
        <v>1060</v>
      </c>
      <c r="D4852" s="283" t="s">
        <v>1087</v>
      </c>
      <c r="E4852" s="283" t="s">
        <v>1089</v>
      </c>
      <c r="F4852" s="283" t="s">
        <v>524</v>
      </c>
      <c r="G4852" s="283">
        <v>1</v>
      </c>
      <c r="H4852" s="283">
        <v>0</v>
      </c>
      <c r="I4852" s="283">
        <v>0</v>
      </c>
      <c r="J4852" s="284">
        <v>1</v>
      </c>
    </row>
    <row r="4853" spans="3:10" x14ac:dyDescent="0.25">
      <c r="C4853" s="300" t="s">
        <v>1058</v>
      </c>
      <c r="D4853" s="283" t="s">
        <v>1074</v>
      </c>
      <c r="E4853" s="283" t="s">
        <v>1084</v>
      </c>
      <c r="F4853" s="283" t="s">
        <v>1089</v>
      </c>
      <c r="G4853" s="283">
        <v>2</v>
      </c>
      <c r="H4853" s="283">
        <v>0</v>
      </c>
      <c r="I4853" s="283">
        <v>1</v>
      </c>
      <c r="J4853" s="284">
        <v>2</v>
      </c>
    </row>
    <row r="4854" spans="3:10" x14ac:dyDescent="0.25">
      <c r="C4854" s="300" t="s">
        <v>1064</v>
      </c>
      <c r="D4854" s="283" t="s">
        <v>1043</v>
      </c>
      <c r="E4854" s="283" t="s">
        <v>1076</v>
      </c>
      <c r="F4854" s="283" t="s">
        <v>1092</v>
      </c>
      <c r="G4854" s="283">
        <v>2</v>
      </c>
      <c r="H4854" s="283">
        <v>0</v>
      </c>
      <c r="I4854" s="283">
        <v>1</v>
      </c>
      <c r="J4854" s="284">
        <v>0</v>
      </c>
    </row>
    <row r="4855" spans="3:10" x14ac:dyDescent="0.25">
      <c r="C4855" s="300" t="s">
        <v>1063</v>
      </c>
      <c r="D4855" s="283" t="s">
        <v>1074</v>
      </c>
      <c r="E4855" s="283" t="s">
        <v>1089</v>
      </c>
      <c r="F4855" s="283" t="s">
        <v>1075</v>
      </c>
      <c r="G4855" s="283">
        <v>2</v>
      </c>
      <c r="H4855" s="283">
        <v>0</v>
      </c>
      <c r="I4855" s="283">
        <v>0</v>
      </c>
      <c r="J4855" s="284">
        <v>1</v>
      </c>
    </row>
    <row r="4856" spans="3:10" x14ac:dyDescent="0.25">
      <c r="C4856" s="300" t="s">
        <v>1057</v>
      </c>
      <c r="D4856" s="283" t="s">
        <v>1074</v>
      </c>
      <c r="E4856" s="283" t="s">
        <v>1075</v>
      </c>
      <c r="F4856" s="283" t="s">
        <v>1081</v>
      </c>
      <c r="G4856" s="283">
        <v>2</v>
      </c>
      <c r="H4856" s="283">
        <v>0</v>
      </c>
      <c r="I4856" s="283">
        <v>0</v>
      </c>
      <c r="J4856" s="284">
        <v>1</v>
      </c>
    </row>
    <row r="4857" spans="3:10" x14ac:dyDescent="0.25">
      <c r="C4857" s="300" t="s">
        <v>1068</v>
      </c>
      <c r="D4857" s="283" t="s">
        <v>1087</v>
      </c>
      <c r="E4857" s="283" t="s">
        <v>1075</v>
      </c>
      <c r="F4857" s="283" t="s">
        <v>524</v>
      </c>
      <c r="G4857" s="283">
        <v>1</v>
      </c>
      <c r="H4857" s="283">
        <v>0</v>
      </c>
      <c r="I4857" s="283">
        <v>0</v>
      </c>
      <c r="J4857" s="284">
        <v>1</v>
      </c>
    </row>
    <row r="4858" spans="3:10" x14ac:dyDescent="0.25">
      <c r="C4858" s="300" t="s">
        <v>1066</v>
      </c>
      <c r="D4858" s="283" t="s">
        <v>1043</v>
      </c>
      <c r="E4858" s="283" t="s">
        <v>1075</v>
      </c>
      <c r="F4858" s="283" t="s">
        <v>1092</v>
      </c>
      <c r="G4858" s="283">
        <v>2</v>
      </c>
      <c r="H4858" s="283">
        <v>0</v>
      </c>
      <c r="I4858" s="283">
        <v>0</v>
      </c>
      <c r="J4858" s="284">
        <v>1</v>
      </c>
    </row>
    <row r="4859" spans="3:10" x14ac:dyDescent="0.25">
      <c r="C4859" s="300" t="s">
        <v>1062</v>
      </c>
      <c r="D4859" s="283" t="s">
        <v>1096</v>
      </c>
      <c r="E4859" s="283" t="s">
        <v>1083</v>
      </c>
      <c r="F4859" s="283" t="s">
        <v>524</v>
      </c>
      <c r="G4859" s="283">
        <v>1</v>
      </c>
      <c r="H4859" s="283">
        <v>0</v>
      </c>
      <c r="I4859" s="283">
        <v>1</v>
      </c>
      <c r="J4859" s="284">
        <v>0</v>
      </c>
    </row>
    <row r="4860" spans="3:10" x14ac:dyDescent="0.25">
      <c r="C4860" s="300" t="s">
        <v>1065</v>
      </c>
      <c r="D4860" s="283" t="s">
        <v>1077</v>
      </c>
      <c r="E4860" s="283" t="s">
        <v>1089</v>
      </c>
      <c r="F4860" s="283" t="s">
        <v>1075</v>
      </c>
      <c r="G4860" s="283">
        <v>2</v>
      </c>
      <c r="H4860" s="283">
        <v>0</v>
      </c>
      <c r="I4860" s="283">
        <v>0</v>
      </c>
      <c r="J4860" s="284">
        <v>0</v>
      </c>
    </row>
    <row r="4861" spans="3:10" x14ac:dyDescent="0.25">
      <c r="C4861" s="300" t="s">
        <v>1061</v>
      </c>
      <c r="D4861" s="283" t="s">
        <v>1074</v>
      </c>
      <c r="E4861" s="283" t="s">
        <v>1076</v>
      </c>
      <c r="F4861" s="283" t="s">
        <v>1089</v>
      </c>
      <c r="G4861" s="283">
        <v>2</v>
      </c>
      <c r="H4861" s="283">
        <v>0</v>
      </c>
      <c r="I4861" s="283">
        <v>0</v>
      </c>
      <c r="J4861" s="284">
        <v>0</v>
      </c>
    </row>
    <row r="4862" spans="3:10" x14ac:dyDescent="0.25">
      <c r="C4862" s="300" t="s">
        <v>1062</v>
      </c>
      <c r="D4862" s="283" t="s">
        <v>1077</v>
      </c>
      <c r="E4862" s="283" t="s">
        <v>1075</v>
      </c>
      <c r="F4862" s="283" t="s">
        <v>1075</v>
      </c>
      <c r="G4862" s="283">
        <v>2</v>
      </c>
      <c r="H4862" s="283">
        <v>0</v>
      </c>
      <c r="I4862" s="283">
        <v>0</v>
      </c>
      <c r="J4862" s="284">
        <v>0</v>
      </c>
    </row>
    <row r="4863" spans="3:10" x14ac:dyDescent="0.25">
      <c r="C4863" s="300" t="s">
        <v>1059</v>
      </c>
      <c r="D4863" s="283" t="s">
        <v>1077</v>
      </c>
      <c r="E4863" s="283" t="s">
        <v>1075</v>
      </c>
      <c r="F4863" s="283" t="s">
        <v>1075</v>
      </c>
      <c r="G4863" s="283">
        <v>2</v>
      </c>
      <c r="H4863" s="283">
        <v>0</v>
      </c>
      <c r="I4863" s="283">
        <v>0</v>
      </c>
      <c r="J4863" s="284">
        <v>0</v>
      </c>
    </row>
    <row r="4864" spans="3:10" x14ac:dyDescent="0.25">
      <c r="C4864" s="300" t="s">
        <v>1066</v>
      </c>
      <c r="D4864" s="283" t="s">
        <v>1090</v>
      </c>
      <c r="E4864" s="283" t="s">
        <v>1075</v>
      </c>
      <c r="F4864" s="283" t="s">
        <v>524</v>
      </c>
      <c r="G4864" s="283">
        <v>1</v>
      </c>
      <c r="H4864" s="283">
        <v>0</v>
      </c>
      <c r="I4864" s="283">
        <v>0</v>
      </c>
      <c r="J4864" s="284">
        <v>0</v>
      </c>
    </row>
    <row r="4865" spans="3:10" x14ac:dyDescent="0.25">
      <c r="C4865" s="300" t="s">
        <v>1062</v>
      </c>
      <c r="D4865" s="283" t="s">
        <v>1079</v>
      </c>
      <c r="E4865" s="283" t="s">
        <v>1081</v>
      </c>
      <c r="F4865" s="283" t="s">
        <v>1080</v>
      </c>
      <c r="G4865" s="283">
        <v>2</v>
      </c>
      <c r="H4865" s="283">
        <v>0</v>
      </c>
      <c r="I4865" s="283">
        <v>0</v>
      </c>
      <c r="J4865" s="284">
        <v>1</v>
      </c>
    </row>
    <row r="4866" spans="3:10" x14ac:dyDescent="0.25">
      <c r="C4866" s="300" t="s">
        <v>1065</v>
      </c>
      <c r="D4866" s="283" t="s">
        <v>1077</v>
      </c>
      <c r="E4866" s="283" t="s">
        <v>1075</v>
      </c>
      <c r="F4866" s="283" t="s">
        <v>1075</v>
      </c>
      <c r="G4866" s="283">
        <v>2</v>
      </c>
      <c r="H4866" s="283">
        <v>0</v>
      </c>
      <c r="I4866" s="283">
        <v>0</v>
      </c>
      <c r="J4866" s="284">
        <v>0</v>
      </c>
    </row>
    <row r="4867" spans="3:10" x14ac:dyDescent="0.25">
      <c r="C4867" s="300" t="s">
        <v>1062</v>
      </c>
      <c r="D4867" s="283" t="s">
        <v>1077</v>
      </c>
      <c r="E4867" s="283" t="s">
        <v>1076</v>
      </c>
      <c r="F4867" s="283" t="s">
        <v>1076</v>
      </c>
      <c r="G4867" s="283">
        <v>2</v>
      </c>
      <c r="H4867" s="283">
        <v>0</v>
      </c>
      <c r="I4867" s="283">
        <v>1</v>
      </c>
      <c r="J4867" s="284">
        <v>0</v>
      </c>
    </row>
    <row r="4868" spans="3:10" x14ac:dyDescent="0.25">
      <c r="C4868" s="300" t="s">
        <v>1061</v>
      </c>
      <c r="D4868" s="283" t="s">
        <v>1079</v>
      </c>
      <c r="E4868" s="283" t="s">
        <v>1075</v>
      </c>
      <c r="F4868" s="283" t="s">
        <v>1044</v>
      </c>
      <c r="G4868" s="283">
        <v>2</v>
      </c>
      <c r="H4868" s="283">
        <v>0</v>
      </c>
      <c r="I4868" s="283">
        <v>0</v>
      </c>
      <c r="J4868" s="284">
        <v>1</v>
      </c>
    </row>
    <row r="4869" spans="3:10" x14ac:dyDescent="0.25">
      <c r="C4869" s="300" t="s">
        <v>1067</v>
      </c>
      <c r="D4869" s="283" t="s">
        <v>1074</v>
      </c>
      <c r="E4869" s="283" t="s">
        <v>1075</v>
      </c>
      <c r="F4869" s="283" t="s">
        <v>1075</v>
      </c>
      <c r="G4869" s="283">
        <v>2</v>
      </c>
      <c r="H4869" s="283">
        <v>0</v>
      </c>
      <c r="I4869" s="283">
        <v>0</v>
      </c>
      <c r="J4869" s="284">
        <v>0</v>
      </c>
    </row>
    <row r="4870" spans="3:10" x14ac:dyDescent="0.25">
      <c r="C4870" s="300" t="s">
        <v>1067</v>
      </c>
      <c r="D4870" s="283" t="s">
        <v>1079</v>
      </c>
      <c r="E4870" s="283" t="s">
        <v>1076</v>
      </c>
      <c r="F4870" s="283" t="s">
        <v>1093</v>
      </c>
      <c r="G4870" s="283">
        <v>2</v>
      </c>
      <c r="H4870" s="283">
        <v>0</v>
      </c>
      <c r="I4870" s="283">
        <v>1</v>
      </c>
      <c r="J4870" s="284">
        <v>0</v>
      </c>
    </row>
    <row r="4871" spans="3:10" x14ac:dyDescent="0.25">
      <c r="C4871" s="300" t="s">
        <v>1064</v>
      </c>
      <c r="D4871" s="283" t="s">
        <v>1079</v>
      </c>
      <c r="E4871" s="283" t="s">
        <v>1083</v>
      </c>
      <c r="F4871" s="283" t="s">
        <v>1075</v>
      </c>
      <c r="G4871" s="283">
        <v>2</v>
      </c>
      <c r="H4871" s="283">
        <v>0</v>
      </c>
      <c r="I4871" s="283">
        <v>0</v>
      </c>
      <c r="J4871" s="284">
        <v>0</v>
      </c>
    </row>
    <row r="4872" spans="3:10" x14ac:dyDescent="0.25">
      <c r="C4872" s="300" t="s">
        <v>1064</v>
      </c>
      <c r="D4872" s="283" t="s">
        <v>1077</v>
      </c>
      <c r="E4872" s="283" t="s">
        <v>1080</v>
      </c>
      <c r="F4872" s="283" t="s">
        <v>1075</v>
      </c>
      <c r="G4872" s="283">
        <v>4</v>
      </c>
      <c r="H4872" s="283">
        <v>0</v>
      </c>
      <c r="I4872" s="283">
        <v>0</v>
      </c>
      <c r="J4872" s="284">
        <v>0</v>
      </c>
    </row>
    <row r="4873" spans="3:10" x14ac:dyDescent="0.25">
      <c r="C4873" s="300" t="s">
        <v>1066</v>
      </c>
      <c r="D4873" s="283" t="s">
        <v>1074</v>
      </c>
      <c r="E4873" s="283" t="s">
        <v>1078</v>
      </c>
      <c r="F4873" s="283" t="s">
        <v>1075</v>
      </c>
      <c r="G4873" s="283">
        <v>2</v>
      </c>
      <c r="H4873" s="283">
        <v>0</v>
      </c>
      <c r="I4873" s="283">
        <v>0</v>
      </c>
      <c r="J4873" s="284">
        <v>0</v>
      </c>
    </row>
    <row r="4874" spans="3:10" x14ac:dyDescent="0.25">
      <c r="C4874" s="300" t="s">
        <v>1067</v>
      </c>
      <c r="D4874" s="283" t="s">
        <v>1079</v>
      </c>
      <c r="E4874" s="283" t="s">
        <v>1084</v>
      </c>
      <c r="F4874" s="283" t="s">
        <v>1075</v>
      </c>
      <c r="G4874" s="283">
        <v>2</v>
      </c>
      <c r="H4874" s="283">
        <v>0</v>
      </c>
      <c r="I4874" s="283">
        <v>1</v>
      </c>
      <c r="J4874" s="284">
        <v>1</v>
      </c>
    </row>
    <row r="4875" spans="3:10" x14ac:dyDescent="0.25">
      <c r="C4875" s="300" t="s">
        <v>1062</v>
      </c>
      <c r="D4875" s="283" t="s">
        <v>1074</v>
      </c>
      <c r="E4875" s="283" t="s">
        <v>1102</v>
      </c>
      <c r="F4875" s="283" t="s">
        <v>1076</v>
      </c>
      <c r="G4875" s="283">
        <v>2</v>
      </c>
      <c r="H4875" s="283">
        <v>1</v>
      </c>
      <c r="I4875" s="283">
        <v>0</v>
      </c>
      <c r="J4875" s="284">
        <v>0</v>
      </c>
    </row>
    <row r="4876" spans="3:10" x14ac:dyDescent="0.25">
      <c r="C4876" s="300" t="s">
        <v>1064</v>
      </c>
      <c r="D4876" s="283" t="s">
        <v>1087</v>
      </c>
      <c r="E4876" s="283" t="s">
        <v>1075</v>
      </c>
      <c r="F4876" s="283" t="s">
        <v>524</v>
      </c>
      <c r="G4876" s="283">
        <v>1</v>
      </c>
      <c r="H4876" s="283">
        <v>0</v>
      </c>
      <c r="I4876" s="283">
        <v>0</v>
      </c>
      <c r="J4876" s="284">
        <v>1</v>
      </c>
    </row>
    <row r="4877" spans="3:10" x14ac:dyDescent="0.25">
      <c r="C4877" s="300" t="s">
        <v>1059</v>
      </c>
      <c r="D4877" s="283" t="s">
        <v>1087</v>
      </c>
      <c r="E4877" s="283" t="s">
        <v>1084</v>
      </c>
      <c r="F4877" s="283" t="s">
        <v>524</v>
      </c>
      <c r="G4877" s="283">
        <v>1</v>
      </c>
      <c r="H4877" s="283">
        <v>0</v>
      </c>
      <c r="I4877" s="283">
        <v>0</v>
      </c>
      <c r="J4877" s="284">
        <v>1</v>
      </c>
    </row>
    <row r="4878" spans="3:10" x14ac:dyDescent="0.25">
      <c r="C4878" s="300" t="s">
        <v>1065</v>
      </c>
      <c r="D4878" s="283" t="s">
        <v>1074</v>
      </c>
      <c r="E4878" s="283" t="s">
        <v>1089</v>
      </c>
      <c r="F4878" s="283" t="s">
        <v>1044</v>
      </c>
      <c r="G4878" s="283">
        <v>2</v>
      </c>
      <c r="H4878" s="283">
        <v>0</v>
      </c>
      <c r="I4878" s="283">
        <v>0</v>
      </c>
      <c r="J4878" s="284">
        <v>1</v>
      </c>
    </row>
    <row r="4879" spans="3:10" x14ac:dyDescent="0.25">
      <c r="C4879" s="300" t="s">
        <v>1063</v>
      </c>
      <c r="D4879" s="283" t="s">
        <v>1087</v>
      </c>
      <c r="E4879" s="283" t="s">
        <v>1075</v>
      </c>
      <c r="F4879" s="283" t="s">
        <v>524</v>
      </c>
      <c r="G4879" s="283">
        <v>1</v>
      </c>
      <c r="H4879" s="283">
        <v>0</v>
      </c>
      <c r="I4879" s="283">
        <v>1</v>
      </c>
      <c r="J4879" s="284">
        <v>0</v>
      </c>
    </row>
    <row r="4880" spans="3:10" x14ac:dyDescent="0.25">
      <c r="C4880" s="300" t="s">
        <v>1064</v>
      </c>
      <c r="D4880" s="283" t="s">
        <v>1043</v>
      </c>
      <c r="E4880" s="283" t="s">
        <v>1075</v>
      </c>
      <c r="F4880" s="283" t="s">
        <v>1092</v>
      </c>
      <c r="G4880" s="283">
        <v>2</v>
      </c>
      <c r="H4880" s="283">
        <v>0</v>
      </c>
      <c r="I4880" s="283">
        <v>0</v>
      </c>
      <c r="J4880" s="284">
        <v>0</v>
      </c>
    </row>
    <row r="4881" spans="3:10" x14ac:dyDescent="0.25">
      <c r="C4881" s="300" t="s">
        <v>1067</v>
      </c>
      <c r="D4881" s="283" t="s">
        <v>1043</v>
      </c>
      <c r="E4881" s="283" t="s">
        <v>1085</v>
      </c>
      <c r="F4881" s="283" t="s">
        <v>1092</v>
      </c>
      <c r="G4881" s="283">
        <v>2</v>
      </c>
      <c r="H4881" s="283">
        <v>0</v>
      </c>
      <c r="I4881" s="283">
        <v>1</v>
      </c>
      <c r="J4881" s="284">
        <v>1</v>
      </c>
    </row>
    <row r="4882" spans="3:10" x14ac:dyDescent="0.25">
      <c r="C4882" s="300" t="s">
        <v>1057</v>
      </c>
      <c r="D4882" s="283" t="s">
        <v>1079</v>
      </c>
      <c r="E4882" s="283" t="s">
        <v>1075</v>
      </c>
      <c r="F4882" s="283" t="s">
        <v>1075</v>
      </c>
      <c r="G4882" s="283">
        <v>2</v>
      </c>
      <c r="H4882" s="283">
        <v>0</v>
      </c>
      <c r="I4882" s="283">
        <v>0</v>
      </c>
      <c r="J4882" s="284">
        <v>1</v>
      </c>
    </row>
    <row r="4883" spans="3:10" x14ac:dyDescent="0.25">
      <c r="C4883" s="300" t="s">
        <v>1067</v>
      </c>
      <c r="D4883" s="283" t="s">
        <v>1077</v>
      </c>
      <c r="E4883" s="283" t="s">
        <v>1089</v>
      </c>
      <c r="F4883" s="283" t="s">
        <v>1089</v>
      </c>
      <c r="G4883" s="283">
        <v>3</v>
      </c>
      <c r="H4883" s="283">
        <v>0</v>
      </c>
      <c r="I4883" s="283">
        <v>1</v>
      </c>
      <c r="J4883" s="284">
        <v>0</v>
      </c>
    </row>
    <row r="4884" spans="3:10" x14ac:dyDescent="0.25">
      <c r="C4884" s="300" t="s">
        <v>1062</v>
      </c>
      <c r="D4884" s="283" t="s">
        <v>1106</v>
      </c>
      <c r="E4884" s="283" t="s">
        <v>1075</v>
      </c>
      <c r="F4884" s="283" t="s">
        <v>524</v>
      </c>
      <c r="G4884" s="283">
        <v>1</v>
      </c>
      <c r="H4884" s="283">
        <v>0</v>
      </c>
      <c r="I4884" s="283">
        <v>0</v>
      </c>
      <c r="J4884" s="284">
        <v>0</v>
      </c>
    </row>
    <row r="4885" spans="3:10" x14ac:dyDescent="0.25">
      <c r="C4885" s="300" t="s">
        <v>1059</v>
      </c>
      <c r="D4885" s="283" t="s">
        <v>1087</v>
      </c>
      <c r="E4885" s="283" t="s">
        <v>1088</v>
      </c>
      <c r="F4885" s="283" t="s">
        <v>524</v>
      </c>
      <c r="G4885" s="283">
        <v>1</v>
      </c>
      <c r="H4885" s="283">
        <v>0</v>
      </c>
      <c r="I4885" s="283">
        <v>0</v>
      </c>
      <c r="J4885" s="284">
        <v>0</v>
      </c>
    </row>
    <row r="4886" spans="3:10" x14ac:dyDescent="0.25">
      <c r="C4886" s="300" t="s">
        <v>1063</v>
      </c>
      <c r="D4886" s="283" t="s">
        <v>1087</v>
      </c>
      <c r="E4886" s="283" t="s">
        <v>1075</v>
      </c>
      <c r="F4886" s="283" t="s">
        <v>524</v>
      </c>
      <c r="G4886" s="283">
        <v>1</v>
      </c>
      <c r="H4886" s="283">
        <v>0</v>
      </c>
      <c r="I4886" s="283">
        <v>1</v>
      </c>
      <c r="J4886" s="284">
        <v>0</v>
      </c>
    </row>
    <row r="4887" spans="3:10" x14ac:dyDescent="0.25">
      <c r="C4887" s="300" t="s">
        <v>1061</v>
      </c>
      <c r="D4887" s="283" t="s">
        <v>1074</v>
      </c>
      <c r="E4887" s="283" t="s">
        <v>1080</v>
      </c>
      <c r="F4887" s="283" t="s">
        <v>1083</v>
      </c>
      <c r="G4887" s="283">
        <v>2</v>
      </c>
      <c r="H4887" s="283">
        <v>0</v>
      </c>
      <c r="I4887" s="283">
        <v>1</v>
      </c>
      <c r="J4887" s="284">
        <v>1</v>
      </c>
    </row>
    <row r="4888" spans="3:10" x14ac:dyDescent="0.25">
      <c r="C4888" s="300" t="s">
        <v>1068</v>
      </c>
      <c r="D4888" s="283" t="s">
        <v>1043</v>
      </c>
      <c r="E4888" s="283" t="s">
        <v>1075</v>
      </c>
      <c r="F4888" s="283" t="s">
        <v>1092</v>
      </c>
      <c r="G4888" s="283">
        <v>2</v>
      </c>
      <c r="H4888" s="283">
        <v>0</v>
      </c>
      <c r="I4888" s="283">
        <v>0</v>
      </c>
      <c r="J4888" s="284">
        <v>0</v>
      </c>
    </row>
    <row r="4889" spans="3:10" x14ac:dyDescent="0.25">
      <c r="C4889" s="300" t="s">
        <v>1066</v>
      </c>
      <c r="D4889" s="283" t="s">
        <v>1043</v>
      </c>
      <c r="E4889" s="283" t="s">
        <v>1083</v>
      </c>
      <c r="F4889" s="283" t="s">
        <v>1092</v>
      </c>
      <c r="G4889" s="283">
        <v>2</v>
      </c>
      <c r="H4889" s="283">
        <v>0</v>
      </c>
      <c r="I4889" s="283">
        <v>0</v>
      </c>
      <c r="J4889" s="284">
        <v>0</v>
      </c>
    </row>
    <row r="4890" spans="3:10" x14ac:dyDescent="0.25">
      <c r="C4890" s="300" t="s">
        <v>1063</v>
      </c>
      <c r="D4890" s="283" t="s">
        <v>1087</v>
      </c>
      <c r="E4890" s="283" t="s">
        <v>1075</v>
      </c>
      <c r="F4890" s="283" t="s">
        <v>524</v>
      </c>
      <c r="G4890" s="283">
        <v>2</v>
      </c>
      <c r="H4890" s="283">
        <v>0</v>
      </c>
      <c r="I4890" s="283">
        <v>1</v>
      </c>
      <c r="J4890" s="284">
        <v>0</v>
      </c>
    </row>
    <row r="4891" spans="3:10" x14ac:dyDescent="0.25">
      <c r="C4891" s="300" t="s">
        <v>1067</v>
      </c>
      <c r="D4891" s="283" t="s">
        <v>1079</v>
      </c>
      <c r="E4891" s="283" t="s">
        <v>1075</v>
      </c>
      <c r="F4891" s="283" t="s">
        <v>1093</v>
      </c>
      <c r="G4891" s="283">
        <v>2</v>
      </c>
      <c r="H4891" s="283">
        <v>0</v>
      </c>
      <c r="I4891" s="283">
        <v>0</v>
      </c>
      <c r="J4891" s="284">
        <v>2</v>
      </c>
    </row>
    <row r="4892" spans="3:10" x14ac:dyDescent="0.25">
      <c r="C4892" s="300" t="s">
        <v>1068</v>
      </c>
      <c r="D4892" s="283" t="s">
        <v>1079</v>
      </c>
      <c r="E4892" s="283" t="s">
        <v>1078</v>
      </c>
      <c r="F4892" s="283" t="s">
        <v>1075</v>
      </c>
      <c r="G4892" s="283">
        <v>3</v>
      </c>
      <c r="H4892" s="283">
        <v>0</v>
      </c>
      <c r="I4892" s="283">
        <v>0</v>
      </c>
      <c r="J4892" s="284">
        <v>1</v>
      </c>
    </row>
    <row r="4893" spans="3:10" x14ac:dyDescent="0.25">
      <c r="C4893" s="300" t="s">
        <v>1066</v>
      </c>
      <c r="D4893" s="283" t="s">
        <v>1079</v>
      </c>
      <c r="E4893" s="283" t="s">
        <v>1089</v>
      </c>
      <c r="F4893" s="283" t="s">
        <v>1093</v>
      </c>
      <c r="G4893" s="283">
        <v>2</v>
      </c>
      <c r="H4893" s="283">
        <v>0</v>
      </c>
      <c r="I4893" s="283">
        <v>0</v>
      </c>
      <c r="J4893" s="284">
        <v>1</v>
      </c>
    </row>
    <row r="4894" spans="3:10" x14ac:dyDescent="0.25">
      <c r="C4894" s="300" t="s">
        <v>1064</v>
      </c>
      <c r="D4894" s="283" t="s">
        <v>1043</v>
      </c>
      <c r="E4894" s="283" t="s">
        <v>1075</v>
      </c>
      <c r="F4894" s="283" t="s">
        <v>1092</v>
      </c>
      <c r="G4894" s="283">
        <v>2</v>
      </c>
      <c r="H4894" s="283">
        <v>0</v>
      </c>
      <c r="I4894" s="283">
        <v>1</v>
      </c>
      <c r="J4894" s="284">
        <v>0</v>
      </c>
    </row>
    <row r="4895" spans="3:10" x14ac:dyDescent="0.25">
      <c r="C4895" s="300" t="s">
        <v>1059</v>
      </c>
      <c r="D4895" s="283" t="s">
        <v>1090</v>
      </c>
      <c r="E4895" s="283" t="s">
        <v>1075</v>
      </c>
      <c r="F4895" s="283" t="s">
        <v>524</v>
      </c>
      <c r="G4895" s="283">
        <v>1</v>
      </c>
      <c r="H4895" s="283">
        <v>0</v>
      </c>
      <c r="I4895" s="283">
        <v>0</v>
      </c>
      <c r="J4895" s="284">
        <v>0</v>
      </c>
    </row>
    <row r="4896" spans="3:10" x14ac:dyDescent="0.25">
      <c r="C4896" s="300" t="s">
        <v>1060</v>
      </c>
      <c r="D4896" s="283" t="s">
        <v>1074</v>
      </c>
      <c r="E4896" s="283" t="s">
        <v>1075</v>
      </c>
      <c r="F4896" s="283" t="s">
        <v>1044</v>
      </c>
      <c r="G4896" s="283">
        <v>2</v>
      </c>
      <c r="H4896" s="283">
        <v>0</v>
      </c>
      <c r="I4896" s="283">
        <v>1</v>
      </c>
      <c r="J4896" s="284">
        <v>0</v>
      </c>
    </row>
    <row r="4897" spans="3:10" x14ac:dyDescent="0.25">
      <c r="C4897" s="300" t="s">
        <v>1062</v>
      </c>
      <c r="D4897" s="283" t="s">
        <v>1077</v>
      </c>
      <c r="E4897" s="283" t="s">
        <v>1075</v>
      </c>
      <c r="F4897" s="283" t="s">
        <v>1044</v>
      </c>
      <c r="G4897" s="283">
        <v>2</v>
      </c>
      <c r="H4897" s="283">
        <v>0</v>
      </c>
      <c r="I4897" s="283">
        <v>0</v>
      </c>
      <c r="J4897" s="284">
        <v>1</v>
      </c>
    </row>
    <row r="4898" spans="3:10" x14ac:dyDescent="0.25">
      <c r="C4898" s="300" t="s">
        <v>1062</v>
      </c>
      <c r="D4898" s="283" t="s">
        <v>1043</v>
      </c>
      <c r="E4898" s="283" t="s">
        <v>1088</v>
      </c>
      <c r="F4898" s="283" t="s">
        <v>1092</v>
      </c>
      <c r="G4898" s="283">
        <v>2</v>
      </c>
      <c r="H4898" s="283">
        <v>0</v>
      </c>
      <c r="I4898" s="283">
        <v>1</v>
      </c>
      <c r="J4898" s="284">
        <v>0</v>
      </c>
    </row>
    <row r="4899" spans="3:10" x14ac:dyDescent="0.25">
      <c r="C4899" s="300" t="s">
        <v>1064</v>
      </c>
      <c r="D4899" s="283" t="s">
        <v>1077</v>
      </c>
      <c r="E4899" s="283" t="s">
        <v>1075</v>
      </c>
      <c r="F4899" s="283" t="s">
        <v>1078</v>
      </c>
      <c r="G4899" s="283">
        <v>2</v>
      </c>
      <c r="H4899" s="283">
        <v>0</v>
      </c>
      <c r="I4899" s="283">
        <v>0</v>
      </c>
      <c r="J4899" s="284">
        <v>0</v>
      </c>
    </row>
    <row r="4900" spans="3:10" x14ac:dyDescent="0.25">
      <c r="C4900" s="300" t="s">
        <v>1065</v>
      </c>
      <c r="D4900" s="283" t="s">
        <v>1043</v>
      </c>
      <c r="E4900" s="283" t="s">
        <v>1075</v>
      </c>
      <c r="F4900" s="283" t="s">
        <v>1092</v>
      </c>
      <c r="G4900" s="283">
        <v>2</v>
      </c>
      <c r="H4900" s="283">
        <v>0</v>
      </c>
      <c r="I4900" s="283">
        <v>1</v>
      </c>
      <c r="J4900" s="284">
        <v>1</v>
      </c>
    </row>
    <row r="4901" spans="3:10" x14ac:dyDescent="0.25">
      <c r="C4901" s="300" t="s">
        <v>1057</v>
      </c>
      <c r="D4901" s="283" t="s">
        <v>1079</v>
      </c>
      <c r="E4901" s="283" t="s">
        <v>1075</v>
      </c>
      <c r="F4901" s="283" t="s">
        <v>1075</v>
      </c>
      <c r="G4901" s="283">
        <v>2</v>
      </c>
      <c r="H4901" s="283">
        <v>0</v>
      </c>
      <c r="I4901" s="283">
        <v>0</v>
      </c>
      <c r="J4901" s="284">
        <v>0</v>
      </c>
    </row>
    <row r="4902" spans="3:10" x14ac:dyDescent="0.25">
      <c r="C4902" s="300" t="s">
        <v>1063</v>
      </c>
      <c r="D4902" s="283" t="s">
        <v>1074</v>
      </c>
      <c r="E4902" s="283" t="s">
        <v>1086</v>
      </c>
      <c r="F4902" s="283" t="s">
        <v>1075</v>
      </c>
      <c r="G4902" s="283">
        <v>2</v>
      </c>
      <c r="H4902" s="283">
        <v>0</v>
      </c>
      <c r="I4902" s="283">
        <v>0</v>
      </c>
      <c r="J4902" s="284">
        <v>0</v>
      </c>
    </row>
    <row r="4903" spans="3:10" x14ac:dyDescent="0.25">
      <c r="C4903" s="300" t="s">
        <v>1057</v>
      </c>
      <c r="D4903" s="283" t="s">
        <v>1087</v>
      </c>
      <c r="E4903" s="283" t="s">
        <v>1075</v>
      </c>
      <c r="F4903" s="283" t="s">
        <v>524</v>
      </c>
      <c r="G4903" s="283">
        <v>3</v>
      </c>
      <c r="H4903" s="283">
        <v>0</v>
      </c>
      <c r="I4903" s="283">
        <v>0</v>
      </c>
      <c r="J4903" s="284">
        <v>0</v>
      </c>
    </row>
    <row r="4904" spans="3:10" x14ac:dyDescent="0.25">
      <c r="C4904" s="300" t="s">
        <v>1063</v>
      </c>
      <c r="D4904" s="283" t="s">
        <v>1043</v>
      </c>
      <c r="E4904" s="283" t="s">
        <v>1078</v>
      </c>
      <c r="F4904" s="283" t="s">
        <v>1092</v>
      </c>
      <c r="G4904" s="283">
        <v>2</v>
      </c>
      <c r="H4904" s="283">
        <v>0</v>
      </c>
      <c r="I4904" s="283">
        <v>0</v>
      </c>
      <c r="J4904" s="284">
        <v>0</v>
      </c>
    </row>
    <row r="4905" spans="3:10" x14ac:dyDescent="0.25">
      <c r="C4905" s="300" t="s">
        <v>1062</v>
      </c>
      <c r="D4905" s="283" t="s">
        <v>1079</v>
      </c>
      <c r="E4905" s="283" t="s">
        <v>1075</v>
      </c>
      <c r="F4905" s="283" t="s">
        <v>524</v>
      </c>
      <c r="G4905" s="283">
        <v>1</v>
      </c>
      <c r="H4905" s="283">
        <v>0</v>
      </c>
      <c r="I4905" s="283">
        <v>1</v>
      </c>
      <c r="J4905" s="284">
        <v>0</v>
      </c>
    </row>
    <row r="4906" spans="3:10" x14ac:dyDescent="0.25">
      <c r="C4906" s="300" t="s">
        <v>1065</v>
      </c>
      <c r="D4906" s="283" t="s">
        <v>1079</v>
      </c>
      <c r="E4906" s="283" t="s">
        <v>1075</v>
      </c>
      <c r="F4906" s="283" t="s">
        <v>1083</v>
      </c>
      <c r="G4906" s="283">
        <v>2</v>
      </c>
      <c r="H4906" s="283">
        <v>0</v>
      </c>
      <c r="I4906" s="283">
        <v>0</v>
      </c>
      <c r="J4906" s="284">
        <v>0</v>
      </c>
    </row>
    <row r="4907" spans="3:10" x14ac:dyDescent="0.25">
      <c r="C4907" s="300" t="s">
        <v>1066</v>
      </c>
      <c r="D4907" s="283" t="s">
        <v>1074</v>
      </c>
      <c r="E4907" s="283" t="s">
        <v>1075</v>
      </c>
      <c r="F4907" s="283" t="s">
        <v>1094</v>
      </c>
      <c r="G4907" s="283">
        <v>2</v>
      </c>
      <c r="H4907" s="283">
        <v>0</v>
      </c>
      <c r="I4907" s="283">
        <v>0</v>
      </c>
      <c r="J4907" s="284">
        <v>0</v>
      </c>
    </row>
    <row r="4908" spans="3:10" x14ac:dyDescent="0.25">
      <c r="C4908" s="300" t="s">
        <v>1068</v>
      </c>
      <c r="D4908" s="283" t="s">
        <v>1077</v>
      </c>
      <c r="E4908" s="283" t="s">
        <v>1078</v>
      </c>
      <c r="F4908" s="283" t="s">
        <v>1089</v>
      </c>
      <c r="G4908" s="283">
        <v>4</v>
      </c>
      <c r="H4908" s="283">
        <v>0</v>
      </c>
      <c r="I4908" s="283">
        <v>0</v>
      </c>
      <c r="J4908" s="284">
        <v>0</v>
      </c>
    </row>
    <row r="4909" spans="3:10" x14ac:dyDescent="0.25">
      <c r="C4909" s="300" t="s">
        <v>1068</v>
      </c>
      <c r="D4909" s="283" t="s">
        <v>1087</v>
      </c>
      <c r="E4909" s="283" t="s">
        <v>1094</v>
      </c>
      <c r="F4909" s="283" t="s">
        <v>524</v>
      </c>
      <c r="G4909" s="283">
        <v>1</v>
      </c>
      <c r="H4909" s="283">
        <v>0</v>
      </c>
      <c r="I4909" s="283">
        <v>0</v>
      </c>
      <c r="J4909" s="284">
        <v>0</v>
      </c>
    </row>
    <row r="4910" spans="3:10" x14ac:dyDescent="0.25">
      <c r="C4910" s="300" t="s">
        <v>1063</v>
      </c>
      <c r="D4910" s="283" t="s">
        <v>1079</v>
      </c>
      <c r="E4910" s="283" t="s">
        <v>1075</v>
      </c>
      <c r="F4910" s="283" t="s">
        <v>1084</v>
      </c>
      <c r="G4910" s="283">
        <v>2</v>
      </c>
      <c r="H4910" s="283">
        <v>0</v>
      </c>
      <c r="I4910" s="283">
        <v>0</v>
      </c>
      <c r="J4910" s="284">
        <v>1</v>
      </c>
    </row>
    <row r="4911" spans="3:10" x14ac:dyDescent="0.25">
      <c r="C4911" s="300" t="s">
        <v>1066</v>
      </c>
      <c r="D4911" s="283" t="s">
        <v>1074</v>
      </c>
      <c r="E4911" s="283" t="s">
        <v>1044</v>
      </c>
      <c r="F4911" s="283" t="s">
        <v>1078</v>
      </c>
      <c r="G4911" s="283">
        <v>2</v>
      </c>
      <c r="H4911" s="283">
        <v>0</v>
      </c>
      <c r="I4911" s="283">
        <v>1</v>
      </c>
      <c r="J4911" s="284">
        <v>0</v>
      </c>
    </row>
    <row r="4912" spans="3:10" x14ac:dyDescent="0.25">
      <c r="C4912" s="300" t="s">
        <v>1061</v>
      </c>
      <c r="D4912" s="283" t="s">
        <v>1079</v>
      </c>
      <c r="E4912" s="283" t="s">
        <v>1089</v>
      </c>
      <c r="F4912" s="283" t="s">
        <v>1044</v>
      </c>
      <c r="G4912" s="283">
        <v>2</v>
      </c>
      <c r="H4912" s="283">
        <v>0</v>
      </c>
      <c r="I4912" s="283">
        <v>0</v>
      </c>
      <c r="J4912" s="284">
        <v>0</v>
      </c>
    </row>
    <row r="4913" spans="3:10" x14ac:dyDescent="0.25">
      <c r="C4913" s="300" t="s">
        <v>1065</v>
      </c>
      <c r="D4913" s="283" t="s">
        <v>1079</v>
      </c>
      <c r="E4913" s="283" t="s">
        <v>1083</v>
      </c>
      <c r="F4913" s="283" t="s">
        <v>524</v>
      </c>
      <c r="G4913" s="283">
        <v>1</v>
      </c>
      <c r="H4913" s="283">
        <v>0</v>
      </c>
      <c r="I4913" s="283">
        <v>1</v>
      </c>
      <c r="J4913" s="284">
        <v>0</v>
      </c>
    </row>
    <row r="4914" spans="3:10" x14ac:dyDescent="0.25">
      <c r="C4914" s="300" t="s">
        <v>1059</v>
      </c>
      <c r="D4914" s="283" t="s">
        <v>1090</v>
      </c>
      <c r="E4914" s="283" t="s">
        <v>1088</v>
      </c>
      <c r="F4914" s="283" t="s">
        <v>524</v>
      </c>
      <c r="G4914" s="283">
        <v>1</v>
      </c>
      <c r="H4914" s="283">
        <v>0</v>
      </c>
      <c r="I4914" s="283">
        <v>0</v>
      </c>
      <c r="J4914" s="284">
        <v>0</v>
      </c>
    </row>
    <row r="4915" spans="3:10" x14ac:dyDescent="0.25">
      <c r="C4915" s="300" t="s">
        <v>1066</v>
      </c>
      <c r="D4915" s="283" t="s">
        <v>1079</v>
      </c>
      <c r="E4915" s="283" t="s">
        <v>1075</v>
      </c>
      <c r="F4915" s="283" t="s">
        <v>1075</v>
      </c>
      <c r="G4915" s="283">
        <v>2</v>
      </c>
      <c r="H4915" s="283">
        <v>0</v>
      </c>
      <c r="I4915" s="283">
        <v>0</v>
      </c>
      <c r="J4915" s="284">
        <v>0</v>
      </c>
    </row>
    <row r="4916" spans="3:10" x14ac:dyDescent="0.25">
      <c r="C4916" s="300" t="s">
        <v>1068</v>
      </c>
      <c r="D4916" s="283" t="s">
        <v>1079</v>
      </c>
      <c r="E4916" s="283" t="s">
        <v>1075</v>
      </c>
      <c r="F4916" s="283" t="s">
        <v>1075</v>
      </c>
      <c r="G4916" s="283">
        <v>2</v>
      </c>
      <c r="H4916" s="283">
        <v>0</v>
      </c>
      <c r="I4916" s="283">
        <v>0</v>
      </c>
      <c r="J4916" s="284">
        <v>1</v>
      </c>
    </row>
    <row r="4917" spans="3:10" x14ac:dyDescent="0.25">
      <c r="C4917" s="300" t="s">
        <v>1060</v>
      </c>
      <c r="D4917" s="283" t="s">
        <v>1079</v>
      </c>
      <c r="E4917" s="283" t="s">
        <v>1089</v>
      </c>
      <c r="F4917" s="283" t="s">
        <v>1083</v>
      </c>
      <c r="G4917" s="283">
        <v>2</v>
      </c>
      <c r="H4917" s="283">
        <v>0</v>
      </c>
      <c r="I4917" s="283">
        <v>0</v>
      </c>
      <c r="J4917" s="284">
        <v>1</v>
      </c>
    </row>
    <row r="4918" spans="3:10" x14ac:dyDescent="0.25">
      <c r="C4918" s="300" t="s">
        <v>1063</v>
      </c>
      <c r="D4918" s="283" t="s">
        <v>1074</v>
      </c>
      <c r="E4918" s="283" t="s">
        <v>1075</v>
      </c>
      <c r="F4918" s="283" t="s">
        <v>1075</v>
      </c>
      <c r="G4918" s="283">
        <v>2</v>
      </c>
      <c r="H4918" s="283">
        <v>0</v>
      </c>
      <c r="I4918" s="283">
        <v>0</v>
      </c>
      <c r="J4918" s="284">
        <v>0</v>
      </c>
    </row>
    <row r="4919" spans="3:10" x14ac:dyDescent="0.25">
      <c r="C4919" s="300" t="s">
        <v>1066</v>
      </c>
      <c r="D4919" s="283" t="s">
        <v>1074</v>
      </c>
      <c r="E4919" s="283" t="s">
        <v>1075</v>
      </c>
      <c r="F4919" s="283" t="s">
        <v>1089</v>
      </c>
      <c r="G4919" s="283">
        <v>2</v>
      </c>
      <c r="H4919" s="283">
        <v>0</v>
      </c>
      <c r="I4919" s="283">
        <v>0</v>
      </c>
      <c r="J4919" s="284">
        <v>0</v>
      </c>
    </row>
    <row r="4920" spans="3:10" x14ac:dyDescent="0.25">
      <c r="C4920" s="300" t="s">
        <v>1067</v>
      </c>
      <c r="D4920" s="283" t="s">
        <v>1079</v>
      </c>
      <c r="E4920" s="283" t="s">
        <v>1075</v>
      </c>
      <c r="F4920" s="283" t="s">
        <v>1076</v>
      </c>
      <c r="G4920" s="283">
        <v>2</v>
      </c>
      <c r="H4920" s="283">
        <v>0</v>
      </c>
      <c r="I4920" s="283">
        <v>0</v>
      </c>
      <c r="J4920" s="284">
        <v>1</v>
      </c>
    </row>
    <row r="4921" spans="3:10" x14ac:dyDescent="0.25">
      <c r="C4921" s="300" t="s">
        <v>1063</v>
      </c>
      <c r="D4921" s="283" t="s">
        <v>1079</v>
      </c>
      <c r="E4921" s="283" t="s">
        <v>1075</v>
      </c>
      <c r="F4921" s="283" t="s">
        <v>1075</v>
      </c>
      <c r="G4921" s="283">
        <v>2</v>
      </c>
      <c r="H4921" s="283">
        <v>0</v>
      </c>
      <c r="I4921" s="283">
        <v>0</v>
      </c>
      <c r="J4921" s="284">
        <v>1</v>
      </c>
    </row>
    <row r="4922" spans="3:10" x14ac:dyDescent="0.25">
      <c r="C4922" s="300" t="s">
        <v>1066</v>
      </c>
      <c r="D4922" s="283" t="s">
        <v>1079</v>
      </c>
      <c r="E4922" s="283" t="s">
        <v>1089</v>
      </c>
      <c r="F4922" s="283" t="s">
        <v>1084</v>
      </c>
      <c r="G4922" s="283">
        <v>2</v>
      </c>
      <c r="H4922" s="283">
        <v>0</v>
      </c>
      <c r="I4922" s="283">
        <v>0</v>
      </c>
      <c r="J4922" s="284">
        <v>0</v>
      </c>
    </row>
    <row r="4923" spans="3:10" x14ac:dyDescent="0.25">
      <c r="C4923" s="300" t="s">
        <v>1065</v>
      </c>
      <c r="D4923" s="283" t="s">
        <v>1079</v>
      </c>
      <c r="E4923" s="283" t="s">
        <v>1075</v>
      </c>
      <c r="F4923" s="283" t="s">
        <v>1075</v>
      </c>
      <c r="G4923" s="283">
        <v>3</v>
      </c>
      <c r="H4923" s="283">
        <v>0</v>
      </c>
      <c r="I4923" s="283">
        <v>0</v>
      </c>
      <c r="J4923" s="284">
        <v>0</v>
      </c>
    </row>
    <row r="4924" spans="3:10" x14ac:dyDescent="0.25">
      <c r="C4924" s="300" t="s">
        <v>1065</v>
      </c>
      <c r="D4924" s="283" t="s">
        <v>1043</v>
      </c>
      <c r="E4924" s="283" t="s">
        <v>1075</v>
      </c>
      <c r="F4924" s="283" t="s">
        <v>1092</v>
      </c>
      <c r="G4924" s="283">
        <v>2</v>
      </c>
      <c r="H4924" s="283">
        <v>0</v>
      </c>
      <c r="I4924" s="283">
        <v>0</v>
      </c>
      <c r="J4924" s="284">
        <v>1</v>
      </c>
    </row>
    <row r="4925" spans="3:10" x14ac:dyDescent="0.25">
      <c r="C4925" s="300" t="s">
        <v>1065</v>
      </c>
      <c r="D4925" s="283" t="s">
        <v>1079</v>
      </c>
      <c r="E4925" s="283" t="s">
        <v>1075</v>
      </c>
      <c r="F4925" s="283" t="s">
        <v>1076</v>
      </c>
      <c r="G4925" s="283">
        <v>2</v>
      </c>
      <c r="H4925" s="283">
        <v>0</v>
      </c>
      <c r="I4925" s="283">
        <v>0</v>
      </c>
      <c r="J4925" s="284">
        <v>2</v>
      </c>
    </row>
    <row r="4926" spans="3:10" x14ac:dyDescent="0.25">
      <c r="C4926" s="300" t="s">
        <v>1061</v>
      </c>
      <c r="D4926" s="283" t="s">
        <v>1077</v>
      </c>
      <c r="E4926" s="283" t="s">
        <v>1080</v>
      </c>
      <c r="F4926" s="283" t="s">
        <v>1075</v>
      </c>
      <c r="G4926" s="283">
        <v>2</v>
      </c>
      <c r="H4926" s="283">
        <v>0</v>
      </c>
      <c r="I4926" s="283">
        <v>0</v>
      </c>
      <c r="J4926" s="284">
        <v>1</v>
      </c>
    </row>
    <row r="4927" spans="3:10" x14ac:dyDescent="0.25">
      <c r="C4927" s="300" t="s">
        <v>1068</v>
      </c>
      <c r="D4927" s="283" t="s">
        <v>1079</v>
      </c>
      <c r="E4927" s="283" t="s">
        <v>1075</v>
      </c>
      <c r="F4927" s="283" t="s">
        <v>1097</v>
      </c>
      <c r="G4927" s="283">
        <v>2</v>
      </c>
      <c r="H4927" s="283">
        <v>0</v>
      </c>
      <c r="I4927" s="283">
        <v>0</v>
      </c>
      <c r="J4927" s="284">
        <v>0</v>
      </c>
    </row>
    <row r="4928" spans="3:10" x14ac:dyDescent="0.25">
      <c r="C4928" s="300" t="s">
        <v>1065</v>
      </c>
      <c r="D4928" s="283" t="s">
        <v>1079</v>
      </c>
      <c r="E4928" s="283" t="s">
        <v>1080</v>
      </c>
      <c r="F4928" s="283" t="s">
        <v>1044</v>
      </c>
      <c r="G4928" s="283">
        <v>2</v>
      </c>
      <c r="H4928" s="283">
        <v>0</v>
      </c>
      <c r="I4928" s="283">
        <v>0</v>
      </c>
      <c r="J4928" s="284">
        <v>1</v>
      </c>
    </row>
    <row r="4929" spans="3:10" x14ac:dyDescent="0.25">
      <c r="C4929" s="300" t="s">
        <v>1062</v>
      </c>
      <c r="D4929" s="283" t="s">
        <v>1077</v>
      </c>
      <c r="E4929" s="283" t="s">
        <v>1076</v>
      </c>
      <c r="F4929" s="283" t="s">
        <v>1075</v>
      </c>
      <c r="G4929" s="283">
        <v>2</v>
      </c>
      <c r="H4929" s="283">
        <v>0</v>
      </c>
      <c r="I4929" s="283">
        <v>0</v>
      </c>
      <c r="J4929" s="284">
        <v>1</v>
      </c>
    </row>
    <row r="4930" spans="3:10" x14ac:dyDescent="0.25">
      <c r="C4930" s="300" t="s">
        <v>1064</v>
      </c>
      <c r="D4930" s="283" t="s">
        <v>1074</v>
      </c>
      <c r="E4930" s="283" t="s">
        <v>1083</v>
      </c>
      <c r="F4930" s="283" t="s">
        <v>1076</v>
      </c>
      <c r="G4930" s="283">
        <v>2</v>
      </c>
      <c r="H4930" s="283">
        <v>0</v>
      </c>
      <c r="I4930" s="283">
        <v>0</v>
      </c>
      <c r="J4930" s="284">
        <v>0</v>
      </c>
    </row>
    <row r="4931" spans="3:10" x14ac:dyDescent="0.25">
      <c r="C4931" s="300" t="s">
        <v>1061</v>
      </c>
      <c r="D4931" s="283" t="s">
        <v>1077</v>
      </c>
      <c r="E4931" s="283" t="s">
        <v>1075</v>
      </c>
      <c r="F4931" s="283" t="s">
        <v>1075</v>
      </c>
      <c r="G4931" s="283">
        <v>3</v>
      </c>
      <c r="H4931" s="283">
        <v>0</v>
      </c>
      <c r="I4931" s="283">
        <v>0</v>
      </c>
      <c r="J4931" s="284">
        <v>1</v>
      </c>
    </row>
    <row r="4932" spans="3:10" x14ac:dyDescent="0.25">
      <c r="C4932" s="300" t="s">
        <v>1066</v>
      </c>
      <c r="D4932" s="283" t="s">
        <v>1082</v>
      </c>
      <c r="E4932" s="283" t="s">
        <v>1076</v>
      </c>
      <c r="F4932" s="283" t="s">
        <v>1089</v>
      </c>
      <c r="G4932" s="283">
        <v>2</v>
      </c>
      <c r="H4932" s="283">
        <v>0</v>
      </c>
      <c r="I4932" s="283">
        <v>1</v>
      </c>
      <c r="J4932" s="284">
        <v>0</v>
      </c>
    </row>
    <row r="4933" spans="3:10" x14ac:dyDescent="0.25">
      <c r="C4933" s="300" t="s">
        <v>1059</v>
      </c>
      <c r="D4933" s="283" t="s">
        <v>1074</v>
      </c>
      <c r="E4933" s="283" t="s">
        <v>1089</v>
      </c>
      <c r="F4933" s="283" t="s">
        <v>1075</v>
      </c>
      <c r="G4933" s="283">
        <v>2</v>
      </c>
      <c r="H4933" s="283">
        <v>0</v>
      </c>
      <c r="I4933" s="283">
        <v>0</v>
      </c>
      <c r="J4933" s="284">
        <v>1</v>
      </c>
    </row>
    <row r="4934" spans="3:10" x14ac:dyDescent="0.25">
      <c r="C4934" s="300" t="s">
        <v>1066</v>
      </c>
      <c r="D4934" s="283" t="s">
        <v>1074</v>
      </c>
      <c r="E4934" s="283" t="s">
        <v>1075</v>
      </c>
      <c r="F4934" s="283" t="s">
        <v>1078</v>
      </c>
      <c r="G4934" s="283">
        <v>2</v>
      </c>
      <c r="H4934" s="283">
        <v>0</v>
      </c>
      <c r="I4934" s="283">
        <v>0</v>
      </c>
      <c r="J4934" s="284">
        <v>0</v>
      </c>
    </row>
    <row r="4935" spans="3:10" x14ac:dyDescent="0.25">
      <c r="C4935" s="300" t="s">
        <v>1068</v>
      </c>
      <c r="D4935" s="283" t="s">
        <v>1077</v>
      </c>
      <c r="E4935" s="283" t="s">
        <v>1075</v>
      </c>
      <c r="F4935" s="283" t="s">
        <v>1044</v>
      </c>
      <c r="G4935" s="283">
        <v>2</v>
      </c>
      <c r="H4935" s="283">
        <v>0</v>
      </c>
      <c r="I4935" s="283">
        <v>1</v>
      </c>
      <c r="J4935" s="284">
        <v>0</v>
      </c>
    </row>
    <row r="4936" spans="3:10" x14ac:dyDescent="0.25">
      <c r="C4936" s="300" t="s">
        <v>1060</v>
      </c>
      <c r="D4936" s="283" t="s">
        <v>1079</v>
      </c>
      <c r="E4936" s="283" t="s">
        <v>1076</v>
      </c>
      <c r="F4936" s="283" t="s">
        <v>1100</v>
      </c>
      <c r="G4936" s="283">
        <v>2</v>
      </c>
      <c r="H4936" s="283">
        <v>0</v>
      </c>
      <c r="I4936" s="283">
        <v>0</v>
      </c>
      <c r="J4936" s="284">
        <v>1</v>
      </c>
    </row>
    <row r="4937" spans="3:10" x14ac:dyDescent="0.25">
      <c r="C4937" s="300" t="s">
        <v>1065</v>
      </c>
      <c r="D4937" s="283" t="s">
        <v>1043</v>
      </c>
      <c r="E4937" s="283" t="s">
        <v>1078</v>
      </c>
      <c r="F4937" s="283" t="s">
        <v>1092</v>
      </c>
      <c r="G4937" s="283">
        <v>2</v>
      </c>
      <c r="H4937" s="283">
        <v>0</v>
      </c>
      <c r="I4937" s="283">
        <v>0</v>
      </c>
      <c r="J4937" s="284">
        <v>1</v>
      </c>
    </row>
    <row r="4938" spans="3:10" x14ac:dyDescent="0.25">
      <c r="C4938" s="300" t="s">
        <v>1064</v>
      </c>
      <c r="D4938" s="283" t="s">
        <v>1074</v>
      </c>
      <c r="E4938" s="283" t="s">
        <v>1089</v>
      </c>
      <c r="F4938" s="283" t="s">
        <v>1093</v>
      </c>
      <c r="G4938" s="283">
        <v>2</v>
      </c>
      <c r="H4938" s="283">
        <v>0</v>
      </c>
      <c r="I4938" s="283">
        <v>0</v>
      </c>
      <c r="J4938" s="284">
        <v>0</v>
      </c>
    </row>
    <row r="4939" spans="3:10" x14ac:dyDescent="0.25">
      <c r="C4939" s="300" t="s">
        <v>1061</v>
      </c>
      <c r="D4939" s="283" t="s">
        <v>1077</v>
      </c>
      <c r="E4939" s="283" t="s">
        <v>1075</v>
      </c>
      <c r="F4939" s="283" t="s">
        <v>1075</v>
      </c>
      <c r="G4939" s="283">
        <v>2</v>
      </c>
      <c r="H4939" s="283">
        <v>0</v>
      </c>
      <c r="I4939" s="283">
        <v>0</v>
      </c>
      <c r="J4939" s="284">
        <v>0</v>
      </c>
    </row>
    <row r="4940" spans="3:10" x14ac:dyDescent="0.25">
      <c r="C4940" s="300" t="s">
        <v>1065</v>
      </c>
      <c r="D4940" s="283" t="s">
        <v>1077</v>
      </c>
      <c r="E4940" s="283" t="s">
        <v>1076</v>
      </c>
      <c r="F4940" s="283" t="s">
        <v>1075</v>
      </c>
      <c r="G4940" s="283">
        <v>3</v>
      </c>
      <c r="H4940" s="283">
        <v>0</v>
      </c>
      <c r="I4940" s="283">
        <v>0</v>
      </c>
      <c r="J4940" s="284">
        <v>0</v>
      </c>
    </row>
    <row r="4941" spans="3:10" x14ac:dyDescent="0.25">
      <c r="C4941" s="300" t="s">
        <v>1067</v>
      </c>
      <c r="D4941" s="283" t="s">
        <v>1079</v>
      </c>
      <c r="E4941" s="283" t="s">
        <v>1086</v>
      </c>
      <c r="F4941" s="283" t="s">
        <v>1075</v>
      </c>
      <c r="G4941" s="283">
        <v>2</v>
      </c>
      <c r="H4941" s="283">
        <v>0</v>
      </c>
      <c r="I4941" s="283">
        <v>0</v>
      </c>
      <c r="J4941" s="284">
        <v>0</v>
      </c>
    </row>
    <row r="4942" spans="3:10" x14ac:dyDescent="0.25">
      <c r="C4942" s="300" t="s">
        <v>1063</v>
      </c>
      <c r="D4942" s="283" t="s">
        <v>1079</v>
      </c>
      <c r="E4942" s="283" t="s">
        <v>1044</v>
      </c>
      <c r="F4942" s="283" t="s">
        <v>1075</v>
      </c>
      <c r="G4942" s="283">
        <v>2</v>
      </c>
      <c r="H4942" s="283">
        <v>0</v>
      </c>
      <c r="I4942" s="283">
        <v>0</v>
      </c>
      <c r="J4942" s="284">
        <v>0</v>
      </c>
    </row>
    <row r="4943" spans="3:10" x14ac:dyDescent="0.25">
      <c r="C4943" s="300" t="s">
        <v>1063</v>
      </c>
      <c r="D4943" s="283" t="s">
        <v>1077</v>
      </c>
      <c r="E4943" s="283" t="s">
        <v>1100</v>
      </c>
      <c r="F4943" s="283" t="s">
        <v>1075</v>
      </c>
      <c r="G4943" s="283">
        <v>3</v>
      </c>
      <c r="H4943" s="283">
        <v>0</v>
      </c>
      <c r="I4943" s="283">
        <v>0</v>
      </c>
      <c r="J4943" s="284">
        <v>1</v>
      </c>
    </row>
    <row r="4944" spans="3:10" x14ac:dyDescent="0.25">
      <c r="C4944" s="300" t="s">
        <v>1060</v>
      </c>
      <c r="D4944" s="283" t="s">
        <v>1079</v>
      </c>
      <c r="E4944" s="283" t="s">
        <v>1075</v>
      </c>
      <c r="F4944" s="283" t="s">
        <v>1088</v>
      </c>
      <c r="G4944" s="283">
        <v>2</v>
      </c>
      <c r="H4944" s="283">
        <v>0</v>
      </c>
      <c r="I4944" s="283">
        <v>0</v>
      </c>
      <c r="J4944" s="284">
        <v>0</v>
      </c>
    </row>
    <row r="4945" spans="3:10" x14ac:dyDescent="0.25">
      <c r="C4945" s="300" t="s">
        <v>1063</v>
      </c>
      <c r="D4945" s="283" t="s">
        <v>1043</v>
      </c>
      <c r="E4945" s="283" t="s">
        <v>1081</v>
      </c>
      <c r="F4945" s="283" t="s">
        <v>1092</v>
      </c>
      <c r="G4945" s="283">
        <v>2</v>
      </c>
      <c r="H4945" s="283">
        <v>0</v>
      </c>
      <c r="I4945" s="283">
        <v>0</v>
      </c>
      <c r="J4945" s="284">
        <v>0</v>
      </c>
    </row>
    <row r="4946" spans="3:10" x14ac:dyDescent="0.25">
      <c r="C4946" s="300" t="s">
        <v>1063</v>
      </c>
      <c r="D4946" s="283" t="s">
        <v>1077</v>
      </c>
      <c r="E4946" s="283" t="s">
        <v>1089</v>
      </c>
      <c r="F4946" s="283" t="s">
        <v>1075</v>
      </c>
      <c r="G4946" s="283">
        <v>3</v>
      </c>
      <c r="H4946" s="283">
        <v>0</v>
      </c>
      <c r="I4946" s="283">
        <v>0</v>
      </c>
      <c r="J4946" s="284">
        <v>0</v>
      </c>
    </row>
    <row r="4947" spans="3:10" x14ac:dyDescent="0.25">
      <c r="C4947" s="300" t="s">
        <v>1064</v>
      </c>
      <c r="D4947" s="283" t="s">
        <v>1087</v>
      </c>
      <c r="E4947" s="283" t="s">
        <v>1078</v>
      </c>
      <c r="F4947" s="283" t="s">
        <v>524</v>
      </c>
      <c r="G4947" s="283">
        <v>1</v>
      </c>
      <c r="H4947" s="283">
        <v>0</v>
      </c>
      <c r="I4947" s="283">
        <v>0</v>
      </c>
      <c r="J4947" s="284">
        <v>0</v>
      </c>
    </row>
    <row r="4948" spans="3:10" x14ac:dyDescent="0.25">
      <c r="C4948" s="300" t="s">
        <v>1058</v>
      </c>
      <c r="D4948" s="283" t="s">
        <v>1090</v>
      </c>
      <c r="E4948" s="283" t="s">
        <v>1100</v>
      </c>
      <c r="F4948" s="283" t="s">
        <v>524</v>
      </c>
      <c r="G4948" s="283">
        <v>1</v>
      </c>
      <c r="H4948" s="283">
        <v>0</v>
      </c>
      <c r="I4948" s="283">
        <v>0</v>
      </c>
      <c r="J4948" s="284">
        <v>0</v>
      </c>
    </row>
    <row r="4949" spans="3:10" x14ac:dyDescent="0.25">
      <c r="C4949" s="300" t="s">
        <v>1068</v>
      </c>
      <c r="D4949" s="283" t="s">
        <v>1079</v>
      </c>
      <c r="E4949" s="283" t="s">
        <v>1094</v>
      </c>
      <c r="F4949" s="283" t="s">
        <v>1076</v>
      </c>
      <c r="G4949" s="283">
        <v>2</v>
      </c>
      <c r="H4949" s="283">
        <v>0</v>
      </c>
      <c r="I4949" s="283">
        <v>0</v>
      </c>
      <c r="J4949" s="284">
        <v>0</v>
      </c>
    </row>
    <row r="4950" spans="3:10" x14ac:dyDescent="0.25">
      <c r="C4950" s="300" t="s">
        <v>1061</v>
      </c>
      <c r="D4950" s="283" t="s">
        <v>1077</v>
      </c>
      <c r="E4950" s="283" t="s">
        <v>1078</v>
      </c>
      <c r="F4950" s="283" t="s">
        <v>1078</v>
      </c>
      <c r="G4950" s="283">
        <v>6</v>
      </c>
      <c r="H4950" s="283">
        <v>0</v>
      </c>
      <c r="I4950" s="283">
        <v>0</v>
      </c>
      <c r="J4950" s="284">
        <v>0</v>
      </c>
    </row>
    <row r="4951" spans="3:10" x14ac:dyDescent="0.25">
      <c r="C4951" s="300" t="s">
        <v>1061</v>
      </c>
      <c r="D4951" s="283" t="s">
        <v>1079</v>
      </c>
      <c r="E4951" s="283" t="s">
        <v>1088</v>
      </c>
      <c r="F4951" s="283" t="s">
        <v>1075</v>
      </c>
      <c r="G4951" s="283">
        <v>2</v>
      </c>
      <c r="H4951" s="283">
        <v>0</v>
      </c>
      <c r="I4951" s="283">
        <v>0</v>
      </c>
      <c r="J4951" s="284">
        <v>0</v>
      </c>
    </row>
    <row r="4952" spans="3:10" x14ac:dyDescent="0.25">
      <c r="C4952" s="300" t="s">
        <v>1062</v>
      </c>
      <c r="D4952" s="283" t="s">
        <v>1077</v>
      </c>
      <c r="E4952" s="283" t="s">
        <v>1078</v>
      </c>
      <c r="F4952" s="283" t="s">
        <v>1075</v>
      </c>
      <c r="G4952" s="283">
        <v>3</v>
      </c>
      <c r="H4952" s="283">
        <v>0</v>
      </c>
      <c r="I4952" s="283">
        <v>0</v>
      </c>
      <c r="J4952" s="284">
        <v>0</v>
      </c>
    </row>
    <row r="4953" spans="3:10" x14ac:dyDescent="0.25">
      <c r="C4953" s="300" t="s">
        <v>1061</v>
      </c>
      <c r="D4953" s="283" t="s">
        <v>1079</v>
      </c>
      <c r="E4953" s="283" t="s">
        <v>1078</v>
      </c>
      <c r="F4953" s="283" t="s">
        <v>1088</v>
      </c>
      <c r="G4953" s="283">
        <v>2</v>
      </c>
      <c r="H4953" s="283">
        <v>0</v>
      </c>
      <c r="I4953" s="283">
        <v>0</v>
      </c>
      <c r="J4953" s="284">
        <v>0</v>
      </c>
    </row>
    <row r="4954" spans="3:10" x14ac:dyDescent="0.25">
      <c r="C4954" s="300" t="s">
        <v>1065</v>
      </c>
      <c r="D4954" s="283" t="s">
        <v>1079</v>
      </c>
      <c r="E4954" s="283" t="s">
        <v>1091</v>
      </c>
      <c r="F4954" s="283" t="s">
        <v>1075</v>
      </c>
      <c r="G4954" s="283">
        <v>2</v>
      </c>
      <c r="H4954" s="283">
        <v>0</v>
      </c>
      <c r="I4954" s="283">
        <v>0</v>
      </c>
      <c r="J4954" s="284">
        <v>0</v>
      </c>
    </row>
    <row r="4955" spans="3:10" x14ac:dyDescent="0.25">
      <c r="C4955" s="300" t="s">
        <v>1066</v>
      </c>
      <c r="D4955" s="283" t="s">
        <v>1079</v>
      </c>
      <c r="E4955" s="283" t="s">
        <v>1075</v>
      </c>
      <c r="F4955" s="283" t="s">
        <v>1089</v>
      </c>
      <c r="G4955" s="283">
        <v>2</v>
      </c>
      <c r="H4955" s="283">
        <v>0</v>
      </c>
      <c r="I4955" s="283">
        <v>0</v>
      </c>
      <c r="J4955" s="284">
        <v>1</v>
      </c>
    </row>
    <row r="4956" spans="3:10" x14ac:dyDescent="0.25">
      <c r="C4956" s="300" t="s">
        <v>1067</v>
      </c>
      <c r="D4956" s="283" t="s">
        <v>1077</v>
      </c>
      <c r="E4956" s="283" t="s">
        <v>1075</v>
      </c>
      <c r="F4956" s="283" t="s">
        <v>1089</v>
      </c>
      <c r="G4956" s="283">
        <v>2</v>
      </c>
      <c r="H4956" s="283">
        <v>0</v>
      </c>
      <c r="I4956" s="283">
        <v>0</v>
      </c>
      <c r="J4956" s="284">
        <v>0</v>
      </c>
    </row>
    <row r="4957" spans="3:10" x14ac:dyDescent="0.25">
      <c r="C4957" s="300" t="s">
        <v>1064</v>
      </c>
      <c r="D4957" s="283" t="s">
        <v>1077</v>
      </c>
      <c r="E4957" s="283" t="s">
        <v>1089</v>
      </c>
      <c r="F4957" s="283" t="s">
        <v>1075</v>
      </c>
      <c r="G4957" s="283">
        <v>2</v>
      </c>
      <c r="H4957" s="283">
        <v>0</v>
      </c>
      <c r="I4957" s="283">
        <v>0</v>
      </c>
      <c r="J4957" s="284">
        <v>0</v>
      </c>
    </row>
    <row r="4958" spans="3:10" x14ac:dyDescent="0.25">
      <c r="C4958" s="300" t="s">
        <v>1064</v>
      </c>
      <c r="D4958" s="283" t="s">
        <v>1082</v>
      </c>
      <c r="E4958" s="283" t="s">
        <v>1089</v>
      </c>
      <c r="F4958" s="283" t="s">
        <v>1075</v>
      </c>
      <c r="G4958" s="283">
        <v>2</v>
      </c>
      <c r="H4958" s="283">
        <v>0</v>
      </c>
      <c r="I4958" s="283">
        <v>0</v>
      </c>
      <c r="J4958" s="284">
        <v>1</v>
      </c>
    </row>
    <row r="4959" spans="3:10" x14ac:dyDescent="0.25">
      <c r="C4959" s="300" t="s">
        <v>1059</v>
      </c>
      <c r="D4959" s="283" t="s">
        <v>1079</v>
      </c>
      <c r="E4959" s="283" t="s">
        <v>1075</v>
      </c>
      <c r="F4959" s="283" t="s">
        <v>1075</v>
      </c>
      <c r="G4959" s="283">
        <v>2</v>
      </c>
      <c r="H4959" s="283">
        <v>0</v>
      </c>
      <c r="I4959" s="283">
        <v>0</v>
      </c>
      <c r="J4959" s="284">
        <v>0</v>
      </c>
    </row>
    <row r="4960" spans="3:10" x14ac:dyDescent="0.25">
      <c r="C4960" s="300" t="s">
        <v>1062</v>
      </c>
      <c r="D4960" s="283" t="s">
        <v>1077</v>
      </c>
      <c r="E4960" s="283" t="s">
        <v>1075</v>
      </c>
      <c r="F4960" s="283" t="s">
        <v>1075</v>
      </c>
      <c r="G4960" s="283">
        <v>2</v>
      </c>
      <c r="H4960" s="283">
        <v>0</v>
      </c>
      <c r="I4960" s="283">
        <v>0</v>
      </c>
      <c r="J4960" s="284">
        <v>0</v>
      </c>
    </row>
    <row r="4961" spans="3:10" x14ac:dyDescent="0.25">
      <c r="C4961" s="300" t="s">
        <v>1062</v>
      </c>
      <c r="D4961" s="283" t="s">
        <v>1077</v>
      </c>
      <c r="E4961" s="283" t="s">
        <v>1075</v>
      </c>
      <c r="F4961" s="283" t="s">
        <v>1075</v>
      </c>
      <c r="G4961" s="283">
        <v>2</v>
      </c>
      <c r="H4961" s="283">
        <v>0</v>
      </c>
      <c r="I4961" s="283">
        <v>0</v>
      </c>
      <c r="J4961" s="284">
        <v>1</v>
      </c>
    </row>
    <row r="4962" spans="3:10" x14ac:dyDescent="0.25">
      <c r="C4962" s="300" t="s">
        <v>1060</v>
      </c>
      <c r="D4962" s="283" t="s">
        <v>1079</v>
      </c>
      <c r="E4962" s="283" t="s">
        <v>1075</v>
      </c>
      <c r="F4962" s="283" t="s">
        <v>1075</v>
      </c>
      <c r="G4962" s="283">
        <v>2</v>
      </c>
      <c r="H4962" s="283">
        <v>0</v>
      </c>
      <c r="I4962" s="283">
        <v>0</v>
      </c>
      <c r="J4962" s="284">
        <v>0</v>
      </c>
    </row>
    <row r="4963" spans="3:10" x14ac:dyDescent="0.25">
      <c r="C4963" s="300" t="s">
        <v>1064</v>
      </c>
      <c r="D4963" s="283" t="s">
        <v>1079</v>
      </c>
      <c r="E4963" s="283" t="s">
        <v>1075</v>
      </c>
      <c r="F4963" s="283" t="s">
        <v>1075</v>
      </c>
      <c r="G4963" s="283">
        <v>3</v>
      </c>
      <c r="H4963" s="283">
        <v>0</v>
      </c>
      <c r="I4963" s="283">
        <v>0</v>
      </c>
      <c r="J4963" s="284">
        <v>0</v>
      </c>
    </row>
    <row r="4964" spans="3:10" x14ac:dyDescent="0.25">
      <c r="C4964" s="300" t="s">
        <v>1068</v>
      </c>
      <c r="D4964" s="283" t="s">
        <v>1087</v>
      </c>
      <c r="E4964" s="283" t="s">
        <v>1075</v>
      </c>
      <c r="F4964" s="283" t="s">
        <v>524</v>
      </c>
      <c r="G4964" s="283">
        <v>1</v>
      </c>
      <c r="H4964" s="283">
        <v>0</v>
      </c>
      <c r="I4964" s="283">
        <v>0</v>
      </c>
      <c r="J4964" s="284">
        <v>0</v>
      </c>
    </row>
    <row r="4965" spans="3:10" x14ac:dyDescent="0.25">
      <c r="C4965" s="300" t="s">
        <v>1065</v>
      </c>
      <c r="D4965" s="283" t="s">
        <v>1074</v>
      </c>
      <c r="E4965" s="283" t="s">
        <v>1075</v>
      </c>
      <c r="F4965" s="283" t="s">
        <v>1084</v>
      </c>
      <c r="G4965" s="283">
        <v>2</v>
      </c>
      <c r="H4965" s="283">
        <v>0</v>
      </c>
      <c r="I4965" s="283">
        <v>0</v>
      </c>
      <c r="J4965" s="284">
        <v>0</v>
      </c>
    </row>
    <row r="4966" spans="3:10" x14ac:dyDescent="0.25">
      <c r="C4966" s="300" t="s">
        <v>1061</v>
      </c>
      <c r="D4966" s="283" t="s">
        <v>1079</v>
      </c>
      <c r="E4966" s="283" t="s">
        <v>1080</v>
      </c>
      <c r="F4966" s="283" t="s">
        <v>1075</v>
      </c>
      <c r="G4966" s="283">
        <v>2</v>
      </c>
      <c r="H4966" s="283">
        <v>0</v>
      </c>
      <c r="I4966" s="283">
        <v>0</v>
      </c>
      <c r="J4966" s="284">
        <v>0</v>
      </c>
    </row>
    <row r="4967" spans="3:10" x14ac:dyDescent="0.25">
      <c r="C4967" s="300" t="s">
        <v>1064</v>
      </c>
      <c r="D4967" s="283" t="s">
        <v>1079</v>
      </c>
      <c r="E4967" s="283" t="s">
        <v>1075</v>
      </c>
      <c r="F4967" s="283" t="s">
        <v>1076</v>
      </c>
      <c r="G4967" s="283">
        <v>2</v>
      </c>
      <c r="H4967" s="283">
        <v>0</v>
      </c>
      <c r="I4967" s="283">
        <v>0</v>
      </c>
      <c r="J4967" s="284">
        <v>0</v>
      </c>
    </row>
    <row r="4968" spans="3:10" x14ac:dyDescent="0.25">
      <c r="C4968" s="300" t="s">
        <v>1064</v>
      </c>
      <c r="D4968" s="283" t="s">
        <v>1074</v>
      </c>
      <c r="E4968" s="283" t="s">
        <v>1089</v>
      </c>
      <c r="F4968" s="283" t="s">
        <v>1089</v>
      </c>
      <c r="G4968" s="283">
        <v>2</v>
      </c>
      <c r="H4968" s="283">
        <v>0</v>
      </c>
      <c r="I4968" s="283">
        <v>0</v>
      </c>
      <c r="J4968" s="284">
        <v>0</v>
      </c>
    </row>
    <row r="4969" spans="3:10" x14ac:dyDescent="0.25">
      <c r="C4969" s="300" t="s">
        <v>1064</v>
      </c>
      <c r="D4969" s="283" t="s">
        <v>1079</v>
      </c>
      <c r="E4969" s="283" t="s">
        <v>1089</v>
      </c>
      <c r="F4969" s="283" t="s">
        <v>1075</v>
      </c>
      <c r="G4969" s="283">
        <v>2</v>
      </c>
      <c r="H4969" s="283">
        <v>0</v>
      </c>
      <c r="I4969" s="283">
        <v>0</v>
      </c>
      <c r="J4969" s="284">
        <v>0</v>
      </c>
    </row>
    <row r="4970" spans="3:10" x14ac:dyDescent="0.25">
      <c r="C4970" s="300" t="s">
        <v>1065</v>
      </c>
      <c r="D4970" s="283" t="s">
        <v>1087</v>
      </c>
      <c r="E4970" s="283" t="s">
        <v>1075</v>
      </c>
      <c r="F4970" s="283" t="s">
        <v>524</v>
      </c>
      <c r="G4970" s="283">
        <v>1</v>
      </c>
      <c r="H4970" s="283">
        <v>0</v>
      </c>
      <c r="I4970" s="283">
        <v>0</v>
      </c>
      <c r="J4970" s="284">
        <v>0</v>
      </c>
    </row>
    <row r="4971" spans="3:10" x14ac:dyDescent="0.25">
      <c r="C4971" s="300" t="s">
        <v>1064</v>
      </c>
      <c r="D4971" s="283" t="s">
        <v>1077</v>
      </c>
      <c r="E4971" s="283" t="s">
        <v>1084</v>
      </c>
      <c r="F4971" s="283" t="s">
        <v>1089</v>
      </c>
      <c r="G4971" s="283">
        <v>2</v>
      </c>
      <c r="H4971" s="283">
        <v>0</v>
      </c>
      <c r="I4971" s="283">
        <v>0</v>
      </c>
      <c r="J4971" s="284">
        <v>0</v>
      </c>
    </row>
    <row r="4972" spans="3:10" x14ac:dyDescent="0.25">
      <c r="C4972" s="300" t="s">
        <v>1066</v>
      </c>
      <c r="D4972" s="283" t="s">
        <v>1079</v>
      </c>
      <c r="E4972" s="283" t="s">
        <v>1075</v>
      </c>
      <c r="F4972" s="283" t="s">
        <v>1075</v>
      </c>
      <c r="G4972" s="283">
        <v>2</v>
      </c>
      <c r="H4972" s="283">
        <v>0</v>
      </c>
      <c r="I4972" s="283">
        <v>0</v>
      </c>
      <c r="J4972" s="284">
        <v>0</v>
      </c>
    </row>
    <row r="4973" spans="3:10" x14ac:dyDescent="0.25">
      <c r="C4973" s="300" t="s">
        <v>1061</v>
      </c>
      <c r="D4973" s="283" t="s">
        <v>1077</v>
      </c>
      <c r="E4973" s="283" t="s">
        <v>1075</v>
      </c>
      <c r="F4973" s="283" t="s">
        <v>1075</v>
      </c>
      <c r="G4973" s="283">
        <v>2</v>
      </c>
      <c r="H4973" s="283">
        <v>0</v>
      </c>
      <c r="I4973" s="283">
        <v>0</v>
      </c>
      <c r="J4973" s="284">
        <v>0</v>
      </c>
    </row>
    <row r="4974" spans="3:10" x14ac:dyDescent="0.25">
      <c r="C4974" s="300" t="s">
        <v>1062</v>
      </c>
      <c r="D4974" s="283" t="s">
        <v>1079</v>
      </c>
      <c r="E4974" s="283" t="s">
        <v>1086</v>
      </c>
      <c r="F4974" s="283" t="s">
        <v>1089</v>
      </c>
      <c r="G4974" s="283">
        <v>2</v>
      </c>
      <c r="H4974" s="283">
        <v>0</v>
      </c>
      <c r="I4974" s="283">
        <v>0</v>
      </c>
      <c r="J4974" s="284">
        <v>0</v>
      </c>
    </row>
    <row r="4975" spans="3:10" x14ac:dyDescent="0.25">
      <c r="C4975" s="300" t="s">
        <v>1060</v>
      </c>
      <c r="D4975" s="283" t="s">
        <v>1077</v>
      </c>
      <c r="E4975" s="283" t="s">
        <v>1075</v>
      </c>
      <c r="F4975" s="283" t="s">
        <v>1075</v>
      </c>
      <c r="G4975" s="283">
        <v>3</v>
      </c>
      <c r="H4975" s="283">
        <v>0</v>
      </c>
      <c r="I4975" s="283">
        <v>0</v>
      </c>
      <c r="J4975" s="284">
        <v>0</v>
      </c>
    </row>
    <row r="4976" spans="3:10" x14ac:dyDescent="0.25">
      <c r="C4976" s="300" t="s">
        <v>1065</v>
      </c>
      <c r="D4976" s="283" t="s">
        <v>1079</v>
      </c>
      <c r="E4976" s="283" t="s">
        <v>1081</v>
      </c>
      <c r="F4976" s="283" t="s">
        <v>1075</v>
      </c>
      <c r="G4976" s="283">
        <v>2</v>
      </c>
      <c r="H4976" s="283">
        <v>0</v>
      </c>
      <c r="I4976" s="283">
        <v>0</v>
      </c>
      <c r="J4976" s="284">
        <v>0</v>
      </c>
    </row>
    <row r="4977" spans="3:10" x14ac:dyDescent="0.25">
      <c r="C4977" s="300" t="s">
        <v>1064</v>
      </c>
      <c r="D4977" s="283" t="s">
        <v>1077</v>
      </c>
      <c r="E4977" s="283" t="s">
        <v>1075</v>
      </c>
      <c r="F4977" s="283" t="s">
        <v>1075</v>
      </c>
      <c r="G4977" s="283">
        <v>2</v>
      </c>
      <c r="H4977" s="283">
        <v>0</v>
      </c>
      <c r="I4977" s="283">
        <v>0</v>
      </c>
      <c r="J4977" s="284">
        <v>0</v>
      </c>
    </row>
    <row r="4978" spans="3:10" x14ac:dyDescent="0.25">
      <c r="C4978" s="300" t="s">
        <v>1068</v>
      </c>
      <c r="D4978" s="283" t="s">
        <v>1087</v>
      </c>
      <c r="E4978" s="283" t="s">
        <v>1078</v>
      </c>
      <c r="F4978" s="283" t="s">
        <v>1080</v>
      </c>
      <c r="G4978" s="283">
        <v>2</v>
      </c>
      <c r="H4978" s="283">
        <v>0</v>
      </c>
      <c r="I4978" s="283">
        <v>0</v>
      </c>
      <c r="J4978" s="284">
        <v>0</v>
      </c>
    </row>
    <row r="4979" spans="3:10" x14ac:dyDescent="0.25">
      <c r="C4979" s="300" t="s">
        <v>1065</v>
      </c>
      <c r="D4979" s="283" t="s">
        <v>1077</v>
      </c>
      <c r="E4979" s="283" t="s">
        <v>1089</v>
      </c>
      <c r="F4979" s="283" t="s">
        <v>1075</v>
      </c>
      <c r="G4979" s="283">
        <v>2</v>
      </c>
      <c r="H4979" s="283">
        <v>0</v>
      </c>
      <c r="I4979" s="283">
        <v>0</v>
      </c>
      <c r="J4979" s="284">
        <v>0</v>
      </c>
    </row>
    <row r="4980" spans="3:10" x14ac:dyDescent="0.25">
      <c r="C4980" s="300" t="s">
        <v>1063</v>
      </c>
      <c r="D4980" s="283" t="s">
        <v>1043</v>
      </c>
      <c r="E4980" s="283" t="s">
        <v>1080</v>
      </c>
      <c r="F4980" s="283" t="s">
        <v>1092</v>
      </c>
      <c r="G4980" s="283">
        <v>2</v>
      </c>
      <c r="H4980" s="283">
        <v>0</v>
      </c>
      <c r="I4980" s="283">
        <v>0</v>
      </c>
      <c r="J4980" s="284">
        <v>1</v>
      </c>
    </row>
    <row r="4981" spans="3:10" x14ac:dyDescent="0.25">
      <c r="C4981" s="300" t="s">
        <v>1064</v>
      </c>
      <c r="D4981" s="283" t="s">
        <v>1074</v>
      </c>
      <c r="E4981" s="283" t="s">
        <v>1075</v>
      </c>
      <c r="F4981" s="283" t="s">
        <v>1075</v>
      </c>
      <c r="G4981" s="283">
        <v>3</v>
      </c>
      <c r="H4981" s="283">
        <v>0</v>
      </c>
      <c r="I4981" s="283">
        <v>0</v>
      </c>
      <c r="J4981" s="284">
        <v>0</v>
      </c>
    </row>
    <row r="4982" spans="3:10" x14ac:dyDescent="0.25">
      <c r="C4982" s="300" t="s">
        <v>1068</v>
      </c>
      <c r="D4982" s="283" t="s">
        <v>1074</v>
      </c>
      <c r="E4982" s="283" t="s">
        <v>1075</v>
      </c>
      <c r="F4982" s="283" t="s">
        <v>1083</v>
      </c>
      <c r="G4982" s="283">
        <v>3</v>
      </c>
      <c r="H4982" s="283">
        <v>0</v>
      </c>
      <c r="I4982" s="283">
        <v>1</v>
      </c>
      <c r="J4982" s="284">
        <v>0</v>
      </c>
    </row>
    <row r="4983" spans="3:10" x14ac:dyDescent="0.25">
      <c r="C4983" s="300" t="s">
        <v>1058</v>
      </c>
      <c r="D4983" s="283" t="s">
        <v>1079</v>
      </c>
      <c r="E4983" s="283" t="s">
        <v>1086</v>
      </c>
      <c r="F4983" s="283" t="s">
        <v>1075</v>
      </c>
      <c r="G4983" s="283">
        <v>2</v>
      </c>
      <c r="H4983" s="283">
        <v>0</v>
      </c>
      <c r="I4983" s="283">
        <v>0</v>
      </c>
      <c r="J4983" s="284">
        <v>0</v>
      </c>
    </row>
    <row r="4984" spans="3:10" x14ac:dyDescent="0.25">
      <c r="C4984" s="300" t="s">
        <v>1065</v>
      </c>
      <c r="D4984" s="283" t="s">
        <v>1079</v>
      </c>
      <c r="E4984" s="283" t="s">
        <v>1044</v>
      </c>
      <c r="F4984" s="283" t="s">
        <v>1078</v>
      </c>
      <c r="G4984" s="283">
        <v>2</v>
      </c>
      <c r="H4984" s="283">
        <v>0</v>
      </c>
      <c r="I4984" s="283">
        <v>0</v>
      </c>
      <c r="J4984" s="284">
        <v>1</v>
      </c>
    </row>
    <row r="4985" spans="3:10" x14ac:dyDescent="0.25">
      <c r="C4985" s="300" t="s">
        <v>1066</v>
      </c>
      <c r="D4985" s="283" t="s">
        <v>1079</v>
      </c>
      <c r="E4985" s="283" t="s">
        <v>1044</v>
      </c>
      <c r="F4985" s="283" t="s">
        <v>1089</v>
      </c>
      <c r="G4985" s="283">
        <v>3</v>
      </c>
      <c r="H4985" s="283">
        <v>0</v>
      </c>
      <c r="I4985" s="283">
        <v>0</v>
      </c>
      <c r="J4985" s="284">
        <v>1</v>
      </c>
    </row>
    <row r="4986" spans="3:10" x14ac:dyDescent="0.25">
      <c r="C4986" s="300" t="s">
        <v>1062</v>
      </c>
      <c r="D4986" s="283" t="s">
        <v>1074</v>
      </c>
      <c r="E4986" s="283" t="s">
        <v>1075</v>
      </c>
      <c r="F4986" s="283" t="s">
        <v>1089</v>
      </c>
      <c r="G4986" s="283">
        <v>2</v>
      </c>
      <c r="H4986" s="283">
        <v>0</v>
      </c>
      <c r="I4986" s="283">
        <v>0</v>
      </c>
      <c r="J4986" s="284">
        <v>1</v>
      </c>
    </row>
    <row r="4987" spans="3:10" x14ac:dyDescent="0.25">
      <c r="C4987" s="300" t="s">
        <v>1059</v>
      </c>
      <c r="D4987" s="283" t="s">
        <v>1074</v>
      </c>
      <c r="E4987" s="283" t="s">
        <v>1081</v>
      </c>
      <c r="F4987" s="283" t="s">
        <v>1076</v>
      </c>
      <c r="G4987" s="283">
        <v>2</v>
      </c>
      <c r="H4987" s="283">
        <v>0</v>
      </c>
      <c r="I4987" s="283">
        <v>0</v>
      </c>
      <c r="J4987" s="284">
        <v>0</v>
      </c>
    </row>
    <row r="4988" spans="3:10" x14ac:dyDescent="0.25">
      <c r="C4988" s="300" t="s">
        <v>1066</v>
      </c>
      <c r="D4988" s="283" t="s">
        <v>1079</v>
      </c>
      <c r="E4988" s="283" t="s">
        <v>1089</v>
      </c>
      <c r="F4988" s="283" t="s">
        <v>1078</v>
      </c>
      <c r="G4988" s="283">
        <v>5</v>
      </c>
      <c r="H4988" s="283">
        <v>0</v>
      </c>
      <c r="I4988" s="283">
        <v>0</v>
      </c>
      <c r="J4988" s="284">
        <v>0</v>
      </c>
    </row>
    <row r="4989" spans="3:10" x14ac:dyDescent="0.25">
      <c r="C4989" s="300" t="s">
        <v>1066</v>
      </c>
      <c r="D4989" s="283" t="s">
        <v>1074</v>
      </c>
      <c r="E4989" s="283" t="s">
        <v>1089</v>
      </c>
      <c r="F4989" s="283" t="s">
        <v>1075</v>
      </c>
      <c r="G4989" s="283">
        <v>2</v>
      </c>
      <c r="H4989" s="283">
        <v>0</v>
      </c>
      <c r="I4989" s="283">
        <v>0</v>
      </c>
      <c r="J4989" s="284">
        <v>1</v>
      </c>
    </row>
    <row r="4990" spans="3:10" x14ac:dyDescent="0.25">
      <c r="C4990" s="300" t="s">
        <v>1063</v>
      </c>
      <c r="D4990" s="283" t="s">
        <v>1077</v>
      </c>
      <c r="E4990" s="283" t="s">
        <v>1089</v>
      </c>
      <c r="F4990" s="283" t="s">
        <v>1075</v>
      </c>
      <c r="G4990" s="283">
        <v>2</v>
      </c>
      <c r="H4990" s="283">
        <v>0</v>
      </c>
      <c r="I4990" s="283">
        <v>1</v>
      </c>
      <c r="J4990" s="284">
        <v>0</v>
      </c>
    </row>
    <row r="4991" spans="3:10" x14ac:dyDescent="0.25">
      <c r="C4991" s="300" t="s">
        <v>1068</v>
      </c>
      <c r="D4991" s="283" t="s">
        <v>1079</v>
      </c>
      <c r="E4991" s="283" t="s">
        <v>1075</v>
      </c>
      <c r="F4991" s="283" t="s">
        <v>1075</v>
      </c>
      <c r="G4991" s="283">
        <v>2</v>
      </c>
      <c r="H4991" s="283">
        <v>0</v>
      </c>
      <c r="I4991" s="283">
        <v>0</v>
      </c>
      <c r="J4991" s="284">
        <v>2</v>
      </c>
    </row>
    <row r="4992" spans="3:10" x14ac:dyDescent="0.25">
      <c r="C4992" s="300" t="s">
        <v>1067</v>
      </c>
      <c r="D4992" s="283" t="s">
        <v>1090</v>
      </c>
      <c r="E4992" s="283" t="s">
        <v>1083</v>
      </c>
      <c r="F4992" s="283" t="s">
        <v>524</v>
      </c>
      <c r="G4992" s="283">
        <v>1</v>
      </c>
      <c r="H4992" s="283">
        <v>0</v>
      </c>
      <c r="I4992" s="283">
        <v>0</v>
      </c>
      <c r="J4992" s="284">
        <v>0</v>
      </c>
    </row>
    <row r="4993" spans="3:10" x14ac:dyDescent="0.25">
      <c r="C4993" s="300" t="s">
        <v>1068</v>
      </c>
      <c r="D4993" s="283" t="s">
        <v>1079</v>
      </c>
      <c r="E4993" s="283" t="s">
        <v>1089</v>
      </c>
      <c r="F4993" s="283" t="s">
        <v>1078</v>
      </c>
      <c r="G4993" s="283">
        <v>2</v>
      </c>
      <c r="H4993" s="283">
        <v>0</v>
      </c>
      <c r="I4993" s="283">
        <v>0</v>
      </c>
      <c r="J4993" s="284">
        <v>1</v>
      </c>
    </row>
    <row r="4994" spans="3:10" x14ac:dyDescent="0.25">
      <c r="C4994" s="300" t="s">
        <v>1068</v>
      </c>
      <c r="D4994" s="283" t="s">
        <v>1087</v>
      </c>
      <c r="E4994" s="283" t="s">
        <v>1075</v>
      </c>
      <c r="F4994" s="283" t="s">
        <v>524</v>
      </c>
      <c r="G4994" s="283">
        <v>1</v>
      </c>
      <c r="H4994" s="283">
        <v>0</v>
      </c>
      <c r="I4994" s="283">
        <v>0</v>
      </c>
      <c r="J4994" s="284">
        <v>0</v>
      </c>
    </row>
    <row r="4995" spans="3:10" x14ac:dyDescent="0.25">
      <c r="C4995" s="300" t="s">
        <v>1062</v>
      </c>
      <c r="D4995" s="283" t="s">
        <v>1079</v>
      </c>
      <c r="E4995" s="283" t="s">
        <v>1089</v>
      </c>
      <c r="F4995" s="283" t="s">
        <v>1089</v>
      </c>
      <c r="G4995" s="283">
        <v>2</v>
      </c>
      <c r="H4995" s="283">
        <v>0</v>
      </c>
      <c r="I4995" s="283">
        <v>0</v>
      </c>
      <c r="J4995" s="284">
        <v>1</v>
      </c>
    </row>
    <row r="4996" spans="3:10" x14ac:dyDescent="0.25">
      <c r="C4996" s="300" t="s">
        <v>1062</v>
      </c>
      <c r="D4996" s="283" t="s">
        <v>1074</v>
      </c>
      <c r="E4996" s="283" t="s">
        <v>1075</v>
      </c>
      <c r="F4996" s="283" t="s">
        <v>1075</v>
      </c>
      <c r="G4996" s="283">
        <v>2</v>
      </c>
      <c r="H4996" s="283">
        <v>0</v>
      </c>
      <c r="I4996" s="283">
        <v>0</v>
      </c>
      <c r="J4996" s="284">
        <v>1</v>
      </c>
    </row>
    <row r="4997" spans="3:10" x14ac:dyDescent="0.25">
      <c r="C4997" s="300" t="s">
        <v>1064</v>
      </c>
      <c r="D4997" s="283" t="s">
        <v>1082</v>
      </c>
      <c r="E4997" s="283" t="s">
        <v>1075</v>
      </c>
      <c r="F4997" s="283" t="s">
        <v>1075</v>
      </c>
      <c r="G4997" s="283">
        <v>3</v>
      </c>
      <c r="H4997" s="283">
        <v>0</v>
      </c>
      <c r="I4997" s="283">
        <v>0</v>
      </c>
      <c r="J4997" s="284">
        <v>1</v>
      </c>
    </row>
    <row r="4998" spans="3:10" x14ac:dyDescent="0.25">
      <c r="C4998" s="300" t="s">
        <v>1067</v>
      </c>
      <c r="D4998" s="283" t="s">
        <v>1087</v>
      </c>
      <c r="E4998" s="283" t="s">
        <v>1075</v>
      </c>
      <c r="F4998" s="283" t="s">
        <v>524</v>
      </c>
      <c r="G4998" s="283">
        <v>1</v>
      </c>
      <c r="H4998" s="283">
        <v>0</v>
      </c>
      <c r="I4998" s="283">
        <v>0</v>
      </c>
      <c r="J4998" s="284">
        <v>0</v>
      </c>
    </row>
    <row r="4999" spans="3:10" x14ac:dyDescent="0.25">
      <c r="C4999" s="300" t="s">
        <v>1065</v>
      </c>
      <c r="D4999" s="283" t="s">
        <v>1079</v>
      </c>
      <c r="E4999" s="283" t="s">
        <v>1084</v>
      </c>
      <c r="F4999" s="283" t="s">
        <v>1084</v>
      </c>
      <c r="G4999" s="283">
        <v>2</v>
      </c>
      <c r="H4999" s="283">
        <v>0</v>
      </c>
      <c r="I4999" s="283">
        <v>0</v>
      </c>
      <c r="J4999" s="284">
        <v>0</v>
      </c>
    </row>
    <row r="5000" spans="3:10" x14ac:dyDescent="0.25">
      <c r="C5000" s="300" t="s">
        <v>1065</v>
      </c>
      <c r="D5000" s="283" t="s">
        <v>1079</v>
      </c>
      <c r="E5000" s="283" t="s">
        <v>1075</v>
      </c>
      <c r="F5000" s="283" t="s">
        <v>1076</v>
      </c>
      <c r="G5000" s="283">
        <v>2</v>
      </c>
      <c r="H5000" s="283">
        <v>0</v>
      </c>
      <c r="I5000" s="283">
        <v>0</v>
      </c>
      <c r="J5000" s="284">
        <v>1</v>
      </c>
    </row>
    <row r="5001" spans="3:10" x14ac:dyDescent="0.25">
      <c r="C5001" s="300" t="s">
        <v>1060</v>
      </c>
      <c r="D5001" s="283" t="s">
        <v>1074</v>
      </c>
      <c r="E5001" s="283" t="s">
        <v>1089</v>
      </c>
      <c r="F5001" s="283" t="s">
        <v>1044</v>
      </c>
      <c r="G5001" s="283">
        <v>2</v>
      </c>
      <c r="H5001" s="283">
        <v>0</v>
      </c>
      <c r="I5001" s="283">
        <v>0</v>
      </c>
      <c r="J5001" s="284">
        <v>0</v>
      </c>
    </row>
    <row r="5002" spans="3:10" x14ac:dyDescent="0.25">
      <c r="C5002" s="300" t="s">
        <v>1066</v>
      </c>
      <c r="D5002" s="283" t="s">
        <v>1079</v>
      </c>
      <c r="E5002" s="283" t="s">
        <v>1078</v>
      </c>
      <c r="F5002" s="283" t="s">
        <v>1075</v>
      </c>
      <c r="G5002" s="283">
        <v>2</v>
      </c>
      <c r="H5002" s="283">
        <v>0</v>
      </c>
      <c r="I5002" s="283">
        <v>0</v>
      </c>
      <c r="J5002" s="284">
        <v>0</v>
      </c>
    </row>
    <row r="5003" spans="3:10" x14ac:dyDescent="0.25">
      <c r="C5003" s="300" t="s">
        <v>1063</v>
      </c>
      <c r="D5003" s="283" t="s">
        <v>1087</v>
      </c>
      <c r="E5003" s="283" t="s">
        <v>1089</v>
      </c>
      <c r="F5003" s="283" t="s">
        <v>524</v>
      </c>
      <c r="G5003" s="283">
        <v>1</v>
      </c>
      <c r="H5003" s="283">
        <v>0</v>
      </c>
      <c r="I5003" s="283">
        <v>0</v>
      </c>
      <c r="J5003" s="284">
        <v>1</v>
      </c>
    </row>
    <row r="5004" spans="3:10" x14ac:dyDescent="0.25">
      <c r="C5004" s="300" t="s">
        <v>1064</v>
      </c>
      <c r="D5004" s="283" t="s">
        <v>1074</v>
      </c>
      <c r="E5004" s="283" t="s">
        <v>1089</v>
      </c>
      <c r="F5004" s="283" t="s">
        <v>1075</v>
      </c>
      <c r="G5004" s="283">
        <v>2</v>
      </c>
      <c r="H5004" s="283">
        <v>0</v>
      </c>
      <c r="I5004" s="283">
        <v>0</v>
      </c>
      <c r="J5004" s="284">
        <v>0</v>
      </c>
    </row>
    <row r="5005" spans="3:10" x14ac:dyDescent="0.25">
      <c r="C5005" s="300" t="s">
        <v>1067</v>
      </c>
      <c r="D5005" s="283" t="s">
        <v>1074</v>
      </c>
      <c r="E5005" s="283" t="s">
        <v>1075</v>
      </c>
      <c r="F5005" s="283" t="s">
        <v>1075</v>
      </c>
      <c r="G5005" s="283">
        <v>2</v>
      </c>
      <c r="H5005" s="283">
        <v>0</v>
      </c>
      <c r="I5005" s="283">
        <v>0</v>
      </c>
      <c r="J5005" s="284">
        <v>1</v>
      </c>
    </row>
    <row r="5006" spans="3:10" x14ac:dyDescent="0.25">
      <c r="C5006" s="300" t="s">
        <v>1062</v>
      </c>
      <c r="D5006" s="283" t="s">
        <v>1087</v>
      </c>
      <c r="E5006" s="283" t="s">
        <v>1080</v>
      </c>
      <c r="F5006" s="283" t="s">
        <v>524</v>
      </c>
      <c r="G5006" s="283">
        <v>1</v>
      </c>
      <c r="H5006" s="283">
        <v>0</v>
      </c>
      <c r="I5006" s="283">
        <v>0</v>
      </c>
      <c r="J5006" s="284">
        <v>0</v>
      </c>
    </row>
    <row r="5007" spans="3:10" x14ac:dyDescent="0.25">
      <c r="C5007" s="300" t="s">
        <v>1063</v>
      </c>
      <c r="D5007" s="283" t="s">
        <v>1079</v>
      </c>
      <c r="E5007" s="283" t="s">
        <v>1075</v>
      </c>
      <c r="F5007" s="283" t="s">
        <v>1075</v>
      </c>
      <c r="G5007" s="283">
        <v>3</v>
      </c>
      <c r="H5007" s="283">
        <v>0</v>
      </c>
      <c r="I5007" s="283">
        <v>1</v>
      </c>
      <c r="J5007" s="284">
        <v>0</v>
      </c>
    </row>
    <row r="5008" spans="3:10" x14ac:dyDescent="0.25">
      <c r="C5008" s="300" t="s">
        <v>1061</v>
      </c>
      <c r="D5008" s="283" t="s">
        <v>1077</v>
      </c>
      <c r="E5008" s="283" t="s">
        <v>1078</v>
      </c>
      <c r="F5008" s="283" t="s">
        <v>1084</v>
      </c>
      <c r="G5008" s="283">
        <v>2</v>
      </c>
      <c r="H5008" s="283">
        <v>0</v>
      </c>
      <c r="I5008" s="283">
        <v>0</v>
      </c>
      <c r="J5008" s="284">
        <v>0</v>
      </c>
    </row>
    <row r="5009" spans="3:10" x14ac:dyDescent="0.25">
      <c r="C5009" s="300" t="s">
        <v>1067</v>
      </c>
      <c r="D5009" s="283" t="s">
        <v>1074</v>
      </c>
      <c r="E5009" s="283" t="s">
        <v>1089</v>
      </c>
      <c r="F5009" s="283" t="s">
        <v>1078</v>
      </c>
      <c r="G5009" s="283">
        <v>2</v>
      </c>
      <c r="H5009" s="283">
        <v>0</v>
      </c>
      <c r="I5009" s="283">
        <v>0</v>
      </c>
      <c r="J5009" s="284">
        <v>0</v>
      </c>
    </row>
    <row r="5010" spans="3:10" x14ac:dyDescent="0.25">
      <c r="C5010" s="300" t="s">
        <v>1067</v>
      </c>
      <c r="D5010" s="283" t="s">
        <v>1079</v>
      </c>
      <c r="E5010" s="283" t="s">
        <v>1078</v>
      </c>
      <c r="F5010" s="283" t="s">
        <v>1089</v>
      </c>
      <c r="G5010" s="283">
        <v>2</v>
      </c>
      <c r="H5010" s="283">
        <v>0</v>
      </c>
      <c r="I5010" s="283">
        <v>0</v>
      </c>
      <c r="J5010" s="284">
        <v>0</v>
      </c>
    </row>
    <row r="5011" spans="3:10" x14ac:dyDescent="0.25">
      <c r="C5011" s="300" t="s">
        <v>1065</v>
      </c>
      <c r="D5011" s="283" t="s">
        <v>1090</v>
      </c>
      <c r="E5011" s="283" t="s">
        <v>1078</v>
      </c>
      <c r="F5011" s="283" t="s">
        <v>524</v>
      </c>
      <c r="G5011" s="283">
        <v>1</v>
      </c>
      <c r="H5011" s="283">
        <v>0</v>
      </c>
      <c r="I5011" s="283">
        <v>0</v>
      </c>
      <c r="J5011" s="284">
        <v>0</v>
      </c>
    </row>
    <row r="5012" spans="3:10" x14ac:dyDescent="0.25">
      <c r="C5012" s="300" t="s">
        <v>1061</v>
      </c>
      <c r="D5012" s="283" t="s">
        <v>1079</v>
      </c>
      <c r="E5012" s="283" t="s">
        <v>1075</v>
      </c>
      <c r="F5012" s="283" t="s">
        <v>1089</v>
      </c>
      <c r="G5012" s="283">
        <v>2</v>
      </c>
      <c r="H5012" s="283">
        <v>0</v>
      </c>
      <c r="I5012" s="283">
        <v>0</v>
      </c>
      <c r="J5012" s="284">
        <v>0</v>
      </c>
    </row>
    <row r="5013" spans="3:10" x14ac:dyDescent="0.25">
      <c r="C5013" s="300" t="s">
        <v>1065</v>
      </c>
      <c r="D5013" s="283" t="s">
        <v>1077</v>
      </c>
      <c r="E5013" s="283" t="s">
        <v>1075</v>
      </c>
      <c r="F5013" s="283" t="s">
        <v>1075</v>
      </c>
      <c r="G5013" s="283">
        <v>2</v>
      </c>
      <c r="H5013" s="283">
        <v>0</v>
      </c>
      <c r="I5013" s="283">
        <v>0</v>
      </c>
      <c r="J5013" s="284">
        <v>0</v>
      </c>
    </row>
    <row r="5014" spans="3:10" x14ac:dyDescent="0.25">
      <c r="C5014" s="300" t="s">
        <v>1061</v>
      </c>
      <c r="D5014" s="283" t="s">
        <v>1074</v>
      </c>
      <c r="E5014" s="283" t="s">
        <v>1075</v>
      </c>
      <c r="F5014" s="283" t="s">
        <v>1075</v>
      </c>
      <c r="G5014" s="283">
        <v>2</v>
      </c>
      <c r="H5014" s="283">
        <v>0</v>
      </c>
      <c r="I5014" s="283">
        <v>0</v>
      </c>
      <c r="J5014" s="284">
        <v>0</v>
      </c>
    </row>
    <row r="5015" spans="3:10" x14ac:dyDescent="0.25">
      <c r="C5015" s="300" t="s">
        <v>1063</v>
      </c>
      <c r="D5015" s="283" t="s">
        <v>1077</v>
      </c>
      <c r="E5015" s="283" t="s">
        <v>1089</v>
      </c>
      <c r="F5015" s="283" t="s">
        <v>1078</v>
      </c>
      <c r="G5015" s="283">
        <v>2</v>
      </c>
      <c r="H5015" s="283">
        <v>0</v>
      </c>
      <c r="I5015" s="283">
        <v>0</v>
      </c>
      <c r="J5015" s="284">
        <v>0</v>
      </c>
    </row>
    <row r="5016" spans="3:10" x14ac:dyDescent="0.25">
      <c r="C5016" s="300" t="s">
        <v>1064</v>
      </c>
      <c r="D5016" s="283" t="s">
        <v>1074</v>
      </c>
      <c r="E5016" s="283" t="s">
        <v>1075</v>
      </c>
      <c r="F5016" s="283" t="s">
        <v>1089</v>
      </c>
      <c r="G5016" s="283">
        <v>2</v>
      </c>
      <c r="H5016" s="283">
        <v>0</v>
      </c>
      <c r="I5016" s="283">
        <v>0</v>
      </c>
      <c r="J5016" s="284">
        <v>0</v>
      </c>
    </row>
    <row r="5017" spans="3:10" x14ac:dyDescent="0.25">
      <c r="C5017" s="300" t="s">
        <v>1057</v>
      </c>
      <c r="D5017" s="283" t="s">
        <v>1074</v>
      </c>
      <c r="E5017" s="283" t="s">
        <v>1075</v>
      </c>
      <c r="F5017" s="283" t="s">
        <v>1075</v>
      </c>
      <c r="G5017" s="283">
        <v>2</v>
      </c>
      <c r="H5017" s="283">
        <v>0</v>
      </c>
      <c r="I5017" s="283">
        <v>0</v>
      </c>
      <c r="J5017" s="284">
        <v>0</v>
      </c>
    </row>
    <row r="5018" spans="3:10" x14ac:dyDescent="0.25">
      <c r="C5018" s="300" t="s">
        <v>1063</v>
      </c>
      <c r="D5018" s="283" t="s">
        <v>1079</v>
      </c>
      <c r="E5018" s="283" t="s">
        <v>1075</v>
      </c>
      <c r="F5018" s="283" t="s">
        <v>1075</v>
      </c>
      <c r="G5018" s="283">
        <v>2</v>
      </c>
      <c r="H5018" s="283">
        <v>0</v>
      </c>
      <c r="I5018" s="283">
        <v>0</v>
      </c>
      <c r="J5018" s="284">
        <v>0</v>
      </c>
    </row>
    <row r="5019" spans="3:10" x14ac:dyDescent="0.25">
      <c r="C5019" s="300" t="s">
        <v>1064</v>
      </c>
      <c r="D5019" s="283" t="s">
        <v>1079</v>
      </c>
      <c r="E5019" s="283" t="s">
        <v>1088</v>
      </c>
      <c r="F5019" s="283" t="s">
        <v>1075</v>
      </c>
      <c r="G5019" s="283">
        <v>4</v>
      </c>
      <c r="H5019" s="283">
        <v>0</v>
      </c>
      <c r="I5019" s="283">
        <v>0</v>
      </c>
      <c r="J5019" s="284">
        <v>0</v>
      </c>
    </row>
    <row r="5020" spans="3:10" x14ac:dyDescent="0.25">
      <c r="C5020" s="300" t="s">
        <v>1061</v>
      </c>
      <c r="D5020" s="283" t="s">
        <v>1087</v>
      </c>
      <c r="E5020" s="283" t="s">
        <v>1075</v>
      </c>
      <c r="F5020" s="283" t="s">
        <v>524</v>
      </c>
      <c r="G5020" s="283">
        <v>1</v>
      </c>
      <c r="H5020" s="283">
        <v>0</v>
      </c>
      <c r="I5020" s="283">
        <v>0</v>
      </c>
      <c r="J5020" s="284">
        <v>0</v>
      </c>
    </row>
    <row r="5021" spans="3:10" x14ac:dyDescent="0.25">
      <c r="C5021" s="300" t="s">
        <v>1064</v>
      </c>
      <c r="D5021" s="283" t="s">
        <v>1074</v>
      </c>
      <c r="E5021" s="283" t="s">
        <v>1089</v>
      </c>
      <c r="F5021" s="283" t="s">
        <v>1075</v>
      </c>
      <c r="G5021" s="283">
        <v>2</v>
      </c>
      <c r="H5021" s="283">
        <v>0</v>
      </c>
      <c r="I5021" s="283">
        <v>1</v>
      </c>
      <c r="J5021" s="284">
        <v>0</v>
      </c>
    </row>
    <row r="5022" spans="3:10" x14ac:dyDescent="0.25">
      <c r="C5022" s="300" t="s">
        <v>1064</v>
      </c>
      <c r="D5022" s="283" t="s">
        <v>1077</v>
      </c>
      <c r="E5022" s="283" t="s">
        <v>1075</v>
      </c>
      <c r="F5022" s="283" t="s">
        <v>1075</v>
      </c>
      <c r="G5022" s="283">
        <v>2</v>
      </c>
      <c r="H5022" s="283">
        <v>0</v>
      </c>
      <c r="I5022" s="283">
        <v>0</v>
      </c>
      <c r="J5022" s="284">
        <v>0</v>
      </c>
    </row>
    <row r="5023" spans="3:10" x14ac:dyDescent="0.25">
      <c r="C5023" s="300" t="s">
        <v>1065</v>
      </c>
      <c r="D5023" s="283" t="s">
        <v>1077</v>
      </c>
      <c r="E5023" s="283" t="s">
        <v>1089</v>
      </c>
      <c r="F5023" s="283" t="s">
        <v>1089</v>
      </c>
      <c r="G5023" s="283">
        <v>3</v>
      </c>
      <c r="H5023" s="283">
        <v>0</v>
      </c>
      <c r="I5023" s="283">
        <v>0</v>
      </c>
      <c r="J5023" s="284">
        <v>1</v>
      </c>
    </row>
    <row r="5024" spans="3:10" x14ac:dyDescent="0.25">
      <c r="C5024" s="300" t="s">
        <v>1066</v>
      </c>
      <c r="D5024" s="283" t="s">
        <v>1077</v>
      </c>
      <c r="E5024" s="283" t="s">
        <v>1089</v>
      </c>
      <c r="F5024" s="283" t="s">
        <v>1075</v>
      </c>
      <c r="G5024" s="283">
        <v>2</v>
      </c>
      <c r="H5024" s="283">
        <v>0</v>
      </c>
      <c r="I5024" s="283">
        <v>0</v>
      </c>
      <c r="J5024" s="284">
        <v>0</v>
      </c>
    </row>
    <row r="5025" spans="3:10" x14ac:dyDescent="0.25">
      <c r="C5025" s="300" t="s">
        <v>1061</v>
      </c>
      <c r="D5025" s="283" t="s">
        <v>1074</v>
      </c>
      <c r="E5025" s="283" t="s">
        <v>1089</v>
      </c>
      <c r="F5025" s="283" t="s">
        <v>1075</v>
      </c>
      <c r="G5025" s="283">
        <v>2</v>
      </c>
      <c r="H5025" s="283">
        <v>0</v>
      </c>
      <c r="I5025" s="283">
        <v>0</v>
      </c>
      <c r="J5025" s="284">
        <v>0</v>
      </c>
    </row>
    <row r="5026" spans="3:10" x14ac:dyDescent="0.25">
      <c r="C5026" s="300" t="s">
        <v>1063</v>
      </c>
      <c r="D5026" s="283" t="s">
        <v>1074</v>
      </c>
      <c r="E5026" s="283" t="s">
        <v>1089</v>
      </c>
      <c r="F5026" s="283" t="s">
        <v>1089</v>
      </c>
      <c r="G5026" s="283">
        <v>3</v>
      </c>
      <c r="H5026" s="283">
        <v>0</v>
      </c>
      <c r="I5026" s="283">
        <v>0</v>
      </c>
      <c r="J5026" s="284">
        <v>0</v>
      </c>
    </row>
    <row r="5027" spans="3:10" x14ac:dyDescent="0.25">
      <c r="C5027" s="300" t="s">
        <v>1065</v>
      </c>
      <c r="D5027" s="283" t="s">
        <v>1077</v>
      </c>
      <c r="E5027" s="283" t="s">
        <v>1083</v>
      </c>
      <c r="F5027" s="283" t="s">
        <v>1075</v>
      </c>
      <c r="G5027" s="283">
        <v>2</v>
      </c>
      <c r="H5027" s="283">
        <v>0</v>
      </c>
      <c r="I5027" s="283">
        <v>0</v>
      </c>
      <c r="J5027" s="284">
        <v>0</v>
      </c>
    </row>
    <row r="5028" spans="3:10" x14ac:dyDescent="0.25">
      <c r="C5028" s="300" t="s">
        <v>1065</v>
      </c>
      <c r="D5028" s="283" t="s">
        <v>1074</v>
      </c>
      <c r="E5028" s="283" t="s">
        <v>1075</v>
      </c>
      <c r="F5028" s="283" t="s">
        <v>1075</v>
      </c>
      <c r="G5028" s="283">
        <v>2</v>
      </c>
      <c r="H5028" s="283">
        <v>0</v>
      </c>
      <c r="I5028" s="283">
        <v>0</v>
      </c>
      <c r="J5028" s="284">
        <v>0</v>
      </c>
    </row>
    <row r="5029" spans="3:10" x14ac:dyDescent="0.25">
      <c r="C5029" s="300" t="s">
        <v>1065</v>
      </c>
      <c r="D5029" s="283" t="s">
        <v>1074</v>
      </c>
      <c r="E5029" s="283" t="s">
        <v>1089</v>
      </c>
      <c r="F5029" s="283" t="s">
        <v>1075</v>
      </c>
      <c r="G5029" s="283">
        <v>2</v>
      </c>
      <c r="H5029" s="283">
        <v>0</v>
      </c>
      <c r="I5029" s="283">
        <v>0</v>
      </c>
      <c r="J5029" s="284">
        <v>0</v>
      </c>
    </row>
    <row r="5030" spans="3:10" x14ac:dyDescent="0.25">
      <c r="C5030" s="300" t="s">
        <v>1068</v>
      </c>
      <c r="D5030" s="283" t="s">
        <v>1087</v>
      </c>
      <c r="E5030" s="283" t="s">
        <v>1089</v>
      </c>
      <c r="F5030" s="283" t="s">
        <v>524</v>
      </c>
      <c r="G5030" s="283">
        <v>1</v>
      </c>
      <c r="H5030" s="283">
        <v>0</v>
      </c>
      <c r="I5030" s="283">
        <v>0</v>
      </c>
      <c r="J5030" s="284">
        <v>0</v>
      </c>
    </row>
    <row r="5031" spans="3:10" x14ac:dyDescent="0.25">
      <c r="C5031" s="300" t="s">
        <v>1063</v>
      </c>
      <c r="D5031" s="283" t="s">
        <v>1079</v>
      </c>
      <c r="E5031" s="283" t="s">
        <v>1083</v>
      </c>
      <c r="F5031" s="283" t="s">
        <v>1089</v>
      </c>
      <c r="G5031" s="283">
        <v>2</v>
      </c>
      <c r="H5031" s="283">
        <v>0</v>
      </c>
      <c r="I5031" s="283">
        <v>0</v>
      </c>
      <c r="J5031" s="284">
        <v>0</v>
      </c>
    </row>
    <row r="5032" spans="3:10" x14ac:dyDescent="0.25">
      <c r="C5032" s="300" t="s">
        <v>1063</v>
      </c>
      <c r="D5032" s="283" t="s">
        <v>1087</v>
      </c>
      <c r="E5032" s="283" t="s">
        <v>1075</v>
      </c>
      <c r="F5032" s="283" t="s">
        <v>524</v>
      </c>
      <c r="G5032" s="283">
        <v>1</v>
      </c>
      <c r="H5032" s="283">
        <v>0</v>
      </c>
      <c r="I5032" s="283">
        <v>0</v>
      </c>
      <c r="J5032" s="284">
        <v>1</v>
      </c>
    </row>
    <row r="5033" spans="3:10" x14ac:dyDescent="0.25">
      <c r="C5033" s="300" t="s">
        <v>1062</v>
      </c>
      <c r="D5033" s="283" t="s">
        <v>1087</v>
      </c>
      <c r="E5033" s="283" t="s">
        <v>1081</v>
      </c>
      <c r="F5033" s="283" t="s">
        <v>524</v>
      </c>
      <c r="G5033" s="283">
        <v>1</v>
      </c>
      <c r="H5033" s="283">
        <v>0</v>
      </c>
      <c r="I5033" s="283">
        <v>0</v>
      </c>
      <c r="J5033" s="284">
        <v>2</v>
      </c>
    </row>
    <row r="5034" spans="3:10" x14ac:dyDescent="0.25">
      <c r="C5034" s="300" t="s">
        <v>1064</v>
      </c>
      <c r="D5034" s="283" t="s">
        <v>1077</v>
      </c>
      <c r="E5034" s="283" t="s">
        <v>1076</v>
      </c>
      <c r="F5034" s="283" t="s">
        <v>1075</v>
      </c>
      <c r="G5034" s="283">
        <v>2</v>
      </c>
      <c r="H5034" s="283">
        <v>0</v>
      </c>
      <c r="I5034" s="283">
        <v>0</v>
      </c>
      <c r="J5034" s="284">
        <v>0</v>
      </c>
    </row>
    <row r="5035" spans="3:10" x14ac:dyDescent="0.25">
      <c r="C5035" s="300" t="s">
        <v>1066</v>
      </c>
      <c r="D5035" s="283" t="s">
        <v>1082</v>
      </c>
      <c r="E5035" s="283" t="s">
        <v>1076</v>
      </c>
      <c r="F5035" s="283" t="s">
        <v>1075</v>
      </c>
      <c r="G5035" s="283">
        <v>2</v>
      </c>
      <c r="H5035" s="283">
        <v>0</v>
      </c>
      <c r="I5035" s="283">
        <v>0</v>
      </c>
      <c r="J5035" s="284">
        <v>0</v>
      </c>
    </row>
    <row r="5036" spans="3:10" x14ac:dyDescent="0.25">
      <c r="C5036" s="300" t="s">
        <v>1064</v>
      </c>
      <c r="D5036" s="283" t="s">
        <v>1079</v>
      </c>
      <c r="E5036" s="283" t="s">
        <v>1075</v>
      </c>
      <c r="F5036" s="283" t="s">
        <v>1044</v>
      </c>
      <c r="G5036" s="283">
        <v>2</v>
      </c>
      <c r="H5036" s="283">
        <v>0</v>
      </c>
      <c r="I5036" s="283">
        <v>1</v>
      </c>
      <c r="J5036" s="284">
        <v>0</v>
      </c>
    </row>
    <row r="5037" spans="3:10" x14ac:dyDescent="0.25">
      <c r="C5037" s="300" t="s">
        <v>1065</v>
      </c>
      <c r="D5037" s="283" t="s">
        <v>1090</v>
      </c>
      <c r="E5037" s="283" t="s">
        <v>1083</v>
      </c>
      <c r="F5037" s="283" t="s">
        <v>524</v>
      </c>
      <c r="G5037" s="283">
        <v>1</v>
      </c>
      <c r="H5037" s="283">
        <v>0</v>
      </c>
      <c r="I5037" s="283">
        <v>0</v>
      </c>
      <c r="J5037" s="284">
        <v>0</v>
      </c>
    </row>
    <row r="5038" spans="3:10" x14ac:dyDescent="0.25">
      <c r="C5038" s="300" t="s">
        <v>1064</v>
      </c>
      <c r="D5038" s="283" t="s">
        <v>1079</v>
      </c>
      <c r="E5038" s="283" t="s">
        <v>1084</v>
      </c>
      <c r="F5038" s="283" t="s">
        <v>1084</v>
      </c>
      <c r="G5038" s="283">
        <v>2</v>
      </c>
      <c r="H5038" s="283">
        <v>0</v>
      </c>
      <c r="I5038" s="283">
        <v>0</v>
      </c>
      <c r="J5038" s="284">
        <v>0</v>
      </c>
    </row>
    <row r="5039" spans="3:10" x14ac:dyDescent="0.25">
      <c r="C5039" s="300" t="s">
        <v>1065</v>
      </c>
      <c r="D5039" s="283" t="s">
        <v>1079</v>
      </c>
      <c r="E5039" s="283" t="s">
        <v>1089</v>
      </c>
      <c r="F5039" s="283" t="s">
        <v>1078</v>
      </c>
      <c r="G5039" s="283">
        <v>2</v>
      </c>
      <c r="H5039" s="283">
        <v>0</v>
      </c>
      <c r="I5039" s="283">
        <v>0</v>
      </c>
      <c r="J5039" s="284">
        <v>0</v>
      </c>
    </row>
    <row r="5040" spans="3:10" x14ac:dyDescent="0.25">
      <c r="C5040" s="300" t="s">
        <v>1065</v>
      </c>
      <c r="D5040" s="283" t="s">
        <v>1090</v>
      </c>
      <c r="E5040" s="283" t="s">
        <v>1044</v>
      </c>
      <c r="F5040" s="283" t="s">
        <v>524</v>
      </c>
      <c r="G5040" s="283">
        <v>1</v>
      </c>
      <c r="H5040" s="283">
        <v>0</v>
      </c>
      <c r="I5040" s="283">
        <v>0</v>
      </c>
      <c r="J5040" s="284">
        <v>1</v>
      </c>
    </row>
    <row r="5041" spans="3:10" x14ac:dyDescent="0.25">
      <c r="C5041" s="300" t="s">
        <v>1064</v>
      </c>
      <c r="D5041" s="283" t="s">
        <v>1077</v>
      </c>
      <c r="E5041" s="283" t="s">
        <v>1076</v>
      </c>
      <c r="F5041" s="283" t="s">
        <v>1089</v>
      </c>
      <c r="G5041" s="283">
        <v>5</v>
      </c>
      <c r="H5041" s="283">
        <v>0</v>
      </c>
      <c r="I5041" s="283">
        <v>0</v>
      </c>
      <c r="J5041" s="284">
        <v>2</v>
      </c>
    </row>
    <row r="5042" spans="3:10" x14ac:dyDescent="0.25">
      <c r="C5042" s="300" t="s">
        <v>1066</v>
      </c>
      <c r="D5042" s="283" t="s">
        <v>1079</v>
      </c>
      <c r="E5042" s="283" t="s">
        <v>1086</v>
      </c>
      <c r="F5042" s="283" t="s">
        <v>1075</v>
      </c>
      <c r="G5042" s="283">
        <v>2</v>
      </c>
      <c r="H5042" s="283">
        <v>0</v>
      </c>
      <c r="I5042" s="283">
        <v>0</v>
      </c>
      <c r="J5042" s="284">
        <v>0</v>
      </c>
    </row>
    <row r="5043" spans="3:10" x14ac:dyDescent="0.25">
      <c r="C5043" s="300" t="s">
        <v>1067</v>
      </c>
      <c r="D5043" s="283" t="s">
        <v>1043</v>
      </c>
      <c r="E5043" s="283" t="s">
        <v>1089</v>
      </c>
      <c r="F5043" s="283" t="s">
        <v>1092</v>
      </c>
      <c r="G5043" s="283">
        <v>2</v>
      </c>
      <c r="H5043" s="283">
        <v>0</v>
      </c>
      <c r="I5043" s="283">
        <v>0</v>
      </c>
      <c r="J5043" s="284">
        <v>1</v>
      </c>
    </row>
    <row r="5044" spans="3:10" x14ac:dyDescent="0.25">
      <c r="C5044" s="300" t="s">
        <v>1065</v>
      </c>
      <c r="D5044" s="283" t="s">
        <v>1077</v>
      </c>
      <c r="E5044" s="283" t="s">
        <v>1089</v>
      </c>
      <c r="F5044" s="283" t="s">
        <v>1083</v>
      </c>
      <c r="G5044" s="283">
        <v>2</v>
      </c>
      <c r="H5044" s="283">
        <v>0</v>
      </c>
      <c r="I5044" s="283">
        <v>0</v>
      </c>
      <c r="J5044" s="284">
        <v>0</v>
      </c>
    </row>
    <row r="5045" spans="3:10" x14ac:dyDescent="0.25">
      <c r="C5045" s="300" t="s">
        <v>1057</v>
      </c>
      <c r="D5045" s="283" t="s">
        <v>1087</v>
      </c>
      <c r="E5045" s="283" t="s">
        <v>1075</v>
      </c>
      <c r="F5045" s="283" t="s">
        <v>524</v>
      </c>
      <c r="G5045" s="283">
        <v>1</v>
      </c>
      <c r="H5045" s="283">
        <v>0</v>
      </c>
      <c r="I5045" s="283">
        <v>0</v>
      </c>
      <c r="J5045" s="284">
        <v>0</v>
      </c>
    </row>
    <row r="5046" spans="3:10" x14ac:dyDescent="0.25">
      <c r="C5046" s="300" t="s">
        <v>1065</v>
      </c>
      <c r="D5046" s="283" t="s">
        <v>1077</v>
      </c>
      <c r="E5046" s="283" t="s">
        <v>1086</v>
      </c>
      <c r="F5046" s="283" t="s">
        <v>1086</v>
      </c>
      <c r="G5046" s="283">
        <v>2</v>
      </c>
      <c r="H5046" s="283">
        <v>0</v>
      </c>
      <c r="I5046" s="283">
        <v>0</v>
      </c>
      <c r="J5046" s="284">
        <v>0</v>
      </c>
    </row>
    <row r="5047" spans="3:10" x14ac:dyDescent="0.25">
      <c r="C5047" s="300" t="s">
        <v>1064</v>
      </c>
      <c r="D5047" s="283" t="s">
        <v>1074</v>
      </c>
      <c r="E5047" s="283" t="s">
        <v>1078</v>
      </c>
      <c r="F5047" s="283" t="s">
        <v>1089</v>
      </c>
      <c r="G5047" s="283">
        <v>2</v>
      </c>
      <c r="H5047" s="283">
        <v>0</v>
      </c>
      <c r="I5047" s="283">
        <v>0</v>
      </c>
      <c r="J5047" s="284">
        <v>1</v>
      </c>
    </row>
    <row r="5048" spans="3:10" x14ac:dyDescent="0.25">
      <c r="C5048" s="300" t="s">
        <v>1065</v>
      </c>
      <c r="D5048" s="283" t="s">
        <v>1079</v>
      </c>
      <c r="E5048" s="283" t="s">
        <v>1086</v>
      </c>
      <c r="F5048" s="283" t="s">
        <v>1044</v>
      </c>
      <c r="G5048" s="283">
        <v>2</v>
      </c>
      <c r="H5048" s="283">
        <v>0</v>
      </c>
      <c r="I5048" s="283">
        <v>1</v>
      </c>
      <c r="J5048" s="284">
        <v>0</v>
      </c>
    </row>
    <row r="5049" spans="3:10" x14ac:dyDescent="0.25">
      <c r="C5049" s="300" t="s">
        <v>1067</v>
      </c>
      <c r="D5049" s="283" t="s">
        <v>1087</v>
      </c>
      <c r="E5049" s="283" t="s">
        <v>1089</v>
      </c>
      <c r="F5049" s="283" t="s">
        <v>524</v>
      </c>
      <c r="G5049" s="283">
        <v>1</v>
      </c>
      <c r="H5049" s="283">
        <v>0</v>
      </c>
      <c r="I5049" s="283">
        <v>0</v>
      </c>
      <c r="J5049" s="284">
        <v>0</v>
      </c>
    </row>
    <row r="5050" spans="3:10" x14ac:dyDescent="0.25">
      <c r="C5050" s="300" t="s">
        <v>1065</v>
      </c>
      <c r="D5050" s="283" t="s">
        <v>1077</v>
      </c>
      <c r="E5050" s="283" t="s">
        <v>1076</v>
      </c>
      <c r="F5050" s="283" t="s">
        <v>1075</v>
      </c>
      <c r="G5050" s="283">
        <v>2</v>
      </c>
      <c r="H5050" s="283">
        <v>0</v>
      </c>
      <c r="I5050" s="283">
        <v>0</v>
      </c>
      <c r="J5050" s="284">
        <v>0</v>
      </c>
    </row>
    <row r="5051" spans="3:10" x14ac:dyDescent="0.25">
      <c r="C5051" s="300" t="s">
        <v>1067</v>
      </c>
      <c r="D5051" s="283" t="s">
        <v>1079</v>
      </c>
      <c r="E5051" s="283" t="s">
        <v>1075</v>
      </c>
      <c r="F5051" s="283" t="s">
        <v>1075</v>
      </c>
      <c r="G5051" s="283">
        <v>2</v>
      </c>
      <c r="H5051" s="283">
        <v>0</v>
      </c>
      <c r="I5051" s="283">
        <v>0</v>
      </c>
      <c r="J5051" s="284">
        <v>0</v>
      </c>
    </row>
    <row r="5052" spans="3:10" x14ac:dyDescent="0.25">
      <c r="C5052" s="300" t="s">
        <v>1066</v>
      </c>
      <c r="D5052" s="283" t="s">
        <v>1074</v>
      </c>
      <c r="E5052" s="283" t="s">
        <v>1080</v>
      </c>
      <c r="F5052" s="283" t="s">
        <v>1083</v>
      </c>
      <c r="G5052" s="283">
        <v>2</v>
      </c>
      <c r="H5052" s="283">
        <v>0</v>
      </c>
      <c r="I5052" s="283">
        <v>0</v>
      </c>
      <c r="J5052" s="284">
        <v>1</v>
      </c>
    </row>
    <row r="5053" spans="3:10" x14ac:dyDescent="0.25">
      <c r="C5053" s="300" t="s">
        <v>1066</v>
      </c>
      <c r="D5053" s="283" t="s">
        <v>1043</v>
      </c>
      <c r="E5053" s="283" t="s">
        <v>1086</v>
      </c>
      <c r="F5053" s="283" t="s">
        <v>1092</v>
      </c>
      <c r="G5053" s="283">
        <v>2</v>
      </c>
      <c r="H5053" s="283">
        <v>0</v>
      </c>
      <c r="I5053" s="283">
        <v>1</v>
      </c>
      <c r="J5053" s="284">
        <v>0</v>
      </c>
    </row>
    <row r="5054" spans="3:10" x14ac:dyDescent="0.25">
      <c r="C5054" s="300" t="s">
        <v>1059</v>
      </c>
      <c r="D5054" s="283" t="s">
        <v>1077</v>
      </c>
      <c r="E5054" s="283" t="s">
        <v>1080</v>
      </c>
      <c r="F5054" s="283" t="s">
        <v>1084</v>
      </c>
      <c r="G5054" s="283">
        <v>2</v>
      </c>
      <c r="H5054" s="283">
        <v>0</v>
      </c>
      <c r="I5054" s="283">
        <v>0</v>
      </c>
      <c r="J5054" s="284">
        <v>0</v>
      </c>
    </row>
    <row r="5055" spans="3:10" x14ac:dyDescent="0.25">
      <c r="C5055" s="300" t="s">
        <v>1067</v>
      </c>
      <c r="D5055" s="283" t="s">
        <v>1087</v>
      </c>
      <c r="E5055" s="283" t="s">
        <v>1076</v>
      </c>
      <c r="F5055" s="283" t="s">
        <v>524</v>
      </c>
      <c r="G5055" s="283">
        <v>1</v>
      </c>
      <c r="H5055" s="283">
        <v>0</v>
      </c>
      <c r="I5055" s="283">
        <v>0</v>
      </c>
      <c r="J5055" s="284">
        <v>1</v>
      </c>
    </row>
    <row r="5056" spans="3:10" x14ac:dyDescent="0.25">
      <c r="C5056" s="300" t="s">
        <v>1065</v>
      </c>
      <c r="D5056" s="283" t="s">
        <v>1043</v>
      </c>
      <c r="E5056" s="283" t="s">
        <v>1075</v>
      </c>
      <c r="F5056" s="283" t="s">
        <v>1092</v>
      </c>
      <c r="G5056" s="283">
        <v>2</v>
      </c>
      <c r="H5056" s="283">
        <v>0</v>
      </c>
      <c r="I5056" s="283">
        <v>0</v>
      </c>
      <c r="J5056" s="284">
        <v>1</v>
      </c>
    </row>
    <row r="5057" spans="3:10" x14ac:dyDescent="0.25">
      <c r="C5057" s="300" t="s">
        <v>1068</v>
      </c>
      <c r="D5057" s="283" t="s">
        <v>1090</v>
      </c>
      <c r="E5057" s="283" t="s">
        <v>1076</v>
      </c>
      <c r="F5057" s="283" t="s">
        <v>524</v>
      </c>
      <c r="G5057" s="283">
        <v>1</v>
      </c>
      <c r="H5057" s="283">
        <v>0</v>
      </c>
      <c r="I5057" s="283">
        <v>0</v>
      </c>
      <c r="J5057" s="284">
        <v>1</v>
      </c>
    </row>
    <row r="5058" spans="3:10" x14ac:dyDescent="0.25">
      <c r="C5058" s="300" t="s">
        <v>1057</v>
      </c>
      <c r="D5058" s="283" t="s">
        <v>1077</v>
      </c>
      <c r="E5058" s="283" t="s">
        <v>1075</v>
      </c>
      <c r="F5058" s="283" t="s">
        <v>1075</v>
      </c>
      <c r="G5058" s="283">
        <v>2</v>
      </c>
      <c r="H5058" s="283">
        <v>0</v>
      </c>
      <c r="I5058" s="283">
        <v>0</v>
      </c>
      <c r="J5058" s="284">
        <v>0</v>
      </c>
    </row>
    <row r="5059" spans="3:10" x14ac:dyDescent="0.25">
      <c r="C5059" s="300" t="s">
        <v>1057</v>
      </c>
      <c r="D5059" s="283" t="s">
        <v>1079</v>
      </c>
      <c r="E5059" s="283" t="s">
        <v>1089</v>
      </c>
      <c r="F5059" s="283" t="s">
        <v>1075</v>
      </c>
      <c r="G5059" s="283">
        <v>2</v>
      </c>
      <c r="H5059" s="283">
        <v>0</v>
      </c>
      <c r="I5059" s="283">
        <v>0</v>
      </c>
      <c r="J5059" s="284">
        <v>1</v>
      </c>
    </row>
    <row r="5060" spans="3:10" x14ac:dyDescent="0.25">
      <c r="C5060" s="300" t="s">
        <v>1060</v>
      </c>
      <c r="D5060" s="283" t="s">
        <v>1087</v>
      </c>
      <c r="E5060" s="283" t="s">
        <v>1075</v>
      </c>
      <c r="F5060" s="283" t="s">
        <v>524</v>
      </c>
      <c r="G5060" s="283">
        <v>1</v>
      </c>
      <c r="H5060" s="283">
        <v>0</v>
      </c>
      <c r="I5060" s="283">
        <v>0</v>
      </c>
      <c r="J5060" s="284">
        <v>0</v>
      </c>
    </row>
    <row r="5061" spans="3:10" x14ac:dyDescent="0.25">
      <c r="C5061" s="300" t="s">
        <v>1062</v>
      </c>
      <c r="D5061" s="283" t="s">
        <v>1043</v>
      </c>
      <c r="E5061" s="283" t="s">
        <v>1089</v>
      </c>
      <c r="F5061" s="283" t="s">
        <v>1092</v>
      </c>
      <c r="G5061" s="283">
        <v>2</v>
      </c>
      <c r="H5061" s="283">
        <v>0</v>
      </c>
      <c r="I5061" s="283">
        <v>1</v>
      </c>
      <c r="J5061" s="284">
        <v>0</v>
      </c>
    </row>
    <row r="5062" spans="3:10" x14ac:dyDescent="0.25">
      <c r="C5062" s="300" t="s">
        <v>1061</v>
      </c>
      <c r="D5062" s="283" t="s">
        <v>1043</v>
      </c>
      <c r="E5062" s="283" t="s">
        <v>1075</v>
      </c>
      <c r="F5062" s="283" t="s">
        <v>1092</v>
      </c>
      <c r="G5062" s="283">
        <v>2</v>
      </c>
      <c r="H5062" s="283">
        <v>0</v>
      </c>
      <c r="I5062" s="283">
        <v>0</v>
      </c>
      <c r="J5062" s="284">
        <v>0</v>
      </c>
    </row>
    <row r="5063" spans="3:10" x14ac:dyDescent="0.25">
      <c r="C5063" s="300" t="s">
        <v>1061</v>
      </c>
      <c r="D5063" s="283" t="s">
        <v>1090</v>
      </c>
      <c r="E5063" s="283" t="s">
        <v>1044</v>
      </c>
      <c r="F5063" s="283" t="s">
        <v>524</v>
      </c>
      <c r="G5063" s="283">
        <v>1</v>
      </c>
      <c r="H5063" s="283">
        <v>0</v>
      </c>
      <c r="I5063" s="283">
        <v>0</v>
      </c>
      <c r="J5063" s="284">
        <v>1</v>
      </c>
    </row>
    <row r="5064" spans="3:10" x14ac:dyDescent="0.25">
      <c r="C5064" s="300" t="s">
        <v>1065</v>
      </c>
      <c r="D5064" s="283" t="s">
        <v>1043</v>
      </c>
      <c r="E5064" s="283" t="s">
        <v>1089</v>
      </c>
      <c r="F5064" s="283" t="s">
        <v>1104</v>
      </c>
      <c r="G5064" s="283">
        <v>2</v>
      </c>
      <c r="H5064" s="283">
        <v>0</v>
      </c>
      <c r="I5064" s="283">
        <v>1</v>
      </c>
      <c r="J5064" s="284">
        <v>1</v>
      </c>
    </row>
    <row r="5065" spans="3:10" x14ac:dyDescent="0.25">
      <c r="C5065" s="300" t="s">
        <v>1063</v>
      </c>
      <c r="D5065" s="283" t="s">
        <v>1079</v>
      </c>
      <c r="E5065" s="283" t="s">
        <v>1075</v>
      </c>
      <c r="F5065" s="283" t="s">
        <v>1083</v>
      </c>
      <c r="G5065" s="283">
        <v>2</v>
      </c>
      <c r="H5065" s="283">
        <v>0</v>
      </c>
      <c r="I5065" s="283">
        <v>0</v>
      </c>
      <c r="J5065" s="284">
        <v>1</v>
      </c>
    </row>
    <row r="5066" spans="3:10" x14ac:dyDescent="0.25">
      <c r="C5066" s="300" t="s">
        <v>1068</v>
      </c>
      <c r="D5066" s="283" t="s">
        <v>1079</v>
      </c>
      <c r="E5066" s="283" t="s">
        <v>1075</v>
      </c>
      <c r="F5066" s="283" t="s">
        <v>1075</v>
      </c>
      <c r="G5066" s="283">
        <v>2</v>
      </c>
      <c r="H5066" s="283">
        <v>0</v>
      </c>
      <c r="I5066" s="283">
        <v>0</v>
      </c>
      <c r="J5066" s="284">
        <v>0</v>
      </c>
    </row>
    <row r="5067" spans="3:10" x14ac:dyDescent="0.25">
      <c r="C5067" s="300" t="s">
        <v>1064</v>
      </c>
      <c r="D5067" s="283" t="s">
        <v>1043</v>
      </c>
      <c r="E5067" s="283" t="s">
        <v>1089</v>
      </c>
      <c r="F5067" s="283" t="s">
        <v>1092</v>
      </c>
      <c r="G5067" s="283">
        <v>2</v>
      </c>
      <c r="H5067" s="283">
        <v>0</v>
      </c>
      <c r="I5067" s="283">
        <v>1</v>
      </c>
      <c r="J5067" s="284">
        <v>0</v>
      </c>
    </row>
    <row r="5068" spans="3:10" x14ac:dyDescent="0.25">
      <c r="C5068" s="300" t="s">
        <v>1066</v>
      </c>
      <c r="D5068" s="283" t="s">
        <v>1079</v>
      </c>
      <c r="E5068" s="283" t="s">
        <v>1078</v>
      </c>
      <c r="F5068" s="283" t="s">
        <v>1044</v>
      </c>
      <c r="G5068" s="283">
        <v>2</v>
      </c>
      <c r="H5068" s="283">
        <v>0</v>
      </c>
      <c r="I5068" s="283">
        <v>0</v>
      </c>
      <c r="J5068" s="284">
        <v>0</v>
      </c>
    </row>
    <row r="5069" spans="3:10" x14ac:dyDescent="0.25">
      <c r="C5069" s="300" t="s">
        <v>1062</v>
      </c>
      <c r="D5069" s="283" t="s">
        <v>1082</v>
      </c>
      <c r="E5069" s="283" t="s">
        <v>1093</v>
      </c>
      <c r="F5069" s="283" t="s">
        <v>1075</v>
      </c>
      <c r="G5069" s="283">
        <v>2</v>
      </c>
      <c r="H5069" s="283">
        <v>0</v>
      </c>
      <c r="I5069" s="283">
        <v>0</v>
      </c>
      <c r="J5069" s="284">
        <v>0</v>
      </c>
    </row>
    <row r="5070" spans="3:10" x14ac:dyDescent="0.25">
      <c r="C5070" s="300" t="s">
        <v>1062</v>
      </c>
      <c r="D5070" s="283" t="s">
        <v>1087</v>
      </c>
      <c r="E5070" s="283" t="s">
        <v>1076</v>
      </c>
      <c r="F5070" s="283" t="s">
        <v>524</v>
      </c>
      <c r="G5070" s="283">
        <v>1</v>
      </c>
      <c r="H5070" s="283">
        <v>0</v>
      </c>
      <c r="I5070" s="283">
        <v>1</v>
      </c>
      <c r="J5070" s="284">
        <v>1</v>
      </c>
    </row>
    <row r="5071" spans="3:10" x14ac:dyDescent="0.25">
      <c r="C5071" s="300" t="s">
        <v>1057</v>
      </c>
      <c r="D5071" s="283" t="s">
        <v>1087</v>
      </c>
      <c r="E5071" s="283" t="s">
        <v>1076</v>
      </c>
      <c r="F5071" s="283" t="s">
        <v>524</v>
      </c>
      <c r="G5071" s="283">
        <v>1</v>
      </c>
      <c r="H5071" s="283">
        <v>0</v>
      </c>
      <c r="I5071" s="283">
        <v>0</v>
      </c>
      <c r="J5071" s="284">
        <v>0</v>
      </c>
    </row>
    <row r="5072" spans="3:10" x14ac:dyDescent="0.25">
      <c r="C5072" s="300" t="s">
        <v>1065</v>
      </c>
      <c r="D5072" s="283" t="s">
        <v>1074</v>
      </c>
      <c r="E5072" s="283" t="s">
        <v>1075</v>
      </c>
      <c r="F5072" s="283" t="s">
        <v>1075</v>
      </c>
      <c r="G5072" s="283">
        <v>2</v>
      </c>
      <c r="H5072" s="283">
        <v>0</v>
      </c>
      <c r="I5072" s="283">
        <v>0</v>
      </c>
      <c r="J5072" s="284">
        <v>0</v>
      </c>
    </row>
    <row r="5073" spans="3:10" x14ac:dyDescent="0.25">
      <c r="C5073" s="300" t="s">
        <v>1062</v>
      </c>
      <c r="D5073" s="283" t="s">
        <v>1074</v>
      </c>
      <c r="E5073" s="283" t="s">
        <v>1076</v>
      </c>
      <c r="F5073" s="283" t="s">
        <v>1089</v>
      </c>
      <c r="G5073" s="283">
        <v>2</v>
      </c>
      <c r="H5073" s="283">
        <v>0</v>
      </c>
      <c r="I5073" s="283">
        <v>0</v>
      </c>
      <c r="J5073" s="284">
        <v>0</v>
      </c>
    </row>
    <row r="5074" spans="3:10" x14ac:dyDescent="0.25">
      <c r="C5074" s="300" t="s">
        <v>1062</v>
      </c>
      <c r="D5074" s="283" t="s">
        <v>1082</v>
      </c>
      <c r="E5074" s="283" t="s">
        <v>1080</v>
      </c>
      <c r="F5074" s="283" t="s">
        <v>1084</v>
      </c>
      <c r="G5074" s="283">
        <v>2</v>
      </c>
      <c r="H5074" s="283">
        <v>0</v>
      </c>
      <c r="I5074" s="283">
        <v>0</v>
      </c>
      <c r="J5074" s="284">
        <v>0</v>
      </c>
    </row>
    <row r="5075" spans="3:10" x14ac:dyDescent="0.25">
      <c r="C5075" s="300" t="s">
        <v>1063</v>
      </c>
      <c r="D5075" s="283" t="s">
        <v>1082</v>
      </c>
      <c r="E5075" s="283" t="s">
        <v>1089</v>
      </c>
      <c r="F5075" s="283" t="s">
        <v>1089</v>
      </c>
      <c r="G5075" s="283">
        <v>2</v>
      </c>
      <c r="H5075" s="283">
        <v>0</v>
      </c>
      <c r="I5075" s="283">
        <v>0</v>
      </c>
      <c r="J5075" s="284">
        <v>0</v>
      </c>
    </row>
    <row r="5076" spans="3:10" x14ac:dyDescent="0.25">
      <c r="C5076" s="300" t="s">
        <v>1062</v>
      </c>
      <c r="D5076" s="283" t="s">
        <v>1079</v>
      </c>
      <c r="E5076" s="283" t="s">
        <v>1075</v>
      </c>
      <c r="F5076" s="283" t="s">
        <v>1075</v>
      </c>
      <c r="G5076" s="283">
        <v>2</v>
      </c>
      <c r="H5076" s="283">
        <v>0</v>
      </c>
      <c r="I5076" s="283">
        <v>0</v>
      </c>
      <c r="J5076" s="284">
        <v>0</v>
      </c>
    </row>
    <row r="5077" spans="3:10" x14ac:dyDescent="0.25">
      <c r="C5077" s="300" t="s">
        <v>1065</v>
      </c>
      <c r="D5077" s="283" t="s">
        <v>1077</v>
      </c>
      <c r="E5077" s="283" t="s">
        <v>1075</v>
      </c>
      <c r="F5077" s="283" t="s">
        <v>1089</v>
      </c>
      <c r="G5077" s="283">
        <v>2</v>
      </c>
      <c r="H5077" s="283">
        <v>0</v>
      </c>
      <c r="I5077" s="283">
        <v>0</v>
      </c>
      <c r="J5077" s="284">
        <v>0</v>
      </c>
    </row>
    <row r="5078" spans="3:10" x14ac:dyDescent="0.25">
      <c r="C5078" s="300" t="s">
        <v>1064</v>
      </c>
      <c r="D5078" s="283" t="s">
        <v>1079</v>
      </c>
      <c r="E5078" s="283" t="s">
        <v>1075</v>
      </c>
      <c r="F5078" s="283" t="s">
        <v>1085</v>
      </c>
      <c r="G5078" s="283">
        <v>2</v>
      </c>
      <c r="H5078" s="283">
        <v>0</v>
      </c>
      <c r="I5078" s="283">
        <v>0</v>
      </c>
      <c r="J5078" s="284">
        <v>0</v>
      </c>
    </row>
    <row r="5079" spans="3:10" x14ac:dyDescent="0.25">
      <c r="C5079" s="300" t="s">
        <v>1064</v>
      </c>
      <c r="D5079" s="283" t="s">
        <v>1079</v>
      </c>
      <c r="E5079" s="283" t="s">
        <v>1088</v>
      </c>
      <c r="F5079" s="283" t="s">
        <v>1076</v>
      </c>
      <c r="G5079" s="283">
        <v>3</v>
      </c>
      <c r="H5079" s="283">
        <v>0</v>
      </c>
      <c r="I5079" s="283">
        <v>0</v>
      </c>
      <c r="J5079" s="284">
        <v>0</v>
      </c>
    </row>
    <row r="5080" spans="3:10" x14ac:dyDescent="0.25">
      <c r="C5080" s="300" t="s">
        <v>1062</v>
      </c>
      <c r="D5080" s="283" t="s">
        <v>1079</v>
      </c>
      <c r="E5080" s="283" t="s">
        <v>1075</v>
      </c>
      <c r="F5080" s="283" t="s">
        <v>1097</v>
      </c>
      <c r="G5080" s="283">
        <v>3</v>
      </c>
      <c r="H5080" s="283">
        <v>0</v>
      </c>
      <c r="I5080" s="283">
        <v>0</v>
      </c>
      <c r="J5080" s="284">
        <v>0</v>
      </c>
    </row>
    <row r="5081" spans="3:10" x14ac:dyDescent="0.25">
      <c r="C5081" s="300" t="s">
        <v>1062</v>
      </c>
      <c r="D5081" s="283" t="s">
        <v>1079</v>
      </c>
      <c r="E5081" s="283" t="s">
        <v>1075</v>
      </c>
      <c r="F5081" s="283" t="s">
        <v>1075</v>
      </c>
      <c r="G5081" s="283">
        <v>2</v>
      </c>
      <c r="H5081" s="283">
        <v>0</v>
      </c>
      <c r="I5081" s="283">
        <v>0</v>
      </c>
      <c r="J5081" s="284">
        <v>0</v>
      </c>
    </row>
    <row r="5082" spans="3:10" x14ac:dyDescent="0.25">
      <c r="C5082" s="300" t="s">
        <v>1067</v>
      </c>
      <c r="D5082" s="283" t="s">
        <v>1082</v>
      </c>
      <c r="E5082" s="283" t="s">
        <v>1075</v>
      </c>
      <c r="F5082" s="283" t="s">
        <v>1075</v>
      </c>
      <c r="G5082" s="283">
        <v>2</v>
      </c>
      <c r="H5082" s="283">
        <v>0</v>
      </c>
      <c r="I5082" s="283">
        <v>0</v>
      </c>
      <c r="J5082" s="284">
        <v>0</v>
      </c>
    </row>
    <row r="5083" spans="3:10" x14ac:dyDescent="0.25">
      <c r="C5083" s="300" t="s">
        <v>1063</v>
      </c>
      <c r="D5083" s="283" t="s">
        <v>1087</v>
      </c>
      <c r="E5083" s="283" t="s">
        <v>1075</v>
      </c>
      <c r="F5083" s="283" t="s">
        <v>524</v>
      </c>
      <c r="G5083" s="283">
        <v>1</v>
      </c>
      <c r="H5083" s="283">
        <v>0</v>
      </c>
      <c r="I5083" s="283">
        <v>1</v>
      </c>
      <c r="J5083" s="284">
        <v>0</v>
      </c>
    </row>
    <row r="5084" spans="3:10" x14ac:dyDescent="0.25">
      <c r="C5084" s="300" t="s">
        <v>1058</v>
      </c>
      <c r="D5084" s="283" t="s">
        <v>1079</v>
      </c>
      <c r="E5084" s="283" t="s">
        <v>1089</v>
      </c>
      <c r="F5084" s="283" t="s">
        <v>1089</v>
      </c>
      <c r="G5084" s="283">
        <v>4</v>
      </c>
      <c r="H5084" s="283">
        <v>0</v>
      </c>
      <c r="I5084" s="283">
        <v>0</v>
      </c>
      <c r="J5084" s="284">
        <v>0</v>
      </c>
    </row>
    <row r="5085" spans="3:10" x14ac:dyDescent="0.25">
      <c r="C5085" s="300" t="s">
        <v>1061</v>
      </c>
      <c r="D5085" s="283" t="s">
        <v>1077</v>
      </c>
      <c r="E5085" s="283" t="s">
        <v>1076</v>
      </c>
      <c r="F5085" s="283" t="s">
        <v>1084</v>
      </c>
      <c r="G5085" s="283">
        <v>2</v>
      </c>
      <c r="H5085" s="283">
        <v>0</v>
      </c>
      <c r="I5085" s="283">
        <v>0</v>
      </c>
      <c r="J5085" s="284">
        <v>0</v>
      </c>
    </row>
    <row r="5086" spans="3:10" x14ac:dyDescent="0.25">
      <c r="C5086" s="300" t="s">
        <v>1060</v>
      </c>
      <c r="D5086" s="283" t="s">
        <v>1074</v>
      </c>
      <c r="E5086" s="283" t="s">
        <v>1075</v>
      </c>
      <c r="F5086" s="283" t="s">
        <v>1089</v>
      </c>
      <c r="G5086" s="283">
        <v>3</v>
      </c>
      <c r="H5086" s="283">
        <v>0</v>
      </c>
      <c r="I5086" s="283">
        <v>2</v>
      </c>
      <c r="J5086" s="284">
        <v>0</v>
      </c>
    </row>
    <row r="5087" spans="3:10" x14ac:dyDescent="0.25">
      <c r="C5087" s="300" t="s">
        <v>1062</v>
      </c>
      <c r="D5087" s="283" t="s">
        <v>1043</v>
      </c>
      <c r="E5087" s="283" t="s">
        <v>1089</v>
      </c>
      <c r="F5087" s="283" t="s">
        <v>1092</v>
      </c>
      <c r="G5087" s="283">
        <v>2</v>
      </c>
      <c r="H5087" s="283">
        <v>0</v>
      </c>
      <c r="I5087" s="283">
        <v>0</v>
      </c>
      <c r="J5087" s="284">
        <v>0</v>
      </c>
    </row>
    <row r="5088" spans="3:10" x14ac:dyDescent="0.25">
      <c r="C5088" s="300" t="s">
        <v>1068</v>
      </c>
      <c r="D5088" s="283" t="s">
        <v>1079</v>
      </c>
      <c r="E5088" s="283" t="s">
        <v>1075</v>
      </c>
      <c r="F5088" s="283" t="s">
        <v>1076</v>
      </c>
      <c r="G5088" s="283">
        <v>2</v>
      </c>
      <c r="H5088" s="283">
        <v>0</v>
      </c>
      <c r="I5088" s="283">
        <v>0</v>
      </c>
      <c r="J5088" s="284">
        <v>0</v>
      </c>
    </row>
    <row r="5089" spans="3:10" x14ac:dyDescent="0.25">
      <c r="C5089" s="300" t="s">
        <v>1066</v>
      </c>
      <c r="D5089" s="283" t="s">
        <v>1079</v>
      </c>
      <c r="E5089" s="283" t="s">
        <v>1044</v>
      </c>
      <c r="F5089" s="283" t="s">
        <v>1084</v>
      </c>
      <c r="G5089" s="283">
        <v>2</v>
      </c>
      <c r="H5089" s="283">
        <v>0</v>
      </c>
      <c r="I5089" s="283">
        <v>0</v>
      </c>
      <c r="J5089" s="284">
        <v>1</v>
      </c>
    </row>
    <row r="5090" spans="3:10" x14ac:dyDescent="0.25">
      <c r="C5090" s="300" t="s">
        <v>1063</v>
      </c>
      <c r="D5090" s="283" t="s">
        <v>1074</v>
      </c>
      <c r="E5090" s="283" t="s">
        <v>1075</v>
      </c>
      <c r="F5090" s="283" t="s">
        <v>1075</v>
      </c>
      <c r="G5090" s="283">
        <v>2</v>
      </c>
      <c r="H5090" s="283">
        <v>0</v>
      </c>
      <c r="I5090" s="283">
        <v>0</v>
      </c>
      <c r="J5090" s="284">
        <v>1</v>
      </c>
    </row>
    <row r="5091" spans="3:10" x14ac:dyDescent="0.25">
      <c r="C5091" s="300" t="s">
        <v>1064</v>
      </c>
      <c r="D5091" s="283" t="s">
        <v>1079</v>
      </c>
      <c r="E5091" s="283" t="s">
        <v>1075</v>
      </c>
      <c r="F5091" s="283" t="s">
        <v>1075</v>
      </c>
      <c r="G5091" s="283">
        <v>3</v>
      </c>
      <c r="H5091" s="283">
        <v>0</v>
      </c>
      <c r="I5091" s="283">
        <v>0</v>
      </c>
      <c r="J5091" s="284">
        <v>0</v>
      </c>
    </row>
    <row r="5092" spans="3:10" x14ac:dyDescent="0.25">
      <c r="C5092" s="300" t="s">
        <v>1062</v>
      </c>
      <c r="D5092" s="283" t="s">
        <v>1077</v>
      </c>
      <c r="E5092" s="283" t="s">
        <v>1075</v>
      </c>
      <c r="F5092" s="283" t="s">
        <v>1075</v>
      </c>
      <c r="G5092" s="283">
        <v>2</v>
      </c>
      <c r="H5092" s="283">
        <v>0</v>
      </c>
      <c r="I5092" s="283">
        <v>0</v>
      </c>
      <c r="J5092" s="284">
        <v>0</v>
      </c>
    </row>
    <row r="5093" spans="3:10" x14ac:dyDescent="0.25">
      <c r="C5093" s="300" t="s">
        <v>1061</v>
      </c>
      <c r="D5093" s="283" t="s">
        <v>1079</v>
      </c>
      <c r="E5093" s="283" t="s">
        <v>1089</v>
      </c>
      <c r="F5093" s="283" t="s">
        <v>1089</v>
      </c>
      <c r="G5093" s="283">
        <v>2</v>
      </c>
      <c r="H5093" s="283">
        <v>0</v>
      </c>
      <c r="I5093" s="283">
        <v>0</v>
      </c>
      <c r="J5093" s="284">
        <v>0</v>
      </c>
    </row>
    <row r="5094" spans="3:10" x14ac:dyDescent="0.25">
      <c r="C5094" s="300" t="s">
        <v>1058</v>
      </c>
      <c r="D5094" s="283" t="s">
        <v>1079</v>
      </c>
      <c r="E5094" s="283" t="s">
        <v>1081</v>
      </c>
      <c r="F5094" s="283" t="s">
        <v>1094</v>
      </c>
      <c r="G5094" s="283">
        <v>3</v>
      </c>
      <c r="H5094" s="283">
        <v>0</v>
      </c>
      <c r="I5094" s="283">
        <v>0</v>
      </c>
      <c r="J5094" s="284">
        <v>0</v>
      </c>
    </row>
    <row r="5095" spans="3:10" x14ac:dyDescent="0.25">
      <c r="C5095" s="300" t="s">
        <v>1061</v>
      </c>
      <c r="D5095" s="283" t="s">
        <v>1079</v>
      </c>
      <c r="E5095" s="283" t="s">
        <v>1075</v>
      </c>
      <c r="F5095" s="283" t="s">
        <v>1075</v>
      </c>
      <c r="G5095" s="283">
        <v>2</v>
      </c>
      <c r="H5095" s="283">
        <v>0</v>
      </c>
      <c r="I5095" s="283">
        <v>0</v>
      </c>
      <c r="J5095" s="284">
        <v>0</v>
      </c>
    </row>
    <row r="5096" spans="3:10" x14ac:dyDescent="0.25">
      <c r="C5096" s="300" t="s">
        <v>1061</v>
      </c>
      <c r="D5096" s="283" t="s">
        <v>1074</v>
      </c>
      <c r="E5096" s="283" t="s">
        <v>1075</v>
      </c>
      <c r="F5096" s="283" t="s">
        <v>1089</v>
      </c>
      <c r="G5096" s="283">
        <v>2</v>
      </c>
      <c r="H5096" s="283">
        <v>0</v>
      </c>
      <c r="I5096" s="283">
        <v>0</v>
      </c>
      <c r="J5096" s="284">
        <v>0</v>
      </c>
    </row>
    <row r="5097" spans="3:10" x14ac:dyDescent="0.25">
      <c r="C5097" s="300" t="s">
        <v>1066</v>
      </c>
      <c r="D5097" s="283" t="s">
        <v>1077</v>
      </c>
      <c r="E5097" s="283" t="s">
        <v>1084</v>
      </c>
      <c r="F5097" s="283" t="s">
        <v>1075</v>
      </c>
      <c r="G5097" s="283">
        <v>2</v>
      </c>
      <c r="H5097" s="283">
        <v>0</v>
      </c>
      <c r="I5097" s="283">
        <v>0</v>
      </c>
      <c r="J5097" s="284">
        <v>0</v>
      </c>
    </row>
    <row r="5098" spans="3:10" x14ac:dyDescent="0.25">
      <c r="C5098" s="300" t="s">
        <v>1061</v>
      </c>
      <c r="D5098" s="283" t="s">
        <v>1095</v>
      </c>
      <c r="E5098" s="283" t="s">
        <v>1089</v>
      </c>
      <c r="F5098" s="283" t="s">
        <v>1075</v>
      </c>
      <c r="G5098" s="283">
        <v>4</v>
      </c>
      <c r="H5098" s="283">
        <v>0</v>
      </c>
      <c r="I5098" s="283">
        <v>0</v>
      </c>
      <c r="J5098" s="284">
        <v>0</v>
      </c>
    </row>
    <row r="5099" spans="3:10" x14ac:dyDescent="0.25">
      <c r="C5099" s="300" t="s">
        <v>1062</v>
      </c>
      <c r="D5099" s="283" t="s">
        <v>1077</v>
      </c>
      <c r="E5099" s="283" t="s">
        <v>1075</v>
      </c>
      <c r="F5099" s="283" t="s">
        <v>1089</v>
      </c>
      <c r="G5099" s="283">
        <v>2</v>
      </c>
      <c r="H5099" s="283">
        <v>0</v>
      </c>
      <c r="I5099" s="283">
        <v>0</v>
      </c>
      <c r="J5099" s="284">
        <v>0</v>
      </c>
    </row>
    <row r="5100" spans="3:10" x14ac:dyDescent="0.25">
      <c r="C5100" s="300" t="s">
        <v>1065</v>
      </c>
      <c r="D5100" s="283" t="s">
        <v>1079</v>
      </c>
      <c r="E5100" s="283" t="s">
        <v>1076</v>
      </c>
      <c r="F5100" s="283" t="s">
        <v>1075</v>
      </c>
      <c r="G5100" s="283">
        <v>2</v>
      </c>
      <c r="H5100" s="283">
        <v>0</v>
      </c>
      <c r="I5100" s="283">
        <v>0</v>
      </c>
      <c r="J5100" s="284">
        <v>0</v>
      </c>
    </row>
    <row r="5101" spans="3:10" x14ac:dyDescent="0.25">
      <c r="C5101" s="300" t="s">
        <v>1061</v>
      </c>
      <c r="D5101" s="283" t="s">
        <v>1077</v>
      </c>
      <c r="E5101" s="283" t="s">
        <v>1075</v>
      </c>
      <c r="F5101" s="283" t="s">
        <v>1078</v>
      </c>
      <c r="G5101" s="283">
        <v>2</v>
      </c>
      <c r="H5101" s="283">
        <v>0</v>
      </c>
      <c r="I5101" s="283">
        <v>0</v>
      </c>
      <c r="J5101" s="284">
        <v>0</v>
      </c>
    </row>
    <row r="5102" spans="3:10" x14ac:dyDescent="0.25">
      <c r="C5102" s="300" t="s">
        <v>1064</v>
      </c>
      <c r="D5102" s="283" t="s">
        <v>1087</v>
      </c>
      <c r="E5102" s="283" t="s">
        <v>1075</v>
      </c>
      <c r="F5102" s="283" t="s">
        <v>524</v>
      </c>
      <c r="G5102" s="283">
        <v>1</v>
      </c>
      <c r="H5102" s="283">
        <v>0</v>
      </c>
      <c r="I5102" s="283">
        <v>0</v>
      </c>
      <c r="J5102" s="284">
        <v>0</v>
      </c>
    </row>
    <row r="5103" spans="3:10" x14ac:dyDescent="0.25">
      <c r="C5103" s="300" t="s">
        <v>1066</v>
      </c>
      <c r="D5103" s="283" t="s">
        <v>1077</v>
      </c>
      <c r="E5103" s="283" t="s">
        <v>1075</v>
      </c>
      <c r="F5103" s="283" t="s">
        <v>1075</v>
      </c>
      <c r="G5103" s="283">
        <v>2</v>
      </c>
      <c r="H5103" s="283">
        <v>0</v>
      </c>
      <c r="I5103" s="283">
        <v>1</v>
      </c>
      <c r="J5103" s="284">
        <v>0</v>
      </c>
    </row>
    <row r="5104" spans="3:10" x14ac:dyDescent="0.25">
      <c r="C5104" s="300" t="s">
        <v>1065</v>
      </c>
      <c r="D5104" s="283" t="s">
        <v>1074</v>
      </c>
      <c r="E5104" s="283" t="s">
        <v>1075</v>
      </c>
      <c r="F5104" s="283" t="s">
        <v>1089</v>
      </c>
      <c r="G5104" s="283">
        <v>2</v>
      </c>
      <c r="H5104" s="283">
        <v>0</v>
      </c>
      <c r="I5104" s="283">
        <v>0</v>
      </c>
      <c r="J5104" s="284">
        <v>0</v>
      </c>
    </row>
    <row r="5105" spans="3:10" x14ac:dyDescent="0.25">
      <c r="C5105" s="300" t="s">
        <v>1063</v>
      </c>
      <c r="D5105" s="283" t="s">
        <v>1087</v>
      </c>
      <c r="E5105" s="283" t="s">
        <v>1088</v>
      </c>
      <c r="F5105" s="283" t="s">
        <v>524</v>
      </c>
      <c r="G5105" s="283">
        <v>1</v>
      </c>
      <c r="H5105" s="283">
        <v>0</v>
      </c>
      <c r="I5105" s="283">
        <v>0</v>
      </c>
      <c r="J5105" s="284">
        <v>0</v>
      </c>
    </row>
    <row r="5106" spans="3:10" x14ac:dyDescent="0.25">
      <c r="C5106" s="300" t="s">
        <v>1059</v>
      </c>
      <c r="D5106" s="283" t="s">
        <v>1079</v>
      </c>
      <c r="E5106" s="283" t="s">
        <v>1075</v>
      </c>
      <c r="F5106" s="283" t="s">
        <v>1078</v>
      </c>
      <c r="G5106" s="283">
        <v>2</v>
      </c>
      <c r="H5106" s="283">
        <v>0</v>
      </c>
      <c r="I5106" s="283">
        <v>1</v>
      </c>
      <c r="J5106" s="284">
        <v>0</v>
      </c>
    </row>
    <row r="5107" spans="3:10" x14ac:dyDescent="0.25">
      <c r="C5107" s="300" t="s">
        <v>1067</v>
      </c>
      <c r="D5107" s="283" t="s">
        <v>1074</v>
      </c>
      <c r="E5107" s="283" t="s">
        <v>1083</v>
      </c>
      <c r="F5107" s="283" t="s">
        <v>1075</v>
      </c>
      <c r="G5107" s="283">
        <v>2</v>
      </c>
      <c r="H5107" s="283">
        <v>0</v>
      </c>
      <c r="I5107" s="283">
        <v>0</v>
      </c>
      <c r="J5107" s="284">
        <v>1</v>
      </c>
    </row>
    <row r="5108" spans="3:10" x14ac:dyDescent="0.25">
      <c r="C5108" s="300" t="s">
        <v>1061</v>
      </c>
      <c r="D5108" s="283" t="s">
        <v>1079</v>
      </c>
      <c r="E5108" s="283" t="s">
        <v>1078</v>
      </c>
      <c r="F5108" s="283" t="s">
        <v>1075</v>
      </c>
      <c r="G5108" s="283">
        <v>2</v>
      </c>
      <c r="H5108" s="283">
        <v>0</v>
      </c>
      <c r="I5108" s="283">
        <v>0</v>
      </c>
      <c r="J5108" s="284">
        <v>1</v>
      </c>
    </row>
    <row r="5109" spans="3:10" x14ac:dyDescent="0.25">
      <c r="C5109" s="300" t="s">
        <v>1065</v>
      </c>
      <c r="D5109" s="283" t="s">
        <v>1043</v>
      </c>
      <c r="E5109" s="283" t="s">
        <v>1075</v>
      </c>
      <c r="F5109" s="283" t="s">
        <v>1092</v>
      </c>
      <c r="G5109" s="283">
        <v>2</v>
      </c>
      <c r="H5109" s="283">
        <v>0</v>
      </c>
      <c r="I5109" s="283">
        <v>0</v>
      </c>
      <c r="J5109" s="284">
        <v>0</v>
      </c>
    </row>
    <row r="5110" spans="3:10" x14ac:dyDescent="0.25">
      <c r="C5110" s="300" t="s">
        <v>1060</v>
      </c>
      <c r="D5110" s="283" t="s">
        <v>1087</v>
      </c>
      <c r="E5110" s="283" t="s">
        <v>1075</v>
      </c>
      <c r="F5110" s="283" t="s">
        <v>524</v>
      </c>
      <c r="G5110" s="283">
        <v>1</v>
      </c>
      <c r="H5110" s="283">
        <v>0</v>
      </c>
      <c r="I5110" s="283">
        <v>0</v>
      </c>
      <c r="J5110" s="284">
        <v>0</v>
      </c>
    </row>
    <row r="5111" spans="3:10" x14ac:dyDescent="0.25">
      <c r="C5111" s="300" t="s">
        <v>1063</v>
      </c>
      <c r="D5111" s="283" t="s">
        <v>1087</v>
      </c>
      <c r="E5111" s="283" t="s">
        <v>1075</v>
      </c>
      <c r="F5111" s="283" t="s">
        <v>524</v>
      </c>
      <c r="G5111" s="283">
        <v>1</v>
      </c>
      <c r="H5111" s="283">
        <v>0</v>
      </c>
      <c r="I5111" s="283">
        <v>0</v>
      </c>
      <c r="J5111" s="284">
        <v>0</v>
      </c>
    </row>
    <row r="5112" spans="3:10" x14ac:dyDescent="0.25">
      <c r="C5112" s="300" t="s">
        <v>1067</v>
      </c>
      <c r="D5112" s="283" t="s">
        <v>1079</v>
      </c>
      <c r="E5112" s="283" t="s">
        <v>1075</v>
      </c>
      <c r="F5112" s="283" t="s">
        <v>1075</v>
      </c>
      <c r="G5112" s="283">
        <v>2</v>
      </c>
      <c r="H5112" s="283">
        <v>0</v>
      </c>
      <c r="I5112" s="283">
        <v>0</v>
      </c>
      <c r="J5112" s="284">
        <v>0</v>
      </c>
    </row>
    <row r="5113" spans="3:10" x14ac:dyDescent="0.25">
      <c r="C5113" s="300" t="s">
        <v>1067</v>
      </c>
      <c r="D5113" s="283" t="s">
        <v>1087</v>
      </c>
      <c r="E5113" s="283" t="s">
        <v>1075</v>
      </c>
      <c r="F5113" s="283" t="s">
        <v>524</v>
      </c>
      <c r="G5113" s="283">
        <v>1</v>
      </c>
      <c r="H5113" s="283">
        <v>0</v>
      </c>
      <c r="I5113" s="283">
        <v>1</v>
      </c>
      <c r="J5113" s="284">
        <v>0</v>
      </c>
    </row>
    <row r="5114" spans="3:10" x14ac:dyDescent="0.25">
      <c r="C5114" s="300" t="s">
        <v>1067</v>
      </c>
      <c r="D5114" s="283" t="s">
        <v>1087</v>
      </c>
      <c r="E5114" s="283" t="s">
        <v>1075</v>
      </c>
      <c r="F5114" s="283" t="s">
        <v>524</v>
      </c>
      <c r="G5114" s="283">
        <v>1</v>
      </c>
      <c r="H5114" s="283">
        <v>0</v>
      </c>
      <c r="I5114" s="283">
        <v>0</v>
      </c>
      <c r="J5114" s="284">
        <v>1</v>
      </c>
    </row>
    <row r="5115" spans="3:10" x14ac:dyDescent="0.25">
      <c r="C5115" s="300" t="s">
        <v>1061</v>
      </c>
      <c r="D5115" s="283" t="s">
        <v>1079</v>
      </c>
      <c r="E5115" s="283" t="s">
        <v>1084</v>
      </c>
      <c r="F5115" s="283" t="s">
        <v>1086</v>
      </c>
      <c r="G5115" s="283">
        <v>2</v>
      </c>
      <c r="H5115" s="283">
        <v>0</v>
      </c>
      <c r="I5115" s="283">
        <v>0</v>
      </c>
      <c r="J5115" s="284">
        <v>0</v>
      </c>
    </row>
    <row r="5116" spans="3:10" x14ac:dyDescent="0.25">
      <c r="C5116" s="300" t="s">
        <v>1064</v>
      </c>
      <c r="D5116" s="283" t="s">
        <v>1079</v>
      </c>
      <c r="E5116" s="283" t="s">
        <v>1081</v>
      </c>
      <c r="F5116" s="283" t="s">
        <v>1089</v>
      </c>
      <c r="G5116" s="283">
        <v>2</v>
      </c>
      <c r="H5116" s="283">
        <v>0</v>
      </c>
      <c r="I5116" s="283">
        <v>0</v>
      </c>
      <c r="J5116" s="284">
        <v>1</v>
      </c>
    </row>
    <row r="5117" spans="3:10" x14ac:dyDescent="0.25">
      <c r="C5117" s="300" t="s">
        <v>1066</v>
      </c>
      <c r="D5117" s="283" t="s">
        <v>1087</v>
      </c>
      <c r="E5117" s="283" t="s">
        <v>1076</v>
      </c>
      <c r="F5117" s="283" t="s">
        <v>524</v>
      </c>
      <c r="G5117" s="283">
        <v>1</v>
      </c>
      <c r="H5117" s="283">
        <v>0</v>
      </c>
      <c r="I5117" s="283">
        <v>0</v>
      </c>
      <c r="J5117" s="284">
        <v>0</v>
      </c>
    </row>
    <row r="5118" spans="3:10" x14ac:dyDescent="0.25">
      <c r="C5118" s="300" t="s">
        <v>1066</v>
      </c>
      <c r="D5118" s="283" t="s">
        <v>1087</v>
      </c>
      <c r="E5118" s="283" t="s">
        <v>1075</v>
      </c>
      <c r="F5118" s="283" t="s">
        <v>524</v>
      </c>
      <c r="G5118" s="283">
        <v>1</v>
      </c>
      <c r="H5118" s="283">
        <v>0</v>
      </c>
      <c r="I5118" s="283">
        <v>0</v>
      </c>
      <c r="J5118" s="284">
        <v>1</v>
      </c>
    </row>
    <row r="5119" spans="3:10" x14ac:dyDescent="0.25">
      <c r="C5119" s="300" t="s">
        <v>1064</v>
      </c>
      <c r="D5119" s="283" t="s">
        <v>1079</v>
      </c>
      <c r="E5119" s="283" t="s">
        <v>1044</v>
      </c>
      <c r="F5119" s="283" t="s">
        <v>1076</v>
      </c>
      <c r="G5119" s="283">
        <v>2</v>
      </c>
      <c r="H5119" s="283">
        <v>0</v>
      </c>
      <c r="I5119" s="283">
        <v>1</v>
      </c>
      <c r="J5119" s="284">
        <v>0</v>
      </c>
    </row>
    <row r="5120" spans="3:10" x14ac:dyDescent="0.25">
      <c r="C5120" s="300" t="s">
        <v>1062</v>
      </c>
      <c r="D5120" s="283" t="s">
        <v>1079</v>
      </c>
      <c r="E5120" s="283" t="s">
        <v>1076</v>
      </c>
      <c r="F5120" s="283" t="s">
        <v>1075</v>
      </c>
      <c r="G5120" s="283">
        <v>2</v>
      </c>
      <c r="H5120" s="283">
        <v>0</v>
      </c>
      <c r="I5120" s="283">
        <v>0</v>
      </c>
      <c r="J5120" s="284">
        <v>1</v>
      </c>
    </row>
    <row r="5121" spans="3:10" x14ac:dyDescent="0.25">
      <c r="C5121" s="300" t="s">
        <v>1063</v>
      </c>
      <c r="D5121" s="283" t="s">
        <v>1043</v>
      </c>
      <c r="E5121" s="283" t="s">
        <v>1084</v>
      </c>
      <c r="F5121" s="283" t="s">
        <v>1092</v>
      </c>
      <c r="G5121" s="283">
        <v>2</v>
      </c>
      <c r="H5121" s="283">
        <v>0</v>
      </c>
      <c r="I5121" s="283">
        <v>0</v>
      </c>
      <c r="J5121" s="284">
        <v>1</v>
      </c>
    </row>
    <row r="5122" spans="3:10" x14ac:dyDescent="0.25">
      <c r="C5122" s="300" t="s">
        <v>1066</v>
      </c>
      <c r="D5122" s="283" t="s">
        <v>1087</v>
      </c>
      <c r="E5122" s="283" t="s">
        <v>1075</v>
      </c>
      <c r="F5122" s="283" t="s">
        <v>524</v>
      </c>
      <c r="G5122" s="283">
        <v>1</v>
      </c>
      <c r="H5122" s="283">
        <v>0</v>
      </c>
      <c r="I5122" s="283">
        <v>0</v>
      </c>
      <c r="J5122" s="284">
        <v>0</v>
      </c>
    </row>
    <row r="5123" spans="3:10" x14ac:dyDescent="0.25">
      <c r="C5123" s="300" t="s">
        <v>1061</v>
      </c>
      <c r="D5123" s="283" t="s">
        <v>1077</v>
      </c>
      <c r="E5123" s="283" t="s">
        <v>1089</v>
      </c>
      <c r="F5123" s="283" t="s">
        <v>1089</v>
      </c>
      <c r="G5123" s="283">
        <v>2</v>
      </c>
      <c r="H5123" s="283">
        <v>0</v>
      </c>
      <c r="I5123" s="283">
        <v>0</v>
      </c>
      <c r="J5123" s="284">
        <v>0</v>
      </c>
    </row>
    <row r="5124" spans="3:10" x14ac:dyDescent="0.25">
      <c r="C5124" s="300" t="s">
        <v>1064</v>
      </c>
      <c r="D5124" s="283" t="s">
        <v>1082</v>
      </c>
      <c r="E5124" s="283" t="s">
        <v>1075</v>
      </c>
      <c r="F5124" s="283" t="s">
        <v>1075</v>
      </c>
      <c r="G5124" s="283">
        <v>3</v>
      </c>
      <c r="H5124" s="283">
        <v>0</v>
      </c>
      <c r="I5124" s="283">
        <v>0</v>
      </c>
      <c r="J5124" s="284">
        <v>0</v>
      </c>
    </row>
    <row r="5125" spans="3:10" x14ac:dyDescent="0.25">
      <c r="C5125" s="300" t="s">
        <v>1068</v>
      </c>
      <c r="D5125" s="283" t="s">
        <v>1074</v>
      </c>
      <c r="E5125" s="283" t="s">
        <v>1089</v>
      </c>
      <c r="F5125" s="283" t="s">
        <v>1076</v>
      </c>
      <c r="G5125" s="283">
        <v>2</v>
      </c>
      <c r="H5125" s="283">
        <v>0</v>
      </c>
      <c r="I5125" s="283">
        <v>0</v>
      </c>
      <c r="J5125" s="284">
        <v>1</v>
      </c>
    </row>
    <row r="5126" spans="3:10" x14ac:dyDescent="0.25">
      <c r="C5126" s="300" t="s">
        <v>1057</v>
      </c>
      <c r="D5126" s="283" t="s">
        <v>1079</v>
      </c>
      <c r="E5126" s="283" t="s">
        <v>1089</v>
      </c>
      <c r="F5126" s="283" t="s">
        <v>1113</v>
      </c>
      <c r="G5126" s="283">
        <v>2</v>
      </c>
      <c r="H5126" s="283">
        <v>0</v>
      </c>
      <c r="I5126" s="283">
        <v>1</v>
      </c>
      <c r="J5126" s="284">
        <v>0</v>
      </c>
    </row>
    <row r="5127" spans="3:10" x14ac:dyDescent="0.25">
      <c r="C5127" s="300" t="s">
        <v>1060</v>
      </c>
      <c r="D5127" s="283" t="s">
        <v>1077</v>
      </c>
      <c r="E5127" s="283" t="s">
        <v>1078</v>
      </c>
      <c r="F5127" s="283" t="s">
        <v>1086</v>
      </c>
      <c r="G5127" s="283">
        <v>2</v>
      </c>
      <c r="H5127" s="283">
        <v>0</v>
      </c>
      <c r="I5127" s="283">
        <v>0</v>
      </c>
      <c r="J5127" s="284">
        <v>0</v>
      </c>
    </row>
    <row r="5128" spans="3:10" x14ac:dyDescent="0.25">
      <c r="C5128" s="300" t="s">
        <v>1066</v>
      </c>
      <c r="D5128" s="283" t="s">
        <v>1090</v>
      </c>
      <c r="E5128" s="283" t="s">
        <v>1075</v>
      </c>
      <c r="F5128" s="283" t="s">
        <v>524</v>
      </c>
      <c r="G5128" s="283">
        <v>1</v>
      </c>
      <c r="H5128" s="283">
        <v>0</v>
      </c>
      <c r="I5128" s="283">
        <v>0</v>
      </c>
      <c r="J5128" s="284">
        <v>0</v>
      </c>
    </row>
    <row r="5129" spans="3:10" x14ac:dyDescent="0.25">
      <c r="C5129" s="300" t="s">
        <v>1065</v>
      </c>
      <c r="D5129" s="283" t="s">
        <v>1043</v>
      </c>
      <c r="E5129" s="283" t="s">
        <v>1089</v>
      </c>
      <c r="F5129" s="283" t="s">
        <v>1104</v>
      </c>
      <c r="G5129" s="283">
        <v>2</v>
      </c>
      <c r="H5129" s="283">
        <v>0</v>
      </c>
      <c r="I5129" s="283">
        <v>0</v>
      </c>
      <c r="J5129" s="284">
        <v>0</v>
      </c>
    </row>
    <row r="5130" spans="3:10" x14ac:dyDescent="0.25">
      <c r="C5130" s="300" t="s">
        <v>1062</v>
      </c>
      <c r="D5130" s="283" t="s">
        <v>1087</v>
      </c>
      <c r="E5130" s="283" t="s">
        <v>1083</v>
      </c>
      <c r="F5130" s="283" t="s">
        <v>524</v>
      </c>
      <c r="G5130" s="283">
        <v>1</v>
      </c>
      <c r="H5130" s="283">
        <v>0</v>
      </c>
      <c r="I5130" s="283">
        <v>1</v>
      </c>
      <c r="J5130" s="284">
        <v>0</v>
      </c>
    </row>
    <row r="5131" spans="3:10" x14ac:dyDescent="0.25">
      <c r="C5131" s="300" t="s">
        <v>1068</v>
      </c>
      <c r="D5131" s="283" t="s">
        <v>1079</v>
      </c>
      <c r="E5131" s="283" t="s">
        <v>1075</v>
      </c>
      <c r="F5131" s="283" t="s">
        <v>1075</v>
      </c>
      <c r="G5131" s="283">
        <v>2</v>
      </c>
      <c r="H5131" s="283">
        <v>0</v>
      </c>
      <c r="I5131" s="283">
        <v>0</v>
      </c>
      <c r="J5131" s="284">
        <v>1</v>
      </c>
    </row>
    <row r="5132" spans="3:10" x14ac:dyDescent="0.25">
      <c r="C5132" s="300" t="s">
        <v>1063</v>
      </c>
      <c r="D5132" s="283" t="s">
        <v>1077</v>
      </c>
      <c r="E5132" s="283" t="s">
        <v>1075</v>
      </c>
      <c r="F5132" s="283" t="s">
        <v>1080</v>
      </c>
      <c r="G5132" s="283">
        <v>2</v>
      </c>
      <c r="H5132" s="283">
        <v>0</v>
      </c>
      <c r="I5132" s="283">
        <v>0</v>
      </c>
      <c r="J5132" s="284">
        <v>0</v>
      </c>
    </row>
    <row r="5133" spans="3:10" x14ac:dyDescent="0.25">
      <c r="C5133" s="300" t="s">
        <v>1061</v>
      </c>
      <c r="D5133" s="283" t="s">
        <v>1077</v>
      </c>
      <c r="E5133" s="283" t="s">
        <v>1075</v>
      </c>
      <c r="F5133" s="283" t="s">
        <v>1075</v>
      </c>
      <c r="G5133" s="283">
        <v>3</v>
      </c>
      <c r="H5133" s="283">
        <v>0</v>
      </c>
      <c r="I5133" s="283">
        <v>0</v>
      </c>
      <c r="J5133" s="284">
        <v>0</v>
      </c>
    </row>
    <row r="5134" spans="3:10" x14ac:dyDescent="0.25">
      <c r="C5134" s="300" t="s">
        <v>1067</v>
      </c>
      <c r="D5134" s="283" t="s">
        <v>1087</v>
      </c>
      <c r="E5134" s="283" t="s">
        <v>1075</v>
      </c>
      <c r="F5134" s="283" t="s">
        <v>524</v>
      </c>
      <c r="G5134" s="283">
        <v>1</v>
      </c>
      <c r="H5134" s="283">
        <v>0</v>
      </c>
      <c r="I5134" s="283">
        <v>0</v>
      </c>
      <c r="J5134" s="284">
        <v>0</v>
      </c>
    </row>
    <row r="5135" spans="3:10" x14ac:dyDescent="0.25">
      <c r="C5135" s="300" t="s">
        <v>1062</v>
      </c>
      <c r="D5135" s="283" t="s">
        <v>1074</v>
      </c>
      <c r="E5135" s="283" t="s">
        <v>1076</v>
      </c>
      <c r="F5135" s="283" t="s">
        <v>1075</v>
      </c>
      <c r="G5135" s="283">
        <v>2</v>
      </c>
      <c r="H5135" s="283">
        <v>0</v>
      </c>
      <c r="I5135" s="283">
        <v>0</v>
      </c>
      <c r="J5135" s="284">
        <v>2</v>
      </c>
    </row>
    <row r="5136" spans="3:10" x14ac:dyDescent="0.25">
      <c r="C5136" s="300" t="s">
        <v>1060</v>
      </c>
      <c r="D5136" s="283" t="s">
        <v>1074</v>
      </c>
      <c r="E5136" s="283" t="s">
        <v>1086</v>
      </c>
      <c r="F5136" s="283" t="s">
        <v>1076</v>
      </c>
      <c r="G5136" s="283">
        <v>2</v>
      </c>
      <c r="H5136" s="283">
        <v>0</v>
      </c>
      <c r="I5136" s="283">
        <v>0</v>
      </c>
      <c r="J5136" s="284">
        <v>1</v>
      </c>
    </row>
    <row r="5137" spans="3:10" x14ac:dyDescent="0.25">
      <c r="C5137" s="300" t="s">
        <v>1063</v>
      </c>
      <c r="D5137" s="283" t="s">
        <v>1090</v>
      </c>
      <c r="E5137" s="283" t="s">
        <v>1044</v>
      </c>
      <c r="F5137" s="283" t="s">
        <v>524</v>
      </c>
      <c r="G5137" s="283">
        <v>1</v>
      </c>
      <c r="H5137" s="283">
        <v>0</v>
      </c>
      <c r="I5137" s="283">
        <v>1</v>
      </c>
      <c r="J5137" s="284">
        <v>0</v>
      </c>
    </row>
    <row r="5138" spans="3:10" x14ac:dyDescent="0.25">
      <c r="C5138" s="300" t="s">
        <v>1060</v>
      </c>
      <c r="D5138" s="283" t="s">
        <v>1079</v>
      </c>
      <c r="E5138" s="283" t="s">
        <v>1089</v>
      </c>
      <c r="F5138" s="283" t="s">
        <v>1075</v>
      </c>
      <c r="G5138" s="283">
        <v>2</v>
      </c>
      <c r="H5138" s="283">
        <v>0</v>
      </c>
      <c r="I5138" s="283">
        <v>0</v>
      </c>
      <c r="J5138" s="284">
        <v>0</v>
      </c>
    </row>
    <row r="5139" spans="3:10" x14ac:dyDescent="0.25">
      <c r="C5139" s="300" t="s">
        <v>1063</v>
      </c>
      <c r="D5139" s="283" t="s">
        <v>1079</v>
      </c>
      <c r="E5139" s="283" t="s">
        <v>1075</v>
      </c>
      <c r="F5139" s="283" t="s">
        <v>1075</v>
      </c>
      <c r="G5139" s="283">
        <v>2</v>
      </c>
      <c r="H5139" s="283">
        <v>0</v>
      </c>
      <c r="I5139" s="283">
        <v>0</v>
      </c>
      <c r="J5139" s="284">
        <v>0</v>
      </c>
    </row>
    <row r="5140" spans="3:10" x14ac:dyDescent="0.25">
      <c r="C5140" s="300" t="s">
        <v>1065</v>
      </c>
      <c r="D5140" s="283" t="s">
        <v>1074</v>
      </c>
      <c r="E5140" s="283" t="s">
        <v>1075</v>
      </c>
      <c r="F5140" s="283" t="s">
        <v>1089</v>
      </c>
      <c r="G5140" s="283">
        <v>2</v>
      </c>
      <c r="H5140" s="283">
        <v>0</v>
      </c>
      <c r="I5140" s="283">
        <v>0</v>
      </c>
      <c r="J5140" s="284">
        <v>1</v>
      </c>
    </row>
    <row r="5141" spans="3:10" x14ac:dyDescent="0.25">
      <c r="C5141" s="300" t="s">
        <v>1065</v>
      </c>
      <c r="D5141" s="283" t="s">
        <v>1077</v>
      </c>
      <c r="E5141" s="283" t="s">
        <v>1075</v>
      </c>
      <c r="F5141" s="283" t="s">
        <v>1075</v>
      </c>
      <c r="G5141" s="283">
        <v>3</v>
      </c>
      <c r="H5141" s="283">
        <v>0</v>
      </c>
      <c r="I5141" s="283">
        <v>0</v>
      </c>
      <c r="J5141" s="284">
        <v>0</v>
      </c>
    </row>
    <row r="5142" spans="3:10" x14ac:dyDescent="0.25">
      <c r="C5142" s="300" t="s">
        <v>1066</v>
      </c>
      <c r="D5142" s="283" t="s">
        <v>1079</v>
      </c>
      <c r="E5142" s="283" t="s">
        <v>1076</v>
      </c>
      <c r="F5142" s="283" t="s">
        <v>1075</v>
      </c>
      <c r="G5142" s="283">
        <v>4</v>
      </c>
      <c r="H5142" s="283">
        <v>0</v>
      </c>
      <c r="I5142" s="283">
        <v>0</v>
      </c>
      <c r="J5142" s="284">
        <v>1</v>
      </c>
    </row>
    <row r="5143" spans="3:10" x14ac:dyDescent="0.25">
      <c r="C5143" s="300" t="s">
        <v>1067</v>
      </c>
      <c r="D5143" s="283" t="s">
        <v>1079</v>
      </c>
      <c r="E5143" s="283" t="s">
        <v>1075</v>
      </c>
      <c r="F5143" s="283" t="s">
        <v>1075</v>
      </c>
      <c r="G5143" s="283">
        <v>2</v>
      </c>
      <c r="H5143" s="283">
        <v>0</v>
      </c>
      <c r="I5143" s="283">
        <v>0</v>
      </c>
      <c r="J5143" s="284">
        <v>1</v>
      </c>
    </row>
    <row r="5144" spans="3:10" x14ac:dyDescent="0.25">
      <c r="C5144" s="300" t="s">
        <v>1066</v>
      </c>
      <c r="D5144" s="283" t="s">
        <v>1087</v>
      </c>
      <c r="E5144" s="283" t="s">
        <v>1089</v>
      </c>
      <c r="F5144" s="283" t="s">
        <v>524</v>
      </c>
      <c r="G5144" s="283">
        <v>1</v>
      </c>
      <c r="H5144" s="283">
        <v>0</v>
      </c>
      <c r="I5144" s="283">
        <v>0</v>
      </c>
      <c r="J5144" s="284">
        <v>0</v>
      </c>
    </row>
    <row r="5145" spans="3:10" x14ac:dyDescent="0.25">
      <c r="C5145" s="300" t="s">
        <v>1058</v>
      </c>
      <c r="D5145" s="283" t="s">
        <v>1079</v>
      </c>
      <c r="E5145" s="283" t="s">
        <v>1075</v>
      </c>
      <c r="F5145" s="283" t="s">
        <v>1076</v>
      </c>
      <c r="G5145" s="283">
        <v>4</v>
      </c>
      <c r="H5145" s="283">
        <v>0</v>
      </c>
      <c r="I5145" s="283">
        <v>1</v>
      </c>
      <c r="J5145" s="284">
        <v>0</v>
      </c>
    </row>
    <row r="5146" spans="3:10" x14ac:dyDescent="0.25">
      <c r="C5146" s="300" t="s">
        <v>1068</v>
      </c>
      <c r="D5146" s="283" t="s">
        <v>1079</v>
      </c>
      <c r="E5146" s="283" t="s">
        <v>1086</v>
      </c>
      <c r="F5146" s="283" t="s">
        <v>1075</v>
      </c>
      <c r="G5146" s="283">
        <v>2</v>
      </c>
      <c r="H5146" s="283">
        <v>0</v>
      </c>
      <c r="I5146" s="283">
        <v>0</v>
      </c>
      <c r="J5146" s="284">
        <v>0</v>
      </c>
    </row>
    <row r="5147" spans="3:10" x14ac:dyDescent="0.25">
      <c r="C5147" s="300" t="s">
        <v>1064</v>
      </c>
      <c r="D5147" s="283" t="s">
        <v>1082</v>
      </c>
      <c r="E5147" s="283" t="s">
        <v>1075</v>
      </c>
      <c r="F5147" s="283" t="s">
        <v>1078</v>
      </c>
      <c r="G5147" s="283">
        <v>2</v>
      </c>
      <c r="H5147" s="283">
        <v>0</v>
      </c>
      <c r="I5147" s="283">
        <v>1</v>
      </c>
      <c r="J5147" s="284">
        <v>2</v>
      </c>
    </row>
    <row r="5148" spans="3:10" x14ac:dyDescent="0.25">
      <c r="C5148" s="300" t="s">
        <v>1060</v>
      </c>
      <c r="D5148" s="283" t="s">
        <v>1074</v>
      </c>
      <c r="E5148" s="283" t="s">
        <v>1075</v>
      </c>
      <c r="F5148" s="283" t="s">
        <v>1075</v>
      </c>
      <c r="G5148" s="283">
        <v>2</v>
      </c>
      <c r="H5148" s="283">
        <v>0</v>
      </c>
      <c r="I5148" s="283">
        <v>0</v>
      </c>
      <c r="J5148" s="284">
        <v>1</v>
      </c>
    </row>
    <row r="5149" spans="3:10" x14ac:dyDescent="0.25">
      <c r="C5149" s="300" t="s">
        <v>1066</v>
      </c>
      <c r="D5149" s="283" t="s">
        <v>1106</v>
      </c>
      <c r="E5149" s="283" t="s">
        <v>1083</v>
      </c>
      <c r="F5149" s="283" t="s">
        <v>524</v>
      </c>
      <c r="G5149" s="283">
        <v>1</v>
      </c>
      <c r="H5149" s="283">
        <v>0</v>
      </c>
      <c r="I5149" s="283">
        <v>1</v>
      </c>
      <c r="J5149" s="284">
        <v>0</v>
      </c>
    </row>
    <row r="5150" spans="3:10" x14ac:dyDescent="0.25">
      <c r="C5150" s="300" t="s">
        <v>1068</v>
      </c>
      <c r="D5150" s="283" t="s">
        <v>1074</v>
      </c>
      <c r="E5150" s="283" t="s">
        <v>1084</v>
      </c>
      <c r="F5150" s="283" t="s">
        <v>1084</v>
      </c>
      <c r="G5150" s="283">
        <v>2</v>
      </c>
      <c r="H5150" s="283">
        <v>0</v>
      </c>
      <c r="I5150" s="283">
        <v>0</v>
      </c>
      <c r="J5150" s="284">
        <v>2</v>
      </c>
    </row>
    <row r="5151" spans="3:10" x14ac:dyDescent="0.25">
      <c r="C5151" s="300" t="s">
        <v>1064</v>
      </c>
      <c r="D5151" s="283" t="s">
        <v>1090</v>
      </c>
      <c r="E5151" s="283" t="s">
        <v>1083</v>
      </c>
      <c r="F5151" s="283" t="s">
        <v>524</v>
      </c>
      <c r="G5151" s="283">
        <v>1</v>
      </c>
      <c r="H5151" s="283">
        <v>0</v>
      </c>
      <c r="I5151" s="283">
        <v>0</v>
      </c>
      <c r="J5151" s="284">
        <v>1</v>
      </c>
    </row>
    <row r="5152" spans="3:10" x14ac:dyDescent="0.25">
      <c r="C5152" s="300" t="s">
        <v>1057</v>
      </c>
      <c r="D5152" s="283" t="s">
        <v>1079</v>
      </c>
      <c r="E5152" s="283" t="s">
        <v>1089</v>
      </c>
      <c r="F5152" s="283" t="s">
        <v>1080</v>
      </c>
      <c r="G5152" s="283">
        <v>2</v>
      </c>
      <c r="H5152" s="283">
        <v>0</v>
      </c>
      <c r="I5152" s="283">
        <v>0</v>
      </c>
      <c r="J5152" s="284">
        <v>0</v>
      </c>
    </row>
    <row r="5153" spans="3:10" x14ac:dyDescent="0.25">
      <c r="C5153" s="300" t="s">
        <v>1066</v>
      </c>
      <c r="D5153" s="283" t="s">
        <v>1077</v>
      </c>
      <c r="E5153" s="283" t="s">
        <v>1075</v>
      </c>
      <c r="F5153" s="283" t="s">
        <v>1075</v>
      </c>
      <c r="G5153" s="283">
        <v>2</v>
      </c>
      <c r="H5153" s="283">
        <v>0</v>
      </c>
      <c r="I5153" s="283">
        <v>0</v>
      </c>
      <c r="J5153" s="284">
        <v>0</v>
      </c>
    </row>
    <row r="5154" spans="3:10" x14ac:dyDescent="0.25">
      <c r="C5154" s="300" t="s">
        <v>1060</v>
      </c>
      <c r="D5154" s="283" t="s">
        <v>1043</v>
      </c>
      <c r="E5154" s="283" t="s">
        <v>1086</v>
      </c>
      <c r="F5154" s="283" t="s">
        <v>1092</v>
      </c>
      <c r="G5154" s="283">
        <v>2</v>
      </c>
      <c r="H5154" s="283">
        <v>0</v>
      </c>
      <c r="I5154" s="283">
        <v>0</v>
      </c>
      <c r="J5154" s="284">
        <v>1</v>
      </c>
    </row>
    <row r="5155" spans="3:10" x14ac:dyDescent="0.25">
      <c r="C5155" s="300" t="s">
        <v>1068</v>
      </c>
      <c r="D5155" s="283" t="s">
        <v>1090</v>
      </c>
      <c r="E5155" s="283" t="s">
        <v>1083</v>
      </c>
      <c r="F5155" s="283" t="s">
        <v>524</v>
      </c>
      <c r="G5155" s="283">
        <v>1</v>
      </c>
      <c r="H5155" s="283">
        <v>0</v>
      </c>
      <c r="I5155" s="283">
        <v>1</v>
      </c>
      <c r="J5155" s="284">
        <v>0</v>
      </c>
    </row>
    <row r="5156" spans="3:10" x14ac:dyDescent="0.25">
      <c r="C5156" s="300" t="s">
        <v>1062</v>
      </c>
      <c r="D5156" s="283" t="s">
        <v>1090</v>
      </c>
      <c r="E5156" s="283" t="s">
        <v>1083</v>
      </c>
      <c r="F5156" s="283" t="s">
        <v>524</v>
      </c>
      <c r="G5156" s="283">
        <v>1</v>
      </c>
      <c r="H5156" s="283">
        <v>0</v>
      </c>
      <c r="I5156" s="283">
        <v>0</v>
      </c>
      <c r="J5156" s="284">
        <v>0</v>
      </c>
    </row>
    <row r="5157" spans="3:10" x14ac:dyDescent="0.25">
      <c r="C5157" s="300" t="s">
        <v>1067</v>
      </c>
      <c r="D5157" s="283" t="s">
        <v>1074</v>
      </c>
      <c r="E5157" s="283" t="s">
        <v>1083</v>
      </c>
      <c r="F5157" s="283" t="s">
        <v>1089</v>
      </c>
      <c r="G5157" s="283">
        <v>2</v>
      </c>
      <c r="H5157" s="283">
        <v>0</v>
      </c>
      <c r="I5157" s="283">
        <v>0</v>
      </c>
      <c r="J5157" s="284">
        <v>0</v>
      </c>
    </row>
    <row r="5158" spans="3:10" x14ac:dyDescent="0.25">
      <c r="C5158" s="300" t="s">
        <v>1065</v>
      </c>
      <c r="D5158" s="283" t="s">
        <v>1074</v>
      </c>
      <c r="E5158" s="283" t="s">
        <v>1075</v>
      </c>
      <c r="F5158" s="283" t="s">
        <v>1075</v>
      </c>
      <c r="G5158" s="283">
        <v>2</v>
      </c>
      <c r="H5158" s="283">
        <v>0</v>
      </c>
      <c r="I5158" s="283">
        <v>0</v>
      </c>
      <c r="J5158" s="284">
        <v>0</v>
      </c>
    </row>
    <row r="5159" spans="3:10" x14ac:dyDescent="0.25">
      <c r="C5159" s="300" t="s">
        <v>1064</v>
      </c>
      <c r="D5159" s="283" t="s">
        <v>1077</v>
      </c>
      <c r="E5159" s="283" t="s">
        <v>1076</v>
      </c>
      <c r="F5159" s="283" t="s">
        <v>1075</v>
      </c>
      <c r="G5159" s="283">
        <v>2</v>
      </c>
      <c r="H5159" s="283">
        <v>0</v>
      </c>
      <c r="I5159" s="283">
        <v>0</v>
      </c>
      <c r="J5159" s="284">
        <v>0</v>
      </c>
    </row>
    <row r="5160" spans="3:10" x14ac:dyDescent="0.25">
      <c r="C5160" s="300" t="s">
        <v>1066</v>
      </c>
      <c r="D5160" s="283" t="s">
        <v>1079</v>
      </c>
      <c r="E5160" s="283" t="s">
        <v>1086</v>
      </c>
      <c r="F5160" s="283" t="s">
        <v>1075</v>
      </c>
      <c r="G5160" s="283">
        <v>2</v>
      </c>
      <c r="H5160" s="283">
        <v>0</v>
      </c>
      <c r="I5160" s="283">
        <v>0</v>
      </c>
      <c r="J5160" s="284">
        <v>0</v>
      </c>
    </row>
    <row r="5161" spans="3:10" x14ac:dyDescent="0.25">
      <c r="C5161" s="300" t="s">
        <v>1065</v>
      </c>
      <c r="D5161" s="283" t="s">
        <v>1106</v>
      </c>
      <c r="E5161" s="283" t="s">
        <v>1099</v>
      </c>
      <c r="F5161" s="283" t="s">
        <v>524</v>
      </c>
      <c r="G5161" s="283">
        <v>1</v>
      </c>
      <c r="H5161" s="283">
        <v>0</v>
      </c>
      <c r="I5161" s="283">
        <v>0</v>
      </c>
      <c r="J5161" s="284">
        <v>0</v>
      </c>
    </row>
    <row r="5162" spans="3:10" x14ac:dyDescent="0.25">
      <c r="C5162" s="300" t="s">
        <v>1065</v>
      </c>
      <c r="D5162" s="283" t="s">
        <v>1079</v>
      </c>
      <c r="E5162" s="283" t="s">
        <v>1075</v>
      </c>
      <c r="F5162" s="283" t="s">
        <v>1076</v>
      </c>
      <c r="G5162" s="283">
        <v>5</v>
      </c>
      <c r="H5162" s="283">
        <v>0</v>
      </c>
      <c r="I5162" s="283">
        <v>0</v>
      </c>
      <c r="J5162" s="284">
        <v>0</v>
      </c>
    </row>
    <row r="5163" spans="3:10" x14ac:dyDescent="0.25">
      <c r="C5163" s="300" t="s">
        <v>1065</v>
      </c>
      <c r="D5163" s="283" t="s">
        <v>1077</v>
      </c>
      <c r="E5163" s="283" t="s">
        <v>1089</v>
      </c>
      <c r="F5163" s="283" t="s">
        <v>1075</v>
      </c>
      <c r="G5163" s="283">
        <v>2</v>
      </c>
      <c r="H5163" s="283">
        <v>0</v>
      </c>
      <c r="I5163" s="283">
        <v>0</v>
      </c>
      <c r="J5163" s="284">
        <v>0</v>
      </c>
    </row>
    <row r="5164" spans="3:10" x14ac:dyDescent="0.25">
      <c r="C5164" s="300" t="s">
        <v>1064</v>
      </c>
      <c r="D5164" s="283" t="s">
        <v>1090</v>
      </c>
      <c r="E5164" s="283" t="s">
        <v>1083</v>
      </c>
      <c r="F5164" s="283" t="s">
        <v>524</v>
      </c>
      <c r="G5164" s="283">
        <v>1</v>
      </c>
      <c r="H5164" s="283">
        <v>0</v>
      </c>
      <c r="I5164" s="283">
        <v>1</v>
      </c>
      <c r="J5164" s="284">
        <v>0</v>
      </c>
    </row>
    <row r="5165" spans="3:10" x14ac:dyDescent="0.25">
      <c r="C5165" s="300" t="s">
        <v>1059</v>
      </c>
      <c r="D5165" s="283" t="s">
        <v>1087</v>
      </c>
      <c r="E5165" s="283" t="s">
        <v>1075</v>
      </c>
      <c r="F5165" s="283" t="s">
        <v>524</v>
      </c>
      <c r="G5165" s="283">
        <v>1</v>
      </c>
      <c r="H5165" s="283">
        <v>0</v>
      </c>
      <c r="I5165" s="283">
        <v>1</v>
      </c>
      <c r="J5165" s="284">
        <v>0</v>
      </c>
    </row>
    <row r="5166" spans="3:10" x14ac:dyDescent="0.25">
      <c r="C5166" s="300" t="s">
        <v>1064</v>
      </c>
      <c r="D5166" s="283" t="s">
        <v>1079</v>
      </c>
      <c r="E5166" s="283" t="s">
        <v>1075</v>
      </c>
      <c r="F5166" s="283" t="s">
        <v>1075</v>
      </c>
      <c r="G5166" s="283">
        <v>2</v>
      </c>
      <c r="H5166" s="283">
        <v>0</v>
      </c>
      <c r="I5166" s="283">
        <v>0</v>
      </c>
      <c r="J5166" s="284">
        <v>0</v>
      </c>
    </row>
    <row r="5167" spans="3:10" x14ac:dyDescent="0.25">
      <c r="C5167" s="300" t="s">
        <v>1062</v>
      </c>
      <c r="D5167" s="283" t="s">
        <v>1077</v>
      </c>
      <c r="E5167" s="283" t="s">
        <v>1089</v>
      </c>
      <c r="F5167" s="283" t="s">
        <v>1075</v>
      </c>
      <c r="G5167" s="283">
        <v>3</v>
      </c>
      <c r="H5167" s="283">
        <v>0</v>
      </c>
      <c r="I5167" s="283">
        <v>0</v>
      </c>
      <c r="J5167" s="284">
        <v>1</v>
      </c>
    </row>
    <row r="5168" spans="3:10" x14ac:dyDescent="0.25">
      <c r="C5168" s="300" t="s">
        <v>1057</v>
      </c>
      <c r="D5168" s="283" t="s">
        <v>1043</v>
      </c>
      <c r="E5168" s="283" t="s">
        <v>1075</v>
      </c>
      <c r="F5168" s="283" t="s">
        <v>1092</v>
      </c>
      <c r="G5168" s="283">
        <v>2</v>
      </c>
      <c r="H5168" s="283">
        <v>0</v>
      </c>
      <c r="I5168" s="283">
        <v>0</v>
      </c>
      <c r="J5168" s="284">
        <v>1</v>
      </c>
    </row>
    <row r="5169" spans="3:10" x14ac:dyDescent="0.25">
      <c r="C5169" s="300" t="s">
        <v>1062</v>
      </c>
      <c r="D5169" s="283" t="s">
        <v>1079</v>
      </c>
      <c r="E5169" s="283" t="s">
        <v>1080</v>
      </c>
      <c r="F5169" s="283" t="s">
        <v>1075</v>
      </c>
      <c r="G5169" s="283">
        <v>2</v>
      </c>
      <c r="H5169" s="283">
        <v>0</v>
      </c>
      <c r="I5169" s="283">
        <v>0</v>
      </c>
      <c r="J5169" s="284">
        <v>0</v>
      </c>
    </row>
    <row r="5170" spans="3:10" x14ac:dyDescent="0.25">
      <c r="C5170" s="300" t="s">
        <v>1065</v>
      </c>
      <c r="D5170" s="283" t="s">
        <v>1077</v>
      </c>
      <c r="E5170" s="283" t="s">
        <v>1075</v>
      </c>
      <c r="F5170" s="283" t="s">
        <v>1089</v>
      </c>
      <c r="G5170" s="283">
        <v>2</v>
      </c>
      <c r="H5170" s="283">
        <v>0</v>
      </c>
      <c r="I5170" s="283">
        <v>0</v>
      </c>
      <c r="J5170" s="284">
        <v>0</v>
      </c>
    </row>
    <row r="5171" spans="3:10" x14ac:dyDescent="0.25">
      <c r="C5171" s="300" t="s">
        <v>1062</v>
      </c>
      <c r="D5171" s="283" t="s">
        <v>1074</v>
      </c>
      <c r="E5171" s="283" t="s">
        <v>1078</v>
      </c>
      <c r="F5171" s="283" t="s">
        <v>1089</v>
      </c>
      <c r="G5171" s="283">
        <v>2</v>
      </c>
      <c r="H5171" s="283">
        <v>0</v>
      </c>
      <c r="I5171" s="283">
        <v>0</v>
      </c>
      <c r="J5171" s="284">
        <v>1</v>
      </c>
    </row>
    <row r="5172" spans="3:10" x14ac:dyDescent="0.25">
      <c r="C5172" s="300" t="s">
        <v>1061</v>
      </c>
      <c r="D5172" s="283" t="s">
        <v>1087</v>
      </c>
      <c r="E5172" s="283" t="s">
        <v>1075</v>
      </c>
      <c r="F5172" s="283" t="s">
        <v>524</v>
      </c>
      <c r="G5172" s="283">
        <v>1</v>
      </c>
      <c r="H5172" s="283">
        <v>0</v>
      </c>
      <c r="I5172" s="283">
        <v>0</v>
      </c>
      <c r="J5172" s="284">
        <v>0</v>
      </c>
    </row>
    <row r="5173" spans="3:10" x14ac:dyDescent="0.25">
      <c r="C5173" s="300" t="s">
        <v>1065</v>
      </c>
      <c r="D5173" s="283" t="s">
        <v>1079</v>
      </c>
      <c r="E5173" s="283" t="s">
        <v>1075</v>
      </c>
      <c r="F5173" s="283" t="s">
        <v>1075</v>
      </c>
      <c r="G5173" s="283">
        <v>3</v>
      </c>
      <c r="H5173" s="283">
        <v>0</v>
      </c>
      <c r="I5173" s="283">
        <v>0</v>
      </c>
      <c r="J5173" s="284">
        <v>0</v>
      </c>
    </row>
    <row r="5174" spans="3:10" x14ac:dyDescent="0.25">
      <c r="C5174" s="300" t="s">
        <v>1063</v>
      </c>
      <c r="D5174" s="283" t="s">
        <v>1077</v>
      </c>
      <c r="E5174" s="283" t="s">
        <v>1075</v>
      </c>
      <c r="F5174" s="283" t="s">
        <v>1075</v>
      </c>
      <c r="G5174" s="283">
        <v>2</v>
      </c>
      <c r="H5174" s="283">
        <v>0</v>
      </c>
      <c r="I5174" s="283">
        <v>0</v>
      </c>
      <c r="J5174" s="284">
        <v>0</v>
      </c>
    </row>
    <row r="5175" spans="3:10" x14ac:dyDescent="0.25">
      <c r="C5175" s="300" t="s">
        <v>1064</v>
      </c>
      <c r="D5175" s="283" t="s">
        <v>1079</v>
      </c>
      <c r="E5175" s="283" t="s">
        <v>1078</v>
      </c>
      <c r="F5175" s="283" t="s">
        <v>1084</v>
      </c>
      <c r="G5175" s="283">
        <v>2</v>
      </c>
      <c r="H5175" s="283">
        <v>0</v>
      </c>
      <c r="I5175" s="283">
        <v>0</v>
      </c>
      <c r="J5175" s="284">
        <v>0</v>
      </c>
    </row>
    <row r="5176" spans="3:10" x14ac:dyDescent="0.25">
      <c r="C5176" s="300" t="s">
        <v>1057</v>
      </c>
      <c r="D5176" s="283" t="s">
        <v>1090</v>
      </c>
      <c r="E5176" s="283" t="s">
        <v>1075</v>
      </c>
      <c r="F5176" s="283" t="s">
        <v>524</v>
      </c>
      <c r="G5176" s="283">
        <v>1</v>
      </c>
      <c r="H5176" s="283">
        <v>0</v>
      </c>
      <c r="I5176" s="283">
        <v>0</v>
      </c>
      <c r="J5176" s="284">
        <v>0</v>
      </c>
    </row>
    <row r="5177" spans="3:10" x14ac:dyDescent="0.25">
      <c r="C5177" s="300" t="s">
        <v>1061</v>
      </c>
      <c r="D5177" s="283" t="s">
        <v>1079</v>
      </c>
      <c r="E5177" s="283" t="s">
        <v>1075</v>
      </c>
      <c r="F5177" s="283" t="s">
        <v>1089</v>
      </c>
      <c r="G5177" s="283">
        <v>2</v>
      </c>
      <c r="H5177" s="283">
        <v>0</v>
      </c>
      <c r="I5177" s="283">
        <v>0</v>
      </c>
      <c r="J5177" s="284">
        <v>0</v>
      </c>
    </row>
    <row r="5178" spans="3:10" x14ac:dyDescent="0.25">
      <c r="C5178" s="300" t="s">
        <v>1065</v>
      </c>
      <c r="D5178" s="283" t="s">
        <v>1082</v>
      </c>
      <c r="E5178" s="283" t="s">
        <v>1075</v>
      </c>
      <c r="F5178" s="283" t="s">
        <v>1076</v>
      </c>
      <c r="G5178" s="283">
        <v>2</v>
      </c>
      <c r="H5178" s="283">
        <v>0</v>
      </c>
      <c r="I5178" s="283">
        <v>0</v>
      </c>
      <c r="J5178" s="284">
        <v>0</v>
      </c>
    </row>
    <row r="5179" spans="3:10" x14ac:dyDescent="0.25">
      <c r="C5179" s="300" t="s">
        <v>1061</v>
      </c>
      <c r="D5179" s="283" t="s">
        <v>1079</v>
      </c>
      <c r="E5179" s="283" t="s">
        <v>1075</v>
      </c>
      <c r="F5179" s="283" t="s">
        <v>1075</v>
      </c>
      <c r="G5179" s="283">
        <v>2</v>
      </c>
      <c r="H5179" s="283">
        <v>0</v>
      </c>
      <c r="I5179" s="283">
        <v>0</v>
      </c>
      <c r="J5179" s="284">
        <v>0</v>
      </c>
    </row>
    <row r="5180" spans="3:10" x14ac:dyDescent="0.25">
      <c r="C5180" s="300" t="s">
        <v>1065</v>
      </c>
      <c r="D5180" s="283" t="s">
        <v>1077</v>
      </c>
      <c r="E5180" s="283" t="s">
        <v>1075</v>
      </c>
      <c r="F5180" s="283" t="s">
        <v>1089</v>
      </c>
      <c r="G5180" s="283">
        <v>2</v>
      </c>
      <c r="H5180" s="283">
        <v>0</v>
      </c>
      <c r="I5180" s="283">
        <v>0</v>
      </c>
      <c r="J5180" s="284">
        <v>0</v>
      </c>
    </row>
    <row r="5181" spans="3:10" x14ac:dyDescent="0.25">
      <c r="C5181" s="300" t="s">
        <v>1062</v>
      </c>
      <c r="D5181" s="283" t="s">
        <v>1077</v>
      </c>
      <c r="E5181" s="283" t="s">
        <v>1084</v>
      </c>
      <c r="F5181" s="283" t="s">
        <v>1075</v>
      </c>
      <c r="G5181" s="283">
        <v>2</v>
      </c>
      <c r="H5181" s="283">
        <v>0</v>
      </c>
      <c r="I5181" s="283">
        <v>0</v>
      </c>
      <c r="J5181" s="284">
        <v>0</v>
      </c>
    </row>
    <row r="5182" spans="3:10" x14ac:dyDescent="0.25">
      <c r="C5182" s="300" t="s">
        <v>1060</v>
      </c>
      <c r="D5182" s="283" t="s">
        <v>1095</v>
      </c>
      <c r="E5182" s="283" t="s">
        <v>1081</v>
      </c>
      <c r="F5182" s="283" t="s">
        <v>1076</v>
      </c>
      <c r="G5182" s="283">
        <v>4</v>
      </c>
      <c r="H5182" s="283">
        <v>0</v>
      </c>
      <c r="I5182" s="283">
        <v>0</v>
      </c>
      <c r="J5182" s="284">
        <v>0</v>
      </c>
    </row>
    <row r="5183" spans="3:10" x14ac:dyDescent="0.25">
      <c r="C5183" s="300" t="s">
        <v>1060</v>
      </c>
      <c r="D5183" s="283" t="s">
        <v>1074</v>
      </c>
      <c r="E5183" s="283" t="s">
        <v>1076</v>
      </c>
      <c r="F5183" s="283" t="s">
        <v>1075</v>
      </c>
      <c r="G5183" s="283">
        <v>2</v>
      </c>
      <c r="H5183" s="283">
        <v>0</v>
      </c>
      <c r="I5183" s="283">
        <v>0</v>
      </c>
      <c r="J5183" s="284">
        <v>1</v>
      </c>
    </row>
    <row r="5184" spans="3:10" x14ac:dyDescent="0.25">
      <c r="C5184" s="300" t="s">
        <v>1062</v>
      </c>
      <c r="D5184" s="283" t="s">
        <v>1087</v>
      </c>
      <c r="E5184" s="283" t="s">
        <v>1080</v>
      </c>
      <c r="F5184" s="283" t="s">
        <v>524</v>
      </c>
      <c r="G5184" s="283">
        <v>4</v>
      </c>
      <c r="H5184" s="283">
        <v>0</v>
      </c>
      <c r="I5184" s="283">
        <v>0</v>
      </c>
      <c r="J5184" s="284">
        <v>0</v>
      </c>
    </row>
    <row r="5185" spans="3:10" x14ac:dyDescent="0.25">
      <c r="C5185" s="300" t="s">
        <v>1067</v>
      </c>
      <c r="D5185" s="283" t="s">
        <v>1087</v>
      </c>
      <c r="E5185" s="283" t="s">
        <v>1100</v>
      </c>
      <c r="F5185" s="283" t="s">
        <v>524</v>
      </c>
      <c r="G5185" s="283">
        <v>1</v>
      </c>
      <c r="H5185" s="283">
        <v>0</v>
      </c>
      <c r="I5185" s="283">
        <v>0</v>
      </c>
      <c r="J5185" s="284">
        <v>0</v>
      </c>
    </row>
    <row r="5186" spans="3:10" x14ac:dyDescent="0.25">
      <c r="C5186" s="300" t="s">
        <v>1064</v>
      </c>
      <c r="D5186" s="283" t="s">
        <v>1079</v>
      </c>
      <c r="E5186" s="283" t="s">
        <v>1075</v>
      </c>
      <c r="F5186" s="283" t="s">
        <v>1076</v>
      </c>
      <c r="G5186" s="283">
        <v>2</v>
      </c>
      <c r="H5186" s="283">
        <v>0</v>
      </c>
      <c r="I5186" s="283">
        <v>0</v>
      </c>
      <c r="J5186" s="284">
        <v>0</v>
      </c>
    </row>
    <row r="5187" spans="3:10" x14ac:dyDescent="0.25">
      <c r="C5187" s="300" t="s">
        <v>1065</v>
      </c>
      <c r="D5187" s="283" t="s">
        <v>1074</v>
      </c>
      <c r="E5187" s="283" t="s">
        <v>1089</v>
      </c>
      <c r="F5187" s="283" t="s">
        <v>1078</v>
      </c>
      <c r="G5187" s="283">
        <v>2</v>
      </c>
      <c r="H5187" s="283">
        <v>0</v>
      </c>
      <c r="I5187" s="283">
        <v>0</v>
      </c>
      <c r="J5187" s="284">
        <v>0</v>
      </c>
    </row>
    <row r="5188" spans="3:10" x14ac:dyDescent="0.25">
      <c r="C5188" s="300" t="s">
        <v>1064</v>
      </c>
      <c r="D5188" s="283" t="s">
        <v>1074</v>
      </c>
      <c r="E5188" s="283" t="s">
        <v>1075</v>
      </c>
      <c r="F5188" s="283" t="s">
        <v>1094</v>
      </c>
      <c r="G5188" s="283">
        <v>2</v>
      </c>
      <c r="H5188" s="283">
        <v>0</v>
      </c>
      <c r="I5188" s="283">
        <v>1</v>
      </c>
      <c r="J5188" s="284">
        <v>1</v>
      </c>
    </row>
    <row r="5189" spans="3:10" x14ac:dyDescent="0.25">
      <c r="C5189" s="300" t="s">
        <v>1062</v>
      </c>
      <c r="D5189" s="283" t="s">
        <v>1079</v>
      </c>
      <c r="E5189" s="283" t="s">
        <v>1075</v>
      </c>
      <c r="F5189" s="283" t="s">
        <v>1089</v>
      </c>
      <c r="G5189" s="283">
        <v>2</v>
      </c>
      <c r="H5189" s="283">
        <v>0</v>
      </c>
      <c r="I5189" s="283">
        <v>0</v>
      </c>
      <c r="J5189" s="284">
        <v>0</v>
      </c>
    </row>
    <row r="5190" spans="3:10" x14ac:dyDescent="0.25">
      <c r="C5190" s="300" t="s">
        <v>1067</v>
      </c>
      <c r="D5190" s="283" t="s">
        <v>1087</v>
      </c>
      <c r="E5190" s="283" t="s">
        <v>1075</v>
      </c>
      <c r="F5190" s="283" t="s">
        <v>524</v>
      </c>
      <c r="G5190" s="283">
        <v>1</v>
      </c>
      <c r="H5190" s="283">
        <v>0</v>
      </c>
      <c r="I5190" s="283">
        <v>0</v>
      </c>
      <c r="J5190" s="284">
        <v>0</v>
      </c>
    </row>
    <row r="5191" spans="3:10" x14ac:dyDescent="0.25">
      <c r="C5191" s="300" t="s">
        <v>1062</v>
      </c>
      <c r="D5191" s="283" t="s">
        <v>1090</v>
      </c>
      <c r="E5191" s="283" t="s">
        <v>1093</v>
      </c>
      <c r="F5191" s="283" t="s">
        <v>524</v>
      </c>
      <c r="G5191" s="283">
        <v>1</v>
      </c>
      <c r="H5191" s="283">
        <v>0</v>
      </c>
      <c r="I5191" s="283">
        <v>1</v>
      </c>
      <c r="J5191" s="284">
        <v>0</v>
      </c>
    </row>
    <row r="5192" spans="3:10" x14ac:dyDescent="0.25">
      <c r="C5192" s="300" t="s">
        <v>1062</v>
      </c>
      <c r="D5192" s="283" t="s">
        <v>1090</v>
      </c>
      <c r="E5192" s="283" t="s">
        <v>1084</v>
      </c>
      <c r="F5192" s="283" t="s">
        <v>524</v>
      </c>
      <c r="G5192" s="283">
        <v>1</v>
      </c>
      <c r="H5192" s="283">
        <v>0</v>
      </c>
      <c r="I5192" s="283">
        <v>0</v>
      </c>
      <c r="J5192" s="284">
        <v>0</v>
      </c>
    </row>
    <row r="5193" spans="3:10" x14ac:dyDescent="0.25">
      <c r="C5193" s="300" t="s">
        <v>1068</v>
      </c>
      <c r="D5193" s="283" t="s">
        <v>1087</v>
      </c>
      <c r="E5193" s="283" t="s">
        <v>1075</v>
      </c>
      <c r="F5193" s="283" t="s">
        <v>524</v>
      </c>
      <c r="G5193" s="283">
        <v>1</v>
      </c>
      <c r="H5193" s="283">
        <v>0</v>
      </c>
      <c r="I5193" s="283">
        <v>1</v>
      </c>
      <c r="J5193" s="284">
        <v>0</v>
      </c>
    </row>
    <row r="5194" spans="3:10" x14ac:dyDescent="0.25">
      <c r="C5194" s="300" t="s">
        <v>1061</v>
      </c>
      <c r="D5194" s="283" t="s">
        <v>1074</v>
      </c>
      <c r="E5194" s="283" t="s">
        <v>1089</v>
      </c>
      <c r="F5194" s="283" t="s">
        <v>1076</v>
      </c>
      <c r="G5194" s="283">
        <v>2</v>
      </c>
      <c r="H5194" s="283">
        <v>0</v>
      </c>
      <c r="I5194" s="283">
        <v>0</v>
      </c>
      <c r="J5194" s="284">
        <v>0</v>
      </c>
    </row>
    <row r="5195" spans="3:10" x14ac:dyDescent="0.25">
      <c r="C5195" s="300" t="s">
        <v>1062</v>
      </c>
      <c r="D5195" s="283" t="s">
        <v>1087</v>
      </c>
      <c r="E5195" s="283" t="s">
        <v>1084</v>
      </c>
      <c r="F5195" s="283" t="s">
        <v>524</v>
      </c>
      <c r="G5195" s="283">
        <v>1</v>
      </c>
      <c r="H5195" s="283">
        <v>0</v>
      </c>
      <c r="I5195" s="283">
        <v>1</v>
      </c>
      <c r="J5195" s="284">
        <v>0</v>
      </c>
    </row>
    <row r="5196" spans="3:10" x14ac:dyDescent="0.25">
      <c r="C5196" s="300" t="s">
        <v>1061</v>
      </c>
      <c r="D5196" s="283" t="s">
        <v>1043</v>
      </c>
      <c r="E5196" s="283" t="s">
        <v>1089</v>
      </c>
      <c r="F5196" s="283" t="s">
        <v>1092</v>
      </c>
      <c r="G5196" s="283">
        <v>2</v>
      </c>
      <c r="H5196" s="283">
        <v>0</v>
      </c>
      <c r="I5196" s="283">
        <v>1</v>
      </c>
      <c r="J5196" s="284">
        <v>0</v>
      </c>
    </row>
    <row r="5197" spans="3:10" x14ac:dyDescent="0.25">
      <c r="C5197" s="300" t="s">
        <v>1066</v>
      </c>
      <c r="D5197" s="283" t="s">
        <v>1074</v>
      </c>
      <c r="E5197" s="283" t="s">
        <v>1089</v>
      </c>
      <c r="F5197" s="283" t="s">
        <v>1093</v>
      </c>
      <c r="G5197" s="283">
        <v>2</v>
      </c>
      <c r="H5197" s="283">
        <v>0</v>
      </c>
      <c r="I5197" s="283">
        <v>0</v>
      </c>
      <c r="J5197" s="284">
        <v>1</v>
      </c>
    </row>
    <row r="5198" spans="3:10" x14ac:dyDescent="0.25">
      <c r="C5198" s="300" t="s">
        <v>1059</v>
      </c>
      <c r="D5198" s="283" t="s">
        <v>1082</v>
      </c>
      <c r="E5198" s="283" t="s">
        <v>1075</v>
      </c>
      <c r="F5198" s="283" t="s">
        <v>1089</v>
      </c>
      <c r="G5198" s="283">
        <v>2</v>
      </c>
      <c r="H5198" s="283">
        <v>1</v>
      </c>
      <c r="I5198" s="283">
        <v>4</v>
      </c>
      <c r="J5198" s="284">
        <v>0</v>
      </c>
    </row>
    <row r="5199" spans="3:10" x14ac:dyDescent="0.25">
      <c r="C5199" s="300" t="s">
        <v>1067</v>
      </c>
      <c r="D5199" s="283" t="s">
        <v>1077</v>
      </c>
      <c r="E5199" s="283" t="s">
        <v>1083</v>
      </c>
      <c r="F5199" s="283" t="s">
        <v>1083</v>
      </c>
      <c r="G5199" s="283">
        <v>2</v>
      </c>
      <c r="H5199" s="283">
        <v>0</v>
      </c>
      <c r="I5199" s="283">
        <v>2</v>
      </c>
      <c r="J5199" s="284">
        <v>0</v>
      </c>
    </row>
    <row r="5200" spans="3:10" x14ac:dyDescent="0.25">
      <c r="C5200" s="300" t="s">
        <v>1061</v>
      </c>
      <c r="D5200" s="283" t="s">
        <v>1077</v>
      </c>
      <c r="E5200" s="283" t="s">
        <v>1084</v>
      </c>
      <c r="F5200" s="283" t="s">
        <v>1075</v>
      </c>
      <c r="G5200" s="283">
        <v>3</v>
      </c>
      <c r="H5200" s="283">
        <v>0</v>
      </c>
      <c r="I5200" s="283">
        <v>0</v>
      </c>
      <c r="J5200" s="284">
        <v>1</v>
      </c>
    </row>
    <row r="5201" spans="3:10" x14ac:dyDescent="0.25">
      <c r="C5201" s="300" t="s">
        <v>1066</v>
      </c>
      <c r="D5201" s="283" t="s">
        <v>1087</v>
      </c>
      <c r="E5201" s="283" t="s">
        <v>1075</v>
      </c>
      <c r="F5201" s="283" t="s">
        <v>524</v>
      </c>
      <c r="G5201" s="283">
        <v>1</v>
      </c>
      <c r="H5201" s="283">
        <v>0</v>
      </c>
      <c r="I5201" s="283">
        <v>0</v>
      </c>
      <c r="J5201" s="284">
        <v>1</v>
      </c>
    </row>
    <row r="5202" spans="3:10" x14ac:dyDescent="0.25">
      <c r="C5202" s="300" t="s">
        <v>1061</v>
      </c>
      <c r="D5202" s="283" t="s">
        <v>1074</v>
      </c>
      <c r="E5202" s="283" t="s">
        <v>1075</v>
      </c>
      <c r="F5202" s="283" t="s">
        <v>1080</v>
      </c>
      <c r="G5202" s="283">
        <v>2</v>
      </c>
      <c r="H5202" s="283">
        <v>0</v>
      </c>
      <c r="I5202" s="283">
        <v>0</v>
      </c>
      <c r="J5202" s="284">
        <v>0</v>
      </c>
    </row>
    <row r="5203" spans="3:10" x14ac:dyDescent="0.25">
      <c r="C5203" s="300" t="s">
        <v>1062</v>
      </c>
      <c r="D5203" s="283" t="s">
        <v>1043</v>
      </c>
      <c r="E5203" s="283" t="s">
        <v>1080</v>
      </c>
      <c r="F5203" s="283" t="s">
        <v>1092</v>
      </c>
      <c r="G5203" s="283">
        <v>2</v>
      </c>
      <c r="H5203" s="283">
        <v>0</v>
      </c>
      <c r="I5203" s="283">
        <v>1</v>
      </c>
      <c r="J5203" s="284">
        <v>0</v>
      </c>
    </row>
    <row r="5204" spans="3:10" x14ac:dyDescent="0.25">
      <c r="C5204" s="300" t="s">
        <v>1061</v>
      </c>
      <c r="D5204" s="283" t="s">
        <v>1077</v>
      </c>
      <c r="E5204" s="283" t="s">
        <v>1080</v>
      </c>
      <c r="F5204" s="283" t="s">
        <v>1080</v>
      </c>
      <c r="G5204" s="283">
        <v>2</v>
      </c>
      <c r="H5204" s="283">
        <v>0</v>
      </c>
      <c r="I5204" s="283">
        <v>0</v>
      </c>
      <c r="J5204" s="284">
        <v>0</v>
      </c>
    </row>
    <row r="5205" spans="3:10" x14ac:dyDescent="0.25">
      <c r="C5205" s="300" t="s">
        <v>1065</v>
      </c>
      <c r="D5205" s="283" t="s">
        <v>1087</v>
      </c>
      <c r="E5205" s="283" t="s">
        <v>1075</v>
      </c>
      <c r="F5205" s="283" t="s">
        <v>524</v>
      </c>
      <c r="G5205" s="283">
        <v>1</v>
      </c>
      <c r="H5205" s="283">
        <v>0</v>
      </c>
      <c r="I5205" s="283">
        <v>0</v>
      </c>
      <c r="J5205" s="284">
        <v>1</v>
      </c>
    </row>
    <row r="5206" spans="3:10" x14ac:dyDescent="0.25">
      <c r="C5206" s="300" t="s">
        <v>1058</v>
      </c>
      <c r="D5206" s="283" t="s">
        <v>1079</v>
      </c>
      <c r="E5206" s="283" t="s">
        <v>1075</v>
      </c>
      <c r="F5206" s="283" t="s">
        <v>1080</v>
      </c>
      <c r="G5206" s="283">
        <v>2</v>
      </c>
      <c r="H5206" s="283">
        <v>0</v>
      </c>
      <c r="I5206" s="283">
        <v>0</v>
      </c>
      <c r="J5206" s="284">
        <v>0</v>
      </c>
    </row>
    <row r="5207" spans="3:10" x14ac:dyDescent="0.25">
      <c r="C5207" s="300" t="s">
        <v>1064</v>
      </c>
      <c r="D5207" s="283" t="s">
        <v>1077</v>
      </c>
      <c r="E5207" s="283" t="s">
        <v>1089</v>
      </c>
      <c r="F5207" s="283" t="s">
        <v>1075</v>
      </c>
      <c r="G5207" s="283">
        <v>2</v>
      </c>
      <c r="H5207" s="283">
        <v>0</v>
      </c>
      <c r="I5207" s="283">
        <v>1</v>
      </c>
      <c r="J5207" s="284">
        <v>0</v>
      </c>
    </row>
    <row r="5208" spans="3:10" x14ac:dyDescent="0.25">
      <c r="C5208" s="300" t="s">
        <v>1060</v>
      </c>
      <c r="D5208" s="283" t="s">
        <v>1079</v>
      </c>
      <c r="E5208" s="283" t="s">
        <v>1044</v>
      </c>
      <c r="F5208" s="283" t="s">
        <v>1076</v>
      </c>
      <c r="G5208" s="283">
        <v>2</v>
      </c>
      <c r="H5208" s="283">
        <v>0</v>
      </c>
      <c r="I5208" s="283">
        <v>0</v>
      </c>
      <c r="J5208" s="284">
        <v>0</v>
      </c>
    </row>
    <row r="5209" spans="3:10" x14ac:dyDescent="0.25">
      <c r="C5209" s="300" t="s">
        <v>1067</v>
      </c>
      <c r="D5209" s="283" t="s">
        <v>1087</v>
      </c>
      <c r="E5209" s="283" t="s">
        <v>1075</v>
      </c>
      <c r="F5209" s="283" t="s">
        <v>524</v>
      </c>
      <c r="G5209" s="283">
        <v>1</v>
      </c>
      <c r="H5209" s="283">
        <v>0</v>
      </c>
      <c r="I5209" s="283">
        <v>0</v>
      </c>
      <c r="J5209" s="284">
        <v>0</v>
      </c>
    </row>
    <row r="5210" spans="3:10" x14ac:dyDescent="0.25">
      <c r="C5210" s="300" t="s">
        <v>1066</v>
      </c>
      <c r="D5210" s="283" t="s">
        <v>1074</v>
      </c>
      <c r="E5210" s="283" t="s">
        <v>1076</v>
      </c>
      <c r="F5210" s="283" t="s">
        <v>1075</v>
      </c>
      <c r="G5210" s="283">
        <v>3</v>
      </c>
      <c r="H5210" s="283">
        <v>0</v>
      </c>
      <c r="I5210" s="283">
        <v>0</v>
      </c>
      <c r="J5210" s="284">
        <v>0</v>
      </c>
    </row>
    <row r="5211" spans="3:10" x14ac:dyDescent="0.25">
      <c r="C5211" s="300" t="s">
        <v>1059</v>
      </c>
      <c r="D5211" s="283" t="s">
        <v>1074</v>
      </c>
      <c r="E5211" s="283" t="s">
        <v>1075</v>
      </c>
      <c r="F5211" s="283" t="s">
        <v>1083</v>
      </c>
      <c r="G5211" s="283">
        <v>2</v>
      </c>
      <c r="H5211" s="283">
        <v>0</v>
      </c>
      <c r="I5211" s="283">
        <v>1</v>
      </c>
      <c r="J5211" s="284">
        <v>0</v>
      </c>
    </row>
    <row r="5212" spans="3:10" x14ac:dyDescent="0.25">
      <c r="C5212" s="300" t="s">
        <v>1063</v>
      </c>
      <c r="D5212" s="283" t="s">
        <v>1043</v>
      </c>
      <c r="E5212" s="283" t="s">
        <v>1075</v>
      </c>
      <c r="F5212" s="283" t="s">
        <v>1092</v>
      </c>
      <c r="G5212" s="283">
        <v>2</v>
      </c>
      <c r="H5212" s="283">
        <v>0</v>
      </c>
      <c r="I5212" s="283">
        <v>1</v>
      </c>
      <c r="J5212" s="284">
        <v>0</v>
      </c>
    </row>
    <row r="5213" spans="3:10" x14ac:dyDescent="0.25">
      <c r="C5213" s="300" t="s">
        <v>1060</v>
      </c>
      <c r="D5213" s="283" t="s">
        <v>1087</v>
      </c>
      <c r="E5213" s="283" t="s">
        <v>1089</v>
      </c>
      <c r="F5213" s="283" t="s">
        <v>524</v>
      </c>
      <c r="G5213" s="283">
        <v>2</v>
      </c>
      <c r="H5213" s="283">
        <v>0</v>
      </c>
      <c r="I5213" s="283">
        <v>0</v>
      </c>
      <c r="J5213" s="284">
        <v>0</v>
      </c>
    </row>
    <row r="5214" spans="3:10" x14ac:dyDescent="0.25">
      <c r="C5214" s="300" t="s">
        <v>1063</v>
      </c>
      <c r="D5214" s="283" t="s">
        <v>1077</v>
      </c>
      <c r="E5214" s="283" t="s">
        <v>1094</v>
      </c>
      <c r="F5214" s="283" t="s">
        <v>1089</v>
      </c>
      <c r="G5214" s="283">
        <v>2</v>
      </c>
      <c r="H5214" s="283">
        <v>0</v>
      </c>
      <c r="I5214" s="283">
        <v>0</v>
      </c>
      <c r="J5214" s="284">
        <v>0</v>
      </c>
    </row>
    <row r="5215" spans="3:10" x14ac:dyDescent="0.25">
      <c r="C5215" s="300" t="s">
        <v>1066</v>
      </c>
      <c r="D5215" s="283" t="s">
        <v>1087</v>
      </c>
      <c r="E5215" s="283" t="s">
        <v>1075</v>
      </c>
      <c r="F5215" s="283" t="s">
        <v>524</v>
      </c>
      <c r="G5215" s="283">
        <v>1</v>
      </c>
      <c r="H5215" s="283">
        <v>0</v>
      </c>
      <c r="I5215" s="283">
        <v>1</v>
      </c>
      <c r="J5215" s="284">
        <v>0</v>
      </c>
    </row>
    <row r="5216" spans="3:10" x14ac:dyDescent="0.25">
      <c r="C5216" s="300" t="s">
        <v>1057</v>
      </c>
      <c r="D5216" s="283" t="s">
        <v>1087</v>
      </c>
      <c r="E5216" s="283" t="s">
        <v>1075</v>
      </c>
      <c r="F5216" s="283" t="s">
        <v>524</v>
      </c>
      <c r="G5216" s="283">
        <v>1</v>
      </c>
      <c r="H5216" s="283">
        <v>0</v>
      </c>
      <c r="I5216" s="283">
        <v>0</v>
      </c>
      <c r="J5216" s="284">
        <v>0</v>
      </c>
    </row>
    <row r="5217" spans="3:10" x14ac:dyDescent="0.25">
      <c r="C5217" s="300" t="s">
        <v>1066</v>
      </c>
      <c r="D5217" s="283" t="s">
        <v>1079</v>
      </c>
      <c r="E5217" s="283" t="s">
        <v>1094</v>
      </c>
      <c r="F5217" s="283" t="s">
        <v>1093</v>
      </c>
      <c r="G5217" s="283">
        <v>2</v>
      </c>
      <c r="H5217" s="283">
        <v>0</v>
      </c>
      <c r="I5217" s="283">
        <v>1</v>
      </c>
      <c r="J5217" s="284">
        <v>0</v>
      </c>
    </row>
    <row r="5218" spans="3:10" x14ac:dyDescent="0.25">
      <c r="C5218" s="300" t="s">
        <v>1065</v>
      </c>
      <c r="D5218" s="283" t="s">
        <v>1077</v>
      </c>
      <c r="E5218" s="283" t="s">
        <v>1075</v>
      </c>
      <c r="F5218" s="283" t="s">
        <v>1075</v>
      </c>
      <c r="G5218" s="283">
        <v>2</v>
      </c>
      <c r="H5218" s="283">
        <v>0</v>
      </c>
      <c r="I5218" s="283">
        <v>0</v>
      </c>
      <c r="J5218" s="284">
        <v>0</v>
      </c>
    </row>
    <row r="5219" spans="3:10" x14ac:dyDescent="0.25">
      <c r="C5219" s="300" t="s">
        <v>1061</v>
      </c>
      <c r="D5219" s="283" t="s">
        <v>1043</v>
      </c>
      <c r="E5219" s="283" t="s">
        <v>1089</v>
      </c>
      <c r="F5219" s="283" t="s">
        <v>1092</v>
      </c>
      <c r="G5219" s="283">
        <v>2</v>
      </c>
      <c r="H5219" s="283">
        <v>0</v>
      </c>
      <c r="I5219" s="283">
        <v>0</v>
      </c>
      <c r="J5219" s="284">
        <v>1</v>
      </c>
    </row>
    <row r="5220" spans="3:10" x14ac:dyDescent="0.25">
      <c r="C5220" s="300" t="s">
        <v>1061</v>
      </c>
      <c r="D5220" s="283" t="s">
        <v>1079</v>
      </c>
      <c r="E5220" s="283" t="s">
        <v>1075</v>
      </c>
      <c r="F5220" s="283" t="s">
        <v>1089</v>
      </c>
      <c r="G5220" s="283">
        <v>3</v>
      </c>
      <c r="H5220" s="283">
        <v>0</v>
      </c>
      <c r="I5220" s="283">
        <v>0</v>
      </c>
      <c r="J5220" s="284">
        <v>2</v>
      </c>
    </row>
    <row r="5221" spans="3:10" x14ac:dyDescent="0.25">
      <c r="C5221" s="300" t="s">
        <v>1059</v>
      </c>
      <c r="D5221" s="283" t="s">
        <v>1087</v>
      </c>
      <c r="E5221" s="283" t="s">
        <v>1076</v>
      </c>
      <c r="F5221" s="283" t="s">
        <v>524</v>
      </c>
      <c r="G5221" s="283">
        <v>1</v>
      </c>
      <c r="H5221" s="283">
        <v>0</v>
      </c>
      <c r="I5221" s="283">
        <v>0</v>
      </c>
      <c r="J5221" s="284">
        <v>0</v>
      </c>
    </row>
    <row r="5222" spans="3:10" x14ac:dyDescent="0.25">
      <c r="C5222" s="300" t="s">
        <v>1065</v>
      </c>
      <c r="D5222" s="283" t="s">
        <v>1079</v>
      </c>
      <c r="E5222" s="283" t="s">
        <v>1076</v>
      </c>
      <c r="F5222" s="283" t="s">
        <v>1044</v>
      </c>
      <c r="G5222" s="283">
        <v>2</v>
      </c>
      <c r="H5222" s="283">
        <v>0</v>
      </c>
      <c r="I5222" s="283">
        <v>0</v>
      </c>
      <c r="J5222" s="284">
        <v>1</v>
      </c>
    </row>
    <row r="5223" spans="3:10" x14ac:dyDescent="0.25">
      <c r="C5223" s="300" t="s">
        <v>1067</v>
      </c>
      <c r="D5223" s="283" t="s">
        <v>1077</v>
      </c>
      <c r="E5223" s="283" t="s">
        <v>1080</v>
      </c>
      <c r="F5223" s="283" t="s">
        <v>1075</v>
      </c>
      <c r="G5223" s="283">
        <v>2</v>
      </c>
      <c r="H5223" s="283">
        <v>0</v>
      </c>
      <c r="I5223" s="283">
        <v>0</v>
      </c>
      <c r="J5223" s="284">
        <v>0</v>
      </c>
    </row>
    <row r="5224" spans="3:10" x14ac:dyDescent="0.25">
      <c r="C5224" s="300" t="s">
        <v>1064</v>
      </c>
      <c r="D5224" s="283" t="s">
        <v>1077</v>
      </c>
      <c r="E5224" s="283" t="s">
        <v>1075</v>
      </c>
      <c r="F5224" s="283" t="s">
        <v>1075</v>
      </c>
      <c r="G5224" s="283">
        <v>3</v>
      </c>
      <c r="H5224" s="283">
        <v>0</v>
      </c>
      <c r="I5224" s="283">
        <v>0</v>
      </c>
      <c r="J5224" s="284">
        <v>0</v>
      </c>
    </row>
    <row r="5225" spans="3:10" x14ac:dyDescent="0.25">
      <c r="C5225" s="300" t="s">
        <v>1065</v>
      </c>
      <c r="D5225" s="283" t="s">
        <v>1074</v>
      </c>
      <c r="E5225" s="283" t="s">
        <v>1075</v>
      </c>
      <c r="F5225" s="283" t="s">
        <v>1084</v>
      </c>
      <c r="G5225" s="283">
        <v>2</v>
      </c>
      <c r="H5225" s="283">
        <v>0</v>
      </c>
      <c r="I5225" s="283">
        <v>0</v>
      </c>
      <c r="J5225" s="284">
        <v>1</v>
      </c>
    </row>
    <row r="5226" spans="3:10" x14ac:dyDescent="0.25">
      <c r="C5226" s="300" t="s">
        <v>1064</v>
      </c>
      <c r="D5226" s="283" t="s">
        <v>1079</v>
      </c>
      <c r="E5226" s="283" t="s">
        <v>1076</v>
      </c>
      <c r="F5226" s="283" t="s">
        <v>1089</v>
      </c>
      <c r="G5226" s="283">
        <v>2</v>
      </c>
      <c r="H5226" s="283">
        <v>0</v>
      </c>
      <c r="I5226" s="283">
        <v>0</v>
      </c>
      <c r="J5226" s="284">
        <v>0</v>
      </c>
    </row>
    <row r="5227" spans="3:10" x14ac:dyDescent="0.25">
      <c r="C5227" s="300" t="s">
        <v>1061</v>
      </c>
      <c r="D5227" s="283" t="s">
        <v>1077</v>
      </c>
      <c r="E5227" s="283" t="s">
        <v>1078</v>
      </c>
      <c r="F5227" s="283" t="s">
        <v>1093</v>
      </c>
      <c r="G5227" s="283">
        <v>2</v>
      </c>
      <c r="H5227" s="283">
        <v>0</v>
      </c>
      <c r="I5227" s="283">
        <v>0</v>
      </c>
      <c r="J5227" s="284">
        <v>0</v>
      </c>
    </row>
    <row r="5228" spans="3:10" x14ac:dyDescent="0.25">
      <c r="C5228" s="300" t="s">
        <v>1065</v>
      </c>
      <c r="D5228" s="283" t="s">
        <v>1079</v>
      </c>
      <c r="E5228" s="283" t="s">
        <v>1078</v>
      </c>
      <c r="F5228" s="283" t="s">
        <v>1083</v>
      </c>
      <c r="G5228" s="283">
        <v>2</v>
      </c>
      <c r="H5228" s="283">
        <v>0</v>
      </c>
      <c r="I5228" s="283">
        <v>0</v>
      </c>
      <c r="J5228" s="284">
        <v>0</v>
      </c>
    </row>
    <row r="5229" spans="3:10" x14ac:dyDescent="0.25">
      <c r="C5229" s="300" t="s">
        <v>1060</v>
      </c>
      <c r="D5229" s="283" t="s">
        <v>1079</v>
      </c>
      <c r="E5229" s="283" t="s">
        <v>1078</v>
      </c>
      <c r="F5229" s="283" t="s">
        <v>1086</v>
      </c>
      <c r="G5229" s="283">
        <v>2</v>
      </c>
      <c r="H5229" s="283">
        <v>0</v>
      </c>
      <c r="I5229" s="283">
        <v>0</v>
      </c>
      <c r="J5229" s="284">
        <v>0</v>
      </c>
    </row>
    <row r="5230" spans="3:10" x14ac:dyDescent="0.25">
      <c r="C5230" s="300" t="s">
        <v>1060</v>
      </c>
      <c r="D5230" s="283" t="s">
        <v>1077</v>
      </c>
      <c r="E5230" s="283" t="s">
        <v>1075</v>
      </c>
      <c r="F5230" s="283" t="s">
        <v>1075</v>
      </c>
      <c r="G5230" s="283">
        <v>2</v>
      </c>
      <c r="H5230" s="283">
        <v>0</v>
      </c>
      <c r="I5230" s="283">
        <v>0</v>
      </c>
      <c r="J5230" s="284">
        <v>0</v>
      </c>
    </row>
    <row r="5231" spans="3:10" x14ac:dyDescent="0.25">
      <c r="C5231" s="300" t="s">
        <v>1063</v>
      </c>
      <c r="D5231" s="283" t="s">
        <v>1074</v>
      </c>
      <c r="E5231" s="283" t="s">
        <v>1075</v>
      </c>
      <c r="F5231" s="283" t="s">
        <v>1089</v>
      </c>
      <c r="G5231" s="283">
        <v>2</v>
      </c>
      <c r="H5231" s="283">
        <v>0</v>
      </c>
      <c r="I5231" s="283">
        <v>0</v>
      </c>
      <c r="J5231" s="284">
        <v>0</v>
      </c>
    </row>
    <row r="5232" spans="3:10" x14ac:dyDescent="0.25">
      <c r="C5232" s="300" t="s">
        <v>1065</v>
      </c>
      <c r="D5232" s="283" t="s">
        <v>1077</v>
      </c>
      <c r="E5232" s="283" t="s">
        <v>1075</v>
      </c>
      <c r="F5232" s="283" t="s">
        <v>1075</v>
      </c>
      <c r="G5232" s="283">
        <v>2</v>
      </c>
      <c r="H5232" s="283">
        <v>0</v>
      </c>
      <c r="I5232" s="283">
        <v>0</v>
      </c>
      <c r="J5232" s="284">
        <v>0</v>
      </c>
    </row>
    <row r="5233" spans="3:10" x14ac:dyDescent="0.25">
      <c r="C5233" s="300" t="s">
        <v>1061</v>
      </c>
      <c r="D5233" s="283" t="s">
        <v>1079</v>
      </c>
      <c r="E5233" s="283" t="s">
        <v>1075</v>
      </c>
      <c r="F5233" s="283" t="s">
        <v>1076</v>
      </c>
      <c r="G5233" s="283">
        <v>2</v>
      </c>
      <c r="H5233" s="283">
        <v>0</v>
      </c>
      <c r="I5233" s="283">
        <v>0</v>
      </c>
      <c r="J5233" s="284">
        <v>0</v>
      </c>
    </row>
    <row r="5234" spans="3:10" x14ac:dyDescent="0.25">
      <c r="C5234" s="300" t="s">
        <v>1067</v>
      </c>
      <c r="D5234" s="283" t="s">
        <v>1077</v>
      </c>
      <c r="E5234" s="283" t="s">
        <v>1089</v>
      </c>
      <c r="F5234" s="283" t="s">
        <v>1075</v>
      </c>
      <c r="G5234" s="283">
        <v>2</v>
      </c>
      <c r="H5234" s="283">
        <v>0</v>
      </c>
      <c r="I5234" s="283">
        <v>0</v>
      </c>
      <c r="J5234" s="284">
        <v>0</v>
      </c>
    </row>
    <row r="5235" spans="3:10" x14ac:dyDescent="0.25">
      <c r="C5235" s="300" t="s">
        <v>1059</v>
      </c>
      <c r="D5235" s="283" t="s">
        <v>1090</v>
      </c>
      <c r="E5235" s="283" t="s">
        <v>1075</v>
      </c>
      <c r="F5235" s="283" t="s">
        <v>524</v>
      </c>
      <c r="G5235" s="283">
        <v>1</v>
      </c>
      <c r="H5235" s="283">
        <v>0</v>
      </c>
      <c r="I5235" s="283">
        <v>0</v>
      </c>
      <c r="J5235" s="284">
        <v>1</v>
      </c>
    </row>
    <row r="5236" spans="3:10" x14ac:dyDescent="0.25">
      <c r="C5236" s="300" t="s">
        <v>1066</v>
      </c>
      <c r="D5236" s="283" t="s">
        <v>1074</v>
      </c>
      <c r="E5236" s="283" t="s">
        <v>1075</v>
      </c>
      <c r="F5236" s="283" t="s">
        <v>1075</v>
      </c>
      <c r="G5236" s="283">
        <v>2</v>
      </c>
      <c r="H5236" s="283">
        <v>0</v>
      </c>
      <c r="I5236" s="283">
        <v>0</v>
      </c>
      <c r="J5236" s="284">
        <v>0</v>
      </c>
    </row>
    <row r="5237" spans="3:10" x14ac:dyDescent="0.25">
      <c r="C5237" s="300" t="s">
        <v>1064</v>
      </c>
      <c r="D5237" s="283" t="s">
        <v>1077</v>
      </c>
      <c r="E5237" s="283" t="s">
        <v>1075</v>
      </c>
      <c r="F5237" s="283" t="s">
        <v>1089</v>
      </c>
      <c r="G5237" s="283">
        <v>2</v>
      </c>
      <c r="H5237" s="283">
        <v>0</v>
      </c>
      <c r="I5237" s="283">
        <v>0</v>
      </c>
      <c r="J5237" s="284">
        <v>0</v>
      </c>
    </row>
    <row r="5238" spans="3:10" x14ac:dyDescent="0.25">
      <c r="C5238" s="300" t="s">
        <v>1060</v>
      </c>
      <c r="D5238" s="283" t="s">
        <v>1079</v>
      </c>
      <c r="E5238" s="283" t="s">
        <v>1075</v>
      </c>
      <c r="F5238" s="283" t="s">
        <v>1081</v>
      </c>
      <c r="G5238" s="283">
        <v>2</v>
      </c>
      <c r="H5238" s="283">
        <v>0</v>
      </c>
      <c r="I5238" s="283">
        <v>0</v>
      </c>
      <c r="J5238" s="284">
        <v>0</v>
      </c>
    </row>
    <row r="5239" spans="3:10" x14ac:dyDescent="0.25">
      <c r="C5239" s="300" t="s">
        <v>1060</v>
      </c>
      <c r="D5239" s="283" t="s">
        <v>1074</v>
      </c>
      <c r="E5239" s="283" t="s">
        <v>1089</v>
      </c>
      <c r="F5239" s="283" t="s">
        <v>1075</v>
      </c>
      <c r="G5239" s="283">
        <v>2</v>
      </c>
      <c r="H5239" s="283">
        <v>0</v>
      </c>
      <c r="I5239" s="283">
        <v>0</v>
      </c>
      <c r="J5239" s="284">
        <v>0</v>
      </c>
    </row>
    <row r="5240" spans="3:10" x14ac:dyDescent="0.25">
      <c r="C5240" s="300" t="s">
        <v>1062</v>
      </c>
      <c r="D5240" s="283" t="s">
        <v>1087</v>
      </c>
      <c r="E5240" s="283" t="s">
        <v>1089</v>
      </c>
      <c r="F5240" s="283" t="s">
        <v>524</v>
      </c>
      <c r="G5240" s="283">
        <v>1</v>
      </c>
      <c r="H5240" s="283">
        <v>0</v>
      </c>
      <c r="I5240" s="283">
        <v>0</v>
      </c>
      <c r="J5240" s="284">
        <v>0</v>
      </c>
    </row>
    <row r="5241" spans="3:10" x14ac:dyDescent="0.25">
      <c r="C5241" s="300" t="s">
        <v>1065</v>
      </c>
      <c r="D5241" s="283" t="s">
        <v>1077</v>
      </c>
      <c r="E5241" s="283" t="s">
        <v>1075</v>
      </c>
      <c r="F5241" s="283" t="s">
        <v>1075</v>
      </c>
      <c r="G5241" s="283">
        <v>2</v>
      </c>
      <c r="H5241" s="283">
        <v>0</v>
      </c>
      <c r="I5241" s="283">
        <v>0</v>
      </c>
      <c r="J5241" s="284">
        <v>0</v>
      </c>
    </row>
    <row r="5242" spans="3:10" x14ac:dyDescent="0.25">
      <c r="C5242" s="300" t="s">
        <v>1061</v>
      </c>
      <c r="D5242" s="283" t="s">
        <v>1074</v>
      </c>
      <c r="E5242" s="283" t="s">
        <v>1075</v>
      </c>
      <c r="F5242" s="283" t="s">
        <v>1076</v>
      </c>
      <c r="G5242" s="283">
        <v>2</v>
      </c>
      <c r="H5242" s="283">
        <v>0</v>
      </c>
      <c r="I5242" s="283">
        <v>0</v>
      </c>
      <c r="J5242" s="284">
        <v>0</v>
      </c>
    </row>
    <row r="5243" spans="3:10" x14ac:dyDescent="0.25">
      <c r="C5243" s="300" t="s">
        <v>1062</v>
      </c>
      <c r="D5243" s="283" t="s">
        <v>1090</v>
      </c>
      <c r="E5243" s="283" t="s">
        <v>1078</v>
      </c>
      <c r="F5243" s="283" t="s">
        <v>524</v>
      </c>
      <c r="G5243" s="283">
        <v>1</v>
      </c>
      <c r="H5243" s="283">
        <v>0</v>
      </c>
      <c r="I5243" s="283">
        <v>0</v>
      </c>
      <c r="J5243" s="284">
        <v>0</v>
      </c>
    </row>
    <row r="5244" spans="3:10" x14ac:dyDescent="0.25">
      <c r="C5244" s="300" t="s">
        <v>1063</v>
      </c>
      <c r="D5244" s="283" t="s">
        <v>1074</v>
      </c>
      <c r="E5244" s="283" t="s">
        <v>1089</v>
      </c>
      <c r="F5244" s="283" t="s">
        <v>1078</v>
      </c>
      <c r="G5244" s="283">
        <v>2</v>
      </c>
      <c r="H5244" s="283">
        <v>0</v>
      </c>
      <c r="I5244" s="283">
        <v>0</v>
      </c>
      <c r="J5244" s="284">
        <v>0</v>
      </c>
    </row>
    <row r="5245" spans="3:10" x14ac:dyDescent="0.25">
      <c r="C5245" s="300" t="s">
        <v>1065</v>
      </c>
      <c r="D5245" s="283" t="s">
        <v>1079</v>
      </c>
      <c r="E5245" s="283" t="s">
        <v>1081</v>
      </c>
      <c r="F5245" s="283" t="s">
        <v>1075</v>
      </c>
      <c r="G5245" s="283">
        <v>4</v>
      </c>
      <c r="H5245" s="283">
        <v>0</v>
      </c>
      <c r="I5245" s="283">
        <v>0</v>
      </c>
      <c r="J5245" s="284">
        <v>0</v>
      </c>
    </row>
    <row r="5246" spans="3:10" x14ac:dyDescent="0.25">
      <c r="C5246" s="300" t="s">
        <v>1058</v>
      </c>
      <c r="D5246" s="283" t="s">
        <v>1087</v>
      </c>
      <c r="E5246" s="283" t="s">
        <v>1075</v>
      </c>
      <c r="F5246" s="283" t="s">
        <v>524</v>
      </c>
      <c r="G5246" s="283">
        <v>1</v>
      </c>
      <c r="H5246" s="283">
        <v>0</v>
      </c>
      <c r="I5246" s="283">
        <v>0</v>
      </c>
      <c r="J5246" s="284">
        <v>0</v>
      </c>
    </row>
    <row r="5247" spans="3:10" x14ac:dyDescent="0.25">
      <c r="C5247" s="300" t="s">
        <v>1067</v>
      </c>
      <c r="D5247" s="283" t="s">
        <v>1043</v>
      </c>
      <c r="E5247" s="283" t="s">
        <v>1086</v>
      </c>
      <c r="F5247" s="283" t="s">
        <v>1092</v>
      </c>
      <c r="G5247" s="283">
        <v>2</v>
      </c>
      <c r="H5247" s="283">
        <v>0</v>
      </c>
      <c r="I5247" s="283">
        <v>1</v>
      </c>
      <c r="J5247" s="284">
        <v>0</v>
      </c>
    </row>
    <row r="5248" spans="3:10" x14ac:dyDescent="0.25">
      <c r="C5248" s="300" t="s">
        <v>1065</v>
      </c>
      <c r="D5248" s="283" t="s">
        <v>1077</v>
      </c>
      <c r="E5248" s="283" t="s">
        <v>1080</v>
      </c>
      <c r="F5248" s="283" t="s">
        <v>1075</v>
      </c>
      <c r="G5248" s="283">
        <v>2</v>
      </c>
      <c r="H5248" s="283">
        <v>0</v>
      </c>
      <c r="I5248" s="283">
        <v>0</v>
      </c>
      <c r="J5248" s="284">
        <v>0</v>
      </c>
    </row>
    <row r="5249" spans="3:10" x14ac:dyDescent="0.25">
      <c r="C5249" s="300" t="s">
        <v>1066</v>
      </c>
      <c r="D5249" s="283" t="s">
        <v>1074</v>
      </c>
      <c r="E5249" s="283" t="s">
        <v>1075</v>
      </c>
      <c r="F5249" s="283" t="s">
        <v>1089</v>
      </c>
      <c r="G5249" s="283">
        <v>2</v>
      </c>
      <c r="H5249" s="283">
        <v>0</v>
      </c>
      <c r="I5249" s="283">
        <v>0</v>
      </c>
      <c r="J5249" s="284">
        <v>0</v>
      </c>
    </row>
    <row r="5250" spans="3:10" x14ac:dyDescent="0.25">
      <c r="C5250" s="300" t="s">
        <v>1062</v>
      </c>
      <c r="D5250" s="283" t="s">
        <v>1074</v>
      </c>
      <c r="E5250" s="283" t="s">
        <v>1075</v>
      </c>
      <c r="F5250" s="283" t="s">
        <v>1081</v>
      </c>
      <c r="G5250" s="283">
        <v>2</v>
      </c>
      <c r="H5250" s="283">
        <v>0</v>
      </c>
      <c r="I5250" s="283">
        <v>0</v>
      </c>
      <c r="J5250" s="284">
        <v>1</v>
      </c>
    </row>
    <row r="5251" spans="3:10" x14ac:dyDescent="0.25">
      <c r="C5251" s="300" t="s">
        <v>1066</v>
      </c>
      <c r="D5251" s="283" t="s">
        <v>1087</v>
      </c>
      <c r="E5251" s="283" t="s">
        <v>1075</v>
      </c>
      <c r="F5251" s="283" t="s">
        <v>524</v>
      </c>
      <c r="G5251" s="283">
        <v>1</v>
      </c>
      <c r="H5251" s="283">
        <v>0</v>
      </c>
      <c r="I5251" s="283">
        <v>0</v>
      </c>
      <c r="J5251" s="284">
        <v>1</v>
      </c>
    </row>
    <row r="5252" spans="3:10" x14ac:dyDescent="0.25">
      <c r="C5252" s="300" t="s">
        <v>1062</v>
      </c>
      <c r="D5252" s="283" t="s">
        <v>1087</v>
      </c>
      <c r="E5252" s="283" t="s">
        <v>1075</v>
      </c>
      <c r="F5252" s="283" t="s">
        <v>524</v>
      </c>
      <c r="G5252" s="283">
        <v>1</v>
      </c>
      <c r="H5252" s="283">
        <v>0</v>
      </c>
      <c r="I5252" s="283">
        <v>0</v>
      </c>
      <c r="J5252" s="284">
        <v>0</v>
      </c>
    </row>
    <row r="5253" spans="3:10" x14ac:dyDescent="0.25">
      <c r="C5253" s="300" t="s">
        <v>1060</v>
      </c>
      <c r="D5253" s="283" t="s">
        <v>1074</v>
      </c>
      <c r="E5253" s="283" t="s">
        <v>1078</v>
      </c>
      <c r="F5253" s="283" t="s">
        <v>1085</v>
      </c>
      <c r="G5253" s="283">
        <v>2</v>
      </c>
      <c r="H5253" s="283">
        <v>0</v>
      </c>
      <c r="I5253" s="283">
        <v>0</v>
      </c>
      <c r="J5253" s="284">
        <v>0</v>
      </c>
    </row>
    <row r="5254" spans="3:10" x14ac:dyDescent="0.25">
      <c r="C5254" s="300" t="s">
        <v>1060</v>
      </c>
      <c r="D5254" s="283" t="s">
        <v>1079</v>
      </c>
      <c r="E5254" s="283" t="s">
        <v>1075</v>
      </c>
      <c r="F5254" s="283" t="s">
        <v>1089</v>
      </c>
      <c r="G5254" s="283">
        <v>2</v>
      </c>
      <c r="H5254" s="283">
        <v>0</v>
      </c>
      <c r="I5254" s="283">
        <v>0</v>
      </c>
      <c r="J5254" s="284">
        <v>1</v>
      </c>
    </row>
    <row r="5255" spans="3:10" x14ac:dyDescent="0.25">
      <c r="C5255" s="300" t="s">
        <v>1065</v>
      </c>
      <c r="D5255" s="283" t="s">
        <v>1079</v>
      </c>
      <c r="E5255" s="283" t="s">
        <v>1075</v>
      </c>
      <c r="F5255" s="283" t="s">
        <v>1083</v>
      </c>
      <c r="G5255" s="283">
        <v>2</v>
      </c>
      <c r="H5255" s="283">
        <v>0</v>
      </c>
      <c r="I5255" s="283">
        <v>0</v>
      </c>
      <c r="J5255" s="284">
        <v>0</v>
      </c>
    </row>
    <row r="5256" spans="3:10" x14ac:dyDescent="0.25">
      <c r="C5256" s="300" t="s">
        <v>1063</v>
      </c>
      <c r="D5256" s="283" t="s">
        <v>1077</v>
      </c>
      <c r="E5256" s="283" t="s">
        <v>1078</v>
      </c>
      <c r="F5256" s="283" t="s">
        <v>1075</v>
      </c>
      <c r="G5256" s="283">
        <v>2</v>
      </c>
      <c r="H5256" s="283">
        <v>0</v>
      </c>
      <c r="I5256" s="283">
        <v>0</v>
      </c>
      <c r="J5256" s="284">
        <v>0</v>
      </c>
    </row>
    <row r="5257" spans="3:10" x14ac:dyDescent="0.25">
      <c r="C5257" s="300" t="s">
        <v>1063</v>
      </c>
      <c r="D5257" s="283" t="s">
        <v>1077</v>
      </c>
      <c r="E5257" s="283" t="s">
        <v>1075</v>
      </c>
      <c r="F5257" s="283" t="s">
        <v>1078</v>
      </c>
      <c r="G5257" s="283">
        <v>4</v>
      </c>
      <c r="H5257" s="283">
        <v>0</v>
      </c>
      <c r="I5257" s="283">
        <v>0</v>
      </c>
      <c r="J5257" s="284">
        <v>0</v>
      </c>
    </row>
    <row r="5258" spans="3:10" x14ac:dyDescent="0.25">
      <c r="C5258" s="300" t="s">
        <v>1068</v>
      </c>
      <c r="D5258" s="283" t="s">
        <v>1077</v>
      </c>
      <c r="E5258" s="283" t="s">
        <v>1075</v>
      </c>
      <c r="F5258" s="283" t="s">
        <v>1075</v>
      </c>
      <c r="G5258" s="283">
        <v>2</v>
      </c>
      <c r="H5258" s="283">
        <v>0</v>
      </c>
      <c r="I5258" s="283">
        <v>0</v>
      </c>
      <c r="J5258" s="284">
        <v>1</v>
      </c>
    </row>
    <row r="5259" spans="3:10" x14ac:dyDescent="0.25">
      <c r="C5259" s="300" t="s">
        <v>1068</v>
      </c>
      <c r="D5259" s="283" t="s">
        <v>1079</v>
      </c>
      <c r="E5259" s="283" t="s">
        <v>1075</v>
      </c>
      <c r="F5259" s="283" t="s">
        <v>1075</v>
      </c>
      <c r="G5259" s="283">
        <v>2</v>
      </c>
      <c r="H5259" s="283">
        <v>0</v>
      </c>
      <c r="I5259" s="283">
        <v>1</v>
      </c>
      <c r="J5259" s="284">
        <v>0</v>
      </c>
    </row>
    <row r="5260" spans="3:10" x14ac:dyDescent="0.25">
      <c r="C5260" s="300" t="s">
        <v>1064</v>
      </c>
      <c r="D5260" s="283" t="s">
        <v>1077</v>
      </c>
      <c r="E5260" s="283" t="s">
        <v>1075</v>
      </c>
      <c r="F5260" s="283" t="s">
        <v>1075</v>
      </c>
      <c r="G5260" s="283">
        <v>2</v>
      </c>
      <c r="H5260" s="283">
        <v>0</v>
      </c>
      <c r="I5260" s="283">
        <v>0</v>
      </c>
      <c r="J5260" s="284">
        <v>0</v>
      </c>
    </row>
    <row r="5261" spans="3:10" x14ac:dyDescent="0.25">
      <c r="C5261" s="300" t="s">
        <v>1061</v>
      </c>
      <c r="D5261" s="283" t="s">
        <v>1074</v>
      </c>
      <c r="E5261" s="283" t="s">
        <v>1075</v>
      </c>
      <c r="F5261" s="283" t="s">
        <v>1075</v>
      </c>
      <c r="G5261" s="283">
        <v>2</v>
      </c>
      <c r="H5261" s="283">
        <v>0</v>
      </c>
      <c r="I5261" s="283">
        <v>0</v>
      </c>
      <c r="J5261" s="284">
        <v>0</v>
      </c>
    </row>
    <row r="5262" spans="3:10" x14ac:dyDescent="0.25">
      <c r="C5262" s="300" t="s">
        <v>1057</v>
      </c>
      <c r="D5262" s="283" t="s">
        <v>1079</v>
      </c>
      <c r="E5262" s="283" t="s">
        <v>1075</v>
      </c>
      <c r="F5262" s="283" t="s">
        <v>1075</v>
      </c>
      <c r="G5262" s="283">
        <v>3</v>
      </c>
      <c r="H5262" s="283">
        <v>0</v>
      </c>
      <c r="I5262" s="283">
        <v>0</v>
      </c>
      <c r="J5262" s="284">
        <v>0</v>
      </c>
    </row>
    <row r="5263" spans="3:10" x14ac:dyDescent="0.25">
      <c r="C5263" s="300" t="s">
        <v>1062</v>
      </c>
      <c r="D5263" s="283" t="s">
        <v>1043</v>
      </c>
      <c r="E5263" s="283" t="s">
        <v>1089</v>
      </c>
      <c r="F5263" s="283" t="s">
        <v>1104</v>
      </c>
      <c r="G5263" s="283">
        <v>2</v>
      </c>
      <c r="H5263" s="283">
        <v>0</v>
      </c>
      <c r="I5263" s="283">
        <v>1</v>
      </c>
      <c r="J5263" s="284">
        <v>0</v>
      </c>
    </row>
    <row r="5264" spans="3:10" x14ac:dyDescent="0.25">
      <c r="C5264" s="300" t="s">
        <v>1066</v>
      </c>
      <c r="D5264" s="283" t="s">
        <v>1079</v>
      </c>
      <c r="E5264" s="283" t="s">
        <v>1075</v>
      </c>
      <c r="F5264" s="283" t="s">
        <v>1083</v>
      </c>
      <c r="G5264" s="283">
        <v>2</v>
      </c>
      <c r="H5264" s="283">
        <v>0</v>
      </c>
      <c r="I5264" s="283">
        <v>0</v>
      </c>
      <c r="J5264" s="284">
        <v>1</v>
      </c>
    </row>
    <row r="5265" spans="3:10" x14ac:dyDescent="0.25">
      <c r="C5265" s="300" t="s">
        <v>1067</v>
      </c>
      <c r="D5265" s="283" t="s">
        <v>1087</v>
      </c>
      <c r="E5265" s="283" t="s">
        <v>1075</v>
      </c>
      <c r="F5265" s="283" t="s">
        <v>524</v>
      </c>
      <c r="G5265" s="283">
        <v>1</v>
      </c>
      <c r="H5265" s="283">
        <v>0</v>
      </c>
      <c r="I5265" s="283">
        <v>0</v>
      </c>
      <c r="J5265" s="284">
        <v>0</v>
      </c>
    </row>
    <row r="5266" spans="3:10" x14ac:dyDescent="0.25">
      <c r="C5266" s="300" t="s">
        <v>1065</v>
      </c>
      <c r="D5266" s="283" t="s">
        <v>1043</v>
      </c>
      <c r="E5266" s="283" t="s">
        <v>1085</v>
      </c>
      <c r="F5266" s="283" t="s">
        <v>1092</v>
      </c>
      <c r="G5266" s="283">
        <v>2</v>
      </c>
      <c r="H5266" s="283">
        <v>0</v>
      </c>
      <c r="I5266" s="283">
        <v>1</v>
      </c>
      <c r="J5266" s="284">
        <v>0</v>
      </c>
    </row>
    <row r="5267" spans="3:10" x14ac:dyDescent="0.25">
      <c r="C5267" s="300" t="s">
        <v>1066</v>
      </c>
      <c r="D5267" s="283" t="s">
        <v>1079</v>
      </c>
      <c r="E5267" s="283" t="s">
        <v>1075</v>
      </c>
      <c r="F5267" s="283" t="s">
        <v>1075</v>
      </c>
      <c r="G5267" s="283">
        <v>2</v>
      </c>
      <c r="H5267" s="283">
        <v>0</v>
      </c>
      <c r="I5267" s="283">
        <v>2</v>
      </c>
      <c r="J5267" s="284">
        <v>0</v>
      </c>
    </row>
    <row r="5268" spans="3:10" x14ac:dyDescent="0.25">
      <c r="C5268" s="300" t="s">
        <v>1061</v>
      </c>
      <c r="D5268" s="283" t="s">
        <v>1079</v>
      </c>
      <c r="E5268" s="283" t="s">
        <v>1086</v>
      </c>
      <c r="F5268" s="283" t="s">
        <v>1044</v>
      </c>
      <c r="G5268" s="283">
        <v>2</v>
      </c>
      <c r="H5268" s="283">
        <v>0</v>
      </c>
      <c r="I5268" s="283">
        <v>1</v>
      </c>
      <c r="J5268" s="284">
        <v>0</v>
      </c>
    </row>
    <row r="5269" spans="3:10" x14ac:dyDescent="0.25">
      <c r="C5269" s="300" t="s">
        <v>1061</v>
      </c>
      <c r="D5269" s="283" t="s">
        <v>1077</v>
      </c>
      <c r="E5269" s="283" t="s">
        <v>1075</v>
      </c>
      <c r="F5269" s="283" t="s">
        <v>1075</v>
      </c>
      <c r="G5269" s="283">
        <v>4</v>
      </c>
      <c r="H5269" s="283">
        <v>0</v>
      </c>
      <c r="I5269" s="283">
        <v>1</v>
      </c>
      <c r="J5269" s="284">
        <v>0</v>
      </c>
    </row>
    <row r="5270" spans="3:10" x14ac:dyDescent="0.25">
      <c r="C5270" s="300" t="s">
        <v>1060</v>
      </c>
      <c r="D5270" s="283" t="s">
        <v>1079</v>
      </c>
      <c r="E5270" s="283" t="s">
        <v>1075</v>
      </c>
      <c r="F5270" s="283" t="s">
        <v>1084</v>
      </c>
      <c r="G5270" s="283">
        <v>2</v>
      </c>
      <c r="H5270" s="283">
        <v>0</v>
      </c>
      <c r="I5270" s="283">
        <v>0</v>
      </c>
      <c r="J5270" s="284">
        <v>0</v>
      </c>
    </row>
    <row r="5271" spans="3:10" x14ac:dyDescent="0.25">
      <c r="C5271" s="300" t="s">
        <v>1063</v>
      </c>
      <c r="D5271" s="283" t="s">
        <v>1079</v>
      </c>
      <c r="E5271" s="283" t="s">
        <v>1075</v>
      </c>
      <c r="F5271" s="283" t="s">
        <v>1075</v>
      </c>
      <c r="G5271" s="283">
        <v>2</v>
      </c>
      <c r="H5271" s="283">
        <v>0</v>
      </c>
      <c r="I5271" s="283">
        <v>0</v>
      </c>
      <c r="J5271" s="284">
        <v>1</v>
      </c>
    </row>
    <row r="5272" spans="3:10" x14ac:dyDescent="0.25">
      <c r="C5272" s="300" t="s">
        <v>1067</v>
      </c>
      <c r="D5272" s="283" t="s">
        <v>1087</v>
      </c>
      <c r="E5272" s="283" t="s">
        <v>1094</v>
      </c>
      <c r="F5272" s="283" t="s">
        <v>524</v>
      </c>
      <c r="G5272" s="283">
        <v>1</v>
      </c>
      <c r="H5272" s="283">
        <v>0</v>
      </c>
      <c r="I5272" s="283">
        <v>0</v>
      </c>
      <c r="J5272" s="284">
        <v>0</v>
      </c>
    </row>
    <row r="5273" spans="3:10" x14ac:dyDescent="0.25">
      <c r="C5273" s="300" t="s">
        <v>1063</v>
      </c>
      <c r="D5273" s="283" t="s">
        <v>1077</v>
      </c>
      <c r="E5273" s="283" t="s">
        <v>1089</v>
      </c>
      <c r="F5273" s="283" t="s">
        <v>1089</v>
      </c>
      <c r="G5273" s="283">
        <v>2</v>
      </c>
      <c r="H5273" s="283">
        <v>0</v>
      </c>
      <c r="I5273" s="283">
        <v>0</v>
      </c>
      <c r="J5273" s="284">
        <v>0</v>
      </c>
    </row>
    <row r="5274" spans="3:10" x14ac:dyDescent="0.25">
      <c r="C5274" s="300" t="s">
        <v>1066</v>
      </c>
      <c r="D5274" s="283" t="s">
        <v>1087</v>
      </c>
      <c r="E5274" s="283" t="s">
        <v>1075</v>
      </c>
      <c r="F5274" s="283" t="s">
        <v>524</v>
      </c>
      <c r="G5274" s="283">
        <v>1</v>
      </c>
      <c r="H5274" s="283">
        <v>0</v>
      </c>
      <c r="I5274" s="283">
        <v>0</v>
      </c>
      <c r="J5274" s="284">
        <v>0</v>
      </c>
    </row>
    <row r="5275" spans="3:10" x14ac:dyDescent="0.25">
      <c r="C5275" s="300" t="s">
        <v>1061</v>
      </c>
      <c r="D5275" s="283" t="s">
        <v>1077</v>
      </c>
      <c r="E5275" s="283" t="s">
        <v>1086</v>
      </c>
      <c r="F5275" s="283" t="s">
        <v>1075</v>
      </c>
      <c r="G5275" s="283">
        <v>2</v>
      </c>
      <c r="H5275" s="283">
        <v>0</v>
      </c>
      <c r="I5275" s="283">
        <v>0</v>
      </c>
      <c r="J5275" s="284">
        <v>0</v>
      </c>
    </row>
    <row r="5276" spans="3:10" x14ac:dyDescent="0.25">
      <c r="C5276" s="300" t="s">
        <v>1060</v>
      </c>
      <c r="D5276" s="283" t="s">
        <v>1074</v>
      </c>
      <c r="E5276" s="283" t="s">
        <v>1075</v>
      </c>
      <c r="F5276" s="283" t="s">
        <v>1076</v>
      </c>
      <c r="G5276" s="283">
        <v>2</v>
      </c>
      <c r="H5276" s="283">
        <v>0</v>
      </c>
      <c r="I5276" s="283">
        <v>0</v>
      </c>
      <c r="J5276" s="284">
        <v>1</v>
      </c>
    </row>
    <row r="5277" spans="3:10" x14ac:dyDescent="0.25">
      <c r="C5277" s="300" t="s">
        <v>1060</v>
      </c>
      <c r="D5277" s="283" t="s">
        <v>1090</v>
      </c>
      <c r="E5277" s="283" t="s">
        <v>1088</v>
      </c>
      <c r="F5277" s="283" t="s">
        <v>524</v>
      </c>
      <c r="G5277" s="283">
        <v>1</v>
      </c>
      <c r="H5277" s="283">
        <v>0</v>
      </c>
      <c r="I5277" s="283">
        <v>0</v>
      </c>
      <c r="J5277" s="284">
        <v>0</v>
      </c>
    </row>
    <row r="5278" spans="3:10" x14ac:dyDescent="0.25">
      <c r="C5278" s="300" t="s">
        <v>1060</v>
      </c>
      <c r="D5278" s="283" t="s">
        <v>1079</v>
      </c>
      <c r="E5278" s="283" t="s">
        <v>1075</v>
      </c>
      <c r="F5278" s="283" t="s">
        <v>1089</v>
      </c>
      <c r="G5278" s="283">
        <v>3</v>
      </c>
      <c r="H5278" s="283">
        <v>0</v>
      </c>
      <c r="I5278" s="283">
        <v>0</v>
      </c>
      <c r="J5278" s="284">
        <v>1</v>
      </c>
    </row>
    <row r="5279" spans="3:10" x14ac:dyDescent="0.25">
      <c r="C5279" s="300" t="s">
        <v>1065</v>
      </c>
      <c r="D5279" s="283" t="s">
        <v>1079</v>
      </c>
      <c r="E5279" s="283" t="s">
        <v>1075</v>
      </c>
      <c r="F5279" s="283" t="s">
        <v>1075</v>
      </c>
      <c r="G5279" s="283">
        <v>2</v>
      </c>
      <c r="H5279" s="283">
        <v>0</v>
      </c>
      <c r="I5279" s="283">
        <v>0</v>
      </c>
      <c r="J5279" s="284">
        <v>0</v>
      </c>
    </row>
    <row r="5280" spans="3:10" x14ac:dyDescent="0.25">
      <c r="C5280" s="300" t="s">
        <v>1062</v>
      </c>
      <c r="D5280" s="283" t="s">
        <v>1074</v>
      </c>
      <c r="E5280" s="283" t="s">
        <v>1086</v>
      </c>
      <c r="F5280" s="283" t="s">
        <v>1075</v>
      </c>
      <c r="G5280" s="283">
        <v>2</v>
      </c>
      <c r="H5280" s="283">
        <v>0</v>
      </c>
      <c r="I5280" s="283">
        <v>0</v>
      </c>
      <c r="J5280" s="284">
        <v>0</v>
      </c>
    </row>
    <row r="5281" spans="3:10" x14ac:dyDescent="0.25">
      <c r="C5281" s="300" t="s">
        <v>1064</v>
      </c>
      <c r="D5281" s="283" t="s">
        <v>1079</v>
      </c>
      <c r="E5281" s="283" t="s">
        <v>1076</v>
      </c>
      <c r="F5281" s="283" t="s">
        <v>1075</v>
      </c>
      <c r="G5281" s="283">
        <v>2</v>
      </c>
      <c r="H5281" s="283">
        <v>0</v>
      </c>
      <c r="I5281" s="283">
        <v>0</v>
      </c>
      <c r="J5281" s="284">
        <v>2</v>
      </c>
    </row>
    <row r="5282" spans="3:10" x14ac:dyDescent="0.25">
      <c r="C5282" s="300" t="s">
        <v>1066</v>
      </c>
      <c r="D5282" s="283" t="s">
        <v>1079</v>
      </c>
      <c r="E5282" s="283" t="s">
        <v>1075</v>
      </c>
      <c r="F5282" s="283" t="s">
        <v>1075</v>
      </c>
      <c r="G5282" s="283">
        <v>2</v>
      </c>
      <c r="H5282" s="283">
        <v>0</v>
      </c>
      <c r="I5282" s="283">
        <v>0</v>
      </c>
      <c r="J5282" s="284">
        <v>0</v>
      </c>
    </row>
    <row r="5283" spans="3:10" x14ac:dyDescent="0.25">
      <c r="C5283" s="300" t="s">
        <v>1066</v>
      </c>
      <c r="D5283" s="283" t="s">
        <v>1079</v>
      </c>
      <c r="E5283" s="283" t="s">
        <v>1075</v>
      </c>
      <c r="F5283" s="283" t="s">
        <v>1075</v>
      </c>
      <c r="G5283" s="283">
        <v>2</v>
      </c>
      <c r="H5283" s="283">
        <v>0</v>
      </c>
      <c r="I5283" s="283">
        <v>0</v>
      </c>
      <c r="J5283" s="284">
        <v>1</v>
      </c>
    </row>
    <row r="5284" spans="3:10" x14ac:dyDescent="0.25">
      <c r="C5284" s="300" t="s">
        <v>1057</v>
      </c>
      <c r="D5284" s="283" t="s">
        <v>1074</v>
      </c>
      <c r="E5284" s="283" t="s">
        <v>1078</v>
      </c>
      <c r="F5284" s="283" t="s">
        <v>1076</v>
      </c>
      <c r="G5284" s="283">
        <v>2</v>
      </c>
      <c r="H5284" s="283">
        <v>0</v>
      </c>
      <c r="I5284" s="283">
        <v>1</v>
      </c>
      <c r="J5284" s="284">
        <v>0</v>
      </c>
    </row>
    <row r="5285" spans="3:10" x14ac:dyDescent="0.25">
      <c r="C5285" s="300" t="s">
        <v>1065</v>
      </c>
      <c r="D5285" s="283" t="s">
        <v>1077</v>
      </c>
      <c r="E5285" s="283" t="s">
        <v>1075</v>
      </c>
      <c r="F5285" s="283" t="s">
        <v>1075</v>
      </c>
      <c r="G5285" s="283">
        <v>2</v>
      </c>
      <c r="H5285" s="283">
        <v>0</v>
      </c>
      <c r="I5285" s="283">
        <v>0</v>
      </c>
      <c r="J5285" s="284">
        <v>0</v>
      </c>
    </row>
    <row r="5286" spans="3:10" x14ac:dyDescent="0.25">
      <c r="C5286" s="300" t="s">
        <v>1057</v>
      </c>
      <c r="D5286" s="283" t="s">
        <v>1079</v>
      </c>
      <c r="E5286" s="283" t="s">
        <v>1075</v>
      </c>
      <c r="F5286" s="283" t="s">
        <v>1084</v>
      </c>
      <c r="G5286" s="283">
        <v>3</v>
      </c>
      <c r="H5286" s="283">
        <v>0</v>
      </c>
      <c r="I5286" s="283">
        <v>0</v>
      </c>
      <c r="J5286" s="284">
        <v>1</v>
      </c>
    </row>
    <row r="5287" spans="3:10" x14ac:dyDescent="0.25">
      <c r="C5287" s="300" t="s">
        <v>1065</v>
      </c>
      <c r="D5287" s="283" t="s">
        <v>1077</v>
      </c>
      <c r="E5287" s="283" t="s">
        <v>1075</v>
      </c>
      <c r="F5287" s="283" t="s">
        <v>1075</v>
      </c>
      <c r="G5287" s="283">
        <v>3</v>
      </c>
      <c r="H5287" s="283">
        <v>0</v>
      </c>
      <c r="I5287" s="283">
        <v>0</v>
      </c>
      <c r="J5287" s="284">
        <v>1</v>
      </c>
    </row>
    <row r="5288" spans="3:10" x14ac:dyDescent="0.25">
      <c r="C5288" s="300" t="s">
        <v>1063</v>
      </c>
      <c r="D5288" s="283" t="s">
        <v>1079</v>
      </c>
      <c r="E5288" s="283" t="s">
        <v>1083</v>
      </c>
      <c r="F5288" s="283" t="s">
        <v>1075</v>
      </c>
      <c r="G5288" s="283">
        <v>2</v>
      </c>
      <c r="H5288" s="283">
        <v>0</v>
      </c>
      <c r="I5288" s="283">
        <v>0</v>
      </c>
      <c r="J5288" s="284">
        <v>0</v>
      </c>
    </row>
    <row r="5289" spans="3:10" x14ac:dyDescent="0.25">
      <c r="C5289" s="300" t="s">
        <v>1064</v>
      </c>
      <c r="D5289" s="283" t="s">
        <v>1079</v>
      </c>
      <c r="E5289" s="283" t="s">
        <v>1075</v>
      </c>
      <c r="F5289" s="283" t="s">
        <v>1075</v>
      </c>
      <c r="G5289" s="283">
        <v>2</v>
      </c>
      <c r="H5289" s="283">
        <v>0</v>
      </c>
      <c r="I5289" s="283">
        <v>0</v>
      </c>
      <c r="J5289" s="284">
        <v>2</v>
      </c>
    </row>
    <row r="5290" spans="3:10" x14ac:dyDescent="0.25">
      <c r="C5290" s="300" t="s">
        <v>1061</v>
      </c>
      <c r="D5290" s="283" t="s">
        <v>1079</v>
      </c>
      <c r="E5290" s="283" t="s">
        <v>1080</v>
      </c>
      <c r="F5290" s="283" t="s">
        <v>1075</v>
      </c>
      <c r="G5290" s="283">
        <v>2</v>
      </c>
      <c r="H5290" s="283">
        <v>0</v>
      </c>
      <c r="I5290" s="283">
        <v>0</v>
      </c>
      <c r="J5290" s="284">
        <v>0</v>
      </c>
    </row>
    <row r="5291" spans="3:10" x14ac:dyDescent="0.25">
      <c r="C5291" s="300" t="s">
        <v>1066</v>
      </c>
      <c r="D5291" s="283" t="s">
        <v>1079</v>
      </c>
      <c r="E5291" s="283" t="s">
        <v>1076</v>
      </c>
      <c r="F5291" s="283" t="s">
        <v>1075</v>
      </c>
      <c r="G5291" s="283">
        <v>3</v>
      </c>
      <c r="H5291" s="283">
        <v>0</v>
      </c>
      <c r="I5291" s="283">
        <v>0</v>
      </c>
      <c r="J5291" s="284">
        <v>0</v>
      </c>
    </row>
    <row r="5292" spans="3:10" x14ac:dyDescent="0.25">
      <c r="C5292" s="300" t="s">
        <v>1065</v>
      </c>
      <c r="D5292" s="283" t="s">
        <v>1090</v>
      </c>
      <c r="E5292" s="283" t="s">
        <v>1083</v>
      </c>
      <c r="F5292" s="283" t="s">
        <v>524</v>
      </c>
      <c r="G5292" s="283">
        <v>1</v>
      </c>
      <c r="H5292" s="283">
        <v>0</v>
      </c>
      <c r="I5292" s="283">
        <v>1</v>
      </c>
      <c r="J5292" s="284">
        <v>0</v>
      </c>
    </row>
    <row r="5293" spans="3:10" x14ac:dyDescent="0.25">
      <c r="C5293" s="300" t="s">
        <v>1065</v>
      </c>
      <c r="D5293" s="283" t="s">
        <v>1074</v>
      </c>
      <c r="E5293" s="283" t="s">
        <v>1075</v>
      </c>
      <c r="F5293" s="283" t="s">
        <v>1075</v>
      </c>
      <c r="G5293" s="283">
        <v>2</v>
      </c>
      <c r="H5293" s="283">
        <v>0</v>
      </c>
      <c r="I5293" s="283">
        <v>0</v>
      </c>
      <c r="J5293" s="284">
        <v>0</v>
      </c>
    </row>
    <row r="5294" spans="3:10" x14ac:dyDescent="0.25">
      <c r="C5294" s="300" t="s">
        <v>1065</v>
      </c>
      <c r="D5294" s="283" t="s">
        <v>1079</v>
      </c>
      <c r="E5294" s="283" t="s">
        <v>1085</v>
      </c>
      <c r="F5294" s="283" t="s">
        <v>1076</v>
      </c>
      <c r="G5294" s="283">
        <v>2</v>
      </c>
      <c r="H5294" s="283">
        <v>0</v>
      </c>
      <c r="I5294" s="283">
        <v>0</v>
      </c>
      <c r="J5294" s="284">
        <v>0</v>
      </c>
    </row>
    <row r="5295" spans="3:10" x14ac:dyDescent="0.25">
      <c r="C5295" s="300" t="s">
        <v>1064</v>
      </c>
      <c r="D5295" s="283" t="s">
        <v>1079</v>
      </c>
      <c r="E5295" s="283" t="s">
        <v>1089</v>
      </c>
      <c r="F5295" s="283" t="s">
        <v>1075</v>
      </c>
      <c r="G5295" s="283">
        <v>2</v>
      </c>
      <c r="H5295" s="283">
        <v>0</v>
      </c>
      <c r="I5295" s="283">
        <v>0</v>
      </c>
      <c r="J5295" s="284">
        <v>1</v>
      </c>
    </row>
    <row r="5296" spans="3:10" x14ac:dyDescent="0.25">
      <c r="C5296" s="300" t="s">
        <v>1063</v>
      </c>
      <c r="D5296" s="283" t="s">
        <v>1079</v>
      </c>
      <c r="E5296" s="283" t="s">
        <v>1075</v>
      </c>
      <c r="F5296" s="283" t="s">
        <v>1075</v>
      </c>
      <c r="G5296" s="283">
        <v>2</v>
      </c>
      <c r="H5296" s="283">
        <v>0</v>
      </c>
      <c r="I5296" s="283">
        <v>0</v>
      </c>
      <c r="J5296" s="284">
        <v>0</v>
      </c>
    </row>
    <row r="5297" spans="3:10" x14ac:dyDescent="0.25">
      <c r="C5297" s="300" t="s">
        <v>1063</v>
      </c>
      <c r="D5297" s="283" t="s">
        <v>1074</v>
      </c>
      <c r="E5297" s="283" t="s">
        <v>1089</v>
      </c>
      <c r="F5297" s="283" t="s">
        <v>1075</v>
      </c>
      <c r="G5297" s="283">
        <v>2</v>
      </c>
      <c r="H5297" s="283">
        <v>0</v>
      </c>
      <c r="I5297" s="283">
        <v>0</v>
      </c>
      <c r="J5297" s="284">
        <v>1</v>
      </c>
    </row>
    <row r="5298" spans="3:10" x14ac:dyDescent="0.25">
      <c r="C5298" s="300" t="s">
        <v>1065</v>
      </c>
      <c r="D5298" s="283" t="s">
        <v>1079</v>
      </c>
      <c r="E5298" s="283" t="s">
        <v>1075</v>
      </c>
      <c r="F5298" s="283" t="s">
        <v>1089</v>
      </c>
      <c r="G5298" s="283">
        <v>2</v>
      </c>
      <c r="H5298" s="283">
        <v>0</v>
      </c>
      <c r="I5298" s="283">
        <v>0</v>
      </c>
      <c r="J5298" s="284">
        <v>0</v>
      </c>
    </row>
    <row r="5299" spans="3:10" x14ac:dyDescent="0.25">
      <c r="C5299" s="300" t="s">
        <v>1064</v>
      </c>
      <c r="D5299" s="283" t="s">
        <v>1043</v>
      </c>
      <c r="E5299" s="283" t="s">
        <v>1084</v>
      </c>
      <c r="F5299" s="283" t="s">
        <v>1092</v>
      </c>
      <c r="G5299" s="283">
        <v>2</v>
      </c>
      <c r="H5299" s="283">
        <v>0</v>
      </c>
      <c r="I5299" s="283">
        <v>1</v>
      </c>
      <c r="J5299" s="284">
        <v>0</v>
      </c>
    </row>
    <row r="5300" spans="3:10" x14ac:dyDescent="0.25">
      <c r="C5300" s="300" t="s">
        <v>1064</v>
      </c>
      <c r="D5300" s="283" t="s">
        <v>1077</v>
      </c>
      <c r="E5300" s="283" t="s">
        <v>1076</v>
      </c>
      <c r="F5300" s="283" t="s">
        <v>1084</v>
      </c>
      <c r="G5300" s="283">
        <v>2</v>
      </c>
      <c r="H5300" s="283">
        <v>0</v>
      </c>
      <c r="I5300" s="283">
        <v>0</v>
      </c>
      <c r="J5300" s="284">
        <v>0</v>
      </c>
    </row>
    <row r="5301" spans="3:10" x14ac:dyDescent="0.25">
      <c r="C5301" s="300" t="s">
        <v>1063</v>
      </c>
      <c r="D5301" s="283" t="s">
        <v>1079</v>
      </c>
      <c r="E5301" s="283" t="s">
        <v>1075</v>
      </c>
      <c r="F5301" s="283" t="s">
        <v>1093</v>
      </c>
      <c r="G5301" s="283">
        <v>2</v>
      </c>
      <c r="H5301" s="283">
        <v>0</v>
      </c>
      <c r="I5301" s="283">
        <v>0</v>
      </c>
      <c r="J5301" s="284">
        <v>0</v>
      </c>
    </row>
    <row r="5302" spans="3:10" x14ac:dyDescent="0.25">
      <c r="C5302" s="300" t="s">
        <v>1059</v>
      </c>
      <c r="D5302" s="283" t="s">
        <v>1079</v>
      </c>
      <c r="E5302" s="283" t="s">
        <v>1076</v>
      </c>
      <c r="F5302" s="283" t="s">
        <v>1078</v>
      </c>
      <c r="G5302" s="283">
        <v>2</v>
      </c>
      <c r="H5302" s="283">
        <v>0</v>
      </c>
      <c r="I5302" s="283">
        <v>0</v>
      </c>
      <c r="J5302" s="284">
        <v>0</v>
      </c>
    </row>
    <row r="5303" spans="3:10" x14ac:dyDescent="0.25">
      <c r="C5303" s="300" t="s">
        <v>1063</v>
      </c>
      <c r="D5303" s="283" t="s">
        <v>1079</v>
      </c>
      <c r="E5303" s="283" t="s">
        <v>1044</v>
      </c>
      <c r="F5303" s="283" t="s">
        <v>1076</v>
      </c>
      <c r="G5303" s="283">
        <v>2</v>
      </c>
      <c r="H5303" s="283">
        <v>0</v>
      </c>
      <c r="I5303" s="283">
        <v>0</v>
      </c>
      <c r="J5303" s="284">
        <v>0</v>
      </c>
    </row>
    <row r="5304" spans="3:10" x14ac:dyDescent="0.25">
      <c r="C5304" s="300" t="s">
        <v>1066</v>
      </c>
      <c r="D5304" s="283" t="s">
        <v>1090</v>
      </c>
      <c r="E5304" s="283" t="s">
        <v>1083</v>
      </c>
      <c r="F5304" s="283" t="s">
        <v>524</v>
      </c>
      <c r="G5304" s="283">
        <v>1</v>
      </c>
      <c r="H5304" s="283">
        <v>0</v>
      </c>
      <c r="I5304" s="283">
        <v>1</v>
      </c>
      <c r="J5304" s="284">
        <v>0</v>
      </c>
    </row>
    <row r="5305" spans="3:10" x14ac:dyDescent="0.25">
      <c r="C5305" s="300" t="s">
        <v>1065</v>
      </c>
      <c r="D5305" s="283" t="s">
        <v>1074</v>
      </c>
      <c r="E5305" s="283" t="s">
        <v>1075</v>
      </c>
      <c r="F5305" s="283" t="s">
        <v>1075</v>
      </c>
      <c r="G5305" s="283">
        <v>2</v>
      </c>
      <c r="H5305" s="283">
        <v>0</v>
      </c>
      <c r="I5305" s="283">
        <v>0</v>
      </c>
      <c r="J5305" s="284">
        <v>1</v>
      </c>
    </row>
    <row r="5306" spans="3:10" x14ac:dyDescent="0.25">
      <c r="C5306" s="300" t="s">
        <v>1057</v>
      </c>
      <c r="D5306" s="283" t="s">
        <v>1087</v>
      </c>
      <c r="E5306" s="283" t="s">
        <v>1075</v>
      </c>
      <c r="F5306" s="283" t="s">
        <v>524</v>
      </c>
      <c r="G5306" s="283">
        <v>1</v>
      </c>
      <c r="H5306" s="283">
        <v>0</v>
      </c>
      <c r="I5306" s="283">
        <v>0</v>
      </c>
      <c r="J5306" s="284">
        <v>2</v>
      </c>
    </row>
    <row r="5307" spans="3:10" x14ac:dyDescent="0.25">
      <c r="C5307" s="300" t="s">
        <v>1063</v>
      </c>
      <c r="D5307" s="283" t="s">
        <v>1043</v>
      </c>
      <c r="E5307" s="283" t="s">
        <v>1078</v>
      </c>
      <c r="F5307" s="283" t="s">
        <v>1092</v>
      </c>
      <c r="G5307" s="283">
        <v>2</v>
      </c>
      <c r="H5307" s="283">
        <v>0</v>
      </c>
      <c r="I5307" s="283">
        <v>0</v>
      </c>
      <c r="J5307" s="284">
        <v>0</v>
      </c>
    </row>
    <row r="5308" spans="3:10" x14ac:dyDescent="0.25">
      <c r="C5308" s="300" t="s">
        <v>1058</v>
      </c>
      <c r="D5308" s="283" t="s">
        <v>1087</v>
      </c>
      <c r="E5308" s="283" t="s">
        <v>1083</v>
      </c>
      <c r="F5308" s="283" t="s">
        <v>524</v>
      </c>
      <c r="G5308" s="283">
        <v>1</v>
      </c>
      <c r="H5308" s="283">
        <v>0</v>
      </c>
      <c r="I5308" s="283">
        <v>1</v>
      </c>
      <c r="J5308" s="284">
        <v>0</v>
      </c>
    </row>
    <row r="5309" spans="3:10" x14ac:dyDescent="0.25">
      <c r="C5309" s="300" t="s">
        <v>1061</v>
      </c>
      <c r="D5309" s="283" t="s">
        <v>1087</v>
      </c>
      <c r="E5309" s="283" t="s">
        <v>1075</v>
      </c>
      <c r="F5309" s="283" t="s">
        <v>524</v>
      </c>
      <c r="G5309" s="283">
        <v>1</v>
      </c>
      <c r="H5309" s="283">
        <v>0</v>
      </c>
      <c r="I5309" s="283">
        <v>0</v>
      </c>
      <c r="J5309" s="284">
        <v>0</v>
      </c>
    </row>
    <row r="5310" spans="3:10" x14ac:dyDescent="0.25">
      <c r="C5310" s="300" t="s">
        <v>1058</v>
      </c>
      <c r="D5310" s="283" t="s">
        <v>1087</v>
      </c>
      <c r="E5310" s="283" t="s">
        <v>1075</v>
      </c>
      <c r="F5310" s="283" t="s">
        <v>524</v>
      </c>
      <c r="G5310" s="283">
        <v>1</v>
      </c>
      <c r="H5310" s="283">
        <v>0</v>
      </c>
      <c r="I5310" s="283">
        <v>0</v>
      </c>
      <c r="J5310" s="284">
        <v>1</v>
      </c>
    </row>
    <row r="5311" spans="3:10" x14ac:dyDescent="0.25">
      <c r="C5311" s="300" t="s">
        <v>1064</v>
      </c>
      <c r="D5311" s="283" t="s">
        <v>1079</v>
      </c>
      <c r="E5311" s="283" t="s">
        <v>1084</v>
      </c>
      <c r="F5311" s="283" t="s">
        <v>1084</v>
      </c>
      <c r="G5311" s="283">
        <v>4</v>
      </c>
      <c r="H5311" s="283">
        <v>0</v>
      </c>
      <c r="I5311" s="283">
        <v>0</v>
      </c>
      <c r="J5311" s="284">
        <v>0</v>
      </c>
    </row>
    <row r="5312" spans="3:10" x14ac:dyDescent="0.25">
      <c r="C5312" s="300" t="s">
        <v>1062</v>
      </c>
      <c r="D5312" s="283" t="s">
        <v>1079</v>
      </c>
      <c r="E5312" s="283" t="s">
        <v>1075</v>
      </c>
      <c r="F5312" s="283" t="s">
        <v>1075</v>
      </c>
      <c r="G5312" s="283">
        <v>2</v>
      </c>
      <c r="H5312" s="283">
        <v>0</v>
      </c>
      <c r="I5312" s="283">
        <v>0</v>
      </c>
      <c r="J5312" s="284">
        <v>0</v>
      </c>
    </row>
    <row r="5313" spans="3:10" x14ac:dyDescent="0.25">
      <c r="C5313" s="300" t="s">
        <v>1059</v>
      </c>
      <c r="D5313" s="283" t="s">
        <v>1087</v>
      </c>
      <c r="E5313" s="283" t="s">
        <v>1076</v>
      </c>
      <c r="F5313" s="283" t="s">
        <v>524</v>
      </c>
      <c r="G5313" s="283">
        <v>1</v>
      </c>
      <c r="H5313" s="283">
        <v>0</v>
      </c>
      <c r="I5313" s="283">
        <v>0</v>
      </c>
      <c r="J5313" s="284">
        <v>1</v>
      </c>
    </row>
    <row r="5314" spans="3:10" x14ac:dyDescent="0.25">
      <c r="C5314" s="300" t="s">
        <v>1064</v>
      </c>
      <c r="D5314" s="283" t="s">
        <v>1079</v>
      </c>
      <c r="E5314" s="283" t="s">
        <v>1080</v>
      </c>
      <c r="F5314" s="283" t="s">
        <v>1083</v>
      </c>
      <c r="G5314" s="283">
        <v>2</v>
      </c>
      <c r="H5314" s="283">
        <v>0</v>
      </c>
      <c r="I5314" s="283">
        <v>1</v>
      </c>
      <c r="J5314" s="284">
        <v>0</v>
      </c>
    </row>
    <row r="5315" spans="3:10" x14ac:dyDescent="0.25">
      <c r="C5315" s="300" t="s">
        <v>1064</v>
      </c>
      <c r="D5315" s="283" t="s">
        <v>1074</v>
      </c>
      <c r="E5315" s="283" t="s">
        <v>1075</v>
      </c>
      <c r="F5315" s="283" t="s">
        <v>1081</v>
      </c>
      <c r="G5315" s="283">
        <v>2</v>
      </c>
      <c r="H5315" s="283">
        <v>0</v>
      </c>
      <c r="I5315" s="283">
        <v>0</v>
      </c>
      <c r="J5315" s="284">
        <v>0</v>
      </c>
    </row>
    <row r="5316" spans="3:10" x14ac:dyDescent="0.25">
      <c r="C5316" s="300" t="s">
        <v>1063</v>
      </c>
      <c r="D5316" s="283" t="s">
        <v>1079</v>
      </c>
      <c r="E5316" s="283" t="s">
        <v>1088</v>
      </c>
      <c r="F5316" s="283" t="s">
        <v>1075</v>
      </c>
      <c r="G5316" s="283">
        <v>2</v>
      </c>
      <c r="H5316" s="283">
        <v>0</v>
      </c>
      <c r="I5316" s="283">
        <v>1</v>
      </c>
      <c r="J5316" s="284">
        <v>0</v>
      </c>
    </row>
    <row r="5317" spans="3:10" x14ac:dyDescent="0.25">
      <c r="C5317" s="300" t="s">
        <v>1064</v>
      </c>
      <c r="D5317" s="283" t="s">
        <v>1079</v>
      </c>
      <c r="E5317" s="283" t="s">
        <v>1075</v>
      </c>
      <c r="F5317" s="283" t="s">
        <v>1083</v>
      </c>
      <c r="G5317" s="283">
        <v>2</v>
      </c>
      <c r="H5317" s="283">
        <v>0</v>
      </c>
      <c r="I5317" s="283">
        <v>0</v>
      </c>
      <c r="J5317" s="284">
        <v>1</v>
      </c>
    </row>
    <row r="5318" spans="3:10" x14ac:dyDescent="0.25">
      <c r="C5318" s="300" t="s">
        <v>1067</v>
      </c>
      <c r="D5318" s="283" t="s">
        <v>1087</v>
      </c>
      <c r="E5318" s="283" t="s">
        <v>1075</v>
      </c>
      <c r="F5318" s="283" t="s">
        <v>524</v>
      </c>
      <c r="G5318" s="283">
        <v>1</v>
      </c>
      <c r="H5318" s="283">
        <v>0</v>
      </c>
      <c r="I5318" s="283">
        <v>0</v>
      </c>
      <c r="J5318" s="284">
        <v>0</v>
      </c>
    </row>
    <row r="5319" spans="3:10" x14ac:dyDescent="0.25">
      <c r="C5319" s="300" t="s">
        <v>1064</v>
      </c>
      <c r="D5319" s="283" t="s">
        <v>1079</v>
      </c>
      <c r="E5319" s="283" t="s">
        <v>1116</v>
      </c>
      <c r="F5319" s="283" t="s">
        <v>1084</v>
      </c>
      <c r="G5319" s="283">
        <v>2</v>
      </c>
      <c r="H5319" s="283">
        <v>0</v>
      </c>
      <c r="I5319" s="283">
        <v>0</v>
      </c>
      <c r="J5319" s="284">
        <v>0</v>
      </c>
    </row>
    <row r="5320" spans="3:10" x14ac:dyDescent="0.25">
      <c r="C5320" s="300" t="s">
        <v>1060</v>
      </c>
      <c r="D5320" s="283" t="s">
        <v>1087</v>
      </c>
      <c r="E5320" s="283" t="s">
        <v>1078</v>
      </c>
      <c r="F5320" s="283" t="s">
        <v>524</v>
      </c>
      <c r="G5320" s="283">
        <v>1</v>
      </c>
      <c r="H5320" s="283">
        <v>0</v>
      </c>
      <c r="I5320" s="283">
        <v>1</v>
      </c>
      <c r="J5320" s="284">
        <v>0</v>
      </c>
    </row>
    <row r="5321" spans="3:10" x14ac:dyDescent="0.25">
      <c r="C5321" s="300" t="s">
        <v>1062</v>
      </c>
      <c r="D5321" s="283" t="s">
        <v>1043</v>
      </c>
      <c r="E5321" s="283" t="s">
        <v>1083</v>
      </c>
      <c r="F5321" s="283" t="s">
        <v>1092</v>
      </c>
      <c r="G5321" s="283">
        <v>2</v>
      </c>
      <c r="H5321" s="283">
        <v>0</v>
      </c>
      <c r="I5321" s="283">
        <v>0</v>
      </c>
      <c r="J5321" s="284">
        <v>0</v>
      </c>
    </row>
    <row r="5322" spans="3:10" x14ac:dyDescent="0.25">
      <c r="C5322" s="300" t="s">
        <v>1064</v>
      </c>
      <c r="D5322" s="283" t="s">
        <v>1087</v>
      </c>
      <c r="E5322" s="283" t="s">
        <v>1089</v>
      </c>
      <c r="F5322" s="283" t="s">
        <v>524</v>
      </c>
      <c r="G5322" s="283">
        <v>1</v>
      </c>
      <c r="H5322" s="283">
        <v>0</v>
      </c>
      <c r="I5322" s="283">
        <v>1</v>
      </c>
      <c r="J5322" s="284">
        <v>0</v>
      </c>
    </row>
    <row r="5323" spans="3:10" x14ac:dyDescent="0.25">
      <c r="C5323" s="300" t="s">
        <v>1065</v>
      </c>
      <c r="D5323" s="283" t="s">
        <v>1079</v>
      </c>
      <c r="E5323" s="283" t="s">
        <v>1078</v>
      </c>
      <c r="F5323" s="283" t="s">
        <v>1076</v>
      </c>
      <c r="G5323" s="283">
        <v>3</v>
      </c>
      <c r="H5323" s="283">
        <v>0</v>
      </c>
      <c r="I5323" s="283">
        <v>0</v>
      </c>
      <c r="J5323" s="284">
        <v>0</v>
      </c>
    </row>
    <row r="5324" spans="3:10" x14ac:dyDescent="0.25">
      <c r="C5324" s="300" t="s">
        <v>1065</v>
      </c>
      <c r="D5324" s="283" t="s">
        <v>1074</v>
      </c>
      <c r="E5324" s="283" t="s">
        <v>1076</v>
      </c>
      <c r="F5324" s="283" t="s">
        <v>1044</v>
      </c>
      <c r="G5324" s="283">
        <v>2</v>
      </c>
      <c r="H5324" s="283">
        <v>0</v>
      </c>
      <c r="I5324" s="283">
        <v>0</v>
      </c>
      <c r="J5324" s="284">
        <v>0</v>
      </c>
    </row>
    <row r="5325" spans="3:10" x14ac:dyDescent="0.25">
      <c r="C5325" s="300" t="s">
        <v>1068</v>
      </c>
      <c r="D5325" s="283" t="s">
        <v>1079</v>
      </c>
      <c r="E5325" s="283" t="s">
        <v>1075</v>
      </c>
      <c r="F5325" s="283" t="s">
        <v>1083</v>
      </c>
      <c r="G5325" s="283">
        <v>2</v>
      </c>
      <c r="H5325" s="283">
        <v>0</v>
      </c>
      <c r="I5325" s="283">
        <v>0</v>
      </c>
      <c r="J5325" s="284">
        <v>1</v>
      </c>
    </row>
    <row r="5326" spans="3:10" x14ac:dyDescent="0.25">
      <c r="C5326" s="300" t="s">
        <v>1061</v>
      </c>
      <c r="D5326" s="283" t="s">
        <v>1074</v>
      </c>
      <c r="E5326" s="283" t="s">
        <v>1089</v>
      </c>
      <c r="F5326" s="283" t="s">
        <v>1081</v>
      </c>
      <c r="G5326" s="283">
        <v>2</v>
      </c>
      <c r="H5326" s="283">
        <v>0</v>
      </c>
      <c r="I5326" s="283">
        <v>1</v>
      </c>
      <c r="J5326" s="284">
        <v>0</v>
      </c>
    </row>
    <row r="5327" spans="3:10" x14ac:dyDescent="0.25">
      <c r="C5327" s="300" t="s">
        <v>1067</v>
      </c>
      <c r="D5327" s="283" t="s">
        <v>1079</v>
      </c>
      <c r="E5327" s="283" t="s">
        <v>1089</v>
      </c>
      <c r="F5327" s="283" t="s">
        <v>1083</v>
      </c>
      <c r="G5327" s="283">
        <v>2</v>
      </c>
      <c r="H5327" s="283">
        <v>0</v>
      </c>
      <c r="I5327" s="283">
        <v>1</v>
      </c>
      <c r="J5327" s="284">
        <v>0</v>
      </c>
    </row>
    <row r="5328" spans="3:10" x14ac:dyDescent="0.25">
      <c r="C5328" s="300" t="s">
        <v>1063</v>
      </c>
      <c r="D5328" s="283" t="s">
        <v>1087</v>
      </c>
      <c r="E5328" s="283" t="s">
        <v>1075</v>
      </c>
      <c r="F5328" s="283" t="s">
        <v>524</v>
      </c>
      <c r="G5328" s="283">
        <v>1</v>
      </c>
      <c r="H5328" s="283">
        <v>0</v>
      </c>
      <c r="I5328" s="283">
        <v>0</v>
      </c>
      <c r="J5328" s="284">
        <v>0</v>
      </c>
    </row>
    <row r="5329" spans="3:10" x14ac:dyDescent="0.25">
      <c r="C5329" s="300" t="s">
        <v>1061</v>
      </c>
      <c r="D5329" s="283" t="s">
        <v>1077</v>
      </c>
      <c r="E5329" s="283" t="s">
        <v>1083</v>
      </c>
      <c r="F5329" s="283" t="s">
        <v>1080</v>
      </c>
      <c r="G5329" s="283">
        <v>2</v>
      </c>
      <c r="H5329" s="283">
        <v>0</v>
      </c>
      <c r="I5329" s="283">
        <v>1</v>
      </c>
      <c r="J5329" s="284">
        <v>0</v>
      </c>
    </row>
    <row r="5330" spans="3:10" x14ac:dyDescent="0.25">
      <c r="C5330" s="300" t="s">
        <v>1060</v>
      </c>
      <c r="D5330" s="283" t="s">
        <v>1077</v>
      </c>
      <c r="E5330" s="283" t="s">
        <v>1075</v>
      </c>
      <c r="F5330" s="283" t="s">
        <v>1076</v>
      </c>
      <c r="G5330" s="283">
        <v>2</v>
      </c>
      <c r="H5330" s="283">
        <v>0</v>
      </c>
      <c r="I5330" s="283">
        <v>1</v>
      </c>
      <c r="J5330" s="284">
        <v>1</v>
      </c>
    </row>
    <row r="5331" spans="3:10" x14ac:dyDescent="0.25">
      <c r="C5331" s="300" t="s">
        <v>1061</v>
      </c>
      <c r="D5331" s="283" t="s">
        <v>1079</v>
      </c>
      <c r="E5331" s="283" t="s">
        <v>1089</v>
      </c>
      <c r="F5331" s="283" t="s">
        <v>1075</v>
      </c>
      <c r="G5331" s="283">
        <v>2</v>
      </c>
      <c r="H5331" s="283">
        <v>0</v>
      </c>
      <c r="I5331" s="283">
        <v>0</v>
      </c>
      <c r="J5331" s="284">
        <v>1</v>
      </c>
    </row>
    <row r="5332" spans="3:10" x14ac:dyDescent="0.25">
      <c r="C5332" s="300" t="s">
        <v>1064</v>
      </c>
      <c r="D5332" s="283" t="s">
        <v>1079</v>
      </c>
      <c r="E5332" s="283" t="s">
        <v>1075</v>
      </c>
      <c r="F5332" s="283" t="s">
        <v>1089</v>
      </c>
      <c r="G5332" s="283">
        <v>2</v>
      </c>
      <c r="H5332" s="283">
        <v>0</v>
      </c>
      <c r="I5332" s="283">
        <v>0</v>
      </c>
      <c r="J5332" s="284">
        <v>1</v>
      </c>
    </row>
    <row r="5333" spans="3:10" x14ac:dyDescent="0.25">
      <c r="C5333" s="300" t="s">
        <v>1061</v>
      </c>
      <c r="D5333" s="283" t="s">
        <v>1079</v>
      </c>
      <c r="E5333" s="283" t="s">
        <v>1075</v>
      </c>
      <c r="F5333" s="283" t="s">
        <v>1075</v>
      </c>
      <c r="G5333" s="283">
        <v>3</v>
      </c>
      <c r="H5333" s="283">
        <v>0</v>
      </c>
      <c r="I5333" s="283">
        <v>1</v>
      </c>
      <c r="J5333" s="284">
        <v>0</v>
      </c>
    </row>
    <row r="5334" spans="3:10" x14ac:dyDescent="0.25">
      <c r="C5334" s="300" t="s">
        <v>1062</v>
      </c>
      <c r="D5334" s="283" t="s">
        <v>1079</v>
      </c>
      <c r="E5334" s="283" t="s">
        <v>1089</v>
      </c>
      <c r="F5334" s="283" t="s">
        <v>1075</v>
      </c>
      <c r="G5334" s="283">
        <v>3</v>
      </c>
      <c r="H5334" s="283">
        <v>0</v>
      </c>
      <c r="I5334" s="283">
        <v>0</v>
      </c>
      <c r="J5334" s="284">
        <v>0</v>
      </c>
    </row>
    <row r="5335" spans="3:10" x14ac:dyDescent="0.25">
      <c r="C5335" s="300" t="s">
        <v>1064</v>
      </c>
      <c r="D5335" s="283" t="s">
        <v>1087</v>
      </c>
      <c r="E5335" s="283" t="s">
        <v>1075</v>
      </c>
      <c r="F5335" s="283" t="s">
        <v>524</v>
      </c>
      <c r="G5335" s="283">
        <v>1</v>
      </c>
      <c r="H5335" s="283">
        <v>0</v>
      </c>
      <c r="I5335" s="283">
        <v>0</v>
      </c>
      <c r="J5335" s="284">
        <v>0</v>
      </c>
    </row>
    <row r="5336" spans="3:10" x14ac:dyDescent="0.25">
      <c r="C5336" s="300" t="s">
        <v>1061</v>
      </c>
      <c r="D5336" s="283" t="s">
        <v>1077</v>
      </c>
      <c r="E5336" s="283" t="s">
        <v>1084</v>
      </c>
      <c r="F5336" s="283" t="s">
        <v>1076</v>
      </c>
      <c r="G5336" s="283">
        <v>4</v>
      </c>
      <c r="H5336" s="283">
        <v>0</v>
      </c>
      <c r="I5336" s="283">
        <v>1</v>
      </c>
      <c r="J5336" s="284">
        <v>1</v>
      </c>
    </row>
    <row r="5337" spans="3:10" x14ac:dyDescent="0.25">
      <c r="C5337" s="300" t="s">
        <v>1064</v>
      </c>
      <c r="D5337" s="283" t="s">
        <v>1077</v>
      </c>
      <c r="E5337" s="283" t="s">
        <v>1075</v>
      </c>
      <c r="F5337" s="283" t="s">
        <v>1076</v>
      </c>
      <c r="G5337" s="283">
        <v>3</v>
      </c>
      <c r="H5337" s="283">
        <v>0</v>
      </c>
      <c r="I5337" s="283">
        <v>1</v>
      </c>
      <c r="J5337" s="284">
        <v>0</v>
      </c>
    </row>
    <row r="5338" spans="3:10" x14ac:dyDescent="0.25">
      <c r="C5338" s="300" t="s">
        <v>1068</v>
      </c>
      <c r="D5338" s="283" t="s">
        <v>1079</v>
      </c>
      <c r="E5338" s="283" t="s">
        <v>1081</v>
      </c>
      <c r="F5338" s="283" t="s">
        <v>1076</v>
      </c>
      <c r="G5338" s="283">
        <v>2</v>
      </c>
      <c r="H5338" s="283">
        <v>0</v>
      </c>
      <c r="I5338" s="283">
        <v>0</v>
      </c>
      <c r="J5338" s="284">
        <v>1</v>
      </c>
    </row>
    <row r="5339" spans="3:10" x14ac:dyDescent="0.25">
      <c r="C5339" s="300" t="s">
        <v>1062</v>
      </c>
      <c r="D5339" s="283" t="s">
        <v>1087</v>
      </c>
      <c r="E5339" s="283" t="s">
        <v>1083</v>
      </c>
      <c r="F5339" s="283" t="s">
        <v>524</v>
      </c>
      <c r="G5339" s="283">
        <v>1</v>
      </c>
      <c r="H5339" s="283">
        <v>0</v>
      </c>
      <c r="I5339" s="283">
        <v>0</v>
      </c>
      <c r="J5339" s="284">
        <v>0</v>
      </c>
    </row>
    <row r="5340" spans="3:10" x14ac:dyDescent="0.25">
      <c r="C5340" s="300" t="s">
        <v>1064</v>
      </c>
      <c r="D5340" s="283" t="s">
        <v>1087</v>
      </c>
      <c r="E5340" s="283" t="s">
        <v>1083</v>
      </c>
      <c r="F5340" s="283" t="s">
        <v>524</v>
      </c>
      <c r="G5340" s="283">
        <v>1</v>
      </c>
      <c r="H5340" s="283">
        <v>0</v>
      </c>
      <c r="I5340" s="283">
        <v>0</v>
      </c>
      <c r="J5340" s="284">
        <v>1</v>
      </c>
    </row>
    <row r="5341" spans="3:10" x14ac:dyDescent="0.25">
      <c r="C5341" s="300" t="s">
        <v>1068</v>
      </c>
      <c r="D5341" s="283" t="s">
        <v>1077</v>
      </c>
      <c r="E5341" s="283" t="s">
        <v>1089</v>
      </c>
      <c r="F5341" s="283" t="s">
        <v>1075</v>
      </c>
      <c r="G5341" s="283">
        <v>2</v>
      </c>
      <c r="H5341" s="283">
        <v>0</v>
      </c>
      <c r="I5341" s="283">
        <v>0</v>
      </c>
      <c r="J5341" s="284">
        <v>0</v>
      </c>
    </row>
    <row r="5342" spans="3:10" x14ac:dyDescent="0.25">
      <c r="C5342" s="300" t="s">
        <v>1063</v>
      </c>
      <c r="D5342" s="283" t="s">
        <v>1079</v>
      </c>
      <c r="E5342" s="283" t="s">
        <v>1091</v>
      </c>
      <c r="F5342" s="283" t="s">
        <v>1083</v>
      </c>
      <c r="G5342" s="283">
        <v>2</v>
      </c>
      <c r="H5342" s="283">
        <v>0</v>
      </c>
      <c r="I5342" s="283">
        <v>0</v>
      </c>
      <c r="J5342" s="284">
        <v>0</v>
      </c>
    </row>
    <row r="5343" spans="3:10" x14ac:dyDescent="0.25">
      <c r="C5343" s="300" t="s">
        <v>1068</v>
      </c>
      <c r="D5343" s="283" t="s">
        <v>1082</v>
      </c>
      <c r="E5343" s="283" t="s">
        <v>1075</v>
      </c>
      <c r="F5343" s="283" t="s">
        <v>1075</v>
      </c>
      <c r="G5343" s="283">
        <v>2</v>
      </c>
      <c r="H5343" s="283">
        <v>0</v>
      </c>
      <c r="I5343" s="283">
        <v>0</v>
      </c>
      <c r="J5343" s="284">
        <v>1</v>
      </c>
    </row>
    <row r="5344" spans="3:10" x14ac:dyDescent="0.25">
      <c r="C5344" s="300" t="s">
        <v>1063</v>
      </c>
      <c r="D5344" s="283" t="s">
        <v>1087</v>
      </c>
      <c r="E5344" s="283" t="s">
        <v>1117</v>
      </c>
      <c r="F5344" s="283" t="s">
        <v>524</v>
      </c>
      <c r="G5344" s="283">
        <v>1</v>
      </c>
      <c r="H5344" s="283">
        <v>0</v>
      </c>
      <c r="I5344" s="283">
        <v>1</v>
      </c>
      <c r="J5344" s="284">
        <v>0</v>
      </c>
    </row>
    <row r="5345" spans="3:10" x14ac:dyDescent="0.25">
      <c r="C5345" s="300" t="s">
        <v>1063</v>
      </c>
      <c r="D5345" s="283" t="s">
        <v>1087</v>
      </c>
      <c r="E5345" s="283" t="s">
        <v>1089</v>
      </c>
      <c r="F5345" s="283" t="s">
        <v>524</v>
      </c>
      <c r="G5345" s="283">
        <v>1</v>
      </c>
      <c r="H5345" s="283">
        <v>0</v>
      </c>
      <c r="I5345" s="283">
        <v>1</v>
      </c>
      <c r="J5345" s="284">
        <v>0</v>
      </c>
    </row>
    <row r="5346" spans="3:10" x14ac:dyDescent="0.25">
      <c r="C5346" s="300" t="s">
        <v>1068</v>
      </c>
      <c r="D5346" s="283" t="s">
        <v>1079</v>
      </c>
      <c r="E5346" s="283" t="s">
        <v>1075</v>
      </c>
      <c r="F5346" s="283" t="s">
        <v>1075</v>
      </c>
      <c r="G5346" s="283">
        <v>2</v>
      </c>
      <c r="H5346" s="283">
        <v>0</v>
      </c>
      <c r="I5346" s="283">
        <v>0</v>
      </c>
      <c r="J5346" s="284">
        <v>0</v>
      </c>
    </row>
    <row r="5347" spans="3:10" x14ac:dyDescent="0.25">
      <c r="C5347" s="300" t="s">
        <v>1060</v>
      </c>
      <c r="D5347" s="283" t="s">
        <v>1077</v>
      </c>
      <c r="E5347" s="283" t="s">
        <v>1083</v>
      </c>
      <c r="F5347" s="283" t="s">
        <v>1080</v>
      </c>
      <c r="G5347" s="283">
        <v>2</v>
      </c>
      <c r="H5347" s="283">
        <v>0</v>
      </c>
      <c r="I5347" s="283">
        <v>0</v>
      </c>
      <c r="J5347" s="284">
        <v>0</v>
      </c>
    </row>
    <row r="5348" spans="3:10" x14ac:dyDescent="0.25">
      <c r="C5348" s="300" t="s">
        <v>1061</v>
      </c>
      <c r="D5348" s="283" t="s">
        <v>1079</v>
      </c>
      <c r="E5348" s="283" t="s">
        <v>1075</v>
      </c>
      <c r="F5348" s="283" t="s">
        <v>1075</v>
      </c>
      <c r="G5348" s="283">
        <v>2</v>
      </c>
      <c r="H5348" s="283">
        <v>0</v>
      </c>
      <c r="I5348" s="283">
        <v>0</v>
      </c>
      <c r="J5348" s="284">
        <v>0</v>
      </c>
    </row>
    <row r="5349" spans="3:10" x14ac:dyDescent="0.25">
      <c r="C5349" s="300" t="s">
        <v>1065</v>
      </c>
      <c r="D5349" s="283" t="s">
        <v>1079</v>
      </c>
      <c r="E5349" s="283" t="s">
        <v>1075</v>
      </c>
      <c r="F5349" s="283" t="s">
        <v>1075</v>
      </c>
      <c r="G5349" s="283">
        <v>2</v>
      </c>
      <c r="H5349" s="283">
        <v>0</v>
      </c>
      <c r="I5349" s="283">
        <v>0</v>
      </c>
      <c r="J5349" s="284">
        <v>0</v>
      </c>
    </row>
    <row r="5350" spans="3:10" x14ac:dyDescent="0.25">
      <c r="C5350" s="300" t="s">
        <v>1065</v>
      </c>
      <c r="D5350" s="283" t="s">
        <v>1077</v>
      </c>
      <c r="E5350" s="283" t="s">
        <v>1089</v>
      </c>
      <c r="F5350" s="283" t="s">
        <v>1076</v>
      </c>
      <c r="G5350" s="283">
        <v>3</v>
      </c>
      <c r="H5350" s="283">
        <v>0</v>
      </c>
      <c r="I5350" s="283">
        <v>0</v>
      </c>
      <c r="J5350" s="284">
        <v>0</v>
      </c>
    </row>
    <row r="5351" spans="3:10" x14ac:dyDescent="0.25">
      <c r="C5351" s="300" t="s">
        <v>1064</v>
      </c>
      <c r="D5351" s="283" t="s">
        <v>1077</v>
      </c>
      <c r="E5351" s="283" t="s">
        <v>1089</v>
      </c>
      <c r="F5351" s="283" t="s">
        <v>1078</v>
      </c>
      <c r="G5351" s="283">
        <v>2</v>
      </c>
      <c r="H5351" s="283">
        <v>0</v>
      </c>
      <c r="I5351" s="283">
        <v>0</v>
      </c>
      <c r="J5351" s="284">
        <v>1</v>
      </c>
    </row>
    <row r="5352" spans="3:10" x14ac:dyDescent="0.25">
      <c r="C5352" s="300" t="s">
        <v>1061</v>
      </c>
      <c r="D5352" s="283" t="s">
        <v>1079</v>
      </c>
      <c r="E5352" s="283" t="s">
        <v>1080</v>
      </c>
      <c r="F5352" s="283" t="s">
        <v>1075</v>
      </c>
      <c r="G5352" s="283">
        <v>2</v>
      </c>
      <c r="H5352" s="283">
        <v>0</v>
      </c>
      <c r="I5352" s="283">
        <v>0</v>
      </c>
      <c r="J5352" s="284">
        <v>0</v>
      </c>
    </row>
    <row r="5353" spans="3:10" x14ac:dyDescent="0.25">
      <c r="C5353" s="300" t="s">
        <v>1066</v>
      </c>
      <c r="D5353" s="283" t="s">
        <v>1074</v>
      </c>
      <c r="E5353" s="283" t="s">
        <v>1075</v>
      </c>
      <c r="F5353" s="283" t="s">
        <v>1075</v>
      </c>
      <c r="G5353" s="283">
        <v>2</v>
      </c>
      <c r="H5353" s="283">
        <v>0</v>
      </c>
      <c r="I5353" s="283">
        <v>0</v>
      </c>
      <c r="J5353" s="284">
        <v>0</v>
      </c>
    </row>
    <row r="5354" spans="3:10" x14ac:dyDescent="0.25">
      <c r="C5354" s="300" t="s">
        <v>1066</v>
      </c>
      <c r="D5354" s="283" t="s">
        <v>1074</v>
      </c>
      <c r="E5354" s="283" t="s">
        <v>1075</v>
      </c>
      <c r="F5354" s="283" t="s">
        <v>1075</v>
      </c>
      <c r="G5354" s="283">
        <v>4</v>
      </c>
      <c r="H5354" s="283">
        <v>0</v>
      </c>
      <c r="I5354" s="283">
        <v>1</v>
      </c>
      <c r="J5354" s="284">
        <v>0</v>
      </c>
    </row>
    <row r="5355" spans="3:10" x14ac:dyDescent="0.25">
      <c r="C5355" s="300" t="s">
        <v>1061</v>
      </c>
      <c r="D5355" s="283" t="s">
        <v>1077</v>
      </c>
      <c r="E5355" s="283" t="s">
        <v>1076</v>
      </c>
      <c r="F5355" s="283" t="s">
        <v>1075</v>
      </c>
      <c r="G5355" s="283">
        <v>2</v>
      </c>
      <c r="H5355" s="283">
        <v>0</v>
      </c>
      <c r="I5355" s="283">
        <v>0</v>
      </c>
      <c r="J5355" s="284">
        <v>0</v>
      </c>
    </row>
    <row r="5356" spans="3:10" x14ac:dyDescent="0.25">
      <c r="C5356" s="300" t="s">
        <v>1057</v>
      </c>
      <c r="D5356" s="283" t="s">
        <v>1079</v>
      </c>
      <c r="E5356" s="283" t="s">
        <v>1075</v>
      </c>
      <c r="F5356" s="283" t="s">
        <v>1075</v>
      </c>
      <c r="G5356" s="283">
        <v>2</v>
      </c>
      <c r="H5356" s="283">
        <v>0</v>
      </c>
      <c r="I5356" s="283">
        <v>0</v>
      </c>
      <c r="J5356" s="284">
        <v>0</v>
      </c>
    </row>
    <row r="5357" spans="3:10" x14ac:dyDescent="0.25">
      <c r="C5357" s="300" t="s">
        <v>1060</v>
      </c>
      <c r="D5357" s="283" t="s">
        <v>1079</v>
      </c>
      <c r="E5357" s="283" t="s">
        <v>1075</v>
      </c>
      <c r="F5357" s="283" t="s">
        <v>1075</v>
      </c>
      <c r="G5357" s="283">
        <v>3</v>
      </c>
      <c r="H5357" s="283">
        <v>0</v>
      </c>
      <c r="I5357" s="283">
        <v>1</v>
      </c>
      <c r="J5357" s="284">
        <v>0</v>
      </c>
    </row>
    <row r="5358" spans="3:10" x14ac:dyDescent="0.25">
      <c r="C5358" s="300" t="s">
        <v>1063</v>
      </c>
      <c r="D5358" s="283" t="s">
        <v>1079</v>
      </c>
      <c r="E5358" s="283" t="s">
        <v>1078</v>
      </c>
      <c r="F5358" s="283" t="s">
        <v>1088</v>
      </c>
      <c r="G5358" s="283">
        <v>2</v>
      </c>
      <c r="H5358" s="283">
        <v>0</v>
      </c>
      <c r="I5358" s="283">
        <v>0</v>
      </c>
      <c r="J5358" s="284">
        <v>1</v>
      </c>
    </row>
    <row r="5359" spans="3:10" x14ac:dyDescent="0.25">
      <c r="C5359" s="300" t="s">
        <v>1064</v>
      </c>
      <c r="D5359" s="283" t="s">
        <v>1043</v>
      </c>
      <c r="E5359" s="283" t="s">
        <v>1081</v>
      </c>
      <c r="F5359" s="283" t="s">
        <v>1092</v>
      </c>
      <c r="G5359" s="283">
        <v>2</v>
      </c>
      <c r="H5359" s="283">
        <v>0</v>
      </c>
      <c r="I5359" s="283">
        <v>0</v>
      </c>
      <c r="J5359" s="284">
        <v>1</v>
      </c>
    </row>
    <row r="5360" spans="3:10" x14ac:dyDescent="0.25">
      <c r="C5360" s="300" t="s">
        <v>1059</v>
      </c>
      <c r="D5360" s="283" t="s">
        <v>1079</v>
      </c>
      <c r="E5360" s="283" t="s">
        <v>1078</v>
      </c>
      <c r="F5360" s="283" t="s">
        <v>1089</v>
      </c>
      <c r="G5360" s="283">
        <v>3</v>
      </c>
      <c r="H5360" s="283">
        <v>0</v>
      </c>
      <c r="I5360" s="283">
        <v>0</v>
      </c>
      <c r="J5360" s="284">
        <v>0</v>
      </c>
    </row>
    <row r="5361" spans="3:10" x14ac:dyDescent="0.25">
      <c r="C5361" s="300" t="s">
        <v>1061</v>
      </c>
      <c r="D5361" s="283" t="s">
        <v>1074</v>
      </c>
      <c r="E5361" s="283" t="s">
        <v>1044</v>
      </c>
      <c r="F5361" s="283" t="s">
        <v>1075</v>
      </c>
      <c r="G5361" s="283">
        <v>2</v>
      </c>
      <c r="H5361" s="283">
        <v>0</v>
      </c>
      <c r="I5361" s="283">
        <v>0</v>
      </c>
      <c r="J5361" s="284">
        <v>0</v>
      </c>
    </row>
    <row r="5362" spans="3:10" x14ac:dyDescent="0.25">
      <c r="C5362" s="300" t="s">
        <v>1066</v>
      </c>
      <c r="D5362" s="283" t="s">
        <v>1077</v>
      </c>
      <c r="E5362" s="283" t="s">
        <v>1089</v>
      </c>
      <c r="F5362" s="283" t="s">
        <v>1076</v>
      </c>
      <c r="G5362" s="283">
        <v>3</v>
      </c>
      <c r="H5362" s="283">
        <v>0</v>
      </c>
      <c r="I5362" s="283">
        <v>0</v>
      </c>
      <c r="J5362" s="284">
        <v>0</v>
      </c>
    </row>
    <row r="5363" spans="3:10" x14ac:dyDescent="0.25">
      <c r="C5363" s="300" t="s">
        <v>1065</v>
      </c>
      <c r="D5363" s="283" t="s">
        <v>1087</v>
      </c>
      <c r="E5363" s="283" t="s">
        <v>1075</v>
      </c>
      <c r="F5363" s="283" t="s">
        <v>524</v>
      </c>
      <c r="G5363" s="283">
        <v>2</v>
      </c>
      <c r="H5363" s="283">
        <v>0</v>
      </c>
      <c r="I5363" s="283">
        <v>0</v>
      </c>
      <c r="J5363" s="284">
        <v>0</v>
      </c>
    </row>
    <row r="5364" spans="3:10" x14ac:dyDescent="0.25">
      <c r="C5364" s="300" t="s">
        <v>1059</v>
      </c>
      <c r="D5364" s="283" t="s">
        <v>1074</v>
      </c>
      <c r="E5364" s="283" t="s">
        <v>1080</v>
      </c>
      <c r="F5364" s="283" t="s">
        <v>1086</v>
      </c>
      <c r="G5364" s="283">
        <v>3</v>
      </c>
      <c r="H5364" s="283">
        <v>0</v>
      </c>
      <c r="I5364" s="283">
        <v>1</v>
      </c>
      <c r="J5364" s="284">
        <v>0</v>
      </c>
    </row>
    <row r="5365" spans="3:10" x14ac:dyDescent="0.25">
      <c r="C5365" s="300" t="s">
        <v>1068</v>
      </c>
      <c r="D5365" s="283" t="s">
        <v>1079</v>
      </c>
      <c r="E5365" s="283" t="s">
        <v>1075</v>
      </c>
      <c r="F5365" s="283" t="s">
        <v>1075</v>
      </c>
      <c r="G5365" s="283">
        <v>2</v>
      </c>
      <c r="H5365" s="283">
        <v>0</v>
      </c>
      <c r="I5365" s="283">
        <v>0</v>
      </c>
      <c r="J5365" s="284">
        <v>0</v>
      </c>
    </row>
    <row r="5366" spans="3:10" x14ac:dyDescent="0.25">
      <c r="C5366" s="300" t="s">
        <v>1065</v>
      </c>
      <c r="D5366" s="283" t="s">
        <v>1074</v>
      </c>
      <c r="E5366" s="283" t="s">
        <v>1075</v>
      </c>
      <c r="F5366" s="283" t="s">
        <v>1075</v>
      </c>
      <c r="G5366" s="283">
        <v>2</v>
      </c>
      <c r="H5366" s="283">
        <v>0</v>
      </c>
      <c r="I5366" s="283">
        <v>0</v>
      </c>
      <c r="J5366" s="284">
        <v>0</v>
      </c>
    </row>
    <row r="5367" spans="3:10" x14ac:dyDescent="0.25">
      <c r="C5367" s="300" t="s">
        <v>1066</v>
      </c>
      <c r="D5367" s="283" t="s">
        <v>1087</v>
      </c>
      <c r="E5367" s="283" t="s">
        <v>1089</v>
      </c>
      <c r="F5367" s="283" t="s">
        <v>524</v>
      </c>
      <c r="G5367" s="283">
        <v>1</v>
      </c>
      <c r="H5367" s="283">
        <v>0</v>
      </c>
      <c r="I5367" s="283">
        <v>0</v>
      </c>
      <c r="J5367" s="284">
        <v>1</v>
      </c>
    </row>
    <row r="5368" spans="3:10" x14ac:dyDescent="0.25">
      <c r="C5368" s="300" t="s">
        <v>1061</v>
      </c>
      <c r="D5368" s="283" t="s">
        <v>1087</v>
      </c>
      <c r="E5368" s="283" t="s">
        <v>1080</v>
      </c>
      <c r="F5368" s="283" t="s">
        <v>524</v>
      </c>
      <c r="G5368" s="283">
        <v>1</v>
      </c>
      <c r="H5368" s="283">
        <v>0</v>
      </c>
      <c r="I5368" s="283">
        <v>0</v>
      </c>
      <c r="J5368" s="284">
        <v>0</v>
      </c>
    </row>
    <row r="5369" spans="3:10" x14ac:dyDescent="0.25">
      <c r="C5369" s="300" t="s">
        <v>1068</v>
      </c>
      <c r="D5369" s="283" t="s">
        <v>1087</v>
      </c>
      <c r="E5369" s="283" t="s">
        <v>1076</v>
      </c>
      <c r="F5369" s="283" t="s">
        <v>524</v>
      </c>
      <c r="G5369" s="283">
        <v>1</v>
      </c>
      <c r="H5369" s="283">
        <v>0</v>
      </c>
      <c r="I5369" s="283">
        <v>0</v>
      </c>
      <c r="J5369" s="284">
        <v>0</v>
      </c>
    </row>
    <row r="5370" spans="3:10" x14ac:dyDescent="0.25">
      <c r="C5370" s="300" t="s">
        <v>1062</v>
      </c>
      <c r="D5370" s="283" t="s">
        <v>1079</v>
      </c>
      <c r="E5370" s="283" t="s">
        <v>1076</v>
      </c>
      <c r="F5370" s="283" t="s">
        <v>1081</v>
      </c>
      <c r="G5370" s="283">
        <v>2</v>
      </c>
      <c r="H5370" s="283">
        <v>0</v>
      </c>
      <c r="I5370" s="283">
        <v>0</v>
      </c>
      <c r="J5370" s="284">
        <v>1</v>
      </c>
    </row>
    <row r="5371" spans="3:10" x14ac:dyDescent="0.25">
      <c r="C5371" s="300" t="s">
        <v>1059</v>
      </c>
      <c r="D5371" s="283" t="s">
        <v>1077</v>
      </c>
      <c r="E5371" s="283" t="s">
        <v>1076</v>
      </c>
      <c r="F5371" s="283" t="s">
        <v>1078</v>
      </c>
      <c r="G5371" s="283">
        <v>2</v>
      </c>
      <c r="H5371" s="283">
        <v>0</v>
      </c>
      <c r="I5371" s="283">
        <v>0</v>
      </c>
      <c r="J5371" s="284">
        <v>0</v>
      </c>
    </row>
    <row r="5372" spans="3:10" x14ac:dyDescent="0.25">
      <c r="C5372" s="300" t="s">
        <v>1066</v>
      </c>
      <c r="D5372" s="283" t="s">
        <v>1087</v>
      </c>
      <c r="E5372" s="283" t="s">
        <v>1075</v>
      </c>
      <c r="F5372" s="283" t="s">
        <v>524</v>
      </c>
      <c r="G5372" s="283">
        <v>1</v>
      </c>
      <c r="H5372" s="283">
        <v>0</v>
      </c>
      <c r="I5372" s="283">
        <v>0</v>
      </c>
      <c r="J5372" s="284">
        <v>0</v>
      </c>
    </row>
    <row r="5373" spans="3:10" x14ac:dyDescent="0.25">
      <c r="C5373" s="300" t="s">
        <v>1065</v>
      </c>
      <c r="D5373" s="283" t="s">
        <v>1079</v>
      </c>
      <c r="E5373" s="283" t="s">
        <v>1044</v>
      </c>
      <c r="F5373" s="283" t="s">
        <v>1075</v>
      </c>
      <c r="G5373" s="283">
        <v>2</v>
      </c>
      <c r="H5373" s="283">
        <v>1</v>
      </c>
      <c r="I5373" s="283">
        <v>0</v>
      </c>
      <c r="J5373" s="284">
        <v>1</v>
      </c>
    </row>
    <row r="5374" spans="3:10" x14ac:dyDescent="0.25">
      <c r="C5374" s="300" t="s">
        <v>1057</v>
      </c>
      <c r="D5374" s="283" t="s">
        <v>1043</v>
      </c>
      <c r="E5374" s="283" t="s">
        <v>1080</v>
      </c>
      <c r="F5374" s="283" t="s">
        <v>1092</v>
      </c>
      <c r="G5374" s="283">
        <v>2</v>
      </c>
      <c r="H5374" s="283">
        <v>1</v>
      </c>
      <c r="I5374" s="283">
        <v>0</v>
      </c>
      <c r="J5374" s="284">
        <v>1</v>
      </c>
    </row>
    <row r="5375" spans="3:10" x14ac:dyDescent="0.25">
      <c r="C5375" s="300" t="s">
        <v>1067</v>
      </c>
      <c r="D5375" s="283" t="s">
        <v>1043</v>
      </c>
      <c r="E5375" s="283" t="s">
        <v>1076</v>
      </c>
      <c r="F5375" s="283" t="s">
        <v>1092</v>
      </c>
      <c r="G5375" s="283">
        <v>2</v>
      </c>
      <c r="H5375" s="283">
        <v>1</v>
      </c>
      <c r="I5375" s="283">
        <v>0</v>
      </c>
      <c r="J5375" s="284">
        <v>1</v>
      </c>
    </row>
    <row r="5376" spans="3:10" x14ac:dyDescent="0.25">
      <c r="C5376" s="300" t="s">
        <v>1061</v>
      </c>
      <c r="D5376" s="283" t="s">
        <v>1043</v>
      </c>
      <c r="E5376" s="283" t="s">
        <v>1075</v>
      </c>
      <c r="F5376" s="283" t="s">
        <v>1092</v>
      </c>
      <c r="G5376" s="283">
        <v>2</v>
      </c>
      <c r="H5376" s="283">
        <v>0</v>
      </c>
      <c r="I5376" s="283">
        <v>1</v>
      </c>
      <c r="J5376" s="284">
        <v>0</v>
      </c>
    </row>
    <row r="5377" spans="3:10" x14ac:dyDescent="0.25">
      <c r="C5377" s="300" t="s">
        <v>1060</v>
      </c>
      <c r="D5377" s="283" t="s">
        <v>1079</v>
      </c>
      <c r="E5377" s="283" t="s">
        <v>1044</v>
      </c>
      <c r="F5377" s="283" t="s">
        <v>1075</v>
      </c>
      <c r="G5377" s="283">
        <v>2</v>
      </c>
      <c r="H5377" s="283">
        <v>0</v>
      </c>
      <c r="I5377" s="283">
        <v>1</v>
      </c>
      <c r="J5377" s="284">
        <v>0</v>
      </c>
    </row>
    <row r="5378" spans="3:10" x14ac:dyDescent="0.25">
      <c r="C5378" s="300" t="s">
        <v>1066</v>
      </c>
      <c r="D5378" s="283" t="s">
        <v>1079</v>
      </c>
      <c r="E5378" s="283" t="s">
        <v>1078</v>
      </c>
      <c r="F5378" s="283" t="s">
        <v>1083</v>
      </c>
      <c r="G5378" s="283">
        <v>2</v>
      </c>
      <c r="H5378" s="283">
        <v>0</v>
      </c>
      <c r="I5378" s="283">
        <v>1</v>
      </c>
      <c r="J5378" s="284">
        <v>0</v>
      </c>
    </row>
    <row r="5379" spans="3:10" x14ac:dyDescent="0.25">
      <c r="C5379" s="300" t="s">
        <v>1065</v>
      </c>
      <c r="D5379" s="283" t="s">
        <v>1079</v>
      </c>
      <c r="E5379" s="283" t="s">
        <v>1075</v>
      </c>
      <c r="F5379" s="283" t="s">
        <v>1089</v>
      </c>
      <c r="G5379" s="283">
        <v>4</v>
      </c>
      <c r="H5379" s="283">
        <v>0</v>
      </c>
      <c r="I5379" s="283">
        <v>0</v>
      </c>
      <c r="J5379" s="284">
        <v>0</v>
      </c>
    </row>
    <row r="5380" spans="3:10" x14ac:dyDescent="0.25">
      <c r="C5380" s="300" t="s">
        <v>1064</v>
      </c>
      <c r="D5380" s="283" t="s">
        <v>1079</v>
      </c>
      <c r="E5380" s="283" t="s">
        <v>1078</v>
      </c>
      <c r="F5380" s="283" t="s">
        <v>1078</v>
      </c>
      <c r="G5380" s="283">
        <v>2</v>
      </c>
      <c r="H5380" s="283">
        <v>0</v>
      </c>
      <c r="I5380" s="283">
        <v>0</v>
      </c>
      <c r="J5380" s="284">
        <v>0</v>
      </c>
    </row>
    <row r="5381" spans="3:10" x14ac:dyDescent="0.25">
      <c r="C5381" s="300" t="s">
        <v>1061</v>
      </c>
      <c r="D5381" s="283" t="s">
        <v>1077</v>
      </c>
      <c r="E5381" s="283" t="s">
        <v>1089</v>
      </c>
      <c r="F5381" s="283" t="s">
        <v>1076</v>
      </c>
      <c r="G5381" s="283">
        <v>2</v>
      </c>
      <c r="H5381" s="283">
        <v>0</v>
      </c>
      <c r="I5381" s="283">
        <v>0</v>
      </c>
      <c r="J5381" s="284">
        <v>0</v>
      </c>
    </row>
    <row r="5382" spans="3:10" x14ac:dyDescent="0.25">
      <c r="C5382" s="300" t="s">
        <v>1066</v>
      </c>
      <c r="D5382" s="283" t="s">
        <v>1079</v>
      </c>
      <c r="E5382" s="283" t="s">
        <v>1075</v>
      </c>
      <c r="F5382" s="283" t="s">
        <v>1075</v>
      </c>
      <c r="G5382" s="283">
        <v>2</v>
      </c>
      <c r="H5382" s="283">
        <v>0</v>
      </c>
      <c r="I5382" s="283">
        <v>0</v>
      </c>
      <c r="J5382" s="284">
        <v>1</v>
      </c>
    </row>
    <row r="5383" spans="3:10" x14ac:dyDescent="0.25">
      <c r="C5383" s="300" t="s">
        <v>1065</v>
      </c>
      <c r="D5383" s="283" t="s">
        <v>1079</v>
      </c>
      <c r="E5383" s="283" t="s">
        <v>1075</v>
      </c>
      <c r="F5383" s="283" t="s">
        <v>1075</v>
      </c>
      <c r="G5383" s="283">
        <v>2</v>
      </c>
      <c r="H5383" s="283">
        <v>0</v>
      </c>
      <c r="I5383" s="283">
        <v>0</v>
      </c>
      <c r="J5383" s="284">
        <v>1</v>
      </c>
    </row>
    <row r="5384" spans="3:10" x14ac:dyDescent="0.25">
      <c r="C5384" s="300" t="s">
        <v>1068</v>
      </c>
      <c r="D5384" s="283" t="s">
        <v>1090</v>
      </c>
      <c r="E5384" s="283" t="s">
        <v>1083</v>
      </c>
      <c r="F5384" s="283" t="s">
        <v>524</v>
      </c>
      <c r="G5384" s="283">
        <v>1</v>
      </c>
      <c r="H5384" s="283">
        <v>0</v>
      </c>
      <c r="I5384" s="283">
        <v>1</v>
      </c>
      <c r="J5384" s="284">
        <v>0</v>
      </c>
    </row>
    <row r="5385" spans="3:10" x14ac:dyDescent="0.25">
      <c r="C5385" s="300" t="s">
        <v>1068</v>
      </c>
      <c r="D5385" s="283" t="s">
        <v>1079</v>
      </c>
      <c r="E5385" s="283" t="s">
        <v>1075</v>
      </c>
      <c r="F5385" s="283" t="s">
        <v>1089</v>
      </c>
      <c r="G5385" s="283">
        <v>2</v>
      </c>
      <c r="H5385" s="283">
        <v>0</v>
      </c>
      <c r="I5385" s="283">
        <v>0</v>
      </c>
      <c r="J5385" s="284">
        <v>0</v>
      </c>
    </row>
    <row r="5386" spans="3:10" x14ac:dyDescent="0.25">
      <c r="C5386" s="300" t="s">
        <v>1066</v>
      </c>
      <c r="D5386" s="283" t="s">
        <v>1082</v>
      </c>
      <c r="E5386" s="283" t="s">
        <v>1083</v>
      </c>
      <c r="F5386" s="283" t="s">
        <v>1075</v>
      </c>
      <c r="G5386" s="283">
        <v>3</v>
      </c>
      <c r="H5386" s="283">
        <v>0</v>
      </c>
      <c r="I5386" s="283">
        <v>1</v>
      </c>
      <c r="J5386" s="284">
        <v>0</v>
      </c>
    </row>
    <row r="5387" spans="3:10" x14ac:dyDescent="0.25">
      <c r="C5387" s="300" t="s">
        <v>1064</v>
      </c>
      <c r="D5387" s="283" t="s">
        <v>1090</v>
      </c>
      <c r="E5387" s="283" t="s">
        <v>1075</v>
      </c>
      <c r="F5387" s="283" t="s">
        <v>524</v>
      </c>
      <c r="G5387" s="283">
        <v>1</v>
      </c>
      <c r="H5387" s="283">
        <v>0</v>
      </c>
      <c r="I5387" s="283">
        <v>0</v>
      </c>
      <c r="J5387" s="284">
        <v>1</v>
      </c>
    </row>
    <row r="5388" spans="3:10" x14ac:dyDescent="0.25">
      <c r="C5388" s="300" t="s">
        <v>1068</v>
      </c>
      <c r="D5388" s="283" t="s">
        <v>1079</v>
      </c>
      <c r="E5388" s="283" t="s">
        <v>1083</v>
      </c>
      <c r="F5388" s="283" t="s">
        <v>1075</v>
      </c>
      <c r="G5388" s="283">
        <v>2</v>
      </c>
      <c r="H5388" s="283">
        <v>0</v>
      </c>
      <c r="I5388" s="283">
        <v>0</v>
      </c>
      <c r="J5388" s="284">
        <v>1</v>
      </c>
    </row>
    <row r="5389" spans="3:10" x14ac:dyDescent="0.25">
      <c r="C5389" s="300" t="s">
        <v>1062</v>
      </c>
      <c r="D5389" s="283" t="s">
        <v>1079</v>
      </c>
      <c r="E5389" s="283" t="s">
        <v>1091</v>
      </c>
      <c r="F5389" s="283" t="s">
        <v>1089</v>
      </c>
      <c r="G5389" s="283">
        <v>2</v>
      </c>
      <c r="H5389" s="283">
        <v>0</v>
      </c>
      <c r="I5389" s="283">
        <v>0</v>
      </c>
      <c r="J5389" s="284">
        <v>0</v>
      </c>
    </row>
    <row r="5390" spans="3:10" x14ac:dyDescent="0.25">
      <c r="C5390" s="300" t="s">
        <v>1067</v>
      </c>
      <c r="D5390" s="283" t="s">
        <v>1077</v>
      </c>
      <c r="E5390" s="283" t="s">
        <v>1086</v>
      </c>
      <c r="F5390" s="283" t="s">
        <v>1083</v>
      </c>
      <c r="G5390" s="283">
        <v>2</v>
      </c>
      <c r="H5390" s="283">
        <v>0</v>
      </c>
      <c r="I5390" s="283">
        <v>1</v>
      </c>
      <c r="J5390" s="284">
        <v>0</v>
      </c>
    </row>
    <row r="5391" spans="3:10" x14ac:dyDescent="0.25">
      <c r="C5391" s="300" t="s">
        <v>1061</v>
      </c>
      <c r="D5391" s="283" t="s">
        <v>1077</v>
      </c>
      <c r="E5391" s="283" t="s">
        <v>1075</v>
      </c>
      <c r="F5391" s="283" t="s">
        <v>1086</v>
      </c>
      <c r="G5391" s="283">
        <v>3</v>
      </c>
      <c r="H5391" s="283">
        <v>0</v>
      </c>
      <c r="I5391" s="283">
        <v>0</v>
      </c>
      <c r="J5391" s="284">
        <v>1</v>
      </c>
    </row>
    <row r="5392" spans="3:10" x14ac:dyDescent="0.25">
      <c r="C5392" s="300" t="s">
        <v>1068</v>
      </c>
      <c r="D5392" s="283" t="s">
        <v>1043</v>
      </c>
      <c r="E5392" s="283" t="s">
        <v>1075</v>
      </c>
      <c r="F5392" s="283" t="s">
        <v>1092</v>
      </c>
      <c r="G5392" s="283">
        <v>2</v>
      </c>
      <c r="H5392" s="283">
        <v>0</v>
      </c>
      <c r="I5392" s="283">
        <v>0</v>
      </c>
      <c r="J5392" s="284">
        <v>1</v>
      </c>
    </row>
    <row r="5393" spans="3:10" x14ac:dyDescent="0.25">
      <c r="C5393" s="300" t="s">
        <v>1062</v>
      </c>
      <c r="D5393" s="283" t="s">
        <v>1090</v>
      </c>
      <c r="E5393" s="283" t="s">
        <v>1093</v>
      </c>
      <c r="F5393" s="283" t="s">
        <v>524</v>
      </c>
      <c r="G5393" s="283">
        <v>1</v>
      </c>
      <c r="H5393" s="283">
        <v>0</v>
      </c>
      <c r="I5393" s="283">
        <v>1</v>
      </c>
      <c r="J5393" s="284">
        <v>0</v>
      </c>
    </row>
    <row r="5394" spans="3:10" x14ac:dyDescent="0.25">
      <c r="C5394" s="300" t="s">
        <v>1067</v>
      </c>
      <c r="D5394" s="283" t="s">
        <v>1079</v>
      </c>
      <c r="E5394" s="283" t="s">
        <v>1075</v>
      </c>
      <c r="F5394" s="283" t="s">
        <v>1075</v>
      </c>
      <c r="G5394" s="283">
        <v>2</v>
      </c>
      <c r="H5394" s="283">
        <v>0</v>
      </c>
      <c r="I5394" s="283">
        <v>0</v>
      </c>
      <c r="J5394" s="284">
        <v>0</v>
      </c>
    </row>
    <row r="5395" spans="3:10" x14ac:dyDescent="0.25">
      <c r="C5395" s="300" t="s">
        <v>1064</v>
      </c>
      <c r="D5395" s="283" t="s">
        <v>1043</v>
      </c>
      <c r="E5395" s="283" t="s">
        <v>1075</v>
      </c>
      <c r="F5395" s="283" t="s">
        <v>1092</v>
      </c>
      <c r="G5395" s="283">
        <v>2</v>
      </c>
      <c r="H5395" s="283">
        <v>0</v>
      </c>
      <c r="I5395" s="283">
        <v>0</v>
      </c>
      <c r="J5395" s="284">
        <v>1</v>
      </c>
    </row>
    <row r="5396" spans="3:10" x14ac:dyDescent="0.25">
      <c r="C5396" s="300" t="s">
        <v>1066</v>
      </c>
      <c r="D5396" s="283" t="s">
        <v>1074</v>
      </c>
      <c r="E5396" s="283" t="s">
        <v>1093</v>
      </c>
      <c r="F5396" s="283" t="s">
        <v>1075</v>
      </c>
      <c r="G5396" s="283">
        <v>2</v>
      </c>
      <c r="H5396" s="283">
        <v>0</v>
      </c>
      <c r="I5396" s="283">
        <v>0</v>
      </c>
      <c r="J5396" s="284">
        <v>0</v>
      </c>
    </row>
    <row r="5397" spans="3:10" x14ac:dyDescent="0.25">
      <c r="C5397" s="300" t="s">
        <v>1067</v>
      </c>
      <c r="D5397" s="283" t="s">
        <v>1087</v>
      </c>
      <c r="E5397" s="283" t="s">
        <v>1075</v>
      </c>
      <c r="F5397" s="283" t="s">
        <v>524</v>
      </c>
      <c r="G5397" s="283">
        <v>1</v>
      </c>
      <c r="H5397" s="283">
        <v>0</v>
      </c>
      <c r="I5397" s="283">
        <v>0</v>
      </c>
      <c r="J5397" s="284">
        <v>1</v>
      </c>
    </row>
    <row r="5398" spans="3:10" x14ac:dyDescent="0.25">
      <c r="C5398" s="300" t="s">
        <v>1060</v>
      </c>
      <c r="D5398" s="283" t="s">
        <v>1087</v>
      </c>
      <c r="E5398" s="283" t="s">
        <v>1093</v>
      </c>
      <c r="F5398" s="283" t="s">
        <v>524</v>
      </c>
      <c r="G5398" s="283">
        <v>1</v>
      </c>
      <c r="H5398" s="283">
        <v>0</v>
      </c>
      <c r="I5398" s="283">
        <v>1</v>
      </c>
      <c r="J5398" s="284">
        <v>0</v>
      </c>
    </row>
    <row r="5399" spans="3:10" x14ac:dyDescent="0.25">
      <c r="C5399" s="300" t="s">
        <v>1067</v>
      </c>
      <c r="D5399" s="283" t="s">
        <v>1079</v>
      </c>
      <c r="E5399" s="283" t="s">
        <v>1075</v>
      </c>
      <c r="F5399" s="283" t="s">
        <v>1075</v>
      </c>
      <c r="G5399" s="283">
        <v>2</v>
      </c>
      <c r="H5399" s="283">
        <v>0</v>
      </c>
      <c r="I5399" s="283">
        <v>0</v>
      </c>
      <c r="J5399" s="284">
        <v>1</v>
      </c>
    </row>
    <row r="5400" spans="3:10" x14ac:dyDescent="0.25">
      <c r="C5400" s="300" t="s">
        <v>1068</v>
      </c>
      <c r="D5400" s="283" t="s">
        <v>1077</v>
      </c>
      <c r="E5400" s="283" t="s">
        <v>1075</v>
      </c>
      <c r="F5400" s="283" t="s">
        <v>1075</v>
      </c>
      <c r="G5400" s="283">
        <v>2</v>
      </c>
      <c r="H5400" s="283">
        <v>0</v>
      </c>
      <c r="I5400" s="283">
        <v>0</v>
      </c>
      <c r="J5400" s="284">
        <v>0</v>
      </c>
    </row>
    <row r="5401" spans="3:10" x14ac:dyDescent="0.25">
      <c r="C5401" s="300" t="s">
        <v>1061</v>
      </c>
      <c r="D5401" s="283" t="s">
        <v>1087</v>
      </c>
      <c r="E5401" s="283" t="s">
        <v>1075</v>
      </c>
      <c r="F5401" s="283" t="s">
        <v>524</v>
      </c>
      <c r="G5401" s="283">
        <v>1</v>
      </c>
      <c r="H5401" s="283">
        <v>0</v>
      </c>
      <c r="I5401" s="283">
        <v>0</v>
      </c>
      <c r="J5401" s="284">
        <v>0</v>
      </c>
    </row>
    <row r="5402" spans="3:10" x14ac:dyDescent="0.25">
      <c r="C5402" s="300" t="s">
        <v>1063</v>
      </c>
      <c r="D5402" s="283" t="s">
        <v>1074</v>
      </c>
      <c r="E5402" s="283" t="s">
        <v>1084</v>
      </c>
      <c r="F5402" s="283" t="s">
        <v>1089</v>
      </c>
      <c r="G5402" s="283">
        <v>2</v>
      </c>
      <c r="H5402" s="283">
        <v>0</v>
      </c>
      <c r="I5402" s="283">
        <v>0</v>
      </c>
      <c r="J5402" s="284">
        <v>0</v>
      </c>
    </row>
    <row r="5403" spans="3:10" x14ac:dyDescent="0.25">
      <c r="C5403" s="300" t="s">
        <v>1065</v>
      </c>
      <c r="D5403" s="283" t="s">
        <v>1077</v>
      </c>
      <c r="E5403" s="283" t="s">
        <v>1075</v>
      </c>
      <c r="F5403" s="283" t="s">
        <v>1089</v>
      </c>
      <c r="G5403" s="283">
        <v>2</v>
      </c>
      <c r="H5403" s="283">
        <v>0</v>
      </c>
      <c r="I5403" s="283">
        <v>0</v>
      </c>
      <c r="J5403" s="284">
        <v>0</v>
      </c>
    </row>
    <row r="5404" spans="3:10" x14ac:dyDescent="0.25">
      <c r="C5404" s="300" t="s">
        <v>1062</v>
      </c>
      <c r="D5404" s="283" t="s">
        <v>1087</v>
      </c>
      <c r="E5404" s="283" t="s">
        <v>1089</v>
      </c>
      <c r="F5404" s="283" t="s">
        <v>524</v>
      </c>
      <c r="G5404" s="283">
        <v>1</v>
      </c>
      <c r="H5404" s="283">
        <v>0</v>
      </c>
      <c r="I5404" s="283">
        <v>0</v>
      </c>
      <c r="J5404" s="284">
        <v>1</v>
      </c>
    </row>
    <row r="5405" spans="3:10" x14ac:dyDescent="0.25">
      <c r="C5405" s="300" t="s">
        <v>1063</v>
      </c>
      <c r="D5405" s="283" t="s">
        <v>1043</v>
      </c>
      <c r="E5405" s="283" t="s">
        <v>1084</v>
      </c>
      <c r="F5405" s="283" t="s">
        <v>1092</v>
      </c>
      <c r="G5405" s="283">
        <v>2</v>
      </c>
      <c r="H5405" s="283">
        <v>0</v>
      </c>
      <c r="I5405" s="283">
        <v>0</v>
      </c>
      <c r="J5405" s="284">
        <v>0</v>
      </c>
    </row>
    <row r="5406" spans="3:10" x14ac:dyDescent="0.25">
      <c r="C5406" s="300" t="s">
        <v>1061</v>
      </c>
      <c r="D5406" s="283" t="s">
        <v>1077</v>
      </c>
      <c r="E5406" s="283" t="s">
        <v>1081</v>
      </c>
      <c r="F5406" s="283" t="s">
        <v>1089</v>
      </c>
      <c r="G5406" s="283">
        <v>2</v>
      </c>
      <c r="H5406" s="283">
        <v>0</v>
      </c>
      <c r="I5406" s="283">
        <v>2</v>
      </c>
      <c r="J5406" s="284">
        <v>0</v>
      </c>
    </row>
    <row r="5407" spans="3:10" x14ac:dyDescent="0.25">
      <c r="C5407" s="300" t="s">
        <v>1063</v>
      </c>
      <c r="D5407" s="283" t="s">
        <v>1077</v>
      </c>
      <c r="E5407" s="283" t="s">
        <v>1076</v>
      </c>
      <c r="F5407" s="283" t="s">
        <v>1075</v>
      </c>
      <c r="G5407" s="283">
        <v>3</v>
      </c>
      <c r="H5407" s="283">
        <v>0</v>
      </c>
      <c r="I5407" s="283">
        <v>0</v>
      </c>
      <c r="J5407" s="284">
        <v>1</v>
      </c>
    </row>
    <row r="5408" spans="3:10" x14ac:dyDescent="0.25">
      <c r="C5408" s="300" t="s">
        <v>1063</v>
      </c>
      <c r="D5408" s="283" t="s">
        <v>1079</v>
      </c>
      <c r="E5408" s="283" t="s">
        <v>1086</v>
      </c>
      <c r="F5408" s="283" t="s">
        <v>1089</v>
      </c>
      <c r="G5408" s="283">
        <v>2</v>
      </c>
      <c r="H5408" s="283">
        <v>0</v>
      </c>
      <c r="I5408" s="283">
        <v>0</v>
      </c>
      <c r="J5408" s="284">
        <v>0</v>
      </c>
    </row>
    <row r="5409" spans="3:10" x14ac:dyDescent="0.25">
      <c r="C5409" s="300" t="s">
        <v>1066</v>
      </c>
      <c r="D5409" s="283" t="s">
        <v>1074</v>
      </c>
      <c r="E5409" s="283" t="s">
        <v>1084</v>
      </c>
      <c r="F5409" s="283" t="s">
        <v>1075</v>
      </c>
      <c r="G5409" s="283">
        <v>2</v>
      </c>
      <c r="H5409" s="283">
        <v>0</v>
      </c>
      <c r="I5409" s="283">
        <v>0</v>
      </c>
      <c r="J5409" s="284">
        <v>0</v>
      </c>
    </row>
    <row r="5410" spans="3:10" x14ac:dyDescent="0.25">
      <c r="C5410" s="300" t="s">
        <v>1067</v>
      </c>
      <c r="D5410" s="283" t="s">
        <v>1079</v>
      </c>
      <c r="E5410" s="283" t="s">
        <v>1089</v>
      </c>
      <c r="F5410" s="283" t="s">
        <v>1076</v>
      </c>
      <c r="G5410" s="283">
        <v>2</v>
      </c>
      <c r="H5410" s="283">
        <v>0</v>
      </c>
      <c r="I5410" s="283">
        <v>0</v>
      </c>
      <c r="J5410" s="284">
        <v>0</v>
      </c>
    </row>
    <row r="5411" spans="3:10" x14ac:dyDescent="0.25">
      <c r="C5411" s="300" t="s">
        <v>1067</v>
      </c>
      <c r="D5411" s="283" t="s">
        <v>1043</v>
      </c>
      <c r="E5411" s="283" t="s">
        <v>1075</v>
      </c>
      <c r="F5411" s="283" t="s">
        <v>1092</v>
      </c>
      <c r="G5411" s="283">
        <v>2</v>
      </c>
      <c r="H5411" s="283">
        <v>0</v>
      </c>
      <c r="I5411" s="283">
        <v>0</v>
      </c>
      <c r="J5411" s="284">
        <v>1</v>
      </c>
    </row>
    <row r="5412" spans="3:10" x14ac:dyDescent="0.25">
      <c r="C5412" s="300" t="s">
        <v>1066</v>
      </c>
      <c r="D5412" s="283" t="s">
        <v>1077</v>
      </c>
      <c r="E5412" s="283" t="s">
        <v>1075</v>
      </c>
      <c r="F5412" s="283" t="s">
        <v>1075</v>
      </c>
      <c r="G5412" s="283">
        <v>2</v>
      </c>
      <c r="H5412" s="283">
        <v>0</v>
      </c>
      <c r="I5412" s="283">
        <v>0</v>
      </c>
      <c r="J5412" s="284">
        <v>0</v>
      </c>
    </row>
    <row r="5413" spans="3:10" x14ac:dyDescent="0.25">
      <c r="C5413" s="300" t="s">
        <v>1062</v>
      </c>
      <c r="D5413" s="283" t="s">
        <v>1074</v>
      </c>
      <c r="E5413" s="283" t="s">
        <v>1089</v>
      </c>
      <c r="F5413" s="283" t="s">
        <v>1089</v>
      </c>
      <c r="G5413" s="283">
        <v>2</v>
      </c>
      <c r="H5413" s="283">
        <v>0</v>
      </c>
      <c r="I5413" s="283">
        <v>0</v>
      </c>
      <c r="J5413" s="284">
        <v>0</v>
      </c>
    </row>
    <row r="5414" spans="3:10" x14ac:dyDescent="0.25">
      <c r="C5414" s="300" t="s">
        <v>1060</v>
      </c>
      <c r="D5414" s="283" t="s">
        <v>1074</v>
      </c>
      <c r="E5414" s="283" t="s">
        <v>1089</v>
      </c>
      <c r="F5414" s="283" t="s">
        <v>1044</v>
      </c>
      <c r="G5414" s="283">
        <v>2</v>
      </c>
      <c r="H5414" s="283">
        <v>0</v>
      </c>
      <c r="I5414" s="283">
        <v>0</v>
      </c>
      <c r="J5414" s="284">
        <v>0</v>
      </c>
    </row>
    <row r="5415" spans="3:10" x14ac:dyDescent="0.25">
      <c r="C5415" s="300" t="s">
        <v>1066</v>
      </c>
      <c r="D5415" s="283" t="s">
        <v>1074</v>
      </c>
      <c r="E5415" s="283" t="s">
        <v>1075</v>
      </c>
      <c r="F5415" s="283" t="s">
        <v>1081</v>
      </c>
      <c r="G5415" s="283">
        <v>2</v>
      </c>
      <c r="H5415" s="283">
        <v>0</v>
      </c>
      <c r="I5415" s="283">
        <v>0</v>
      </c>
      <c r="J5415" s="284">
        <v>0</v>
      </c>
    </row>
    <row r="5416" spans="3:10" x14ac:dyDescent="0.25">
      <c r="C5416" s="300" t="s">
        <v>1060</v>
      </c>
      <c r="D5416" s="283" t="s">
        <v>1087</v>
      </c>
      <c r="E5416" s="283" t="s">
        <v>1075</v>
      </c>
      <c r="F5416" s="283" t="s">
        <v>524</v>
      </c>
      <c r="G5416" s="283">
        <v>1</v>
      </c>
      <c r="H5416" s="283">
        <v>0</v>
      </c>
      <c r="I5416" s="283">
        <v>0</v>
      </c>
      <c r="J5416" s="284">
        <v>0</v>
      </c>
    </row>
    <row r="5417" spans="3:10" x14ac:dyDescent="0.25">
      <c r="C5417" s="300" t="s">
        <v>1062</v>
      </c>
      <c r="D5417" s="283" t="s">
        <v>1079</v>
      </c>
      <c r="E5417" s="283" t="s">
        <v>1089</v>
      </c>
      <c r="F5417" s="283" t="s">
        <v>1075</v>
      </c>
      <c r="G5417" s="283">
        <v>2</v>
      </c>
      <c r="H5417" s="283">
        <v>0</v>
      </c>
      <c r="I5417" s="283">
        <v>0</v>
      </c>
      <c r="J5417" s="284">
        <v>0</v>
      </c>
    </row>
    <row r="5418" spans="3:10" x14ac:dyDescent="0.25">
      <c r="C5418" s="300" t="s">
        <v>1057</v>
      </c>
      <c r="D5418" s="283" t="s">
        <v>1082</v>
      </c>
      <c r="E5418" s="283" t="s">
        <v>1075</v>
      </c>
      <c r="F5418" s="283" t="s">
        <v>1075</v>
      </c>
      <c r="G5418" s="283">
        <v>2</v>
      </c>
      <c r="H5418" s="283">
        <v>0</v>
      </c>
      <c r="I5418" s="283">
        <v>0</v>
      </c>
      <c r="J5418" s="284">
        <v>0</v>
      </c>
    </row>
    <row r="5419" spans="3:10" x14ac:dyDescent="0.25">
      <c r="C5419" s="300" t="s">
        <v>1062</v>
      </c>
      <c r="D5419" s="283" t="s">
        <v>1087</v>
      </c>
      <c r="E5419" s="283" t="s">
        <v>1078</v>
      </c>
      <c r="F5419" s="283" t="s">
        <v>524</v>
      </c>
      <c r="G5419" s="283">
        <v>1</v>
      </c>
      <c r="H5419" s="283">
        <v>0</v>
      </c>
      <c r="I5419" s="283">
        <v>0</v>
      </c>
      <c r="J5419" s="284">
        <v>0</v>
      </c>
    </row>
    <row r="5420" spans="3:10" x14ac:dyDescent="0.25">
      <c r="C5420" s="300" t="s">
        <v>1059</v>
      </c>
      <c r="D5420" s="283" t="s">
        <v>1074</v>
      </c>
      <c r="E5420" s="283" t="s">
        <v>1075</v>
      </c>
      <c r="F5420" s="283" t="s">
        <v>1075</v>
      </c>
      <c r="G5420" s="283">
        <v>2</v>
      </c>
      <c r="H5420" s="283">
        <v>0</v>
      </c>
      <c r="I5420" s="283">
        <v>0</v>
      </c>
      <c r="J5420" s="284">
        <v>0</v>
      </c>
    </row>
    <row r="5421" spans="3:10" x14ac:dyDescent="0.25">
      <c r="C5421" s="300" t="s">
        <v>1065</v>
      </c>
      <c r="D5421" s="283" t="s">
        <v>1079</v>
      </c>
      <c r="E5421" s="283" t="s">
        <v>1075</v>
      </c>
      <c r="F5421" s="283" t="s">
        <v>1089</v>
      </c>
      <c r="G5421" s="283">
        <v>2</v>
      </c>
      <c r="H5421" s="283">
        <v>0</v>
      </c>
      <c r="I5421" s="283">
        <v>0</v>
      </c>
      <c r="J5421" s="284">
        <v>0</v>
      </c>
    </row>
    <row r="5422" spans="3:10" x14ac:dyDescent="0.25">
      <c r="C5422" s="300" t="s">
        <v>1060</v>
      </c>
      <c r="D5422" s="283" t="s">
        <v>1079</v>
      </c>
      <c r="E5422" s="283" t="s">
        <v>1076</v>
      </c>
      <c r="F5422" s="283" t="s">
        <v>1076</v>
      </c>
      <c r="G5422" s="283">
        <v>2</v>
      </c>
      <c r="H5422" s="283">
        <v>0</v>
      </c>
      <c r="I5422" s="283">
        <v>0</v>
      </c>
      <c r="J5422" s="284">
        <v>0</v>
      </c>
    </row>
    <row r="5423" spans="3:10" x14ac:dyDescent="0.25">
      <c r="C5423" s="300" t="s">
        <v>1061</v>
      </c>
      <c r="D5423" s="283" t="s">
        <v>1077</v>
      </c>
      <c r="E5423" s="283" t="s">
        <v>1075</v>
      </c>
      <c r="F5423" s="283" t="s">
        <v>1075</v>
      </c>
      <c r="G5423" s="283">
        <v>2</v>
      </c>
      <c r="H5423" s="283">
        <v>0</v>
      </c>
      <c r="I5423" s="283">
        <v>0</v>
      </c>
      <c r="J5423" s="284">
        <v>0</v>
      </c>
    </row>
    <row r="5424" spans="3:10" x14ac:dyDescent="0.25">
      <c r="C5424" s="300" t="s">
        <v>1060</v>
      </c>
      <c r="D5424" s="283" t="s">
        <v>1074</v>
      </c>
      <c r="E5424" s="283" t="s">
        <v>1075</v>
      </c>
      <c r="F5424" s="283" t="s">
        <v>1076</v>
      </c>
      <c r="G5424" s="283">
        <v>2</v>
      </c>
      <c r="H5424" s="283">
        <v>0</v>
      </c>
      <c r="I5424" s="283">
        <v>0</v>
      </c>
      <c r="J5424" s="284">
        <v>1</v>
      </c>
    </row>
    <row r="5425" spans="3:10" x14ac:dyDescent="0.25">
      <c r="C5425" s="300" t="s">
        <v>1066</v>
      </c>
      <c r="D5425" s="283" t="s">
        <v>1079</v>
      </c>
      <c r="E5425" s="283" t="s">
        <v>1075</v>
      </c>
      <c r="F5425" s="283" t="s">
        <v>1075</v>
      </c>
      <c r="G5425" s="283">
        <v>4</v>
      </c>
      <c r="H5425" s="283">
        <v>0</v>
      </c>
      <c r="I5425" s="283">
        <v>0</v>
      </c>
      <c r="J5425" s="284">
        <v>0</v>
      </c>
    </row>
    <row r="5426" spans="3:10" x14ac:dyDescent="0.25">
      <c r="C5426" s="300" t="s">
        <v>1063</v>
      </c>
      <c r="D5426" s="283" t="s">
        <v>1079</v>
      </c>
      <c r="E5426" s="283" t="s">
        <v>1075</v>
      </c>
      <c r="F5426" s="283" t="s">
        <v>524</v>
      </c>
      <c r="G5426" s="283">
        <v>1</v>
      </c>
      <c r="H5426" s="283">
        <v>0</v>
      </c>
      <c r="I5426" s="283">
        <v>0</v>
      </c>
      <c r="J5426" s="284">
        <v>0</v>
      </c>
    </row>
    <row r="5427" spans="3:10" x14ac:dyDescent="0.25">
      <c r="C5427" s="300" t="s">
        <v>1057</v>
      </c>
      <c r="D5427" s="283" t="s">
        <v>1087</v>
      </c>
      <c r="E5427" s="283" t="s">
        <v>1089</v>
      </c>
      <c r="F5427" s="283" t="s">
        <v>524</v>
      </c>
      <c r="G5427" s="283">
        <v>1</v>
      </c>
      <c r="H5427" s="283">
        <v>0</v>
      </c>
      <c r="I5427" s="283">
        <v>0</v>
      </c>
      <c r="J5427" s="284">
        <v>0</v>
      </c>
    </row>
    <row r="5428" spans="3:10" x14ac:dyDescent="0.25">
      <c r="C5428" s="300" t="s">
        <v>1064</v>
      </c>
      <c r="D5428" s="283" t="s">
        <v>1079</v>
      </c>
      <c r="E5428" s="283" t="s">
        <v>1075</v>
      </c>
      <c r="F5428" s="283" t="s">
        <v>1075</v>
      </c>
      <c r="G5428" s="283">
        <v>2</v>
      </c>
      <c r="H5428" s="283">
        <v>0</v>
      </c>
      <c r="I5428" s="283">
        <v>0</v>
      </c>
      <c r="J5428" s="284">
        <v>0</v>
      </c>
    </row>
    <row r="5429" spans="3:10" x14ac:dyDescent="0.25">
      <c r="C5429" s="300" t="s">
        <v>1066</v>
      </c>
      <c r="D5429" s="283" t="s">
        <v>1079</v>
      </c>
      <c r="E5429" s="283" t="s">
        <v>1089</v>
      </c>
      <c r="F5429" s="283" t="s">
        <v>1076</v>
      </c>
      <c r="G5429" s="283">
        <v>2</v>
      </c>
      <c r="H5429" s="283">
        <v>0</v>
      </c>
      <c r="I5429" s="283">
        <v>0</v>
      </c>
      <c r="J5429" s="284">
        <v>1</v>
      </c>
    </row>
    <row r="5430" spans="3:10" x14ac:dyDescent="0.25">
      <c r="C5430" s="300" t="s">
        <v>1064</v>
      </c>
      <c r="D5430" s="283" t="s">
        <v>1077</v>
      </c>
      <c r="E5430" s="283" t="s">
        <v>1084</v>
      </c>
      <c r="F5430" s="283" t="s">
        <v>1075</v>
      </c>
      <c r="G5430" s="283">
        <v>2</v>
      </c>
      <c r="H5430" s="283">
        <v>0</v>
      </c>
      <c r="I5430" s="283">
        <v>1</v>
      </c>
      <c r="J5430" s="284">
        <v>0</v>
      </c>
    </row>
    <row r="5431" spans="3:10" x14ac:dyDescent="0.25">
      <c r="C5431" s="300" t="s">
        <v>1067</v>
      </c>
      <c r="D5431" s="283" t="s">
        <v>1079</v>
      </c>
      <c r="E5431" s="283" t="s">
        <v>1075</v>
      </c>
      <c r="F5431" s="283" t="s">
        <v>1114</v>
      </c>
      <c r="G5431" s="283">
        <v>2</v>
      </c>
      <c r="H5431" s="283">
        <v>0</v>
      </c>
      <c r="I5431" s="283">
        <v>0</v>
      </c>
      <c r="J5431" s="284">
        <v>0</v>
      </c>
    </row>
    <row r="5432" spans="3:10" x14ac:dyDescent="0.25">
      <c r="C5432" s="300" t="s">
        <v>1067</v>
      </c>
      <c r="D5432" s="283" t="s">
        <v>1082</v>
      </c>
      <c r="E5432" s="283" t="s">
        <v>1078</v>
      </c>
      <c r="F5432" s="283" t="s">
        <v>1089</v>
      </c>
      <c r="G5432" s="283">
        <v>3</v>
      </c>
      <c r="H5432" s="283">
        <v>0</v>
      </c>
      <c r="I5432" s="283">
        <v>0</v>
      </c>
      <c r="J5432" s="284">
        <v>0</v>
      </c>
    </row>
    <row r="5433" spans="3:10" x14ac:dyDescent="0.25">
      <c r="C5433" s="300" t="s">
        <v>1060</v>
      </c>
      <c r="D5433" s="283" t="s">
        <v>1087</v>
      </c>
      <c r="E5433" s="283" t="s">
        <v>1084</v>
      </c>
      <c r="F5433" s="283" t="s">
        <v>524</v>
      </c>
      <c r="G5433" s="283">
        <v>1</v>
      </c>
      <c r="H5433" s="283">
        <v>0</v>
      </c>
      <c r="I5433" s="283">
        <v>1</v>
      </c>
      <c r="J5433" s="284">
        <v>0</v>
      </c>
    </row>
    <row r="5434" spans="3:10" x14ac:dyDescent="0.25">
      <c r="C5434" s="300" t="s">
        <v>1063</v>
      </c>
      <c r="D5434" s="283" t="s">
        <v>1074</v>
      </c>
      <c r="E5434" s="283" t="s">
        <v>1089</v>
      </c>
      <c r="F5434" s="283" t="s">
        <v>1075</v>
      </c>
      <c r="G5434" s="283">
        <v>2</v>
      </c>
      <c r="H5434" s="283">
        <v>0</v>
      </c>
      <c r="I5434" s="283">
        <v>1</v>
      </c>
      <c r="J5434" s="284">
        <v>0</v>
      </c>
    </row>
    <row r="5435" spans="3:10" x14ac:dyDescent="0.25">
      <c r="C5435" s="300" t="s">
        <v>1059</v>
      </c>
      <c r="D5435" s="283" t="s">
        <v>1079</v>
      </c>
      <c r="E5435" s="283" t="s">
        <v>1084</v>
      </c>
      <c r="F5435" s="283" t="s">
        <v>1083</v>
      </c>
      <c r="G5435" s="283">
        <v>2</v>
      </c>
      <c r="H5435" s="283">
        <v>0</v>
      </c>
      <c r="I5435" s="283">
        <v>1</v>
      </c>
      <c r="J5435" s="284">
        <v>0</v>
      </c>
    </row>
    <row r="5436" spans="3:10" x14ac:dyDescent="0.25">
      <c r="C5436" s="300" t="s">
        <v>1062</v>
      </c>
      <c r="D5436" s="283" t="s">
        <v>1043</v>
      </c>
      <c r="E5436" s="283" t="s">
        <v>1075</v>
      </c>
      <c r="F5436" s="283" t="s">
        <v>1092</v>
      </c>
      <c r="G5436" s="283">
        <v>2</v>
      </c>
      <c r="H5436" s="283">
        <v>0</v>
      </c>
      <c r="I5436" s="283">
        <v>1</v>
      </c>
      <c r="J5436" s="284">
        <v>0</v>
      </c>
    </row>
    <row r="5437" spans="3:10" x14ac:dyDescent="0.25">
      <c r="C5437" s="300" t="s">
        <v>1065</v>
      </c>
      <c r="D5437" s="283" t="s">
        <v>1079</v>
      </c>
      <c r="E5437" s="283" t="s">
        <v>1044</v>
      </c>
      <c r="F5437" s="283" t="s">
        <v>1076</v>
      </c>
      <c r="G5437" s="283">
        <v>2</v>
      </c>
      <c r="H5437" s="283">
        <v>0</v>
      </c>
      <c r="I5437" s="283">
        <v>0</v>
      </c>
      <c r="J5437" s="284">
        <v>1</v>
      </c>
    </row>
    <row r="5438" spans="3:10" x14ac:dyDescent="0.25">
      <c r="C5438" s="300" t="s">
        <v>1062</v>
      </c>
      <c r="D5438" s="283" t="s">
        <v>1077</v>
      </c>
      <c r="E5438" s="283" t="s">
        <v>1075</v>
      </c>
      <c r="F5438" s="283" t="s">
        <v>1089</v>
      </c>
      <c r="G5438" s="283">
        <v>2</v>
      </c>
      <c r="H5438" s="283">
        <v>0</v>
      </c>
      <c r="I5438" s="283">
        <v>0</v>
      </c>
      <c r="J5438" s="284">
        <v>0</v>
      </c>
    </row>
    <row r="5439" spans="3:10" x14ac:dyDescent="0.25">
      <c r="C5439" s="300" t="s">
        <v>1057</v>
      </c>
      <c r="D5439" s="283" t="s">
        <v>1082</v>
      </c>
      <c r="E5439" s="283" t="s">
        <v>1076</v>
      </c>
      <c r="F5439" s="283" t="s">
        <v>1075</v>
      </c>
      <c r="G5439" s="283">
        <v>2</v>
      </c>
      <c r="H5439" s="283">
        <v>0</v>
      </c>
      <c r="I5439" s="283">
        <v>0</v>
      </c>
      <c r="J5439" s="284">
        <v>1</v>
      </c>
    </row>
    <row r="5440" spans="3:10" x14ac:dyDescent="0.25">
      <c r="C5440" s="300" t="s">
        <v>1066</v>
      </c>
      <c r="D5440" s="283" t="s">
        <v>1106</v>
      </c>
      <c r="E5440" s="283" t="s">
        <v>1086</v>
      </c>
      <c r="F5440" s="283" t="s">
        <v>524</v>
      </c>
      <c r="G5440" s="283">
        <v>1</v>
      </c>
      <c r="H5440" s="283">
        <v>0</v>
      </c>
      <c r="I5440" s="283">
        <v>0</v>
      </c>
      <c r="J5440" s="284">
        <v>1</v>
      </c>
    </row>
    <row r="5441" spans="3:10" x14ac:dyDescent="0.25">
      <c r="C5441" s="300" t="s">
        <v>1067</v>
      </c>
      <c r="D5441" s="283" t="s">
        <v>1077</v>
      </c>
      <c r="E5441" s="283" t="s">
        <v>1075</v>
      </c>
      <c r="F5441" s="283" t="s">
        <v>1089</v>
      </c>
      <c r="G5441" s="283">
        <v>2</v>
      </c>
      <c r="H5441" s="283">
        <v>0</v>
      </c>
      <c r="I5441" s="283">
        <v>0</v>
      </c>
      <c r="J5441" s="284">
        <v>0</v>
      </c>
    </row>
    <row r="5442" spans="3:10" x14ac:dyDescent="0.25">
      <c r="C5442" s="300" t="s">
        <v>1063</v>
      </c>
      <c r="D5442" s="283" t="s">
        <v>1077</v>
      </c>
      <c r="E5442" s="283" t="s">
        <v>1078</v>
      </c>
      <c r="F5442" s="283" t="s">
        <v>1078</v>
      </c>
      <c r="G5442" s="283">
        <v>3</v>
      </c>
      <c r="H5442" s="283">
        <v>0</v>
      </c>
      <c r="I5442" s="283">
        <v>0</v>
      </c>
      <c r="J5442" s="284">
        <v>0</v>
      </c>
    </row>
    <row r="5443" spans="3:10" x14ac:dyDescent="0.25">
      <c r="C5443" s="300" t="s">
        <v>1060</v>
      </c>
      <c r="D5443" s="283" t="s">
        <v>1074</v>
      </c>
      <c r="E5443" s="283" t="s">
        <v>1089</v>
      </c>
      <c r="F5443" s="283" t="s">
        <v>1084</v>
      </c>
      <c r="G5443" s="283">
        <v>2</v>
      </c>
      <c r="H5443" s="283">
        <v>0</v>
      </c>
      <c r="I5443" s="283">
        <v>0</v>
      </c>
      <c r="J5443" s="284">
        <v>1</v>
      </c>
    </row>
    <row r="5444" spans="3:10" x14ac:dyDescent="0.25">
      <c r="C5444" s="300" t="s">
        <v>1062</v>
      </c>
      <c r="D5444" s="283" t="s">
        <v>1074</v>
      </c>
      <c r="E5444" s="283" t="s">
        <v>1075</v>
      </c>
      <c r="F5444" s="283" t="s">
        <v>1075</v>
      </c>
      <c r="G5444" s="283">
        <v>2</v>
      </c>
      <c r="H5444" s="283">
        <v>0</v>
      </c>
      <c r="I5444" s="283">
        <v>1</v>
      </c>
      <c r="J5444" s="284">
        <v>0</v>
      </c>
    </row>
    <row r="5445" spans="3:10" x14ac:dyDescent="0.25">
      <c r="C5445" s="300" t="s">
        <v>1060</v>
      </c>
      <c r="D5445" s="283" t="s">
        <v>1077</v>
      </c>
      <c r="E5445" s="283" t="s">
        <v>1083</v>
      </c>
      <c r="F5445" s="283" t="s">
        <v>1089</v>
      </c>
      <c r="G5445" s="283">
        <v>2</v>
      </c>
      <c r="H5445" s="283">
        <v>0</v>
      </c>
      <c r="I5445" s="283">
        <v>1</v>
      </c>
      <c r="J5445" s="284">
        <v>0</v>
      </c>
    </row>
    <row r="5446" spans="3:10" x14ac:dyDescent="0.25">
      <c r="C5446" s="300" t="s">
        <v>1065</v>
      </c>
      <c r="D5446" s="283" t="s">
        <v>1077</v>
      </c>
      <c r="E5446" s="283" t="s">
        <v>1075</v>
      </c>
      <c r="F5446" s="283" t="s">
        <v>1075</v>
      </c>
      <c r="G5446" s="283">
        <v>2</v>
      </c>
      <c r="H5446" s="283">
        <v>0</v>
      </c>
      <c r="I5446" s="283">
        <v>0</v>
      </c>
      <c r="J5446" s="284">
        <v>1</v>
      </c>
    </row>
    <row r="5447" spans="3:10" x14ac:dyDescent="0.25">
      <c r="C5447" s="300" t="s">
        <v>1060</v>
      </c>
      <c r="D5447" s="283" t="s">
        <v>1079</v>
      </c>
      <c r="E5447" s="283" t="s">
        <v>1089</v>
      </c>
      <c r="F5447" s="283" t="s">
        <v>1083</v>
      </c>
      <c r="G5447" s="283">
        <v>2</v>
      </c>
      <c r="H5447" s="283">
        <v>0</v>
      </c>
      <c r="I5447" s="283">
        <v>1</v>
      </c>
      <c r="J5447" s="284">
        <v>0</v>
      </c>
    </row>
    <row r="5448" spans="3:10" x14ac:dyDescent="0.25">
      <c r="C5448" s="300" t="s">
        <v>1066</v>
      </c>
      <c r="D5448" s="283" t="s">
        <v>1077</v>
      </c>
      <c r="E5448" s="283" t="s">
        <v>1075</v>
      </c>
      <c r="F5448" s="283" t="s">
        <v>1075</v>
      </c>
      <c r="G5448" s="283">
        <v>3</v>
      </c>
      <c r="H5448" s="283">
        <v>0</v>
      </c>
      <c r="I5448" s="283">
        <v>0</v>
      </c>
      <c r="J5448" s="284">
        <v>0</v>
      </c>
    </row>
    <row r="5449" spans="3:10" x14ac:dyDescent="0.25">
      <c r="C5449" s="300" t="s">
        <v>1065</v>
      </c>
      <c r="D5449" s="283" t="s">
        <v>1043</v>
      </c>
      <c r="E5449" s="283" t="s">
        <v>1089</v>
      </c>
      <c r="F5449" s="283" t="s">
        <v>1104</v>
      </c>
      <c r="G5449" s="283">
        <v>2</v>
      </c>
      <c r="H5449" s="283">
        <v>0</v>
      </c>
      <c r="I5449" s="283">
        <v>1</v>
      </c>
      <c r="J5449" s="284">
        <v>0</v>
      </c>
    </row>
    <row r="5450" spans="3:10" x14ac:dyDescent="0.25">
      <c r="C5450" s="300" t="s">
        <v>1062</v>
      </c>
      <c r="D5450" s="283" t="s">
        <v>1077</v>
      </c>
      <c r="E5450" s="283" t="s">
        <v>1075</v>
      </c>
      <c r="F5450" s="283" t="s">
        <v>1075</v>
      </c>
      <c r="G5450" s="283">
        <v>3</v>
      </c>
      <c r="H5450" s="283">
        <v>0</v>
      </c>
      <c r="I5450" s="283">
        <v>1</v>
      </c>
      <c r="J5450" s="284">
        <v>1</v>
      </c>
    </row>
    <row r="5451" spans="3:10" x14ac:dyDescent="0.25">
      <c r="C5451" s="300" t="s">
        <v>1062</v>
      </c>
      <c r="D5451" s="283" t="s">
        <v>1077</v>
      </c>
      <c r="E5451" s="283" t="s">
        <v>1088</v>
      </c>
      <c r="F5451" s="283" t="s">
        <v>1075</v>
      </c>
      <c r="G5451" s="283">
        <v>3</v>
      </c>
      <c r="H5451" s="283">
        <v>0</v>
      </c>
      <c r="I5451" s="283">
        <v>0</v>
      </c>
      <c r="J5451" s="284">
        <v>1</v>
      </c>
    </row>
    <row r="5452" spans="3:10" x14ac:dyDescent="0.25">
      <c r="C5452" s="300" t="s">
        <v>1067</v>
      </c>
      <c r="D5452" s="283" t="s">
        <v>1079</v>
      </c>
      <c r="E5452" s="283" t="s">
        <v>1075</v>
      </c>
      <c r="F5452" s="283" t="s">
        <v>1075</v>
      </c>
      <c r="G5452" s="283">
        <v>2</v>
      </c>
      <c r="H5452" s="283">
        <v>0</v>
      </c>
      <c r="I5452" s="283">
        <v>1</v>
      </c>
      <c r="J5452" s="284">
        <v>2</v>
      </c>
    </row>
    <row r="5453" spans="3:10" x14ac:dyDescent="0.25">
      <c r="C5453" s="300" t="s">
        <v>1060</v>
      </c>
      <c r="D5453" s="283" t="s">
        <v>1077</v>
      </c>
      <c r="E5453" s="283" t="s">
        <v>1080</v>
      </c>
      <c r="F5453" s="283" t="s">
        <v>1080</v>
      </c>
      <c r="G5453" s="283">
        <v>2</v>
      </c>
      <c r="H5453" s="283">
        <v>0</v>
      </c>
      <c r="I5453" s="283">
        <v>0</v>
      </c>
      <c r="J5453" s="284">
        <v>0</v>
      </c>
    </row>
    <row r="5454" spans="3:10" x14ac:dyDescent="0.25">
      <c r="C5454" s="300" t="s">
        <v>1064</v>
      </c>
      <c r="D5454" s="283" t="s">
        <v>1106</v>
      </c>
      <c r="E5454" s="283" t="s">
        <v>1086</v>
      </c>
      <c r="F5454" s="283" t="s">
        <v>524</v>
      </c>
      <c r="G5454" s="283">
        <v>1</v>
      </c>
      <c r="H5454" s="283">
        <v>0</v>
      </c>
      <c r="I5454" s="283">
        <v>0</v>
      </c>
      <c r="J5454" s="284">
        <v>1</v>
      </c>
    </row>
    <row r="5455" spans="3:10" x14ac:dyDescent="0.25">
      <c r="C5455" s="300" t="s">
        <v>1068</v>
      </c>
      <c r="D5455" s="283" t="s">
        <v>1079</v>
      </c>
      <c r="E5455" s="283" t="s">
        <v>1089</v>
      </c>
      <c r="F5455" s="283" t="s">
        <v>1075</v>
      </c>
      <c r="G5455" s="283">
        <v>4</v>
      </c>
      <c r="H5455" s="283">
        <v>0</v>
      </c>
      <c r="I5455" s="283">
        <v>1</v>
      </c>
      <c r="J5455" s="284">
        <v>0</v>
      </c>
    </row>
    <row r="5456" spans="3:10" x14ac:dyDescent="0.25">
      <c r="C5456" s="300" t="s">
        <v>1066</v>
      </c>
      <c r="D5456" s="283" t="s">
        <v>1079</v>
      </c>
      <c r="E5456" s="283" t="s">
        <v>1044</v>
      </c>
      <c r="F5456" s="283" t="s">
        <v>1089</v>
      </c>
      <c r="G5456" s="283">
        <v>2</v>
      </c>
      <c r="H5456" s="283">
        <v>0</v>
      </c>
      <c r="I5456" s="283">
        <v>1</v>
      </c>
      <c r="J5456" s="284">
        <v>0</v>
      </c>
    </row>
    <row r="5457" spans="3:10" x14ac:dyDescent="0.25">
      <c r="C5457" s="300" t="s">
        <v>1067</v>
      </c>
      <c r="D5457" s="283" t="s">
        <v>1079</v>
      </c>
      <c r="E5457" s="283" t="s">
        <v>1089</v>
      </c>
      <c r="F5457" s="283" t="s">
        <v>1075</v>
      </c>
      <c r="G5457" s="283">
        <v>2</v>
      </c>
      <c r="H5457" s="283">
        <v>0</v>
      </c>
      <c r="I5457" s="283">
        <v>0</v>
      </c>
      <c r="J5457" s="284">
        <v>0</v>
      </c>
    </row>
    <row r="5458" spans="3:10" x14ac:dyDescent="0.25">
      <c r="C5458" s="300" t="s">
        <v>1064</v>
      </c>
      <c r="D5458" s="283" t="s">
        <v>1087</v>
      </c>
      <c r="E5458" s="283" t="s">
        <v>1075</v>
      </c>
      <c r="F5458" s="283" t="s">
        <v>524</v>
      </c>
      <c r="G5458" s="283">
        <v>1</v>
      </c>
      <c r="H5458" s="283">
        <v>0</v>
      </c>
      <c r="I5458" s="283">
        <v>1</v>
      </c>
      <c r="J5458" s="284">
        <v>0</v>
      </c>
    </row>
    <row r="5459" spans="3:10" x14ac:dyDescent="0.25">
      <c r="C5459" s="300" t="s">
        <v>1065</v>
      </c>
      <c r="D5459" s="283" t="s">
        <v>1079</v>
      </c>
      <c r="E5459" s="283" t="s">
        <v>1075</v>
      </c>
      <c r="F5459" s="283" t="s">
        <v>1075</v>
      </c>
      <c r="G5459" s="283">
        <v>2</v>
      </c>
      <c r="H5459" s="283">
        <v>0</v>
      </c>
      <c r="I5459" s="283">
        <v>0</v>
      </c>
      <c r="J5459" s="284">
        <v>1</v>
      </c>
    </row>
    <row r="5460" spans="3:10" x14ac:dyDescent="0.25">
      <c r="C5460" s="300" t="s">
        <v>1064</v>
      </c>
      <c r="D5460" s="283" t="s">
        <v>1079</v>
      </c>
      <c r="E5460" s="283" t="s">
        <v>1075</v>
      </c>
      <c r="F5460" s="283" t="s">
        <v>1093</v>
      </c>
      <c r="G5460" s="283">
        <v>2</v>
      </c>
      <c r="H5460" s="283">
        <v>0</v>
      </c>
      <c r="I5460" s="283">
        <v>2</v>
      </c>
      <c r="J5460" s="284">
        <v>0</v>
      </c>
    </row>
    <row r="5461" spans="3:10" x14ac:dyDescent="0.25">
      <c r="C5461" s="300" t="s">
        <v>1066</v>
      </c>
      <c r="D5461" s="283" t="s">
        <v>1079</v>
      </c>
      <c r="E5461" s="283" t="s">
        <v>1075</v>
      </c>
      <c r="F5461" s="283" t="s">
        <v>1044</v>
      </c>
      <c r="G5461" s="283">
        <v>2</v>
      </c>
      <c r="H5461" s="283">
        <v>0</v>
      </c>
      <c r="I5461" s="283">
        <v>1</v>
      </c>
      <c r="J5461" s="284">
        <v>0</v>
      </c>
    </row>
    <row r="5462" spans="3:10" x14ac:dyDescent="0.25">
      <c r="C5462" s="300" t="s">
        <v>1066</v>
      </c>
      <c r="D5462" s="283" t="s">
        <v>1087</v>
      </c>
      <c r="E5462" s="283" t="s">
        <v>1075</v>
      </c>
      <c r="F5462" s="283" t="s">
        <v>524</v>
      </c>
      <c r="G5462" s="283">
        <v>1</v>
      </c>
      <c r="H5462" s="283">
        <v>0</v>
      </c>
      <c r="I5462" s="283">
        <v>0</v>
      </c>
      <c r="J5462" s="284">
        <v>0</v>
      </c>
    </row>
    <row r="5463" spans="3:10" x14ac:dyDescent="0.25">
      <c r="C5463" s="300" t="s">
        <v>1061</v>
      </c>
      <c r="D5463" s="283" t="s">
        <v>1077</v>
      </c>
      <c r="E5463" s="283" t="s">
        <v>1076</v>
      </c>
      <c r="F5463" s="283" t="s">
        <v>1075</v>
      </c>
      <c r="G5463" s="283">
        <v>2</v>
      </c>
      <c r="H5463" s="283">
        <v>0</v>
      </c>
      <c r="I5463" s="283">
        <v>0</v>
      </c>
      <c r="J5463" s="284">
        <v>0</v>
      </c>
    </row>
    <row r="5464" spans="3:10" x14ac:dyDescent="0.25">
      <c r="C5464" s="300" t="s">
        <v>1067</v>
      </c>
      <c r="D5464" s="283" t="s">
        <v>1090</v>
      </c>
      <c r="E5464" s="283" t="s">
        <v>1075</v>
      </c>
      <c r="F5464" s="283" t="s">
        <v>524</v>
      </c>
      <c r="G5464" s="283">
        <v>1</v>
      </c>
      <c r="H5464" s="283">
        <v>0</v>
      </c>
      <c r="I5464" s="283">
        <v>0</v>
      </c>
      <c r="J5464" s="284">
        <v>0</v>
      </c>
    </row>
    <row r="5465" spans="3:10" x14ac:dyDescent="0.25">
      <c r="C5465" s="300" t="s">
        <v>1062</v>
      </c>
      <c r="D5465" s="283" t="s">
        <v>1074</v>
      </c>
      <c r="E5465" s="283" t="s">
        <v>1075</v>
      </c>
      <c r="F5465" s="283" t="s">
        <v>1075</v>
      </c>
      <c r="G5465" s="283">
        <v>4</v>
      </c>
      <c r="H5465" s="283">
        <v>0</v>
      </c>
      <c r="I5465" s="283">
        <v>0</v>
      </c>
      <c r="J5465" s="284">
        <v>0</v>
      </c>
    </row>
    <row r="5466" spans="3:10" x14ac:dyDescent="0.25">
      <c r="C5466" s="300" t="s">
        <v>1064</v>
      </c>
      <c r="D5466" s="283" t="s">
        <v>1074</v>
      </c>
      <c r="E5466" s="283" t="s">
        <v>1075</v>
      </c>
      <c r="F5466" s="283" t="s">
        <v>1075</v>
      </c>
      <c r="G5466" s="283">
        <v>3</v>
      </c>
      <c r="H5466" s="283">
        <v>0</v>
      </c>
      <c r="I5466" s="283">
        <v>0</v>
      </c>
      <c r="J5466" s="284">
        <v>0</v>
      </c>
    </row>
    <row r="5467" spans="3:10" x14ac:dyDescent="0.25">
      <c r="C5467" s="300" t="s">
        <v>1061</v>
      </c>
      <c r="D5467" s="283" t="s">
        <v>1087</v>
      </c>
      <c r="E5467" s="283" t="s">
        <v>1084</v>
      </c>
      <c r="F5467" s="283" t="s">
        <v>524</v>
      </c>
      <c r="G5467" s="283">
        <v>1</v>
      </c>
      <c r="H5467" s="283">
        <v>0</v>
      </c>
      <c r="I5467" s="283">
        <v>0</v>
      </c>
      <c r="J5467" s="284">
        <v>0</v>
      </c>
    </row>
    <row r="5468" spans="3:10" x14ac:dyDescent="0.25">
      <c r="C5468" s="300" t="s">
        <v>1066</v>
      </c>
      <c r="D5468" s="283" t="s">
        <v>1077</v>
      </c>
      <c r="E5468" s="283" t="s">
        <v>1078</v>
      </c>
      <c r="F5468" s="283" t="s">
        <v>1075</v>
      </c>
      <c r="G5468" s="283">
        <v>2</v>
      </c>
      <c r="H5468" s="283">
        <v>0</v>
      </c>
      <c r="I5468" s="283">
        <v>0</v>
      </c>
      <c r="J5468" s="284">
        <v>0</v>
      </c>
    </row>
    <row r="5469" spans="3:10" x14ac:dyDescent="0.25">
      <c r="C5469" s="300" t="s">
        <v>1059</v>
      </c>
      <c r="D5469" s="283" t="s">
        <v>1079</v>
      </c>
      <c r="E5469" s="283" t="s">
        <v>1089</v>
      </c>
      <c r="F5469" s="283" t="s">
        <v>1075</v>
      </c>
      <c r="G5469" s="283">
        <v>2</v>
      </c>
      <c r="H5469" s="283">
        <v>0</v>
      </c>
      <c r="I5469" s="283">
        <v>0</v>
      </c>
      <c r="J5469" s="284">
        <v>0</v>
      </c>
    </row>
    <row r="5470" spans="3:10" x14ac:dyDescent="0.25">
      <c r="C5470" s="300" t="s">
        <v>1065</v>
      </c>
      <c r="D5470" s="283" t="s">
        <v>1077</v>
      </c>
      <c r="E5470" s="283" t="s">
        <v>1075</v>
      </c>
      <c r="F5470" s="283" t="s">
        <v>1076</v>
      </c>
      <c r="G5470" s="283">
        <v>3</v>
      </c>
      <c r="H5470" s="283">
        <v>0</v>
      </c>
      <c r="I5470" s="283">
        <v>0</v>
      </c>
      <c r="J5470" s="284">
        <v>0</v>
      </c>
    </row>
    <row r="5471" spans="3:10" x14ac:dyDescent="0.25">
      <c r="C5471" s="300" t="s">
        <v>1065</v>
      </c>
      <c r="D5471" s="283" t="s">
        <v>1079</v>
      </c>
      <c r="E5471" s="283" t="s">
        <v>1075</v>
      </c>
      <c r="F5471" s="283" t="s">
        <v>1089</v>
      </c>
      <c r="G5471" s="283">
        <v>2</v>
      </c>
      <c r="H5471" s="283">
        <v>0</v>
      </c>
      <c r="I5471" s="283">
        <v>0</v>
      </c>
      <c r="J5471" s="284">
        <v>0</v>
      </c>
    </row>
    <row r="5472" spans="3:10" x14ac:dyDescent="0.25">
      <c r="C5472" s="300" t="s">
        <v>1061</v>
      </c>
      <c r="D5472" s="283" t="s">
        <v>1074</v>
      </c>
      <c r="E5472" s="283" t="s">
        <v>1089</v>
      </c>
      <c r="F5472" s="283" t="s">
        <v>1094</v>
      </c>
      <c r="G5472" s="283">
        <v>2</v>
      </c>
      <c r="H5472" s="283">
        <v>0</v>
      </c>
      <c r="I5472" s="283">
        <v>1</v>
      </c>
      <c r="J5472" s="284">
        <v>0</v>
      </c>
    </row>
    <row r="5473" spans="3:10" x14ac:dyDescent="0.25">
      <c r="C5473" s="300" t="s">
        <v>1059</v>
      </c>
      <c r="D5473" s="283" t="s">
        <v>1079</v>
      </c>
      <c r="E5473" s="283" t="s">
        <v>1075</v>
      </c>
      <c r="F5473" s="283" t="s">
        <v>1075</v>
      </c>
      <c r="G5473" s="283">
        <v>2</v>
      </c>
      <c r="H5473" s="283">
        <v>0</v>
      </c>
      <c r="I5473" s="283">
        <v>0</v>
      </c>
      <c r="J5473" s="284">
        <v>0</v>
      </c>
    </row>
    <row r="5474" spans="3:10" x14ac:dyDescent="0.25">
      <c r="C5474" s="300" t="s">
        <v>1063</v>
      </c>
      <c r="D5474" s="283" t="s">
        <v>1074</v>
      </c>
      <c r="E5474" s="283" t="s">
        <v>1075</v>
      </c>
      <c r="F5474" s="283" t="s">
        <v>1075</v>
      </c>
      <c r="G5474" s="283">
        <v>2</v>
      </c>
      <c r="H5474" s="283">
        <v>0</v>
      </c>
      <c r="I5474" s="283">
        <v>0</v>
      </c>
      <c r="J5474" s="284">
        <v>0</v>
      </c>
    </row>
    <row r="5475" spans="3:10" x14ac:dyDescent="0.25">
      <c r="C5475" s="300" t="s">
        <v>1062</v>
      </c>
      <c r="D5475" s="283" t="s">
        <v>1079</v>
      </c>
      <c r="E5475" s="283" t="s">
        <v>1075</v>
      </c>
      <c r="F5475" s="283" t="s">
        <v>1078</v>
      </c>
      <c r="G5475" s="283">
        <v>2</v>
      </c>
      <c r="H5475" s="283">
        <v>0</v>
      </c>
      <c r="I5475" s="283">
        <v>0</v>
      </c>
      <c r="J5475" s="284">
        <v>0</v>
      </c>
    </row>
    <row r="5476" spans="3:10" x14ac:dyDescent="0.25">
      <c r="C5476" s="300" t="s">
        <v>1060</v>
      </c>
      <c r="D5476" s="283" t="s">
        <v>1079</v>
      </c>
      <c r="E5476" s="283" t="s">
        <v>1089</v>
      </c>
      <c r="F5476" s="283" t="s">
        <v>1075</v>
      </c>
      <c r="G5476" s="283">
        <v>2</v>
      </c>
      <c r="H5476" s="283">
        <v>0</v>
      </c>
      <c r="I5476" s="283">
        <v>0</v>
      </c>
      <c r="J5476" s="284">
        <v>0</v>
      </c>
    </row>
    <row r="5477" spans="3:10" x14ac:dyDescent="0.25">
      <c r="C5477" s="300" t="s">
        <v>1065</v>
      </c>
      <c r="D5477" s="283" t="s">
        <v>1079</v>
      </c>
      <c r="E5477" s="283" t="s">
        <v>1075</v>
      </c>
      <c r="F5477" s="283" t="s">
        <v>1078</v>
      </c>
      <c r="G5477" s="283">
        <v>2</v>
      </c>
      <c r="H5477" s="283">
        <v>0</v>
      </c>
      <c r="I5477" s="283">
        <v>0</v>
      </c>
      <c r="J5477" s="284">
        <v>0</v>
      </c>
    </row>
    <row r="5478" spans="3:10" x14ac:dyDescent="0.25">
      <c r="C5478" s="300" t="s">
        <v>1061</v>
      </c>
      <c r="D5478" s="283" t="s">
        <v>1077</v>
      </c>
      <c r="E5478" s="283" t="s">
        <v>1086</v>
      </c>
      <c r="F5478" s="283" t="s">
        <v>1075</v>
      </c>
      <c r="G5478" s="283">
        <v>3</v>
      </c>
      <c r="H5478" s="283">
        <v>0</v>
      </c>
      <c r="I5478" s="283">
        <v>0</v>
      </c>
      <c r="J5478" s="284">
        <v>0</v>
      </c>
    </row>
    <row r="5479" spans="3:10" x14ac:dyDescent="0.25">
      <c r="C5479" s="300" t="s">
        <v>1068</v>
      </c>
      <c r="D5479" s="283" t="s">
        <v>1079</v>
      </c>
      <c r="E5479" s="283" t="s">
        <v>1075</v>
      </c>
      <c r="F5479" s="283" t="s">
        <v>1075</v>
      </c>
      <c r="G5479" s="283">
        <v>2</v>
      </c>
      <c r="H5479" s="283">
        <v>0</v>
      </c>
      <c r="I5479" s="283">
        <v>0</v>
      </c>
      <c r="J5479" s="284">
        <v>0</v>
      </c>
    </row>
    <row r="5480" spans="3:10" x14ac:dyDescent="0.25">
      <c r="C5480" s="300" t="s">
        <v>1066</v>
      </c>
      <c r="D5480" s="283" t="s">
        <v>1087</v>
      </c>
      <c r="E5480" s="283" t="s">
        <v>1076</v>
      </c>
      <c r="F5480" s="283" t="s">
        <v>524</v>
      </c>
      <c r="G5480" s="283">
        <v>1</v>
      </c>
      <c r="H5480" s="283">
        <v>0</v>
      </c>
      <c r="I5480" s="283">
        <v>0</v>
      </c>
      <c r="J5480" s="284">
        <v>0</v>
      </c>
    </row>
    <row r="5481" spans="3:10" x14ac:dyDescent="0.25">
      <c r="C5481" s="300" t="s">
        <v>1062</v>
      </c>
      <c r="D5481" s="283" t="s">
        <v>1079</v>
      </c>
      <c r="E5481" s="283" t="s">
        <v>1075</v>
      </c>
      <c r="F5481" s="283" t="s">
        <v>1083</v>
      </c>
      <c r="G5481" s="283">
        <v>2</v>
      </c>
      <c r="H5481" s="283">
        <v>0</v>
      </c>
      <c r="I5481" s="283">
        <v>1</v>
      </c>
      <c r="J5481" s="284">
        <v>0</v>
      </c>
    </row>
    <row r="5482" spans="3:10" x14ac:dyDescent="0.25">
      <c r="C5482" s="300" t="s">
        <v>1064</v>
      </c>
      <c r="D5482" s="283" t="s">
        <v>1090</v>
      </c>
      <c r="E5482" s="283" t="s">
        <v>1083</v>
      </c>
      <c r="F5482" s="283" t="s">
        <v>524</v>
      </c>
      <c r="G5482" s="283">
        <v>1</v>
      </c>
      <c r="H5482" s="283">
        <v>0</v>
      </c>
      <c r="I5482" s="283">
        <v>0</v>
      </c>
      <c r="J5482" s="284">
        <v>0</v>
      </c>
    </row>
    <row r="5483" spans="3:10" x14ac:dyDescent="0.25">
      <c r="C5483" s="300" t="s">
        <v>1059</v>
      </c>
      <c r="D5483" s="283" t="s">
        <v>1074</v>
      </c>
      <c r="E5483" s="283" t="s">
        <v>1075</v>
      </c>
      <c r="F5483" s="283" t="s">
        <v>1089</v>
      </c>
      <c r="G5483" s="283">
        <v>3</v>
      </c>
      <c r="H5483" s="283">
        <v>0</v>
      </c>
      <c r="I5483" s="283">
        <v>0</v>
      </c>
      <c r="J5483" s="284">
        <v>2</v>
      </c>
    </row>
    <row r="5484" spans="3:10" x14ac:dyDescent="0.25">
      <c r="C5484" s="300" t="s">
        <v>1059</v>
      </c>
      <c r="D5484" s="283" t="s">
        <v>1087</v>
      </c>
      <c r="E5484" s="283" t="s">
        <v>1075</v>
      </c>
      <c r="F5484" s="283" t="s">
        <v>524</v>
      </c>
      <c r="G5484" s="283">
        <v>1</v>
      </c>
      <c r="H5484" s="283">
        <v>0</v>
      </c>
      <c r="I5484" s="283">
        <v>1</v>
      </c>
      <c r="J5484" s="284">
        <v>0</v>
      </c>
    </row>
    <row r="5485" spans="3:10" x14ac:dyDescent="0.25">
      <c r="C5485" s="300" t="s">
        <v>1065</v>
      </c>
      <c r="D5485" s="283" t="s">
        <v>1079</v>
      </c>
      <c r="E5485" s="283" t="s">
        <v>1076</v>
      </c>
      <c r="F5485" s="283" t="s">
        <v>1089</v>
      </c>
      <c r="G5485" s="283">
        <v>3</v>
      </c>
      <c r="H5485" s="283">
        <v>0</v>
      </c>
      <c r="I5485" s="283">
        <v>0</v>
      </c>
      <c r="J5485" s="284">
        <v>0</v>
      </c>
    </row>
    <row r="5486" spans="3:10" x14ac:dyDescent="0.25">
      <c r="C5486" s="300" t="s">
        <v>1064</v>
      </c>
      <c r="D5486" s="283" t="s">
        <v>1043</v>
      </c>
      <c r="E5486" s="283" t="s">
        <v>1075</v>
      </c>
      <c r="F5486" s="283" t="s">
        <v>1092</v>
      </c>
      <c r="G5486" s="283">
        <v>2</v>
      </c>
      <c r="H5486" s="283">
        <v>0</v>
      </c>
      <c r="I5486" s="283">
        <v>1</v>
      </c>
      <c r="J5486" s="284">
        <v>0</v>
      </c>
    </row>
    <row r="5487" spans="3:10" x14ac:dyDescent="0.25">
      <c r="C5487" s="300" t="s">
        <v>1065</v>
      </c>
      <c r="D5487" s="283" t="s">
        <v>1087</v>
      </c>
      <c r="E5487" s="283" t="s">
        <v>1075</v>
      </c>
      <c r="F5487" s="283" t="s">
        <v>524</v>
      </c>
      <c r="G5487" s="283">
        <v>1</v>
      </c>
      <c r="H5487" s="283">
        <v>0</v>
      </c>
      <c r="I5487" s="283">
        <v>1</v>
      </c>
      <c r="J5487" s="284">
        <v>0</v>
      </c>
    </row>
    <row r="5488" spans="3:10" x14ac:dyDescent="0.25">
      <c r="C5488" s="300" t="s">
        <v>1060</v>
      </c>
      <c r="D5488" s="283" t="s">
        <v>1079</v>
      </c>
      <c r="E5488" s="283" t="s">
        <v>1084</v>
      </c>
      <c r="F5488" s="283" t="s">
        <v>1083</v>
      </c>
      <c r="G5488" s="283">
        <v>2</v>
      </c>
      <c r="H5488" s="283">
        <v>0</v>
      </c>
      <c r="I5488" s="283">
        <v>0</v>
      </c>
      <c r="J5488" s="284">
        <v>0</v>
      </c>
    </row>
    <row r="5489" spans="3:10" x14ac:dyDescent="0.25">
      <c r="C5489" s="300" t="s">
        <v>1065</v>
      </c>
      <c r="D5489" s="283" t="s">
        <v>1077</v>
      </c>
      <c r="E5489" s="283" t="s">
        <v>1078</v>
      </c>
      <c r="F5489" s="283" t="s">
        <v>1075</v>
      </c>
      <c r="G5489" s="283">
        <v>2</v>
      </c>
      <c r="H5489" s="283">
        <v>0</v>
      </c>
      <c r="I5489" s="283">
        <v>0</v>
      </c>
      <c r="J5489" s="284">
        <v>0</v>
      </c>
    </row>
    <row r="5490" spans="3:10" x14ac:dyDescent="0.25">
      <c r="C5490" s="300" t="s">
        <v>1067</v>
      </c>
      <c r="D5490" s="283" t="s">
        <v>1043</v>
      </c>
      <c r="E5490" s="283" t="s">
        <v>1075</v>
      </c>
      <c r="F5490" s="283" t="s">
        <v>1092</v>
      </c>
      <c r="G5490" s="283">
        <v>2</v>
      </c>
      <c r="H5490" s="283">
        <v>0</v>
      </c>
      <c r="I5490" s="283">
        <v>0</v>
      </c>
      <c r="J5490" s="284">
        <v>1</v>
      </c>
    </row>
    <row r="5491" spans="3:10" x14ac:dyDescent="0.25">
      <c r="C5491" s="300" t="s">
        <v>1065</v>
      </c>
      <c r="D5491" s="283" t="s">
        <v>1082</v>
      </c>
      <c r="E5491" s="283" t="s">
        <v>1075</v>
      </c>
      <c r="F5491" s="283" t="s">
        <v>1081</v>
      </c>
      <c r="G5491" s="283">
        <v>2</v>
      </c>
      <c r="H5491" s="283">
        <v>0</v>
      </c>
      <c r="I5491" s="283">
        <v>0</v>
      </c>
      <c r="J5491" s="284">
        <v>1</v>
      </c>
    </row>
    <row r="5492" spans="3:10" x14ac:dyDescent="0.25">
      <c r="C5492" s="300" t="s">
        <v>1061</v>
      </c>
      <c r="D5492" s="283" t="s">
        <v>1077</v>
      </c>
      <c r="E5492" s="283" t="s">
        <v>1075</v>
      </c>
      <c r="F5492" s="283" t="s">
        <v>1089</v>
      </c>
      <c r="G5492" s="283">
        <v>2</v>
      </c>
      <c r="H5492" s="283">
        <v>0</v>
      </c>
      <c r="I5492" s="283">
        <v>0</v>
      </c>
      <c r="J5492" s="284">
        <v>1</v>
      </c>
    </row>
    <row r="5493" spans="3:10" x14ac:dyDescent="0.25">
      <c r="C5493" s="300" t="s">
        <v>1061</v>
      </c>
      <c r="D5493" s="283" t="s">
        <v>1074</v>
      </c>
      <c r="E5493" s="283" t="s">
        <v>1084</v>
      </c>
      <c r="F5493" s="283" t="s">
        <v>1093</v>
      </c>
      <c r="G5493" s="283">
        <v>2</v>
      </c>
      <c r="H5493" s="283">
        <v>0</v>
      </c>
      <c r="I5493" s="283">
        <v>0</v>
      </c>
      <c r="J5493" s="284">
        <v>1</v>
      </c>
    </row>
    <row r="5494" spans="3:10" x14ac:dyDescent="0.25">
      <c r="C5494" s="300" t="s">
        <v>1057</v>
      </c>
      <c r="D5494" s="283" t="s">
        <v>1079</v>
      </c>
      <c r="E5494" s="283" t="s">
        <v>1086</v>
      </c>
      <c r="F5494" s="283" t="s">
        <v>1081</v>
      </c>
      <c r="G5494" s="283">
        <v>3</v>
      </c>
      <c r="H5494" s="283">
        <v>0</v>
      </c>
      <c r="I5494" s="283">
        <v>0</v>
      </c>
      <c r="J5494" s="284">
        <v>0</v>
      </c>
    </row>
    <row r="5495" spans="3:10" x14ac:dyDescent="0.25">
      <c r="C5495" s="300" t="s">
        <v>1063</v>
      </c>
      <c r="D5495" s="283" t="s">
        <v>1090</v>
      </c>
      <c r="E5495" s="283" t="s">
        <v>1083</v>
      </c>
      <c r="F5495" s="283" t="s">
        <v>524</v>
      </c>
      <c r="G5495" s="283">
        <v>1</v>
      </c>
      <c r="H5495" s="283">
        <v>0</v>
      </c>
      <c r="I5495" s="283">
        <v>0</v>
      </c>
      <c r="J5495" s="284">
        <v>0</v>
      </c>
    </row>
    <row r="5496" spans="3:10" x14ac:dyDescent="0.25">
      <c r="C5496" s="300" t="s">
        <v>1062</v>
      </c>
      <c r="D5496" s="283" t="s">
        <v>1079</v>
      </c>
      <c r="E5496" s="283" t="s">
        <v>1089</v>
      </c>
      <c r="F5496" s="283" t="s">
        <v>1078</v>
      </c>
      <c r="G5496" s="283">
        <v>2</v>
      </c>
      <c r="H5496" s="283">
        <v>0</v>
      </c>
      <c r="I5496" s="283">
        <v>0</v>
      </c>
      <c r="J5496" s="284">
        <v>0</v>
      </c>
    </row>
    <row r="5497" spans="3:10" x14ac:dyDescent="0.25">
      <c r="C5497" s="300" t="s">
        <v>1065</v>
      </c>
      <c r="D5497" s="283" t="s">
        <v>1079</v>
      </c>
      <c r="E5497" s="283" t="s">
        <v>1075</v>
      </c>
      <c r="F5497" s="283" t="s">
        <v>1075</v>
      </c>
      <c r="G5497" s="283">
        <v>2</v>
      </c>
      <c r="H5497" s="283">
        <v>0</v>
      </c>
      <c r="I5497" s="283">
        <v>0</v>
      </c>
      <c r="J5497" s="284">
        <v>1</v>
      </c>
    </row>
    <row r="5498" spans="3:10" x14ac:dyDescent="0.25">
      <c r="C5498" s="300" t="s">
        <v>1057</v>
      </c>
      <c r="D5498" s="283" t="s">
        <v>1079</v>
      </c>
      <c r="E5498" s="283" t="s">
        <v>1076</v>
      </c>
      <c r="F5498" s="283" t="s">
        <v>1089</v>
      </c>
      <c r="G5498" s="283">
        <v>2</v>
      </c>
      <c r="H5498" s="283">
        <v>0</v>
      </c>
      <c r="I5498" s="283">
        <v>0</v>
      </c>
      <c r="J5498" s="284">
        <v>0</v>
      </c>
    </row>
    <row r="5499" spans="3:10" x14ac:dyDescent="0.25">
      <c r="C5499" s="300" t="s">
        <v>1063</v>
      </c>
      <c r="D5499" s="283" t="s">
        <v>1079</v>
      </c>
      <c r="E5499" s="283" t="s">
        <v>1083</v>
      </c>
      <c r="F5499" s="283" t="s">
        <v>1078</v>
      </c>
      <c r="G5499" s="283">
        <v>2</v>
      </c>
      <c r="H5499" s="283">
        <v>0</v>
      </c>
      <c r="I5499" s="283">
        <v>0</v>
      </c>
      <c r="J5499" s="284">
        <v>0</v>
      </c>
    </row>
    <row r="5500" spans="3:10" x14ac:dyDescent="0.25">
      <c r="C5500" s="300" t="s">
        <v>1062</v>
      </c>
      <c r="D5500" s="283" t="s">
        <v>1079</v>
      </c>
      <c r="E5500" s="283" t="s">
        <v>1075</v>
      </c>
      <c r="F5500" s="283" t="s">
        <v>1081</v>
      </c>
      <c r="G5500" s="283">
        <v>2</v>
      </c>
      <c r="H5500" s="283">
        <v>0</v>
      </c>
      <c r="I5500" s="283">
        <v>1</v>
      </c>
      <c r="J5500" s="284">
        <v>0</v>
      </c>
    </row>
    <row r="5501" spans="3:10" x14ac:dyDescent="0.25">
      <c r="C5501" s="300" t="s">
        <v>1064</v>
      </c>
      <c r="D5501" s="283" t="s">
        <v>1087</v>
      </c>
      <c r="E5501" s="283" t="s">
        <v>1083</v>
      </c>
      <c r="F5501" s="283" t="s">
        <v>524</v>
      </c>
      <c r="G5501" s="283">
        <v>1</v>
      </c>
      <c r="H5501" s="283">
        <v>0</v>
      </c>
      <c r="I5501" s="283">
        <v>0</v>
      </c>
      <c r="J5501" s="284">
        <v>1</v>
      </c>
    </row>
    <row r="5502" spans="3:10" x14ac:dyDescent="0.25">
      <c r="C5502" s="300" t="s">
        <v>1060</v>
      </c>
      <c r="D5502" s="283" t="s">
        <v>1074</v>
      </c>
      <c r="E5502" s="283" t="s">
        <v>1084</v>
      </c>
      <c r="F5502" s="283" t="s">
        <v>1089</v>
      </c>
      <c r="G5502" s="283">
        <v>2</v>
      </c>
      <c r="H5502" s="283">
        <v>0</v>
      </c>
      <c r="I5502" s="283">
        <v>0</v>
      </c>
      <c r="J5502" s="284">
        <v>1</v>
      </c>
    </row>
    <row r="5503" spans="3:10" x14ac:dyDescent="0.25">
      <c r="C5503" s="300" t="s">
        <v>1064</v>
      </c>
      <c r="D5503" s="283" t="s">
        <v>1043</v>
      </c>
      <c r="E5503" s="283" t="s">
        <v>1089</v>
      </c>
      <c r="F5503" s="283" t="s">
        <v>1092</v>
      </c>
      <c r="G5503" s="283">
        <v>2</v>
      </c>
      <c r="H5503" s="283">
        <v>0</v>
      </c>
      <c r="I5503" s="283">
        <v>1</v>
      </c>
      <c r="J5503" s="284">
        <v>0</v>
      </c>
    </row>
    <row r="5504" spans="3:10" x14ac:dyDescent="0.25">
      <c r="C5504" s="300" t="s">
        <v>1063</v>
      </c>
      <c r="D5504" s="283" t="s">
        <v>1079</v>
      </c>
      <c r="E5504" s="283" t="s">
        <v>1078</v>
      </c>
      <c r="F5504" s="283" t="s">
        <v>1075</v>
      </c>
      <c r="G5504" s="283">
        <v>2</v>
      </c>
      <c r="H5504" s="283">
        <v>0</v>
      </c>
      <c r="I5504" s="283">
        <v>0</v>
      </c>
      <c r="J5504" s="284">
        <v>0</v>
      </c>
    </row>
    <row r="5505" spans="3:10" x14ac:dyDescent="0.25">
      <c r="C5505" s="300" t="s">
        <v>1065</v>
      </c>
      <c r="D5505" s="283" t="s">
        <v>1087</v>
      </c>
      <c r="E5505" s="283" t="s">
        <v>1075</v>
      </c>
      <c r="F5505" s="283" t="s">
        <v>524</v>
      </c>
      <c r="G5505" s="283">
        <v>1</v>
      </c>
      <c r="H5505" s="283">
        <v>0</v>
      </c>
      <c r="I5505" s="283">
        <v>0</v>
      </c>
      <c r="J5505" s="284">
        <v>0</v>
      </c>
    </row>
    <row r="5506" spans="3:10" x14ac:dyDescent="0.25">
      <c r="C5506" s="300" t="s">
        <v>1057</v>
      </c>
      <c r="D5506" s="283" t="s">
        <v>1087</v>
      </c>
      <c r="E5506" s="283" t="s">
        <v>1075</v>
      </c>
      <c r="F5506" s="283" t="s">
        <v>524</v>
      </c>
      <c r="G5506" s="283">
        <v>1</v>
      </c>
      <c r="H5506" s="283">
        <v>0</v>
      </c>
      <c r="I5506" s="283">
        <v>1</v>
      </c>
      <c r="J5506" s="284">
        <v>0</v>
      </c>
    </row>
    <row r="5507" spans="3:10" x14ac:dyDescent="0.25">
      <c r="C5507" s="300" t="s">
        <v>1064</v>
      </c>
      <c r="D5507" s="283" t="s">
        <v>1074</v>
      </c>
      <c r="E5507" s="283" t="s">
        <v>1076</v>
      </c>
      <c r="F5507" s="283" t="s">
        <v>1075</v>
      </c>
      <c r="G5507" s="283">
        <v>2</v>
      </c>
      <c r="H5507" s="283">
        <v>0</v>
      </c>
      <c r="I5507" s="283">
        <v>1</v>
      </c>
      <c r="J5507" s="284">
        <v>0</v>
      </c>
    </row>
    <row r="5508" spans="3:10" x14ac:dyDescent="0.25">
      <c r="C5508" s="300" t="s">
        <v>1061</v>
      </c>
      <c r="D5508" s="283" t="s">
        <v>1043</v>
      </c>
      <c r="E5508" s="283" t="s">
        <v>1075</v>
      </c>
      <c r="F5508" s="283" t="s">
        <v>1092</v>
      </c>
      <c r="G5508" s="283">
        <v>2</v>
      </c>
      <c r="H5508" s="283">
        <v>0</v>
      </c>
      <c r="I5508" s="283">
        <v>0</v>
      </c>
      <c r="J5508" s="284">
        <v>0</v>
      </c>
    </row>
    <row r="5509" spans="3:10" x14ac:dyDescent="0.25">
      <c r="C5509" s="300" t="s">
        <v>1061</v>
      </c>
      <c r="D5509" s="283" t="s">
        <v>1079</v>
      </c>
      <c r="E5509" s="283" t="s">
        <v>1083</v>
      </c>
      <c r="F5509" s="283" t="s">
        <v>1089</v>
      </c>
      <c r="G5509" s="283">
        <v>2</v>
      </c>
      <c r="H5509" s="283">
        <v>0</v>
      </c>
      <c r="I5509" s="283">
        <v>1</v>
      </c>
      <c r="J5509" s="284">
        <v>0</v>
      </c>
    </row>
    <row r="5510" spans="3:10" x14ac:dyDescent="0.25">
      <c r="C5510" s="300" t="s">
        <v>1058</v>
      </c>
      <c r="D5510" s="283" t="s">
        <v>1087</v>
      </c>
      <c r="E5510" s="283" t="s">
        <v>1075</v>
      </c>
      <c r="F5510" s="283" t="s">
        <v>524</v>
      </c>
      <c r="G5510" s="283">
        <v>1</v>
      </c>
      <c r="H5510" s="283">
        <v>0</v>
      </c>
      <c r="I5510" s="283">
        <v>0</v>
      </c>
      <c r="J5510" s="284">
        <v>1</v>
      </c>
    </row>
    <row r="5511" spans="3:10" x14ac:dyDescent="0.25">
      <c r="C5511" s="300" t="s">
        <v>1067</v>
      </c>
      <c r="D5511" s="283" t="s">
        <v>1074</v>
      </c>
      <c r="E5511" s="283" t="s">
        <v>1089</v>
      </c>
      <c r="F5511" s="283" t="s">
        <v>1089</v>
      </c>
      <c r="G5511" s="283">
        <v>3</v>
      </c>
      <c r="H5511" s="283">
        <v>0</v>
      </c>
      <c r="I5511" s="283">
        <v>0</v>
      </c>
      <c r="J5511" s="284">
        <v>1</v>
      </c>
    </row>
    <row r="5512" spans="3:10" x14ac:dyDescent="0.25">
      <c r="C5512" s="300" t="s">
        <v>1066</v>
      </c>
      <c r="D5512" s="283" t="s">
        <v>1090</v>
      </c>
      <c r="E5512" s="283" t="s">
        <v>1083</v>
      </c>
      <c r="F5512" s="283" t="s">
        <v>524</v>
      </c>
      <c r="G5512" s="283">
        <v>1</v>
      </c>
      <c r="H5512" s="283">
        <v>0</v>
      </c>
      <c r="I5512" s="283">
        <v>1</v>
      </c>
      <c r="J5512" s="284">
        <v>0</v>
      </c>
    </row>
    <row r="5513" spans="3:10" x14ac:dyDescent="0.25">
      <c r="C5513" s="300" t="s">
        <v>1063</v>
      </c>
      <c r="D5513" s="283" t="s">
        <v>1079</v>
      </c>
      <c r="E5513" s="283" t="s">
        <v>1075</v>
      </c>
      <c r="F5513" s="283" t="s">
        <v>1075</v>
      </c>
      <c r="G5513" s="283">
        <v>2</v>
      </c>
      <c r="H5513" s="283">
        <v>0</v>
      </c>
      <c r="I5513" s="283">
        <v>0</v>
      </c>
      <c r="J5513" s="284">
        <v>1</v>
      </c>
    </row>
    <row r="5514" spans="3:10" x14ac:dyDescent="0.25">
      <c r="C5514" s="300" t="s">
        <v>1065</v>
      </c>
      <c r="D5514" s="283" t="s">
        <v>1079</v>
      </c>
      <c r="E5514" s="283" t="s">
        <v>1076</v>
      </c>
      <c r="F5514" s="283" t="s">
        <v>1075</v>
      </c>
      <c r="G5514" s="283">
        <v>2</v>
      </c>
      <c r="H5514" s="283">
        <v>0</v>
      </c>
      <c r="I5514" s="283">
        <v>0</v>
      </c>
      <c r="J5514" s="284">
        <v>0</v>
      </c>
    </row>
    <row r="5515" spans="3:10" x14ac:dyDescent="0.25">
      <c r="C5515" s="300" t="s">
        <v>1061</v>
      </c>
      <c r="D5515" s="283" t="s">
        <v>1079</v>
      </c>
      <c r="E5515" s="283" t="s">
        <v>1075</v>
      </c>
      <c r="F5515" s="283" t="s">
        <v>1075</v>
      </c>
      <c r="G5515" s="283">
        <v>3</v>
      </c>
      <c r="H5515" s="283">
        <v>0</v>
      </c>
      <c r="I5515" s="283">
        <v>0</v>
      </c>
      <c r="J5515" s="284">
        <v>1</v>
      </c>
    </row>
    <row r="5516" spans="3:10" x14ac:dyDescent="0.25">
      <c r="C5516" s="300" t="s">
        <v>1066</v>
      </c>
      <c r="D5516" s="283" t="s">
        <v>1074</v>
      </c>
      <c r="E5516" s="283" t="s">
        <v>1078</v>
      </c>
      <c r="F5516" s="283" t="s">
        <v>1076</v>
      </c>
      <c r="G5516" s="283">
        <v>2</v>
      </c>
      <c r="H5516" s="283">
        <v>0</v>
      </c>
      <c r="I5516" s="283">
        <v>0</v>
      </c>
      <c r="J5516" s="284">
        <v>0</v>
      </c>
    </row>
    <row r="5517" spans="3:10" x14ac:dyDescent="0.25">
      <c r="C5517" s="300" t="s">
        <v>1066</v>
      </c>
      <c r="D5517" s="283" t="s">
        <v>1077</v>
      </c>
      <c r="E5517" s="283" t="s">
        <v>1075</v>
      </c>
      <c r="F5517" s="283" t="s">
        <v>1075</v>
      </c>
      <c r="G5517" s="283">
        <v>2</v>
      </c>
      <c r="H5517" s="283">
        <v>0</v>
      </c>
      <c r="I5517" s="283">
        <v>0</v>
      </c>
      <c r="J5517" s="284">
        <v>0</v>
      </c>
    </row>
    <row r="5518" spans="3:10" x14ac:dyDescent="0.25">
      <c r="C5518" s="300" t="s">
        <v>1066</v>
      </c>
      <c r="D5518" s="283" t="s">
        <v>1074</v>
      </c>
      <c r="E5518" s="283" t="s">
        <v>1075</v>
      </c>
      <c r="F5518" s="283" t="s">
        <v>1076</v>
      </c>
      <c r="G5518" s="283">
        <v>2</v>
      </c>
      <c r="H5518" s="283">
        <v>0</v>
      </c>
      <c r="I5518" s="283">
        <v>0</v>
      </c>
      <c r="J5518" s="284">
        <v>0</v>
      </c>
    </row>
    <row r="5519" spans="3:10" x14ac:dyDescent="0.25">
      <c r="C5519" s="300" t="s">
        <v>1059</v>
      </c>
      <c r="D5519" s="283" t="s">
        <v>1077</v>
      </c>
      <c r="E5519" s="283" t="s">
        <v>1075</v>
      </c>
      <c r="F5519" s="283" t="s">
        <v>1075</v>
      </c>
      <c r="G5519" s="283">
        <v>2</v>
      </c>
      <c r="H5519" s="283">
        <v>0</v>
      </c>
      <c r="I5519" s="283">
        <v>0</v>
      </c>
      <c r="J5519" s="284">
        <v>1</v>
      </c>
    </row>
    <row r="5520" spans="3:10" x14ac:dyDescent="0.25">
      <c r="C5520" s="300" t="s">
        <v>1063</v>
      </c>
      <c r="D5520" s="283" t="s">
        <v>1087</v>
      </c>
      <c r="E5520" s="283" t="s">
        <v>1118</v>
      </c>
      <c r="F5520" s="283" t="s">
        <v>524</v>
      </c>
      <c r="G5520" s="283">
        <v>1</v>
      </c>
      <c r="H5520" s="283">
        <v>0</v>
      </c>
      <c r="I5520" s="283">
        <v>0</v>
      </c>
      <c r="J5520" s="284">
        <v>0</v>
      </c>
    </row>
    <row r="5521" spans="3:10" x14ac:dyDescent="0.25">
      <c r="C5521" s="300" t="s">
        <v>1065</v>
      </c>
      <c r="D5521" s="283" t="s">
        <v>1087</v>
      </c>
      <c r="E5521" s="283" t="s">
        <v>1075</v>
      </c>
      <c r="F5521" s="283" t="s">
        <v>524</v>
      </c>
      <c r="G5521" s="283">
        <v>1</v>
      </c>
      <c r="H5521" s="283">
        <v>0</v>
      </c>
      <c r="I5521" s="283">
        <v>0</v>
      </c>
      <c r="J5521" s="284">
        <v>0</v>
      </c>
    </row>
    <row r="5522" spans="3:10" x14ac:dyDescent="0.25">
      <c r="C5522" s="300" t="s">
        <v>1063</v>
      </c>
      <c r="D5522" s="283" t="s">
        <v>1087</v>
      </c>
      <c r="E5522" s="283" t="s">
        <v>1075</v>
      </c>
      <c r="F5522" s="283" t="s">
        <v>1084</v>
      </c>
      <c r="G5522" s="283">
        <v>2</v>
      </c>
      <c r="H5522" s="283">
        <v>0</v>
      </c>
      <c r="I5522" s="283">
        <v>0</v>
      </c>
      <c r="J5522" s="284">
        <v>1</v>
      </c>
    </row>
    <row r="5523" spans="3:10" x14ac:dyDescent="0.25">
      <c r="C5523" s="300" t="s">
        <v>1064</v>
      </c>
      <c r="D5523" s="283" t="s">
        <v>1079</v>
      </c>
      <c r="E5523" s="283" t="s">
        <v>1075</v>
      </c>
      <c r="F5523" s="283" t="s">
        <v>1075</v>
      </c>
      <c r="G5523" s="283">
        <v>2</v>
      </c>
      <c r="H5523" s="283">
        <v>0</v>
      </c>
      <c r="I5523" s="283">
        <v>0</v>
      </c>
      <c r="J5523" s="284">
        <v>0</v>
      </c>
    </row>
    <row r="5524" spans="3:10" x14ac:dyDescent="0.25">
      <c r="C5524" s="300" t="s">
        <v>1064</v>
      </c>
      <c r="D5524" s="283" t="s">
        <v>1090</v>
      </c>
      <c r="E5524" s="283" t="s">
        <v>1083</v>
      </c>
      <c r="F5524" s="283" t="s">
        <v>524</v>
      </c>
      <c r="G5524" s="283">
        <v>1</v>
      </c>
      <c r="H5524" s="283">
        <v>0</v>
      </c>
      <c r="I5524" s="283">
        <v>0</v>
      </c>
      <c r="J5524" s="284">
        <v>0</v>
      </c>
    </row>
    <row r="5525" spans="3:10" x14ac:dyDescent="0.25">
      <c r="C5525" s="300" t="s">
        <v>1061</v>
      </c>
      <c r="D5525" s="283" t="s">
        <v>1077</v>
      </c>
      <c r="E5525" s="283" t="s">
        <v>1075</v>
      </c>
      <c r="F5525" s="283" t="s">
        <v>1089</v>
      </c>
      <c r="G5525" s="283">
        <v>4</v>
      </c>
      <c r="H5525" s="283">
        <v>0</v>
      </c>
      <c r="I5525" s="283">
        <v>0</v>
      </c>
      <c r="J5525" s="284">
        <v>0</v>
      </c>
    </row>
    <row r="5526" spans="3:10" x14ac:dyDescent="0.25">
      <c r="C5526" s="300" t="s">
        <v>1060</v>
      </c>
      <c r="D5526" s="283" t="s">
        <v>1077</v>
      </c>
      <c r="E5526" s="283" t="s">
        <v>1075</v>
      </c>
      <c r="F5526" s="283" t="s">
        <v>1075</v>
      </c>
      <c r="G5526" s="283">
        <v>3</v>
      </c>
      <c r="H5526" s="283">
        <v>0</v>
      </c>
      <c r="I5526" s="283">
        <v>0</v>
      </c>
      <c r="J5526" s="284">
        <v>0</v>
      </c>
    </row>
    <row r="5527" spans="3:10" x14ac:dyDescent="0.25">
      <c r="C5527" s="300" t="s">
        <v>1065</v>
      </c>
      <c r="D5527" s="283" t="s">
        <v>1077</v>
      </c>
      <c r="E5527" s="283" t="s">
        <v>1076</v>
      </c>
      <c r="F5527" s="283" t="s">
        <v>1089</v>
      </c>
      <c r="G5527" s="283">
        <v>3</v>
      </c>
      <c r="H5527" s="283">
        <v>0</v>
      </c>
      <c r="I5527" s="283">
        <v>0</v>
      </c>
      <c r="J5527" s="284">
        <v>0</v>
      </c>
    </row>
    <row r="5528" spans="3:10" x14ac:dyDescent="0.25">
      <c r="C5528" s="300" t="s">
        <v>1061</v>
      </c>
      <c r="D5528" s="283" t="s">
        <v>1079</v>
      </c>
      <c r="E5528" s="283" t="s">
        <v>1089</v>
      </c>
      <c r="F5528" s="283" t="s">
        <v>1078</v>
      </c>
      <c r="G5528" s="283">
        <v>2</v>
      </c>
      <c r="H5528" s="283">
        <v>0</v>
      </c>
      <c r="I5528" s="283">
        <v>0</v>
      </c>
      <c r="J5528" s="284">
        <v>0</v>
      </c>
    </row>
    <row r="5529" spans="3:10" x14ac:dyDescent="0.25">
      <c r="C5529" s="300" t="s">
        <v>1066</v>
      </c>
      <c r="D5529" s="283" t="s">
        <v>1079</v>
      </c>
      <c r="E5529" s="283" t="s">
        <v>1075</v>
      </c>
      <c r="F5529" s="283" t="s">
        <v>1075</v>
      </c>
      <c r="G5529" s="283">
        <v>2</v>
      </c>
      <c r="H5529" s="283">
        <v>0</v>
      </c>
      <c r="I5529" s="283">
        <v>0</v>
      </c>
      <c r="J5529" s="284">
        <v>0</v>
      </c>
    </row>
    <row r="5530" spans="3:10" x14ac:dyDescent="0.25">
      <c r="C5530" s="300" t="s">
        <v>1066</v>
      </c>
      <c r="D5530" s="283" t="s">
        <v>1079</v>
      </c>
      <c r="E5530" s="283" t="s">
        <v>1075</v>
      </c>
      <c r="F5530" s="283" t="s">
        <v>1089</v>
      </c>
      <c r="G5530" s="283">
        <v>2</v>
      </c>
      <c r="H5530" s="283">
        <v>0</v>
      </c>
      <c r="I5530" s="283">
        <v>0</v>
      </c>
      <c r="J5530" s="284">
        <v>0</v>
      </c>
    </row>
    <row r="5531" spans="3:10" x14ac:dyDescent="0.25">
      <c r="C5531" s="300" t="s">
        <v>1068</v>
      </c>
      <c r="D5531" s="283" t="s">
        <v>1079</v>
      </c>
      <c r="E5531" s="283" t="s">
        <v>1044</v>
      </c>
      <c r="F5531" s="283" t="s">
        <v>1089</v>
      </c>
      <c r="G5531" s="283">
        <v>2</v>
      </c>
      <c r="H5531" s="283">
        <v>0</v>
      </c>
      <c r="I5531" s="283">
        <v>0</v>
      </c>
      <c r="J5531" s="284">
        <v>0</v>
      </c>
    </row>
    <row r="5532" spans="3:10" x14ac:dyDescent="0.25">
      <c r="C5532" s="300" t="s">
        <v>1060</v>
      </c>
      <c r="D5532" s="283" t="s">
        <v>1077</v>
      </c>
      <c r="E5532" s="283" t="s">
        <v>1078</v>
      </c>
      <c r="F5532" s="283" t="s">
        <v>1089</v>
      </c>
      <c r="G5532" s="283">
        <v>2</v>
      </c>
      <c r="H5532" s="283">
        <v>0</v>
      </c>
      <c r="I5532" s="283">
        <v>0</v>
      </c>
      <c r="J5532" s="284">
        <v>0</v>
      </c>
    </row>
    <row r="5533" spans="3:10" x14ac:dyDescent="0.25">
      <c r="C5533" s="300" t="s">
        <v>1063</v>
      </c>
      <c r="D5533" s="283" t="s">
        <v>1077</v>
      </c>
      <c r="E5533" s="283" t="s">
        <v>1078</v>
      </c>
      <c r="F5533" s="283" t="s">
        <v>1078</v>
      </c>
      <c r="G5533" s="283">
        <v>2</v>
      </c>
      <c r="H5533" s="283">
        <v>0</v>
      </c>
      <c r="I5533" s="283">
        <v>0</v>
      </c>
      <c r="J5533" s="284">
        <v>0</v>
      </c>
    </row>
    <row r="5534" spans="3:10" x14ac:dyDescent="0.25">
      <c r="C5534" s="300" t="s">
        <v>1066</v>
      </c>
      <c r="D5534" s="283" t="s">
        <v>1079</v>
      </c>
      <c r="E5534" s="283" t="s">
        <v>1076</v>
      </c>
      <c r="F5534" s="283" t="s">
        <v>1075</v>
      </c>
      <c r="G5534" s="283">
        <v>2</v>
      </c>
      <c r="H5534" s="283">
        <v>0</v>
      </c>
      <c r="I5534" s="283">
        <v>0</v>
      </c>
      <c r="J5534" s="284">
        <v>0</v>
      </c>
    </row>
    <row r="5535" spans="3:10" x14ac:dyDescent="0.25">
      <c r="C5535" s="300" t="s">
        <v>1064</v>
      </c>
      <c r="D5535" s="283" t="s">
        <v>1077</v>
      </c>
      <c r="E5535" s="283" t="s">
        <v>1078</v>
      </c>
      <c r="F5535" s="283" t="s">
        <v>1075</v>
      </c>
      <c r="G5535" s="283">
        <v>2</v>
      </c>
      <c r="H5535" s="283">
        <v>0</v>
      </c>
      <c r="I5535" s="283">
        <v>0</v>
      </c>
      <c r="J5535" s="284">
        <v>0</v>
      </c>
    </row>
    <row r="5536" spans="3:10" x14ac:dyDescent="0.25">
      <c r="C5536" s="300" t="s">
        <v>1061</v>
      </c>
      <c r="D5536" s="283" t="s">
        <v>1074</v>
      </c>
      <c r="E5536" s="283" t="s">
        <v>1075</v>
      </c>
      <c r="F5536" s="283" t="s">
        <v>1075</v>
      </c>
      <c r="G5536" s="283">
        <v>2</v>
      </c>
      <c r="H5536" s="283">
        <v>0</v>
      </c>
      <c r="I5536" s="283">
        <v>0</v>
      </c>
      <c r="J5536" s="284">
        <v>0</v>
      </c>
    </row>
    <row r="5537" spans="3:10" x14ac:dyDescent="0.25">
      <c r="C5537" s="300" t="s">
        <v>1064</v>
      </c>
      <c r="D5537" s="283" t="s">
        <v>1082</v>
      </c>
      <c r="E5537" s="283" t="s">
        <v>1075</v>
      </c>
      <c r="F5537" s="283" t="s">
        <v>1076</v>
      </c>
      <c r="G5537" s="283">
        <v>2</v>
      </c>
      <c r="H5537" s="283">
        <v>0</v>
      </c>
      <c r="I5537" s="283">
        <v>0</v>
      </c>
      <c r="J5537" s="284">
        <v>0</v>
      </c>
    </row>
    <row r="5538" spans="3:10" x14ac:dyDescent="0.25">
      <c r="C5538" s="300" t="s">
        <v>1064</v>
      </c>
      <c r="D5538" s="283" t="s">
        <v>1087</v>
      </c>
      <c r="E5538" s="283" t="s">
        <v>1075</v>
      </c>
      <c r="F5538" s="283" t="s">
        <v>524</v>
      </c>
      <c r="G5538" s="283">
        <v>1</v>
      </c>
      <c r="H5538" s="283">
        <v>0</v>
      </c>
      <c r="I5538" s="283">
        <v>0</v>
      </c>
      <c r="J5538" s="284">
        <v>0</v>
      </c>
    </row>
    <row r="5539" spans="3:10" x14ac:dyDescent="0.25">
      <c r="C5539" s="300" t="s">
        <v>1063</v>
      </c>
      <c r="D5539" s="283" t="s">
        <v>1079</v>
      </c>
      <c r="E5539" s="283" t="s">
        <v>1075</v>
      </c>
      <c r="F5539" s="283" t="s">
        <v>1075</v>
      </c>
      <c r="G5539" s="283">
        <v>2</v>
      </c>
      <c r="H5539" s="283">
        <v>0</v>
      </c>
      <c r="I5539" s="283">
        <v>0</v>
      </c>
      <c r="J5539" s="284">
        <v>0</v>
      </c>
    </row>
    <row r="5540" spans="3:10" x14ac:dyDescent="0.25">
      <c r="C5540" s="300" t="s">
        <v>1062</v>
      </c>
      <c r="D5540" s="283" t="s">
        <v>1079</v>
      </c>
      <c r="E5540" s="283" t="s">
        <v>1075</v>
      </c>
      <c r="F5540" s="283" t="s">
        <v>1078</v>
      </c>
      <c r="G5540" s="283">
        <v>2</v>
      </c>
      <c r="H5540" s="283">
        <v>0</v>
      </c>
      <c r="I5540" s="283">
        <v>0</v>
      </c>
      <c r="J5540" s="284">
        <v>0</v>
      </c>
    </row>
    <row r="5541" spans="3:10" x14ac:dyDescent="0.25">
      <c r="C5541" s="300" t="s">
        <v>1065</v>
      </c>
      <c r="D5541" s="283" t="s">
        <v>1074</v>
      </c>
      <c r="E5541" s="283" t="s">
        <v>1075</v>
      </c>
      <c r="F5541" s="283" t="s">
        <v>1075</v>
      </c>
      <c r="G5541" s="283">
        <v>2</v>
      </c>
      <c r="H5541" s="283">
        <v>0</v>
      </c>
      <c r="I5541" s="283">
        <v>0</v>
      </c>
      <c r="J5541" s="284">
        <v>0</v>
      </c>
    </row>
    <row r="5542" spans="3:10" x14ac:dyDescent="0.25">
      <c r="C5542" s="300" t="s">
        <v>1059</v>
      </c>
      <c r="D5542" s="283" t="s">
        <v>1074</v>
      </c>
      <c r="E5542" s="283" t="s">
        <v>1078</v>
      </c>
      <c r="F5542" s="283" t="s">
        <v>1075</v>
      </c>
      <c r="G5542" s="283">
        <v>2</v>
      </c>
      <c r="H5542" s="283">
        <v>0</v>
      </c>
      <c r="I5542" s="283">
        <v>0</v>
      </c>
      <c r="J5542" s="284">
        <v>0</v>
      </c>
    </row>
    <row r="5543" spans="3:10" x14ac:dyDescent="0.25">
      <c r="C5543" s="300" t="s">
        <v>1065</v>
      </c>
      <c r="D5543" s="283" t="s">
        <v>1095</v>
      </c>
      <c r="E5543" s="283" t="s">
        <v>1086</v>
      </c>
      <c r="F5543" s="283" t="s">
        <v>1075</v>
      </c>
      <c r="G5543" s="283">
        <v>3</v>
      </c>
      <c r="H5543" s="283">
        <v>0</v>
      </c>
      <c r="I5543" s="283">
        <v>0</v>
      </c>
      <c r="J5543" s="284">
        <v>0</v>
      </c>
    </row>
    <row r="5544" spans="3:10" x14ac:dyDescent="0.25">
      <c r="C5544" s="300" t="s">
        <v>1065</v>
      </c>
      <c r="D5544" s="283" t="s">
        <v>1077</v>
      </c>
      <c r="E5544" s="283" t="s">
        <v>1075</v>
      </c>
      <c r="F5544" s="283" t="s">
        <v>1086</v>
      </c>
      <c r="G5544" s="283">
        <v>2</v>
      </c>
      <c r="H5544" s="283">
        <v>0</v>
      </c>
      <c r="I5544" s="283">
        <v>1</v>
      </c>
      <c r="J5544" s="284">
        <v>0</v>
      </c>
    </row>
    <row r="5545" spans="3:10" x14ac:dyDescent="0.25">
      <c r="C5545" s="300" t="s">
        <v>1062</v>
      </c>
      <c r="D5545" s="283" t="s">
        <v>1043</v>
      </c>
      <c r="E5545" s="283" t="s">
        <v>1075</v>
      </c>
      <c r="F5545" s="283" t="s">
        <v>1104</v>
      </c>
      <c r="G5545" s="283">
        <v>2</v>
      </c>
      <c r="H5545" s="283">
        <v>0</v>
      </c>
      <c r="I5545" s="283">
        <v>0</v>
      </c>
      <c r="J5545" s="284">
        <v>0</v>
      </c>
    </row>
    <row r="5546" spans="3:10" x14ac:dyDescent="0.25">
      <c r="C5546" s="300" t="s">
        <v>1065</v>
      </c>
      <c r="D5546" s="283" t="s">
        <v>1077</v>
      </c>
      <c r="E5546" s="283" t="s">
        <v>1078</v>
      </c>
      <c r="F5546" s="283" t="s">
        <v>1075</v>
      </c>
      <c r="G5546" s="283">
        <v>3</v>
      </c>
      <c r="H5546" s="283">
        <v>0</v>
      </c>
      <c r="I5546" s="283">
        <v>0</v>
      </c>
      <c r="J5546" s="284">
        <v>0</v>
      </c>
    </row>
    <row r="5547" spans="3:10" x14ac:dyDescent="0.25">
      <c r="C5547" s="300" t="s">
        <v>1067</v>
      </c>
      <c r="D5547" s="283" t="s">
        <v>1074</v>
      </c>
      <c r="E5547" s="283" t="s">
        <v>1075</v>
      </c>
      <c r="F5547" s="283" t="s">
        <v>1089</v>
      </c>
      <c r="G5547" s="283">
        <v>2</v>
      </c>
      <c r="H5547" s="283">
        <v>0</v>
      </c>
      <c r="I5547" s="283">
        <v>0</v>
      </c>
      <c r="J5547" s="284">
        <v>0</v>
      </c>
    </row>
    <row r="5548" spans="3:10" x14ac:dyDescent="0.25">
      <c r="C5548" s="300" t="s">
        <v>1062</v>
      </c>
      <c r="D5548" s="283" t="s">
        <v>1079</v>
      </c>
      <c r="E5548" s="283" t="s">
        <v>1075</v>
      </c>
      <c r="F5548" s="283" t="s">
        <v>1076</v>
      </c>
      <c r="G5548" s="283">
        <v>2</v>
      </c>
      <c r="H5548" s="283">
        <v>0</v>
      </c>
      <c r="I5548" s="283">
        <v>0</v>
      </c>
      <c r="J5548" s="284">
        <v>0</v>
      </c>
    </row>
    <row r="5549" spans="3:10" x14ac:dyDescent="0.25">
      <c r="C5549" s="300" t="s">
        <v>1059</v>
      </c>
      <c r="D5549" s="283" t="s">
        <v>1079</v>
      </c>
      <c r="E5549" s="283" t="s">
        <v>1075</v>
      </c>
      <c r="F5549" s="283" t="s">
        <v>1075</v>
      </c>
      <c r="G5549" s="283">
        <v>2</v>
      </c>
      <c r="H5549" s="283">
        <v>0</v>
      </c>
      <c r="I5549" s="283">
        <v>0</v>
      </c>
      <c r="J5549" s="284">
        <v>0</v>
      </c>
    </row>
    <row r="5550" spans="3:10" x14ac:dyDescent="0.25">
      <c r="C5550" s="300" t="s">
        <v>1064</v>
      </c>
      <c r="D5550" s="283" t="s">
        <v>1077</v>
      </c>
      <c r="E5550" s="283" t="s">
        <v>1075</v>
      </c>
      <c r="F5550" s="283" t="s">
        <v>1075</v>
      </c>
      <c r="G5550" s="283">
        <v>2</v>
      </c>
      <c r="H5550" s="283">
        <v>0</v>
      </c>
      <c r="I5550" s="283">
        <v>0</v>
      </c>
      <c r="J5550" s="284">
        <v>0</v>
      </c>
    </row>
    <row r="5551" spans="3:10" x14ac:dyDescent="0.25">
      <c r="C5551" s="300" t="s">
        <v>1066</v>
      </c>
      <c r="D5551" s="283" t="s">
        <v>1090</v>
      </c>
      <c r="E5551" s="283" t="s">
        <v>1076</v>
      </c>
      <c r="F5551" s="283" t="s">
        <v>524</v>
      </c>
      <c r="G5551" s="283">
        <v>1</v>
      </c>
      <c r="H5551" s="283">
        <v>0</v>
      </c>
      <c r="I5551" s="283">
        <v>0</v>
      </c>
      <c r="J5551" s="284">
        <v>0</v>
      </c>
    </row>
    <row r="5552" spans="3:10" x14ac:dyDescent="0.25">
      <c r="C5552" s="300" t="s">
        <v>1067</v>
      </c>
      <c r="D5552" s="283" t="s">
        <v>1079</v>
      </c>
      <c r="E5552" s="283" t="s">
        <v>1075</v>
      </c>
      <c r="F5552" s="283" t="s">
        <v>1075</v>
      </c>
      <c r="G5552" s="283">
        <v>2</v>
      </c>
      <c r="H5552" s="283">
        <v>0</v>
      </c>
      <c r="I5552" s="283">
        <v>0</v>
      </c>
      <c r="J5552" s="284">
        <v>0</v>
      </c>
    </row>
    <row r="5553" spans="3:10" x14ac:dyDescent="0.25">
      <c r="C5553" s="300" t="s">
        <v>1063</v>
      </c>
      <c r="D5553" s="283" t="s">
        <v>1077</v>
      </c>
      <c r="E5553" s="283" t="s">
        <v>1076</v>
      </c>
      <c r="F5553" s="283" t="s">
        <v>1084</v>
      </c>
      <c r="G5553" s="283">
        <v>2</v>
      </c>
      <c r="H5553" s="283">
        <v>0</v>
      </c>
      <c r="I5553" s="283">
        <v>0</v>
      </c>
      <c r="J5553" s="284">
        <v>0</v>
      </c>
    </row>
    <row r="5554" spans="3:10" x14ac:dyDescent="0.25">
      <c r="C5554" s="300" t="s">
        <v>1065</v>
      </c>
      <c r="D5554" s="283" t="s">
        <v>1074</v>
      </c>
      <c r="E5554" s="283" t="s">
        <v>1078</v>
      </c>
      <c r="F5554" s="283" t="s">
        <v>1044</v>
      </c>
      <c r="G5554" s="283">
        <v>2</v>
      </c>
      <c r="H5554" s="283">
        <v>0</v>
      </c>
      <c r="I5554" s="283">
        <v>0</v>
      </c>
      <c r="J5554" s="284">
        <v>0</v>
      </c>
    </row>
    <row r="5555" spans="3:10" x14ac:dyDescent="0.25">
      <c r="C5555" s="300" t="s">
        <v>1067</v>
      </c>
      <c r="D5555" s="283" t="s">
        <v>1082</v>
      </c>
      <c r="E5555" s="283" t="s">
        <v>1075</v>
      </c>
      <c r="F5555" s="283" t="s">
        <v>1075</v>
      </c>
      <c r="G5555" s="283">
        <v>2</v>
      </c>
      <c r="H5555" s="283">
        <v>0</v>
      </c>
      <c r="I5555" s="283">
        <v>0</v>
      </c>
      <c r="J5555" s="284">
        <v>0</v>
      </c>
    </row>
    <row r="5556" spans="3:10" x14ac:dyDescent="0.25">
      <c r="C5556" s="300" t="s">
        <v>1064</v>
      </c>
      <c r="D5556" s="283" t="s">
        <v>1077</v>
      </c>
      <c r="E5556" s="283" t="s">
        <v>1076</v>
      </c>
      <c r="F5556" s="283" t="s">
        <v>1075</v>
      </c>
      <c r="G5556" s="283">
        <v>2</v>
      </c>
      <c r="H5556" s="283">
        <v>0</v>
      </c>
      <c r="I5556" s="283">
        <v>0</v>
      </c>
      <c r="J5556" s="284">
        <v>0</v>
      </c>
    </row>
    <row r="5557" spans="3:10" x14ac:dyDescent="0.25">
      <c r="C5557" s="300" t="s">
        <v>1068</v>
      </c>
      <c r="D5557" s="283" t="s">
        <v>1079</v>
      </c>
      <c r="E5557" s="283" t="s">
        <v>1089</v>
      </c>
      <c r="F5557" s="283" t="s">
        <v>1089</v>
      </c>
      <c r="G5557" s="283">
        <v>3</v>
      </c>
      <c r="H5557" s="283">
        <v>0</v>
      </c>
      <c r="I5557" s="283">
        <v>0</v>
      </c>
      <c r="J5557" s="284">
        <v>0</v>
      </c>
    </row>
    <row r="5558" spans="3:10" x14ac:dyDescent="0.25">
      <c r="C5558" s="300" t="s">
        <v>1065</v>
      </c>
      <c r="D5558" s="283" t="s">
        <v>1077</v>
      </c>
      <c r="E5558" s="283" t="s">
        <v>1075</v>
      </c>
      <c r="F5558" s="283" t="s">
        <v>1094</v>
      </c>
      <c r="G5558" s="283">
        <v>2</v>
      </c>
      <c r="H5558" s="283">
        <v>0</v>
      </c>
      <c r="I5558" s="283">
        <v>0</v>
      </c>
      <c r="J5558" s="284">
        <v>0</v>
      </c>
    </row>
    <row r="5559" spans="3:10" x14ac:dyDescent="0.25">
      <c r="C5559" s="300" t="s">
        <v>1059</v>
      </c>
      <c r="D5559" s="283" t="s">
        <v>1077</v>
      </c>
      <c r="E5559" s="283" t="s">
        <v>1083</v>
      </c>
      <c r="F5559" s="283" t="s">
        <v>1075</v>
      </c>
      <c r="G5559" s="283">
        <v>2</v>
      </c>
      <c r="H5559" s="283">
        <v>0</v>
      </c>
      <c r="I5559" s="283">
        <v>0</v>
      </c>
      <c r="J5559" s="284">
        <v>1</v>
      </c>
    </row>
    <row r="5560" spans="3:10" x14ac:dyDescent="0.25">
      <c r="C5560" s="300" t="s">
        <v>1064</v>
      </c>
      <c r="D5560" s="283" t="s">
        <v>1106</v>
      </c>
      <c r="E5560" s="283" t="s">
        <v>1089</v>
      </c>
      <c r="F5560" s="283" t="s">
        <v>524</v>
      </c>
      <c r="G5560" s="283">
        <v>1</v>
      </c>
      <c r="H5560" s="283">
        <v>0</v>
      </c>
      <c r="I5560" s="283">
        <v>0</v>
      </c>
      <c r="J5560" s="284">
        <v>1</v>
      </c>
    </row>
    <row r="5561" spans="3:10" x14ac:dyDescent="0.25">
      <c r="C5561" s="300" t="s">
        <v>1060</v>
      </c>
      <c r="D5561" s="283" t="s">
        <v>1074</v>
      </c>
      <c r="E5561" s="283" t="s">
        <v>1075</v>
      </c>
      <c r="F5561" s="283" t="s">
        <v>1044</v>
      </c>
      <c r="G5561" s="283">
        <v>2</v>
      </c>
      <c r="H5561" s="283">
        <v>0</v>
      </c>
      <c r="I5561" s="283">
        <v>0</v>
      </c>
      <c r="J5561" s="284">
        <v>1</v>
      </c>
    </row>
    <row r="5562" spans="3:10" x14ac:dyDescent="0.25">
      <c r="C5562" s="300" t="s">
        <v>1063</v>
      </c>
      <c r="D5562" s="283" t="s">
        <v>1079</v>
      </c>
      <c r="E5562" s="283" t="s">
        <v>1044</v>
      </c>
      <c r="F5562" s="283" t="s">
        <v>1075</v>
      </c>
      <c r="G5562" s="283">
        <v>2</v>
      </c>
      <c r="H5562" s="283">
        <v>0</v>
      </c>
      <c r="I5562" s="283">
        <v>0</v>
      </c>
      <c r="J5562" s="284">
        <v>1</v>
      </c>
    </row>
    <row r="5563" spans="3:10" x14ac:dyDescent="0.25">
      <c r="C5563" s="300" t="s">
        <v>1064</v>
      </c>
      <c r="D5563" s="283" t="s">
        <v>1087</v>
      </c>
      <c r="E5563" s="283" t="s">
        <v>1075</v>
      </c>
      <c r="F5563" s="283" t="s">
        <v>524</v>
      </c>
      <c r="G5563" s="283">
        <v>2</v>
      </c>
      <c r="H5563" s="283">
        <v>0</v>
      </c>
      <c r="I5563" s="283">
        <v>0</v>
      </c>
      <c r="J5563" s="284">
        <v>0</v>
      </c>
    </row>
    <row r="5564" spans="3:10" x14ac:dyDescent="0.25">
      <c r="C5564" s="300" t="s">
        <v>1064</v>
      </c>
      <c r="D5564" s="283" t="s">
        <v>1079</v>
      </c>
      <c r="E5564" s="283" t="s">
        <v>1076</v>
      </c>
      <c r="F5564" s="283" t="s">
        <v>1075</v>
      </c>
      <c r="G5564" s="283">
        <v>2</v>
      </c>
      <c r="H5564" s="283">
        <v>0</v>
      </c>
      <c r="I5564" s="283">
        <v>0</v>
      </c>
      <c r="J5564" s="284">
        <v>0</v>
      </c>
    </row>
    <row r="5565" spans="3:10" x14ac:dyDescent="0.25">
      <c r="C5565" s="300" t="s">
        <v>1063</v>
      </c>
      <c r="D5565" s="283" t="s">
        <v>1077</v>
      </c>
      <c r="E5565" s="283" t="s">
        <v>1080</v>
      </c>
      <c r="F5565" s="283" t="s">
        <v>1084</v>
      </c>
      <c r="G5565" s="283">
        <v>2</v>
      </c>
      <c r="H5565" s="283">
        <v>0</v>
      </c>
      <c r="I5565" s="283">
        <v>0</v>
      </c>
      <c r="J5565" s="284">
        <v>0</v>
      </c>
    </row>
    <row r="5566" spans="3:10" x14ac:dyDescent="0.25">
      <c r="C5566" s="300" t="s">
        <v>1060</v>
      </c>
      <c r="D5566" s="283" t="s">
        <v>1074</v>
      </c>
      <c r="E5566" s="283" t="s">
        <v>1075</v>
      </c>
      <c r="F5566" s="283" t="s">
        <v>1076</v>
      </c>
      <c r="G5566" s="283">
        <v>2</v>
      </c>
      <c r="H5566" s="283">
        <v>0</v>
      </c>
      <c r="I5566" s="283">
        <v>0</v>
      </c>
      <c r="J5566" s="284">
        <v>0</v>
      </c>
    </row>
    <row r="5567" spans="3:10" x14ac:dyDescent="0.25">
      <c r="C5567" s="300" t="s">
        <v>1067</v>
      </c>
      <c r="D5567" s="283" t="s">
        <v>1077</v>
      </c>
      <c r="E5567" s="283" t="s">
        <v>1076</v>
      </c>
      <c r="F5567" s="283" t="s">
        <v>1075</v>
      </c>
      <c r="G5567" s="283">
        <v>2</v>
      </c>
      <c r="H5567" s="283">
        <v>0</v>
      </c>
      <c r="I5567" s="283">
        <v>0</v>
      </c>
      <c r="J5567" s="284">
        <v>1</v>
      </c>
    </row>
    <row r="5568" spans="3:10" x14ac:dyDescent="0.25">
      <c r="C5568" s="300" t="s">
        <v>1066</v>
      </c>
      <c r="D5568" s="283" t="s">
        <v>1077</v>
      </c>
      <c r="E5568" s="283" t="s">
        <v>1075</v>
      </c>
      <c r="F5568" s="283" t="s">
        <v>1075</v>
      </c>
      <c r="G5568" s="283">
        <v>2</v>
      </c>
      <c r="H5568" s="283">
        <v>0</v>
      </c>
      <c r="I5568" s="283">
        <v>0</v>
      </c>
      <c r="J5568" s="284">
        <v>0</v>
      </c>
    </row>
    <row r="5569" spans="3:10" x14ac:dyDescent="0.25">
      <c r="C5569" s="300" t="s">
        <v>1060</v>
      </c>
      <c r="D5569" s="283" t="s">
        <v>1079</v>
      </c>
      <c r="E5569" s="283" t="s">
        <v>1086</v>
      </c>
      <c r="F5569" s="283" t="s">
        <v>1089</v>
      </c>
      <c r="G5569" s="283">
        <v>2</v>
      </c>
      <c r="H5569" s="283">
        <v>0</v>
      </c>
      <c r="I5569" s="283">
        <v>1</v>
      </c>
      <c r="J5569" s="284">
        <v>0</v>
      </c>
    </row>
    <row r="5570" spans="3:10" x14ac:dyDescent="0.25">
      <c r="C5570" s="300" t="s">
        <v>1059</v>
      </c>
      <c r="D5570" s="283" t="s">
        <v>1043</v>
      </c>
      <c r="E5570" s="283" t="s">
        <v>1075</v>
      </c>
      <c r="F5570" s="283" t="s">
        <v>1092</v>
      </c>
      <c r="G5570" s="283">
        <v>2</v>
      </c>
      <c r="H5570" s="283">
        <v>1</v>
      </c>
      <c r="I5570" s="283">
        <v>0</v>
      </c>
      <c r="J5570" s="284">
        <v>1</v>
      </c>
    </row>
    <row r="5571" spans="3:10" x14ac:dyDescent="0.25">
      <c r="C5571" s="300" t="s">
        <v>1064</v>
      </c>
      <c r="D5571" s="283" t="s">
        <v>1043</v>
      </c>
      <c r="E5571" s="283" t="s">
        <v>1075</v>
      </c>
      <c r="F5571" s="283" t="s">
        <v>1092</v>
      </c>
      <c r="G5571" s="283">
        <v>2</v>
      </c>
      <c r="H5571" s="283">
        <v>1</v>
      </c>
      <c r="I5571" s="283">
        <v>0</v>
      </c>
      <c r="J5571" s="284">
        <v>1</v>
      </c>
    </row>
    <row r="5572" spans="3:10" x14ac:dyDescent="0.25">
      <c r="C5572" s="300" t="s">
        <v>1064</v>
      </c>
      <c r="D5572" s="283" t="s">
        <v>1087</v>
      </c>
      <c r="E5572" s="283" t="s">
        <v>1075</v>
      </c>
      <c r="F5572" s="283" t="s">
        <v>524</v>
      </c>
      <c r="G5572" s="283">
        <v>1</v>
      </c>
      <c r="H5572" s="283">
        <v>1</v>
      </c>
      <c r="I5572" s="283">
        <v>0</v>
      </c>
      <c r="J5572" s="284">
        <v>0</v>
      </c>
    </row>
    <row r="5573" spans="3:10" x14ac:dyDescent="0.25">
      <c r="C5573" s="300" t="s">
        <v>1065</v>
      </c>
      <c r="D5573" s="283" t="s">
        <v>1087</v>
      </c>
      <c r="E5573" s="283" t="s">
        <v>1075</v>
      </c>
      <c r="F5573" s="283" t="s">
        <v>524</v>
      </c>
      <c r="G5573" s="283">
        <v>1</v>
      </c>
      <c r="H5573" s="283">
        <v>0</v>
      </c>
      <c r="I5573" s="283">
        <v>0</v>
      </c>
      <c r="J5573" s="284">
        <v>0</v>
      </c>
    </row>
    <row r="5574" spans="3:10" x14ac:dyDescent="0.25">
      <c r="C5574" s="300" t="s">
        <v>1060</v>
      </c>
      <c r="D5574" s="283" t="s">
        <v>1079</v>
      </c>
      <c r="E5574" s="283" t="s">
        <v>1078</v>
      </c>
      <c r="F5574" s="283" t="s">
        <v>1075</v>
      </c>
      <c r="G5574" s="283">
        <v>2</v>
      </c>
      <c r="H5574" s="283">
        <v>0</v>
      </c>
      <c r="I5574" s="283">
        <v>0</v>
      </c>
      <c r="J5574" s="284">
        <v>1</v>
      </c>
    </row>
    <row r="5575" spans="3:10" x14ac:dyDescent="0.25">
      <c r="C5575" s="300" t="s">
        <v>1064</v>
      </c>
      <c r="D5575" s="283" t="s">
        <v>1077</v>
      </c>
      <c r="E5575" s="283" t="s">
        <v>1089</v>
      </c>
      <c r="F5575" s="283" t="s">
        <v>1075</v>
      </c>
      <c r="G5575" s="283">
        <v>3</v>
      </c>
      <c r="H5575" s="283">
        <v>0</v>
      </c>
      <c r="I5575" s="283">
        <v>0</v>
      </c>
      <c r="J5575" s="284">
        <v>1</v>
      </c>
    </row>
    <row r="5576" spans="3:10" x14ac:dyDescent="0.25">
      <c r="C5576" s="300" t="s">
        <v>1060</v>
      </c>
      <c r="D5576" s="283" t="s">
        <v>1079</v>
      </c>
      <c r="E5576" s="283" t="s">
        <v>1084</v>
      </c>
      <c r="F5576" s="283" t="s">
        <v>1075</v>
      </c>
      <c r="G5576" s="283">
        <v>2</v>
      </c>
      <c r="H5576" s="283">
        <v>0</v>
      </c>
      <c r="I5576" s="283">
        <v>0</v>
      </c>
      <c r="J5576" s="284">
        <v>0</v>
      </c>
    </row>
    <row r="5577" spans="3:10" x14ac:dyDescent="0.25">
      <c r="C5577" s="300" t="s">
        <v>1062</v>
      </c>
      <c r="D5577" s="283" t="s">
        <v>1079</v>
      </c>
      <c r="E5577" s="283" t="s">
        <v>1075</v>
      </c>
      <c r="F5577" s="283" t="s">
        <v>1075</v>
      </c>
      <c r="G5577" s="283">
        <v>2</v>
      </c>
      <c r="H5577" s="283">
        <v>0</v>
      </c>
      <c r="I5577" s="283">
        <v>0</v>
      </c>
      <c r="J5577" s="284">
        <v>0</v>
      </c>
    </row>
    <row r="5578" spans="3:10" x14ac:dyDescent="0.25">
      <c r="C5578" s="300" t="s">
        <v>1061</v>
      </c>
      <c r="D5578" s="283" t="s">
        <v>1079</v>
      </c>
      <c r="E5578" s="283" t="s">
        <v>1075</v>
      </c>
      <c r="F5578" s="283" t="s">
        <v>1075</v>
      </c>
      <c r="G5578" s="283">
        <v>3</v>
      </c>
      <c r="H5578" s="283">
        <v>0</v>
      </c>
      <c r="I5578" s="283">
        <v>0</v>
      </c>
      <c r="J5578" s="284">
        <v>0</v>
      </c>
    </row>
    <row r="5579" spans="3:10" x14ac:dyDescent="0.25">
      <c r="C5579" s="300" t="s">
        <v>1065</v>
      </c>
      <c r="D5579" s="283" t="s">
        <v>1087</v>
      </c>
      <c r="E5579" s="283" t="s">
        <v>1083</v>
      </c>
      <c r="F5579" s="283" t="s">
        <v>524</v>
      </c>
      <c r="G5579" s="283">
        <v>1</v>
      </c>
      <c r="H5579" s="283">
        <v>0</v>
      </c>
      <c r="I5579" s="283">
        <v>0</v>
      </c>
      <c r="J5579" s="284">
        <v>0</v>
      </c>
    </row>
    <row r="5580" spans="3:10" x14ac:dyDescent="0.25">
      <c r="C5580" s="300" t="s">
        <v>1062</v>
      </c>
      <c r="D5580" s="283" t="s">
        <v>1079</v>
      </c>
      <c r="E5580" s="283" t="s">
        <v>1080</v>
      </c>
      <c r="F5580" s="283" t="s">
        <v>1075</v>
      </c>
      <c r="G5580" s="283">
        <v>2</v>
      </c>
      <c r="H5580" s="283">
        <v>0</v>
      </c>
      <c r="I5580" s="283">
        <v>0</v>
      </c>
      <c r="J5580" s="284">
        <v>1</v>
      </c>
    </row>
    <row r="5581" spans="3:10" x14ac:dyDescent="0.25">
      <c r="C5581" s="300" t="s">
        <v>1068</v>
      </c>
      <c r="D5581" s="283" t="s">
        <v>1079</v>
      </c>
      <c r="E5581" s="283" t="s">
        <v>1075</v>
      </c>
      <c r="F5581" s="283" t="s">
        <v>1076</v>
      </c>
      <c r="G5581" s="283">
        <v>2</v>
      </c>
      <c r="H5581" s="283">
        <v>0</v>
      </c>
      <c r="I5581" s="283">
        <v>1</v>
      </c>
      <c r="J5581" s="284">
        <v>0</v>
      </c>
    </row>
    <row r="5582" spans="3:10" x14ac:dyDescent="0.25">
      <c r="C5582" s="300" t="s">
        <v>1061</v>
      </c>
      <c r="D5582" s="283" t="s">
        <v>1082</v>
      </c>
      <c r="E5582" s="283" t="s">
        <v>1075</v>
      </c>
      <c r="F5582" s="283" t="s">
        <v>1089</v>
      </c>
      <c r="G5582" s="283">
        <v>2</v>
      </c>
      <c r="H5582" s="283">
        <v>0</v>
      </c>
      <c r="I5582" s="283">
        <v>1</v>
      </c>
      <c r="J5582" s="284">
        <v>0</v>
      </c>
    </row>
    <row r="5583" spans="3:10" x14ac:dyDescent="0.25">
      <c r="C5583" s="300" t="s">
        <v>1064</v>
      </c>
      <c r="D5583" s="283" t="s">
        <v>1074</v>
      </c>
      <c r="E5583" s="283" t="s">
        <v>1075</v>
      </c>
      <c r="F5583" s="283" t="s">
        <v>1089</v>
      </c>
      <c r="G5583" s="283">
        <v>2</v>
      </c>
      <c r="H5583" s="283">
        <v>0</v>
      </c>
      <c r="I5583" s="283">
        <v>0</v>
      </c>
      <c r="J5583" s="284">
        <v>0</v>
      </c>
    </row>
    <row r="5584" spans="3:10" x14ac:dyDescent="0.25">
      <c r="C5584" s="300" t="s">
        <v>1068</v>
      </c>
      <c r="D5584" s="283" t="s">
        <v>1087</v>
      </c>
      <c r="E5584" s="283" t="s">
        <v>1075</v>
      </c>
      <c r="F5584" s="283" t="s">
        <v>524</v>
      </c>
      <c r="G5584" s="283">
        <v>1</v>
      </c>
      <c r="H5584" s="283">
        <v>0</v>
      </c>
      <c r="I5584" s="283">
        <v>0</v>
      </c>
      <c r="J5584" s="284">
        <v>0</v>
      </c>
    </row>
    <row r="5585" spans="3:10" x14ac:dyDescent="0.25">
      <c r="C5585" s="300" t="s">
        <v>1068</v>
      </c>
      <c r="D5585" s="283" t="s">
        <v>1079</v>
      </c>
      <c r="E5585" s="283" t="s">
        <v>1075</v>
      </c>
      <c r="F5585" s="283" t="s">
        <v>1083</v>
      </c>
      <c r="G5585" s="283">
        <v>2</v>
      </c>
      <c r="H5585" s="283">
        <v>0</v>
      </c>
      <c r="I5585" s="283">
        <v>1</v>
      </c>
      <c r="J5585" s="284">
        <v>0</v>
      </c>
    </row>
    <row r="5586" spans="3:10" x14ac:dyDescent="0.25">
      <c r="C5586" s="300" t="s">
        <v>1064</v>
      </c>
      <c r="D5586" s="283" t="s">
        <v>1077</v>
      </c>
      <c r="E5586" s="283" t="s">
        <v>1076</v>
      </c>
      <c r="F5586" s="283" t="s">
        <v>1089</v>
      </c>
      <c r="G5586" s="283">
        <v>2</v>
      </c>
      <c r="H5586" s="283">
        <v>0</v>
      </c>
      <c r="I5586" s="283">
        <v>0</v>
      </c>
      <c r="J5586" s="284">
        <v>1</v>
      </c>
    </row>
    <row r="5587" spans="3:10" x14ac:dyDescent="0.25">
      <c r="C5587" s="300" t="s">
        <v>1065</v>
      </c>
      <c r="D5587" s="283" t="s">
        <v>1077</v>
      </c>
      <c r="E5587" s="283" t="s">
        <v>1076</v>
      </c>
      <c r="F5587" s="283" t="s">
        <v>1075</v>
      </c>
      <c r="G5587" s="283">
        <v>3</v>
      </c>
      <c r="H5587" s="283">
        <v>0</v>
      </c>
      <c r="I5587" s="283">
        <v>0</v>
      </c>
      <c r="J5587" s="284">
        <v>0</v>
      </c>
    </row>
    <row r="5588" spans="3:10" x14ac:dyDescent="0.25">
      <c r="C5588" s="300" t="s">
        <v>1063</v>
      </c>
      <c r="D5588" s="283" t="s">
        <v>1043</v>
      </c>
      <c r="E5588" s="283" t="s">
        <v>1083</v>
      </c>
      <c r="F5588" s="283" t="s">
        <v>1092</v>
      </c>
      <c r="G5588" s="283">
        <v>2</v>
      </c>
      <c r="H5588" s="283">
        <v>0</v>
      </c>
      <c r="I5588" s="283">
        <v>1</v>
      </c>
      <c r="J5588" s="284">
        <v>0</v>
      </c>
    </row>
    <row r="5589" spans="3:10" x14ac:dyDescent="0.25">
      <c r="C5589" s="300" t="s">
        <v>1061</v>
      </c>
      <c r="D5589" s="283" t="s">
        <v>1079</v>
      </c>
      <c r="E5589" s="283" t="s">
        <v>1075</v>
      </c>
      <c r="F5589" s="283" t="s">
        <v>1083</v>
      </c>
      <c r="G5589" s="283">
        <v>2</v>
      </c>
      <c r="H5589" s="283">
        <v>0</v>
      </c>
      <c r="I5589" s="283">
        <v>1</v>
      </c>
      <c r="J5589" s="284">
        <v>0</v>
      </c>
    </row>
    <row r="5590" spans="3:10" x14ac:dyDescent="0.25">
      <c r="C5590" s="300" t="s">
        <v>1064</v>
      </c>
      <c r="D5590" s="283" t="s">
        <v>1090</v>
      </c>
      <c r="E5590" s="283" t="s">
        <v>1083</v>
      </c>
      <c r="F5590" s="283" t="s">
        <v>524</v>
      </c>
      <c r="G5590" s="283">
        <v>1</v>
      </c>
      <c r="H5590" s="283">
        <v>0</v>
      </c>
      <c r="I5590" s="283">
        <v>1</v>
      </c>
      <c r="J5590" s="284">
        <v>0</v>
      </c>
    </row>
    <row r="5591" spans="3:10" x14ac:dyDescent="0.25">
      <c r="C5591" s="300" t="s">
        <v>1065</v>
      </c>
      <c r="D5591" s="283" t="s">
        <v>1074</v>
      </c>
      <c r="E5591" s="283" t="s">
        <v>1078</v>
      </c>
      <c r="F5591" s="283" t="s">
        <v>1083</v>
      </c>
      <c r="G5591" s="283">
        <v>2</v>
      </c>
      <c r="H5591" s="283">
        <v>0</v>
      </c>
      <c r="I5591" s="283">
        <v>0</v>
      </c>
      <c r="J5591" s="284">
        <v>0</v>
      </c>
    </row>
    <row r="5592" spans="3:10" x14ac:dyDescent="0.25">
      <c r="C5592" s="300" t="s">
        <v>1060</v>
      </c>
      <c r="D5592" s="283" t="s">
        <v>1074</v>
      </c>
      <c r="E5592" s="283" t="s">
        <v>1075</v>
      </c>
      <c r="F5592" s="283" t="s">
        <v>1076</v>
      </c>
      <c r="G5592" s="283">
        <v>2</v>
      </c>
      <c r="H5592" s="283">
        <v>0</v>
      </c>
      <c r="I5592" s="283">
        <v>0</v>
      </c>
      <c r="J5592" s="284">
        <v>1</v>
      </c>
    </row>
    <row r="5593" spans="3:10" x14ac:dyDescent="0.25">
      <c r="C5593" s="300" t="s">
        <v>1063</v>
      </c>
      <c r="D5593" s="283" t="s">
        <v>1077</v>
      </c>
      <c r="E5593" s="283" t="s">
        <v>1076</v>
      </c>
      <c r="F5593" s="283" t="s">
        <v>1075</v>
      </c>
      <c r="G5593" s="283">
        <v>2</v>
      </c>
      <c r="H5593" s="283">
        <v>0</v>
      </c>
      <c r="I5593" s="283">
        <v>0</v>
      </c>
      <c r="J5593" s="284">
        <v>0</v>
      </c>
    </row>
    <row r="5594" spans="3:10" x14ac:dyDescent="0.25">
      <c r="C5594" s="300" t="s">
        <v>1063</v>
      </c>
      <c r="D5594" s="283" t="s">
        <v>1077</v>
      </c>
      <c r="E5594" s="283" t="s">
        <v>1089</v>
      </c>
      <c r="F5594" s="283" t="s">
        <v>1075</v>
      </c>
      <c r="G5594" s="283">
        <v>2</v>
      </c>
      <c r="H5594" s="283">
        <v>0</v>
      </c>
      <c r="I5594" s="283">
        <v>0</v>
      </c>
      <c r="J5594" s="284">
        <v>1</v>
      </c>
    </row>
    <row r="5595" spans="3:10" x14ac:dyDescent="0.25">
      <c r="C5595" s="300" t="s">
        <v>1065</v>
      </c>
      <c r="D5595" s="283" t="s">
        <v>1079</v>
      </c>
      <c r="E5595" s="283" t="s">
        <v>1075</v>
      </c>
      <c r="F5595" s="283" t="s">
        <v>1075</v>
      </c>
      <c r="G5595" s="283">
        <v>2</v>
      </c>
      <c r="H5595" s="283">
        <v>0</v>
      </c>
      <c r="I5595" s="283">
        <v>0</v>
      </c>
      <c r="J5595" s="284">
        <v>0</v>
      </c>
    </row>
    <row r="5596" spans="3:10" x14ac:dyDescent="0.25">
      <c r="C5596" s="300" t="s">
        <v>1061</v>
      </c>
      <c r="D5596" s="283" t="s">
        <v>1077</v>
      </c>
      <c r="E5596" s="283" t="s">
        <v>1081</v>
      </c>
      <c r="F5596" s="283" t="s">
        <v>1078</v>
      </c>
      <c r="G5596" s="283">
        <v>2</v>
      </c>
      <c r="H5596" s="283">
        <v>0</v>
      </c>
      <c r="I5596" s="283">
        <v>0</v>
      </c>
      <c r="J5596" s="284">
        <v>0</v>
      </c>
    </row>
    <row r="5597" spans="3:10" x14ac:dyDescent="0.25">
      <c r="C5597" s="300" t="s">
        <v>1066</v>
      </c>
      <c r="D5597" s="283" t="s">
        <v>1087</v>
      </c>
      <c r="E5597" s="283" t="s">
        <v>1075</v>
      </c>
      <c r="F5597" s="283" t="s">
        <v>524</v>
      </c>
      <c r="G5597" s="283">
        <v>1</v>
      </c>
      <c r="H5597" s="283">
        <v>0</v>
      </c>
      <c r="I5597" s="283">
        <v>0</v>
      </c>
      <c r="J5597" s="284">
        <v>0</v>
      </c>
    </row>
    <row r="5598" spans="3:10" x14ac:dyDescent="0.25">
      <c r="C5598" s="300" t="s">
        <v>1064</v>
      </c>
      <c r="D5598" s="283" t="s">
        <v>1077</v>
      </c>
      <c r="E5598" s="283" t="s">
        <v>1076</v>
      </c>
      <c r="F5598" s="283" t="s">
        <v>1089</v>
      </c>
      <c r="G5598" s="283">
        <v>2</v>
      </c>
      <c r="H5598" s="283">
        <v>0</v>
      </c>
      <c r="I5598" s="283">
        <v>0</v>
      </c>
      <c r="J5598" s="284">
        <v>0</v>
      </c>
    </row>
    <row r="5599" spans="3:10" x14ac:dyDescent="0.25">
      <c r="C5599" s="300" t="s">
        <v>1066</v>
      </c>
      <c r="D5599" s="283" t="s">
        <v>1074</v>
      </c>
      <c r="E5599" s="283" t="s">
        <v>1089</v>
      </c>
      <c r="F5599" s="283" t="s">
        <v>1075</v>
      </c>
      <c r="G5599" s="283">
        <v>2</v>
      </c>
      <c r="H5599" s="283">
        <v>0</v>
      </c>
      <c r="I5599" s="283">
        <v>0</v>
      </c>
      <c r="J5599" s="284">
        <v>0</v>
      </c>
    </row>
    <row r="5600" spans="3:10" x14ac:dyDescent="0.25">
      <c r="C5600" s="300" t="s">
        <v>1064</v>
      </c>
      <c r="D5600" s="283" t="s">
        <v>1074</v>
      </c>
      <c r="E5600" s="283" t="s">
        <v>1084</v>
      </c>
      <c r="F5600" s="283" t="s">
        <v>1076</v>
      </c>
      <c r="G5600" s="283">
        <v>2</v>
      </c>
      <c r="H5600" s="283">
        <v>0</v>
      </c>
      <c r="I5600" s="283">
        <v>0</v>
      </c>
      <c r="J5600" s="284">
        <v>0</v>
      </c>
    </row>
    <row r="5601" spans="3:10" x14ac:dyDescent="0.25">
      <c r="C5601" s="300" t="s">
        <v>1064</v>
      </c>
      <c r="D5601" s="283" t="s">
        <v>1074</v>
      </c>
      <c r="E5601" s="283" t="s">
        <v>1075</v>
      </c>
      <c r="F5601" s="283" t="s">
        <v>1075</v>
      </c>
      <c r="G5601" s="283">
        <v>2</v>
      </c>
      <c r="H5601" s="283">
        <v>0</v>
      </c>
      <c r="I5601" s="283">
        <v>0</v>
      </c>
      <c r="J5601" s="284">
        <v>1</v>
      </c>
    </row>
    <row r="5602" spans="3:10" x14ac:dyDescent="0.25">
      <c r="C5602" s="300" t="s">
        <v>1065</v>
      </c>
      <c r="D5602" s="283" t="s">
        <v>1079</v>
      </c>
      <c r="E5602" s="283" t="s">
        <v>1075</v>
      </c>
      <c r="F5602" s="283" t="s">
        <v>1075</v>
      </c>
      <c r="G5602" s="283">
        <v>2</v>
      </c>
      <c r="H5602" s="283">
        <v>0</v>
      </c>
      <c r="I5602" s="283">
        <v>0</v>
      </c>
      <c r="J5602" s="284">
        <v>0</v>
      </c>
    </row>
    <row r="5603" spans="3:10" x14ac:dyDescent="0.25">
      <c r="C5603" s="300" t="s">
        <v>1065</v>
      </c>
      <c r="D5603" s="283" t="s">
        <v>1074</v>
      </c>
      <c r="E5603" s="283" t="s">
        <v>1076</v>
      </c>
      <c r="F5603" s="283" t="s">
        <v>1044</v>
      </c>
      <c r="G5603" s="283">
        <v>2</v>
      </c>
      <c r="H5603" s="283">
        <v>0</v>
      </c>
      <c r="I5603" s="283">
        <v>0</v>
      </c>
      <c r="J5603" s="284">
        <v>0</v>
      </c>
    </row>
    <row r="5604" spans="3:10" x14ac:dyDescent="0.25">
      <c r="C5604" s="300" t="s">
        <v>1067</v>
      </c>
      <c r="D5604" s="283" t="s">
        <v>1079</v>
      </c>
      <c r="E5604" s="283" t="s">
        <v>1075</v>
      </c>
      <c r="F5604" s="283" t="s">
        <v>1089</v>
      </c>
      <c r="G5604" s="283">
        <v>2</v>
      </c>
      <c r="H5604" s="283">
        <v>0</v>
      </c>
      <c r="I5604" s="283">
        <v>0</v>
      </c>
      <c r="J5604" s="284">
        <v>0</v>
      </c>
    </row>
    <row r="5605" spans="3:10" x14ac:dyDescent="0.25">
      <c r="C5605" s="300" t="s">
        <v>1062</v>
      </c>
      <c r="D5605" s="283" t="s">
        <v>1079</v>
      </c>
      <c r="E5605" s="283" t="s">
        <v>1094</v>
      </c>
      <c r="F5605" s="283" t="s">
        <v>1075</v>
      </c>
      <c r="G5605" s="283">
        <v>2</v>
      </c>
      <c r="H5605" s="283">
        <v>0</v>
      </c>
      <c r="I5605" s="283">
        <v>0</v>
      </c>
      <c r="J5605" s="284">
        <v>0</v>
      </c>
    </row>
    <row r="5606" spans="3:10" x14ac:dyDescent="0.25">
      <c r="C5606" s="300" t="s">
        <v>1061</v>
      </c>
      <c r="D5606" s="283" t="s">
        <v>1077</v>
      </c>
      <c r="E5606" s="283" t="s">
        <v>1083</v>
      </c>
      <c r="F5606" s="283" t="s">
        <v>1075</v>
      </c>
      <c r="G5606" s="283">
        <v>2</v>
      </c>
      <c r="H5606" s="283">
        <v>0</v>
      </c>
      <c r="I5606" s="283">
        <v>0</v>
      </c>
      <c r="J5606" s="284">
        <v>0</v>
      </c>
    </row>
    <row r="5607" spans="3:10" x14ac:dyDescent="0.25">
      <c r="C5607" s="300" t="s">
        <v>1063</v>
      </c>
      <c r="D5607" s="283" t="s">
        <v>1077</v>
      </c>
      <c r="E5607" s="283" t="s">
        <v>1080</v>
      </c>
      <c r="F5607" s="283" t="s">
        <v>1089</v>
      </c>
      <c r="G5607" s="283">
        <v>3</v>
      </c>
      <c r="H5607" s="283">
        <v>0</v>
      </c>
      <c r="I5607" s="283">
        <v>0</v>
      </c>
      <c r="J5607" s="284">
        <v>0</v>
      </c>
    </row>
    <row r="5608" spans="3:10" x14ac:dyDescent="0.25">
      <c r="C5608" s="300" t="s">
        <v>1063</v>
      </c>
      <c r="D5608" s="283" t="s">
        <v>1079</v>
      </c>
      <c r="E5608" s="283" t="s">
        <v>1076</v>
      </c>
      <c r="F5608" s="283" t="s">
        <v>1075</v>
      </c>
      <c r="G5608" s="283">
        <v>2</v>
      </c>
      <c r="H5608" s="283">
        <v>0</v>
      </c>
      <c r="I5608" s="283">
        <v>1</v>
      </c>
      <c r="J5608" s="284">
        <v>0</v>
      </c>
    </row>
    <row r="5609" spans="3:10" x14ac:dyDescent="0.25">
      <c r="C5609" s="300" t="s">
        <v>1063</v>
      </c>
      <c r="D5609" s="283" t="s">
        <v>1077</v>
      </c>
      <c r="E5609" s="283" t="s">
        <v>1075</v>
      </c>
      <c r="F5609" s="283" t="s">
        <v>1075</v>
      </c>
      <c r="G5609" s="283">
        <v>3</v>
      </c>
      <c r="H5609" s="283">
        <v>0</v>
      </c>
      <c r="I5609" s="283">
        <v>1</v>
      </c>
      <c r="J5609" s="284">
        <v>0</v>
      </c>
    </row>
    <row r="5610" spans="3:10" x14ac:dyDescent="0.25">
      <c r="C5610" s="300" t="s">
        <v>1063</v>
      </c>
      <c r="D5610" s="283" t="s">
        <v>1079</v>
      </c>
      <c r="E5610" s="283" t="s">
        <v>1075</v>
      </c>
      <c r="F5610" s="283" t="s">
        <v>1044</v>
      </c>
      <c r="G5610" s="283">
        <v>2</v>
      </c>
      <c r="H5610" s="283">
        <v>0</v>
      </c>
      <c r="I5610" s="283">
        <v>0</v>
      </c>
      <c r="J5610" s="284">
        <v>1</v>
      </c>
    </row>
    <row r="5611" spans="3:10" x14ac:dyDescent="0.25">
      <c r="C5611" s="300" t="s">
        <v>1065</v>
      </c>
      <c r="D5611" s="283" t="s">
        <v>1079</v>
      </c>
      <c r="E5611" s="283" t="s">
        <v>1089</v>
      </c>
      <c r="F5611" s="283" t="s">
        <v>1089</v>
      </c>
      <c r="G5611" s="283">
        <v>2</v>
      </c>
      <c r="H5611" s="283">
        <v>0</v>
      </c>
      <c r="I5611" s="283">
        <v>0</v>
      </c>
      <c r="J5611" s="284">
        <v>1</v>
      </c>
    </row>
    <row r="5612" spans="3:10" x14ac:dyDescent="0.25">
      <c r="C5612" s="300" t="s">
        <v>1066</v>
      </c>
      <c r="D5612" s="283" t="s">
        <v>1074</v>
      </c>
      <c r="E5612" s="283" t="s">
        <v>1083</v>
      </c>
      <c r="F5612" s="283" t="s">
        <v>1089</v>
      </c>
      <c r="G5612" s="283">
        <v>2</v>
      </c>
      <c r="H5612" s="283">
        <v>0</v>
      </c>
      <c r="I5612" s="283">
        <v>0</v>
      </c>
      <c r="J5612" s="284">
        <v>1</v>
      </c>
    </row>
    <row r="5613" spans="3:10" x14ac:dyDescent="0.25">
      <c r="C5613" s="300" t="s">
        <v>1064</v>
      </c>
      <c r="D5613" s="283" t="s">
        <v>1074</v>
      </c>
      <c r="E5613" s="283" t="s">
        <v>1075</v>
      </c>
      <c r="F5613" s="283" t="s">
        <v>1075</v>
      </c>
      <c r="G5613" s="283">
        <v>2</v>
      </c>
      <c r="H5613" s="283">
        <v>0</v>
      </c>
      <c r="I5613" s="283">
        <v>0</v>
      </c>
      <c r="J5613" s="284">
        <v>0</v>
      </c>
    </row>
    <row r="5614" spans="3:10" x14ac:dyDescent="0.25">
      <c r="C5614" s="300" t="s">
        <v>1066</v>
      </c>
      <c r="D5614" s="283" t="s">
        <v>1087</v>
      </c>
      <c r="E5614" s="283" t="s">
        <v>1075</v>
      </c>
      <c r="F5614" s="283" t="s">
        <v>524</v>
      </c>
      <c r="G5614" s="283">
        <v>1</v>
      </c>
      <c r="H5614" s="283">
        <v>0</v>
      </c>
      <c r="I5614" s="283">
        <v>0</v>
      </c>
      <c r="J5614" s="284">
        <v>0</v>
      </c>
    </row>
    <row r="5615" spans="3:10" x14ac:dyDescent="0.25">
      <c r="C5615" s="300" t="s">
        <v>1066</v>
      </c>
      <c r="D5615" s="283" t="s">
        <v>1043</v>
      </c>
      <c r="E5615" s="283" t="s">
        <v>1086</v>
      </c>
      <c r="F5615" s="283" t="s">
        <v>1092</v>
      </c>
      <c r="G5615" s="283">
        <v>2</v>
      </c>
      <c r="H5615" s="283">
        <v>0</v>
      </c>
      <c r="I5615" s="283">
        <v>0</v>
      </c>
      <c r="J5615" s="284">
        <v>0</v>
      </c>
    </row>
    <row r="5616" spans="3:10" x14ac:dyDescent="0.25">
      <c r="C5616" s="300" t="s">
        <v>1061</v>
      </c>
      <c r="D5616" s="283" t="s">
        <v>1043</v>
      </c>
      <c r="E5616" s="283" t="s">
        <v>1078</v>
      </c>
      <c r="F5616" s="283" t="s">
        <v>1092</v>
      </c>
      <c r="G5616" s="283">
        <v>2</v>
      </c>
      <c r="H5616" s="283">
        <v>0</v>
      </c>
      <c r="I5616" s="283">
        <v>1</v>
      </c>
      <c r="J5616" s="284">
        <v>0</v>
      </c>
    </row>
    <row r="5617" spans="3:10" x14ac:dyDescent="0.25">
      <c r="C5617" s="300" t="s">
        <v>1063</v>
      </c>
      <c r="D5617" s="283" t="s">
        <v>1077</v>
      </c>
      <c r="E5617" s="283" t="s">
        <v>1089</v>
      </c>
      <c r="F5617" s="283" t="s">
        <v>1076</v>
      </c>
      <c r="G5617" s="283">
        <v>2</v>
      </c>
      <c r="H5617" s="283">
        <v>0</v>
      </c>
      <c r="I5617" s="283">
        <v>0</v>
      </c>
      <c r="J5617" s="284">
        <v>1</v>
      </c>
    </row>
    <row r="5618" spans="3:10" x14ac:dyDescent="0.25">
      <c r="C5618" s="300" t="s">
        <v>1064</v>
      </c>
      <c r="D5618" s="283" t="s">
        <v>1074</v>
      </c>
      <c r="E5618" s="283" t="s">
        <v>1085</v>
      </c>
      <c r="F5618" s="283" t="s">
        <v>1075</v>
      </c>
      <c r="G5618" s="283">
        <v>4</v>
      </c>
      <c r="H5618" s="283">
        <v>0</v>
      </c>
      <c r="I5618" s="283">
        <v>0</v>
      </c>
      <c r="J5618" s="284">
        <v>1</v>
      </c>
    </row>
    <row r="5619" spans="3:10" x14ac:dyDescent="0.25">
      <c r="C5619" s="300" t="s">
        <v>1064</v>
      </c>
      <c r="D5619" s="283" t="s">
        <v>1087</v>
      </c>
      <c r="E5619" s="283" t="s">
        <v>1089</v>
      </c>
      <c r="F5619" s="283" t="s">
        <v>1086</v>
      </c>
      <c r="G5619" s="283">
        <v>2</v>
      </c>
      <c r="H5619" s="283">
        <v>0</v>
      </c>
      <c r="I5619" s="283">
        <v>0</v>
      </c>
      <c r="J5619" s="284">
        <v>0</v>
      </c>
    </row>
    <row r="5620" spans="3:10" x14ac:dyDescent="0.25">
      <c r="C5620" s="300" t="s">
        <v>1062</v>
      </c>
      <c r="D5620" s="283" t="s">
        <v>1079</v>
      </c>
      <c r="E5620" s="283" t="s">
        <v>1078</v>
      </c>
      <c r="F5620" s="283" t="s">
        <v>1044</v>
      </c>
      <c r="G5620" s="283">
        <v>2</v>
      </c>
      <c r="H5620" s="283">
        <v>0</v>
      </c>
      <c r="I5620" s="283">
        <v>1</v>
      </c>
      <c r="J5620" s="284">
        <v>0</v>
      </c>
    </row>
    <row r="5621" spans="3:10" x14ac:dyDescent="0.25">
      <c r="C5621" s="300" t="s">
        <v>1058</v>
      </c>
      <c r="D5621" s="283" t="s">
        <v>1087</v>
      </c>
      <c r="E5621" s="283" t="s">
        <v>1075</v>
      </c>
      <c r="F5621" s="283" t="s">
        <v>524</v>
      </c>
      <c r="G5621" s="283">
        <v>1</v>
      </c>
      <c r="H5621" s="283">
        <v>0</v>
      </c>
      <c r="I5621" s="283">
        <v>0</v>
      </c>
      <c r="J5621" s="284">
        <v>0</v>
      </c>
    </row>
    <row r="5622" spans="3:10" x14ac:dyDescent="0.25">
      <c r="C5622" s="300" t="s">
        <v>1064</v>
      </c>
      <c r="D5622" s="283" t="s">
        <v>1043</v>
      </c>
      <c r="E5622" s="283" t="s">
        <v>1089</v>
      </c>
      <c r="F5622" s="283" t="s">
        <v>1092</v>
      </c>
      <c r="G5622" s="283">
        <v>2</v>
      </c>
      <c r="H5622" s="283">
        <v>0</v>
      </c>
      <c r="I5622" s="283">
        <v>1</v>
      </c>
      <c r="J5622" s="284">
        <v>0</v>
      </c>
    </row>
    <row r="5623" spans="3:10" x14ac:dyDescent="0.25">
      <c r="C5623" s="300" t="s">
        <v>1067</v>
      </c>
      <c r="D5623" s="283" t="s">
        <v>1079</v>
      </c>
      <c r="E5623" s="283" t="s">
        <v>1089</v>
      </c>
      <c r="F5623" s="283" t="s">
        <v>1075</v>
      </c>
      <c r="G5623" s="283">
        <v>2</v>
      </c>
      <c r="H5623" s="283">
        <v>0</v>
      </c>
      <c r="I5623" s="283">
        <v>0</v>
      </c>
      <c r="J5623" s="284">
        <v>0</v>
      </c>
    </row>
    <row r="5624" spans="3:10" x14ac:dyDescent="0.25">
      <c r="C5624" s="300" t="s">
        <v>1066</v>
      </c>
      <c r="D5624" s="283" t="s">
        <v>1074</v>
      </c>
      <c r="E5624" s="283" t="s">
        <v>1089</v>
      </c>
      <c r="F5624" s="283" t="s">
        <v>1081</v>
      </c>
      <c r="G5624" s="283">
        <v>2</v>
      </c>
      <c r="H5624" s="283">
        <v>0</v>
      </c>
      <c r="I5624" s="283">
        <v>0</v>
      </c>
      <c r="J5624" s="284">
        <v>1</v>
      </c>
    </row>
    <row r="5625" spans="3:10" x14ac:dyDescent="0.25">
      <c r="C5625" s="300" t="s">
        <v>1061</v>
      </c>
      <c r="D5625" s="283" t="s">
        <v>1079</v>
      </c>
      <c r="E5625" s="283" t="s">
        <v>1080</v>
      </c>
      <c r="F5625" s="283" t="s">
        <v>1075</v>
      </c>
      <c r="G5625" s="283">
        <v>2</v>
      </c>
      <c r="H5625" s="283">
        <v>0</v>
      </c>
      <c r="I5625" s="283">
        <v>0</v>
      </c>
      <c r="J5625" s="284">
        <v>0</v>
      </c>
    </row>
    <row r="5626" spans="3:10" x14ac:dyDescent="0.25">
      <c r="C5626" s="300" t="s">
        <v>1066</v>
      </c>
      <c r="D5626" s="283" t="s">
        <v>1079</v>
      </c>
      <c r="E5626" s="283" t="s">
        <v>1075</v>
      </c>
      <c r="F5626" s="283" t="s">
        <v>1075</v>
      </c>
      <c r="G5626" s="283">
        <v>2</v>
      </c>
      <c r="H5626" s="283">
        <v>0</v>
      </c>
      <c r="I5626" s="283">
        <v>0</v>
      </c>
      <c r="J5626" s="284">
        <v>1</v>
      </c>
    </row>
    <row r="5627" spans="3:10" x14ac:dyDescent="0.25">
      <c r="C5627" s="300" t="s">
        <v>1066</v>
      </c>
      <c r="D5627" s="283" t="s">
        <v>1079</v>
      </c>
      <c r="E5627" s="283" t="s">
        <v>1075</v>
      </c>
      <c r="F5627" s="283" t="s">
        <v>1075</v>
      </c>
      <c r="G5627" s="283">
        <v>2</v>
      </c>
      <c r="H5627" s="283">
        <v>0</v>
      </c>
      <c r="I5627" s="283">
        <v>0</v>
      </c>
      <c r="J5627" s="284">
        <v>1</v>
      </c>
    </row>
    <row r="5628" spans="3:10" x14ac:dyDescent="0.25">
      <c r="C5628" s="300" t="s">
        <v>1068</v>
      </c>
      <c r="D5628" s="283" t="s">
        <v>1074</v>
      </c>
      <c r="E5628" s="283" t="s">
        <v>1075</v>
      </c>
      <c r="F5628" s="283" t="s">
        <v>1081</v>
      </c>
      <c r="G5628" s="283">
        <v>2</v>
      </c>
      <c r="H5628" s="283">
        <v>0</v>
      </c>
      <c r="I5628" s="283">
        <v>0</v>
      </c>
      <c r="J5628" s="284">
        <v>1</v>
      </c>
    </row>
    <row r="5629" spans="3:10" x14ac:dyDescent="0.25">
      <c r="C5629" s="300" t="s">
        <v>1066</v>
      </c>
      <c r="D5629" s="283" t="s">
        <v>1074</v>
      </c>
      <c r="E5629" s="283" t="s">
        <v>1075</v>
      </c>
      <c r="F5629" s="283" t="s">
        <v>1075</v>
      </c>
      <c r="G5629" s="283">
        <v>2</v>
      </c>
      <c r="H5629" s="283">
        <v>0</v>
      </c>
      <c r="I5629" s="283">
        <v>3</v>
      </c>
      <c r="J5629" s="284">
        <v>0</v>
      </c>
    </row>
    <row r="5630" spans="3:10" x14ac:dyDescent="0.25">
      <c r="C5630" s="300" t="s">
        <v>1065</v>
      </c>
      <c r="D5630" s="283" t="s">
        <v>1074</v>
      </c>
      <c r="E5630" s="283" t="s">
        <v>1075</v>
      </c>
      <c r="F5630" s="283" t="s">
        <v>1089</v>
      </c>
      <c r="G5630" s="283">
        <v>2</v>
      </c>
      <c r="H5630" s="283">
        <v>0</v>
      </c>
      <c r="I5630" s="283">
        <v>0</v>
      </c>
      <c r="J5630" s="284">
        <v>0</v>
      </c>
    </row>
    <row r="5631" spans="3:10" x14ac:dyDescent="0.25">
      <c r="C5631" s="300" t="s">
        <v>1063</v>
      </c>
      <c r="D5631" s="283" t="s">
        <v>1079</v>
      </c>
      <c r="E5631" s="283" t="s">
        <v>1089</v>
      </c>
      <c r="F5631" s="283" t="s">
        <v>1075</v>
      </c>
      <c r="G5631" s="283">
        <v>2</v>
      </c>
      <c r="H5631" s="283">
        <v>0</v>
      </c>
      <c r="I5631" s="283">
        <v>0</v>
      </c>
      <c r="J5631" s="284">
        <v>0</v>
      </c>
    </row>
    <row r="5632" spans="3:10" x14ac:dyDescent="0.25">
      <c r="C5632" s="300" t="s">
        <v>1063</v>
      </c>
      <c r="D5632" s="283" t="s">
        <v>1082</v>
      </c>
      <c r="E5632" s="283" t="s">
        <v>1089</v>
      </c>
      <c r="F5632" s="283" t="s">
        <v>1084</v>
      </c>
      <c r="G5632" s="283">
        <v>2</v>
      </c>
      <c r="H5632" s="283">
        <v>0</v>
      </c>
      <c r="I5632" s="283">
        <v>1</v>
      </c>
      <c r="J5632" s="284">
        <v>1</v>
      </c>
    </row>
    <row r="5633" spans="3:10" x14ac:dyDescent="0.25">
      <c r="C5633" s="300" t="s">
        <v>1066</v>
      </c>
      <c r="D5633" s="283" t="s">
        <v>1074</v>
      </c>
      <c r="E5633" s="283" t="s">
        <v>1075</v>
      </c>
      <c r="F5633" s="283" t="s">
        <v>1083</v>
      </c>
      <c r="G5633" s="283">
        <v>2</v>
      </c>
      <c r="H5633" s="283">
        <v>0</v>
      </c>
      <c r="I5633" s="283">
        <v>0</v>
      </c>
      <c r="J5633" s="284">
        <v>1</v>
      </c>
    </row>
    <row r="5634" spans="3:10" x14ac:dyDescent="0.25">
      <c r="C5634" s="300" t="s">
        <v>1065</v>
      </c>
      <c r="D5634" s="283" t="s">
        <v>1077</v>
      </c>
      <c r="E5634" s="283" t="s">
        <v>1075</v>
      </c>
      <c r="F5634" s="283" t="s">
        <v>1075</v>
      </c>
      <c r="G5634" s="283">
        <v>2</v>
      </c>
      <c r="H5634" s="283">
        <v>0</v>
      </c>
      <c r="I5634" s="283">
        <v>1</v>
      </c>
      <c r="J5634" s="284">
        <v>0</v>
      </c>
    </row>
    <row r="5635" spans="3:10" x14ac:dyDescent="0.25">
      <c r="C5635" s="300" t="s">
        <v>1065</v>
      </c>
      <c r="D5635" s="283" t="s">
        <v>1077</v>
      </c>
      <c r="E5635" s="283" t="s">
        <v>1078</v>
      </c>
      <c r="F5635" s="283" t="s">
        <v>1078</v>
      </c>
      <c r="G5635" s="283">
        <v>4</v>
      </c>
      <c r="H5635" s="283">
        <v>0</v>
      </c>
      <c r="I5635" s="283">
        <v>0</v>
      </c>
      <c r="J5635" s="284">
        <v>0</v>
      </c>
    </row>
    <row r="5636" spans="3:10" x14ac:dyDescent="0.25">
      <c r="C5636" s="300" t="s">
        <v>1062</v>
      </c>
      <c r="D5636" s="283" t="s">
        <v>1079</v>
      </c>
      <c r="E5636" s="283" t="s">
        <v>1075</v>
      </c>
      <c r="F5636" s="283" t="s">
        <v>1075</v>
      </c>
      <c r="G5636" s="283">
        <v>2</v>
      </c>
      <c r="H5636" s="283">
        <v>0</v>
      </c>
      <c r="I5636" s="283">
        <v>0</v>
      </c>
      <c r="J5636" s="284">
        <v>0</v>
      </c>
    </row>
    <row r="5637" spans="3:10" x14ac:dyDescent="0.25">
      <c r="C5637" s="300" t="s">
        <v>1064</v>
      </c>
      <c r="D5637" s="283" t="s">
        <v>1074</v>
      </c>
      <c r="E5637" s="283" t="s">
        <v>1089</v>
      </c>
      <c r="F5637" s="283" t="s">
        <v>1089</v>
      </c>
      <c r="G5637" s="283">
        <v>2</v>
      </c>
      <c r="H5637" s="283">
        <v>0</v>
      </c>
      <c r="I5637" s="283">
        <v>0</v>
      </c>
      <c r="J5637" s="284">
        <v>0</v>
      </c>
    </row>
    <row r="5638" spans="3:10" x14ac:dyDescent="0.25">
      <c r="C5638" s="300" t="s">
        <v>1068</v>
      </c>
      <c r="D5638" s="283" t="s">
        <v>1087</v>
      </c>
      <c r="E5638" s="283" t="s">
        <v>1089</v>
      </c>
      <c r="F5638" s="283" t="s">
        <v>524</v>
      </c>
      <c r="G5638" s="283">
        <v>1</v>
      </c>
      <c r="H5638" s="283">
        <v>0</v>
      </c>
      <c r="I5638" s="283">
        <v>1</v>
      </c>
      <c r="J5638" s="284">
        <v>0</v>
      </c>
    </row>
    <row r="5639" spans="3:10" x14ac:dyDescent="0.25">
      <c r="C5639" s="300" t="s">
        <v>1066</v>
      </c>
      <c r="D5639" s="283" t="s">
        <v>1079</v>
      </c>
      <c r="E5639" s="283" t="s">
        <v>1089</v>
      </c>
      <c r="F5639" s="283" t="s">
        <v>1075</v>
      </c>
      <c r="G5639" s="283">
        <v>3</v>
      </c>
      <c r="H5639" s="283">
        <v>0</v>
      </c>
      <c r="I5639" s="283">
        <v>0</v>
      </c>
      <c r="J5639" s="284">
        <v>1</v>
      </c>
    </row>
    <row r="5640" spans="3:10" x14ac:dyDescent="0.25">
      <c r="C5640" s="300" t="s">
        <v>1064</v>
      </c>
      <c r="D5640" s="283" t="s">
        <v>1043</v>
      </c>
      <c r="E5640" s="283" t="s">
        <v>1078</v>
      </c>
      <c r="F5640" s="283" t="s">
        <v>1092</v>
      </c>
      <c r="G5640" s="283">
        <v>2</v>
      </c>
      <c r="H5640" s="283">
        <v>0</v>
      </c>
      <c r="I5640" s="283">
        <v>0</v>
      </c>
      <c r="J5640" s="284">
        <v>1</v>
      </c>
    </row>
    <row r="5641" spans="3:10" x14ac:dyDescent="0.25">
      <c r="C5641" s="300" t="s">
        <v>1060</v>
      </c>
      <c r="D5641" s="283" t="s">
        <v>1074</v>
      </c>
      <c r="E5641" s="283" t="s">
        <v>1075</v>
      </c>
      <c r="F5641" s="283" t="s">
        <v>1076</v>
      </c>
      <c r="G5641" s="283">
        <v>3</v>
      </c>
      <c r="H5641" s="283">
        <v>0</v>
      </c>
      <c r="I5641" s="283">
        <v>0</v>
      </c>
      <c r="J5641" s="284">
        <v>1</v>
      </c>
    </row>
    <row r="5642" spans="3:10" x14ac:dyDescent="0.25">
      <c r="C5642" s="300" t="s">
        <v>1061</v>
      </c>
      <c r="D5642" s="283" t="s">
        <v>1043</v>
      </c>
      <c r="E5642" s="283" t="s">
        <v>1075</v>
      </c>
      <c r="F5642" s="283" t="s">
        <v>1092</v>
      </c>
      <c r="G5642" s="283">
        <v>2</v>
      </c>
      <c r="H5642" s="283">
        <v>0</v>
      </c>
      <c r="I5642" s="283">
        <v>0</v>
      </c>
      <c r="J5642" s="284">
        <v>0</v>
      </c>
    </row>
    <row r="5643" spans="3:10" x14ac:dyDescent="0.25">
      <c r="C5643" s="300" t="s">
        <v>1063</v>
      </c>
      <c r="D5643" s="283" t="s">
        <v>1074</v>
      </c>
      <c r="E5643" s="283" t="s">
        <v>1075</v>
      </c>
      <c r="F5643" s="283" t="s">
        <v>1083</v>
      </c>
      <c r="G5643" s="283">
        <v>2</v>
      </c>
      <c r="H5643" s="283">
        <v>0</v>
      </c>
      <c r="I5643" s="283">
        <v>0</v>
      </c>
      <c r="J5643" s="284">
        <v>1</v>
      </c>
    </row>
    <row r="5644" spans="3:10" x14ac:dyDescent="0.25">
      <c r="C5644" s="300" t="s">
        <v>1061</v>
      </c>
      <c r="D5644" s="283" t="s">
        <v>1077</v>
      </c>
      <c r="E5644" s="283" t="s">
        <v>1084</v>
      </c>
      <c r="F5644" s="283" t="s">
        <v>1075</v>
      </c>
      <c r="G5644" s="283">
        <v>4</v>
      </c>
      <c r="H5644" s="283">
        <v>0</v>
      </c>
      <c r="I5644" s="283">
        <v>0</v>
      </c>
      <c r="J5644" s="284">
        <v>1</v>
      </c>
    </row>
    <row r="5645" spans="3:10" x14ac:dyDescent="0.25">
      <c r="C5645" s="300" t="s">
        <v>1065</v>
      </c>
      <c r="D5645" s="283" t="s">
        <v>1043</v>
      </c>
      <c r="E5645" s="283" t="s">
        <v>1089</v>
      </c>
      <c r="F5645" s="283" t="s">
        <v>1092</v>
      </c>
      <c r="G5645" s="283">
        <v>3</v>
      </c>
      <c r="H5645" s="283">
        <v>0</v>
      </c>
      <c r="I5645" s="283">
        <v>0</v>
      </c>
      <c r="J5645" s="284">
        <v>1</v>
      </c>
    </row>
    <row r="5646" spans="3:10" x14ac:dyDescent="0.25">
      <c r="C5646" s="300" t="s">
        <v>1062</v>
      </c>
      <c r="D5646" s="283" t="s">
        <v>1079</v>
      </c>
      <c r="E5646" s="283" t="s">
        <v>1075</v>
      </c>
      <c r="F5646" s="283" t="s">
        <v>1083</v>
      </c>
      <c r="G5646" s="283">
        <v>2</v>
      </c>
      <c r="H5646" s="283">
        <v>0</v>
      </c>
      <c r="I5646" s="283">
        <v>0</v>
      </c>
      <c r="J5646" s="284">
        <v>0</v>
      </c>
    </row>
    <row r="5647" spans="3:10" x14ac:dyDescent="0.25">
      <c r="C5647" s="300" t="s">
        <v>1063</v>
      </c>
      <c r="D5647" s="283" t="s">
        <v>1074</v>
      </c>
      <c r="E5647" s="283" t="s">
        <v>1089</v>
      </c>
      <c r="F5647" s="283" t="s">
        <v>1093</v>
      </c>
      <c r="G5647" s="283">
        <v>2</v>
      </c>
      <c r="H5647" s="283">
        <v>0</v>
      </c>
      <c r="I5647" s="283">
        <v>0</v>
      </c>
      <c r="J5647" s="284">
        <v>0</v>
      </c>
    </row>
    <row r="5648" spans="3:10" x14ac:dyDescent="0.25">
      <c r="C5648" s="300" t="s">
        <v>1060</v>
      </c>
      <c r="D5648" s="283" t="s">
        <v>1077</v>
      </c>
      <c r="E5648" s="283" t="s">
        <v>1083</v>
      </c>
      <c r="F5648" s="283" t="s">
        <v>1075</v>
      </c>
      <c r="G5648" s="283">
        <v>2</v>
      </c>
      <c r="H5648" s="283">
        <v>0</v>
      </c>
      <c r="I5648" s="283">
        <v>1</v>
      </c>
      <c r="J5648" s="284">
        <v>0</v>
      </c>
    </row>
    <row r="5649" spans="3:10" x14ac:dyDescent="0.25">
      <c r="C5649" s="300" t="s">
        <v>1063</v>
      </c>
      <c r="D5649" s="283" t="s">
        <v>1079</v>
      </c>
      <c r="E5649" s="283" t="s">
        <v>1076</v>
      </c>
      <c r="F5649" s="283" t="s">
        <v>1076</v>
      </c>
      <c r="G5649" s="283">
        <v>2</v>
      </c>
      <c r="H5649" s="283">
        <v>0</v>
      </c>
      <c r="I5649" s="283">
        <v>0</v>
      </c>
      <c r="J5649" s="284">
        <v>1</v>
      </c>
    </row>
    <row r="5650" spans="3:10" x14ac:dyDescent="0.25">
      <c r="C5650" s="300" t="s">
        <v>1057</v>
      </c>
      <c r="D5650" s="283" t="s">
        <v>1090</v>
      </c>
      <c r="E5650" s="283" t="s">
        <v>1083</v>
      </c>
      <c r="F5650" s="283" t="s">
        <v>524</v>
      </c>
      <c r="G5650" s="283">
        <v>1</v>
      </c>
      <c r="H5650" s="283">
        <v>0</v>
      </c>
      <c r="I5650" s="283">
        <v>0</v>
      </c>
      <c r="J5650" s="284">
        <v>1</v>
      </c>
    </row>
    <row r="5651" spans="3:10" x14ac:dyDescent="0.25">
      <c r="C5651" s="300" t="s">
        <v>1058</v>
      </c>
      <c r="D5651" s="283" t="s">
        <v>1090</v>
      </c>
      <c r="E5651" s="283" t="s">
        <v>1075</v>
      </c>
      <c r="F5651" s="283" t="s">
        <v>524</v>
      </c>
      <c r="G5651" s="283">
        <v>1</v>
      </c>
      <c r="H5651" s="283">
        <v>0</v>
      </c>
      <c r="I5651" s="283">
        <v>0</v>
      </c>
      <c r="J5651" s="284">
        <v>0</v>
      </c>
    </row>
    <row r="5652" spans="3:10" x14ac:dyDescent="0.25">
      <c r="C5652" s="300" t="s">
        <v>1059</v>
      </c>
      <c r="D5652" s="283" t="s">
        <v>1079</v>
      </c>
      <c r="E5652" s="283" t="s">
        <v>1075</v>
      </c>
      <c r="F5652" s="283" t="s">
        <v>1078</v>
      </c>
      <c r="G5652" s="283">
        <v>3</v>
      </c>
      <c r="H5652" s="283">
        <v>0</v>
      </c>
      <c r="I5652" s="283">
        <v>0</v>
      </c>
      <c r="J5652" s="284">
        <v>0</v>
      </c>
    </row>
    <row r="5653" spans="3:10" x14ac:dyDescent="0.25">
      <c r="C5653" s="300" t="s">
        <v>1062</v>
      </c>
      <c r="D5653" s="283" t="s">
        <v>1087</v>
      </c>
      <c r="E5653" s="283" t="s">
        <v>1084</v>
      </c>
      <c r="F5653" s="283" t="s">
        <v>524</v>
      </c>
      <c r="G5653" s="283">
        <v>1</v>
      </c>
      <c r="H5653" s="283">
        <v>0</v>
      </c>
      <c r="I5653" s="283">
        <v>1</v>
      </c>
      <c r="J5653" s="284">
        <v>0</v>
      </c>
    </row>
    <row r="5654" spans="3:10" x14ac:dyDescent="0.25">
      <c r="C5654" s="300" t="s">
        <v>1064</v>
      </c>
      <c r="D5654" s="283" t="s">
        <v>1087</v>
      </c>
      <c r="E5654" s="283" t="s">
        <v>1089</v>
      </c>
      <c r="F5654" s="283" t="s">
        <v>524</v>
      </c>
      <c r="G5654" s="283">
        <v>1</v>
      </c>
      <c r="H5654" s="283">
        <v>0</v>
      </c>
      <c r="I5654" s="283">
        <v>0</v>
      </c>
      <c r="J5654" s="284">
        <v>1</v>
      </c>
    </row>
    <row r="5655" spans="3:10" x14ac:dyDescent="0.25">
      <c r="C5655" s="300" t="s">
        <v>1065</v>
      </c>
      <c r="D5655" s="283" t="s">
        <v>1074</v>
      </c>
      <c r="E5655" s="283" t="s">
        <v>1075</v>
      </c>
      <c r="F5655" s="283" t="s">
        <v>1075</v>
      </c>
      <c r="G5655" s="283">
        <v>2</v>
      </c>
      <c r="H5655" s="283">
        <v>0</v>
      </c>
      <c r="I5655" s="283">
        <v>0</v>
      </c>
      <c r="J5655" s="284">
        <v>1</v>
      </c>
    </row>
    <row r="5656" spans="3:10" x14ac:dyDescent="0.25">
      <c r="C5656" s="300" t="s">
        <v>1067</v>
      </c>
      <c r="D5656" s="283" t="s">
        <v>1074</v>
      </c>
      <c r="E5656" s="283" t="s">
        <v>1089</v>
      </c>
      <c r="F5656" s="283" t="s">
        <v>1089</v>
      </c>
      <c r="G5656" s="283">
        <v>2</v>
      </c>
      <c r="H5656" s="283">
        <v>0</v>
      </c>
      <c r="I5656" s="283">
        <v>0</v>
      </c>
      <c r="J5656" s="284">
        <v>1</v>
      </c>
    </row>
    <row r="5657" spans="3:10" x14ac:dyDescent="0.25">
      <c r="C5657" s="300" t="s">
        <v>1060</v>
      </c>
      <c r="D5657" s="283" t="s">
        <v>1079</v>
      </c>
      <c r="E5657" s="283" t="s">
        <v>1089</v>
      </c>
      <c r="F5657" s="283" t="s">
        <v>1085</v>
      </c>
      <c r="G5657" s="283">
        <v>2</v>
      </c>
      <c r="H5657" s="283">
        <v>0</v>
      </c>
      <c r="I5657" s="283">
        <v>0</v>
      </c>
      <c r="J5657" s="284">
        <v>1</v>
      </c>
    </row>
    <row r="5658" spans="3:10" x14ac:dyDescent="0.25">
      <c r="C5658" s="300" t="s">
        <v>1061</v>
      </c>
      <c r="D5658" s="283" t="s">
        <v>1079</v>
      </c>
      <c r="E5658" s="283" t="s">
        <v>1076</v>
      </c>
      <c r="F5658" s="283" t="s">
        <v>1083</v>
      </c>
      <c r="G5658" s="283">
        <v>2</v>
      </c>
      <c r="H5658" s="283">
        <v>0</v>
      </c>
      <c r="I5658" s="283">
        <v>0</v>
      </c>
      <c r="J5658" s="284">
        <v>1</v>
      </c>
    </row>
    <row r="5659" spans="3:10" x14ac:dyDescent="0.25">
      <c r="C5659" s="300" t="s">
        <v>1063</v>
      </c>
      <c r="D5659" s="283" t="s">
        <v>1079</v>
      </c>
      <c r="E5659" s="283" t="s">
        <v>1075</v>
      </c>
      <c r="F5659" s="283" t="s">
        <v>1085</v>
      </c>
      <c r="G5659" s="283">
        <v>2</v>
      </c>
      <c r="H5659" s="283">
        <v>0</v>
      </c>
      <c r="I5659" s="283">
        <v>1</v>
      </c>
      <c r="J5659" s="284">
        <v>0</v>
      </c>
    </row>
    <row r="5660" spans="3:10" x14ac:dyDescent="0.25">
      <c r="C5660" s="300" t="s">
        <v>1061</v>
      </c>
      <c r="D5660" s="283" t="s">
        <v>1074</v>
      </c>
      <c r="E5660" s="283" t="s">
        <v>1075</v>
      </c>
      <c r="F5660" s="283" t="s">
        <v>1076</v>
      </c>
      <c r="G5660" s="283">
        <v>2</v>
      </c>
      <c r="H5660" s="283">
        <v>0</v>
      </c>
      <c r="I5660" s="283">
        <v>1</v>
      </c>
      <c r="J5660" s="284">
        <v>0</v>
      </c>
    </row>
    <row r="5661" spans="3:10" x14ac:dyDescent="0.25">
      <c r="C5661" s="300" t="s">
        <v>1063</v>
      </c>
      <c r="D5661" s="283" t="s">
        <v>1043</v>
      </c>
      <c r="E5661" s="283" t="s">
        <v>1089</v>
      </c>
      <c r="F5661" s="283" t="s">
        <v>1092</v>
      </c>
      <c r="G5661" s="283">
        <v>2</v>
      </c>
      <c r="H5661" s="283">
        <v>0</v>
      </c>
      <c r="I5661" s="283">
        <v>0</v>
      </c>
      <c r="J5661" s="284">
        <v>0</v>
      </c>
    </row>
    <row r="5662" spans="3:10" x14ac:dyDescent="0.25">
      <c r="C5662" s="300" t="s">
        <v>1068</v>
      </c>
      <c r="D5662" s="283" t="s">
        <v>1087</v>
      </c>
      <c r="E5662" s="283" t="s">
        <v>1083</v>
      </c>
      <c r="F5662" s="283" t="s">
        <v>524</v>
      </c>
      <c r="G5662" s="283">
        <v>1</v>
      </c>
      <c r="H5662" s="283">
        <v>0</v>
      </c>
      <c r="I5662" s="283">
        <v>0</v>
      </c>
      <c r="J5662" s="284">
        <v>0</v>
      </c>
    </row>
    <row r="5663" spans="3:10" x14ac:dyDescent="0.25">
      <c r="C5663" s="300" t="s">
        <v>1064</v>
      </c>
      <c r="D5663" s="283" t="s">
        <v>1087</v>
      </c>
      <c r="E5663" s="283" t="s">
        <v>1075</v>
      </c>
      <c r="F5663" s="283" t="s">
        <v>524</v>
      </c>
      <c r="G5663" s="283">
        <v>1</v>
      </c>
      <c r="H5663" s="283">
        <v>0</v>
      </c>
      <c r="I5663" s="283">
        <v>0</v>
      </c>
      <c r="J5663" s="284">
        <v>0</v>
      </c>
    </row>
    <row r="5664" spans="3:10" x14ac:dyDescent="0.25">
      <c r="C5664" s="300" t="s">
        <v>1064</v>
      </c>
      <c r="D5664" s="283" t="s">
        <v>1079</v>
      </c>
      <c r="E5664" s="283" t="s">
        <v>1075</v>
      </c>
      <c r="F5664" s="283" t="s">
        <v>1075</v>
      </c>
      <c r="G5664" s="283">
        <v>4</v>
      </c>
      <c r="H5664" s="283">
        <v>0</v>
      </c>
      <c r="I5664" s="283">
        <v>1</v>
      </c>
      <c r="J5664" s="284">
        <v>0</v>
      </c>
    </row>
    <row r="5665" spans="3:10" x14ac:dyDescent="0.25">
      <c r="C5665" s="300" t="s">
        <v>1058</v>
      </c>
      <c r="D5665" s="283" t="s">
        <v>1079</v>
      </c>
      <c r="E5665" s="283" t="s">
        <v>1075</v>
      </c>
      <c r="F5665" s="283" t="s">
        <v>1075</v>
      </c>
      <c r="G5665" s="283">
        <v>2</v>
      </c>
      <c r="H5665" s="283">
        <v>0</v>
      </c>
      <c r="I5665" s="283">
        <v>0</v>
      </c>
      <c r="J5665" s="284">
        <v>0</v>
      </c>
    </row>
    <row r="5666" spans="3:10" x14ac:dyDescent="0.25">
      <c r="C5666" s="300" t="s">
        <v>1066</v>
      </c>
      <c r="D5666" s="283" t="s">
        <v>1087</v>
      </c>
      <c r="E5666" s="283" t="s">
        <v>1075</v>
      </c>
      <c r="F5666" s="283" t="s">
        <v>524</v>
      </c>
      <c r="G5666" s="283">
        <v>1</v>
      </c>
      <c r="H5666" s="283">
        <v>0</v>
      </c>
      <c r="I5666" s="283">
        <v>1</v>
      </c>
      <c r="J5666" s="284">
        <v>0</v>
      </c>
    </row>
    <row r="5667" spans="3:10" x14ac:dyDescent="0.25">
      <c r="C5667" s="300" t="s">
        <v>1067</v>
      </c>
      <c r="D5667" s="283" t="s">
        <v>1074</v>
      </c>
      <c r="E5667" s="283" t="s">
        <v>1075</v>
      </c>
      <c r="F5667" s="283" t="s">
        <v>1083</v>
      </c>
      <c r="G5667" s="283">
        <v>2</v>
      </c>
      <c r="H5667" s="283">
        <v>0</v>
      </c>
      <c r="I5667" s="283">
        <v>1</v>
      </c>
      <c r="J5667" s="284">
        <v>0</v>
      </c>
    </row>
    <row r="5668" spans="3:10" x14ac:dyDescent="0.25">
      <c r="C5668" s="300" t="s">
        <v>1064</v>
      </c>
      <c r="D5668" s="283" t="s">
        <v>1087</v>
      </c>
      <c r="E5668" s="283" t="s">
        <v>1075</v>
      </c>
      <c r="F5668" s="283" t="s">
        <v>524</v>
      </c>
      <c r="G5668" s="283">
        <v>1</v>
      </c>
      <c r="H5668" s="283">
        <v>0</v>
      </c>
      <c r="I5668" s="283">
        <v>0</v>
      </c>
      <c r="J5668" s="284">
        <v>1</v>
      </c>
    </row>
    <row r="5669" spans="3:10" x14ac:dyDescent="0.25">
      <c r="C5669" s="300" t="s">
        <v>1064</v>
      </c>
      <c r="D5669" s="283" t="s">
        <v>1077</v>
      </c>
      <c r="E5669" s="283" t="s">
        <v>1075</v>
      </c>
      <c r="F5669" s="283" t="s">
        <v>1084</v>
      </c>
      <c r="G5669" s="283">
        <v>3</v>
      </c>
      <c r="H5669" s="283">
        <v>0</v>
      </c>
      <c r="I5669" s="283">
        <v>0</v>
      </c>
      <c r="J5669" s="284">
        <v>0</v>
      </c>
    </row>
    <row r="5670" spans="3:10" x14ac:dyDescent="0.25">
      <c r="C5670" s="300" t="s">
        <v>1061</v>
      </c>
      <c r="D5670" s="283" t="s">
        <v>1043</v>
      </c>
      <c r="E5670" s="283" t="s">
        <v>1075</v>
      </c>
      <c r="F5670" s="283" t="s">
        <v>1092</v>
      </c>
      <c r="G5670" s="283">
        <v>2</v>
      </c>
      <c r="H5670" s="283">
        <v>0</v>
      </c>
      <c r="I5670" s="283">
        <v>1</v>
      </c>
      <c r="J5670" s="284">
        <v>0</v>
      </c>
    </row>
    <row r="5671" spans="3:10" x14ac:dyDescent="0.25">
      <c r="C5671" s="300" t="s">
        <v>1062</v>
      </c>
      <c r="D5671" s="283" t="s">
        <v>1074</v>
      </c>
      <c r="E5671" s="283" t="s">
        <v>1075</v>
      </c>
      <c r="F5671" s="283" t="s">
        <v>1075</v>
      </c>
      <c r="G5671" s="283">
        <v>2</v>
      </c>
      <c r="H5671" s="283">
        <v>0</v>
      </c>
      <c r="I5671" s="283">
        <v>0</v>
      </c>
      <c r="J5671" s="284">
        <v>0</v>
      </c>
    </row>
    <row r="5672" spans="3:10" x14ac:dyDescent="0.25">
      <c r="C5672" s="300" t="s">
        <v>1068</v>
      </c>
      <c r="D5672" s="283" t="s">
        <v>1090</v>
      </c>
      <c r="E5672" s="283" t="s">
        <v>1093</v>
      </c>
      <c r="F5672" s="283" t="s">
        <v>524</v>
      </c>
      <c r="G5672" s="283">
        <v>1</v>
      </c>
      <c r="H5672" s="283">
        <v>0</v>
      </c>
      <c r="I5672" s="283">
        <v>0</v>
      </c>
      <c r="J5672" s="284">
        <v>0</v>
      </c>
    </row>
    <row r="5673" spans="3:10" x14ac:dyDescent="0.25">
      <c r="C5673" s="300" t="s">
        <v>1061</v>
      </c>
      <c r="D5673" s="283" t="s">
        <v>1079</v>
      </c>
      <c r="E5673" s="283" t="s">
        <v>1089</v>
      </c>
      <c r="F5673" s="283" t="s">
        <v>1083</v>
      </c>
      <c r="G5673" s="283">
        <v>2</v>
      </c>
      <c r="H5673" s="283">
        <v>0</v>
      </c>
      <c r="I5673" s="283">
        <v>1</v>
      </c>
      <c r="J5673" s="284">
        <v>0</v>
      </c>
    </row>
    <row r="5674" spans="3:10" x14ac:dyDescent="0.25">
      <c r="C5674" s="300" t="s">
        <v>1066</v>
      </c>
      <c r="D5674" s="283" t="s">
        <v>1074</v>
      </c>
      <c r="E5674" s="283" t="s">
        <v>1078</v>
      </c>
      <c r="F5674" s="283" t="s">
        <v>1075</v>
      </c>
      <c r="G5674" s="283">
        <v>2</v>
      </c>
      <c r="H5674" s="283">
        <v>0</v>
      </c>
      <c r="I5674" s="283">
        <v>0</v>
      </c>
      <c r="J5674" s="284">
        <v>1</v>
      </c>
    </row>
    <row r="5675" spans="3:10" x14ac:dyDescent="0.25">
      <c r="C5675" s="300" t="s">
        <v>1068</v>
      </c>
      <c r="D5675" s="283" t="s">
        <v>1087</v>
      </c>
      <c r="E5675" s="283" t="s">
        <v>1076</v>
      </c>
      <c r="F5675" s="283" t="s">
        <v>524</v>
      </c>
      <c r="G5675" s="283">
        <v>1</v>
      </c>
      <c r="H5675" s="283">
        <v>0</v>
      </c>
      <c r="I5675" s="283">
        <v>0</v>
      </c>
      <c r="J5675" s="284">
        <v>1</v>
      </c>
    </row>
    <row r="5676" spans="3:10" x14ac:dyDescent="0.25">
      <c r="C5676" s="300" t="s">
        <v>1062</v>
      </c>
      <c r="D5676" s="283" t="s">
        <v>1079</v>
      </c>
      <c r="E5676" s="283" t="s">
        <v>1075</v>
      </c>
      <c r="F5676" s="283" t="s">
        <v>1075</v>
      </c>
      <c r="G5676" s="283">
        <v>2</v>
      </c>
      <c r="H5676" s="283">
        <v>0</v>
      </c>
      <c r="I5676" s="283">
        <v>0</v>
      </c>
      <c r="J5676" s="284">
        <v>0</v>
      </c>
    </row>
    <row r="5677" spans="3:10" x14ac:dyDescent="0.25">
      <c r="C5677" s="300" t="s">
        <v>1065</v>
      </c>
      <c r="D5677" s="283" t="s">
        <v>1043</v>
      </c>
      <c r="E5677" s="283" t="s">
        <v>1086</v>
      </c>
      <c r="F5677" s="283" t="s">
        <v>1092</v>
      </c>
      <c r="G5677" s="283">
        <v>2</v>
      </c>
      <c r="H5677" s="283">
        <v>0</v>
      </c>
      <c r="I5677" s="283">
        <v>0</v>
      </c>
      <c r="J5677" s="284">
        <v>1</v>
      </c>
    </row>
    <row r="5678" spans="3:10" x14ac:dyDescent="0.25">
      <c r="C5678" s="300" t="s">
        <v>1065</v>
      </c>
      <c r="D5678" s="283" t="s">
        <v>1090</v>
      </c>
      <c r="E5678" s="283" t="s">
        <v>1075</v>
      </c>
      <c r="F5678" s="283" t="s">
        <v>524</v>
      </c>
      <c r="G5678" s="283">
        <v>1</v>
      </c>
      <c r="H5678" s="283">
        <v>0</v>
      </c>
      <c r="I5678" s="283">
        <v>1</v>
      </c>
      <c r="J5678" s="284">
        <v>0</v>
      </c>
    </row>
    <row r="5679" spans="3:10" x14ac:dyDescent="0.25">
      <c r="C5679" s="300" t="s">
        <v>1064</v>
      </c>
      <c r="D5679" s="283" t="s">
        <v>1077</v>
      </c>
      <c r="E5679" s="283" t="s">
        <v>1076</v>
      </c>
      <c r="F5679" s="283" t="s">
        <v>1076</v>
      </c>
      <c r="G5679" s="283">
        <v>2</v>
      </c>
      <c r="H5679" s="283">
        <v>0</v>
      </c>
      <c r="I5679" s="283">
        <v>0</v>
      </c>
      <c r="J5679" s="284">
        <v>0</v>
      </c>
    </row>
    <row r="5680" spans="3:10" x14ac:dyDescent="0.25">
      <c r="C5680" s="300" t="s">
        <v>1067</v>
      </c>
      <c r="D5680" s="283" t="s">
        <v>1087</v>
      </c>
      <c r="E5680" s="283" t="s">
        <v>1089</v>
      </c>
      <c r="F5680" s="283" t="s">
        <v>524</v>
      </c>
      <c r="G5680" s="283">
        <v>1</v>
      </c>
      <c r="H5680" s="283">
        <v>0</v>
      </c>
      <c r="I5680" s="283">
        <v>0</v>
      </c>
      <c r="J5680" s="284">
        <v>1</v>
      </c>
    </row>
    <row r="5681" spans="3:10" x14ac:dyDescent="0.25">
      <c r="C5681" s="300" t="s">
        <v>1067</v>
      </c>
      <c r="D5681" s="283" t="s">
        <v>1077</v>
      </c>
      <c r="E5681" s="283" t="s">
        <v>1075</v>
      </c>
      <c r="F5681" s="283" t="s">
        <v>1075</v>
      </c>
      <c r="G5681" s="283">
        <v>2</v>
      </c>
      <c r="H5681" s="283">
        <v>0</v>
      </c>
      <c r="I5681" s="283">
        <v>0</v>
      </c>
      <c r="J5681" s="284">
        <v>0</v>
      </c>
    </row>
    <row r="5682" spans="3:10" x14ac:dyDescent="0.25">
      <c r="C5682" s="300" t="s">
        <v>1067</v>
      </c>
      <c r="D5682" s="283" t="s">
        <v>1079</v>
      </c>
      <c r="E5682" s="283" t="s">
        <v>1075</v>
      </c>
      <c r="F5682" s="283" t="s">
        <v>1075</v>
      </c>
      <c r="G5682" s="283">
        <v>2</v>
      </c>
      <c r="H5682" s="283">
        <v>0</v>
      </c>
      <c r="I5682" s="283">
        <v>0</v>
      </c>
      <c r="J5682" s="284">
        <v>0</v>
      </c>
    </row>
    <row r="5683" spans="3:10" x14ac:dyDescent="0.25">
      <c r="C5683" s="300" t="s">
        <v>1066</v>
      </c>
      <c r="D5683" s="283" t="s">
        <v>1077</v>
      </c>
      <c r="E5683" s="283" t="s">
        <v>1076</v>
      </c>
      <c r="F5683" s="283" t="s">
        <v>1076</v>
      </c>
      <c r="G5683" s="283">
        <v>2</v>
      </c>
      <c r="H5683" s="283">
        <v>0</v>
      </c>
      <c r="I5683" s="283">
        <v>0</v>
      </c>
      <c r="J5683" s="284">
        <v>0</v>
      </c>
    </row>
    <row r="5684" spans="3:10" x14ac:dyDescent="0.25">
      <c r="C5684" s="300" t="s">
        <v>1066</v>
      </c>
      <c r="D5684" s="283" t="s">
        <v>1087</v>
      </c>
      <c r="E5684" s="283" t="s">
        <v>1075</v>
      </c>
      <c r="F5684" s="283" t="s">
        <v>524</v>
      </c>
      <c r="G5684" s="283">
        <v>1</v>
      </c>
      <c r="H5684" s="283">
        <v>0</v>
      </c>
      <c r="I5684" s="283">
        <v>0</v>
      </c>
      <c r="J5684" s="284">
        <v>0</v>
      </c>
    </row>
    <row r="5685" spans="3:10" x14ac:dyDescent="0.25">
      <c r="C5685" s="300" t="s">
        <v>1060</v>
      </c>
      <c r="D5685" s="283" t="s">
        <v>1079</v>
      </c>
      <c r="E5685" s="283" t="s">
        <v>1081</v>
      </c>
      <c r="F5685" s="283" t="s">
        <v>1075</v>
      </c>
      <c r="G5685" s="283">
        <v>2</v>
      </c>
      <c r="H5685" s="283">
        <v>0</v>
      </c>
      <c r="I5685" s="283">
        <v>0</v>
      </c>
      <c r="J5685" s="284">
        <v>0</v>
      </c>
    </row>
    <row r="5686" spans="3:10" x14ac:dyDescent="0.25">
      <c r="C5686" s="300" t="s">
        <v>1062</v>
      </c>
      <c r="D5686" s="283" t="s">
        <v>1077</v>
      </c>
      <c r="E5686" s="283" t="s">
        <v>1089</v>
      </c>
      <c r="F5686" s="283" t="s">
        <v>1075</v>
      </c>
      <c r="G5686" s="283">
        <v>2</v>
      </c>
      <c r="H5686" s="283">
        <v>0</v>
      </c>
      <c r="I5686" s="283">
        <v>0</v>
      </c>
      <c r="J5686" s="284">
        <v>0</v>
      </c>
    </row>
    <row r="5687" spans="3:10" x14ac:dyDescent="0.25">
      <c r="C5687" s="300" t="s">
        <v>1060</v>
      </c>
      <c r="D5687" s="283" t="s">
        <v>1074</v>
      </c>
      <c r="E5687" s="283" t="s">
        <v>1075</v>
      </c>
      <c r="F5687" s="283" t="s">
        <v>1083</v>
      </c>
      <c r="G5687" s="283">
        <v>2</v>
      </c>
      <c r="H5687" s="283">
        <v>0</v>
      </c>
      <c r="I5687" s="283">
        <v>1</v>
      </c>
      <c r="J5687" s="284">
        <v>0</v>
      </c>
    </row>
    <row r="5688" spans="3:10" x14ac:dyDescent="0.25">
      <c r="C5688" s="300" t="s">
        <v>1059</v>
      </c>
      <c r="D5688" s="283" t="s">
        <v>1087</v>
      </c>
      <c r="E5688" s="283" t="s">
        <v>1075</v>
      </c>
      <c r="F5688" s="283" t="s">
        <v>524</v>
      </c>
      <c r="G5688" s="283">
        <v>1</v>
      </c>
      <c r="H5688" s="283">
        <v>0</v>
      </c>
      <c r="I5688" s="283">
        <v>0</v>
      </c>
      <c r="J5688" s="284">
        <v>0</v>
      </c>
    </row>
    <row r="5689" spans="3:10" x14ac:dyDescent="0.25">
      <c r="C5689" s="300" t="s">
        <v>1065</v>
      </c>
      <c r="D5689" s="283" t="s">
        <v>1087</v>
      </c>
      <c r="E5689" s="283" t="s">
        <v>1084</v>
      </c>
      <c r="F5689" s="283" t="s">
        <v>524</v>
      </c>
      <c r="G5689" s="283">
        <v>1</v>
      </c>
      <c r="H5689" s="283">
        <v>0</v>
      </c>
      <c r="I5689" s="283">
        <v>1</v>
      </c>
      <c r="J5689" s="284">
        <v>0</v>
      </c>
    </row>
    <row r="5690" spans="3:10" x14ac:dyDescent="0.25">
      <c r="C5690" s="300" t="s">
        <v>1060</v>
      </c>
      <c r="D5690" s="283" t="s">
        <v>1082</v>
      </c>
      <c r="E5690" s="283" t="s">
        <v>1075</v>
      </c>
      <c r="F5690" s="283" t="s">
        <v>1089</v>
      </c>
      <c r="G5690" s="283">
        <v>3</v>
      </c>
      <c r="H5690" s="283">
        <v>0</v>
      </c>
      <c r="I5690" s="283">
        <v>1</v>
      </c>
      <c r="J5690" s="284">
        <v>0</v>
      </c>
    </row>
    <row r="5691" spans="3:10" x14ac:dyDescent="0.25">
      <c r="C5691" s="300" t="s">
        <v>1065</v>
      </c>
      <c r="D5691" s="283" t="s">
        <v>1077</v>
      </c>
      <c r="E5691" s="283" t="s">
        <v>1078</v>
      </c>
      <c r="F5691" s="283" t="s">
        <v>1075</v>
      </c>
      <c r="G5691" s="283">
        <v>3</v>
      </c>
      <c r="H5691" s="283">
        <v>0</v>
      </c>
      <c r="I5691" s="283">
        <v>0</v>
      </c>
      <c r="J5691" s="284">
        <v>0</v>
      </c>
    </row>
    <row r="5692" spans="3:10" x14ac:dyDescent="0.25">
      <c r="C5692" s="300" t="s">
        <v>1064</v>
      </c>
      <c r="D5692" s="283" t="s">
        <v>1077</v>
      </c>
      <c r="E5692" s="283" t="s">
        <v>1075</v>
      </c>
      <c r="F5692" s="283" t="s">
        <v>1076</v>
      </c>
      <c r="G5692" s="283">
        <v>2</v>
      </c>
      <c r="H5692" s="283">
        <v>0</v>
      </c>
      <c r="I5692" s="283">
        <v>0</v>
      </c>
      <c r="J5692" s="284">
        <v>1</v>
      </c>
    </row>
    <row r="5693" spans="3:10" x14ac:dyDescent="0.25">
      <c r="C5693" s="300" t="s">
        <v>1064</v>
      </c>
      <c r="D5693" s="283" t="s">
        <v>1077</v>
      </c>
      <c r="E5693" s="283" t="s">
        <v>1075</v>
      </c>
      <c r="F5693" s="283" t="s">
        <v>1075</v>
      </c>
      <c r="G5693" s="283">
        <v>2</v>
      </c>
      <c r="H5693" s="283">
        <v>0</v>
      </c>
      <c r="I5693" s="283">
        <v>0</v>
      </c>
      <c r="J5693" s="284">
        <v>1</v>
      </c>
    </row>
    <row r="5694" spans="3:10" x14ac:dyDescent="0.25">
      <c r="C5694" s="300" t="s">
        <v>1059</v>
      </c>
      <c r="D5694" s="283" t="s">
        <v>1077</v>
      </c>
      <c r="E5694" s="283" t="s">
        <v>1078</v>
      </c>
      <c r="F5694" s="283" t="s">
        <v>1089</v>
      </c>
      <c r="G5694" s="283">
        <v>2</v>
      </c>
      <c r="H5694" s="283">
        <v>0</v>
      </c>
      <c r="I5694" s="283">
        <v>0</v>
      </c>
      <c r="J5694" s="284">
        <v>0</v>
      </c>
    </row>
    <row r="5695" spans="3:10" x14ac:dyDescent="0.25">
      <c r="C5695" s="300" t="s">
        <v>1062</v>
      </c>
      <c r="D5695" s="283" t="s">
        <v>1087</v>
      </c>
      <c r="E5695" s="283" t="s">
        <v>1075</v>
      </c>
      <c r="F5695" s="283" t="s">
        <v>524</v>
      </c>
      <c r="G5695" s="283">
        <v>1</v>
      </c>
      <c r="H5695" s="283">
        <v>0</v>
      </c>
      <c r="I5695" s="283">
        <v>0</v>
      </c>
      <c r="J5695" s="284">
        <v>0</v>
      </c>
    </row>
    <row r="5696" spans="3:10" x14ac:dyDescent="0.25">
      <c r="C5696" s="300" t="s">
        <v>1065</v>
      </c>
      <c r="D5696" s="283" t="s">
        <v>1074</v>
      </c>
      <c r="E5696" s="283" t="s">
        <v>1076</v>
      </c>
      <c r="F5696" s="283" t="s">
        <v>1075</v>
      </c>
      <c r="G5696" s="283">
        <v>3</v>
      </c>
      <c r="H5696" s="283">
        <v>0</v>
      </c>
      <c r="I5696" s="283">
        <v>0</v>
      </c>
      <c r="J5696" s="284">
        <v>0</v>
      </c>
    </row>
    <row r="5697" spans="3:10" x14ac:dyDescent="0.25">
      <c r="C5697" s="300" t="s">
        <v>1067</v>
      </c>
      <c r="D5697" s="283" t="s">
        <v>1079</v>
      </c>
      <c r="E5697" s="283" t="s">
        <v>1075</v>
      </c>
      <c r="F5697" s="283" t="s">
        <v>1089</v>
      </c>
      <c r="G5697" s="283">
        <v>2</v>
      </c>
      <c r="H5697" s="283">
        <v>0</v>
      </c>
      <c r="I5697" s="283">
        <v>0</v>
      </c>
      <c r="J5697" s="284">
        <v>0</v>
      </c>
    </row>
    <row r="5698" spans="3:10" x14ac:dyDescent="0.25">
      <c r="C5698" s="300" t="s">
        <v>1065</v>
      </c>
      <c r="D5698" s="283" t="s">
        <v>1090</v>
      </c>
      <c r="E5698" s="283" t="s">
        <v>1083</v>
      </c>
      <c r="F5698" s="283" t="s">
        <v>524</v>
      </c>
      <c r="G5698" s="283">
        <v>1</v>
      </c>
      <c r="H5698" s="283">
        <v>0</v>
      </c>
      <c r="I5698" s="283">
        <v>1</v>
      </c>
      <c r="J5698" s="284">
        <v>0</v>
      </c>
    </row>
    <row r="5699" spans="3:10" x14ac:dyDescent="0.25">
      <c r="C5699" s="300" t="s">
        <v>1057</v>
      </c>
      <c r="D5699" s="283" t="s">
        <v>1074</v>
      </c>
      <c r="E5699" s="283" t="s">
        <v>1089</v>
      </c>
      <c r="F5699" s="283" t="s">
        <v>1075</v>
      </c>
      <c r="G5699" s="283">
        <v>2</v>
      </c>
      <c r="H5699" s="283">
        <v>0</v>
      </c>
      <c r="I5699" s="283">
        <v>0</v>
      </c>
      <c r="J5699" s="284">
        <v>1</v>
      </c>
    </row>
    <row r="5700" spans="3:10" x14ac:dyDescent="0.25">
      <c r="C5700" s="300" t="s">
        <v>1060</v>
      </c>
      <c r="D5700" s="283" t="s">
        <v>1090</v>
      </c>
      <c r="E5700" s="283" t="s">
        <v>1044</v>
      </c>
      <c r="F5700" s="283" t="s">
        <v>524</v>
      </c>
      <c r="G5700" s="283">
        <v>2</v>
      </c>
      <c r="H5700" s="283">
        <v>0</v>
      </c>
      <c r="I5700" s="283">
        <v>0</v>
      </c>
      <c r="J5700" s="284">
        <v>0</v>
      </c>
    </row>
    <row r="5701" spans="3:10" x14ac:dyDescent="0.25">
      <c r="C5701" s="300" t="s">
        <v>1066</v>
      </c>
      <c r="D5701" s="283" t="s">
        <v>1079</v>
      </c>
      <c r="E5701" s="283" t="s">
        <v>1075</v>
      </c>
      <c r="F5701" s="283" t="s">
        <v>1089</v>
      </c>
      <c r="G5701" s="283">
        <v>4</v>
      </c>
      <c r="H5701" s="283">
        <v>0</v>
      </c>
      <c r="I5701" s="283">
        <v>0</v>
      </c>
      <c r="J5701" s="284">
        <v>0</v>
      </c>
    </row>
    <row r="5702" spans="3:10" x14ac:dyDescent="0.25">
      <c r="C5702" s="300" t="s">
        <v>1066</v>
      </c>
      <c r="D5702" s="283" t="s">
        <v>1079</v>
      </c>
      <c r="E5702" s="283" t="s">
        <v>1078</v>
      </c>
      <c r="F5702" s="283" t="s">
        <v>1078</v>
      </c>
      <c r="G5702" s="283">
        <v>3</v>
      </c>
      <c r="H5702" s="283">
        <v>0</v>
      </c>
      <c r="I5702" s="283">
        <v>0</v>
      </c>
      <c r="J5702" s="284">
        <v>0</v>
      </c>
    </row>
    <row r="5703" spans="3:10" x14ac:dyDescent="0.25">
      <c r="C5703" s="300" t="s">
        <v>1063</v>
      </c>
      <c r="D5703" s="283" t="s">
        <v>1082</v>
      </c>
      <c r="E5703" s="283" t="s">
        <v>1078</v>
      </c>
      <c r="F5703" s="283" t="s">
        <v>1089</v>
      </c>
      <c r="G5703" s="283">
        <v>2</v>
      </c>
      <c r="H5703" s="283">
        <v>0</v>
      </c>
      <c r="I5703" s="283">
        <v>0</v>
      </c>
      <c r="J5703" s="284">
        <v>1</v>
      </c>
    </row>
    <row r="5704" spans="3:10" x14ac:dyDescent="0.25">
      <c r="C5704" s="300" t="s">
        <v>1061</v>
      </c>
      <c r="D5704" s="283" t="s">
        <v>1074</v>
      </c>
      <c r="E5704" s="283" t="s">
        <v>1076</v>
      </c>
      <c r="F5704" s="283" t="s">
        <v>1075</v>
      </c>
      <c r="G5704" s="283">
        <v>2</v>
      </c>
      <c r="H5704" s="283">
        <v>0</v>
      </c>
      <c r="I5704" s="283">
        <v>0</v>
      </c>
      <c r="J5704" s="284">
        <v>1</v>
      </c>
    </row>
    <row r="5705" spans="3:10" x14ac:dyDescent="0.25">
      <c r="C5705" s="300" t="s">
        <v>1068</v>
      </c>
      <c r="D5705" s="283" t="s">
        <v>1079</v>
      </c>
      <c r="E5705" s="283" t="s">
        <v>1075</v>
      </c>
      <c r="F5705" s="283" t="s">
        <v>1044</v>
      </c>
      <c r="G5705" s="283">
        <v>2</v>
      </c>
      <c r="H5705" s="283">
        <v>0</v>
      </c>
      <c r="I5705" s="283">
        <v>0</v>
      </c>
      <c r="J5705" s="284">
        <v>1</v>
      </c>
    </row>
    <row r="5706" spans="3:10" x14ac:dyDescent="0.25">
      <c r="C5706" s="300" t="s">
        <v>1064</v>
      </c>
      <c r="D5706" s="283" t="s">
        <v>1079</v>
      </c>
      <c r="E5706" s="283" t="s">
        <v>1075</v>
      </c>
      <c r="F5706" s="283" t="s">
        <v>1075</v>
      </c>
      <c r="G5706" s="283">
        <v>4</v>
      </c>
      <c r="H5706" s="283">
        <v>0</v>
      </c>
      <c r="I5706" s="283">
        <v>1</v>
      </c>
      <c r="J5706" s="284">
        <v>0</v>
      </c>
    </row>
    <row r="5707" spans="3:10" x14ac:dyDescent="0.25">
      <c r="C5707" s="300" t="s">
        <v>1065</v>
      </c>
      <c r="D5707" s="283" t="s">
        <v>1079</v>
      </c>
      <c r="E5707" s="283" t="s">
        <v>1075</v>
      </c>
      <c r="F5707" s="283" t="s">
        <v>1075</v>
      </c>
      <c r="G5707" s="283">
        <v>2</v>
      </c>
      <c r="H5707" s="283">
        <v>0</v>
      </c>
      <c r="I5707" s="283">
        <v>0</v>
      </c>
      <c r="J5707" s="284">
        <v>0</v>
      </c>
    </row>
    <row r="5708" spans="3:10" x14ac:dyDescent="0.25">
      <c r="C5708" s="300" t="s">
        <v>1062</v>
      </c>
      <c r="D5708" s="283" t="s">
        <v>1074</v>
      </c>
      <c r="E5708" s="283" t="s">
        <v>1075</v>
      </c>
      <c r="F5708" s="283" t="s">
        <v>1075</v>
      </c>
      <c r="G5708" s="283">
        <v>2</v>
      </c>
      <c r="H5708" s="283">
        <v>0</v>
      </c>
      <c r="I5708" s="283">
        <v>1</v>
      </c>
      <c r="J5708" s="284">
        <v>0</v>
      </c>
    </row>
    <row r="5709" spans="3:10" x14ac:dyDescent="0.25">
      <c r="C5709" s="300" t="s">
        <v>1067</v>
      </c>
      <c r="D5709" s="283" t="s">
        <v>1074</v>
      </c>
      <c r="E5709" s="283" t="s">
        <v>1089</v>
      </c>
      <c r="F5709" s="283" t="s">
        <v>1089</v>
      </c>
      <c r="G5709" s="283">
        <v>2</v>
      </c>
      <c r="H5709" s="283">
        <v>0</v>
      </c>
      <c r="I5709" s="283">
        <v>0</v>
      </c>
      <c r="J5709" s="284">
        <v>0</v>
      </c>
    </row>
    <row r="5710" spans="3:10" x14ac:dyDescent="0.25">
      <c r="C5710" s="300" t="s">
        <v>1058</v>
      </c>
      <c r="D5710" s="283" t="s">
        <v>1087</v>
      </c>
      <c r="E5710" s="283" t="s">
        <v>1075</v>
      </c>
      <c r="F5710" s="283" t="s">
        <v>524</v>
      </c>
      <c r="G5710" s="283">
        <v>1</v>
      </c>
      <c r="H5710" s="283">
        <v>0</v>
      </c>
      <c r="I5710" s="283">
        <v>0</v>
      </c>
      <c r="J5710" s="284">
        <v>0</v>
      </c>
    </row>
    <row r="5711" spans="3:10" x14ac:dyDescent="0.25">
      <c r="C5711" s="300" t="s">
        <v>1066</v>
      </c>
      <c r="D5711" s="283" t="s">
        <v>1079</v>
      </c>
      <c r="E5711" s="283" t="s">
        <v>1075</v>
      </c>
      <c r="F5711" s="283" t="s">
        <v>1093</v>
      </c>
      <c r="G5711" s="283">
        <v>2</v>
      </c>
      <c r="H5711" s="283">
        <v>0</v>
      </c>
      <c r="I5711" s="283">
        <v>0</v>
      </c>
      <c r="J5711" s="284">
        <v>1</v>
      </c>
    </row>
    <row r="5712" spans="3:10" x14ac:dyDescent="0.25">
      <c r="C5712" s="300" t="s">
        <v>1064</v>
      </c>
      <c r="D5712" s="283" t="s">
        <v>1074</v>
      </c>
      <c r="E5712" s="283" t="s">
        <v>1075</v>
      </c>
      <c r="F5712" s="283" t="s">
        <v>1075</v>
      </c>
      <c r="G5712" s="283">
        <v>2</v>
      </c>
      <c r="H5712" s="283">
        <v>0</v>
      </c>
      <c r="I5712" s="283">
        <v>0</v>
      </c>
      <c r="J5712" s="284">
        <v>0</v>
      </c>
    </row>
    <row r="5713" spans="3:10" x14ac:dyDescent="0.25">
      <c r="C5713" s="300" t="s">
        <v>1063</v>
      </c>
      <c r="D5713" s="283" t="s">
        <v>1077</v>
      </c>
      <c r="E5713" s="283" t="s">
        <v>1075</v>
      </c>
      <c r="F5713" s="283" t="s">
        <v>1076</v>
      </c>
      <c r="G5713" s="283">
        <v>2</v>
      </c>
      <c r="H5713" s="283">
        <v>0</v>
      </c>
      <c r="I5713" s="283">
        <v>0</v>
      </c>
      <c r="J5713" s="284">
        <v>0</v>
      </c>
    </row>
    <row r="5714" spans="3:10" x14ac:dyDescent="0.25">
      <c r="C5714" s="300" t="s">
        <v>1065</v>
      </c>
      <c r="D5714" s="283" t="s">
        <v>1079</v>
      </c>
      <c r="E5714" s="283" t="s">
        <v>1078</v>
      </c>
      <c r="F5714" s="283" t="s">
        <v>1075</v>
      </c>
      <c r="G5714" s="283">
        <v>2</v>
      </c>
      <c r="H5714" s="283">
        <v>0</v>
      </c>
      <c r="I5714" s="283">
        <v>0</v>
      </c>
      <c r="J5714" s="284">
        <v>0</v>
      </c>
    </row>
    <row r="5715" spans="3:10" x14ac:dyDescent="0.25">
      <c r="C5715" s="300" t="s">
        <v>1061</v>
      </c>
      <c r="D5715" s="283" t="s">
        <v>1079</v>
      </c>
      <c r="E5715" s="283" t="s">
        <v>1078</v>
      </c>
      <c r="F5715" s="283" t="s">
        <v>1076</v>
      </c>
      <c r="G5715" s="283">
        <v>2</v>
      </c>
      <c r="H5715" s="283">
        <v>0</v>
      </c>
      <c r="I5715" s="283">
        <v>0</v>
      </c>
      <c r="J5715" s="284">
        <v>0</v>
      </c>
    </row>
    <row r="5716" spans="3:10" x14ac:dyDescent="0.25">
      <c r="C5716" s="300" t="s">
        <v>1066</v>
      </c>
      <c r="D5716" s="283" t="s">
        <v>1095</v>
      </c>
      <c r="E5716" s="283" t="s">
        <v>1108</v>
      </c>
      <c r="F5716" s="283" t="s">
        <v>524</v>
      </c>
      <c r="G5716" s="283">
        <v>1</v>
      </c>
      <c r="H5716" s="283">
        <v>0</v>
      </c>
      <c r="I5716" s="283">
        <v>0</v>
      </c>
      <c r="J5716" s="284">
        <v>0</v>
      </c>
    </row>
    <row r="5717" spans="3:10" x14ac:dyDescent="0.25">
      <c r="C5717" s="300" t="s">
        <v>1065</v>
      </c>
      <c r="D5717" s="283" t="s">
        <v>1077</v>
      </c>
      <c r="E5717" s="283" t="s">
        <v>1089</v>
      </c>
      <c r="F5717" s="283" t="s">
        <v>1086</v>
      </c>
      <c r="G5717" s="283">
        <v>2</v>
      </c>
      <c r="H5717" s="283">
        <v>0</v>
      </c>
      <c r="I5717" s="283">
        <v>0</v>
      </c>
      <c r="J5717" s="284">
        <v>0</v>
      </c>
    </row>
    <row r="5718" spans="3:10" x14ac:dyDescent="0.25">
      <c r="C5718" s="300" t="s">
        <v>1061</v>
      </c>
      <c r="D5718" s="283" t="s">
        <v>1079</v>
      </c>
      <c r="E5718" s="283" t="s">
        <v>1080</v>
      </c>
      <c r="F5718" s="283" t="s">
        <v>1076</v>
      </c>
      <c r="G5718" s="283">
        <v>2</v>
      </c>
      <c r="H5718" s="283">
        <v>0</v>
      </c>
      <c r="I5718" s="283">
        <v>0</v>
      </c>
      <c r="J5718" s="284">
        <v>0</v>
      </c>
    </row>
    <row r="5719" spans="3:10" x14ac:dyDescent="0.25">
      <c r="C5719" s="300" t="s">
        <v>1067</v>
      </c>
      <c r="D5719" s="283" t="s">
        <v>1077</v>
      </c>
      <c r="E5719" s="283" t="s">
        <v>1075</v>
      </c>
      <c r="F5719" s="283" t="s">
        <v>1075</v>
      </c>
      <c r="G5719" s="283">
        <v>2</v>
      </c>
      <c r="H5719" s="283">
        <v>0</v>
      </c>
      <c r="I5719" s="283">
        <v>0</v>
      </c>
      <c r="J5719" s="284">
        <v>1</v>
      </c>
    </row>
    <row r="5720" spans="3:10" x14ac:dyDescent="0.25">
      <c r="C5720" s="300" t="s">
        <v>1067</v>
      </c>
      <c r="D5720" s="283" t="s">
        <v>1087</v>
      </c>
      <c r="E5720" s="283" t="s">
        <v>1076</v>
      </c>
      <c r="F5720" s="283" t="s">
        <v>524</v>
      </c>
      <c r="G5720" s="283">
        <v>1</v>
      </c>
      <c r="H5720" s="283">
        <v>0</v>
      </c>
      <c r="I5720" s="283">
        <v>0</v>
      </c>
      <c r="J5720" s="284">
        <v>1</v>
      </c>
    </row>
    <row r="5721" spans="3:10" x14ac:dyDescent="0.25">
      <c r="C5721" s="300" t="s">
        <v>1057</v>
      </c>
      <c r="D5721" s="283" t="s">
        <v>1087</v>
      </c>
      <c r="E5721" s="283" t="s">
        <v>1075</v>
      </c>
      <c r="F5721" s="283" t="s">
        <v>524</v>
      </c>
      <c r="G5721" s="283">
        <v>1</v>
      </c>
      <c r="H5721" s="283">
        <v>0</v>
      </c>
      <c r="I5721" s="283">
        <v>0</v>
      </c>
      <c r="J5721" s="284">
        <v>0</v>
      </c>
    </row>
    <row r="5722" spans="3:10" x14ac:dyDescent="0.25">
      <c r="C5722" s="300" t="s">
        <v>1067</v>
      </c>
      <c r="D5722" s="283" t="s">
        <v>1087</v>
      </c>
      <c r="E5722" s="283" t="s">
        <v>1075</v>
      </c>
      <c r="F5722" s="283" t="s">
        <v>524</v>
      </c>
      <c r="G5722" s="283">
        <v>1</v>
      </c>
      <c r="H5722" s="283">
        <v>0</v>
      </c>
      <c r="I5722" s="283">
        <v>0</v>
      </c>
      <c r="J5722" s="284">
        <v>0</v>
      </c>
    </row>
    <row r="5723" spans="3:10" x14ac:dyDescent="0.25">
      <c r="C5723" s="300" t="s">
        <v>1064</v>
      </c>
      <c r="D5723" s="283" t="s">
        <v>1082</v>
      </c>
      <c r="E5723" s="283" t="s">
        <v>1076</v>
      </c>
      <c r="F5723" s="283" t="s">
        <v>1075</v>
      </c>
      <c r="G5723" s="283">
        <v>2</v>
      </c>
      <c r="H5723" s="283">
        <v>0</v>
      </c>
      <c r="I5723" s="283">
        <v>0</v>
      </c>
      <c r="J5723" s="284">
        <v>0</v>
      </c>
    </row>
    <row r="5724" spans="3:10" x14ac:dyDescent="0.25">
      <c r="C5724" s="300" t="s">
        <v>1063</v>
      </c>
      <c r="D5724" s="283" t="s">
        <v>1074</v>
      </c>
      <c r="E5724" s="283" t="s">
        <v>1089</v>
      </c>
      <c r="F5724" s="283" t="s">
        <v>1089</v>
      </c>
      <c r="G5724" s="283">
        <v>2</v>
      </c>
      <c r="H5724" s="283">
        <v>0</v>
      </c>
      <c r="I5724" s="283">
        <v>0</v>
      </c>
      <c r="J5724" s="284">
        <v>1</v>
      </c>
    </row>
    <row r="5725" spans="3:10" x14ac:dyDescent="0.25">
      <c r="C5725" s="300" t="s">
        <v>1060</v>
      </c>
      <c r="D5725" s="283" t="s">
        <v>1079</v>
      </c>
      <c r="E5725" s="283" t="s">
        <v>1076</v>
      </c>
      <c r="F5725" s="283" t="s">
        <v>1075</v>
      </c>
      <c r="G5725" s="283">
        <v>2</v>
      </c>
      <c r="H5725" s="283">
        <v>0</v>
      </c>
      <c r="I5725" s="283">
        <v>0</v>
      </c>
      <c r="J5725" s="284">
        <v>0</v>
      </c>
    </row>
    <row r="5726" spans="3:10" x14ac:dyDescent="0.25">
      <c r="C5726" s="300" t="s">
        <v>1064</v>
      </c>
      <c r="D5726" s="283" t="s">
        <v>1079</v>
      </c>
      <c r="E5726" s="283" t="s">
        <v>1075</v>
      </c>
      <c r="F5726" s="283" t="s">
        <v>1075</v>
      </c>
      <c r="G5726" s="283">
        <v>2</v>
      </c>
      <c r="H5726" s="283">
        <v>0</v>
      </c>
      <c r="I5726" s="283">
        <v>0</v>
      </c>
      <c r="J5726" s="284">
        <v>0</v>
      </c>
    </row>
    <row r="5727" spans="3:10" x14ac:dyDescent="0.25">
      <c r="C5727" s="300" t="s">
        <v>1066</v>
      </c>
      <c r="D5727" s="283" t="s">
        <v>1090</v>
      </c>
      <c r="E5727" s="283" t="s">
        <v>1083</v>
      </c>
      <c r="F5727" s="283" t="s">
        <v>524</v>
      </c>
      <c r="G5727" s="283">
        <v>1</v>
      </c>
      <c r="H5727" s="283">
        <v>0</v>
      </c>
      <c r="I5727" s="283">
        <v>0</v>
      </c>
      <c r="J5727" s="284">
        <v>0</v>
      </c>
    </row>
    <row r="5728" spans="3:10" x14ac:dyDescent="0.25">
      <c r="C5728" s="300" t="s">
        <v>1068</v>
      </c>
      <c r="D5728" s="283" t="s">
        <v>1077</v>
      </c>
      <c r="E5728" s="283" t="s">
        <v>1076</v>
      </c>
      <c r="F5728" s="283" t="s">
        <v>1075</v>
      </c>
      <c r="G5728" s="283">
        <v>3</v>
      </c>
      <c r="H5728" s="283">
        <v>0</v>
      </c>
      <c r="I5728" s="283">
        <v>0</v>
      </c>
      <c r="J5728" s="284">
        <v>0</v>
      </c>
    </row>
    <row r="5729" spans="3:10" x14ac:dyDescent="0.25">
      <c r="C5729" s="300" t="s">
        <v>1068</v>
      </c>
      <c r="D5729" s="283" t="s">
        <v>1079</v>
      </c>
      <c r="E5729" s="283" t="s">
        <v>1075</v>
      </c>
      <c r="F5729" s="283" t="s">
        <v>1089</v>
      </c>
      <c r="G5729" s="283">
        <v>2</v>
      </c>
      <c r="H5729" s="283">
        <v>0</v>
      </c>
      <c r="I5729" s="283">
        <v>2</v>
      </c>
      <c r="J5729" s="284">
        <v>0</v>
      </c>
    </row>
    <row r="5730" spans="3:10" x14ac:dyDescent="0.25">
      <c r="C5730" s="300" t="s">
        <v>1064</v>
      </c>
      <c r="D5730" s="283" t="s">
        <v>1077</v>
      </c>
      <c r="E5730" s="283" t="s">
        <v>1075</v>
      </c>
      <c r="F5730" s="283" t="s">
        <v>1076</v>
      </c>
      <c r="G5730" s="283">
        <v>3</v>
      </c>
      <c r="H5730" s="283">
        <v>0</v>
      </c>
      <c r="I5730" s="283">
        <v>0</v>
      </c>
      <c r="J5730" s="284">
        <v>1</v>
      </c>
    </row>
    <row r="5731" spans="3:10" x14ac:dyDescent="0.25">
      <c r="C5731" s="300" t="s">
        <v>1063</v>
      </c>
      <c r="D5731" s="283" t="s">
        <v>1079</v>
      </c>
      <c r="E5731" s="283" t="s">
        <v>1089</v>
      </c>
      <c r="F5731" s="283" t="s">
        <v>1075</v>
      </c>
      <c r="G5731" s="283">
        <v>2</v>
      </c>
      <c r="H5731" s="283">
        <v>0</v>
      </c>
      <c r="I5731" s="283">
        <v>0</v>
      </c>
      <c r="J5731" s="284">
        <v>0</v>
      </c>
    </row>
    <row r="5732" spans="3:10" x14ac:dyDescent="0.25">
      <c r="C5732" s="300" t="s">
        <v>1063</v>
      </c>
      <c r="D5732" s="283" t="s">
        <v>1079</v>
      </c>
      <c r="E5732" s="283" t="s">
        <v>1075</v>
      </c>
      <c r="F5732" s="283" t="s">
        <v>1075</v>
      </c>
      <c r="G5732" s="283">
        <v>2</v>
      </c>
      <c r="H5732" s="283">
        <v>0</v>
      </c>
      <c r="I5732" s="283">
        <v>0</v>
      </c>
      <c r="J5732" s="284">
        <v>1</v>
      </c>
    </row>
    <row r="5733" spans="3:10" x14ac:dyDescent="0.25">
      <c r="C5733" s="300" t="s">
        <v>1066</v>
      </c>
      <c r="D5733" s="283" t="s">
        <v>1079</v>
      </c>
      <c r="E5733" s="283" t="s">
        <v>1078</v>
      </c>
      <c r="F5733" s="283" t="s">
        <v>1089</v>
      </c>
      <c r="G5733" s="283">
        <v>2</v>
      </c>
      <c r="H5733" s="283">
        <v>0</v>
      </c>
      <c r="I5733" s="283">
        <v>0</v>
      </c>
      <c r="J5733" s="284">
        <v>0</v>
      </c>
    </row>
    <row r="5734" spans="3:10" x14ac:dyDescent="0.25">
      <c r="C5734" s="300" t="s">
        <v>1065</v>
      </c>
      <c r="D5734" s="283" t="s">
        <v>1077</v>
      </c>
      <c r="E5734" s="283" t="s">
        <v>1075</v>
      </c>
      <c r="F5734" s="283" t="s">
        <v>1075</v>
      </c>
      <c r="G5734" s="283">
        <v>3</v>
      </c>
      <c r="H5734" s="283">
        <v>0</v>
      </c>
      <c r="I5734" s="283">
        <v>0</v>
      </c>
      <c r="J5734" s="284">
        <v>0</v>
      </c>
    </row>
    <row r="5735" spans="3:10" x14ac:dyDescent="0.25">
      <c r="C5735" s="300" t="s">
        <v>1065</v>
      </c>
      <c r="D5735" s="283" t="s">
        <v>1087</v>
      </c>
      <c r="E5735" s="283" t="s">
        <v>1083</v>
      </c>
      <c r="F5735" s="283" t="s">
        <v>524</v>
      </c>
      <c r="G5735" s="283">
        <v>1</v>
      </c>
      <c r="H5735" s="283">
        <v>0</v>
      </c>
      <c r="I5735" s="283">
        <v>0</v>
      </c>
      <c r="J5735" s="284">
        <v>1</v>
      </c>
    </row>
    <row r="5736" spans="3:10" x14ac:dyDescent="0.25">
      <c r="C5736" s="300" t="s">
        <v>1061</v>
      </c>
      <c r="D5736" s="283" t="s">
        <v>1079</v>
      </c>
      <c r="E5736" s="283" t="s">
        <v>1075</v>
      </c>
      <c r="F5736" s="283" t="s">
        <v>1075</v>
      </c>
      <c r="G5736" s="283">
        <v>2</v>
      </c>
      <c r="H5736" s="283">
        <v>0</v>
      </c>
      <c r="I5736" s="283">
        <v>0</v>
      </c>
      <c r="J5736" s="284">
        <v>0</v>
      </c>
    </row>
    <row r="5737" spans="3:10" x14ac:dyDescent="0.25">
      <c r="C5737" s="300" t="s">
        <v>1061</v>
      </c>
      <c r="D5737" s="283" t="s">
        <v>1079</v>
      </c>
      <c r="E5737" s="283" t="s">
        <v>1075</v>
      </c>
      <c r="F5737" s="283" t="s">
        <v>1075</v>
      </c>
      <c r="G5737" s="283">
        <v>3</v>
      </c>
      <c r="H5737" s="283">
        <v>0</v>
      </c>
      <c r="I5737" s="283">
        <v>0</v>
      </c>
      <c r="J5737" s="284">
        <v>1</v>
      </c>
    </row>
    <row r="5738" spans="3:10" x14ac:dyDescent="0.25">
      <c r="C5738" s="300" t="s">
        <v>1064</v>
      </c>
      <c r="D5738" s="283" t="s">
        <v>1077</v>
      </c>
      <c r="E5738" s="283" t="s">
        <v>1075</v>
      </c>
      <c r="F5738" s="283" t="s">
        <v>1075</v>
      </c>
      <c r="G5738" s="283">
        <v>2</v>
      </c>
      <c r="H5738" s="283">
        <v>0</v>
      </c>
      <c r="I5738" s="283">
        <v>0</v>
      </c>
      <c r="J5738" s="284">
        <v>0</v>
      </c>
    </row>
    <row r="5739" spans="3:10" x14ac:dyDescent="0.25">
      <c r="C5739" s="300" t="s">
        <v>1058</v>
      </c>
      <c r="D5739" s="283" t="s">
        <v>1087</v>
      </c>
      <c r="E5739" s="283" t="s">
        <v>1089</v>
      </c>
      <c r="F5739" s="283" t="s">
        <v>524</v>
      </c>
      <c r="G5739" s="283">
        <v>1</v>
      </c>
      <c r="H5739" s="283">
        <v>0</v>
      </c>
      <c r="I5739" s="283">
        <v>0</v>
      </c>
      <c r="J5739" s="284">
        <v>0</v>
      </c>
    </row>
    <row r="5740" spans="3:10" x14ac:dyDescent="0.25">
      <c r="C5740" s="300" t="s">
        <v>1064</v>
      </c>
      <c r="D5740" s="283" t="s">
        <v>1079</v>
      </c>
      <c r="E5740" s="283" t="s">
        <v>1083</v>
      </c>
      <c r="F5740" s="283" t="s">
        <v>1084</v>
      </c>
      <c r="G5740" s="283">
        <v>2</v>
      </c>
      <c r="H5740" s="283">
        <v>0</v>
      </c>
      <c r="I5740" s="283">
        <v>1</v>
      </c>
      <c r="J5740" s="284">
        <v>0</v>
      </c>
    </row>
    <row r="5741" spans="3:10" x14ac:dyDescent="0.25">
      <c r="C5741" s="300" t="s">
        <v>1064</v>
      </c>
      <c r="D5741" s="283" t="s">
        <v>1079</v>
      </c>
      <c r="E5741" s="283" t="s">
        <v>1089</v>
      </c>
      <c r="F5741" s="283" t="s">
        <v>1078</v>
      </c>
      <c r="G5741" s="283">
        <v>2</v>
      </c>
      <c r="H5741" s="283">
        <v>0</v>
      </c>
      <c r="I5741" s="283">
        <v>0</v>
      </c>
      <c r="J5741" s="284">
        <v>1</v>
      </c>
    </row>
    <row r="5742" spans="3:10" x14ac:dyDescent="0.25">
      <c r="C5742" s="300" t="s">
        <v>1062</v>
      </c>
      <c r="D5742" s="283" t="s">
        <v>1077</v>
      </c>
      <c r="E5742" s="283" t="s">
        <v>1075</v>
      </c>
      <c r="F5742" s="283" t="s">
        <v>1089</v>
      </c>
      <c r="G5742" s="283">
        <v>2</v>
      </c>
      <c r="H5742" s="283">
        <v>0</v>
      </c>
      <c r="I5742" s="283">
        <v>0</v>
      </c>
      <c r="J5742" s="284">
        <v>2</v>
      </c>
    </row>
    <row r="5743" spans="3:10" x14ac:dyDescent="0.25">
      <c r="C5743" s="300" t="s">
        <v>1059</v>
      </c>
      <c r="D5743" s="283" t="s">
        <v>1079</v>
      </c>
      <c r="E5743" s="283" t="s">
        <v>1086</v>
      </c>
      <c r="F5743" s="283" t="s">
        <v>1089</v>
      </c>
      <c r="G5743" s="283">
        <v>2</v>
      </c>
      <c r="H5743" s="283">
        <v>0</v>
      </c>
      <c r="I5743" s="283">
        <v>0</v>
      </c>
      <c r="J5743" s="284">
        <v>0</v>
      </c>
    </row>
    <row r="5744" spans="3:10" x14ac:dyDescent="0.25">
      <c r="C5744" s="300" t="s">
        <v>1065</v>
      </c>
      <c r="D5744" s="283" t="s">
        <v>1074</v>
      </c>
      <c r="E5744" s="283" t="s">
        <v>1089</v>
      </c>
      <c r="F5744" s="283" t="s">
        <v>1075</v>
      </c>
      <c r="G5744" s="283">
        <v>2</v>
      </c>
      <c r="H5744" s="283">
        <v>0</v>
      </c>
      <c r="I5744" s="283">
        <v>0</v>
      </c>
      <c r="J5744" s="284">
        <v>1</v>
      </c>
    </row>
    <row r="5745" spans="3:10" x14ac:dyDescent="0.25">
      <c r="C5745" s="300" t="s">
        <v>1062</v>
      </c>
      <c r="D5745" s="283" t="s">
        <v>1074</v>
      </c>
      <c r="E5745" s="283" t="s">
        <v>1075</v>
      </c>
      <c r="F5745" s="283" t="s">
        <v>1078</v>
      </c>
      <c r="G5745" s="283">
        <v>2</v>
      </c>
      <c r="H5745" s="283">
        <v>0</v>
      </c>
      <c r="I5745" s="283">
        <v>0</v>
      </c>
      <c r="J5745" s="284">
        <v>1</v>
      </c>
    </row>
    <row r="5746" spans="3:10" x14ac:dyDescent="0.25">
      <c r="C5746" s="300" t="s">
        <v>1062</v>
      </c>
      <c r="D5746" s="283" t="s">
        <v>1079</v>
      </c>
      <c r="E5746" s="283" t="s">
        <v>1083</v>
      </c>
      <c r="F5746" s="283" t="s">
        <v>1094</v>
      </c>
      <c r="G5746" s="283">
        <v>3</v>
      </c>
      <c r="H5746" s="283">
        <v>0</v>
      </c>
      <c r="I5746" s="283">
        <v>1</v>
      </c>
      <c r="J5746" s="284">
        <v>0</v>
      </c>
    </row>
    <row r="5747" spans="3:10" x14ac:dyDescent="0.25">
      <c r="C5747" s="300" t="s">
        <v>1064</v>
      </c>
      <c r="D5747" s="283" t="s">
        <v>1077</v>
      </c>
      <c r="E5747" s="283" t="s">
        <v>1088</v>
      </c>
      <c r="F5747" s="283" t="s">
        <v>1075</v>
      </c>
      <c r="G5747" s="283">
        <v>2</v>
      </c>
      <c r="H5747" s="283">
        <v>0</v>
      </c>
      <c r="I5747" s="283">
        <v>1</v>
      </c>
      <c r="J5747" s="284">
        <v>0</v>
      </c>
    </row>
    <row r="5748" spans="3:10" x14ac:dyDescent="0.25">
      <c r="C5748" s="300" t="s">
        <v>1065</v>
      </c>
      <c r="D5748" s="283" t="s">
        <v>1077</v>
      </c>
      <c r="E5748" s="283" t="s">
        <v>1075</v>
      </c>
      <c r="F5748" s="283" t="s">
        <v>1089</v>
      </c>
      <c r="G5748" s="283">
        <v>2</v>
      </c>
      <c r="H5748" s="283">
        <v>0</v>
      </c>
      <c r="I5748" s="283">
        <v>0</v>
      </c>
      <c r="J5748" s="284">
        <v>0</v>
      </c>
    </row>
    <row r="5749" spans="3:10" x14ac:dyDescent="0.25">
      <c r="C5749" s="300" t="s">
        <v>1060</v>
      </c>
      <c r="D5749" s="283" t="s">
        <v>1079</v>
      </c>
      <c r="E5749" s="283" t="s">
        <v>1089</v>
      </c>
      <c r="F5749" s="283" t="s">
        <v>1083</v>
      </c>
      <c r="G5749" s="283">
        <v>2</v>
      </c>
      <c r="H5749" s="283">
        <v>0</v>
      </c>
      <c r="I5749" s="283">
        <v>0</v>
      </c>
      <c r="J5749" s="284">
        <v>0</v>
      </c>
    </row>
    <row r="5750" spans="3:10" x14ac:dyDescent="0.25">
      <c r="C5750" s="300" t="s">
        <v>1064</v>
      </c>
      <c r="D5750" s="283" t="s">
        <v>1074</v>
      </c>
      <c r="E5750" s="283" t="s">
        <v>1089</v>
      </c>
      <c r="F5750" s="283" t="s">
        <v>1076</v>
      </c>
      <c r="G5750" s="283">
        <v>2</v>
      </c>
      <c r="H5750" s="283">
        <v>0</v>
      </c>
      <c r="I5750" s="283">
        <v>0</v>
      </c>
      <c r="J5750" s="284">
        <v>1</v>
      </c>
    </row>
    <row r="5751" spans="3:10" x14ac:dyDescent="0.25">
      <c r="C5751" s="300" t="s">
        <v>1064</v>
      </c>
      <c r="D5751" s="283" t="s">
        <v>1087</v>
      </c>
      <c r="E5751" s="283" t="s">
        <v>1075</v>
      </c>
      <c r="F5751" s="283" t="s">
        <v>524</v>
      </c>
      <c r="G5751" s="283">
        <v>1</v>
      </c>
      <c r="H5751" s="283">
        <v>0</v>
      </c>
      <c r="I5751" s="283">
        <v>1</v>
      </c>
      <c r="J5751" s="284">
        <v>1</v>
      </c>
    </row>
    <row r="5752" spans="3:10" x14ac:dyDescent="0.25">
      <c r="C5752" s="300" t="s">
        <v>1060</v>
      </c>
      <c r="D5752" s="283" t="s">
        <v>1079</v>
      </c>
      <c r="E5752" s="283" t="s">
        <v>1075</v>
      </c>
      <c r="F5752" s="283" t="s">
        <v>1044</v>
      </c>
      <c r="G5752" s="283">
        <v>3</v>
      </c>
      <c r="H5752" s="283">
        <v>0</v>
      </c>
      <c r="I5752" s="283">
        <v>1</v>
      </c>
      <c r="J5752" s="284">
        <v>0</v>
      </c>
    </row>
    <row r="5753" spans="3:10" x14ac:dyDescent="0.25">
      <c r="C5753" s="300" t="s">
        <v>1065</v>
      </c>
      <c r="D5753" s="283" t="s">
        <v>1074</v>
      </c>
      <c r="E5753" s="283" t="s">
        <v>1075</v>
      </c>
      <c r="F5753" s="283" t="s">
        <v>1044</v>
      </c>
      <c r="G5753" s="283">
        <v>2</v>
      </c>
      <c r="H5753" s="283">
        <v>0</v>
      </c>
      <c r="I5753" s="283">
        <v>1</v>
      </c>
      <c r="J5753" s="284">
        <v>0</v>
      </c>
    </row>
    <row r="5754" spans="3:10" x14ac:dyDescent="0.25">
      <c r="C5754" s="300" t="s">
        <v>1068</v>
      </c>
      <c r="D5754" s="283" t="s">
        <v>1043</v>
      </c>
      <c r="E5754" s="283" t="s">
        <v>1089</v>
      </c>
      <c r="F5754" s="283" t="s">
        <v>1092</v>
      </c>
      <c r="G5754" s="283">
        <v>2</v>
      </c>
      <c r="H5754" s="283">
        <v>0</v>
      </c>
      <c r="I5754" s="283">
        <v>1</v>
      </c>
      <c r="J5754" s="284">
        <v>1</v>
      </c>
    </row>
    <row r="5755" spans="3:10" x14ac:dyDescent="0.25">
      <c r="C5755" s="300" t="s">
        <v>1058</v>
      </c>
      <c r="D5755" s="283" t="s">
        <v>1079</v>
      </c>
      <c r="E5755" s="283" t="s">
        <v>1089</v>
      </c>
      <c r="F5755" s="283" t="s">
        <v>1075</v>
      </c>
      <c r="G5755" s="283">
        <v>2</v>
      </c>
      <c r="H5755" s="283">
        <v>0</v>
      </c>
      <c r="I5755" s="283">
        <v>0</v>
      </c>
      <c r="J5755" s="284">
        <v>0</v>
      </c>
    </row>
    <row r="5756" spans="3:10" x14ac:dyDescent="0.25">
      <c r="C5756" s="300" t="s">
        <v>1061</v>
      </c>
      <c r="D5756" s="283" t="s">
        <v>1079</v>
      </c>
      <c r="E5756" s="283" t="s">
        <v>1075</v>
      </c>
      <c r="F5756" s="283" t="s">
        <v>1081</v>
      </c>
      <c r="G5756" s="283">
        <v>2</v>
      </c>
      <c r="H5756" s="283">
        <v>0</v>
      </c>
      <c r="I5756" s="283">
        <v>0</v>
      </c>
      <c r="J5756" s="284">
        <v>0</v>
      </c>
    </row>
    <row r="5757" spans="3:10" x14ac:dyDescent="0.25">
      <c r="C5757" s="300" t="s">
        <v>1062</v>
      </c>
      <c r="D5757" s="283" t="s">
        <v>1082</v>
      </c>
      <c r="E5757" s="283" t="s">
        <v>1075</v>
      </c>
      <c r="F5757" s="283" t="s">
        <v>1080</v>
      </c>
      <c r="G5757" s="283">
        <v>2</v>
      </c>
      <c r="H5757" s="283">
        <v>1</v>
      </c>
      <c r="I5757" s="283">
        <v>0</v>
      </c>
      <c r="J5757" s="284">
        <v>1</v>
      </c>
    </row>
    <row r="5758" spans="3:10" x14ac:dyDescent="0.25">
      <c r="C5758" s="300" t="s">
        <v>1063</v>
      </c>
      <c r="D5758" s="283" t="s">
        <v>1087</v>
      </c>
      <c r="E5758" s="283" t="s">
        <v>1075</v>
      </c>
      <c r="F5758" s="283" t="s">
        <v>524</v>
      </c>
      <c r="G5758" s="283">
        <v>1</v>
      </c>
      <c r="H5758" s="283">
        <v>0</v>
      </c>
      <c r="I5758" s="283">
        <v>0</v>
      </c>
      <c r="J5758" s="284">
        <v>0</v>
      </c>
    </row>
    <row r="5759" spans="3:10" x14ac:dyDescent="0.25">
      <c r="C5759" s="300" t="s">
        <v>1068</v>
      </c>
      <c r="D5759" s="283" t="s">
        <v>1082</v>
      </c>
      <c r="E5759" s="283" t="s">
        <v>1044</v>
      </c>
      <c r="F5759" s="283" t="s">
        <v>1044</v>
      </c>
      <c r="G5759" s="283">
        <v>2</v>
      </c>
      <c r="H5759" s="283">
        <v>1</v>
      </c>
      <c r="I5759" s="283">
        <v>1</v>
      </c>
      <c r="J5759" s="284">
        <v>0</v>
      </c>
    </row>
    <row r="5760" spans="3:10" x14ac:dyDescent="0.25">
      <c r="C5760" s="300" t="s">
        <v>1064</v>
      </c>
      <c r="D5760" s="283" t="s">
        <v>1090</v>
      </c>
      <c r="E5760" s="283" t="s">
        <v>1083</v>
      </c>
      <c r="F5760" s="283" t="s">
        <v>524</v>
      </c>
      <c r="G5760" s="283">
        <v>2</v>
      </c>
      <c r="H5760" s="283">
        <v>1</v>
      </c>
      <c r="I5760" s="283">
        <v>0</v>
      </c>
      <c r="J5760" s="284">
        <v>1</v>
      </c>
    </row>
    <row r="5761" spans="3:10" x14ac:dyDescent="0.25">
      <c r="C5761" s="300" t="s">
        <v>1062</v>
      </c>
      <c r="D5761" s="283" t="s">
        <v>1043</v>
      </c>
      <c r="E5761" s="283" t="s">
        <v>1075</v>
      </c>
      <c r="F5761" s="283" t="s">
        <v>1092</v>
      </c>
      <c r="G5761" s="283">
        <v>10</v>
      </c>
      <c r="H5761" s="283">
        <v>1</v>
      </c>
      <c r="I5761" s="283">
        <v>3</v>
      </c>
      <c r="J5761" s="284">
        <v>2</v>
      </c>
    </row>
    <row r="5762" spans="3:10" x14ac:dyDescent="0.25">
      <c r="C5762" s="300" t="s">
        <v>1067</v>
      </c>
      <c r="D5762" s="283" t="s">
        <v>1087</v>
      </c>
      <c r="E5762" s="283" t="s">
        <v>1075</v>
      </c>
      <c r="F5762" s="283" t="s">
        <v>524</v>
      </c>
      <c r="G5762" s="283">
        <v>1</v>
      </c>
      <c r="H5762" s="283">
        <v>0</v>
      </c>
      <c r="I5762" s="283">
        <v>0</v>
      </c>
      <c r="J5762" s="284">
        <v>0</v>
      </c>
    </row>
    <row r="5763" spans="3:10" x14ac:dyDescent="0.25">
      <c r="C5763" s="300" t="s">
        <v>1062</v>
      </c>
      <c r="D5763" s="283" t="s">
        <v>1043</v>
      </c>
      <c r="E5763" s="283" t="s">
        <v>1075</v>
      </c>
      <c r="F5763" s="283" t="s">
        <v>1092</v>
      </c>
      <c r="G5763" s="283">
        <v>2</v>
      </c>
      <c r="H5763" s="283">
        <v>0</v>
      </c>
      <c r="I5763" s="283">
        <v>1</v>
      </c>
      <c r="J5763" s="284">
        <v>0</v>
      </c>
    </row>
    <row r="5764" spans="3:10" x14ac:dyDescent="0.25">
      <c r="C5764" s="300" t="s">
        <v>1062</v>
      </c>
      <c r="D5764" s="283" t="s">
        <v>1077</v>
      </c>
      <c r="E5764" s="283" t="s">
        <v>1089</v>
      </c>
      <c r="F5764" s="283" t="s">
        <v>1075</v>
      </c>
      <c r="G5764" s="283">
        <v>3</v>
      </c>
      <c r="H5764" s="283">
        <v>0</v>
      </c>
      <c r="I5764" s="283">
        <v>1</v>
      </c>
      <c r="J5764" s="284">
        <v>0</v>
      </c>
    </row>
    <row r="5765" spans="3:10" x14ac:dyDescent="0.25">
      <c r="C5765" s="300" t="s">
        <v>1061</v>
      </c>
      <c r="D5765" s="283" t="s">
        <v>1077</v>
      </c>
      <c r="E5765" s="283" t="s">
        <v>1083</v>
      </c>
      <c r="F5765" s="283" t="s">
        <v>1089</v>
      </c>
      <c r="G5765" s="283">
        <v>2</v>
      </c>
      <c r="H5765" s="283">
        <v>0</v>
      </c>
      <c r="I5765" s="283">
        <v>1</v>
      </c>
      <c r="J5765" s="284">
        <v>0</v>
      </c>
    </row>
    <row r="5766" spans="3:10" x14ac:dyDescent="0.25">
      <c r="C5766" s="300" t="s">
        <v>1064</v>
      </c>
      <c r="D5766" s="283" t="s">
        <v>1074</v>
      </c>
      <c r="E5766" s="283" t="s">
        <v>1076</v>
      </c>
      <c r="F5766" s="283" t="s">
        <v>1075</v>
      </c>
      <c r="G5766" s="283">
        <v>3</v>
      </c>
      <c r="H5766" s="283">
        <v>0</v>
      </c>
      <c r="I5766" s="283">
        <v>0</v>
      </c>
      <c r="J5766" s="284">
        <v>2</v>
      </c>
    </row>
    <row r="5767" spans="3:10" x14ac:dyDescent="0.25">
      <c r="C5767" s="300" t="s">
        <v>1066</v>
      </c>
      <c r="D5767" s="283" t="s">
        <v>1077</v>
      </c>
      <c r="E5767" s="283" t="s">
        <v>1075</v>
      </c>
      <c r="F5767" s="283" t="s">
        <v>1076</v>
      </c>
      <c r="G5767" s="283">
        <v>2</v>
      </c>
      <c r="H5767" s="283">
        <v>0</v>
      </c>
      <c r="I5767" s="283">
        <v>0</v>
      </c>
      <c r="J5767" s="284">
        <v>0</v>
      </c>
    </row>
    <row r="5768" spans="3:10" x14ac:dyDescent="0.25">
      <c r="C5768" s="300" t="s">
        <v>1062</v>
      </c>
      <c r="D5768" s="283" t="s">
        <v>1087</v>
      </c>
      <c r="E5768" s="283" t="s">
        <v>1075</v>
      </c>
      <c r="F5768" s="283" t="s">
        <v>524</v>
      </c>
      <c r="G5768" s="283">
        <v>1</v>
      </c>
      <c r="H5768" s="283">
        <v>0</v>
      </c>
      <c r="I5768" s="283">
        <v>0</v>
      </c>
      <c r="J5768" s="284">
        <v>1</v>
      </c>
    </row>
    <row r="5769" spans="3:10" x14ac:dyDescent="0.25">
      <c r="C5769" s="300" t="s">
        <v>1062</v>
      </c>
      <c r="D5769" s="283" t="s">
        <v>1077</v>
      </c>
      <c r="E5769" s="283" t="s">
        <v>1075</v>
      </c>
      <c r="F5769" s="283" t="s">
        <v>1089</v>
      </c>
      <c r="G5769" s="283">
        <v>2</v>
      </c>
      <c r="H5769" s="283">
        <v>0</v>
      </c>
      <c r="I5769" s="283">
        <v>1</v>
      </c>
      <c r="J5769" s="284">
        <v>0</v>
      </c>
    </row>
    <row r="5770" spans="3:10" x14ac:dyDescent="0.25">
      <c r="C5770" s="300" t="s">
        <v>1067</v>
      </c>
      <c r="D5770" s="283" t="s">
        <v>1079</v>
      </c>
      <c r="E5770" s="283" t="s">
        <v>1075</v>
      </c>
      <c r="F5770" s="283" t="s">
        <v>1075</v>
      </c>
      <c r="G5770" s="283">
        <v>2</v>
      </c>
      <c r="H5770" s="283">
        <v>0</v>
      </c>
      <c r="I5770" s="283">
        <v>0</v>
      </c>
      <c r="J5770" s="284">
        <v>0</v>
      </c>
    </row>
    <row r="5771" spans="3:10" x14ac:dyDescent="0.25">
      <c r="C5771" s="300" t="s">
        <v>1067</v>
      </c>
      <c r="D5771" s="283" t="s">
        <v>1087</v>
      </c>
      <c r="E5771" s="283" t="s">
        <v>1075</v>
      </c>
      <c r="F5771" s="283" t="s">
        <v>524</v>
      </c>
      <c r="G5771" s="283">
        <v>1</v>
      </c>
      <c r="H5771" s="283">
        <v>0</v>
      </c>
      <c r="I5771" s="283">
        <v>0</v>
      </c>
      <c r="J5771" s="284">
        <v>1</v>
      </c>
    </row>
    <row r="5772" spans="3:10" x14ac:dyDescent="0.25">
      <c r="C5772" s="300" t="s">
        <v>1064</v>
      </c>
      <c r="D5772" s="283" t="s">
        <v>1077</v>
      </c>
      <c r="E5772" s="283" t="s">
        <v>1089</v>
      </c>
      <c r="F5772" s="283" t="s">
        <v>1075</v>
      </c>
      <c r="G5772" s="283">
        <v>2</v>
      </c>
      <c r="H5772" s="283">
        <v>0</v>
      </c>
      <c r="I5772" s="283">
        <v>0</v>
      </c>
      <c r="J5772" s="284">
        <v>0</v>
      </c>
    </row>
    <row r="5773" spans="3:10" x14ac:dyDescent="0.25">
      <c r="C5773" s="300" t="s">
        <v>1062</v>
      </c>
      <c r="D5773" s="283" t="s">
        <v>1043</v>
      </c>
      <c r="E5773" s="283" t="s">
        <v>1075</v>
      </c>
      <c r="F5773" s="283" t="s">
        <v>1104</v>
      </c>
      <c r="G5773" s="283">
        <v>2</v>
      </c>
      <c r="H5773" s="283">
        <v>0</v>
      </c>
      <c r="I5773" s="283">
        <v>1</v>
      </c>
      <c r="J5773" s="284">
        <v>0</v>
      </c>
    </row>
    <row r="5774" spans="3:10" x14ac:dyDescent="0.25">
      <c r="C5774" s="300" t="s">
        <v>1057</v>
      </c>
      <c r="D5774" s="283" t="s">
        <v>1043</v>
      </c>
      <c r="E5774" s="283" t="s">
        <v>1075</v>
      </c>
      <c r="F5774" s="283" t="s">
        <v>1092</v>
      </c>
      <c r="G5774" s="283">
        <v>2</v>
      </c>
      <c r="H5774" s="283">
        <v>0</v>
      </c>
      <c r="I5774" s="283">
        <v>0</v>
      </c>
      <c r="J5774" s="284">
        <v>1</v>
      </c>
    </row>
    <row r="5775" spans="3:10" x14ac:dyDescent="0.25">
      <c r="C5775" s="300" t="s">
        <v>1063</v>
      </c>
      <c r="D5775" s="283" t="s">
        <v>1074</v>
      </c>
      <c r="E5775" s="283" t="s">
        <v>1075</v>
      </c>
      <c r="F5775" s="283" t="s">
        <v>1086</v>
      </c>
      <c r="G5775" s="283">
        <v>2</v>
      </c>
      <c r="H5775" s="283">
        <v>0</v>
      </c>
      <c r="I5775" s="283">
        <v>0</v>
      </c>
      <c r="J5775" s="284">
        <v>1</v>
      </c>
    </row>
    <row r="5776" spans="3:10" x14ac:dyDescent="0.25">
      <c r="C5776" s="300" t="s">
        <v>1066</v>
      </c>
      <c r="D5776" s="283" t="s">
        <v>1074</v>
      </c>
      <c r="E5776" s="283" t="s">
        <v>1075</v>
      </c>
      <c r="F5776" s="283" t="s">
        <v>1089</v>
      </c>
      <c r="G5776" s="283">
        <v>2</v>
      </c>
      <c r="H5776" s="283">
        <v>0</v>
      </c>
      <c r="I5776" s="283">
        <v>1</v>
      </c>
      <c r="J5776" s="284">
        <v>0</v>
      </c>
    </row>
    <row r="5777" spans="3:10" x14ac:dyDescent="0.25">
      <c r="C5777" s="300" t="s">
        <v>1062</v>
      </c>
      <c r="D5777" s="283" t="s">
        <v>1074</v>
      </c>
      <c r="E5777" s="283" t="s">
        <v>1075</v>
      </c>
      <c r="F5777" s="283" t="s">
        <v>1089</v>
      </c>
      <c r="G5777" s="283">
        <v>3</v>
      </c>
      <c r="H5777" s="283">
        <v>0</v>
      </c>
      <c r="I5777" s="283">
        <v>1</v>
      </c>
      <c r="J5777" s="284">
        <v>1</v>
      </c>
    </row>
    <row r="5778" spans="3:10" x14ac:dyDescent="0.25">
      <c r="C5778" s="300" t="s">
        <v>1064</v>
      </c>
      <c r="D5778" s="283" t="s">
        <v>1043</v>
      </c>
      <c r="E5778" s="283" t="s">
        <v>1075</v>
      </c>
      <c r="F5778" s="283" t="s">
        <v>1092</v>
      </c>
      <c r="G5778" s="283">
        <v>2</v>
      </c>
      <c r="H5778" s="283">
        <v>1</v>
      </c>
      <c r="I5778" s="283">
        <v>0</v>
      </c>
      <c r="J5778" s="284">
        <v>1</v>
      </c>
    </row>
    <row r="5779" spans="3:10" x14ac:dyDescent="0.25">
      <c r="C5779" s="300" t="s">
        <v>1061</v>
      </c>
      <c r="D5779" s="283" t="s">
        <v>1077</v>
      </c>
      <c r="E5779" s="283" t="s">
        <v>1075</v>
      </c>
      <c r="F5779" s="283" t="s">
        <v>1076</v>
      </c>
      <c r="G5779" s="283">
        <v>3</v>
      </c>
      <c r="H5779" s="283">
        <v>0</v>
      </c>
      <c r="I5779" s="283">
        <v>0</v>
      </c>
      <c r="J5779" s="284">
        <v>1</v>
      </c>
    </row>
    <row r="5780" spans="3:10" x14ac:dyDescent="0.25">
      <c r="C5780" s="300" t="s">
        <v>1067</v>
      </c>
      <c r="D5780" s="283" t="s">
        <v>1079</v>
      </c>
      <c r="E5780" s="283" t="s">
        <v>1075</v>
      </c>
      <c r="F5780" s="283" t="s">
        <v>1089</v>
      </c>
      <c r="G5780" s="283">
        <v>2</v>
      </c>
      <c r="H5780" s="283">
        <v>0</v>
      </c>
      <c r="I5780" s="283">
        <v>0</v>
      </c>
      <c r="J5780" s="284">
        <v>0</v>
      </c>
    </row>
    <row r="5781" spans="3:10" x14ac:dyDescent="0.25">
      <c r="C5781" s="300" t="s">
        <v>1066</v>
      </c>
      <c r="D5781" s="283" t="s">
        <v>1095</v>
      </c>
      <c r="E5781" s="283" t="s">
        <v>1075</v>
      </c>
      <c r="F5781" s="283" t="s">
        <v>1089</v>
      </c>
      <c r="G5781" s="283">
        <v>3</v>
      </c>
      <c r="H5781" s="283">
        <v>0</v>
      </c>
      <c r="I5781" s="283">
        <v>0</v>
      </c>
      <c r="J5781" s="284">
        <v>1</v>
      </c>
    </row>
    <row r="5782" spans="3:10" x14ac:dyDescent="0.25">
      <c r="C5782" s="300" t="s">
        <v>1061</v>
      </c>
      <c r="D5782" s="283" t="s">
        <v>1079</v>
      </c>
      <c r="E5782" s="283" t="s">
        <v>1089</v>
      </c>
      <c r="F5782" s="283" t="s">
        <v>1075</v>
      </c>
      <c r="G5782" s="283">
        <v>2</v>
      </c>
      <c r="H5782" s="283">
        <v>0</v>
      </c>
      <c r="I5782" s="283">
        <v>0</v>
      </c>
      <c r="J5782" s="284">
        <v>1</v>
      </c>
    </row>
    <row r="5783" spans="3:10" x14ac:dyDescent="0.25">
      <c r="C5783" s="300" t="s">
        <v>1063</v>
      </c>
      <c r="D5783" s="283" t="s">
        <v>1077</v>
      </c>
      <c r="E5783" s="283" t="s">
        <v>1076</v>
      </c>
      <c r="F5783" s="283" t="s">
        <v>1075</v>
      </c>
      <c r="G5783" s="283">
        <v>2</v>
      </c>
      <c r="H5783" s="283">
        <v>0</v>
      </c>
      <c r="I5783" s="283">
        <v>0</v>
      </c>
      <c r="J5783" s="284">
        <v>0</v>
      </c>
    </row>
    <row r="5784" spans="3:10" x14ac:dyDescent="0.25">
      <c r="C5784" s="300" t="s">
        <v>1066</v>
      </c>
      <c r="D5784" s="283" t="s">
        <v>1074</v>
      </c>
      <c r="E5784" s="283" t="s">
        <v>1076</v>
      </c>
      <c r="F5784" s="283" t="s">
        <v>1075</v>
      </c>
      <c r="G5784" s="283">
        <v>2</v>
      </c>
      <c r="H5784" s="283">
        <v>0</v>
      </c>
      <c r="I5784" s="283">
        <v>0</v>
      </c>
      <c r="J5784" s="284">
        <v>0</v>
      </c>
    </row>
    <row r="5785" spans="3:10" x14ac:dyDescent="0.25">
      <c r="C5785" s="300" t="s">
        <v>1057</v>
      </c>
      <c r="D5785" s="283" t="s">
        <v>1095</v>
      </c>
      <c r="E5785" s="283" t="s">
        <v>1086</v>
      </c>
      <c r="F5785" s="283" t="s">
        <v>524</v>
      </c>
      <c r="G5785" s="283">
        <v>1</v>
      </c>
      <c r="H5785" s="283">
        <v>0</v>
      </c>
      <c r="I5785" s="283">
        <v>0</v>
      </c>
      <c r="J5785" s="284">
        <v>0</v>
      </c>
    </row>
    <row r="5786" spans="3:10" x14ac:dyDescent="0.25">
      <c r="C5786" s="300" t="s">
        <v>1057</v>
      </c>
      <c r="D5786" s="283" t="s">
        <v>1079</v>
      </c>
      <c r="E5786" s="283" t="s">
        <v>1075</v>
      </c>
      <c r="F5786" s="283" t="s">
        <v>1089</v>
      </c>
      <c r="G5786" s="283">
        <v>2</v>
      </c>
      <c r="H5786" s="283">
        <v>0</v>
      </c>
      <c r="I5786" s="283">
        <v>0</v>
      </c>
      <c r="J5786" s="284">
        <v>0</v>
      </c>
    </row>
    <row r="5787" spans="3:10" x14ac:dyDescent="0.25">
      <c r="C5787" s="300" t="s">
        <v>1060</v>
      </c>
      <c r="D5787" s="283" t="s">
        <v>1043</v>
      </c>
      <c r="E5787" s="283" t="s">
        <v>1075</v>
      </c>
      <c r="F5787" s="283" t="s">
        <v>1092</v>
      </c>
      <c r="G5787" s="283">
        <v>2</v>
      </c>
      <c r="H5787" s="283">
        <v>0</v>
      </c>
      <c r="I5787" s="283">
        <v>1</v>
      </c>
      <c r="J5787" s="284">
        <v>0</v>
      </c>
    </row>
    <row r="5788" spans="3:10" x14ac:dyDescent="0.25">
      <c r="C5788" s="300" t="s">
        <v>1064</v>
      </c>
      <c r="D5788" s="283" t="s">
        <v>1079</v>
      </c>
      <c r="E5788" s="283" t="s">
        <v>1089</v>
      </c>
      <c r="F5788" s="283" t="s">
        <v>1083</v>
      </c>
      <c r="G5788" s="283">
        <v>2</v>
      </c>
      <c r="H5788" s="283">
        <v>0</v>
      </c>
      <c r="I5788" s="283">
        <v>0</v>
      </c>
      <c r="J5788" s="284">
        <v>0</v>
      </c>
    </row>
    <row r="5789" spans="3:10" x14ac:dyDescent="0.25">
      <c r="C5789" s="300" t="s">
        <v>1068</v>
      </c>
      <c r="D5789" s="283" t="s">
        <v>1087</v>
      </c>
      <c r="E5789" s="283" t="s">
        <v>1075</v>
      </c>
      <c r="F5789" s="283" t="s">
        <v>524</v>
      </c>
      <c r="G5789" s="283">
        <v>1</v>
      </c>
      <c r="H5789" s="283">
        <v>0</v>
      </c>
      <c r="I5789" s="283">
        <v>0</v>
      </c>
      <c r="J5789" s="284">
        <v>1</v>
      </c>
    </row>
    <row r="5790" spans="3:10" x14ac:dyDescent="0.25">
      <c r="C5790" s="300" t="s">
        <v>1066</v>
      </c>
      <c r="D5790" s="283" t="s">
        <v>1087</v>
      </c>
      <c r="E5790" s="283" t="s">
        <v>1075</v>
      </c>
      <c r="F5790" s="283" t="s">
        <v>524</v>
      </c>
      <c r="G5790" s="283">
        <v>1</v>
      </c>
      <c r="H5790" s="283">
        <v>0</v>
      </c>
      <c r="I5790" s="283">
        <v>0</v>
      </c>
      <c r="J5790" s="284">
        <v>1</v>
      </c>
    </row>
    <row r="5791" spans="3:10" x14ac:dyDescent="0.25">
      <c r="C5791" s="300" t="s">
        <v>1057</v>
      </c>
      <c r="D5791" s="283" t="s">
        <v>1077</v>
      </c>
      <c r="E5791" s="283" t="s">
        <v>1084</v>
      </c>
      <c r="F5791" s="283" t="s">
        <v>1075</v>
      </c>
      <c r="G5791" s="283">
        <v>2</v>
      </c>
      <c r="H5791" s="283">
        <v>0</v>
      </c>
      <c r="I5791" s="283">
        <v>0</v>
      </c>
      <c r="J5791" s="284">
        <v>1</v>
      </c>
    </row>
    <row r="5792" spans="3:10" x14ac:dyDescent="0.25">
      <c r="C5792" s="300" t="s">
        <v>1061</v>
      </c>
      <c r="D5792" s="283" t="s">
        <v>1043</v>
      </c>
      <c r="E5792" s="283" t="s">
        <v>1075</v>
      </c>
      <c r="F5792" s="283" t="s">
        <v>1092</v>
      </c>
      <c r="G5792" s="283">
        <v>2</v>
      </c>
      <c r="H5792" s="283">
        <v>0</v>
      </c>
      <c r="I5792" s="283">
        <v>0</v>
      </c>
      <c r="J5792" s="284">
        <v>0</v>
      </c>
    </row>
    <row r="5793" spans="3:10" x14ac:dyDescent="0.25">
      <c r="C5793" s="300" t="s">
        <v>1061</v>
      </c>
      <c r="D5793" s="283" t="s">
        <v>1077</v>
      </c>
      <c r="E5793" s="283" t="s">
        <v>1089</v>
      </c>
      <c r="F5793" s="283" t="s">
        <v>1075</v>
      </c>
      <c r="G5793" s="283">
        <v>4</v>
      </c>
      <c r="H5793" s="283">
        <v>0</v>
      </c>
      <c r="I5793" s="283">
        <v>0</v>
      </c>
      <c r="J5793" s="284">
        <v>0</v>
      </c>
    </row>
    <row r="5794" spans="3:10" x14ac:dyDescent="0.25">
      <c r="C5794" s="300" t="s">
        <v>1068</v>
      </c>
      <c r="D5794" s="283" t="s">
        <v>1077</v>
      </c>
      <c r="E5794" s="283" t="s">
        <v>1076</v>
      </c>
      <c r="F5794" s="283" t="s">
        <v>1075</v>
      </c>
      <c r="G5794" s="283">
        <v>2</v>
      </c>
      <c r="H5794" s="283">
        <v>0</v>
      </c>
      <c r="I5794" s="283">
        <v>0</v>
      </c>
      <c r="J5794" s="284">
        <v>1</v>
      </c>
    </row>
    <row r="5795" spans="3:10" x14ac:dyDescent="0.25">
      <c r="C5795" s="300" t="s">
        <v>1065</v>
      </c>
      <c r="D5795" s="283" t="s">
        <v>1077</v>
      </c>
      <c r="E5795" s="283" t="s">
        <v>1075</v>
      </c>
      <c r="F5795" s="283" t="s">
        <v>1081</v>
      </c>
      <c r="G5795" s="283">
        <v>2</v>
      </c>
      <c r="H5795" s="283">
        <v>0</v>
      </c>
      <c r="I5795" s="283">
        <v>0</v>
      </c>
      <c r="J5795" s="284">
        <v>0</v>
      </c>
    </row>
    <row r="5796" spans="3:10" x14ac:dyDescent="0.25">
      <c r="C5796" s="300" t="s">
        <v>1067</v>
      </c>
      <c r="D5796" s="283" t="s">
        <v>1082</v>
      </c>
      <c r="E5796" s="283" t="s">
        <v>1075</v>
      </c>
      <c r="F5796" s="283" t="s">
        <v>1075</v>
      </c>
      <c r="G5796" s="283">
        <v>2</v>
      </c>
      <c r="H5796" s="283">
        <v>0</v>
      </c>
      <c r="I5796" s="283">
        <v>0</v>
      </c>
      <c r="J5796" s="284">
        <v>2</v>
      </c>
    </row>
    <row r="5797" spans="3:10" x14ac:dyDescent="0.25">
      <c r="C5797" s="300" t="s">
        <v>1060</v>
      </c>
      <c r="D5797" s="283" t="s">
        <v>1087</v>
      </c>
      <c r="E5797" s="283" t="s">
        <v>1075</v>
      </c>
      <c r="F5797" s="283" t="s">
        <v>524</v>
      </c>
      <c r="G5797" s="283">
        <v>1</v>
      </c>
      <c r="H5797" s="283">
        <v>0</v>
      </c>
      <c r="I5797" s="283">
        <v>0</v>
      </c>
      <c r="J5797" s="284">
        <v>0</v>
      </c>
    </row>
    <row r="5798" spans="3:10" x14ac:dyDescent="0.25">
      <c r="C5798" s="300" t="s">
        <v>1063</v>
      </c>
      <c r="D5798" s="283" t="s">
        <v>1043</v>
      </c>
      <c r="E5798" s="283" t="s">
        <v>1075</v>
      </c>
      <c r="F5798" s="283" t="s">
        <v>1092</v>
      </c>
      <c r="G5798" s="283">
        <v>2</v>
      </c>
      <c r="H5798" s="283">
        <v>0</v>
      </c>
      <c r="I5798" s="283">
        <v>1</v>
      </c>
      <c r="J5798" s="284">
        <v>0</v>
      </c>
    </row>
    <row r="5799" spans="3:10" x14ac:dyDescent="0.25">
      <c r="C5799" s="300" t="s">
        <v>1057</v>
      </c>
      <c r="D5799" s="283" t="s">
        <v>1079</v>
      </c>
      <c r="E5799" s="283" t="s">
        <v>1075</v>
      </c>
      <c r="F5799" s="283" t="s">
        <v>1075</v>
      </c>
      <c r="G5799" s="283">
        <v>2</v>
      </c>
      <c r="H5799" s="283">
        <v>0</v>
      </c>
      <c r="I5799" s="283">
        <v>1</v>
      </c>
      <c r="J5799" s="284">
        <v>0</v>
      </c>
    </row>
    <row r="5800" spans="3:10" x14ac:dyDescent="0.25">
      <c r="C5800" s="300" t="s">
        <v>1060</v>
      </c>
      <c r="D5800" s="283" t="s">
        <v>1087</v>
      </c>
      <c r="E5800" s="283" t="s">
        <v>1089</v>
      </c>
      <c r="F5800" s="283" t="s">
        <v>524</v>
      </c>
      <c r="G5800" s="283">
        <v>1</v>
      </c>
      <c r="H5800" s="283">
        <v>0</v>
      </c>
      <c r="I5800" s="283">
        <v>0</v>
      </c>
      <c r="J5800" s="284">
        <v>0</v>
      </c>
    </row>
    <row r="5801" spans="3:10" x14ac:dyDescent="0.25">
      <c r="C5801" s="300" t="s">
        <v>1065</v>
      </c>
      <c r="D5801" s="283" t="s">
        <v>1079</v>
      </c>
      <c r="E5801" s="283" t="s">
        <v>1075</v>
      </c>
      <c r="F5801" s="283" t="s">
        <v>1083</v>
      </c>
      <c r="G5801" s="283">
        <v>2</v>
      </c>
      <c r="H5801" s="283">
        <v>0</v>
      </c>
      <c r="I5801" s="283">
        <v>1</v>
      </c>
      <c r="J5801" s="284">
        <v>0</v>
      </c>
    </row>
    <row r="5802" spans="3:10" x14ac:dyDescent="0.25">
      <c r="C5802" s="300" t="s">
        <v>1063</v>
      </c>
      <c r="D5802" s="283" t="s">
        <v>1077</v>
      </c>
      <c r="E5802" s="283" t="s">
        <v>1075</v>
      </c>
      <c r="F5802" s="283" t="s">
        <v>1075</v>
      </c>
      <c r="G5802" s="283">
        <v>3</v>
      </c>
      <c r="H5802" s="283">
        <v>0</v>
      </c>
      <c r="I5802" s="283">
        <v>0</v>
      </c>
      <c r="J5802" s="284">
        <v>0</v>
      </c>
    </row>
    <row r="5803" spans="3:10" x14ac:dyDescent="0.25">
      <c r="C5803" s="300" t="s">
        <v>1064</v>
      </c>
      <c r="D5803" s="283" t="s">
        <v>1077</v>
      </c>
      <c r="E5803" s="283" t="s">
        <v>1075</v>
      </c>
      <c r="F5803" s="283" t="s">
        <v>1075</v>
      </c>
      <c r="G5803" s="283">
        <v>3</v>
      </c>
      <c r="H5803" s="283">
        <v>0</v>
      </c>
      <c r="I5803" s="283">
        <v>0</v>
      </c>
      <c r="J5803" s="284">
        <v>0</v>
      </c>
    </row>
    <row r="5804" spans="3:10" x14ac:dyDescent="0.25">
      <c r="C5804" s="300" t="s">
        <v>1060</v>
      </c>
      <c r="D5804" s="283" t="s">
        <v>1087</v>
      </c>
      <c r="E5804" s="283" t="s">
        <v>1075</v>
      </c>
      <c r="F5804" s="283" t="s">
        <v>524</v>
      </c>
      <c r="G5804" s="283">
        <v>1</v>
      </c>
      <c r="H5804" s="283">
        <v>0</v>
      </c>
      <c r="I5804" s="283">
        <v>0</v>
      </c>
      <c r="J5804" s="284">
        <v>1</v>
      </c>
    </row>
    <row r="5805" spans="3:10" x14ac:dyDescent="0.25">
      <c r="C5805" s="300" t="s">
        <v>1057</v>
      </c>
      <c r="D5805" s="283" t="s">
        <v>1087</v>
      </c>
      <c r="E5805" s="283" t="s">
        <v>1075</v>
      </c>
      <c r="F5805" s="283" t="s">
        <v>524</v>
      </c>
      <c r="G5805" s="283">
        <v>1</v>
      </c>
      <c r="H5805" s="283">
        <v>0</v>
      </c>
      <c r="I5805" s="283">
        <v>1</v>
      </c>
      <c r="J5805" s="284">
        <v>0</v>
      </c>
    </row>
    <row r="5806" spans="3:10" x14ac:dyDescent="0.25">
      <c r="C5806" s="300" t="s">
        <v>1059</v>
      </c>
      <c r="D5806" s="283" t="s">
        <v>1077</v>
      </c>
      <c r="E5806" s="283" t="s">
        <v>1075</v>
      </c>
      <c r="F5806" s="283" t="s">
        <v>1089</v>
      </c>
      <c r="G5806" s="283">
        <v>2</v>
      </c>
      <c r="H5806" s="283">
        <v>0</v>
      </c>
      <c r="I5806" s="283">
        <v>0</v>
      </c>
      <c r="J5806" s="284">
        <v>1</v>
      </c>
    </row>
    <row r="5807" spans="3:10" x14ac:dyDescent="0.25">
      <c r="C5807" s="300" t="s">
        <v>1068</v>
      </c>
      <c r="D5807" s="283" t="s">
        <v>1077</v>
      </c>
      <c r="E5807" s="283" t="s">
        <v>1075</v>
      </c>
      <c r="F5807" s="283" t="s">
        <v>1075</v>
      </c>
      <c r="G5807" s="283">
        <v>2</v>
      </c>
      <c r="H5807" s="283">
        <v>0</v>
      </c>
      <c r="I5807" s="283">
        <v>0</v>
      </c>
      <c r="J5807" s="284">
        <v>0</v>
      </c>
    </row>
    <row r="5808" spans="3:10" x14ac:dyDescent="0.25">
      <c r="C5808" s="300" t="s">
        <v>1063</v>
      </c>
      <c r="D5808" s="283" t="s">
        <v>1082</v>
      </c>
      <c r="E5808" s="283" t="s">
        <v>1080</v>
      </c>
      <c r="F5808" s="283" t="s">
        <v>1075</v>
      </c>
      <c r="G5808" s="283">
        <v>3</v>
      </c>
      <c r="H5808" s="283">
        <v>0</v>
      </c>
      <c r="I5808" s="283">
        <v>2</v>
      </c>
      <c r="J5808" s="284">
        <v>1</v>
      </c>
    </row>
    <row r="5809" spans="3:10" x14ac:dyDescent="0.25">
      <c r="C5809" s="300" t="s">
        <v>1064</v>
      </c>
      <c r="D5809" s="283" t="s">
        <v>1082</v>
      </c>
      <c r="E5809" s="283" t="s">
        <v>1075</v>
      </c>
      <c r="F5809" s="283" t="s">
        <v>1075</v>
      </c>
      <c r="G5809" s="283">
        <v>2</v>
      </c>
      <c r="H5809" s="283">
        <v>0</v>
      </c>
      <c r="I5809" s="283">
        <v>2</v>
      </c>
      <c r="J5809" s="284">
        <v>1</v>
      </c>
    </row>
    <row r="5810" spans="3:10" x14ac:dyDescent="0.25">
      <c r="C5810" s="300" t="s">
        <v>1063</v>
      </c>
      <c r="D5810" s="283" t="s">
        <v>1082</v>
      </c>
      <c r="E5810" s="283" t="s">
        <v>1089</v>
      </c>
      <c r="F5810" s="283" t="s">
        <v>1075</v>
      </c>
      <c r="G5810" s="283">
        <v>2</v>
      </c>
      <c r="H5810" s="283">
        <v>0</v>
      </c>
      <c r="I5810" s="283">
        <v>0</v>
      </c>
      <c r="J5810" s="284">
        <v>1</v>
      </c>
    </row>
    <row r="5811" spans="3:10" x14ac:dyDescent="0.25">
      <c r="C5811" s="300" t="s">
        <v>1066</v>
      </c>
      <c r="D5811" s="283" t="s">
        <v>1077</v>
      </c>
      <c r="E5811" s="283" t="s">
        <v>1075</v>
      </c>
      <c r="F5811" s="283" t="s">
        <v>1075</v>
      </c>
      <c r="G5811" s="283">
        <v>3</v>
      </c>
      <c r="H5811" s="283">
        <v>0</v>
      </c>
      <c r="I5811" s="283">
        <v>0</v>
      </c>
      <c r="J5811" s="284">
        <v>0</v>
      </c>
    </row>
    <row r="5812" spans="3:10" x14ac:dyDescent="0.25">
      <c r="C5812" s="300" t="s">
        <v>1065</v>
      </c>
      <c r="D5812" s="283" t="s">
        <v>1043</v>
      </c>
      <c r="E5812" s="283" t="s">
        <v>1075</v>
      </c>
      <c r="F5812" s="283" t="s">
        <v>1092</v>
      </c>
      <c r="G5812" s="283">
        <v>2</v>
      </c>
      <c r="H5812" s="283">
        <v>0</v>
      </c>
      <c r="I5812" s="283">
        <v>0</v>
      </c>
      <c r="J5812" s="284">
        <v>0</v>
      </c>
    </row>
    <row r="5813" spans="3:10" x14ac:dyDescent="0.25">
      <c r="C5813" s="300" t="s">
        <v>1057</v>
      </c>
      <c r="D5813" s="283" t="s">
        <v>1074</v>
      </c>
      <c r="E5813" s="283" t="s">
        <v>1075</v>
      </c>
      <c r="F5813" s="283" t="s">
        <v>1075</v>
      </c>
      <c r="G5813" s="283">
        <v>2</v>
      </c>
      <c r="H5813" s="283">
        <v>0</v>
      </c>
      <c r="I5813" s="283">
        <v>0</v>
      </c>
      <c r="J5813" s="284">
        <v>0</v>
      </c>
    </row>
    <row r="5814" spans="3:10" x14ac:dyDescent="0.25">
      <c r="C5814" s="300" t="s">
        <v>1064</v>
      </c>
      <c r="D5814" s="283" t="s">
        <v>1077</v>
      </c>
      <c r="E5814" s="283" t="s">
        <v>1075</v>
      </c>
      <c r="F5814" s="283" t="s">
        <v>1089</v>
      </c>
      <c r="G5814" s="283">
        <v>2</v>
      </c>
      <c r="H5814" s="283">
        <v>0</v>
      </c>
      <c r="I5814" s="283">
        <v>0</v>
      </c>
      <c r="J5814" s="284">
        <v>0</v>
      </c>
    </row>
    <row r="5815" spans="3:10" x14ac:dyDescent="0.25">
      <c r="C5815" s="300" t="s">
        <v>1060</v>
      </c>
      <c r="D5815" s="283" t="s">
        <v>1077</v>
      </c>
      <c r="E5815" s="283" t="s">
        <v>1075</v>
      </c>
      <c r="F5815" s="283" t="s">
        <v>1075</v>
      </c>
      <c r="G5815" s="283">
        <v>2</v>
      </c>
      <c r="H5815" s="283">
        <v>0</v>
      </c>
      <c r="I5815" s="283">
        <v>0</v>
      </c>
      <c r="J5815" s="284">
        <v>0</v>
      </c>
    </row>
    <row r="5816" spans="3:10" x14ac:dyDescent="0.25">
      <c r="C5816" s="300" t="s">
        <v>1062</v>
      </c>
      <c r="D5816" s="283" t="s">
        <v>1079</v>
      </c>
      <c r="E5816" s="283" t="s">
        <v>1075</v>
      </c>
      <c r="F5816" s="283" t="s">
        <v>1078</v>
      </c>
      <c r="G5816" s="283">
        <v>2</v>
      </c>
      <c r="H5816" s="283">
        <v>0</v>
      </c>
      <c r="I5816" s="283">
        <v>0</v>
      </c>
      <c r="J5816" s="284">
        <v>1</v>
      </c>
    </row>
    <row r="5817" spans="3:10" x14ac:dyDescent="0.25">
      <c r="C5817" s="300" t="s">
        <v>1066</v>
      </c>
      <c r="D5817" s="283" t="s">
        <v>1079</v>
      </c>
      <c r="E5817" s="283" t="s">
        <v>1089</v>
      </c>
      <c r="F5817" s="283" t="s">
        <v>1075</v>
      </c>
      <c r="G5817" s="283">
        <v>2</v>
      </c>
      <c r="H5817" s="283">
        <v>0</v>
      </c>
      <c r="I5817" s="283">
        <v>0</v>
      </c>
      <c r="J5817" s="284">
        <v>0</v>
      </c>
    </row>
    <row r="5818" spans="3:10" x14ac:dyDescent="0.25">
      <c r="C5818" s="300" t="s">
        <v>1063</v>
      </c>
      <c r="D5818" s="283" t="s">
        <v>1077</v>
      </c>
      <c r="E5818" s="283" t="s">
        <v>1075</v>
      </c>
      <c r="F5818" s="283" t="s">
        <v>1075</v>
      </c>
      <c r="G5818" s="283">
        <v>3</v>
      </c>
      <c r="H5818" s="283">
        <v>0</v>
      </c>
      <c r="I5818" s="283">
        <v>1</v>
      </c>
      <c r="J5818" s="284">
        <v>0</v>
      </c>
    </row>
    <row r="5819" spans="3:10" x14ac:dyDescent="0.25">
      <c r="C5819" s="300" t="s">
        <v>1062</v>
      </c>
      <c r="D5819" s="283" t="s">
        <v>1087</v>
      </c>
      <c r="E5819" s="283" t="s">
        <v>1075</v>
      </c>
      <c r="F5819" s="283" t="s">
        <v>524</v>
      </c>
      <c r="G5819" s="283">
        <v>1</v>
      </c>
      <c r="H5819" s="283">
        <v>0</v>
      </c>
      <c r="I5819" s="283">
        <v>0</v>
      </c>
      <c r="J5819" s="284">
        <v>1</v>
      </c>
    </row>
    <row r="5820" spans="3:10" x14ac:dyDescent="0.25">
      <c r="C5820" s="300" t="s">
        <v>1064</v>
      </c>
      <c r="D5820" s="283" t="s">
        <v>1090</v>
      </c>
      <c r="E5820" s="283" t="s">
        <v>1093</v>
      </c>
      <c r="F5820" s="283" t="s">
        <v>524</v>
      </c>
      <c r="G5820" s="283">
        <v>1</v>
      </c>
      <c r="H5820" s="283">
        <v>0</v>
      </c>
      <c r="I5820" s="283">
        <v>0</v>
      </c>
      <c r="J5820" s="284">
        <v>0</v>
      </c>
    </row>
    <row r="5821" spans="3:10" x14ac:dyDescent="0.25">
      <c r="C5821" s="300" t="s">
        <v>1064</v>
      </c>
      <c r="D5821" s="283" t="s">
        <v>1043</v>
      </c>
      <c r="E5821" s="283" t="s">
        <v>1075</v>
      </c>
      <c r="F5821" s="283" t="s">
        <v>1092</v>
      </c>
      <c r="G5821" s="283">
        <v>2</v>
      </c>
      <c r="H5821" s="283">
        <v>0</v>
      </c>
      <c r="I5821" s="283">
        <v>0</v>
      </c>
      <c r="J5821" s="284">
        <v>0</v>
      </c>
    </row>
    <row r="5822" spans="3:10" x14ac:dyDescent="0.25">
      <c r="C5822" s="300" t="s">
        <v>1062</v>
      </c>
      <c r="D5822" s="283" t="s">
        <v>1079</v>
      </c>
      <c r="E5822" s="283" t="s">
        <v>1089</v>
      </c>
      <c r="F5822" s="283" t="s">
        <v>1075</v>
      </c>
      <c r="G5822" s="283">
        <v>2</v>
      </c>
      <c r="H5822" s="283">
        <v>0</v>
      </c>
      <c r="I5822" s="283">
        <v>0</v>
      </c>
      <c r="J5822" s="284">
        <v>1</v>
      </c>
    </row>
    <row r="5823" spans="3:10" x14ac:dyDescent="0.25">
      <c r="C5823" s="300" t="s">
        <v>1061</v>
      </c>
      <c r="D5823" s="283" t="s">
        <v>1079</v>
      </c>
      <c r="E5823" s="283" t="s">
        <v>1075</v>
      </c>
      <c r="F5823" s="283" t="s">
        <v>1080</v>
      </c>
      <c r="G5823" s="283">
        <v>2</v>
      </c>
      <c r="H5823" s="283">
        <v>0</v>
      </c>
      <c r="I5823" s="283">
        <v>0</v>
      </c>
      <c r="J5823" s="284">
        <v>0</v>
      </c>
    </row>
    <row r="5824" spans="3:10" x14ac:dyDescent="0.25">
      <c r="C5824" s="300" t="s">
        <v>1066</v>
      </c>
      <c r="D5824" s="283" t="s">
        <v>1106</v>
      </c>
      <c r="E5824" s="283" t="s">
        <v>1083</v>
      </c>
      <c r="F5824" s="283" t="s">
        <v>524</v>
      </c>
      <c r="G5824" s="283">
        <v>1</v>
      </c>
      <c r="H5824" s="283">
        <v>0</v>
      </c>
      <c r="I5824" s="283">
        <v>1</v>
      </c>
      <c r="J5824" s="284">
        <v>0</v>
      </c>
    </row>
    <row r="5825" spans="3:10" x14ac:dyDescent="0.25">
      <c r="C5825" s="300" t="s">
        <v>1066</v>
      </c>
      <c r="D5825" s="283" t="s">
        <v>1043</v>
      </c>
      <c r="E5825" s="283" t="s">
        <v>1081</v>
      </c>
      <c r="F5825" s="283" t="s">
        <v>1092</v>
      </c>
      <c r="G5825" s="283">
        <v>2</v>
      </c>
      <c r="H5825" s="283">
        <v>0</v>
      </c>
      <c r="I5825" s="283">
        <v>1</v>
      </c>
      <c r="J5825" s="284">
        <v>0</v>
      </c>
    </row>
    <row r="5826" spans="3:10" x14ac:dyDescent="0.25">
      <c r="C5826" s="300" t="s">
        <v>1067</v>
      </c>
      <c r="D5826" s="283" t="s">
        <v>1079</v>
      </c>
      <c r="E5826" s="283" t="s">
        <v>1075</v>
      </c>
      <c r="F5826" s="283" t="s">
        <v>1075</v>
      </c>
      <c r="G5826" s="283">
        <v>3</v>
      </c>
      <c r="H5826" s="283">
        <v>0</v>
      </c>
      <c r="I5826" s="283">
        <v>0</v>
      </c>
      <c r="J5826" s="284">
        <v>0</v>
      </c>
    </row>
    <row r="5827" spans="3:10" x14ac:dyDescent="0.25">
      <c r="C5827" s="300" t="s">
        <v>1061</v>
      </c>
      <c r="D5827" s="283" t="s">
        <v>1079</v>
      </c>
      <c r="E5827" s="283" t="s">
        <v>1075</v>
      </c>
      <c r="F5827" s="283" t="s">
        <v>1089</v>
      </c>
      <c r="G5827" s="283">
        <v>2</v>
      </c>
      <c r="H5827" s="283">
        <v>0</v>
      </c>
      <c r="I5827" s="283">
        <v>0</v>
      </c>
      <c r="J5827" s="284">
        <v>1</v>
      </c>
    </row>
    <row r="5828" spans="3:10" x14ac:dyDescent="0.25">
      <c r="C5828" s="300" t="s">
        <v>1067</v>
      </c>
      <c r="D5828" s="283" t="s">
        <v>1079</v>
      </c>
      <c r="E5828" s="283" t="s">
        <v>1086</v>
      </c>
      <c r="F5828" s="283" t="s">
        <v>1089</v>
      </c>
      <c r="G5828" s="283">
        <v>2</v>
      </c>
      <c r="H5828" s="283">
        <v>0</v>
      </c>
      <c r="I5828" s="283">
        <v>0</v>
      </c>
      <c r="J5828" s="284">
        <v>0</v>
      </c>
    </row>
    <row r="5829" spans="3:10" x14ac:dyDescent="0.25">
      <c r="C5829" s="300" t="s">
        <v>1065</v>
      </c>
      <c r="D5829" s="283" t="s">
        <v>1079</v>
      </c>
      <c r="E5829" s="283" t="s">
        <v>1089</v>
      </c>
      <c r="F5829" s="283" t="s">
        <v>1084</v>
      </c>
      <c r="G5829" s="283">
        <v>3</v>
      </c>
      <c r="H5829" s="283">
        <v>0</v>
      </c>
      <c r="I5829" s="283">
        <v>0</v>
      </c>
      <c r="J5829" s="284">
        <v>1</v>
      </c>
    </row>
    <row r="5830" spans="3:10" x14ac:dyDescent="0.25">
      <c r="C5830" s="300" t="s">
        <v>1065</v>
      </c>
      <c r="D5830" s="283" t="s">
        <v>1074</v>
      </c>
      <c r="E5830" s="283" t="s">
        <v>1075</v>
      </c>
      <c r="F5830" s="283" t="s">
        <v>1075</v>
      </c>
      <c r="G5830" s="283">
        <v>2</v>
      </c>
      <c r="H5830" s="283">
        <v>0</v>
      </c>
      <c r="I5830" s="283">
        <v>0</v>
      </c>
      <c r="J5830" s="284">
        <v>0</v>
      </c>
    </row>
    <row r="5831" spans="3:10" x14ac:dyDescent="0.25">
      <c r="C5831" s="300" t="s">
        <v>1064</v>
      </c>
      <c r="D5831" s="283" t="s">
        <v>1074</v>
      </c>
      <c r="E5831" s="283" t="s">
        <v>1081</v>
      </c>
      <c r="F5831" s="283" t="s">
        <v>1044</v>
      </c>
      <c r="G5831" s="283">
        <v>2</v>
      </c>
      <c r="H5831" s="283">
        <v>0</v>
      </c>
      <c r="I5831" s="283">
        <v>1</v>
      </c>
      <c r="J5831" s="284">
        <v>0</v>
      </c>
    </row>
    <row r="5832" spans="3:10" x14ac:dyDescent="0.25">
      <c r="C5832" s="300" t="s">
        <v>1067</v>
      </c>
      <c r="D5832" s="283" t="s">
        <v>1079</v>
      </c>
      <c r="E5832" s="283" t="s">
        <v>1075</v>
      </c>
      <c r="F5832" s="283" t="s">
        <v>1083</v>
      </c>
      <c r="G5832" s="283">
        <v>2</v>
      </c>
      <c r="H5832" s="283">
        <v>0</v>
      </c>
      <c r="I5832" s="283">
        <v>0</v>
      </c>
      <c r="J5832" s="284">
        <v>1</v>
      </c>
    </row>
    <row r="5833" spans="3:10" x14ac:dyDescent="0.25">
      <c r="C5833" s="300" t="s">
        <v>1064</v>
      </c>
      <c r="D5833" s="283" t="s">
        <v>1087</v>
      </c>
      <c r="E5833" s="283" t="s">
        <v>1083</v>
      </c>
      <c r="F5833" s="283" t="s">
        <v>524</v>
      </c>
      <c r="G5833" s="283">
        <v>1</v>
      </c>
      <c r="H5833" s="283">
        <v>0</v>
      </c>
      <c r="I5833" s="283">
        <v>0</v>
      </c>
      <c r="J5833" s="284">
        <v>0</v>
      </c>
    </row>
    <row r="5834" spans="3:10" x14ac:dyDescent="0.25">
      <c r="C5834" s="300" t="s">
        <v>1065</v>
      </c>
      <c r="D5834" s="283" t="s">
        <v>1077</v>
      </c>
      <c r="E5834" s="283" t="s">
        <v>1084</v>
      </c>
      <c r="F5834" s="283" t="s">
        <v>1089</v>
      </c>
      <c r="G5834" s="283">
        <v>2</v>
      </c>
      <c r="H5834" s="283">
        <v>0</v>
      </c>
      <c r="I5834" s="283">
        <v>0</v>
      </c>
      <c r="J5834" s="284">
        <v>1</v>
      </c>
    </row>
    <row r="5835" spans="3:10" x14ac:dyDescent="0.25">
      <c r="C5835" s="300" t="s">
        <v>1061</v>
      </c>
      <c r="D5835" s="283" t="s">
        <v>1079</v>
      </c>
      <c r="E5835" s="283" t="s">
        <v>1044</v>
      </c>
      <c r="F5835" s="283" t="s">
        <v>1075</v>
      </c>
      <c r="G5835" s="283">
        <v>2</v>
      </c>
      <c r="H5835" s="283">
        <v>0</v>
      </c>
      <c r="I5835" s="283">
        <v>0</v>
      </c>
      <c r="J5835" s="284">
        <v>0</v>
      </c>
    </row>
    <row r="5836" spans="3:10" x14ac:dyDescent="0.25">
      <c r="C5836" s="300" t="s">
        <v>1065</v>
      </c>
      <c r="D5836" s="283" t="s">
        <v>1043</v>
      </c>
      <c r="E5836" s="283" t="s">
        <v>1089</v>
      </c>
      <c r="F5836" s="283" t="s">
        <v>1092</v>
      </c>
      <c r="G5836" s="283">
        <v>2</v>
      </c>
      <c r="H5836" s="283">
        <v>0</v>
      </c>
      <c r="I5836" s="283">
        <v>0</v>
      </c>
      <c r="J5836" s="284">
        <v>0</v>
      </c>
    </row>
    <row r="5837" spans="3:10" x14ac:dyDescent="0.25">
      <c r="C5837" s="300" t="s">
        <v>1060</v>
      </c>
      <c r="D5837" s="283" t="s">
        <v>1087</v>
      </c>
      <c r="E5837" s="283" t="s">
        <v>1075</v>
      </c>
      <c r="F5837" s="283" t="s">
        <v>524</v>
      </c>
      <c r="G5837" s="283">
        <v>2</v>
      </c>
      <c r="H5837" s="283">
        <v>0</v>
      </c>
      <c r="I5837" s="283">
        <v>0</v>
      </c>
      <c r="J5837" s="284">
        <v>0</v>
      </c>
    </row>
    <row r="5838" spans="3:10" x14ac:dyDescent="0.25">
      <c r="C5838" s="300" t="s">
        <v>1062</v>
      </c>
      <c r="D5838" s="283" t="s">
        <v>1077</v>
      </c>
      <c r="E5838" s="283" t="s">
        <v>1075</v>
      </c>
      <c r="F5838" s="283" t="s">
        <v>1080</v>
      </c>
      <c r="G5838" s="283">
        <v>3</v>
      </c>
      <c r="H5838" s="283">
        <v>0</v>
      </c>
      <c r="I5838" s="283">
        <v>0</v>
      </c>
      <c r="J5838" s="284">
        <v>0</v>
      </c>
    </row>
    <row r="5839" spans="3:10" x14ac:dyDescent="0.25">
      <c r="C5839" s="300" t="s">
        <v>1058</v>
      </c>
      <c r="D5839" s="283" t="s">
        <v>1079</v>
      </c>
      <c r="E5839" s="283" t="s">
        <v>1075</v>
      </c>
      <c r="F5839" s="283" t="s">
        <v>1089</v>
      </c>
      <c r="G5839" s="283">
        <v>3</v>
      </c>
      <c r="H5839" s="283">
        <v>0</v>
      </c>
      <c r="I5839" s="283">
        <v>0</v>
      </c>
      <c r="J5839" s="284">
        <v>0</v>
      </c>
    </row>
    <row r="5840" spans="3:10" x14ac:dyDescent="0.25">
      <c r="C5840" s="300" t="s">
        <v>1067</v>
      </c>
      <c r="D5840" s="283" t="s">
        <v>1087</v>
      </c>
      <c r="E5840" s="283" t="s">
        <v>1094</v>
      </c>
      <c r="F5840" s="283" t="s">
        <v>524</v>
      </c>
      <c r="G5840" s="283">
        <v>1</v>
      </c>
      <c r="H5840" s="283">
        <v>0</v>
      </c>
      <c r="I5840" s="283">
        <v>0</v>
      </c>
      <c r="J5840" s="284">
        <v>1</v>
      </c>
    </row>
    <row r="5841" spans="3:10" x14ac:dyDescent="0.25">
      <c r="C5841" s="300" t="s">
        <v>1063</v>
      </c>
      <c r="D5841" s="283" t="s">
        <v>1079</v>
      </c>
      <c r="E5841" s="283" t="s">
        <v>1075</v>
      </c>
      <c r="F5841" s="283" t="s">
        <v>1084</v>
      </c>
      <c r="G5841" s="283">
        <v>2</v>
      </c>
      <c r="H5841" s="283">
        <v>0</v>
      </c>
      <c r="I5841" s="283">
        <v>1</v>
      </c>
      <c r="J5841" s="284">
        <v>0</v>
      </c>
    </row>
    <row r="5842" spans="3:10" x14ac:dyDescent="0.25">
      <c r="C5842" s="300" t="s">
        <v>1067</v>
      </c>
      <c r="D5842" s="283" t="s">
        <v>1079</v>
      </c>
      <c r="E5842" s="283" t="s">
        <v>1075</v>
      </c>
      <c r="F5842" s="283" t="s">
        <v>1075</v>
      </c>
      <c r="G5842" s="283">
        <v>2</v>
      </c>
      <c r="H5842" s="283">
        <v>0</v>
      </c>
      <c r="I5842" s="283">
        <v>0</v>
      </c>
      <c r="J5842" s="284">
        <v>0</v>
      </c>
    </row>
    <row r="5843" spans="3:10" x14ac:dyDescent="0.25">
      <c r="C5843" s="300" t="s">
        <v>1064</v>
      </c>
      <c r="D5843" s="283" t="s">
        <v>1079</v>
      </c>
      <c r="E5843" s="283" t="s">
        <v>1076</v>
      </c>
      <c r="F5843" s="283" t="s">
        <v>1075</v>
      </c>
      <c r="G5843" s="283">
        <v>2</v>
      </c>
      <c r="H5843" s="283">
        <v>0</v>
      </c>
      <c r="I5843" s="283">
        <v>0</v>
      </c>
      <c r="J5843" s="284">
        <v>0</v>
      </c>
    </row>
    <row r="5844" spans="3:10" x14ac:dyDescent="0.25">
      <c r="C5844" s="300" t="s">
        <v>1062</v>
      </c>
      <c r="D5844" s="283" t="s">
        <v>1095</v>
      </c>
      <c r="E5844" s="283" t="s">
        <v>1075</v>
      </c>
      <c r="F5844" s="283" t="s">
        <v>524</v>
      </c>
      <c r="G5844" s="283">
        <v>1</v>
      </c>
      <c r="H5844" s="283">
        <v>0</v>
      </c>
      <c r="I5844" s="283">
        <v>0</v>
      </c>
      <c r="J5844" s="284">
        <v>0</v>
      </c>
    </row>
    <row r="5845" spans="3:10" x14ac:dyDescent="0.25">
      <c r="C5845" s="300" t="s">
        <v>1064</v>
      </c>
      <c r="D5845" s="283" t="s">
        <v>1077</v>
      </c>
      <c r="E5845" s="283" t="s">
        <v>1075</v>
      </c>
      <c r="F5845" s="283" t="s">
        <v>1075</v>
      </c>
      <c r="G5845" s="283">
        <v>2</v>
      </c>
      <c r="H5845" s="283">
        <v>0</v>
      </c>
      <c r="I5845" s="283">
        <v>0</v>
      </c>
      <c r="J5845" s="284">
        <v>0</v>
      </c>
    </row>
    <row r="5846" spans="3:10" x14ac:dyDescent="0.25">
      <c r="C5846" s="300" t="s">
        <v>1063</v>
      </c>
      <c r="D5846" s="283" t="s">
        <v>1077</v>
      </c>
      <c r="E5846" s="283" t="s">
        <v>1089</v>
      </c>
      <c r="F5846" s="283" t="s">
        <v>1075</v>
      </c>
      <c r="G5846" s="283">
        <v>2</v>
      </c>
      <c r="H5846" s="283">
        <v>0</v>
      </c>
      <c r="I5846" s="283">
        <v>0</v>
      </c>
      <c r="J5846" s="284">
        <v>0</v>
      </c>
    </row>
    <row r="5847" spans="3:10" x14ac:dyDescent="0.25">
      <c r="C5847" s="300" t="s">
        <v>1062</v>
      </c>
      <c r="D5847" s="283" t="s">
        <v>1077</v>
      </c>
      <c r="E5847" s="283" t="s">
        <v>1075</v>
      </c>
      <c r="F5847" s="283" t="s">
        <v>1078</v>
      </c>
      <c r="G5847" s="283">
        <v>2</v>
      </c>
      <c r="H5847" s="283">
        <v>0</v>
      </c>
      <c r="I5847" s="283">
        <v>0</v>
      </c>
      <c r="J5847" s="284">
        <v>0</v>
      </c>
    </row>
    <row r="5848" spans="3:10" x14ac:dyDescent="0.25">
      <c r="C5848" s="300" t="s">
        <v>1067</v>
      </c>
      <c r="D5848" s="283" t="s">
        <v>1077</v>
      </c>
      <c r="E5848" s="283" t="s">
        <v>1076</v>
      </c>
      <c r="F5848" s="283" t="s">
        <v>1078</v>
      </c>
      <c r="G5848" s="283">
        <v>2</v>
      </c>
      <c r="H5848" s="283">
        <v>0</v>
      </c>
      <c r="I5848" s="283">
        <v>1</v>
      </c>
      <c r="J5848" s="284">
        <v>0</v>
      </c>
    </row>
    <row r="5849" spans="3:10" x14ac:dyDescent="0.25">
      <c r="C5849" s="300" t="s">
        <v>1058</v>
      </c>
      <c r="D5849" s="283" t="s">
        <v>1087</v>
      </c>
      <c r="E5849" s="283" t="s">
        <v>1076</v>
      </c>
      <c r="F5849" s="283" t="s">
        <v>524</v>
      </c>
      <c r="G5849" s="283">
        <v>1</v>
      </c>
      <c r="H5849" s="283">
        <v>0</v>
      </c>
      <c r="I5849" s="283">
        <v>0</v>
      </c>
      <c r="J5849" s="284">
        <v>1</v>
      </c>
    </row>
    <row r="5850" spans="3:10" x14ac:dyDescent="0.25">
      <c r="C5850" s="300" t="s">
        <v>1065</v>
      </c>
      <c r="D5850" s="283" t="s">
        <v>1087</v>
      </c>
      <c r="E5850" s="283" t="s">
        <v>1075</v>
      </c>
      <c r="F5850" s="283" t="s">
        <v>524</v>
      </c>
      <c r="G5850" s="283">
        <v>1</v>
      </c>
      <c r="H5850" s="283">
        <v>0</v>
      </c>
      <c r="I5850" s="283">
        <v>0</v>
      </c>
      <c r="J5850" s="284">
        <v>0</v>
      </c>
    </row>
    <row r="5851" spans="3:10" x14ac:dyDescent="0.25">
      <c r="C5851" s="300" t="s">
        <v>1058</v>
      </c>
      <c r="D5851" s="283" t="s">
        <v>1079</v>
      </c>
      <c r="E5851" s="283" t="s">
        <v>1075</v>
      </c>
      <c r="F5851" s="283" t="s">
        <v>1075</v>
      </c>
      <c r="G5851" s="283">
        <v>2</v>
      </c>
      <c r="H5851" s="283">
        <v>0</v>
      </c>
      <c r="I5851" s="283">
        <v>0</v>
      </c>
      <c r="J5851" s="284">
        <v>0</v>
      </c>
    </row>
    <row r="5852" spans="3:10" x14ac:dyDescent="0.25">
      <c r="C5852" s="300" t="s">
        <v>1065</v>
      </c>
      <c r="D5852" s="283" t="s">
        <v>1079</v>
      </c>
      <c r="E5852" s="283" t="s">
        <v>1086</v>
      </c>
      <c r="F5852" s="283" t="s">
        <v>1089</v>
      </c>
      <c r="G5852" s="283">
        <v>2</v>
      </c>
      <c r="H5852" s="283">
        <v>0</v>
      </c>
      <c r="I5852" s="283">
        <v>0</v>
      </c>
      <c r="J5852" s="284">
        <v>0</v>
      </c>
    </row>
    <row r="5853" spans="3:10" x14ac:dyDescent="0.25">
      <c r="C5853" s="300" t="s">
        <v>1061</v>
      </c>
      <c r="D5853" s="283" t="s">
        <v>1074</v>
      </c>
      <c r="E5853" s="283" t="s">
        <v>1075</v>
      </c>
      <c r="F5853" s="283" t="s">
        <v>1089</v>
      </c>
      <c r="G5853" s="283">
        <v>2</v>
      </c>
      <c r="H5853" s="283">
        <v>0</v>
      </c>
      <c r="I5853" s="283">
        <v>0</v>
      </c>
      <c r="J5853" s="284">
        <v>0</v>
      </c>
    </row>
    <row r="5854" spans="3:10" x14ac:dyDescent="0.25">
      <c r="C5854" s="300" t="s">
        <v>1060</v>
      </c>
      <c r="D5854" s="283" t="s">
        <v>1079</v>
      </c>
      <c r="E5854" s="283" t="s">
        <v>1078</v>
      </c>
      <c r="F5854" s="283" t="s">
        <v>1094</v>
      </c>
      <c r="G5854" s="283">
        <v>2</v>
      </c>
      <c r="H5854" s="283">
        <v>0</v>
      </c>
      <c r="I5854" s="283">
        <v>0</v>
      </c>
      <c r="J5854" s="284">
        <v>0</v>
      </c>
    </row>
    <row r="5855" spans="3:10" x14ac:dyDescent="0.25">
      <c r="C5855" s="300" t="s">
        <v>1063</v>
      </c>
      <c r="D5855" s="283" t="s">
        <v>1079</v>
      </c>
      <c r="E5855" s="283" t="s">
        <v>1086</v>
      </c>
      <c r="F5855" s="283" t="s">
        <v>1075</v>
      </c>
      <c r="G5855" s="283">
        <v>2</v>
      </c>
      <c r="H5855" s="283">
        <v>0</v>
      </c>
      <c r="I5855" s="283">
        <v>0</v>
      </c>
      <c r="J5855" s="284">
        <v>0</v>
      </c>
    </row>
    <row r="5856" spans="3:10" x14ac:dyDescent="0.25">
      <c r="C5856" s="300" t="s">
        <v>1064</v>
      </c>
      <c r="D5856" s="283" t="s">
        <v>1079</v>
      </c>
      <c r="E5856" s="283" t="s">
        <v>1075</v>
      </c>
      <c r="F5856" s="283" t="s">
        <v>1075</v>
      </c>
      <c r="G5856" s="283">
        <v>2</v>
      </c>
      <c r="H5856" s="283">
        <v>0</v>
      </c>
      <c r="I5856" s="283">
        <v>0</v>
      </c>
      <c r="J5856" s="284">
        <v>1</v>
      </c>
    </row>
    <row r="5857" spans="3:10" x14ac:dyDescent="0.25">
      <c r="C5857" s="300" t="s">
        <v>1065</v>
      </c>
      <c r="D5857" s="283" t="s">
        <v>1087</v>
      </c>
      <c r="E5857" s="283" t="s">
        <v>1075</v>
      </c>
      <c r="F5857" s="283" t="s">
        <v>524</v>
      </c>
      <c r="G5857" s="283">
        <v>1</v>
      </c>
      <c r="H5857" s="283">
        <v>0</v>
      </c>
      <c r="I5857" s="283">
        <v>1</v>
      </c>
      <c r="J5857" s="284">
        <v>1</v>
      </c>
    </row>
    <row r="5858" spans="3:10" x14ac:dyDescent="0.25">
      <c r="C5858" s="300" t="s">
        <v>1067</v>
      </c>
      <c r="D5858" s="283" t="s">
        <v>1087</v>
      </c>
      <c r="E5858" s="283" t="s">
        <v>1076</v>
      </c>
      <c r="F5858" s="283" t="s">
        <v>524</v>
      </c>
      <c r="G5858" s="283">
        <v>1</v>
      </c>
      <c r="H5858" s="283">
        <v>0</v>
      </c>
      <c r="I5858" s="283">
        <v>1</v>
      </c>
      <c r="J5858" s="284">
        <v>1</v>
      </c>
    </row>
    <row r="5859" spans="3:10" x14ac:dyDescent="0.25">
      <c r="C5859" s="300" t="s">
        <v>1064</v>
      </c>
      <c r="D5859" s="283" t="s">
        <v>1079</v>
      </c>
      <c r="E5859" s="283" t="s">
        <v>1084</v>
      </c>
      <c r="F5859" s="283" t="s">
        <v>1075</v>
      </c>
      <c r="G5859" s="283">
        <v>2</v>
      </c>
      <c r="H5859" s="283">
        <v>0</v>
      </c>
      <c r="I5859" s="283">
        <v>0</v>
      </c>
      <c r="J5859" s="284">
        <v>0</v>
      </c>
    </row>
    <row r="5860" spans="3:10" x14ac:dyDescent="0.25">
      <c r="C5860" s="300" t="s">
        <v>1060</v>
      </c>
      <c r="D5860" s="283" t="s">
        <v>1077</v>
      </c>
      <c r="E5860" s="283" t="s">
        <v>1089</v>
      </c>
      <c r="F5860" s="283" t="s">
        <v>1075</v>
      </c>
      <c r="G5860" s="283">
        <v>3</v>
      </c>
      <c r="H5860" s="283">
        <v>0</v>
      </c>
      <c r="I5860" s="283">
        <v>0</v>
      </c>
      <c r="J5860" s="284">
        <v>0</v>
      </c>
    </row>
    <row r="5861" spans="3:10" x14ac:dyDescent="0.25">
      <c r="C5861" s="300" t="s">
        <v>1060</v>
      </c>
      <c r="D5861" s="283" t="s">
        <v>1077</v>
      </c>
      <c r="E5861" s="283" t="s">
        <v>1075</v>
      </c>
      <c r="F5861" s="283" t="s">
        <v>1044</v>
      </c>
      <c r="G5861" s="283">
        <v>2</v>
      </c>
      <c r="H5861" s="283">
        <v>0</v>
      </c>
      <c r="I5861" s="283">
        <v>1</v>
      </c>
      <c r="J5861" s="284">
        <v>0</v>
      </c>
    </row>
    <row r="5862" spans="3:10" x14ac:dyDescent="0.25">
      <c r="C5862" s="300" t="s">
        <v>1068</v>
      </c>
      <c r="D5862" s="283" t="s">
        <v>1077</v>
      </c>
      <c r="E5862" s="283" t="s">
        <v>1075</v>
      </c>
      <c r="F5862" s="283" t="s">
        <v>1089</v>
      </c>
      <c r="G5862" s="283">
        <v>2</v>
      </c>
      <c r="H5862" s="283">
        <v>0</v>
      </c>
      <c r="I5862" s="283">
        <v>1</v>
      </c>
      <c r="J5862" s="284">
        <v>1</v>
      </c>
    </row>
    <row r="5863" spans="3:10" x14ac:dyDescent="0.25">
      <c r="C5863" s="300" t="s">
        <v>1065</v>
      </c>
      <c r="D5863" s="283" t="s">
        <v>1077</v>
      </c>
      <c r="E5863" s="283" t="s">
        <v>1075</v>
      </c>
      <c r="F5863" s="283" t="s">
        <v>1075</v>
      </c>
      <c r="G5863" s="283">
        <v>2</v>
      </c>
      <c r="H5863" s="283">
        <v>0</v>
      </c>
      <c r="I5863" s="283">
        <v>0</v>
      </c>
      <c r="J5863" s="284">
        <v>1</v>
      </c>
    </row>
    <row r="5864" spans="3:10" x14ac:dyDescent="0.25">
      <c r="C5864" s="300" t="s">
        <v>1060</v>
      </c>
      <c r="D5864" s="283" t="s">
        <v>1077</v>
      </c>
      <c r="E5864" s="283" t="s">
        <v>1088</v>
      </c>
      <c r="F5864" s="283" t="s">
        <v>1089</v>
      </c>
      <c r="G5864" s="283">
        <v>2</v>
      </c>
      <c r="H5864" s="283">
        <v>0</v>
      </c>
      <c r="I5864" s="283">
        <v>0</v>
      </c>
      <c r="J5864" s="284">
        <v>0</v>
      </c>
    </row>
    <row r="5865" spans="3:10" x14ac:dyDescent="0.25">
      <c r="C5865" s="300" t="s">
        <v>1068</v>
      </c>
      <c r="D5865" s="283" t="s">
        <v>1079</v>
      </c>
      <c r="E5865" s="283" t="s">
        <v>1075</v>
      </c>
      <c r="F5865" s="283" t="s">
        <v>1075</v>
      </c>
      <c r="G5865" s="283">
        <v>2</v>
      </c>
      <c r="H5865" s="283">
        <v>0</v>
      </c>
      <c r="I5865" s="283">
        <v>0</v>
      </c>
      <c r="J5865" s="284">
        <v>0</v>
      </c>
    </row>
    <row r="5866" spans="3:10" x14ac:dyDescent="0.25">
      <c r="C5866" s="300" t="s">
        <v>1064</v>
      </c>
      <c r="D5866" s="283" t="s">
        <v>1077</v>
      </c>
      <c r="E5866" s="283" t="s">
        <v>1076</v>
      </c>
      <c r="F5866" s="283" t="s">
        <v>1084</v>
      </c>
      <c r="G5866" s="283">
        <v>3</v>
      </c>
      <c r="H5866" s="283">
        <v>0</v>
      </c>
      <c r="I5866" s="283">
        <v>0</v>
      </c>
      <c r="J5866" s="284">
        <v>1</v>
      </c>
    </row>
    <row r="5867" spans="3:10" x14ac:dyDescent="0.25">
      <c r="C5867" s="300" t="s">
        <v>1066</v>
      </c>
      <c r="D5867" s="283" t="s">
        <v>1043</v>
      </c>
      <c r="E5867" s="283" t="s">
        <v>1044</v>
      </c>
      <c r="F5867" s="283" t="s">
        <v>1092</v>
      </c>
      <c r="G5867" s="283">
        <v>2</v>
      </c>
      <c r="H5867" s="283">
        <v>0</v>
      </c>
      <c r="I5867" s="283">
        <v>1</v>
      </c>
      <c r="J5867" s="284">
        <v>0</v>
      </c>
    </row>
    <row r="5868" spans="3:10" x14ac:dyDescent="0.25">
      <c r="C5868" s="300" t="s">
        <v>1063</v>
      </c>
      <c r="D5868" s="283" t="s">
        <v>1074</v>
      </c>
      <c r="E5868" s="283" t="s">
        <v>1075</v>
      </c>
      <c r="F5868" s="283" t="s">
        <v>1044</v>
      </c>
      <c r="G5868" s="283">
        <v>2</v>
      </c>
      <c r="H5868" s="283">
        <v>0</v>
      </c>
      <c r="I5868" s="283">
        <v>0</v>
      </c>
      <c r="J5868" s="284">
        <v>0</v>
      </c>
    </row>
    <row r="5869" spans="3:10" x14ac:dyDescent="0.25">
      <c r="C5869" s="300" t="s">
        <v>1065</v>
      </c>
      <c r="D5869" s="283" t="s">
        <v>1077</v>
      </c>
      <c r="E5869" s="283" t="s">
        <v>1075</v>
      </c>
      <c r="F5869" s="283" t="s">
        <v>1075</v>
      </c>
      <c r="G5869" s="283">
        <v>3</v>
      </c>
      <c r="H5869" s="283">
        <v>0</v>
      </c>
      <c r="I5869" s="283">
        <v>1</v>
      </c>
      <c r="J5869" s="284">
        <v>1</v>
      </c>
    </row>
    <row r="5870" spans="3:10" x14ac:dyDescent="0.25">
      <c r="C5870" s="300" t="s">
        <v>1057</v>
      </c>
      <c r="D5870" s="283" t="s">
        <v>1079</v>
      </c>
      <c r="E5870" s="283" t="s">
        <v>1075</v>
      </c>
      <c r="F5870" s="283" t="s">
        <v>1089</v>
      </c>
      <c r="G5870" s="283">
        <v>2</v>
      </c>
      <c r="H5870" s="283">
        <v>0</v>
      </c>
      <c r="I5870" s="283">
        <v>0</v>
      </c>
      <c r="J5870" s="284">
        <v>0</v>
      </c>
    </row>
    <row r="5871" spans="3:10" x14ac:dyDescent="0.25">
      <c r="C5871" s="300" t="s">
        <v>1064</v>
      </c>
      <c r="D5871" s="283" t="s">
        <v>1087</v>
      </c>
      <c r="E5871" s="283" t="s">
        <v>1075</v>
      </c>
      <c r="F5871" s="283" t="s">
        <v>524</v>
      </c>
      <c r="G5871" s="283">
        <v>1</v>
      </c>
      <c r="H5871" s="283">
        <v>0</v>
      </c>
      <c r="I5871" s="283">
        <v>0</v>
      </c>
      <c r="J5871" s="284">
        <v>0</v>
      </c>
    </row>
    <row r="5872" spans="3:10" x14ac:dyDescent="0.25">
      <c r="C5872" s="300" t="s">
        <v>1061</v>
      </c>
      <c r="D5872" s="283" t="s">
        <v>1079</v>
      </c>
      <c r="E5872" s="283" t="s">
        <v>1075</v>
      </c>
      <c r="F5872" s="283" t="s">
        <v>1075</v>
      </c>
      <c r="G5872" s="283">
        <v>2</v>
      </c>
      <c r="H5872" s="283">
        <v>0</v>
      </c>
      <c r="I5872" s="283">
        <v>0</v>
      </c>
      <c r="J5872" s="284">
        <v>1</v>
      </c>
    </row>
    <row r="5873" spans="3:10" x14ac:dyDescent="0.25">
      <c r="C5873" s="300" t="s">
        <v>1062</v>
      </c>
      <c r="D5873" s="283" t="s">
        <v>1074</v>
      </c>
      <c r="E5873" s="283" t="s">
        <v>1081</v>
      </c>
      <c r="F5873" s="283" t="s">
        <v>1089</v>
      </c>
      <c r="G5873" s="283">
        <v>2</v>
      </c>
      <c r="H5873" s="283">
        <v>0</v>
      </c>
      <c r="I5873" s="283">
        <v>0</v>
      </c>
      <c r="J5873" s="284">
        <v>1</v>
      </c>
    </row>
    <row r="5874" spans="3:10" x14ac:dyDescent="0.25">
      <c r="C5874" s="300" t="s">
        <v>1065</v>
      </c>
      <c r="D5874" s="283" t="s">
        <v>1074</v>
      </c>
      <c r="E5874" s="283" t="s">
        <v>1089</v>
      </c>
      <c r="F5874" s="283" t="s">
        <v>1089</v>
      </c>
      <c r="G5874" s="283">
        <v>2</v>
      </c>
      <c r="H5874" s="283">
        <v>0</v>
      </c>
      <c r="I5874" s="283">
        <v>0</v>
      </c>
      <c r="J5874" s="284">
        <v>1</v>
      </c>
    </row>
    <row r="5875" spans="3:10" x14ac:dyDescent="0.25">
      <c r="C5875" s="300" t="s">
        <v>1068</v>
      </c>
      <c r="D5875" s="283" t="s">
        <v>1079</v>
      </c>
      <c r="E5875" s="283" t="s">
        <v>1075</v>
      </c>
      <c r="F5875" s="283" t="s">
        <v>1084</v>
      </c>
      <c r="G5875" s="283">
        <v>2</v>
      </c>
      <c r="H5875" s="283">
        <v>0</v>
      </c>
      <c r="I5875" s="283">
        <v>0</v>
      </c>
      <c r="J5875" s="284">
        <v>0</v>
      </c>
    </row>
    <row r="5876" spans="3:10" x14ac:dyDescent="0.25">
      <c r="C5876" s="300" t="s">
        <v>1065</v>
      </c>
      <c r="D5876" s="283" t="s">
        <v>1077</v>
      </c>
      <c r="E5876" s="283" t="s">
        <v>1075</v>
      </c>
      <c r="F5876" s="283" t="s">
        <v>1089</v>
      </c>
      <c r="G5876" s="283">
        <v>2</v>
      </c>
      <c r="H5876" s="283">
        <v>0</v>
      </c>
      <c r="I5876" s="283">
        <v>0</v>
      </c>
      <c r="J5876" s="284">
        <v>0</v>
      </c>
    </row>
    <row r="5877" spans="3:10" x14ac:dyDescent="0.25">
      <c r="C5877" s="300" t="s">
        <v>1066</v>
      </c>
      <c r="D5877" s="283" t="s">
        <v>1079</v>
      </c>
      <c r="E5877" s="283" t="s">
        <v>1075</v>
      </c>
      <c r="F5877" s="283" t="s">
        <v>1075</v>
      </c>
      <c r="G5877" s="283">
        <v>3</v>
      </c>
      <c r="H5877" s="283">
        <v>0</v>
      </c>
      <c r="I5877" s="283">
        <v>0</v>
      </c>
      <c r="J5877" s="284">
        <v>0</v>
      </c>
    </row>
    <row r="5878" spans="3:10" x14ac:dyDescent="0.25">
      <c r="C5878" s="300" t="s">
        <v>1059</v>
      </c>
      <c r="D5878" s="283" t="s">
        <v>1074</v>
      </c>
      <c r="E5878" s="283" t="s">
        <v>1076</v>
      </c>
      <c r="F5878" s="283" t="s">
        <v>1080</v>
      </c>
      <c r="G5878" s="283">
        <v>2</v>
      </c>
      <c r="H5878" s="283">
        <v>0</v>
      </c>
      <c r="I5878" s="283">
        <v>0</v>
      </c>
      <c r="J5878" s="284">
        <v>1</v>
      </c>
    </row>
    <row r="5879" spans="3:10" x14ac:dyDescent="0.25">
      <c r="C5879" s="300" t="s">
        <v>1060</v>
      </c>
      <c r="D5879" s="283" t="s">
        <v>1087</v>
      </c>
      <c r="E5879" s="283" t="s">
        <v>1089</v>
      </c>
      <c r="F5879" s="283" t="s">
        <v>524</v>
      </c>
      <c r="G5879" s="283">
        <v>1</v>
      </c>
      <c r="H5879" s="283">
        <v>0</v>
      </c>
      <c r="I5879" s="283">
        <v>0</v>
      </c>
      <c r="J5879" s="284">
        <v>0</v>
      </c>
    </row>
    <row r="5880" spans="3:10" x14ac:dyDescent="0.25">
      <c r="C5880" s="300" t="s">
        <v>1060</v>
      </c>
      <c r="D5880" s="283" t="s">
        <v>1079</v>
      </c>
      <c r="E5880" s="283" t="s">
        <v>1075</v>
      </c>
      <c r="F5880" s="283" t="s">
        <v>1075</v>
      </c>
      <c r="G5880" s="283">
        <v>2</v>
      </c>
      <c r="H5880" s="283">
        <v>0</v>
      </c>
      <c r="I5880" s="283">
        <v>0</v>
      </c>
      <c r="J5880" s="284">
        <v>0</v>
      </c>
    </row>
    <row r="5881" spans="3:10" x14ac:dyDescent="0.25">
      <c r="C5881" s="300" t="s">
        <v>1066</v>
      </c>
      <c r="D5881" s="283" t="s">
        <v>1074</v>
      </c>
      <c r="E5881" s="283" t="s">
        <v>1089</v>
      </c>
      <c r="F5881" s="283" t="s">
        <v>1075</v>
      </c>
      <c r="G5881" s="283">
        <v>2</v>
      </c>
      <c r="H5881" s="283">
        <v>0</v>
      </c>
      <c r="I5881" s="283">
        <v>0</v>
      </c>
      <c r="J5881" s="284">
        <v>0</v>
      </c>
    </row>
    <row r="5882" spans="3:10" x14ac:dyDescent="0.25">
      <c r="C5882" s="300" t="s">
        <v>1060</v>
      </c>
      <c r="D5882" s="283" t="s">
        <v>1043</v>
      </c>
      <c r="E5882" s="283" t="s">
        <v>1076</v>
      </c>
      <c r="F5882" s="283" t="s">
        <v>1092</v>
      </c>
      <c r="G5882" s="283">
        <v>2</v>
      </c>
      <c r="H5882" s="283">
        <v>0</v>
      </c>
      <c r="I5882" s="283">
        <v>1</v>
      </c>
      <c r="J5882" s="284">
        <v>0</v>
      </c>
    </row>
    <row r="5883" spans="3:10" x14ac:dyDescent="0.25">
      <c r="C5883" s="300" t="s">
        <v>1059</v>
      </c>
      <c r="D5883" s="283" t="s">
        <v>1074</v>
      </c>
      <c r="E5883" s="283" t="s">
        <v>1075</v>
      </c>
      <c r="F5883" s="283" t="s">
        <v>1075</v>
      </c>
      <c r="G5883" s="283">
        <v>2</v>
      </c>
      <c r="H5883" s="283">
        <v>0</v>
      </c>
      <c r="I5883" s="283">
        <v>0</v>
      </c>
      <c r="J5883" s="284">
        <v>0</v>
      </c>
    </row>
    <row r="5884" spans="3:10" x14ac:dyDescent="0.25">
      <c r="C5884" s="300" t="s">
        <v>1061</v>
      </c>
      <c r="D5884" s="283" t="s">
        <v>1077</v>
      </c>
      <c r="E5884" s="283" t="s">
        <v>1078</v>
      </c>
      <c r="F5884" s="283" t="s">
        <v>1075</v>
      </c>
      <c r="G5884" s="283">
        <v>3</v>
      </c>
      <c r="H5884" s="283">
        <v>0</v>
      </c>
      <c r="I5884" s="283">
        <v>0</v>
      </c>
      <c r="J5884" s="284">
        <v>0</v>
      </c>
    </row>
    <row r="5885" spans="3:10" x14ac:dyDescent="0.25">
      <c r="C5885" s="300" t="s">
        <v>1065</v>
      </c>
      <c r="D5885" s="283" t="s">
        <v>1079</v>
      </c>
      <c r="E5885" s="283" t="s">
        <v>1075</v>
      </c>
      <c r="F5885" s="283" t="s">
        <v>1075</v>
      </c>
      <c r="G5885" s="283">
        <v>2</v>
      </c>
      <c r="H5885" s="283">
        <v>0</v>
      </c>
      <c r="I5885" s="283">
        <v>0</v>
      </c>
      <c r="J5885" s="284">
        <v>0</v>
      </c>
    </row>
    <row r="5886" spans="3:10" x14ac:dyDescent="0.25">
      <c r="C5886" s="300" t="s">
        <v>1065</v>
      </c>
      <c r="D5886" s="283" t="s">
        <v>1077</v>
      </c>
      <c r="E5886" s="283" t="s">
        <v>1089</v>
      </c>
      <c r="F5886" s="283" t="s">
        <v>1078</v>
      </c>
      <c r="G5886" s="283">
        <v>2</v>
      </c>
      <c r="H5886" s="283">
        <v>0</v>
      </c>
      <c r="I5886" s="283">
        <v>0</v>
      </c>
      <c r="J5886" s="284">
        <v>0</v>
      </c>
    </row>
    <row r="5887" spans="3:10" x14ac:dyDescent="0.25">
      <c r="C5887" s="300" t="s">
        <v>1064</v>
      </c>
      <c r="D5887" s="283" t="s">
        <v>1087</v>
      </c>
      <c r="E5887" s="283" t="s">
        <v>1089</v>
      </c>
      <c r="F5887" s="283" t="s">
        <v>524</v>
      </c>
      <c r="G5887" s="283">
        <v>1</v>
      </c>
      <c r="H5887" s="283">
        <v>0</v>
      </c>
      <c r="I5887" s="283">
        <v>0</v>
      </c>
      <c r="J5887" s="284">
        <v>0</v>
      </c>
    </row>
    <row r="5888" spans="3:10" x14ac:dyDescent="0.25">
      <c r="C5888" s="300" t="s">
        <v>1067</v>
      </c>
      <c r="D5888" s="283" t="s">
        <v>1077</v>
      </c>
      <c r="E5888" s="283" t="s">
        <v>1086</v>
      </c>
      <c r="F5888" s="283" t="s">
        <v>1089</v>
      </c>
      <c r="G5888" s="283">
        <v>2</v>
      </c>
      <c r="H5888" s="283">
        <v>0</v>
      </c>
      <c r="I5888" s="283">
        <v>0</v>
      </c>
      <c r="J5888" s="284">
        <v>0</v>
      </c>
    </row>
    <row r="5889" spans="3:10" x14ac:dyDescent="0.25">
      <c r="C5889" s="300" t="s">
        <v>1063</v>
      </c>
      <c r="D5889" s="283" t="s">
        <v>1077</v>
      </c>
      <c r="E5889" s="283" t="s">
        <v>1076</v>
      </c>
      <c r="F5889" s="283" t="s">
        <v>1075</v>
      </c>
      <c r="G5889" s="283">
        <v>2</v>
      </c>
      <c r="H5889" s="283">
        <v>0</v>
      </c>
      <c r="I5889" s="283">
        <v>1</v>
      </c>
      <c r="J5889" s="284">
        <v>1</v>
      </c>
    </row>
    <row r="5890" spans="3:10" x14ac:dyDescent="0.25">
      <c r="C5890" s="300" t="s">
        <v>1062</v>
      </c>
      <c r="D5890" s="283" t="s">
        <v>1079</v>
      </c>
      <c r="E5890" s="283" t="s">
        <v>1089</v>
      </c>
      <c r="F5890" s="283" t="s">
        <v>1083</v>
      </c>
      <c r="G5890" s="283">
        <v>2</v>
      </c>
      <c r="H5890" s="283">
        <v>0</v>
      </c>
      <c r="I5890" s="283">
        <v>0</v>
      </c>
      <c r="J5890" s="284">
        <v>1</v>
      </c>
    </row>
    <row r="5891" spans="3:10" x14ac:dyDescent="0.25">
      <c r="C5891" s="300" t="s">
        <v>1062</v>
      </c>
      <c r="D5891" s="283" t="s">
        <v>1079</v>
      </c>
      <c r="E5891" s="283" t="s">
        <v>1078</v>
      </c>
      <c r="F5891" s="283" t="s">
        <v>1075</v>
      </c>
      <c r="G5891" s="283">
        <v>2</v>
      </c>
      <c r="H5891" s="283">
        <v>0</v>
      </c>
      <c r="I5891" s="283">
        <v>1</v>
      </c>
      <c r="J5891" s="284">
        <v>1</v>
      </c>
    </row>
    <row r="5892" spans="3:10" x14ac:dyDescent="0.25">
      <c r="C5892" s="300" t="s">
        <v>1061</v>
      </c>
      <c r="D5892" s="283" t="s">
        <v>1077</v>
      </c>
      <c r="E5892" s="283" t="s">
        <v>1089</v>
      </c>
      <c r="F5892" s="283" t="s">
        <v>1089</v>
      </c>
      <c r="G5892" s="283">
        <v>2</v>
      </c>
      <c r="H5892" s="283">
        <v>0</v>
      </c>
      <c r="I5892" s="283">
        <v>0</v>
      </c>
      <c r="J5892" s="284">
        <v>0</v>
      </c>
    </row>
    <row r="5893" spans="3:10" x14ac:dyDescent="0.25">
      <c r="C5893" s="300" t="s">
        <v>1065</v>
      </c>
      <c r="D5893" s="283" t="s">
        <v>1079</v>
      </c>
      <c r="E5893" s="283" t="s">
        <v>1075</v>
      </c>
      <c r="F5893" s="283" t="s">
        <v>1075</v>
      </c>
      <c r="G5893" s="283">
        <v>2</v>
      </c>
      <c r="H5893" s="283">
        <v>0</v>
      </c>
      <c r="I5893" s="283">
        <v>0</v>
      </c>
      <c r="J5893" s="284">
        <v>1</v>
      </c>
    </row>
    <row r="5894" spans="3:10" x14ac:dyDescent="0.25">
      <c r="C5894" s="300" t="s">
        <v>1064</v>
      </c>
      <c r="D5894" s="283" t="s">
        <v>1074</v>
      </c>
      <c r="E5894" s="283" t="s">
        <v>1089</v>
      </c>
      <c r="F5894" s="283" t="s">
        <v>1084</v>
      </c>
      <c r="G5894" s="283">
        <v>2</v>
      </c>
      <c r="H5894" s="283">
        <v>0</v>
      </c>
      <c r="I5894" s="283">
        <v>0</v>
      </c>
      <c r="J5894" s="284">
        <v>1</v>
      </c>
    </row>
    <row r="5895" spans="3:10" x14ac:dyDescent="0.25">
      <c r="C5895" s="300" t="s">
        <v>1065</v>
      </c>
      <c r="D5895" s="283" t="s">
        <v>1077</v>
      </c>
      <c r="E5895" s="283" t="s">
        <v>1075</v>
      </c>
      <c r="F5895" s="283" t="s">
        <v>1075</v>
      </c>
      <c r="G5895" s="283">
        <v>2</v>
      </c>
      <c r="H5895" s="283">
        <v>0</v>
      </c>
      <c r="I5895" s="283">
        <v>0</v>
      </c>
      <c r="J5895" s="284">
        <v>0</v>
      </c>
    </row>
    <row r="5896" spans="3:10" x14ac:dyDescent="0.25">
      <c r="C5896" s="300" t="s">
        <v>1067</v>
      </c>
      <c r="D5896" s="283" t="s">
        <v>1079</v>
      </c>
      <c r="E5896" s="283" t="s">
        <v>1075</v>
      </c>
      <c r="F5896" s="283" t="s">
        <v>1075</v>
      </c>
      <c r="G5896" s="283">
        <v>2</v>
      </c>
      <c r="H5896" s="283">
        <v>0</v>
      </c>
      <c r="I5896" s="283">
        <v>0</v>
      </c>
      <c r="J5896" s="284">
        <v>0</v>
      </c>
    </row>
    <row r="5897" spans="3:10" x14ac:dyDescent="0.25">
      <c r="C5897" s="300" t="s">
        <v>1065</v>
      </c>
      <c r="D5897" s="283" t="s">
        <v>1077</v>
      </c>
      <c r="E5897" s="283" t="s">
        <v>1075</v>
      </c>
      <c r="F5897" s="283" t="s">
        <v>1089</v>
      </c>
      <c r="G5897" s="283">
        <v>2</v>
      </c>
      <c r="H5897" s="283">
        <v>0</v>
      </c>
      <c r="I5897" s="283">
        <v>0</v>
      </c>
      <c r="J5897" s="284">
        <v>0</v>
      </c>
    </row>
    <row r="5898" spans="3:10" x14ac:dyDescent="0.25">
      <c r="C5898" s="300" t="s">
        <v>1060</v>
      </c>
      <c r="D5898" s="283" t="s">
        <v>1079</v>
      </c>
      <c r="E5898" s="283" t="s">
        <v>1075</v>
      </c>
      <c r="F5898" s="283" t="s">
        <v>1075</v>
      </c>
      <c r="G5898" s="283">
        <v>2</v>
      </c>
      <c r="H5898" s="283">
        <v>0</v>
      </c>
      <c r="I5898" s="283">
        <v>0</v>
      </c>
      <c r="J5898" s="284">
        <v>0</v>
      </c>
    </row>
    <row r="5899" spans="3:10" x14ac:dyDescent="0.25">
      <c r="C5899" s="300" t="s">
        <v>1063</v>
      </c>
      <c r="D5899" s="283" t="s">
        <v>1087</v>
      </c>
      <c r="E5899" s="283" t="s">
        <v>1089</v>
      </c>
      <c r="F5899" s="283" t="s">
        <v>524</v>
      </c>
      <c r="G5899" s="283">
        <v>1</v>
      </c>
      <c r="H5899" s="283">
        <v>0</v>
      </c>
      <c r="I5899" s="283">
        <v>0</v>
      </c>
      <c r="J5899" s="284">
        <v>0</v>
      </c>
    </row>
    <row r="5900" spans="3:10" x14ac:dyDescent="0.25">
      <c r="C5900" s="300" t="s">
        <v>1066</v>
      </c>
      <c r="D5900" s="283" t="s">
        <v>1079</v>
      </c>
      <c r="E5900" s="283" t="s">
        <v>1089</v>
      </c>
      <c r="F5900" s="283" t="s">
        <v>1075</v>
      </c>
      <c r="G5900" s="283">
        <v>4</v>
      </c>
      <c r="H5900" s="283">
        <v>0</v>
      </c>
      <c r="I5900" s="283">
        <v>0</v>
      </c>
      <c r="J5900" s="284">
        <v>0</v>
      </c>
    </row>
    <row r="5901" spans="3:10" x14ac:dyDescent="0.25">
      <c r="C5901" s="300" t="s">
        <v>1061</v>
      </c>
      <c r="D5901" s="283" t="s">
        <v>1077</v>
      </c>
      <c r="E5901" s="283" t="s">
        <v>1076</v>
      </c>
      <c r="F5901" s="283" t="s">
        <v>1075</v>
      </c>
      <c r="G5901" s="283">
        <v>2</v>
      </c>
      <c r="H5901" s="283">
        <v>0</v>
      </c>
      <c r="I5901" s="283">
        <v>0</v>
      </c>
      <c r="J5901" s="284">
        <v>1</v>
      </c>
    </row>
    <row r="5902" spans="3:10" x14ac:dyDescent="0.25">
      <c r="C5902" s="300" t="s">
        <v>1061</v>
      </c>
      <c r="D5902" s="283" t="s">
        <v>1079</v>
      </c>
      <c r="E5902" s="283" t="s">
        <v>1084</v>
      </c>
      <c r="F5902" s="283" t="s">
        <v>1089</v>
      </c>
      <c r="G5902" s="283">
        <v>2</v>
      </c>
      <c r="H5902" s="283">
        <v>0</v>
      </c>
      <c r="I5902" s="283">
        <v>0</v>
      </c>
      <c r="J5902" s="284">
        <v>0</v>
      </c>
    </row>
    <row r="5903" spans="3:10" x14ac:dyDescent="0.25">
      <c r="C5903" s="300" t="s">
        <v>1065</v>
      </c>
      <c r="D5903" s="283" t="s">
        <v>1079</v>
      </c>
      <c r="E5903" s="283" t="s">
        <v>1078</v>
      </c>
      <c r="F5903" s="283" t="s">
        <v>1089</v>
      </c>
      <c r="G5903" s="283">
        <v>3</v>
      </c>
      <c r="H5903" s="283">
        <v>0</v>
      </c>
      <c r="I5903" s="283">
        <v>0</v>
      </c>
      <c r="J5903" s="284">
        <v>0</v>
      </c>
    </row>
    <row r="5904" spans="3:10" x14ac:dyDescent="0.25">
      <c r="C5904" s="300" t="s">
        <v>1065</v>
      </c>
      <c r="D5904" s="283" t="s">
        <v>1077</v>
      </c>
      <c r="E5904" s="283" t="s">
        <v>1075</v>
      </c>
      <c r="F5904" s="283" t="s">
        <v>1078</v>
      </c>
      <c r="G5904" s="283">
        <v>3</v>
      </c>
      <c r="H5904" s="283">
        <v>0</v>
      </c>
      <c r="I5904" s="283">
        <v>0</v>
      </c>
      <c r="J5904" s="284">
        <v>0</v>
      </c>
    </row>
    <row r="5905" spans="3:10" x14ac:dyDescent="0.25">
      <c r="C5905" s="300" t="s">
        <v>1060</v>
      </c>
      <c r="D5905" s="283" t="s">
        <v>1079</v>
      </c>
      <c r="E5905" s="283" t="s">
        <v>1078</v>
      </c>
      <c r="F5905" s="283" t="s">
        <v>1075</v>
      </c>
      <c r="G5905" s="283">
        <v>2</v>
      </c>
      <c r="H5905" s="283">
        <v>0</v>
      </c>
      <c r="I5905" s="283">
        <v>0</v>
      </c>
      <c r="J5905" s="284">
        <v>0</v>
      </c>
    </row>
    <row r="5906" spans="3:10" x14ac:dyDescent="0.25">
      <c r="C5906" s="300" t="s">
        <v>1064</v>
      </c>
      <c r="D5906" s="283" t="s">
        <v>1079</v>
      </c>
      <c r="E5906" s="283" t="s">
        <v>1076</v>
      </c>
      <c r="F5906" s="283" t="s">
        <v>1086</v>
      </c>
      <c r="G5906" s="283">
        <v>2</v>
      </c>
      <c r="H5906" s="283">
        <v>0</v>
      </c>
      <c r="I5906" s="283">
        <v>0</v>
      </c>
      <c r="J5906" s="284">
        <v>0</v>
      </c>
    </row>
    <row r="5907" spans="3:10" x14ac:dyDescent="0.25">
      <c r="C5907" s="300" t="s">
        <v>1067</v>
      </c>
      <c r="D5907" s="283" t="s">
        <v>1074</v>
      </c>
      <c r="E5907" s="283" t="s">
        <v>1089</v>
      </c>
      <c r="F5907" s="283" t="s">
        <v>1075</v>
      </c>
      <c r="G5907" s="283">
        <v>2</v>
      </c>
      <c r="H5907" s="283">
        <v>0</v>
      </c>
      <c r="I5907" s="283">
        <v>0</v>
      </c>
      <c r="J5907" s="284">
        <v>0</v>
      </c>
    </row>
    <row r="5908" spans="3:10" x14ac:dyDescent="0.25">
      <c r="C5908" s="300" t="s">
        <v>1061</v>
      </c>
      <c r="D5908" s="283" t="s">
        <v>1079</v>
      </c>
      <c r="E5908" s="283" t="s">
        <v>1089</v>
      </c>
      <c r="F5908" s="283" t="s">
        <v>1089</v>
      </c>
      <c r="G5908" s="283">
        <v>2</v>
      </c>
      <c r="H5908" s="283">
        <v>0</v>
      </c>
      <c r="I5908" s="283">
        <v>0</v>
      </c>
      <c r="J5908" s="284">
        <v>0</v>
      </c>
    </row>
    <row r="5909" spans="3:10" x14ac:dyDescent="0.25">
      <c r="C5909" s="300" t="s">
        <v>1066</v>
      </c>
      <c r="D5909" s="283" t="s">
        <v>1074</v>
      </c>
      <c r="E5909" s="283" t="s">
        <v>1085</v>
      </c>
      <c r="F5909" s="283" t="s">
        <v>1075</v>
      </c>
      <c r="G5909" s="283">
        <v>2</v>
      </c>
      <c r="H5909" s="283">
        <v>0</v>
      </c>
      <c r="I5909" s="283">
        <v>1</v>
      </c>
      <c r="J5909" s="284">
        <v>0</v>
      </c>
    </row>
    <row r="5910" spans="3:10" x14ac:dyDescent="0.25">
      <c r="C5910" s="300" t="s">
        <v>1065</v>
      </c>
      <c r="D5910" s="283" t="s">
        <v>1077</v>
      </c>
      <c r="E5910" s="283" t="s">
        <v>1075</v>
      </c>
      <c r="F5910" s="283" t="s">
        <v>1075</v>
      </c>
      <c r="G5910" s="283">
        <v>2</v>
      </c>
      <c r="H5910" s="283">
        <v>0</v>
      </c>
      <c r="I5910" s="283">
        <v>0</v>
      </c>
      <c r="J5910" s="284">
        <v>1</v>
      </c>
    </row>
    <row r="5911" spans="3:10" x14ac:dyDescent="0.25">
      <c r="C5911" s="300" t="s">
        <v>1060</v>
      </c>
      <c r="D5911" s="283" t="s">
        <v>1082</v>
      </c>
      <c r="E5911" s="283" t="s">
        <v>1078</v>
      </c>
      <c r="F5911" s="283" t="s">
        <v>1080</v>
      </c>
      <c r="G5911" s="283">
        <v>2</v>
      </c>
      <c r="H5911" s="283">
        <v>0</v>
      </c>
      <c r="I5911" s="283">
        <v>0</v>
      </c>
      <c r="J5911" s="284">
        <v>0</v>
      </c>
    </row>
    <row r="5912" spans="3:10" x14ac:dyDescent="0.25">
      <c r="C5912" s="300" t="s">
        <v>1060</v>
      </c>
      <c r="D5912" s="283" t="s">
        <v>1077</v>
      </c>
      <c r="E5912" s="283" t="s">
        <v>1075</v>
      </c>
      <c r="F5912" s="283" t="s">
        <v>1075</v>
      </c>
      <c r="G5912" s="283">
        <v>3</v>
      </c>
      <c r="H5912" s="283">
        <v>0</v>
      </c>
      <c r="I5912" s="283">
        <v>0</v>
      </c>
      <c r="J5912" s="284">
        <v>1</v>
      </c>
    </row>
    <row r="5913" spans="3:10" x14ac:dyDescent="0.25">
      <c r="C5913" s="300" t="s">
        <v>1062</v>
      </c>
      <c r="D5913" s="283" t="s">
        <v>1074</v>
      </c>
      <c r="E5913" s="283" t="s">
        <v>1075</v>
      </c>
      <c r="F5913" s="283" t="s">
        <v>1075</v>
      </c>
      <c r="G5913" s="283">
        <v>2</v>
      </c>
      <c r="H5913" s="283">
        <v>0</v>
      </c>
      <c r="I5913" s="283">
        <v>0</v>
      </c>
      <c r="J5913" s="284">
        <v>0</v>
      </c>
    </row>
    <row r="5914" spans="3:10" x14ac:dyDescent="0.25">
      <c r="C5914" s="300" t="s">
        <v>1065</v>
      </c>
      <c r="D5914" s="283" t="s">
        <v>1077</v>
      </c>
      <c r="E5914" s="283" t="s">
        <v>1084</v>
      </c>
      <c r="F5914" s="283" t="s">
        <v>1084</v>
      </c>
      <c r="G5914" s="283">
        <v>4</v>
      </c>
      <c r="H5914" s="283">
        <v>0</v>
      </c>
      <c r="I5914" s="283">
        <v>0</v>
      </c>
      <c r="J5914" s="284">
        <v>0</v>
      </c>
    </row>
    <row r="5915" spans="3:10" x14ac:dyDescent="0.25">
      <c r="C5915" s="300" t="s">
        <v>1064</v>
      </c>
      <c r="D5915" s="283" t="s">
        <v>1079</v>
      </c>
      <c r="E5915" s="283" t="s">
        <v>1089</v>
      </c>
      <c r="F5915" s="283" t="s">
        <v>1075</v>
      </c>
      <c r="G5915" s="283">
        <v>2</v>
      </c>
      <c r="H5915" s="283">
        <v>0</v>
      </c>
      <c r="I5915" s="283">
        <v>0</v>
      </c>
      <c r="J5915" s="284">
        <v>1</v>
      </c>
    </row>
    <row r="5916" spans="3:10" x14ac:dyDescent="0.25">
      <c r="C5916" s="300" t="s">
        <v>1062</v>
      </c>
      <c r="D5916" s="283" t="s">
        <v>1077</v>
      </c>
      <c r="E5916" s="283" t="s">
        <v>1075</v>
      </c>
      <c r="F5916" s="283" t="s">
        <v>1075</v>
      </c>
      <c r="G5916" s="283">
        <v>2</v>
      </c>
      <c r="H5916" s="283">
        <v>0</v>
      </c>
      <c r="I5916" s="283">
        <v>0</v>
      </c>
      <c r="J5916" s="284">
        <v>0</v>
      </c>
    </row>
    <row r="5917" spans="3:10" x14ac:dyDescent="0.25">
      <c r="C5917" s="300" t="s">
        <v>1061</v>
      </c>
      <c r="D5917" s="283" t="s">
        <v>1079</v>
      </c>
      <c r="E5917" s="283" t="s">
        <v>1075</v>
      </c>
      <c r="F5917" s="283" t="s">
        <v>1075</v>
      </c>
      <c r="G5917" s="283">
        <v>2</v>
      </c>
      <c r="H5917" s="283">
        <v>0</v>
      </c>
      <c r="I5917" s="283">
        <v>0</v>
      </c>
      <c r="J5917" s="284">
        <v>0</v>
      </c>
    </row>
    <row r="5918" spans="3:10" x14ac:dyDescent="0.25">
      <c r="C5918" s="300" t="s">
        <v>1065</v>
      </c>
      <c r="D5918" s="283" t="s">
        <v>1077</v>
      </c>
      <c r="E5918" s="283" t="s">
        <v>1075</v>
      </c>
      <c r="F5918" s="283" t="s">
        <v>1075</v>
      </c>
      <c r="G5918" s="283">
        <v>2</v>
      </c>
      <c r="H5918" s="283">
        <v>0</v>
      </c>
      <c r="I5918" s="283">
        <v>0</v>
      </c>
      <c r="J5918" s="284">
        <v>0</v>
      </c>
    </row>
    <row r="5919" spans="3:10" x14ac:dyDescent="0.25">
      <c r="C5919" s="300" t="s">
        <v>1065</v>
      </c>
      <c r="D5919" s="283" t="s">
        <v>1079</v>
      </c>
      <c r="E5919" s="283" t="s">
        <v>1075</v>
      </c>
      <c r="F5919" s="283" t="s">
        <v>1075</v>
      </c>
      <c r="G5919" s="283">
        <v>2</v>
      </c>
      <c r="H5919" s="283">
        <v>0</v>
      </c>
      <c r="I5919" s="283">
        <v>0</v>
      </c>
      <c r="J5919" s="284">
        <v>0</v>
      </c>
    </row>
    <row r="5920" spans="3:10" x14ac:dyDescent="0.25">
      <c r="C5920" s="300" t="s">
        <v>1062</v>
      </c>
      <c r="D5920" s="283" t="s">
        <v>1087</v>
      </c>
      <c r="E5920" s="283" t="s">
        <v>1075</v>
      </c>
      <c r="F5920" s="283" t="s">
        <v>524</v>
      </c>
      <c r="G5920" s="283">
        <v>1</v>
      </c>
      <c r="H5920" s="283">
        <v>0</v>
      </c>
      <c r="I5920" s="283">
        <v>0</v>
      </c>
      <c r="J5920" s="284">
        <v>0</v>
      </c>
    </row>
    <row r="5921" spans="3:10" x14ac:dyDescent="0.25">
      <c r="C5921" s="300" t="s">
        <v>1060</v>
      </c>
      <c r="D5921" s="283" t="s">
        <v>1079</v>
      </c>
      <c r="E5921" s="283" t="s">
        <v>1075</v>
      </c>
      <c r="F5921" s="283" t="s">
        <v>1075</v>
      </c>
      <c r="G5921" s="283">
        <v>2</v>
      </c>
      <c r="H5921" s="283">
        <v>0</v>
      </c>
      <c r="I5921" s="283">
        <v>0</v>
      </c>
      <c r="J5921" s="284">
        <v>0</v>
      </c>
    </row>
    <row r="5922" spans="3:10" x14ac:dyDescent="0.25">
      <c r="C5922" s="300" t="s">
        <v>1060</v>
      </c>
      <c r="D5922" s="283" t="s">
        <v>1079</v>
      </c>
      <c r="E5922" s="283" t="s">
        <v>1089</v>
      </c>
      <c r="F5922" s="283" t="s">
        <v>1089</v>
      </c>
      <c r="G5922" s="283">
        <v>2</v>
      </c>
      <c r="H5922" s="283">
        <v>0</v>
      </c>
      <c r="I5922" s="283">
        <v>0</v>
      </c>
      <c r="J5922" s="284">
        <v>0</v>
      </c>
    </row>
    <row r="5923" spans="3:10" x14ac:dyDescent="0.25">
      <c r="C5923" s="300" t="s">
        <v>1063</v>
      </c>
      <c r="D5923" s="283" t="s">
        <v>1087</v>
      </c>
      <c r="E5923" s="283" t="s">
        <v>1083</v>
      </c>
      <c r="F5923" s="283" t="s">
        <v>524</v>
      </c>
      <c r="G5923" s="283">
        <v>1</v>
      </c>
      <c r="H5923" s="283">
        <v>0</v>
      </c>
      <c r="I5923" s="283">
        <v>1</v>
      </c>
      <c r="J5923" s="284">
        <v>0</v>
      </c>
    </row>
    <row r="5924" spans="3:10" x14ac:dyDescent="0.25">
      <c r="C5924" s="300" t="s">
        <v>1063</v>
      </c>
      <c r="D5924" s="283" t="s">
        <v>1079</v>
      </c>
      <c r="E5924" s="283" t="s">
        <v>1076</v>
      </c>
      <c r="F5924" s="283" t="s">
        <v>1089</v>
      </c>
      <c r="G5924" s="283">
        <v>2</v>
      </c>
      <c r="H5924" s="283">
        <v>0</v>
      </c>
      <c r="I5924" s="283">
        <v>0</v>
      </c>
      <c r="J5924" s="284">
        <v>1</v>
      </c>
    </row>
    <row r="5925" spans="3:10" x14ac:dyDescent="0.25">
      <c r="C5925" s="300" t="s">
        <v>1060</v>
      </c>
      <c r="D5925" s="283" t="s">
        <v>1079</v>
      </c>
      <c r="E5925" s="283" t="s">
        <v>1089</v>
      </c>
      <c r="F5925" s="283" t="s">
        <v>1083</v>
      </c>
      <c r="G5925" s="283">
        <v>2</v>
      </c>
      <c r="H5925" s="283">
        <v>0</v>
      </c>
      <c r="I5925" s="283">
        <v>1</v>
      </c>
      <c r="J5925" s="284">
        <v>0</v>
      </c>
    </row>
    <row r="5926" spans="3:10" x14ac:dyDescent="0.25">
      <c r="C5926" s="300" t="s">
        <v>1066</v>
      </c>
      <c r="D5926" s="283" t="s">
        <v>1090</v>
      </c>
      <c r="E5926" s="283" t="s">
        <v>1075</v>
      </c>
      <c r="F5926" s="283" t="s">
        <v>524</v>
      </c>
      <c r="G5926" s="283">
        <v>1</v>
      </c>
      <c r="H5926" s="283">
        <v>0</v>
      </c>
      <c r="I5926" s="283">
        <v>0</v>
      </c>
      <c r="J5926" s="284">
        <v>1</v>
      </c>
    </row>
    <row r="5927" spans="3:10" x14ac:dyDescent="0.25">
      <c r="C5927" s="300" t="s">
        <v>1060</v>
      </c>
      <c r="D5927" s="283" t="s">
        <v>1079</v>
      </c>
      <c r="E5927" s="283" t="s">
        <v>1044</v>
      </c>
      <c r="F5927" s="283" t="s">
        <v>1075</v>
      </c>
      <c r="G5927" s="283">
        <v>2</v>
      </c>
      <c r="H5927" s="283">
        <v>0</v>
      </c>
      <c r="I5927" s="283">
        <v>0</v>
      </c>
      <c r="J5927" s="284">
        <v>0</v>
      </c>
    </row>
    <row r="5928" spans="3:10" x14ac:dyDescent="0.25">
      <c r="C5928" s="300" t="s">
        <v>1063</v>
      </c>
      <c r="D5928" s="283" t="s">
        <v>1079</v>
      </c>
      <c r="E5928" s="283" t="s">
        <v>1102</v>
      </c>
      <c r="F5928" s="283" t="s">
        <v>1086</v>
      </c>
      <c r="G5928" s="283">
        <v>2</v>
      </c>
      <c r="H5928" s="283">
        <v>0</v>
      </c>
      <c r="I5928" s="283">
        <v>1</v>
      </c>
      <c r="J5928" s="284">
        <v>0</v>
      </c>
    </row>
    <row r="5929" spans="3:10" x14ac:dyDescent="0.25">
      <c r="C5929" s="300" t="s">
        <v>1061</v>
      </c>
      <c r="D5929" s="283" t="s">
        <v>1087</v>
      </c>
      <c r="E5929" s="283" t="s">
        <v>1076</v>
      </c>
      <c r="F5929" s="283" t="s">
        <v>524</v>
      </c>
      <c r="G5929" s="283">
        <v>1</v>
      </c>
      <c r="H5929" s="283">
        <v>0</v>
      </c>
      <c r="I5929" s="283">
        <v>0</v>
      </c>
      <c r="J5929" s="284">
        <v>0</v>
      </c>
    </row>
    <row r="5930" spans="3:10" x14ac:dyDescent="0.25">
      <c r="C5930" s="300" t="s">
        <v>1064</v>
      </c>
      <c r="D5930" s="283" t="s">
        <v>1079</v>
      </c>
      <c r="E5930" s="283" t="s">
        <v>1076</v>
      </c>
      <c r="F5930" s="283" t="s">
        <v>1076</v>
      </c>
      <c r="G5930" s="283">
        <v>2</v>
      </c>
      <c r="H5930" s="283">
        <v>0</v>
      </c>
      <c r="I5930" s="283">
        <v>0</v>
      </c>
      <c r="J5930" s="284">
        <v>0</v>
      </c>
    </row>
    <row r="5931" spans="3:10" x14ac:dyDescent="0.25">
      <c r="C5931" s="300" t="s">
        <v>1059</v>
      </c>
      <c r="D5931" s="283" t="s">
        <v>1079</v>
      </c>
      <c r="E5931" s="283" t="s">
        <v>1089</v>
      </c>
      <c r="F5931" s="283" t="s">
        <v>1076</v>
      </c>
      <c r="G5931" s="283">
        <v>2</v>
      </c>
      <c r="H5931" s="283">
        <v>0</v>
      </c>
      <c r="I5931" s="283">
        <v>0</v>
      </c>
      <c r="J5931" s="284">
        <v>0</v>
      </c>
    </row>
    <row r="5932" spans="3:10" x14ac:dyDescent="0.25">
      <c r="C5932" s="300" t="s">
        <v>1060</v>
      </c>
      <c r="D5932" s="283" t="s">
        <v>1079</v>
      </c>
      <c r="E5932" s="283" t="s">
        <v>1075</v>
      </c>
      <c r="F5932" s="283" t="s">
        <v>1044</v>
      </c>
      <c r="G5932" s="283">
        <v>2</v>
      </c>
      <c r="H5932" s="283">
        <v>0</v>
      </c>
      <c r="I5932" s="283">
        <v>0</v>
      </c>
      <c r="J5932" s="284">
        <v>1</v>
      </c>
    </row>
    <row r="5933" spans="3:10" x14ac:dyDescent="0.25">
      <c r="C5933" s="300" t="s">
        <v>1066</v>
      </c>
      <c r="D5933" s="283" t="s">
        <v>1087</v>
      </c>
      <c r="E5933" s="283" t="s">
        <v>1083</v>
      </c>
      <c r="F5933" s="283" t="s">
        <v>524</v>
      </c>
      <c r="G5933" s="283">
        <v>1</v>
      </c>
      <c r="H5933" s="283">
        <v>0</v>
      </c>
      <c r="I5933" s="283">
        <v>0</v>
      </c>
      <c r="J5933" s="284">
        <v>1</v>
      </c>
    </row>
    <row r="5934" spans="3:10" x14ac:dyDescent="0.25">
      <c r="C5934" s="300" t="s">
        <v>1062</v>
      </c>
      <c r="D5934" s="283" t="s">
        <v>1079</v>
      </c>
      <c r="E5934" s="283" t="s">
        <v>1086</v>
      </c>
      <c r="F5934" s="283" t="s">
        <v>1089</v>
      </c>
      <c r="G5934" s="283">
        <v>2</v>
      </c>
      <c r="H5934" s="283">
        <v>0</v>
      </c>
      <c r="I5934" s="283">
        <v>0</v>
      </c>
      <c r="J5934" s="284">
        <v>0</v>
      </c>
    </row>
    <row r="5935" spans="3:10" x14ac:dyDescent="0.25">
      <c r="C5935" s="300" t="s">
        <v>1066</v>
      </c>
      <c r="D5935" s="283" t="s">
        <v>1087</v>
      </c>
      <c r="E5935" s="283" t="s">
        <v>1083</v>
      </c>
      <c r="F5935" s="283" t="s">
        <v>524</v>
      </c>
      <c r="G5935" s="283">
        <v>1</v>
      </c>
      <c r="H5935" s="283">
        <v>1</v>
      </c>
      <c r="I5935" s="283">
        <v>0</v>
      </c>
      <c r="J5935" s="284">
        <v>0</v>
      </c>
    </row>
    <row r="5936" spans="3:10" x14ac:dyDescent="0.25">
      <c r="C5936" s="300" t="s">
        <v>1067</v>
      </c>
      <c r="D5936" s="283" t="s">
        <v>1082</v>
      </c>
      <c r="E5936" s="283" t="s">
        <v>1075</v>
      </c>
      <c r="F5936" s="283" t="s">
        <v>1083</v>
      </c>
      <c r="G5936" s="283">
        <v>4</v>
      </c>
      <c r="H5936" s="283">
        <v>0</v>
      </c>
      <c r="I5936" s="283">
        <v>1</v>
      </c>
      <c r="J5936" s="284">
        <v>0</v>
      </c>
    </row>
    <row r="5937" spans="3:10" x14ac:dyDescent="0.25">
      <c r="C5937" s="300" t="s">
        <v>1060</v>
      </c>
      <c r="D5937" s="283" t="s">
        <v>1077</v>
      </c>
      <c r="E5937" s="283" t="s">
        <v>1075</v>
      </c>
      <c r="F5937" s="283" t="s">
        <v>1075</v>
      </c>
      <c r="G5937" s="283">
        <v>2</v>
      </c>
      <c r="H5937" s="283">
        <v>0</v>
      </c>
      <c r="I5937" s="283">
        <v>0</v>
      </c>
      <c r="J5937" s="284">
        <v>1</v>
      </c>
    </row>
    <row r="5938" spans="3:10" x14ac:dyDescent="0.25">
      <c r="C5938" s="300" t="s">
        <v>1063</v>
      </c>
      <c r="D5938" s="283" t="s">
        <v>1077</v>
      </c>
      <c r="E5938" s="283" t="s">
        <v>1076</v>
      </c>
      <c r="F5938" s="283" t="s">
        <v>1078</v>
      </c>
      <c r="G5938" s="283">
        <v>5</v>
      </c>
      <c r="H5938" s="283">
        <v>0</v>
      </c>
      <c r="I5938" s="283">
        <v>0</v>
      </c>
      <c r="J5938" s="284">
        <v>0</v>
      </c>
    </row>
    <row r="5939" spans="3:10" x14ac:dyDescent="0.25">
      <c r="C5939" s="300" t="s">
        <v>1066</v>
      </c>
      <c r="D5939" s="283" t="s">
        <v>1087</v>
      </c>
      <c r="E5939" s="283" t="s">
        <v>1075</v>
      </c>
      <c r="F5939" s="283" t="s">
        <v>524</v>
      </c>
      <c r="G5939" s="283">
        <v>1</v>
      </c>
      <c r="H5939" s="283">
        <v>0</v>
      </c>
      <c r="I5939" s="283">
        <v>0</v>
      </c>
      <c r="J5939" s="284">
        <v>1</v>
      </c>
    </row>
    <row r="5940" spans="3:10" x14ac:dyDescent="0.25">
      <c r="C5940" s="300" t="s">
        <v>1063</v>
      </c>
      <c r="D5940" s="283" t="s">
        <v>1043</v>
      </c>
      <c r="E5940" s="283" t="s">
        <v>1089</v>
      </c>
      <c r="F5940" s="283" t="s">
        <v>1104</v>
      </c>
      <c r="G5940" s="283">
        <v>2</v>
      </c>
      <c r="H5940" s="283">
        <v>0</v>
      </c>
      <c r="I5940" s="283">
        <v>1</v>
      </c>
      <c r="J5940" s="284">
        <v>0</v>
      </c>
    </row>
    <row r="5941" spans="3:10" x14ac:dyDescent="0.25">
      <c r="C5941" s="300" t="s">
        <v>1057</v>
      </c>
      <c r="D5941" s="283" t="s">
        <v>1090</v>
      </c>
      <c r="E5941" s="283" t="s">
        <v>1083</v>
      </c>
      <c r="F5941" s="283" t="s">
        <v>524</v>
      </c>
      <c r="G5941" s="283">
        <v>1</v>
      </c>
      <c r="H5941" s="283">
        <v>0</v>
      </c>
      <c r="I5941" s="283">
        <v>1</v>
      </c>
      <c r="J5941" s="284">
        <v>0</v>
      </c>
    </row>
    <row r="5942" spans="3:10" x14ac:dyDescent="0.25">
      <c r="C5942" s="300" t="s">
        <v>1058</v>
      </c>
      <c r="D5942" s="283" t="s">
        <v>1077</v>
      </c>
      <c r="E5942" s="283" t="s">
        <v>1075</v>
      </c>
      <c r="F5942" s="283" t="s">
        <v>1089</v>
      </c>
      <c r="G5942" s="283">
        <v>2</v>
      </c>
      <c r="H5942" s="283">
        <v>0</v>
      </c>
      <c r="I5942" s="283">
        <v>0</v>
      </c>
      <c r="J5942" s="284">
        <v>0</v>
      </c>
    </row>
    <row r="5943" spans="3:10" x14ac:dyDescent="0.25">
      <c r="C5943" s="300" t="s">
        <v>1067</v>
      </c>
      <c r="D5943" s="283" t="s">
        <v>1079</v>
      </c>
      <c r="E5943" s="283" t="s">
        <v>1084</v>
      </c>
      <c r="F5943" s="283" t="s">
        <v>1076</v>
      </c>
      <c r="G5943" s="283">
        <v>2</v>
      </c>
      <c r="H5943" s="283">
        <v>0</v>
      </c>
      <c r="I5943" s="283">
        <v>0</v>
      </c>
      <c r="J5943" s="284">
        <v>1</v>
      </c>
    </row>
    <row r="5944" spans="3:10" x14ac:dyDescent="0.25">
      <c r="C5944" s="300" t="s">
        <v>1066</v>
      </c>
      <c r="D5944" s="283" t="s">
        <v>1074</v>
      </c>
      <c r="E5944" s="283" t="s">
        <v>1089</v>
      </c>
      <c r="F5944" s="283" t="s">
        <v>1075</v>
      </c>
      <c r="G5944" s="283">
        <v>4</v>
      </c>
      <c r="H5944" s="283">
        <v>0</v>
      </c>
      <c r="I5944" s="283">
        <v>0</v>
      </c>
      <c r="J5944" s="284">
        <v>1</v>
      </c>
    </row>
    <row r="5945" spans="3:10" x14ac:dyDescent="0.25">
      <c r="C5945" s="300" t="s">
        <v>1061</v>
      </c>
      <c r="D5945" s="283" t="s">
        <v>1077</v>
      </c>
      <c r="E5945" s="283" t="s">
        <v>1075</v>
      </c>
      <c r="F5945" s="283" t="s">
        <v>1075</v>
      </c>
      <c r="G5945" s="283">
        <v>2</v>
      </c>
      <c r="H5945" s="283">
        <v>0</v>
      </c>
      <c r="I5945" s="283">
        <v>0</v>
      </c>
      <c r="J5945" s="284">
        <v>0</v>
      </c>
    </row>
    <row r="5946" spans="3:10" x14ac:dyDescent="0.25">
      <c r="C5946" s="300" t="s">
        <v>1064</v>
      </c>
      <c r="D5946" s="283" t="s">
        <v>1090</v>
      </c>
      <c r="E5946" s="283" t="s">
        <v>1083</v>
      </c>
      <c r="F5946" s="283" t="s">
        <v>524</v>
      </c>
      <c r="G5946" s="283">
        <v>1</v>
      </c>
      <c r="H5946" s="283">
        <v>0</v>
      </c>
      <c r="I5946" s="283">
        <v>0</v>
      </c>
      <c r="J5946" s="284">
        <v>0</v>
      </c>
    </row>
    <row r="5947" spans="3:10" x14ac:dyDescent="0.25">
      <c r="C5947" s="300" t="s">
        <v>1066</v>
      </c>
      <c r="D5947" s="283" t="s">
        <v>1077</v>
      </c>
      <c r="E5947" s="283" t="s">
        <v>1089</v>
      </c>
      <c r="F5947" s="283" t="s">
        <v>1075</v>
      </c>
      <c r="G5947" s="283">
        <v>2</v>
      </c>
      <c r="H5947" s="283">
        <v>0</v>
      </c>
      <c r="I5947" s="283">
        <v>0</v>
      </c>
      <c r="J5947" s="284">
        <v>0</v>
      </c>
    </row>
    <row r="5948" spans="3:10" x14ac:dyDescent="0.25">
      <c r="C5948" s="300" t="s">
        <v>1062</v>
      </c>
      <c r="D5948" s="283" t="s">
        <v>1077</v>
      </c>
      <c r="E5948" s="283" t="s">
        <v>1075</v>
      </c>
      <c r="F5948" s="283" t="s">
        <v>1075</v>
      </c>
      <c r="G5948" s="283">
        <v>2</v>
      </c>
      <c r="H5948" s="283">
        <v>0</v>
      </c>
      <c r="I5948" s="283">
        <v>0</v>
      </c>
      <c r="J5948" s="284">
        <v>0</v>
      </c>
    </row>
    <row r="5949" spans="3:10" x14ac:dyDescent="0.25">
      <c r="C5949" s="300" t="s">
        <v>1063</v>
      </c>
      <c r="D5949" s="283" t="s">
        <v>1043</v>
      </c>
      <c r="E5949" s="283" t="s">
        <v>1075</v>
      </c>
      <c r="F5949" s="283" t="s">
        <v>1092</v>
      </c>
      <c r="G5949" s="283">
        <v>2</v>
      </c>
      <c r="H5949" s="283">
        <v>0</v>
      </c>
      <c r="I5949" s="283">
        <v>1</v>
      </c>
      <c r="J5949" s="284">
        <v>0</v>
      </c>
    </row>
    <row r="5950" spans="3:10" x14ac:dyDescent="0.25">
      <c r="C5950" s="300" t="s">
        <v>1065</v>
      </c>
      <c r="D5950" s="283" t="s">
        <v>1079</v>
      </c>
      <c r="E5950" s="283" t="s">
        <v>1089</v>
      </c>
      <c r="F5950" s="283" t="s">
        <v>1083</v>
      </c>
      <c r="G5950" s="283">
        <v>2</v>
      </c>
      <c r="H5950" s="283">
        <v>0</v>
      </c>
      <c r="I5950" s="283">
        <v>0</v>
      </c>
      <c r="J5950" s="284">
        <v>1</v>
      </c>
    </row>
    <row r="5951" spans="3:10" x14ac:dyDescent="0.25">
      <c r="C5951" s="300" t="s">
        <v>1062</v>
      </c>
      <c r="D5951" s="283" t="s">
        <v>1082</v>
      </c>
      <c r="E5951" s="283" t="s">
        <v>1083</v>
      </c>
      <c r="F5951" s="283" t="s">
        <v>1089</v>
      </c>
      <c r="G5951" s="283">
        <v>2</v>
      </c>
      <c r="H5951" s="283">
        <v>0</v>
      </c>
      <c r="I5951" s="283">
        <v>0</v>
      </c>
      <c r="J5951" s="284">
        <v>0</v>
      </c>
    </row>
    <row r="5952" spans="3:10" x14ac:dyDescent="0.25">
      <c r="C5952" s="300" t="s">
        <v>1062</v>
      </c>
      <c r="D5952" s="283" t="s">
        <v>1090</v>
      </c>
      <c r="E5952" s="283" t="s">
        <v>1093</v>
      </c>
      <c r="F5952" s="283" t="s">
        <v>524</v>
      </c>
      <c r="G5952" s="283">
        <v>1</v>
      </c>
      <c r="H5952" s="283">
        <v>0</v>
      </c>
      <c r="I5952" s="283">
        <v>1</v>
      </c>
      <c r="J5952" s="284">
        <v>0</v>
      </c>
    </row>
    <row r="5953" spans="3:10" x14ac:dyDescent="0.25">
      <c r="C5953" s="300" t="s">
        <v>1065</v>
      </c>
      <c r="D5953" s="283" t="s">
        <v>1079</v>
      </c>
      <c r="E5953" s="283" t="s">
        <v>1085</v>
      </c>
      <c r="F5953" s="283" t="s">
        <v>1089</v>
      </c>
      <c r="G5953" s="283">
        <v>2</v>
      </c>
      <c r="H5953" s="283">
        <v>0</v>
      </c>
      <c r="I5953" s="283">
        <v>0</v>
      </c>
      <c r="J5953" s="284">
        <v>0</v>
      </c>
    </row>
    <row r="5954" spans="3:10" x14ac:dyDescent="0.25">
      <c r="C5954" s="300" t="s">
        <v>1061</v>
      </c>
      <c r="D5954" s="283" t="s">
        <v>1077</v>
      </c>
      <c r="E5954" s="283" t="s">
        <v>1099</v>
      </c>
      <c r="F5954" s="283" t="s">
        <v>1083</v>
      </c>
      <c r="G5954" s="283">
        <v>2</v>
      </c>
      <c r="H5954" s="283">
        <v>0</v>
      </c>
      <c r="I5954" s="283">
        <v>1</v>
      </c>
      <c r="J5954" s="284">
        <v>0</v>
      </c>
    </row>
    <row r="5955" spans="3:10" x14ac:dyDescent="0.25">
      <c r="C5955" s="300" t="s">
        <v>1057</v>
      </c>
      <c r="D5955" s="283" t="s">
        <v>1087</v>
      </c>
      <c r="E5955" s="283" t="s">
        <v>1075</v>
      </c>
      <c r="F5955" s="283" t="s">
        <v>524</v>
      </c>
      <c r="G5955" s="283">
        <v>1</v>
      </c>
      <c r="H5955" s="283">
        <v>0</v>
      </c>
      <c r="I5955" s="283">
        <v>0</v>
      </c>
      <c r="J5955" s="284">
        <v>0</v>
      </c>
    </row>
    <row r="5956" spans="3:10" x14ac:dyDescent="0.25">
      <c r="C5956" s="300" t="s">
        <v>1065</v>
      </c>
      <c r="D5956" s="283" t="s">
        <v>1079</v>
      </c>
      <c r="E5956" s="283" t="s">
        <v>1044</v>
      </c>
      <c r="F5956" s="283" t="s">
        <v>1086</v>
      </c>
      <c r="G5956" s="283">
        <v>2</v>
      </c>
      <c r="H5956" s="283">
        <v>0</v>
      </c>
      <c r="I5956" s="283">
        <v>0</v>
      </c>
      <c r="J5956" s="284">
        <v>0</v>
      </c>
    </row>
    <row r="5957" spans="3:10" x14ac:dyDescent="0.25">
      <c r="C5957" s="300" t="s">
        <v>1059</v>
      </c>
      <c r="D5957" s="283" t="s">
        <v>1074</v>
      </c>
      <c r="E5957" s="283" t="s">
        <v>1075</v>
      </c>
      <c r="F5957" s="283" t="s">
        <v>1089</v>
      </c>
      <c r="G5957" s="283">
        <v>2</v>
      </c>
      <c r="H5957" s="283">
        <v>0</v>
      </c>
      <c r="I5957" s="283">
        <v>1</v>
      </c>
      <c r="J5957" s="284">
        <v>0</v>
      </c>
    </row>
    <row r="5958" spans="3:10" x14ac:dyDescent="0.25">
      <c r="C5958" s="300" t="s">
        <v>1063</v>
      </c>
      <c r="D5958" s="283" t="s">
        <v>1082</v>
      </c>
      <c r="E5958" s="283" t="s">
        <v>1094</v>
      </c>
      <c r="F5958" s="283" t="s">
        <v>1078</v>
      </c>
      <c r="G5958" s="283">
        <v>2</v>
      </c>
      <c r="H5958" s="283">
        <v>0</v>
      </c>
      <c r="I5958" s="283">
        <v>1</v>
      </c>
      <c r="J5958" s="284">
        <v>1</v>
      </c>
    </row>
    <row r="5959" spans="3:10" x14ac:dyDescent="0.25">
      <c r="C5959" s="300" t="s">
        <v>1062</v>
      </c>
      <c r="D5959" s="283" t="s">
        <v>1043</v>
      </c>
      <c r="E5959" s="283" t="s">
        <v>1076</v>
      </c>
      <c r="F5959" s="283" t="s">
        <v>1092</v>
      </c>
      <c r="G5959" s="283">
        <v>2</v>
      </c>
      <c r="H5959" s="283">
        <v>0</v>
      </c>
      <c r="I5959" s="283">
        <v>0</v>
      </c>
      <c r="J5959" s="284">
        <v>2</v>
      </c>
    </row>
    <row r="5960" spans="3:10" x14ac:dyDescent="0.25">
      <c r="C5960" s="300" t="s">
        <v>1061</v>
      </c>
      <c r="D5960" s="283" t="s">
        <v>1077</v>
      </c>
      <c r="E5960" s="283" t="s">
        <v>1075</v>
      </c>
      <c r="F5960" s="283" t="s">
        <v>1075</v>
      </c>
      <c r="G5960" s="283">
        <v>2</v>
      </c>
      <c r="H5960" s="283">
        <v>0</v>
      </c>
      <c r="I5960" s="283">
        <v>0</v>
      </c>
      <c r="J5960" s="284">
        <v>0</v>
      </c>
    </row>
    <row r="5961" spans="3:10" x14ac:dyDescent="0.25">
      <c r="C5961" s="300" t="s">
        <v>1065</v>
      </c>
      <c r="D5961" s="283" t="s">
        <v>1077</v>
      </c>
      <c r="E5961" s="283" t="s">
        <v>1084</v>
      </c>
      <c r="F5961" s="283" t="s">
        <v>1075</v>
      </c>
      <c r="G5961" s="283">
        <v>3</v>
      </c>
      <c r="H5961" s="283">
        <v>0</v>
      </c>
      <c r="I5961" s="283">
        <v>0</v>
      </c>
      <c r="J5961" s="284">
        <v>0</v>
      </c>
    </row>
    <row r="5962" spans="3:10" x14ac:dyDescent="0.25">
      <c r="C5962" s="300" t="s">
        <v>1066</v>
      </c>
      <c r="D5962" s="283" t="s">
        <v>1043</v>
      </c>
      <c r="E5962" s="283" t="s">
        <v>1075</v>
      </c>
      <c r="F5962" s="283" t="s">
        <v>1092</v>
      </c>
      <c r="G5962" s="283">
        <v>2</v>
      </c>
      <c r="H5962" s="283">
        <v>0</v>
      </c>
      <c r="I5962" s="283">
        <v>1</v>
      </c>
      <c r="J5962" s="284">
        <v>0</v>
      </c>
    </row>
    <row r="5963" spans="3:10" x14ac:dyDescent="0.25">
      <c r="C5963" s="300" t="s">
        <v>1061</v>
      </c>
      <c r="D5963" s="283" t="s">
        <v>1079</v>
      </c>
      <c r="E5963" s="283" t="s">
        <v>1089</v>
      </c>
      <c r="F5963" s="283" t="s">
        <v>1078</v>
      </c>
      <c r="G5963" s="283">
        <v>3</v>
      </c>
      <c r="H5963" s="283">
        <v>0</v>
      </c>
      <c r="I5963" s="283">
        <v>0</v>
      </c>
      <c r="J5963" s="284">
        <v>0</v>
      </c>
    </row>
    <row r="5964" spans="3:10" x14ac:dyDescent="0.25">
      <c r="C5964" s="300" t="s">
        <v>1065</v>
      </c>
      <c r="D5964" s="283" t="s">
        <v>1087</v>
      </c>
      <c r="E5964" s="283" t="s">
        <v>1085</v>
      </c>
      <c r="F5964" s="283" t="s">
        <v>524</v>
      </c>
      <c r="G5964" s="283">
        <v>4</v>
      </c>
      <c r="H5964" s="283">
        <v>0</v>
      </c>
      <c r="I5964" s="283">
        <v>0</v>
      </c>
      <c r="J5964" s="284">
        <v>0</v>
      </c>
    </row>
    <row r="5965" spans="3:10" x14ac:dyDescent="0.25">
      <c r="C5965" s="300" t="s">
        <v>1064</v>
      </c>
      <c r="D5965" s="283" t="s">
        <v>1077</v>
      </c>
      <c r="E5965" s="283" t="s">
        <v>1075</v>
      </c>
      <c r="F5965" s="283" t="s">
        <v>1075</v>
      </c>
      <c r="G5965" s="283">
        <v>2</v>
      </c>
      <c r="H5965" s="283">
        <v>0</v>
      </c>
      <c r="I5965" s="283">
        <v>0</v>
      </c>
      <c r="J5965" s="284">
        <v>0</v>
      </c>
    </row>
    <row r="5966" spans="3:10" x14ac:dyDescent="0.25">
      <c r="C5966" s="300" t="s">
        <v>1068</v>
      </c>
      <c r="D5966" s="283" t="s">
        <v>1087</v>
      </c>
      <c r="E5966" s="283" t="s">
        <v>1083</v>
      </c>
      <c r="F5966" s="283" t="s">
        <v>524</v>
      </c>
      <c r="G5966" s="283">
        <v>1</v>
      </c>
      <c r="H5966" s="283">
        <v>0</v>
      </c>
      <c r="I5966" s="283">
        <v>1</v>
      </c>
      <c r="J5966" s="284">
        <v>0</v>
      </c>
    </row>
    <row r="5967" spans="3:10" x14ac:dyDescent="0.25">
      <c r="C5967" s="300" t="s">
        <v>1065</v>
      </c>
      <c r="D5967" s="283" t="s">
        <v>1077</v>
      </c>
      <c r="E5967" s="283" t="s">
        <v>1076</v>
      </c>
      <c r="F5967" s="283" t="s">
        <v>1078</v>
      </c>
      <c r="G5967" s="283">
        <v>2</v>
      </c>
      <c r="H5967" s="283">
        <v>0</v>
      </c>
      <c r="I5967" s="283">
        <v>0</v>
      </c>
      <c r="J5967" s="284">
        <v>0</v>
      </c>
    </row>
    <row r="5968" spans="3:10" x14ac:dyDescent="0.25">
      <c r="C5968" s="300" t="s">
        <v>1067</v>
      </c>
      <c r="D5968" s="283" t="s">
        <v>1077</v>
      </c>
      <c r="E5968" s="283" t="s">
        <v>1078</v>
      </c>
      <c r="F5968" s="283" t="s">
        <v>1093</v>
      </c>
      <c r="G5968" s="283">
        <v>3</v>
      </c>
      <c r="H5968" s="283">
        <v>0</v>
      </c>
      <c r="I5968" s="283">
        <v>1</v>
      </c>
      <c r="J5968" s="284">
        <v>0</v>
      </c>
    </row>
    <row r="5969" spans="3:10" x14ac:dyDescent="0.25">
      <c r="C5969" s="300" t="s">
        <v>1068</v>
      </c>
      <c r="D5969" s="283" t="s">
        <v>1074</v>
      </c>
      <c r="E5969" s="283" t="s">
        <v>1076</v>
      </c>
      <c r="F5969" s="283" t="s">
        <v>1089</v>
      </c>
      <c r="G5969" s="283">
        <v>2</v>
      </c>
      <c r="H5969" s="283">
        <v>0</v>
      </c>
      <c r="I5969" s="283">
        <v>1</v>
      </c>
      <c r="J5969" s="284">
        <v>1</v>
      </c>
    </row>
    <row r="5970" spans="3:10" x14ac:dyDescent="0.25">
      <c r="C5970" s="300" t="s">
        <v>1066</v>
      </c>
      <c r="D5970" s="283" t="s">
        <v>1087</v>
      </c>
      <c r="E5970" s="283" t="s">
        <v>1078</v>
      </c>
      <c r="F5970" s="283" t="s">
        <v>524</v>
      </c>
      <c r="G5970" s="283">
        <v>1</v>
      </c>
      <c r="H5970" s="283">
        <v>0</v>
      </c>
      <c r="I5970" s="283">
        <v>0</v>
      </c>
      <c r="J5970" s="284">
        <v>0</v>
      </c>
    </row>
    <row r="5971" spans="3:10" x14ac:dyDescent="0.25">
      <c r="C5971" s="300" t="s">
        <v>1061</v>
      </c>
      <c r="D5971" s="283" t="s">
        <v>1074</v>
      </c>
      <c r="E5971" s="283" t="s">
        <v>1075</v>
      </c>
      <c r="F5971" s="283" t="s">
        <v>1075</v>
      </c>
      <c r="G5971" s="283">
        <v>3</v>
      </c>
      <c r="H5971" s="283">
        <v>0</v>
      </c>
      <c r="I5971" s="283">
        <v>1</v>
      </c>
      <c r="J5971" s="284">
        <v>1</v>
      </c>
    </row>
    <row r="5972" spans="3:10" x14ac:dyDescent="0.25">
      <c r="C5972" s="300" t="s">
        <v>1057</v>
      </c>
      <c r="D5972" s="283" t="s">
        <v>1087</v>
      </c>
      <c r="E5972" s="283" t="s">
        <v>1084</v>
      </c>
      <c r="F5972" s="283" t="s">
        <v>524</v>
      </c>
      <c r="G5972" s="283">
        <v>1</v>
      </c>
      <c r="H5972" s="283">
        <v>0</v>
      </c>
      <c r="I5972" s="283">
        <v>0</v>
      </c>
      <c r="J5972" s="284">
        <v>0</v>
      </c>
    </row>
    <row r="5973" spans="3:10" x14ac:dyDescent="0.25">
      <c r="C5973" s="300" t="s">
        <v>1057</v>
      </c>
      <c r="D5973" s="283" t="s">
        <v>1106</v>
      </c>
      <c r="E5973" s="283" t="s">
        <v>1075</v>
      </c>
      <c r="F5973" s="283" t="s">
        <v>524</v>
      </c>
      <c r="G5973" s="283">
        <v>1</v>
      </c>
      <c r="H5973" s="283">
        <v>0</v>
      </c>
      <c r="I5973" s="283">
        <v>0</v>
      </c>
      <c r="J5973" s="284">
        <v>1</v>
      </c>
    </row>
    <row r="5974" spans="3:10" x14ac:dyDescent="0.25">
      <c r="C5974" s="300" t="s">
        <v>1066</v>
      </c>
      <c r="D5974" s="283" t="s">
        <v>1087</v>
      </c>
      <c r="E5974" s="283" t="s">
        <v>1075</v>
      </c>
      <c r="F5974" s="283" t="s">
        <v>524</v>
      </c>
      <c r="G5974" s="283">
        <v>1</v>
      </c>
      <c r="H5974" s="283">
        <v>0</v>
      </c>
      <c r="I5974" s="283">
        <v>0</v>
      </c>
      <c r="J5974" s="284">
        <v>2</v>
      </c>
    </row>
    <row r="5975" spans="3:10" x14ac:dyDescent="0.25">
      <c r="C5975" s="300" t="s">
        <v>1061</v>
      </c>
      <c r="D5975" s="283" t="s">
        <v>1082</v>
      </c>
      <c r="E5975" s="283" t="s">
        <v>1089</v>
      </c>
      <c r="F5975" s="283" t="s">
        <v>1089</v>
      </c>
      <c r="G5975" s="283">
        <v>2</v>
      </c>
      <c r="H5975" s="283">
        <v>0</v>
      </c>
      <c r="I5975" s="283">
        <v>0</v>
      </c>
      <c r="J5975" s="284">
        <v>3</v>
      </c>
    </row>
    <row r="5976" spans="3:10" x14ac:dyDescent="0.25">
      <c r="C5976" s="300" t="s">
        <v>1062</v>
      </c>
      <c r="D5976" s="283" t="s">
        <v>1087</v>
      </c>
      <c r="E5976" s="283" t="s">
        <v>1076</v>
      </c>
      <c r="F5976" s="283" t="s">
        <v>524</v>
      </c>
      <c r="G5976" s="283">
        <v>1</v>
      </c>
      <c r="H5976" s="283">
        <v>0</v>
      </c>
      <c r="I5976" s="283">
        <v>1</v>
      </c>
      <c r="J5976" s="284">
        <v>0</v>
      </c>
    </row>
    <row r="5977" spans="3:10" x14ac:dyDescent="0.25">
      <c r="C5977" s="300" t="s">
        <v>1063</v>
      </c>
      <c r="D5977" s="283" t="s">
        <v>1087</v>
      </c>
      <c r="E5977" s="283" t="s">
        <v>1083</v>
      </c>
      <c r="F5977" s="283" t="s">
        <v>524</v>
      </c>
      <c r="G5977" s="283">
        <v>1</v>
      </c>
      <c r="H5977" s="283">
        <v>0</v>
      </c>
      <c r="I5977" s="283">
        <v>1</v>
      </c>
      <c r="J5977" s="284">
        <v>0</v>
      </c>
    </row>
    <row r="5978" spans="3:10" x14ac:dyDescent="0.25">
      <c r="C5978" s="300" t="s">
        <v>1060</v>
      </c>
      <c r="D5978" s="283" t="s">
        <v>1077</v>
      </c>
      <c r="E5978" s="283" t="s">
        <v>1076</v>
      </c>
      <c r="F5978" s="283" t="s">
        <v>1076</v>
      </c>
      <c r="G5978" s="283">
        <v>3</v>
      </c>
      <c r="H5978" s="283">
        <v>0</v>
      </c>
      <c r="I5978" s="283">
        <v>0</v>
      </c>
      <c r="J5978" s="284">
        <v>0</v>
      </c>
    </row>
    <row r="5979" spans="3:10" x14ac:dyDescent="0.25">
      <c r="C5979" s="300" t="s">
        <v>1062</v>
      </c>
      <c r="D5979" s="283" t="s">
        <v>1079</v>
      </c>
      <c r="E5979" s="283" t="s">
        <v>1075</v>
      </c>
      <c r="F5979" s="283" t="s">
        <v>1089</v>
      </c>
      <c r="G5979" s="283">
        <v>3</v>
      </c>
      <c r="H5979" s="283">
        <v>0</v>
      </c>
      <c r="I5979" s="283">
        <v>0</v>
      </c>
      <c r="J5979" s="284">
        <v>1</v>
      </c>
    </row>
    <row r="5980" spans="3:10" x14ac:dyDescent="0.25">
      <c r="C5980" s="300" t="s">
        <v>1064</v>
      </c>
      <c r="D5980" s="283" t="s">
        <v>1079</v>
      </c>
      <c r="E5980" s="283" t="s">
        <v>1076</v>
      </c>
      <c r="F5980" s="283" t="s">
        <v>1075</v>
      </c>
      <c r="G5980" s="283">
        <v>2</v>
      </c>
      <c r="H5980" s="283">
        <v>0</v>
      </c>
      <c r="I5980" s="283">
        <v>0</v>
      </c>
      <c r="J5980" s="284">
        <v>0</v>
      </c>
    </row>
    <row r="5981" spans="3:10" x14ac:dyDescent="0.25">
      <c r="C5981" s="300" t="s">
        <v>1061</v>
      </c>
      <c r="D5981" s="283" t="s">
        <v>1074</v>
      </c>
      <c r="E5981" s="283" t="s">
        <v>1075</v>
      </c>
      <c r="F5981" s="283" t="s">
        <v>1075</v>
      </c>
      <c r="G5981" s="283">
        <v>3</v>
      </c>
      <c r="H5981" s="283">
        <v>0</v>
      </c>
      <c r="I5981" s="283">
        <v>0</v>
      </c>
      <c r="J5981" s="284">
        <v>1</v>
      </c>
    </row>
    <row r="5982" spans="3:10" x14ac:dyDescent="0.25">
      <c r="C5982" s="300" t="s">
        <v>1060</v>
      </c>
      <c r="D5982" s="283" t="s">
        <v>1079</v>
      </c>
      <c r="E5982" s="283" t="s">
        <v>1075</v>
      </c>
      <c r="F5982" s="283" t="s">
        <v>1084</v>
      </c>
      <c r="G5982" s="283">
        <v>2</v>
      </c>
      <c r="H5982" s="283">
        <v>0</v>
      </c>
      <c r="I5982" s="283">
        <v>0</v>
      </c>
      <c r="J5982" s="284">
        <v>0</v>
      </c>
    </row>
    <row r="5983" spans="3:10" x14ac:dyDescent="0.25">
      <c r="C5983" s="300" t="s">
        <v>1066</v>
      </c>
      <c r="D5983" s="283" t="s">
        <v>1077</v>
      </c>
      <c r="E5983" s="283" t="s">
        <v>1075</v>
      </c>
      <c r="F5983" s="283" t="s">
        <v>1089</v>
      </c>
      <c r="G5983" s="283">
        <v>3</v>
      </c>
      <c r="H5983" s="283">
        <v>0</v>
      </c>
      <c r="I5983" s="283">
        <v>0</v>
      </c>
      <c r="J5983" s="284">
        <v>0</v>
      </c>
    </row>
    <row r="5984" spans="3:10" x14ac:dyDescent="0.25">
      <c r="C5984" s="300" t="s">
        <v>1065</v>
      </c>
      <c r="D5984" s="283" t="s">
        <v>1079</v>
      </c>
      <c r="E5984" s="283" t="s">
        <v>1089</v>
      </c>
      <c r="F5984" s="283" t="s">
        <v>1075</v>
      </c>
      <c r="G5984" s="283">
        <v>2</v>
      </c>
      <c r="H5984" s="283">
        <v>0</v>
      </c>
      <c r="I5984" s="283">
        <v>0</v>
      </c>
      <c r="J5984" s="284">
        <v>0</v>
      </c>
    </row>
    <row r="5985" spans="3:10" x14ac:dyDescent="0.25">
      <c r="C5985" s="300" t="s">
        <v>1061</v>
      </c>
      <c r="D5985" s="283" t="s">
        <v>1079</v>
      </c>
      <c r="E5985" s="283" t="s">
        <v>1075</v>
      </c>
      <c r="F5985" s="283" t="s">
        <v>1075</v>
      </c>
      <c r="G5985" s="283">
        <v>2</v>
      </c>
      <c r="H5985" s="283">
        <v>0</v>
      </c>
      <c r="I5985" s="283">
        <v>0</v>
      </c>
      <c r="J5985" s="284">
        <v>0</v>
      </c>
    </row>
    <row r="5986" spans="3:10" x14ac:dyDescent="0.25">
      <c r="C5986" s="300" t="s">
        <v>1063</v>
      </c>
      <c r="D5986" s="283" t="s">
        <v>1077</v>
      </c>
      <c r="E5986" s="283" t="s">
        <v>1078</v>
      </c>
      <c r="F5986" s="283" t="s">
        <v>1080</v>
      </c>
      <c r="G5986" s="283">
        <v>2</v>
      </c>
      <c r="H5986" s="283">
        <v>0</v>
      </c>
      <c r="I5986" s="283">
        <v>0</v>
      </c>
      <c r="J5986" s="284">
        <v>0</v>
      </c>
    </row>
    <row r="5987" spans="3:10" x14ac:dyDescent="0.25">
      <c r="C5987" s="300" t="s">
        <v>1067</v>
      </c>
      <c r="D5987" s="283" t="s">
        <v>1079</v>
      </c>
      <c r="E5987" s="283" t="s">
        <v>1086</v>
      </c>
      <c r="F5987" s="283" t="s">
        <v>1075</v>
      </c>
      <c r="G5987" s="283">
        <v>2</v>
      </c>
      <c r="H5987" s="283">
        <v>0</v>
      </c>
      <c r="I5987" s="283">
        <v>0</v>
      </c>
      <c r="J5987" s="284">
        <v>0</v>
      </c>
    </row>
    <row r="5988" spans="3:10" x14ac:dyDescent="0.25">
      <c r="C5988" s="300" t="s">
        <v>1065</v>
      </c>
      <c r="D5988" s="283" t="s">
        <v>1079</v>
      </c>
      <c r="E5988" s="283" t="s">
        <v>1078</v>
      </c>
      <c r="F5988" s="283" t="s">
        <v>1075</v>
      </c>
      <c r="G5988" s="283">
        <v>2</v>
      </c>
      <c r="H5988" s="283">
        <v>0</v>
      </c>
      <c r="I5988" s="283">
        <v>0</v>
      </c>
      <c r="J5988" s="284">
        <v>0</v>
      </c>
    </row>
    <row r="5989" spans="3:10" x14ac:dyDescent="0.25">
      <c r="C5989" s="300" t="s">
        <v>1061</v>
      </c>
      <c r="D5989" s="283" t="s">
        <v>1077</v>
      </c>
      <c r="E5989" s="283" t="s">
        <v>1080</v>
      </c>
      <c r="F5989" s="283" t="s">
        <v>1075</v>
      </c>
      <c r="G5989" s="283">
        <v>2</v>
      </c>
      <c r="H5989" s="283">
        <v>0</v>
      </c>
      <c r="I5989" s="283">
        <v>0</v>
      </c>
      <c r="J5989" s="284">
        <v>0</v>
      </c>
    </row>
    <row r="5990" spans="3:10" x14ac:dyDescent="0.25">
      <c r="C5990" s="300" t="s">
        <v>1064</v>
      </c>
      <c r="D5990" s="283" t="s">
        <v>1087</v>
      </c>
      <c r="E5990" s="283" t="s">
        <v>1075</v>
      </c>
      <c r="F5990" s="283" t="s">
        <v>524</v>
      </c>
      <c r="G5990" s="283">
        <v>1</v>
      </c>
      <c r="H5990" s="283">
        <v>0</v>
      </c>
      <c r="I5990" s="283">
        <v>0</v>
      </c>
      <c r="J5990" s="284">
        <v>0</v>
      </c>
    </row>
    <row r="5991" spans="3:10" x14ac:dyDescent="0.25">
      <c r="C5991" s="300" t="s">
        <v>1064</v>
      </c>
      <c r="D5991" s="283" t="s">
        <v>1079</v>
      </c>
      <c r="E5991" s="283" t="s">
        <v>1075</v>
      </c>
      <c r="F5991" s="283" t="s">
        <v>1075</v>
      </c>
      <c r="G5991" s="283">
        <v>2</v>
      </c>
      <c r="H5991" s="283">
        <v>0</v>
      </c>
      <c r="I5991" s="283">
        <v>0</v>
      </c>
      <c r="J5991" s="284">
        <v>0</v>
      </c>
    </row>
    <row r="5992" spans="3:10" x14ac:dyDescent="0.25">
      <c r="C5992" s="300" t="s">
        <v>1065</v>
      </c>
      <c r="D5992" s="283" t="s">
        <v>1079</v>
      </c>
      <c r="E5992" s="283" t="s">
        <v>1075</v>
      </c>
      <c r="F5992" s="283" t="s">
        <v>1075</v>
      </c>
      <c r="G5992" s="283">
        <v>2</v>
      </c>
      <c r="H5992" s="283">
        <v>0</v>
      </c>
      <c r="I5992" s="283">
        <v>0</v>
      </c>
      <c r="J5992" s="284">
        <v>1</v>
      </c>
    </row>
    <row r="5993" spans="3:10" x14ac:dyDescent="0.25">
      <c r="C5993" s="300" t="s">
        <v>1064</v>
      </c>
      <c r="D5993" s="283" t="s">
        <v>1079</v>
      </c>
      <c r="E5993" s="283" t="s">
        <v>1089</v>
      </c>
      <c r="F5993" s="283" t="s">
        <v>1083</v>
      </c>
      <c r="G5993" s="283">
        <v>2</v>
      </c>
      <c r="H5993" s="283">
        <v>0</v>
      </c>
      <c r="I5993" s="283">
        <v>0</v>
      </c>
      <c r="J5993" s="284">
        <v>0</v>
      </c>
    </row>
    <row r="5994" spans="3:10" x14ac:dyDescent="0.25">
      <c r="C5994" s="300" t="s">
        <v>1065</v>
      </c>
      <c r="D5994" s="283" t="s">
        <v>1079</v>
      </c>
      <c r="E5994" s="283" t="s">
        <v>1075</v>
      </c>
      <c r="F5994" s="283" t="s">
        <v>1075</v>
      </c>
      <c r="G5994" s="283">
        <v>2</v>
      </c>
      <c r="H5994" s="283">
        <v>0</v>
      </c>
      <c r="I5994" s="283">
        <v>0</v>
      </c>
      <c r="J5994" s="284">
        <v>0</v>
      </c>
    </row>
    <row r="5995" spans="3:10" x14ac:dyDescent="0.25">
      <c r="C5995" s="300" t="s">
        <v>1064</v>
      </c>
      <c r="D5995" s="283" t="s">
        <v>1077</v>
      </c>
      <c r="E5995" s="283" t="s">
        <v>1089</v>
      </c>
      <c r="F5995" s="283" t="s">
        <v>1089</v>
      </c>
      <c r="G5995" s="283">
        <v>2</v>
      </c>
      <c r="H5995" s="283">
        <v>0</v>
      </c>
      <c r="I5995" s="283">
        <v>0</v>
      </c>
      <c r="J5995" s="284">
        <v>0</v>
      </c>
    </row>
    <row r="5996" spans="3:10" x14ac:dyDescent="0.25">
      <c r="C5996" s="300" t="s">
        <v>1060</v>
      </c>
      <c r="D5996" s="283" t="s">
        <v>1077</v>
      </c>
      <c r="E5996" s="283" t="s">
        <v>1075</v>
      </c>
      <c r="F5996" s="283" t="s">
        <v>1075</v>
      </c>
      <c r="G5996" s="283">
        <v>3</v>
      </c>
      <c r="H5996" s="283">
        <v>0</v>
      </c>
      <c r="I5996" s="283">
        <v>0</v>
      </c>
      <c r="J5996" s="284">
        <v>0</v>
      </c>
    </row>
    <row r="5997" spans="3:10" x14ac:dyDescent="0.25">
      <c r="C5997" s="300" t="s">
        <v>1060</v>
      </c>
      <c r="D5997" s="283" t="s">
        <v>1077</v>
      </c>
      <c r="E5997" s="283" t="s">
        <v>1075</v>
      </c>
      <c r="F5997" s="283" t="s">
        <v>1075</v>
      </c>
      <c r="G5997" s="283">
        <v>2</v>
      </c>
      <c r="H5997" s="283">
        <v>0</v>
      </c>
      <c r="I5997" s="283">
        <v>0</v>
      </c>
      <c r="J5997" s="284">
        <v>0</v>
      </c>
    </row>
    <row r="5998" spans="3:10" x14ac:dyDescent="0.25">
      <c r="C5998" s="300" t="s">
        <v>1063</v>
      </c>
      <c r="D5998" s="283" t="s">
        <v>1087</v>
      </c>
      <c r="E5998" s="283" t="s">
        <v>1075</v>
      </c>
      <c r="F5998" s="283" t="s">
        <v>524</v>
      </c>
      <c r="G5998" s="283">
        <v>1</v>
      </c>
      <c r="H5998" s="283">
        <v>0</v>
      </c>
      <c r="I5998" s="283">
        <v>0</v>
      </c>
      <c r="J5998" s="284">
        <v>0</v>
      </c>
    </row>
    <row r="5999" spans="3:10" x14ac:dyDescent="0.25">
      <c r="C5999" s="300" t="s">
        <v>1061</v>
      </c>
      <c r="D5999" s="283" t="s">
        <v>1079</v>
      </c>
      <c r="E5999" s="283" t="s">
        <v>1075</v>
      </c>
      <c r="F5999" s="283" t="s">
        <v>1075</v>
      </c>
      <c r="G5999" s="283">
        <v>2</v>
      </c>
      <c r="H5999" s="283">
        <v>0</v>
      </c>
      <c r="I5999" s="283">
        <v>0</v>
      </c>
      <c r="J5999" s="284">
        <v>0</v>
      </c>
    </row>
    <row r="6000" spans="3:10" x14ac:dyDescent="0.25">
      <c r="C6000" s="300" t="s">
        <v>1064</v>
      </c>
      <c r="D6000" s="283" t="s">
        <v>1077</v>
      </c>
      <c r="E6000" s="283" t="s">
        <v>1078</v>
      </c>
      <c r="F6000" s="283" t="s">
        <v>1075</v>
      </c>
      <c r="G6000" s="283">
        <v>2</v>
      </c>
      <c r="H6000" s="283">
        <v>0</v>
      </c>
      <c r="I6000" s="283">
        <v>0</v>
      </c>
      <c r="J6000" s="284">
        <v>0</v>
      </c>
    </row>
    <row r="6001" spans="3:10" x14ac:dyDescent="0.25">
      <c r="C6001" s="300" t="s">
        <v>1064</v>
      </c>
      <c r="D6001" s="283" t="s">
        <v>1077</v>
      </c>
      <c r="E6001" s="283" t="s">
        <v>1075</v>
      </c>
      <c r="F6001" s="283" t="s">
        <v>1075</v>
      </c>
      <c r="G6001" s="283">
        <v>2</v>
      </c>
      <c r="H6001" s="283">
        <v>0</v>
      </c>
      <c r="I6001" s="283">
        <v>0</v>
      </c>
      <c r="J6001" s="284">
        <v>0</v>
      </c>
    </row>
    <row r="6002" spans="3:10" x14ac:dyDescent="0.25">
      <c r="C6002" s="300" t="s">
        <v>1063</v>
      </c>
      <c r="D6002" s="283" t="s">
        <v>1074</v>
      </c>
      <c r="E6002" s="283" t="s">
        <v>1075</v>
      </c>
      <c r="F6002" s="283" t="s">
        <v>1075</v>
      </c>
      <c r="G6002" s="283">
        <v>2</v>
      </c>
      <c r="H6002" s="283">
        <v>0</v>
      </c>
      <c r="I6002" s="283">
        <v>0</v>
      </c>
      <c r="J6002" s="284">
        <v>0</v>
      </c>
    </row>
    <row r="6003" spans="3:10" x14ac:dyDescent="0.25">
      <c r="C6003" s="300" t="s">
        <v>1063</v>
      </c>
      <c r="D6003" s="283" t="s">
        <v>1077</v>
      </c>
      <c r="E6003" s="283" t="s">
        <v>1075</v>
      </c>
      <c r="F6003" s="283" t="s">
        <v>1076</v>
      </c>
      <c r="G6003" s="283">
        <v>3</v>
      </c>
      <c r="H6003" s="283">
        <v>0</v>
      </c>
      <c r="I6003" s="283">
        <v>0</v>
      </c>
      <c r="J6003" s="284">
        <v>0</v>
      </c>
    </row>
    <row r="6004" spans="3:10" x14ac:dyDescent="0.25">
      <c r="C6004" s="300" t="s">
        <v>1060</v>
      </c>
      <c r="D6004" s="283" t="s">
        <v>1077</v>
      </c>
      <c r="E6004" s="283" t="s">
        <v>1089</v>
      </c>
      <c r="F6004" s="283" t="s">
        <v>1089</v>
      </c>
      <c r="G6004" s="283">
        <v>3</v>
      </c>
      <c r="H6004" s="283">
        <v>0</v>
      </c>
      <c r="I6004" s="283">
        <v>0</v>
      </c>
      <c r="J6004" s="284">
        <v>0</v>
      </c>
    </row>
    <row r="6005" spans="3:10" x14ac:dyDescent="0.25">
      <c r="C6005" s="300" t="s">
        <v>1066</v>
      </c>
      <c r="D6005" s="283" t="s">
        <v>1079</v>
      </c>
      <c r="E6005" s="283" t="s">
        <v>1089</v>
      </c>
      <c r="F6005" s="283" t="s">
        <v>1076</v>
      </c>
      <c r="G6005" s="283">
        <v>2</v>
      </c>
      <c r="H6005" s="283">
        <v>0</v>
      </c>
      <c r="I6005" s="283">
        <v>0</v>
      </c>
      <c r="J6005" s="284">
        <v>0</v>
      </c>
    </row>
    <row r="6006" spans="3:10" x14ac:dyDescent="0.25">
      <c r="C6006" s="300" t="s">
        <v>1059</v>
      </c>
      <c r="D6006" s="283" t="s">
        <v>1079</v>
      </c>
      <c r="E6006" s="283" t="s">
        <v>1075</v>
      </c>
      <c r="F6006" s="283" t="s">
        <v>1080</v>
      </c>
      <c r="G6006" s="283">
        <v>2</v>
      </c>
      <c r="H6006" s="283">
        <v>0</v>
      </c>
      <c r="I6006" s="283">
        <v>0</v>
      </c>
      <c r="J6006" s="284">
        <v>0</v>
      </c>
    </row>
    <row r="6007" spans="3:10" x14ac:dyDescent="0.25">
      <c r="C6007" s="300" t="s">
        <v>1065</v>
      </c>
      <c r="D6007" s="283" t="s">
        <v>1074</v>
      </c>
      <c r="E6007" s="283" t="s">
        <v>1089</v>
      </c>
      <c r="F6007" s="283" t="s">
        <v>1075</v>
      </c>
      <c r="G6007" s="283">
        <v>2</v>
      </c>
      <c r="H6007" s="283">
        <v>0</v>
      </c>
      <c r="I6007" s="283">
        <v>0</v>
      </c>
      <c r="J6007" s="284">
        <v>0</v>
      </c>
    </row>
    <row r="6008" spans="3:10" x14ac:dyDescent="0.25">
      <c r="C6008" s="300" t="s">
        <v>1060</v>
      </c>
      <c r="D6008" s="283" t="s">
        <v>1077</v>
      </c>
      <c r="E6008" s="283" t="s">
        <v>1076</v>
      </c>
      <c r="F6008" s="283" t="s">
        <v>1075</v>
      </c>
      <c r="G6008" s="283">
        <v>3</v>
      </c>
      <c r="H6008" s="283">
        <v>0</v>
      </c>
      <c r="I6008" s="283">
        <v>0</v>
      </c>
      <c r="J6008" s="284">
        <v>0</v>
      </c>
    </row>
    <row r="6009" spans="3:10" x14ac:dyDescent="0.25">
      <c r="C6009" s="300" t="s">
        <v>1064</v>
      </c>
      <c r="D6009" s="283" t="s">
        <v>1077</v>
      </c>
      <c r="E6009" s="283" t="s">
        <v>1075</v>
      </c>
      <c r="F6009" s="283" t="s">
        <v>1084</v>
      </c>
      <c r="G6009" s="283">
        <v>2</v>
      </c>
      <c r="H6009" s="283">
        <v>0</v>
      </c>
      <c r="I6009" s="283">
        <v>0</v>
      </c>
      <c r="J6009" s="284">
        <v>0</v>
      </c>
    </row>
    <row r="6010" spans="3:10" x14ac:dyDescent="0.25">
      <c r="C6010" s="300" t="s">
        <v>1061</v>
      </c>
      <c r="D6010" s="283" t="s">
        <v>1079</v>
      </c>
      <c r="E6010" s="283" t="s">
        <v>1089</v>
      </c>
      <c r="F6010" s="283" t="s">
        <v>1089</v>
      </c>
      <c r="G6010" s="283">
        <v>3</v>
      </c>
      <c r="H6010" s="283">
        <v>0</v>
      </c>
      <c r="I6010" s="283">
        <v>0</v>
      </c>
      <c r="J6010" s="284">
        <v>0</v>
      </c>
    </row>
    <row r="6011" spans="3:10" x14ac:dyDescent="0.25">
      <c r="C6011" s="300" t="s">
        <v>1061</v>
      </c>
      <c r="D6011" s="283" t="s">
        <v>1074</v>
      </c>
      <c r="E6011" s="283" t="s">
        <v>1075</v>
      </c>
      <c r="F6011" s="283" t="s">
        <v>1075</v>
      </c>
      <c r="G6011" s="283">
        <v>2</v>
      </c>
      <c r="H6011" s="283">
        <v>0</v>
      </c>
      <c r="I6011" s="283">
        <v>0</v>
      </c>
      <c r="J6011" s="284">
        <v>0</v>
      </c>
    </row>
    <row r="6012" spans="3:10" x14ac:dyDescent="0.25">
      <c r="C6012" s="300" t="s">
        <v>1063</v>
      </c>
      <c r="D6012" s="283" t="s">
        <v>1077</v>
      </c>
      <c r="E6012" s="283" t="s">
        <v>1044</v>
      </c>
      <c r="F6012" s="283" t="s">
        <v>1075</v>
      </c>
      <c r="G6012" s="283">
        <v>2</v>
      </c>
      <c r="H6012" s="283">
        <v>0</v>
      </c>
      <c r="I6012" s="283">
        <v>0</v>
      </c>
      <c r="J6012" s="284">
        <v>0</v>
      </c>
    </row>
    <row r="6013" spans="3:10" x14ac:dyDescent="0.25">
      <c r="C6013" s="300" t="s">
        <v>1068</v>
      </c>
      <c r="D6013" s="283" t="s">
        <v>1079</v>
      </c>
      <c r="E6013" s="283" t="s">
        <v>1075</v>
      </c>
      <c r="F6013" s="283" t="s">
        <v>1089</v>
      </c>
      <c r="G6013" s="283">
        <v>3</v>
      </c>
      <c r="H6013" s="283">
        <v>0</v>
      </c>
      <c r="I6013" s="283">
        <v>0</v>
      </c>
      <c r="J6013" s="284">
        <v>0</v>
      </c>
    </row>
    <row r="6014" spans="3:10" x14ac:dyDescent="0.25">
      <c r="C6014" s="300" t="s">
        <v>1065</v>
      </c>
      <c r="D6014" s="283" t="s">
        <v>1079</v>
      </c>
      <c r="E6014" s="283" t="s">
        <v>1089</v>
      </c>
      <c r="F6014" s="283" t="s">
        <v>1089</v>
      </c>
      <c r="G6014" s="283">
        <v>2</v>
      </c>
      <c r="H6014" s="283">
        <v>0</v>
      </c>
      <c r="I6014" s="283">
        <v>0</v>
      </c>
      <c r="J6014" s="284">
        <v>0</v>
      </c>
    </row>
    <row r="6015" spans="3:10" x14ac:dyDescent="0.25">
      <c r="C6015" s="300" t="s">
        <v>1068</v>
      </c>
      <c r="D6015" s="283" t="s">
        <v>1087</v>
      </c>
      <c r="E6015" s="283" t="s">
        <v>1094</v>
      </c>
      <c r="F6015" s="283" t="s">
        <v>524</v>
      </c>
      <c r="G6015" s="283">
        <v>1</v>
      </c>
      <c r="H6015" s="283">
        <v>0</v>
      </c>
      <c r="I6015" s="283">
        <v>0</v>
      </c>
      <c r="J6015" s="284">
        <v>1</v>
      </c>
    </row>
    <row r="6016" spans="3:10" x14ac:dyDescent="0.25">
      <c r="C6016" s="300" t="s">
        <v>1062</v>
      </c>
      <c r="D6016" s="283" t="s">
        <v>1079</v>
      </c>
      <c r="E6016" s="283" t="s">
        <v>1075</v>
      </c>
      <c r="F6016" s="283" t="s">
        <v>1075</v>
      </c>
      <c r="G6016" s="283">
        <v>3</v>
      </c>
      <c r="H6016" s="283">
        <v>0</v>
      </c>
      <c r="I6016" s="283">
        <v>0</v>
      </c>
      <c r="J6016" s="284">
        <v>0</v>
      </c>
    </row>
    <row r="6017" spans="3:10" x14ac:dyDescent="0.25">
      <c r="C6017" s="300" t="s">
        <v>1060</v>
      </c>
      <c r="D6017" s="283" t="s">
        <v>1079</v>
      </c>
      <c r="E6017" s="283" t="s">
        <v>1089</v>
      </c>
      <c r="F6017" s="283" t="s">
        <v>1075</v>
      </c>
      <c r="G6017" s="283">
        <v>2</v>
      </c>
      <c r="H6017" s="283">
        <v>0</v>
      </c>
      <c r="I6017" s="283">
        <v>0</v>
      </c>
      <c r="J6017" s="284">
        <v>1</v>
      </c>
    </row>
    <row r="6018" spans="3:10" x14ac:dyDescent="0.25">
      <c r="C6018" s="300" t="s">
        <v>1059</v>
      </c>
      <c r="D6018" s="283" t="s">
        <v>1043</v>
      </c>
      <c r="E6018" s="283" t="s">
        <v>1075</v>
      </c>
      <c r="F6018" s="283" t="s">
        <v>1092</v>
      </c>
      <c r="G6018" s="283">
        <v>2</v>
      </c>
      <c r="H6018" s="283">
        <v>0</v>
      </c>
      <c r="I6018" s="283">
        <v>1</v>
      </c>
      <c r="J6018" s="284">
        <v>0</v>
      </c>
    </row>
    <row r="6019" spans="3:10" x14ac:dyDescent="0.25">
      <c r="C6019" s="300" t="s">
        <v>1068</v>
      </c>
      <c r="D6019" s="283" t="s">
        <v>1074</v>
      </c>
      <c r="E6019" s="283" t="s">
        <v>1075</v>
      </c>
      <c r="F6019" s="283" t="s">
        <v>1075</v>
      </c>
      <c r="G6019" s="283">
        <v>2</v>
      </c>
      <c r="H6019" s="283">
        <v>0</v>
      </c>
      <c r="I6019" s="283">
        <v>0</v>
      </c>
      <c r="J6019" s="284">
        <v>0</v>
      </c>
    </row>
    <row r="6020" spans="3:10" x14ac:dyDescent="0.25">
      <c r="C6020" s="300" t="s">
        <v>1061</v>
      </c>
      <c r="D6020" s="283" t="s">
        <v>1077</v>
      </c>
      <c r="E6020" s="283" t="s">
        <v>1075</v>
      </c>
      <c r="F6020" s="283" t="s">
        <v>1078</v>
      </c>
      <c r="G6020" s="283">
        <v>5</v>
      </c>
      <c r="H6020" s="283">
        <v>0</v>
      </c>
      <c r="I6020" s="283">
        <v>0</v>
      </c>
      <c r="J6020" s="284">
        <v>0</v>
      </c>
    </row>
    <row r="6021" spans="3:10" x14ac:dyDescent="0.25">
      <c r="C6021" s="300" t="s">
        <v>1060</v>
      </c>
      <c r="D6021" s="283" t="s">
        <v>1082</v>
      </c>
      <c r="E6021" s="283" t="s">
        <v>1089</v>
      </c>
      <c r="F6021" s="283" t="s">
        <v>1075</v>
      </c>
      <c r="G6021" s="283">
        <v>2</v>
      </c>
      <c r="H6021" s="283">
        <v>0</v>
      </c>
      <c r="I6021" s="283">
        <v>0</v>
      </c>
      <c r="J6021" s="284">
        <v>1</v>
      </c>
    </row>
    <row r="6022" spans="3:10" x14ac:dyDescent="0.25">
      <c r="C6022" s="300" t="s">
        <v>1065</v>
      </c>
      <c r="D6022" s="283" t="s">
        <v>1074</v>
      </c>
      <c r="E6022" s="283" t="s">
        <v>1075</v>
      </c>
      <c r="F6022" s="283" t="s">
        <v>1089</v>
      </c>
      <c r="G6022" s="283">
        <v>2</v>
      </c>
      <c r="H6022" s="283">
        <v>0</v>
      </c>
      <c r="I6022" s="283">
        <v>0</v>
      </c>
      <c r="J6022" s="284">
        <v>0</v>
      </c>
    </row>
    <row r="6023" spans="3:10" x14ac:dyDescent="0.25">
      <c r="C6023" s="300" t="s">
        <v>1067</v>
      </c>
      <c r="D6023" s="283" t="s">
        <v>1043</v>
      </c>
      <c r="E6023" s="283" t="s">
        <v>1076</v>
      </c>
      <c r="F6023" s="283" t="s">
        <v>1092</v>
      </c>
      <c r="G6023" s="283">
        <v>3</v>
      </c>
      <c r="H6023" s="283">
        <v>0</v>
      </c>
      <c r="I6023" s="283">
        <v>1</v>
      </c>
      <c r="J6023" s="284">
        <v>0</v>
      </c>
    </row>
    <row r="6024" spans="3:10" x14ac:dyDescent="0.25">
      <c r="C6024" s="300" t="s">
        <v>1067</v>
      </c>
      <c r="D6024" s="283" t="s">
        <v>1087</v>
      </c>
      <c r="E6024" s="283" t="s">
        <v>1075</v>
      </c>
      <c r="F6024" s="283" t="s">
        <v>524</v>
      </c>
      <c r="G6024" s="283">
        <v>1</v>
      </c>
      <c r="H6024" s="283">
        <v>0</v>
      </c>
      <c r="I6024" s="283">
        <v>1</v>
      </c>
      <c r="J6024" s="284">
        <v>0</v>
      </c>
    </row>
    <row r="6025" spans="3:10" x14ac:dyDescent="0.25">
      <c r="C6025" s="300" t="s">
        <v>1060</v>
      </c>
      <c r="D6025" s="283" t="s">
        <v>1087</v>
      </c>
      <c r="E6025" s="283" t="s">
        <v>1075</v>
      </c>
      <c r="F6025" s="283" t="s">
        <v>524</v>
      </c>
      <c r="G6025" s="283">
        <v>1</v>
      </c>
      <c r="H6025" s="283">
        <v>0</v>
      </c>
      <c r="I6025" s="283">
        <v>1</v>
      </c>
      <c r="J6025" s="284">
        <v>0</v>
      </c>
    </row>
    <row r="6026" spans="3:10" x14ac:dyDescent="0.25">
      <c r="C6026" s="300" t="s">
        <v>1066</v>
      </c>
      <c r="D6026" s="283" t="s">
        <v>1079</v>
      </c>
      <c r="E6026" s="283" t="s">
        <v>1075</v>
      </c>
      <c r="F6026" s="283" t="s">
        <v>1089</v>
      </c>
      <c r="G6026" s="283">
        <v>2</v>
      </c>
      <c r="H6026" s="283">
        <v>0</v>
      </c>
      <c r="I6026" s="283">
        <v>0</v>
      </c>
      <c r="J6026" s="284">
        <v>0</v>
      </c>
    </row>
    <row r="6027" spans="3:10" x14ac:dyDescent="0.25">
      <c r="C6027" s="300" t="s">
        <v>1063</v>
      </c>
      <c r="D6027" s="283" t="s">
        <v>1079</v>
      </c>
      <c r="E6027" s="283" t="s">
        <v>1084</v>
      </c>
      <c r="F6027" s="283" t="s">
        <v>1075</v>
      </c>
      <c r="G6027" s="283">
        <v>2</v>
      </c>
      <c r="H6027" s="283">
        <v>0</v>
      </c>
      <c r="I6027" s="283">
        <v>0</v>
      </c>
      <c r="J6027" s="284">
        <v>0</v>
      </c>
    </row>
    <row r="6028" spans="3:10" x14ac:dyDescent="0.25">
      <c r="C6028" s="300" t="s">
        <v>1060</v>
      </c>
      <c r="D6028" s="283" t="s">
        <v>1079</v>
      </c>
      <c r="E6028" s="283" t="s">
        <v>1075</v>
      </c>
      <c r="F6028" s="283" t="s">
        <v>1078</v>
      </c>
      <c r="G6028" s="283">
        <v>4</v>
      </c>
      <c r="H6028" s="283">
        <v>0</v>
      </c>
      <c r="I6028" s="283">
        <v>0</v>
      </c>
      <c r="J6028" s="284">
        <v>1</v>
      </c>
    </row>
    <row r="6029" spans="3:10" x14ac:dyDescent="0.25">
      <c r="C6029" s="300" t="s">
        <v>1065</v>
      </c>
      <c r="D6029" s="283" t="s">
        <v>1079</v>
      </c>
      <c r="E6029" s="283" t="s">
        <v>1076</v>
      </c>
      <c r="F6029" s="283" t="s">
        <v>1089</v>
      </c>
      <c r="G6029" s="283">
        <v>2</v>
      </c>
      <c r="H6029" s="283">
        <v>0</v>
      </c>
      <c r="I6029" s="283">
        <v>0</v>
      </c>
      <c r="J6029" s="284">
        <v>0</v>
      </c>
    </row>
    <row r="6030" spans="3:10" x14ac:dyDescent="0.25">
      <c r="C6030" s="300" t="s">
        <v>1057</v>
      </c>
      <c r="D6030" s="283" t="s">
        <v>1087</v>
      </c>
      <c r="E6030" s="283" t="s">
        <v>1094</v>
      </c>
      <c r="F6030" s="283" t="s">
        <v>524</v>
      </c>
      <c r="G6030" s="283">
        <v>1</v>
      </c>
      <c r="H6030" s="283">
        <v>0</v>
      </c>
      <c r="I6030" s="283">
        <v>0</v>
      </c>
      <c r="J6030" s="284">
        <v>1</v>
      </c>
    </row>
    <row r="6031" spans="3:10" x14ac:dyDescent="0.25">
      <c r="C6031" s="300" t="s">
        <v>1065</v>
      </c>
      <c r="D6031" s="283" t="s">
        <v>1079</v>
      </c>
      <c r="E6031" s="283" t="s">
        <v>1075</v>
      </c>
      <c r="F6031" s="283" t="s">
        <v>1075</v>
      </c>
      <c r="G6031" s="283">
        <v>3</v>
      </c>
      <c r="H6031" s="283">
        <v>0</v>
      </c>
      <c r="I6031" s="283">
        <v>0</v>
      </c>
      <c r="J6031" s="284">
        <v>1</v>
      </c>
    </row>
    <row r="6032" spans="3:10" x14ac:dyDescent="0.25">
      <c r="C6032" s="300" t="s">
        <v>1065</v>
      </c>
      <c r="D6032" s="283" t="s">
        <v>1077</v>
      </c>
      <c r="E6032" s="283" t="s">
        <v>1085</v>
      </c>
      <c r="F6032" s="283" t="s">
        <v>1089</v>
      </c>
      <c r="G6032" s="283">
        <v>2</v>
      </c>
      <c r="H6032" s="283">
        <v>0</v>
      </c>
      <c r="I6032" s="283">
        <v>0</v>
      </c>
      <c r="J6032" s="284">
        <v>0</v>
      </c>
    </row>
    <row r="6033" spans="3:10" x14ac:dyDescent="0.25">
      <c r="C6033" s="300" t="s">
        <v>1065</v>
      </c>
      <c r="D6033" s="283" t="s">
        <v>1077</v>
      </c>
      <c r="E6033" s="283" t="s">
        <v>1075</v>
      </c>
      <c r="F6033" s="283" t="s">
        <v>1075</v>
      </c>
      <c r="G6033" s="283">
        <v>5</v>
      </c>
      <c r="H6033" s="283">
        <v>0</v>
      </c>
      <c r="I6033" s="283">
        <v>0</v>
      </c>
      <c r="J6033" s="284">
        <v>1</v>
      </c>
    </row>
    <row r="6034" spans="3:10" x14ac:dyDescent="0.25">
      <c r="C6034" s="300" t="s">
        <v>1064</v>
      </c>
      <c r="D6034" s="283" t="s">
        <v>1077</v>
      </c>
      <c r="E6034" s="283" t="s">
        <v>1076</v>
      </c>
      <c r="F6034" s="283" t="s">
        <v>1075</v>
      </c>
      <c r="G6034" s="283">
        <v>2</v>
      </c>
      <c r="H6034" s="283">
        <v>0</v>
      </c>
      <c r="I6034" s="283">
        <v>0</v>
      </c>
      <c r="J6034" s="284">
        <v>0</v>
      </c>
    </row>
    <row r="6035" spans="3:10" x14ac:dyDescent="0.25">
      <c r="C6035" s="300" t="s">
        <v>1063</v>
      </c>
      <c r="D6035" s="283" t="s">
        <v>1087</v>
      </c>
      <c r="E6035" s="283" t="s">
        <v>1075</v>
      </c>
      <c r="F6035" s="283" t="s">
        <v>524</v>
      </c>
      <c r="G6035" s="283">
        <v>1</v>
      </c>
      <c r="H6035" s="283">
        <v>0</v>
      </c>
      <c r="I6035" s="283">
        <v>0</v>
      </c>
      <c r="J6035" s="284">
        <v>0</v>
      </c>
    </row>
    <row r="6036" spans="3:10" x14ac:dyDescent="0.25">
      <c r="C6036" s="300" t="s">
        <v>1060</v>
      </c>
      <c r="D6036" s="283" t="s">
        <v>1079</v>
      </c>
      <c r="E6036" s="283" t="s">
        <v>1075</v>
      </c>
      <c r="F6036" s="283" t="s">
        <v>1080</v>
      </c>
      <c r="G6036" s="283">
        <v>2</v>
      </c>
      <c r="H6036" s="283">
        <v>0</v>
      </c>
      <c r="I6036" s="283">
        <v>0</v>
      </c>
      <c r="J6036" s="284">
        <v>1</v>
      </c>
    </row>
    <row r="6037" spans="3:10" x14ac:dyDescent="0.25">
      <c r="C6037" s="300" t="s">
        <v>1064</v>
      </c>
      <c r="D6037" s="283" t="s">
        <v>1079</v>
      </c>
      <c r="E6037" s="283" t="s">
        <v>1075</v>
      </c>
      <c r="F6037" s="283" t="s">
        <v>1075</v>
      </c>
      <c r="G6037" s="283">
        <v>2</v>
      </c>
      <c r="H6037" s="283">
        <v>0</v>
      </c>
      <c r="I6037" s="283">
        <v>1</v>
      </c>
      <c r="J6037" s="284">
        <v>1</v>
      </c>
    </row>
    <row r="6038" spans="3:10" x14ac:dyDescent="0.25">
      <c r="C6038" s="300" t="s">
        <v>1065</v>
      </c>
      <c r="D6038" s="283" t="s">
        <v>1074</v>
      </c>
      <c r="E6038" s="283" t="s">
        <v>1089</v>
      </c>
      <c r="F6038" s="283" t="s">
        <v>1076</v>
      </c>
      <c r="G6038" s="283">
        <v>2</v>
      </c>
      <c r="H6038" s="283">
        <v>0</v>
      </c>
      <c r="I6038" s="283">
        <v>0</v>
      </c>
      <c r="J6038" s="284">
        <v>0</v>
      </c>
    </row>
    <row r="6039" spans="3:10" x14ac:dyDescent="0.25">
      <c r="C6039" s="300" t="s">
        <v>1065</v>
      </c>
      <c r="D6039" s="283" t="s">
        <v>1079</v>
      </c>
      <c r="E6039" s="283" t="s">
        <v>1075</v>
      </c>
      <c r="F6039" s="283" t="s">
        <v>1075</v>
      </c>
      <c r="G6039" s="283">
        <v>2</v>
      </c>
      <c r="H6039" s="283">
        <v>0</v>
      </c>
      <c r="I6039" s="283">
        <v>0</v>
      </c>
      <c r="J6039" s="284">
        <v>0</v>
      </c>
    </row>
    <row r="6040" spans="3:10" x14ac:dyDescent="0.25">
      <c r="C6040" s="300" t="s">
        <v>1066</v>
      </c>
      <c r="D6040" s="283" t="s">
        <v>1079</v>
      </c>
      <c r="E6040" s="283" t="s">
        <v>1078</v>
      </c>
      <c r="F6040" s="283" t="s">
        <v>1075</v>
      </c>
      <c r="G6040" s="283">
        <v>3</v>
      </c>
      <c r="H6040" s="283">
        <v>0</v>
      </c>
      <c r="I6040" s="283">
        <v>0</v>
      </c>
      <c r="J6040" s="284">
        <v>0</v>
      </c>
    </row>
    <row r="6041" spans="3:10" x14ac:dyDescent="0.25">
      <c r="C6041" s="300" t="s">
        <v>1063</v>
      </c>
      <c r="D6041" s="283" t="s">
        <v>1077</v>
      </c>
      <c r="E6041" s="283" t="s">
        <v>1075</v>
      </c>
      <c r="F6041" s="283" t="s">
        <v>1075</v>
      </c>
      <c r="G6041" s="283">
        <v>3</v>
      </c>
      <c r="H6041" s="283">
        <v>0</v>
      </c>
      <c r="I6041" s="283">
        <v>1</v>
      </c>
      <c r="J6041" s="284">
        <v>0</v>
      </c>
    </row>
    <row r="6042" spans="3:10" x14ac:dyDescent="0.25">
      <c r="C6042" s="300" t="s">
        <v>1064</v>
      </c>
      <c r="D6042" s="283" t="s">
        <v>1077</v>
      </c>
      <c r="E6042" s="283" t="s">
        <v>1075</v>
      </c>
      <c r="F6042" s="283" t="s">
        <v>1075</v>
      </c>
      <c r="G6042" s="283">
        <v>2</v>
      </c>
      <c r="H6042" s="283">
        <v>0</v>
      </c>
      <c r="I6042" s="283">
        <v>0</v>
      </c>
      <c r="J6042" s="284">
        <v>0</v>
      </c>
    </row>
    <row r="6043" spans="3:10" x14ac:dyDescent="0.25">
      <c r="C6043" s="300" t="s">
        <v>1065</v>
      </c>
      <c r="D6043" s="283" t="s">
        <v>1090</v>
      </c>
      <c r="E6043" s="283" t="s">
        <v>1083</v>
      </c>
      <c r="F6043" s="283" t="s">
        <v>524</v>
      </c>
      <c r="G6043" s="283">
        <v>1</v>
      </c>
      <c r="H6043" s="283">
        <v>0</v>
      </c>
      <c r="I6043" s="283">
        <v>0</v>
      </c>
      <c r="J6043" s="284">
        <v>0</v>
      </c>
    </row>
    <row r="6044" spans="3:10" x14ac:dyDescent="0.25">
      <c r="C6044" s="300" t="s">
        <v>1065</v>
      </c>
      <c r="D6044" s="283" t="s">
        <v>1079</v>
      </c>
      <c r="E6044" s="283" t="s">
        <v>1076</v>
      </c>
      <c r="F6044" s="283" t="s">
        <v>1075</v>
      </c>
      <c r="G6044" s="283">
        <v>2</v>
      </c>
      <c r="H6044" s="283">
        <v>0</v>
      </c>
      <c r="I6044" s="283">
        <v>0</v>
      </c>
      <c r="J6044" s="284">
        <v>0</v>
      </c>
    </row>
    <row r="6045" spans="3:10" x14ac:dyDescent="0.25">
      <c r="C6045" s="300" t="s">
        <v>1059</v>
      </c>
      <c r="D6045" s="283" t="s">
        <v>1074</v>
      </c>
      <c r="E6045" s="283" t="s">
        <v>1075</v>
      </c>
      <c r="F6045" s="283" t="s">
        <v>1076</v>
      </c>
      <c r="G6045" s="283">
        <v>2</v>
      </c>
      <c r="H6045" s="283">
        <v>0</v>
      </c>
      <c r="I6045" s="283">
        <v>0</v>
      </c>
      <c r="J6045" s="284">
        <v>0</v>
      </c>
    </row>
    <row r="6046" spans="3:10" x14ac:dyDescent="0.25">
      <c r="C6046" s="300" t="s">
        <v>1059</v>
      </c>
      <c r="D6046" s="283" t="s">
        <v>1079</v>
      </c>
      <c r="E6046" s="283" t="s">
        <v>1076</v>
      </c>
      <c r="F6046" s="283" t="s">
        <v>1075</v>
      </c>
      <c r="G6046" s="283">
        <v>3</v>
      </c>
      <c r="H6046" s="283">
        <v>0</v>
      </c>
      <c r="I6046" s="283">
        <v>0</v>
      </c>
      <c r="J6046" s="284">
        <v>0</v>
      </c>
    </row>
    <row r="6047" spans="3:10" x14ac:dyDescent="0.25">
      <c r="C6047" s="300" t="s">
        <v>1067</v>
      </c>
      <c r="D6047" s="283" t="s">
        <v>1079</v>
      </c>
      <c r="E6047" s="283" t="s">
        <v>1075</v>
      </c>
      <c r="F6047" s="283" t="s">
        <v>1093</v>
      </c>
      <c r="G6047" s="283">
        <v>2</v>
      </c>
      <c r="H6047" s="283">
        <v>0</v>
      </c>
      <c r="I6047" s="283">
        <v>0</v>
      </c>
      <c r="J6047" s="284">
        <v>1</v>
      </c>
    </row>
    <row r="6048" spans="3:10" x14ac:dyDescent="0.25">
      <c r="C6048" s="300" t="s">
        <v>1066</v>
      </c>
      <c r="D6048" s="283" t="s">
        <v>1090</v>
      </c>
      <c r="E6048" s="283" t="s">
        <v>1083</v>
      </c>
      <c r="F6048" s="283" t="s">
        <v>524</v>
      </c>
      <c r="G6048" s="283">
        <v>1</v>
      </c>
      <c r="H6048" s="283">
        <v>0</v>
      </c>
      <c r="I6048" s="283">
        <v>1</v>
      </c>
      <c r="J6048" s="284">
        <v>0</v>
      </c>
    </row>
    <row r="6049" spans="3:10" x14ac:dyDescent="0.25">
      <c r="C6049" s="300" t="s">
        <v>1059</v>
      </c>
      <c r="D6049" s="283" t="s">
        <v>1077</v>
      </c>
      <c r="E6049" s="283" t="s">
        <v>1075</v>
      </c>
      <c r="F6049" s="283" t="s">
        <v>1075</v>
      </c>
      <c r="G6049" s="283">
        <v>2</v>
      </c>
      <c r="H6049" s="283">
        <v>0</v>
      </c>
      <c r="I6049" s="283">
        <v>0</v>
      </c>
      <c r="J6049" s="284">
        <v>0</v>
      </c>
    </row>
    <row r="6050" spans="3:10" x14ac:dyDescent="0.25">
      <c r="C6050" s="300" t="s">
        <v>1065</v>
      </c>
      <c r="D6050" s="283" t="s">
        <v>1074</v>
      </c>
      <c r="E6050" s="283" t="s">
        <v>1075</v>
      </c>
      <c r="F6050" s="283" t="s">
        <v>1075</v>
      </c>
      <c r="G6050" s="283">
        <v>2</v>
      </c>
      <c r="H6050" s="283">
        <v>0</v>
      </c>
      <c r="I6050" s="283">
        <v>0</v>
      </c>
      <c r="J6050" s="284">
        <v>0</v>
      </c>
    </row>
    <row r="6051" spans="3:10" x14ac:dyDescent="0.25">
      <c r="C6051" s="300" t="s">
        <v>1062</v>
      </c>
      <c r="D6051" s="283" t="s">
        <v>1079</v>
      </c>
      <c r="E6051" s="283" t="s">
        <v>1076</v>
      </c>
      <c r="F6051" s="283" t="s">
        <v>1075</v>
      </c>
      <c r="G6051" s="283">
        <v>2</v>
      </c>
      <c r="H6051" s="283">
        <v>0</v>
      </c>
      <c r="I6051" s="283">
        <v>0</v>
      </c>
      <c r="J6051" s="284">
        <v>1</v>
      </c>
    </row>
    <row r="6052" spans="3:10" x14ac:dyDescent="0.25">
      <c r="C6052" s="300" t="s">
        <v>1064</v>
      </c>
      <c r="D6052" s="283" t="s">
        <v>1079</v>
      </c>
      <c r="E6052" s="283" t="s">
        <v>1075</v>
      </c>
      <c r="F6052" s="283" t="s">
        <v>1075</v>
      </c>
      <c r="G6052" s="283">
        <v>2</v>
      </c>
      <c r="H6052" s="283">
        <v>0</v>
      </c>
      <c r="I6052" s="283">
        <v>0</v>
      </c>
      <c r="J6052" s="284">
        <v>0</v>
      </c>
    </row>
    <row r="6053" spans="3:10" x14ac:dyDescent="0.25">
      <c r="C6053" s="300" t="s">
        <v>1060</v>
      </c>
      <c r="D6053" s="283" t="s">
        <v>1079</v>
      </c>
      <c r="E6053" s="283" t="s">
        <v>1075</v>
      </c>
      <c r="F6053" s="283" t="s">
        <v>1044</v>
      </c>
      <c r="G6053" s="283">
        <v>2</v>
      </c>
      <c r="H6053" s="283">
        <v>0</v>
      </c>
      <c r="I6053" s="283">
        <v>1</v>
      </c>
      <c r="J6053" s="284">
        <v>0</v>
      </c>
    </row>
    <row r="6054" spans="3:10" x14ac:dyDescent="0.25">
      <c r="C6054" s="300" t="s">
        <v>1067</v>
      </c>
      <c r="D6054" s="283" t="s">
        <v>1090</v>
      </c>
      <c r="E6054" s="283" t="s">
        <v>1084</v>
      </c>
      <c r="F6054" s="283" t="s">
        <v>524</v>
      </c>
      <c r="G6054" s="283">
        <v>1</v>
      </c>
      <c r="H6054" s="283">
        <v>0</v>
      </c>
      <c r="I6054" s="283">
        <v>0</v>
      </c>
      <c r="J6054" s="284">
        <v>0</v>
      </c>
    </row>
    <row r="6055" spans="3:10" x14ac:dyDescent="0.25">
      <c r="C6055" s="300" t="s">
        <v>1061</v>
      </c>
      <c r="D6055" s="283" t="s">
        <v>1077</v>
      </c>
      <c r="E6055" s="283" t="s">
        <v>1089</v>
      </c>
      <c r="F6055" s="283" t="s">
        <v>1089</v>
      </c>
      <c r="G6055" s="283">
        <v>3</v>
      </c>
      <c r="H6055" s="283">
        <v>0</v>
      </c>
      <c r="I6055" s="283">
        <v>0</v>
      </c>
      <c r="J6055" s="284">
        <v>0</v>
      </c>
    </row>
    <row r="6056" spans="3:10" x14ac:dyDescent="0.25">
      <c r="C6056" s="300" t="s">
        <v>1065</v>
      </c>
      <c r="D6056" s="283" t="s">
        <v>1077</v>
      </c>
      <c r="E6056" s="283" t="s">
        <v>1076</v>
      </c>
      <c r="F6056" s="283" t="s">
        <v>1078</v>
      </c>
      <c r="G6056" s="283">
        <v>2</v>
      </c>
      <c r="H6056" s="283">
        <v>0</v>
      </c>
      <c r="I6056" s="283">
        <v>0</v>
      </c>
      <c r="J6056" s="284">
        <v>0</v>
      </c>
    </row>
    <row r="6057" spans="3:10" x14ac:dyDescent="0.25">
      <c r="C6057" s="300" t="s">
        <v>1060</v>
      </c>
      <c r="D6057" s="283" t="s">
        <v>1074</v>
      </c>
      <c r="E6057" s="283" t="s">
        <v>1078</v>
      </c>
      <c r="F6057" s="283" t="s">
        <v>1083</v>
      </c>
      <c r="G6057" s="283">
        <v>3</v>
      </c>
      <c r="H6057" s="283">
        <v>0</v>
      </c>
      <c r="I6057" s="283">
        <v>0</v>
      </c>
      <c r="J6057" s="284">
        <v>0</v>
      </c>
    </row>
    <row r="6058" spans="3:10" x14ac:dyDescent="0.25">
      <c r="C6058" s="300" t="s">
        <v>1062</v>
      </c>
      <c r="D6058" s="283" t="s">
        <v>1087</v>
      </c>
      <c r="E6058" s="283" t="s">
        <v>1075</v>
      </c>
      <c r="F6058" s="283" t="s">
        <v>524</v>
      </c>
      <c r="G6058" s="283">
        <v>1</v>
      </c>
      <c r="H6058" s="283">
        <v>0</v>
      </c>
      <c r="I6058" s="283">
        <v>0</v>
      </c>
      <c r="J6058" s="284">
        <v>1</v>
      </c>
    </row>
    <row r="6059" spans="3:10" x14ac:dyDescent="0.25">
      <c r="C6059" s="300" t="s">
        <v>1063</v>
      </c>
      <c r="D6059" s="283" t="s">
        <v>1082</v>
      </c>
      <c r="E6059" s="283" t="s">
        <v>1089</v>
      </c>
      <c r="F6059" s="283" t="s">
        <v>1080</v>
      </c>
      <c r="G6059" s="283">
        <v>2</v>
      </c>
      <c r="H6059" s="283">
        <v>0</v>
      </c>
      <c r="I6059" s="283">
        <v>0</v>
      </c>
      <c r="J6059" s="284">
        <v>1</v>
      </c>
    </row>
    <row r="6060" spans="3:10" x14ac:dyDescent="0.25">
      <c r="C6060" s="300" t="s">
        <v>1065</v>
      </c>
      <c r="D6060" s="283" t="s">
        <v>1074</v>
      </c>
      <c r="E6060" s="283" t="s">
        <v>1075</v>
      </c>
      <c r="F6060" s="283" t="s">
        <v>1075</v>
      </c>
      <c r="G6060" s="283">
        <v>2</v>
      </c>
      <c r="H6060" s="283">
        <v>0</v>
      </c>
      <c r="I6060" s="283">
        <v>0</v>
      </c>
      <c r="J6060" s="284">
        <v>1</v>
      </c>
    </row>
    <row r="6061" spans="3:10" x14ac:dyDescent="0.25">
      <c r="C6061" s="300" t="s">
        <v>1061</v>
      </c>
      <c r="D6061" s="283" t="s">
        <v>1079</v>
      </c>
      <c r="E6061" s="283" t="s">
        <v>1075</v>
      </c>
      <c r="F6061" s="283" t="s">
        <v>1075</v>
      </c>
      <c r="G6061" s="283">
        <v>2</v>
      </c>
      <c r="H6061" s="283">
        <v>0</v>
      </c>
      <c r="I6061" s="283">
        <v>0</v>
      </c>
      <c r="J6061" s="284">
        <v>0</v>
      </c>
    </row>
    <row r="6062" spans="3:10" x14ac:dyDescent="0.25">
      <c r="C6062" s="300" t="s">
        <v>1065</v>
      </c>
      <c r="D6062" s="283" t="s">
        <v>1079</v>
      </c>
      <c r="E6062" s="283" t="s">
        <v>1083</v>
      </c>
      <c r="F6062" s="283" t="s">
        <v>1089</v>
      </c>
      <c r="G6062" s="283">
        <v>2</v>
      </c>
      <c r="H6062" s="283">
        <v>0</v>
      </c>
      <c r="I6062" s="283">
        <v>0</v>
      </c>
      <c r="J6062" s="284">
        <v>0</v>
      </c>
    </row>
    <row r="6063" spans="3:10" x14ac:dyDescent="0.25">
      <c r="C6063" s="300" t="s">
        <v>1061</v>
      </c>
      <c r="D6063" s="283" t="s">
        <v>1043</v>
      </c>
      <c r="E6063" s="283" t="s">
        <v>1078</v>
      </c>
      <c r="F6063" s="283" t="s">
        <v>1092</v>
      </c>
      <c r="G6063" s="283">
        <v>2</v>
      </c>
      <c r="H6063" s="283">
        <v>0</v>
      </c>
      <c r="I6063" s="283">
        <v>0</v>
      </c>
      <c r="J6063" s="284">
        <v>0</v>
      </c>
    </row>
    <row r="6064" spans="3:10" x14ac:dyDescent="0.25">
      <c r="C6064" s="300" t="s">
        <v>1061</v>
      </c>
      <c r="D6064" s="283" t="s">
        <v>1079</v>
      </c>
      <c r="E6064" s="283" t="s">
        <v>1089</v>
      </c>
      <c r="F6064" s="283" t="s">
        <v>1089</v>
      </c>
      <c r="G6064" s="283">
        <v>2</v>
      </c>
      <c r="H6064" s="283">
        <v>0</v>
      </c>
      <c r="I6064" s="283">
        <v>0</v>
      </c>
      <c r="J6064" s="284">
        <v>0</v>
      </c>
    </row>
    <row r="6065" spans="3:10" x14ac:dyDescent="0.25">
      <c r="C6065" s="300" t="s">
        <v>1062</v>
      </c>
      <c r="D6065" s="283" t="s">
        <v>1074</v>
      </c>
      <c r="E6065" s="283" t="s">
        <v>1075</v>
      </c>
      <c r="F6065" s="283" t="s">
        <v>1089</v>
      </c>
      <c r="G6065" s="283">
        <v>2</v>
      </c>
      <c r="H6065" s="283">
        <v>0</v>
      </c>
      <c r="I6065" s="283">
        <v>0</v>
      </c>
      <c r="J6065" s="284">
        <v>0</v>
      </c>
    </row>
    <row r="6066" spans="3:10" x14ac:dyDescent="0.25">
      <c r="C6066" s="300" t="s">
        <v>1067</v>
      </c>
      <c r="D6066" s="283" t="s">
        <v>1077</v>
      </c>
      <c r="E6066" s="283" t="s">
        <v>1089</v>
      </c>
      <c r="F6066" s="283" t="s">
        <v>1089</v>
      </c>
      <c r="G6066" s="283">
        <v>2</v>
      </c>
      <c r="H6066" s="283">
        <v>0</v>
      </c>
      <c r="I6066" s="283">
        <v>0</v>
      </c>
      <c r="J6066" s="284">
        <v>1</v>
      </c>
    </row>
    <row r="6067" spans="3:10" x14ac:dyDescent="0.25">
      <c r="C6067" s="300" t="s">
        <v>1061</v>
      </c>
      <c r="D6067" s="283" t="s">
        <v>1074</v>
      </c>
      <c r="E6067" s="283" t="s">
        <v>1089</v>
      </c>
      <c r="F6067" s="283" t="s">
        <v>1089</v>
      </c>
      <c r="G6067" s="283">
        <v>2</v>
      </c>
      <c r="H6067" s="283">
        <v>0</v>
      </c>
      <c r="I6067" s="283">
        <v>0</v>
      </c>
      <c r="J6067" s="284">
        <v>0</v>
      </c>
    </row>
    <row r="6068" spans="3:10" x14ac:dyDescent="0.25">
      <c r="C6068" s="300" t="s">
        <v>1065</v>
      </c>
      <c r="D6068" s="283" t="s">
        <v>1077</v>
      </c>
      <c r="E6068" s="283" t="s">
        <v>1086</v>
      </c>
      <c r="F6068" s="283" t="s">
        <v>1075</v>
      </c>
      <c r="G6068" s="283">
        <v>3</v>
      </c>
      <c r="H6068" s="283">
        <v>0</v>
      </c>
      <c r="I6068" s="283">
        <v>0</v>
      </c>
      <c r="J6068" s="284">
        <v>1</v>
      </c>
    </row>
    <row r="6069" spans="3:10" x14ac:dyDescent="0.25">
      <c r="C6069" s="300" t="s">
        <v>1065</v>
      </c>
      <c r="D6069" s="283" t="s">
        <v>1077</v>
      </c>
      <c r="E6069" s="283" t="s">
        <v>1075</v>
      </c>
      <c r="F6069" s="283" t="s">
        <v>1075</v>
      </c>
      <c r="G6069" s="283">
        <v>2</v>
      </c>
      <c r="H6069" s="283">
        <v>0</v>
      </c>
      <c r="I6069" s="283">
        <v>0</v>
      </c>
      <c r="J6069" s="284">
        <v>1</v>
      </c>
    </row>
    <row r="6070" spans="3:10" x14ac:dyDescent="0.25">
      <c r="C6070" s="300" t="s">
        <v>1064</v>
      </c>
      <c r="D6070" s="283" t="s">
        <v>1079</v>
      </c>
      <c r="E6070" s="283" t="s">
        <v>1075</v>
      </c>
      <c r="F6070" s="283" t="s">
        <v>1081</v>
      </c>
      <c r="G6070" s="283">
        <v>2</v>
      </c>
      <c r="H6070" s="283">
        <v>0</v>
      </c>
      <c r="I6070" s="283">
        <v>0</v>
      </c>
      <c r="J6070" s="284">
        <v>1</v>
      </c>
    </row>
    <row r="6071" spans="3:10" x14ac:dyDescent="0.25">
      <c r="C6071" s="300" t="s">
        <v>1066</v>
      </c>
      <c r="D6071" s="283" t="s">
        <v>1079</v>
      </c>
      <c r="E6071" s="283" t="s">
        <v>1075</v>
      </c>
      <c r="F6071" s="283" t="s">
        <v>1075</v>
      </c>
      <c r="G6071" s="283">
        <v>2</v>
      </c>
      <c r="H6071" s="283">
        <v>0</v>
      </c>
      <c r="I6071" s="283">
        <v>0</v>
      </c>
      <c r="J6071" s="284">
        <v>1</v>
      </c>
    </row>
    <row r="6072" spans="3:10" x14ac:dyDescent="0.25">
      <c r="C6072" s="300" t="s">
        <v>1061</v>
      </c>
      <c r="D6072" s="283" t="s">
        <v>1087</v>
      </c>
      <c r="E6072" s="283" t="s">
        <v>1075</v>
      </c>
      <c r="F6072" s="283" t="s">
        <v>524</v>
      </c>
      <c r="G6072" s="283">
        <v>1</v>
      </c>
      <c r="H6072" s="283">
        <v>0</v>
      </c>
      <c r="I6072" s="283">
        <v>0</v>
      </c>
      <c r="J6072" s="284">
        <v>1</v>
      </c>
    </row>
    <row r="6073" spans="3:10" x14ac:dyDescent="0.25">
      <c r="C6073" s="300" t="s">
        <v>1062</v>
      </c>
      <c r="D6073" s="283" t="s">
        <v>1077</v>
      </c>
      <c r="E6073" s="283" t="s">
        <v>1084</v>
      </c>
      <c r="F6073" s="283" t="s">
        <v>1075</v>
      </c>
      <c r="G6073" s="283">
        <v>3</v>
      </c>
      <c r="H6073" s="283">
        <v>0</v>
      </c>
      <c r="I6073" s="283">
        <v>0</v>
      </c>
      <c r="J6073" s="284">
        <v>0</v>
      </c>
    </row>
    <row r="6074" spans="3:10" x14ac:dyDescent="0.25">
      <c r="C6074" s="300" t="s">
        <v>1064</v>
      </c>
      <c r="D6074" s="283" t="s">
        <v>1074</v>
      </c>
      <c r="E6074" s="283" t="s">
        <v>1089</v>
      </c>
      <c r="F6074" s="283" t="s">
        <v>1089</v>
      </c>
      <c r="G6074" s="283">
        <v>2</v>
      </c>
      <c r="H6074" s="283">
        <v>0</v>
      </c>
      <c r="I6074" s="283">
        <v>0</v>
      </c>
      <c r="J6074" s="284">
        <v>0</v>
      </c>
    </row>
    <row r="6075" spans="3:10" x14ac:dyDescent="0.25">
      <c r="C6075" s="300" t="s">
        <v>1062</v>
      </c>
      <c r="D6075" s="283" t="s">
        <v>1077</v>
      </c>
      <c r="E6075" s="283" t="s">
        <v>1075</v>
      </c>
      <c r="F6075" s="283" t="s">
        <v>1089</v>
      </c>
      <c r="G6075" s="283">
        <v>2</v>
      </c>
      <c r="H6075" s="283">
        <v>0</v>
      </c>
      <c r="I6075" s="283">
        <v>0</v>
      </c>
      <c r="J6075" s="284">
        <v>0</v>
      </c>
    </row>
    <row r="6076" spans="3:10" x14ac:dyDescent="0.25">
      <c r="C6076" s="300" t="s">
        <v>1060</v>
      </c>
      <c r="D6076" s="283" t="s">
        <v>1074</v>
      </c>
      <c r="E6076" s="283" t="s">
        <v>1075</v>
      </c>
      <c r="F6076" s="283" t="s">
        <v>1075</v>
      </c>
      <c r="G6076" s="283">
        <v>3</v>
      </c>
      <c r="H6076" s="283">
        <v>0</v>
      </c>
      <c r="I6076" s="283">
        <v>0</v>
      </c>
      <c r="J6076" s="284">
        <v>0</v>
      </c>
    </row>
    <row r="6077" spans="3:10" x14ac:dyDescent="0.25">
      <c r="C6077" s="300" t="s">
        <v>1062</v>
      </c>
      <c r="D6077" s="283" t="s">
        <v>1087</v>
      </c>
      <c r="E6077" s="283" t="s">
        <v>1089</v>
      </c>
      <c r="F6077" s="283" t="s">
        <v>524</v>
      </c>
      <c r="G6077" s="283">
        <v>1</v>
      </c>
      <c r="H6077" s="283">
        <v>0</v>
      </c>
      <c r="I6077" s="283">
        <v>0</v>
      </c>
      <c r="J6077" s="284">
        <v>0</v>
      </c>
    </row>
    <row r="6078" spans="3:10" x14ac:dyDescent="0.25">
      <c r="C6078" s="300" t="s">
        <v>1068</v>
      </c>
      <c r="D6078" s="283" t="s">
        <v>1079</v>
      </c>
      <c r="E6078" s="283" t="s">
        <v>1075</v>
      </c>
      <c r="F6078" s="283" t="s">
        <v>1075</v>
      </c>
      <c r="G6078" s="283">
        <v>3</v>
      </c>
      <c r="H6078" s="283">
        <v>0</v>
      </c>
      <c r="I6078" s="283">
        <v>0</v>
      </c>
      <c r="J6078" s="284">
        <v>0</v>
      </c>
    </row>
    <row r="6079" spans="3:10" x14ac:dyDescent="0.25">
      <c r="C6079" s="300" t="s">
        <v>1063</v>
      </c>
      <c r="D6079" s="283" t="s">
        <v>1079</v>
      </c>
      <c r="E6079" s="283" t="s">
        <v>1075</v>
      </c>
      <c r="F6079" s="283" t="s">
        <v>1076</v>
      </c>
      <c r="G6079" s="283">
        <v>2</v>
      </c>
      <c r="H6079" s="283">
        <v>0</v>
      </c>
      <c r="I6079" s="283">
        <v>1</v>
      </c>
      <c r="J6079" s="284">
        <v>0</v>
      </c>
    </row>
    <row r="6080" spans="3:10" x14ac:dyDescent="0.25">
      <c r="C6080" s="300" t="s">
        <v>1065</v>
      </c>
      <c r="D6080" s="283" t="s">
        <v>1079</v>
      </c>
      <c r="E6080" s="283" t="s">
        <v>1083</v>
      </c>
      <c r="F6080" s="283" t="s">
        <v>1076</v>
      </c>
      <c r="G6080" s="283">
        <v>2</v>
      </c>
      <c r="H6080" s="283">
        <v>0</v>
      </c>
      <c r="I6080" s="283">
        <v>1</v>
      </c>
      <c r="J6080" s="284">
        <v>0</v>
      </c>
    </row>
    <row r="6081" spans="3:10" x14ac:dyDescent="0.25">
      <c r="C6081" s="300" t="s">
        <v>1065</v>
      </c>
      <c r="D6081" s="283" t="s">
        <v>1079</v>
      </c>
      <c r="E6081" s="283" t="s">
        <v>1078</v>
      </c>
      <c r="F6081" s="283" t="s">
        <v>1075</v>
      </c>
      <c r="G6081" s="283">
        <v>2</v>
      </c>
      <c r="H6081" s="283">
        <v>0</v>
      </c>
      <c r="I6081" s="283">
        <v>0</v>
      </c>
      <c r="J6081" s="284">
        <v>0</v>
      </c>
    </row>
    <row r="6082" spans="3:10" x14ac:dyDescent="0.25">
      <c r="C6082" s="300" t="s">
        <v>1062</v>
      </c>
      <c r="D6082" s="283" t="s">
        <v>1077</v>
      </c>
      <c r="E6082" s="283" t="s">
        <v>1089</v>
      </c>
      <c r="F6082" s="283" t="s">
        <v>1076</v>
      </c>
      <c r="G6082" s="283">
        <v>3</v>
      </c>
      <c r="H6082" s="283">
        <v>0</v>
      </c>
      <c r="I6082" s="283">
        <v>0</v>
      </c>
      <c r="J6082" s="284">
        <v>1</v>
      </c>
    </row>
    <row r="6083" spans="3:10" x14ac:dyDescent="0.25">
      <c r="C6083" s="300" t="s">
        <v>1063</v>
      </c>
      <c r="D6083" s="283" t="s">
        <v>1079</v>
      </c>
      <c r="E6083" s="283" t="s">
        <v>1076</v>
      </c>
      <c r="F6083" s="283" t="s">
        <v>1076</v>
      </c>
      <c r="G6083" s="283">
        <v>3</v>
      </c>
      <c r="H6083" s="283">
        <v>0</v>
      </c>
      <c r="I6083" s="283">
        <v>0</v>
      </c>
      <c r="J6083" s="284">
        <v>0</v>
      </c>
    </row>
    <row r="6084" spans="3:10" x14ac:dyDescent="0.25">
      <c r="C6084" s="300" t="s">
        <v>1063</v>
      </c>
      <c r="D6084" s="283" t="s">
        <v>1079</v>
      </c>
      <c r="E6084" s="283" t="s">
        <v>1089</v>
      </c>
      <c r="F6084" s="283" t="s">
        <v>1093</v>
      </c>
      <c r="G6084" s="283">
        <v>2</v>
      </c>
      <c r="H6084" s="283">
        <v>0</v>
      </c>
      <c r="I6084" s="283">
        <v>0</v>
      </c>
      <c r="J6084" s="284">
        <v>1</v>
      </c>
    </row>
    <row r="6085" spans="3:10" x14ac:dyDescent="0.25">
      <c r="C6085" s="300" t="s">
        <v>1065</v>
      </c>
      <c r="D6085" s="283" t="s">
        <v>1077</v>
      </c>
      <c r="E6085" s="283" t="s">
        <v>1086</v>
      </c>
      <c r="F6085" s="283" t="s">
        <v>1075</v>
      </c>
      <c r="G6085" s="283">
        <v>2</v>
      </c>
      <c r="H6085" s="283">
        <v>0</v>
      </c>
      <c r="I6085" s="283">
        <v>0</v>
      </c>
      <c r="J6085" s="284">
        <v>0</v>
      </c>
    </row>
    <row r="6086" spans="3:10" x14ac:dyDescent="0.25">
      <c r="C6086" s="300" t="s">
        <v>1063</v>
      </c>
      <c r="D6086" s="283" t="s">
        <v>1077</v>
      </c>
      <c r="E6086" s="283" t="s">
        <v>1084</v>
      </c>
      <c r="F6086" s="283" t="s">
        <v>1089</v>
      </c>
      <c r="G6086" s="283">
        <v>2</v>
      </c>
      <c r="H6086" s="283">
        <v>0</v>
      </c>
      <c r="I6086" s="283">
        <v>1</v>
      </c>
      <c r="J6086" s="284">
        <v>1</v>
      </c>
    </row>
    <row r="6087" spans="3:10" x14ac:dyDescent="0.25">
      <c r="C6087" s="300" t="s">
        <v>1063</v>
      </c>
      <c r="D6087" s="283" t="s">
        <v>1074</v>
      </c>
      <c r="E6087" s="283" t="s">
        <v>1081</v>
      </c>
      <c r="F6087" s="283" t="s">
        <v>1075</v>
      </c>
      <c r="G6087" s="283">
        <v>2</v>
      </c>
      <c r="H6087" s="283">
        <v>0</v>
      </c>
      <c r="I6087" s="283">
        <v>0</v>
      </c>
      <c r="J6087" s="284">
        <v>0</v>
      </c>
    </row>
    <row r="6088" spans="3:10" x14ac:dyDescent="0.25">
      <c r="C6088" s="300" t="s">
        <v>1065</v>
      </c>
      <c r="D6088" s="283" t="s">
        <v>1077</v>
      </c>
      <c r="E6088" s="283" t="s">
        <v>1075</v>
      </c>
      <c r="F6088" s="283" t="s">
        <v>1075</v>
      </c>
      <c r="G6088" s="283">
        <v>2</v>
      </c>
      <c r="H6088" s="283">
        <v>0</v>
      </c>
      <c r="I6088" s="283">
        <v>0</v>
      </c>
      <c r="J6088" s="284">
        <v>0</v>
      </c>
    </row>
    <row r="6089" spans="3:10" x14ac:dyDescent="0.25">
      <c r="C6089" s="300" t="s">
        <v>1060</v>
      </c>
      <c r="D6089" s="283" t="s">
        <v>1079</v>
      </c>
      <c r="E6089" s="283" t="s">
        <v>1075</v>
      </c>
      <c r="F6089" s="283" t="s">
        <v>1075</v>
      </c>
      <c r="G6089" s="283">
        <v>3</v>
      </c>
      <c r="H6089" s="283">
        <v>0</v>
      </c>
      <c r="I6089" s="283">
        <v>0</v>
      </c>
      <c r="J6089" s="284">
        <v>0</v>
      </c>
    </row>
    <row r="6090" spans="3:10" x14ac:dyDescent="0.25">
      <c r="C6090" s="300" t="s">
        <v>1066</v>
      </c>
      <c r="D6090" s="283" t="s">
        <v>1079</v>
      </c>
      <c r="E6090" s="283" t="s">
        <v>1075</v>
      </c>
      <c r="F6090" s="283" t="s">
        <v>1075</v>
      </c>
      <c r="G6090" s="283">
        <v>3</v>
      </c>
      <c r="H6090" s="283">
        <v>0</v>
      </c>
      <c r="I6090" s="283">
        <v>0</v>
      </c>
      <c r="J6090" s="284">
        <v>0</v>
      </c>
    </row>
    <row r="6091" spans="3:10" x14ac:dyDescent="0.25">
      <c r="C6091" s="300" t="s">
        <v>1066</v>
      </c>
      <c r="D6091" s="283" t="s">
        <v>1082</v>
      </c>
      <c r="E6091" s="283" t="s">
        <v>1075</v>
      </c>
      <c r="F6091" s="283" t="s">
        <v>1078</v>
      </c>
      <c r="G6091" s="283">
        <v>2</v>
      </c>
      <c r="H6091" s="283">
        <v>0</v>
      </c>
      <c r="I6091" s="283">
        <v>0</v>
      </c>
      <c r="J6091" s="284">
        <v>0</v>
      </c>
    </row>
    <row r="6092" spans="3:10" x14ac:dyDescent="0.25">
      <c r="C6092" s="300" t="s">
        <v>1061</v>
      </c>
      <c r="D6092" s="283" t="s">
        <v>1077</v>
      </c>
      <c r="E6092" s="283" t="s">
        <v>1080</v>
      </c>
      <c r="F6092" s="283" t="s">
        <v>1075</v>
      </c>
      <c r="G6092" s="283">
        <v>6</v>
      </c>
      <c r="H6092" s="283">
        <v>0</v>
      </c>
      <c r="I6092" s="283">
        <v>0</v>
      </c>
      <c r="J6092" s="284">
        <v>0</v>
      </c>
    </row>
    <row r="6093" spans="3:10" x14ac:dyDescent="0.25">
      <c r="C6093" s="300" t="s">
        <v>1064</v>
      </c>
      <c r="D6093" s="283" t="s">
        <v>1079</v>
      </c>
      <c r="E6093" s="283" t="s">
        <v>1044</v>
      </c>
      <c r="F6093" s="283" t="s">
        <v>1075</v>
      </c>
      <c r="G6093" s="283">
        <v>2</v>
      </c>
      <c r="H6093" s="283">
        <v>0</v>
      </c>
      <c r="I6093" s="283">
        <v>0</v>
      </c>
      <c r="J6093" s="284">
        <v>1</v>
      </c>
    </row>
    <row r="6094" spans="3:10" x14ac:dyDescent="0.25">
      <c r="C6094" s="300" t="s">
        <v>1064</v>
      </c>
      <c r="D6094" s="283" t="s">
        <v>1074</v>
      </c>
      <c r="E6094" s="283" t="s">
        <v>1075</v>
      </c>
      <c r="F6094" s="283" t="s">
        <v>1078</v>
      </c>
      <c r="G6094" s="283">
        <v>2</v>
      </c>
      <c r="H6094" s="283">
        <v>0</v>
      </c>
      <c r="I6094" s="283">
        <v>0</v>
      </c>
      <c r="J6094" s="284">
        <v>0</v>
      </c>
    </row>
    <row r="6095" spans="3:10" x14ac:dyDescent="0.25">
      <c r="C6095" s="300" t="s">
        <v>1061</v>
      </c>
      <c r="D6095" s="283" t="s">
        <v>1087</v>
      </c>
      <c r="E6095" s="283" t="s">
        <v>1075</v>
      </c>
      <c r="F6095" s="283" t="s">
        <v>524</v>
      </c>
      <c r="G6095" s="283">
        <v>1</v>
      </c>
      <c r="H6095" s="283">
        <v>0</v>
      </c>
      <c r="I6095" s="283">
        <v>0</v>
      </c>
      <c r="J6095" s="284">
        <v>1</v>
      </c>
    </row>
    <row r="6096" spans="3:10" x14ac:dyDescent="0.25">
      <c r="C6096" s="300" t="s">
        <v>1061</v>
      </c>
      <c r="D6096" s="283" t="s">
        <v>1087</v>
      </c>
      <c r="E6096" s="283" t="s">
        <v>1085</v>
      </c>
      <c r="F6096" s="283" t="s">
        <v>524</v>
      </c>
      <c r="G6096" s="283">
        <v>1</v>
      </c>
      <c r="H6096" s="283">
        <v>0</v>
      </c>
      <c r="I6096" s="283">
        <v>0</v>
      </c>
      <c r="J6096" s="284">
        <v>0</v>
      </c>
    </row>
    <row r="6097" spans="3:10" x14ac:dyDescent="0.25">
      <c r="C6097" s="300" t="s">
        <v>1060</v>
      </c>
      <c r="D6097" s="283" t="s">
        <v>1077</v>
      </c>
      <c r="E6097" s="283" t="s">
        <v>1089</v>
      </c>
      <c r="F6097" s="283" t="s">
        <v>1075</v>
      </c>
      <c r="G6097" s="283">
        <v>2</v>
      </c>
      <c r="H6097" s="283">
        <v>0</v>
      </c>
      <c r="I6097" s="283">
        <v>0</v>
      </c>
      <c r="J6097" s="284">
        <v>0</v>
      </c>
    </row>
    <row r="6098" spans="3:10" x14ac:dyDescent="0.25">
      <c r="C6098" s="300" t="s">
        <v>1065</v>
      </c>
      <c r="D6098" s="283" t="s">
        <v>1077</v>
      </c>
      <c r="E6098" s="283" t="s">
        <v>1076</v>
      </c>
      <c r="F6098" s="283" t="s">
        <v>1089</v>
      </c>
      <c r="G6098" s="283">
        <v>2</v>
      </c>
      <c r="H6098" s="283">
        <v>0</v>
      </c>
      <c r="I6098" s="283">
        <v>0</v>
      </c>
      <c r="J6098" s="284">
        <v>0</v>
      </c>
    </row>
    <row r="6099" spans="3:10" x14ac:dyDescent="0.25">
      <c r="C6099" s="300" t="s">
        <v>1057</v>
      </c>
      <c r="D6099" s="283" t="s">
        <v>1079</v>
      </c>
      <c r="E6099" s="283" t="s">
        <v>1089</v>
      </c>
      <c r="F6099" s="283" t="s">
        <v>1075</v>
      </c>
      <c r="G6099" s="283">
        <v>2</v>
      </c>
      <c r="H6099" s="283">
        <v>0</v>
      </c>
      <c r="I6099" s="283">
        <v>0</v>
      </c>
      <c r="J6099" s="284">
        <v>0</v>
      </c>
    </row>
    <row r="6100" spans="3:10" x14ac:dyDescent="0.25">
      <c r="C6100" s="300" t="s">
        <v>1063</v>
      </c>
      <c r="D6100" s="283" t="s">
        <v>1074</v>
      </c>
      <c r="E6100" s="283" t="s">
        <v>1075</v>
      </c>
      <c r="F6100" s="283" t="s">
        <v>1075</v>
      </c>
      <c r="G6100" s="283">
        <v>3</v>
      </c>
      <c r="H6100" s="283">
        <v>0</v>
      </c>
      <c r="I6100" s="283">
        <v>0</v>
      </c>
      <c r="J6100" s="284">
        <v>1</v>
      </c>
    </row>
    <row r="6101" spans="3:10" x14ac:dyDescent="0.25">
      <c r="C6101" s="300" t="s">
        <v>1065</v>
      </c>
      <c r="D6101" s="283" t="s">
        <v>1077</v>
      </c>
      <c r="E6101" s="283" t="s">
        <v>1083</v>
      </c>
      <c r="F6101" s="283" t="s">
        <v>1075</v>
      </c>
      <c r="G6101" s="283">
        <v>2</v>
      </c>
      <c r="H6101" s="283">
        <v>0</v>
      </c>
      <c r="I6101" s="283">
        <v>0</v>
      </c>
      <c r="J6101" s="284">
        <v>0</v>
      </c>
    </row>
    <row r="6102" spans="3:10" x14ac:dyDescent="0.25">
      <c r="C6102" s="300" t="s">
        <v>1061</v>
      </c>
      <c r="D6102" s="283" t="s">
        <v>1087</v>
      </c>
      <c r="E6102" s="283" t="s">
        <v>1075</v>
      </c>
      <c r="F6102" s="283" t="s">
        <v>524</v>
      </c>
      <c r="G6102" s="283">
        <v>1</v>
      </c>
      <c r="H6102" s="283">
        <v>0</v>
      </c>
      <c r="I6102" s="283">
        <v>0</v>
      </c>
      <c r="J6102" s="284">
        <v>1</v>
      </c>
    </row>
    <row r="6103" spans="3:10" x14ac:dyDescent="0.25">
      <c r="C6103" s="300" t="s">
        <v>1064</v>
      </c>
      <c r="D6103" s="283" t="s">
        <v>1079</v>
      </c>
      <c r="E6103" s="283" t="s">
        <v>1075</v>
      </c>
      <c r="F6103" s="283" t="s">
        <v>1075</v>
      </c>
      <c r="G6103" s="283">
        <v>2</v>
      </c>
      <c r="H6103" s="283">
        <v>0</v>
      </c>
      <c r="I6103" s="283">
        <v>0</v>
      </c>
      <c r="J6103" s="284">
        <v>0</v>
      </c>
    </row>
    <row r="6104" spans="3:10" x14ac:dyDescent="0.25">
      <c r="C6104" s="300" t="s">
        <v>1064</v>
      </c>
      <c r="D6104" s="283" t="s">
        <v>1090</v>
      </c>
      <c r="E6104" s="283" t="s">
        <v>1083</v>
      </c>
      <c r="F6104" s="283" t="s">
        <v>524</v>
      </c>
      <c r="G6104" s="283">
        <v>1</v>
      </c>
      <c r="H6104" s="283">
        <v>0</v>
      </c>
      <c r="I6104" s="283">
        <v>1</v>
      </c>
      <c r="J6104" s="284">
        <v>0</v>
      </c>
    </row>
    <row r="6105" spans="3:10" x14ac:dyDescent="0.25">
      <c r="C6105" s="300" t="s">
        <v>1064</v>
      </c>
      <c r="D6105" s="283" t="s">
        <v>1079</v>
      </c>
      <c r="E6105" s="283" t="s">
        <v>1044</v>
      </c>
      <c r="F6105" s="283" t="s">
        <v>1086</v>
      </c>
      <c r="G6105" s="283">
        <v>3</v>
      </c>
      <c r="H6105" s="283">
        <v>0</v>
      </c>
      <c r="I6105" s="283">
        <v>0</v>
      </c>
      <c r="J6105" s="284">
        <v>1</v>
      </c>
    </row>
    <row r="6106" spans="3:10" x14ac:dyDescent="0.25">
      <c r="C6106" s="300" t="s">
        <v>1067</v>
      </c>
      <c r="D6106" s="283" t="s">
        <v>1077</v>
      </c>
      <c r="E6106" s="283" t="s">
        <v>1075</v>
      </c>
      <c r="F6106" s="283" t="s">
        <v>1089</v>
      </c>
      <c r="G6106" s="283">
        <v>3</v>
      </c>
      <c r="H6106" s="283">
        <v>0</v>
      </c>
      <c r="I6106" s="283">
        <v>0</v>
      </c>
      <c r="J6106" s="284">
        <v>1</v>
      </c>
    </row>
    <row r="6107" spans="3:10" x14ac:dyDescent="0.25">
      <c r="C6107" s="300" t="s">
        <v>1063</v>
      </c>
      <c r="D6107" s="283" t="s">
        <v>1087</v>
      </c>
      <c r="E6107" s="283" t="s">
        <v>1083</v>
      </c>
      <c r="F6107" s="283" t="s">
        <v>524</v>
      </c>
      <c r="G6107" s="283">
        <v>1</v>
      </c>
      <c r="H6107" s="283">
        <v>0</v>
      </c>
      <c r="I6107" s="283">
        <v>1</v>
      </c>
      <c r="J6107" s="284">
        <v>0</v>
      </c>
    </row>
    <row r="6108" spans="3:10" x14ac:dyDescent="0.25">
      <c r="C6108" s="300" t="s">
        <v>1064</v>
      </c>
      <c r="D6108" s="283" t="s">
        <v>1079</v>
      </c>
      <c r="E6108" s="283" t="s">
        <v>1075</v>
      </c>
      <c r="F6108" s="283" t="s">
        <v>1075</v>
      </c>
      <c r="G6108" s="283">
        <v>2</v>
      </c>
      <c r="H6108" s="283">
        <v>0</v>
      </c>
      <c r="I6108" s="283">
        <v>0</v>
      </c>
      <c r="J6108" s="284">
        <v>2</v>
      </c>
    </row>
    <row r="6109" spans="3:10" x14ac:dyDescent="0.25">
      <c r="C6109" s="300" t="s">
        <v>1067</v>
      </c>
      <c r="D6109" s="283" t="s">
        <v>1087</v>
      </c>
      <c r="E6109" s="283" t="s">
        <v>1078</v>
      </c>
      <c r="F6109" s="283" t="s">
        <v>524</v>
      </c>
      <c r="G6109" s="283">
        <v>1</v>
      </c>
      <c r="H6109" s="283">
        <v>0</v>
      </c>
      <c r="I6109" s="283">
        <v>2</v>
      </c>
      <c r="J6109" s="284">
        <v>0</v>
      </c>
    </row>
    <row r="6110" spans="3:10" x14ac:dyDescent="0.25">
      <c r="C6110" s="300" t="s">
        <v>1066</v>
      </c>
      <c r="D6110" s="283" t="s">
        <v>1090</v>
      </c>
      <c r="E6110" s="283" t="s">
        <v>1093</v>
      </c>
      <c r="F6110" s="283" t="s">
        <v>524</v>
      </c>
      <c r="G6110" s="283">
        <v>1</v>
      </c>
      <c r="H6110" s="283">
        <v>0</v>
      </c>
      <c r="I6110" s="283">
        <v>0</v>
      </c>
      <c r="J6110" s="284">
        <v>1</v>
      </c>
    </row>
    <row r="6111" spans="3:10" x14ac:dyDescent="0.25">
      <c r="C6111" s="300" t="s">
        <v>1066</v>
      </c>
      <c r="D6111" s="283" t="s">
        <v>1090</v>
      </c>
      <c r="E6111" s="283" t="s">
        <v>1044</v>
      </c>
      <c r="F6111" s="283" t="s">
        <v>524</v>
      </c>
      <c r="G6111" s="283">
        <v>1</v>
      </c>
      <c r="H6111" s="283">
        <v>0</v>
      </c>
      <c r="I6111" s="283">
        <v>1</v>
      </c>
      <c r="J6111" s="284">
        <v>0</v>
      </c>
    </row>
    <row r="6112" spans="3:10" x14ac:dyDescent="0.25">
      <c r="C6112" s="300" t="s">
        <v>1058</v>
      </c>
      <c r="D6112" s="283" t="s">
        <v>1087</v>
      </c>
      <c r="E6112" s="283" t="s">
        <v>1075</v>
      </c>
      <c r="F6112" s="283" t="s">
        <v>524</v>
      </c>
      <c r="G6112" s="283">
        <v>2</v>
      </c>
      <c r="H6112" s="283">
        <v>0</v>
      </c>
      <c r="I6112" s="283">
        <v>0</v>
      </c>
      <c r="J6112" s="284">
        <v>1</v>
      </c>
    </row>
    <row r="6113" spans="3:10" x14ac:dyDescent="0.25">
      <c r="C6113" s="300" t="s">
        <v>1067</v>
      </c>
      <c r="D6113" s="283" t="s">
        <v>1077</v>
      </c>
      <c r="E6113" s="283" t="s">
        <v>1075</v>
      </c>
      <c r="F6113" s="283" t="s">
        <v>1075</v>
      </c>
      <c r="G6113" s="283">
        <v>2</v>
      </c>
      <c r="H6113" s="283">
        <v>0</v>
      </c>
      <c r="I6113" s="283">
        <v>0</v>
      </c>
      <c r="J6113" s="284">
        <v>0</v>
      </c>
    </row>
    <row r="6114" spans="3:10" x14ac:dyDescent="0.25">
      <c r="C6114" s="300" t="s">
        <v>1061</v>
      </c>
      <c r="D6114" s="283" t="s">
        <v>1079</v>
      </c>
      <c r="E6114" s="283" t="s">
        <v>1083</v>
      </c>
      <c r="F6114" s="283" t="s">
        <v>524</v>
      </c>
      <c r="G6114" s="283">
        <v>1</v>
      </c>
      <c r="H6114" s="283">
        <v>0</v>
      </c>
      <c r="I6114" s="283">
        <v>0</v>
      </c>
      <c r="J6114" s="284">
        <v>1</v>
      </c>
    </row>
    <row r="6115" spans="3:10" x14ac:dyDescent="0.25">
      <c r="C6115" s="300" t="s">
        <v>1067</v>
      </c>
      <c r="D6115" s="283" t="s">
        <v>1074</v>
      </c>
      <c r="E6115" s="283" t="s">
        <v>1076</v>
      </c>
      <c r="F6115" s="283" t="s">
        <v>1075</v>
      </c>
      <c r="G6115" s="283">
        <v>2</v>
      </c>
      <c r="H6115" s="283">
        <v>0</v>
      </c>
      <c r="I6115" s="283">
        <v>0</v>
      </c>
      <c r="J6115" s="284">
        <v>0</v>
      </c>
    </row>
    <row r="6116" spans="3:10" x14ac:dyDescent="0.25">
      <c r="C6116" s="300" t="s">
        <v>1061</v>
      </c>
      <c r="D6116" s="283" t="s">
        <v>1043</v>
      </c>
      <c r="E6116" s="283" t="s">
        <v>1075</v>
      </c>
      <c r="F6116" s="283" t="s">
        <v>1092</v>
      </c>
      <c r="G6116" s="283">
        <v>2</v>
      </c>
      <c r="H6116" s="283">
        <v>0</v>
      </c>
      <c r="I6116" s="283">
        <v>0</v>
      </c>
      <c r="J6116" s="284">
        <v>0</v>
      </c>
    </row>
    <row r="6117" spans="3:10" x14ac:dyDescent="0.25">
      <c r="C6117" s="300" t="s">
        <v>1061</v>
      </c>
      <c r="D6117" s="283" t="s">
        <v>1090</v>
      </c>
      <c r="E6117" s="283" t="s">
        <v>1083</v>
      </c>
      <c r="F6117" s="283" t="s">
        <v>524</v>
      </c>
      <c r="G6117" s="283">
        <v>1</v>
      </c>
      <c r="H6117" s="283">
        <v>0</v>
      </c>
      <c r="I6117" s="283">
        <v>0</v>
      </c>
      <c r="J6117" s="284">
        <v>1</v>
      </c>
    </row>
    <row r="6118" spans="3:10" x14ac:dyDescent="0.25">
      <c r="C6118" s="300" t="s">
        <v>1065</v>
      </c>
      <c r="D6118" s="283" t="s">
        <v>1074</v>
      </c>
      <c r="E6118" s="283" t="s">
        <v>1075</v>
      </c>
      <c r="F6118" s="283" t="s">
        <v>1075</v>
      </c>
      <c r="G6118" s="283">
        <v>2</v>
      </c>
      <c r="H6118" s="283">
        <v>0</v>
      </c>
      <c r="I6118" s="283">
        <v>0</v>
      </c>
      <c r="J6118" s="284">
        <v>0</v>
      </c>
    </row>
    <row r="6119" spans="3:10" x14ac:dyDescent="0.25">
      <c r="C6119" s="300" t="s">
        <v>1068</v>
      </c>
      <c r="D6119" s="283" t="s">
        <v>1079</v>
      </c>
      <c r="E6119" s="283" t="s">
        <v>1089</v>
      </c>
      <c r="F6119" s="283" t="s">
        <v>1075</v>
      </c>
      <c r="G6119" s="283">
        <v>2</v>
      </c>
      <c r="H6119" s="283">
        <v>0</v>
      </c>
      <c r="I6119" s="283">
        <v>1</v>
      </c>
      <c r="J6119" s="284">
        <v>0</v>
      </c>
    </row>
    <row r="6120" spans="3:10" x14ac:dyDescent="0.25">
      <c r="C6120" s="300" t="s">
        <v>1064</v>
      </c>
      <c r="D6120" s="283" t="s">
        <v>1074</v>
      </c>
      <c r="E6120" s="283" t="s">
        <v>1075</v>
      </c>
      <c r="F6120" s="283" t="s">
        <v>1075</v>
      </c>
      <c r="G6120" s="283">
        <v>2</v>
      </c>
      <c r="H6120" s="283">
        <v>0</v>
      </c>
      <c r="I6120" s="283">
        <v>0</v>
      </c>
      <c r="J6120" s="284">
        <v>2</v>
      </c>
    </row>
    <row r="6121" spans="3:10" x14ac:dyDescent="0.25">
      <c r="C6121" s="300" t="s">
        <v>1065</v>
      </c>
      <c r="D6121" s="283" t="s">
        <v>1079</v>
      </c>
      <c r="E6121" s="283" t="s">
        <v>1075</v>
      </c>
      <c r="F6121" s="283" t="s">
        <v>1078</v>
      </c>
      <c r="G6121" s="283">
        <v>2</v>
      </c>
      <c r="H6121" s="283">
        <v>0</v>
      </c>
      <c r="I6121" s="283">
        <v>0</v>
      </c>
      <c r="J6121" s="284">
        <v>0</v>
      </c>
    </row>
    <row r="6122" spans="3:10" x14ac:dyDescent="0.25">
      <c r="C6122" s="300" t="s">
        <v>1064</v>
      </c>
      <c r="D6122" s="283" t="s">
        <v>1079</v>
      </c>
      <c r="E6122" s="283" t="s">
        <v>1075</v>
      </c>
      <c r="F6122" s="283" t="s">
        <v>1075</v>
      </c>
      <c r="G6122" s="283">
        <v>2</v>
      </c>
      <c r="H6122" s="283">
        <v>0</v>
      </c>
      <c r="I6122" s="283">
        <v>0</v>
      </c>
      <c r="J6122" s="284">
        <v>4</v>
      </c>
    </row>
    <row r="6123" spans="3:10" x14ac:dyDescent="0.25">
      <c r="C6123" s="300" t="s">
        <v>1066</v>
      </c>
      <c r="D6123" s="283" t="s">
        <v>1077</v>
      </c>
      <c r="E6123" s="283" t="s">
        <v>1075</v>
      </c>
      <c r="F6123" s="283" t="s">
        <v>1089</v>
      </c>
      <c r="G6123" s="283">
        <v>3</v>
      </c>
      <c r="H6123" s="283">
        <v>0</v>
      </c>
      <c r="I6123" s="283">
        <v>0</v>
      </c>
      <c r="J6123" s="284">
        <v>2</v>
      </c>
    </row>
    <row r="6124" spans="3:10" x14ac:dyDescent="0.25">
      <c r="C6124" s="300" t="s">
        <v>1061</v>
      </c>
      <c r="D6124" s="283" t="s">
        <v>1090</v>
      </c>
      <c r="E6124" s="283" t="s">
        <v>1083</v>
      </c>
      <c r="F6124" s="283" t="s">
        <v>524</v>
      </c>
      <c r="G6124" s="283">
        <v>1</v>
      </c>
      <c r="H6124" s="283">
        <v>0</v>
      </c>
      <c r="I6124" s="283">
        <v>1</v>
      </c>
      <c r="J6124" s="284">
        <v>0</v>
      </c>
    </row>
    <row r="6125" spans="3:10" x14ac:dyDescent="0.25">
      <c r="C6125" s="300" t="s">
        <v>1062</v>
      </c>
      <c r="D6125" s="283" t="s">
        <v>1074</v>
      </c>
      <c r="E6125" s="283" t="s">
        <v>1075</v>
      </c>
      <c r="F6125" s="283" t="s">
        <v>1089</v>
      </c>
      <c r="G6125" s="283">
        <v>2</v>
      </c>
      <c r="H6125" s="283">
        <v>0</v>
      </c>
      <c r="I6125" s="283">
        <v>0</v>
      </c>
      <c r="J6125" s="284">
        <v>0</v>
      </c>
    </row>
    <row r="6126" spans="3:10" x14ac:dyDescent="0.25">
      <c r="C6126" s="300" t="s">
        <v>1064</v>
      </c>
      <c r="D6126" s="283" t="s">
        <v>1043</v>
      </c>
      <c r="E6126" s="283" t="s">
        <v>1075</v>
      </c>
      <c r="F6126" s="283" t="s">
        <v>1092</v>
      </c>
      <c r="G6126" s="283">
        <v>2</v>
      </c>
      <c r="H6126" s="283">
        <v>0</v>
      </c>
      <c r="I6126" s="283">
        <v>1</v>
      </c>
      <c r="J6126" s="284">
        <v>1</v>
      </c>
    </row>
    <row r="6127" spans="3:10" x14ac:dyDescent="0.25">
      <c r="C6127" s="300" t="s">
        <v>1062</v>
      </c>
      <c r="D6127" s="283" t="s">
        <v>1074</v>
      </c>
      <c r="E6127" s="283" t="s">
        <v>1075</v>
      </c>
      <c r="F6127" s="283" t="s">
        <v>1078</v>
      </c>
      <c r="G6127" s="283">
        <v>2</v>
      </c>
      <c r="H6127" s="283">
        <v>0</v>
      </c>
      <c r="I6127" s="283">
        <v>0</v>
      </c>
      <c r="J6127" s="284">
        <v>0</v>
      </c>
    </row>
    <row r="6128" spans="3:10" x14ac:dyDescent="0.25">
      <c r="C6128" s="300" t="s">
        <v>1065</v>
      </c>
      <c r="D6128" s="283" t="s">
        <v>1077</v>
      </c>
      <c r="E6128" s="283" t="s">
        <v>1080</v>
      </c>
      <c r="F6128" s="283" t="s">
        <v>1075</v>
      </c>
      <c r="G6128" s="283">
        <v>3</v>
      </c>
      <c r="H6128" s="283">
        <v>0</v>
      </c>
      <c r="I6128" s="283">
        <v>2</v>
      </c>
      <c r="J6128" s="284">
        <v>0</v>
      </c>
    </row>
    <row r="6129" spans="3:10" x14ac:dyDescent="0.25">
      <c r="C6129" s="300" t="s">
        <v>1064</v>
      </c>
      <c r="D6129" s="283" t="s">
        <v>1074</v>
      </c>
      <c r="E6129" s="283" t="s">
        <v>1078</v>
      </c>
      <c r="F6129" s="283" t="s">
        <v>1075</v>
      </c>
      <c r="G6129" s="283">
        <v>2</v>
      </c>
      <c r="H6129" s="283">
        <v>0</v>
      </c>
      <c r="I6129" s="283">
        <v>1</v>
      </c>
      <c r="J6129" s="284">
        <v>0</v>
      </c>
    </row>
    <row r="6130" spans="3:10" x14ac:dyDescent="0.25">
      <c r="C6130" s="300" t="s">
        <v>1068</v>
      </c>
      <c r="D6130" s="283" t="s">
        <v>1087</v>
      </c>
      <c r="E6130" s="283" t="s">
        <v>1075</v>
      </c>
      <c r="F6130" s="283" t="s">
        <v>524</v>
      </c>
      <c r="G6130" s="283">
        <v>1</v>
      </c>
      <c r="H6130" s="283">
        <v>0</v>
      </c>
      <c r="I6130" s="283">
        <v>0</v>
      </c>
      <c r="J6130" s="284">
        <v>0</v>
      </c>
    </row>
    <row r="6131" spans="3:10" x14ac:dyDescent="0.25">
      <c r="C6131" s="300" t="s">
        <v>1063</v>
      </c>
      <c r="D6131" s="283" t="s">
        <v>1079</v>
      </c>
      <c r="E6131" s="283" t="s">
        <v>1089</v>
      </c>
      <c r="F6131" s="283" t="s">
        <v>1075</v>
      </c>
      <c r="G6131" s="283">
        <v>2</v>
      </c>
      <c r="H6131" s="283">
        <v>0</v>
      </c>
      <c r="I6131" s="283">
        <v>0</v>
      </c>
      <c r="J6131" s="284">
        <v>0</v>
      </c>
    </row>
    <row r="6132" spans="3:10" x14ac:dyDescent="0.25">
      <c r="C6132" s="300" t="s">
        <v>1061</v>
      </c>
      <c r="D6132" s="283" t="s">
        <v>1079</v>
      </c>
      <c r="E6132" s="283" t="s">
        <v>1080</v>
      </c>
      <c r="F6132" s="283" t="s">
        <v>1088</v>
      </c>
      <c r="G6132" s="283">
        <v>8</v>
      </c>
      <c r="H6132" s="283">
        <v>0</v>
      </c>
      <c r="I6132" s="283">
        <v>0</v>
      </c>
      <c r="J6132" s="284">
        <v>2</v>
      </c>
    </row>
    <row r="6133" spans="3:10" x14ac:dyDescent="0.25">
      <c r="C6133" s="300" t="s">
        <v>1064</v>
      </c>
      <c r="D6133" s="283" t="s">
        <v>1079</v>
      </c>
      <c r="E6133" s="283" t="s">
        <v>1078</v>
      </c>
      <c r="F6133" s="283" t="s">
        <v>1075</v>
      </c>
      <c r="G6133" s="283">
        <v>2</v>
      </c>
      <c r="H6133" s="283">
        <v>0</v>
      </c>
      <c r="I6133" s="283">
        <v>1</v>
      </c>
      <c r="J6133" s="284">
        <v>0</v>
      </c>
    </row>
    <row r="6134" spans="3:10" x14ac:dyDescent="0.25">
      <c r="C6134" s="300" t="s">
        <v>1067</v>
      </c>
      <c r="D6134" s="283" t="s">
        <v>1079</v>
      </c>
      <c r="E6134" s="283" t="s">
        <v>1075</v>
      </c>
      <c r="F6134" s="283" t="s">
        <v>1075</v>
      </c>
      <c r="G6134" s="283">
        <v>2</v>
      </c>
      <c r="H6134" s="283">
        <v>0</v>
      </c>
      <c r="I6134" s="283">
        <v>0</v>
      </c>
      <c r="J6134" s="284">
        <v>0</v>
      </c>
    </row>
    <row r="6135" spans="3:10" x14ac:dyDescent="0.25">
      <c r="C6135" s="300" t="s">
        <v>1068</v>
      </c>
      <c r="D6135" s="283" t="s">
        <v>1079</v>
      </c>
      <c r="E6135" s="283" t="s">
        <v>1075</v>
      </c>
      <c r="F6135" s="283" t="s">
        <v>1083</v>
      </c>
      <c r="G6135" s="283">
        <v>2</v>
      </c>
      <c r="H6135" s="283">
        <v>0</v>
      </c>
      <c r="I6135" s="283">
        <v>1</v>
      </c>
      <c r="J6135" s="284">
        <v>0</v>
      </c>
    </row>
    <row r="6136" spans="3:10" x14ac:dyDescent="0.25">
      <c r="C6136" s="300" t="s">
        <v>1064</v>
      </c>
      <c r="D6136" s="283" t="s">
        <v>1079</v>
      </c>
      <c r="E6136" s="283" t="s">
        <v>1044</v>
      </c>
      <c r="F6136" s="283" t="s">
        <v>1078</v>
      </c>
      <c r="G6136" s="283">
        <v>2</v>
      </c>
      <c r="H6136" s="283">
        <v>0</v>
      </c>
      <c r="I6136" s="283">
        <v>1</v>
      </c>
      <c r="J6136" s="284">
        <v>0</v>
      </c>
    </row>
    <row r="6137" spans="3:10" x14ac:dyDescent="0.25">
      <c r="C6137" s="300" t="s">
        <v>1063</v>
      </c>
      <c r="D6137" s="283" t="s">
        <v>1077</v>
      </c>
      <c r="E6137" s="283" t="s">
        <v>1089</v>
      </c>
      <c r="F6137" s="283" t="s">
        <v>1075</v>
      </c>
      <c r="G6137" s="283">
        <v>2</v>
      </c>
      <c r="H6137" s="283">
        <v>0</v>
      </c>
      <c r="I6137" s="283">
        <v>0</v>
      </c>
      <c r="J6137" s="284">
        <v>0</v>
      </c>
    </row>
    <row r="6138" spans="3:10" x14ac:dyDescent="0.25">
      <c r="C6138" s="300" t="s">
        <v>1063</v>
      </c>
      <c r="D6138" s="283" t="s">
        <v>1043</v>
      </c>
      <c r="E6138" s="283" t="s">
        <v>1075</v>
      </c>
      <c r="F6138" s="283" t="s">
        <v>1092</v>
      </c>
      <c r="G6138" s="283">
        <v>2</v>
      </c>
      <c r="H6138" s="283">
        <v>0</v>
      </c>
      <c r="I6138" s="283">
        <v>0</v>
      </c>
      <c r="J6138" s="284">
        <v>0</v>
      </c>
    </row>
    <row r="6139" spans="3:10" x14ac:dyDescent="0.25">
      <c r="C6139" s="300" t="s">
        <v>1060</v>
      </c>
      <c r="D6139" s="283" t="s">
        <v>1079</v>
      </c>
      <c r="E6139" s="283" t="s">
        <v>1086</v>
      </c>
      <c r="F6139" s="283" t="s">
        <v>1075</v>
      </c>
      <c r="G6139" s="283">
        <v>2</v>
      </c>
      <c r="H6139" s="283">
        <v>0</v>
      </c>
      <c r="I6139" s="283">
        <v>0</v>
      </c>
      <c r="J6139" s="284">
        <v>1</v>
      </c>
    </row>
    <row r="6140" spans="3:10" x14ac:dyDescent="0.25">
      <c r="C6140" s="300" t="s">
        <v>1065</v>
      </c>
      <c r="D6140" s="283" t="s">
        <v>1082</v>
      </c>
      <c r="E6140" s="283" t="s">
        <v>1075</v>
      </c>
      <c r="F6140" s="283" t="s">
        <v>1075</v>
      </c>
      <c r="G6140" s="283">
        <v>2</v>
      </c>
      <c r="H6140" s="283">
        <v>0</v>
      </c>
      <c r="I6140" s="283">
        <v>1</v>
      </c>
      <c r="J6140" s="284">
        <v>0</v>
      </c>
    </row>
    <row r="6141" spans="3:10" x14ac:dyDescent="0.25">
      <c r="C6141" s="300" t="s">
        <v>1062</v>
      </c>
      <c r="D6141" s="283" t="s">
        <v>1079</v>
      </c>
      <c r="E6141" s="283" t="s">
        <v>1086</v>
      </c>
      <c r="F6141" s="283" t="s">
        <v>1075</v>
      </c>
      <c r="G6141" s="283">
        <v>2</v>
      </c>
      <c r="H6141" s="283">
        <v>0</v>
      </c>
      <c r="I6141" s="283">
        <v>0</v>
      </c>
      <c r="J6141" s="284">
        <v>0</v>
      </c>
    </row>
    <row r="6142" spans="3:10" x14ac:dyDescent="0.25">
      <c r="C6142" s="300" t="s">
        <v>1057</v>
      </c>
      <c r="D6142" s="283" t="s">
        <v>1087</v>
      </c>
      <c r="E6142" s="283" t="s">
        <v>1083</v>
      </c>
      <c r="F6142" s="283" t="s">
        <v>524</v>
      </c>
      <c r="G6142" s="283">
        <v>1</v>
      </c>
      <c r="H6142" s="283">
        <v>0</v>
      </c>
      <c r="I6142" s="283">
        <v>1</v>
      </c>
      <c r="J6142" s="284">
        <v>0</v>
      </c>
    </row>
    <row r="6143" spans="3:10" x14ac:dyDescent="0.25">
      <c r="C6143" s="300" t="s">
        <v>1065</v>
      </c>
      <c r="D6143" s="283" t="s">
        <v>1079</v>
      </c>
      <c r="E6143" s="283" t="s">
        <v>1089</v>
      </c>
      <c r="F6143" s="283" t="s">
        <v>1078</v>
      </c>
      <c r="G6143" s="283">
        <v>2</v>
      </c>
      <c r="H6143" s="283">
        <v>0</v>
      </c>
      <c r="I6143" s="283">
        <v>1</v>
      </c>
      <c r="J6143" s="284">
        <v>1</v>
      </c>
    </row>
    <row r="6144" spans="3:10" x14ac:dyDescent="0.25">
      <c r="C6144" s="300" t="s">
        <v>1060</v>
      </c>
      <c r="D6144" s="283" t="s">
        <v>1087</v>
      </c>
      <c r="E6144" s="283" t="s">
        <v>1089</v>
      </c>
      <c r="F6144" s="283" t="s">
        <v>524</v>
      </c>
      <c r="G6144" s="283">
        <v>1</v>
      </c>
      <c r="H6144" s="283">
        <v>0</v>
      </c>
      <c r="I6144" s="283">
        <v>1</v>
      </c>
      <c r="J6144" s="284">
        <v>0</v>
      </c>
    </row>
    <row r="6145" spans="3:10" x14ac:dyDescent="0.25">
      <c r="C6145" s="300" t="s">
        <v>1066</v>
      </c>
      <c r="D6145" s="283" t="s">
        <v>1090</v>
      </c>
      <c r="E6145" s="283" t="s">
        <v>1093</v>
      </c>
      <c r="F6145" s="283" t="s">
        <v>524</v>
      </c>
      <c r="G6145" s="283">
        <v>1</v>
      </c>
      <c r="H6145" s="283">
        <v>0</v>
      </c>
      <c r="I6145" s="283">
        <v>0</v>
      </c>
      <c r="J6145" s="284">
        <v>1</v>
      </c>
    </row>
    <row r="6146" spans="3:10" x14ac:dyDescent="0.25">
      <c r="C6146" s="300" t="s">
        <v>1064</v>
      </c>
      <c r="D6146" s="283" t="s">
        <v>1043</v>
      </c>
      <c r="E6146" s="283" t="s">
        <v>1078</v>
      </c>
      <c r="F6146" s="283" t="s">
        <v>1092</v>
      </c>
      <c r="G6146" s="283">
        <v>2</v>
      </c>
      <c r="H6146" s="283">
        <v>0</v>
      </c>
      <c r="I6146" s="283">
        <v>1</v>
      </c>
      <c r="J6146" s="284">
        <v>0</v>
      </c>
    </row>
    <row r="6147" spans="3:10" x14ac:dyDescent="0.25">
      <c r="C6147" s="300" t="s">
        <v>1063</v>
      </c>
      <c r="D6147" s="283" t="s">
        <v>1079</v>
      </c>
      <c r="E6147" s="283" t="s">
        <v>1085</v>
      </c>
      <c r="F6147" s="283" t="s">
        <v>1075</v>
      </c>
      <c r="G6147" s="283">
        <v>2</v>
      </c>
      <c r="H6147" s="283">
        <v>0</v>
      </c>
      <c r="I6147" s="283">
        <v>0</v>
      </c>
      <c r="J6147" s="284">
        <v>0</v>
      </c>
    </row>
    <row r="6148" spans="3:10" x14ac:dyDescent="0.25">
      <c r="C6148" s="300" t="s">
        <v>1065</v>
      </c>
      <c r="D6148" s="283" t="s">
        <v>1077</v>
      </c>
      <c r="E6148" s="283" t="s">
        <v>1078</v>
      </c>
      <c r="F6148" s="283" t="s">
        <v>1089</v>
      </c>
      <c r="G6148" s="283">
        <v>2</v>
      </c>
      <c r="H6148" s="283">
        <v>0</v>
      </c>
      <c r="I6148" s="283">
        <v>0</v>
      </c>
      <c r="J6148" s="284">
        <v>0</v>
      </c>
    </row>
    <row r="6149" spans="3:10" x14ac:dyDescent="0.25">
      <c r="C6149" s="300" t="s">
        <v>1066</v>
      </c>
      <c r="D6149" s="283" t="s">
        <v>1077</v>
      </c>
      <c r="E6149" s="283" t="s">
        <v>1075</v>
      </c>
      <c r="F6149" s="283" t="s">
        <v>1078</v>
      </c>
      <c r="G6149" s="283">
        <v>2</v>
      </c>
      <c r="H6149" s="283">
        <v>0</v>
      </c>
      <c r="I6149" s="283">
        <v>0</v>
      </c>
      <c r="J6149" s="284">
        <v>2</v>
      </c>
    </row>
    <row r="6150" spans="3:10" x14ac:dyDescent="0.25">
      <c r="C6150" s="300" t="s">
        <v>1064</v>
      </c>
      <c r="D6150" s="283" t="s">
        <v>1074</v>
      </c>
      <c r="E6150" s="283" t="s">
        <v>1044</v>
      </c>
      <c r="F6150" s="283" t="s">
        <v>1089</v>
      </c>
      <c r="G6150" s="283">
        <v>2</v>
      </c>
      <c r="H6150" s="283">
        <v>0</v>
      </c>
      <c r="I6150" s="283">
        <v>1</v>
      </c>
      <c r="J6150" s="284">
        <v>0</v>
      </c>
    </row>
    <row r="6151" spans="3:10" x14ac:dyDescent="0.25">
      <c r="C6151" s="300" t="s">
        <v>1064</v>
      </c>
      <c r="D6151" s="283" t="s">
        <v>1077</v>
      </c>
      <c r="E6151" s="283" t="s">
        <v>1075</v>
      </c>
      <c r="F6151" s="283" t="s">
        <v>1075</v>
      </c>
      <c r="G6151" s="283">
        <v>2</v>
      </c>
      <c r="H6151" s="283">
        <v>0</v>
      </c>
      <c r="I6151" s="283">
        <v>0</v>
      </c>
      <c r="J6151" s="284">
        <v>0</v>
      </c>
    </row>
    <row r="6152" spans="3:10" x14ac:dyDescent="0.25">
      <c r="C6152" s="300" t="s">
        <v>1066</v>
      </c>
      <c r="D6152" s="283" t="s">
        <v>1077</v>
      </c>
      <c r="E6152" s="283" t="s">
        <v>1078</v>
      </c>
      <c r="F6152" s="283" t="s">
        <v>1075</v>
      </c>
      <c r="G6152" s="283">
        <v>4</v>
      </c>
      <c r="H6152" s="283">
        <v>0</v>
      </c>
      <c r="I6152" s="283">
        <v>0</v>
      </c>
      <c r="J6152" s="284">
        <v>1</v>
      </c>
    </row>
    <row r="6153" spans="3:10" x14ac:dyDescent="0.25">
      <c r="C6153" s="300" t="s">
        <v>1062</v>
      </c>
      <c r="D6153" s="283" t="s">
        <v>1079</v>
      </c>
      <c r="E6153" s="283" t="s">
        <v>1089</v>
      </c>
      <c r="F6153" s="283" t="s">
        <v>1075</v>
      </c>
      <c r="G6153" s="283">
        <v>3</v>
      </c>
      <c r="H6153" s="283">
        <v>0</v>
      </c>
      <c r="I6153" s="283">
        <v>0</v>
      </c>
      <c r="J6153" s="284">
        <v>0</v>
      </c>
    </row>
    <row r="6154" spans="3:10" x14ac:dyDescent="0.25">
      <c r="C6154" s="300" t="s">
        <v>1062</v>
      </c>
      <c r="D6154" s="283" t="s">
        <v>1074</v>
      </c>
      <c r="E6154" s="283" t="s">
        <v>1075</v>
      </c>
      <c r="F6154" s="283" t="s">
        <v>1075</v>
      </c>
      <c r="G6154" s="283">
        <v>2</v>
      </c>
      <c r="H6154" s="283">
        <v>0</v>
      </c>
      <c r="I6154" s="283">
        <v>0</v>
      </c>
      <c r="J6154" s="284">
        <v>1</v>
      </c>
    </row>
    <row r="6155" spans="3:10" x14ac:dyDescent="0.25">
      <c r="C6155" s="300" t="s">
        <v>1062</v>
      </c>
      <c r="D6155" s="283" t="s">
        <v>1087</v>
      </c>
      <c r="E6155" s="283" t="s">
        <v>1075</v>
      </c>
      <c r="F6155" s="283" t="s">
        <v>524</v>
      </c>
      <c r="G6155" s="283">
        <v>1</v>
      </c>
      <c r="H6155" s="283">
        <v>0</v>
      </c>
      <c r="I6155" s="283">
        <v>0</v>
      </c>
      <c r="J6155" s="284">
        <v>1</v>
      </c>
    </row>
    <row r="6156" spans="3:10" x14ac:dyDescent="0.25">
      <c r="C6156" s="300" t="s">
        <v>1068</v>
      </c>
      <c r="D6156" s="283" t="s">
        <v>1095</v>
      </c>
      <c r="E6156" s="283" t="s">
        <v>1075</v>
      </c>
      <c r="F6156" s="283" t="s">
        <v>524</v>
      </c>
      <c r="G6156" s="283">
        <v>1</v>
      </c>
      <c r="H6156" s="283">
        <v>0</v>
      </c>
      <c r="I6156" s="283">
        <v>0</v>
      </c>
      <c r="J6156" s="284">
        <v>0</v>
      </c>
    </row>
    <row r="6157" spans="3:10" x14ac:dyDescent="0.25">
      <c r="C6157" s="300" t="s">
        <v>1063</v>
      </c>
      <c r="D6157" s="283" t="s">
        <v>1077</v>
      </c>
      <c r="E6157" s="283" t="s">
        <v>1084</v>
      </c>
      <c r="F6157" s="283" t="s">
        <v>1075</v>
      </c>
      <c r="G6157" s="283">
        <v>2</v>
      </c>
      <c r="H6157" s="283">
        <v>0</v>
      </c>
      <c r="I6157" s="283">
        <v>0</v>
      </c>
      <c r="J6157" s="284">
        <v>0</v>
      </c>
    </row>
    <row r="6158" spans="3:10" x14ac:dyDescent="0.25">
      <c r="C6158" s="300" t="s">
        <v>1062</v>
      </c>
      <c r="D6158" s="283" t="s">
        <v>1079</v>
      </c>
      <c r="E6158" s="283" t="s">
        <v>1075</v>
      </c>
      <c r="F6158" s="283" t="s">
        <v>1075</v>
      </c>
      <c r="G6158" s="283">
        <v>3</v>
      </c>
      <c r="H6158" s="283">
        <v>0</v>
      </c>
      <c r="I6158" s="283">
        <v>0</v>
      </c>
      <c r="J6158" s="284">
        <v>1</v>
      </c>
    </row>
    <row r="6159" spans="3:10" x14ac:dyDescent="0.25">
      <c r="C6159" s="300" t="s">
        <v>1063</v>
      </c>
      <c r="D6159" s="283" t="s">
        <v>1074</v>
      </c>
      <c r="E6159" s="283" t="s">
        <v>1075</v>
      </c>
      <c r="F6159" s="283" t="s">
        <v>1094</v>
      </c>
      <c r="G6159" s="283">
        <v>2</v>
      </c>
      <c r="H6159" s="283">
        <v>0</v>
      </c>
      <c r="I6159" s="283">
        <v>0</v>
      </c>
      <c r="J6159" s="284">
        <v>2</v>
      </c>
    </row>
    <row r="6160" spans="3:10" x14ac:dyDescent="0.25">
      <c r="C6160" s="300" t="s">
        <v>1060</v>
      </c>
      <c r="D6160" s="283" t="s">
        <v>1077</v>
      </c>
      <c r="E6160" s="283" t="s">
        <v>1076</v>
      </c>
      <c r="F6160" s="283" t="s">
        <v>1076</v>
      </c>
      <c r="G6160" s="283">
        <v>4</v>
      </c>
      <c r="H6160" s="283">
        <v>0</v>
      </c>
      <c r="I6160" s="283">
        <v>0</v>
      </c>
      <c r="J6160" s="284">
        <v>1</v>
      </c>
    </row>
    <row r="6161" spans="3:10" x14ac:dyDescent="0.25">
      <c r="C6161" s="300" t="s">
        <v>1064</v>
      </c>
      <c r="D6161" s="283" t="s">
        <v>1079</v>
      </c>
      <c r="E6161" s="283" t="s">
        <v>1075</v>
      </c>
      <c r="F6161" s="283" t="s">
        <v>1075</v>
      </c>
      <c r="G6161" s="283">
        <v>2</v>
      </c>
      <c r="H6161" s="283">
        <v>0</v>
      </c>
      <c r="I6161" s="283">
        <v>0</v>
      </c>
      <c r="J6161" s="284">
        <v>0</v>
      </c>
    </row>
    <row r="6162" spans="3:10" x14ac:dyDescent="0.25">
      <c r="C6162" s="300" t="s">
        <v>1064</v>
      </c>
      <c r="D6162" s="283" t="s">
        <v>1079</v>
      </c>
      <c r="E6162" s="283" t="s">
        <v>1075</v>
      </c>
      <c r="F6162" s="283" t="s">
        <v>1075</v>
      </c>
      <c r="G6162" s="283">
        <v>2</v>
      </c>
      <c r="H6162" s="283">
        <v>0</v>
      </c>
      <c r="I6162" s="283">
        <v>0</v>
      </c>
      <c r="J6162" s="284">
        <v>0</v>
      </c>
    </row>
    <row r="6163" spans="3:10" x14ac:dyDescent="0.25">
      <c r="C6163" s="300" t="s">
        <v>1063</v>
      </c>
      <c r="D6163" s="283" t="s">
        <v>1079</v>
      </c>
      <c r="E6163" s="283" t="s">
        <v>1086</v>
      </c>
      <c r="F6163" s="283" t="s">
        <v>1075</v>
      </c>
      <c r="G6163" s="283">
        <v>2</v>
      </c>
      <c r="H6163" s="283">
        <v>0</v>
      </c>
      <c r="I6163" s="283">
        <v>0</v>
      </c>
      <c r="J6163" s="284">
        <v>0</v>
      </c>
    </row>
    <row r="6164" spans="3:10" x14ac:dyDescent="0.25">
      <c r="C6164" s="300" t="s">
        <v>1064</v>
      </c>
      <c r="D6164" s="283" t="s">
        <v>1079</v>
      </c>
      <c r="E6164" s="283" t="s">
        <v>1075</v>
      </c>
      <c r="F6164" s="283" t="s">
        <v>1089</v>
      </c>
      <c r="G6164" s="283">
        <v>2</v>
      </c>
      <c r="H6164" s="283">
        <v>0</v>
      </c>
      <c r="I6164" s="283">
        <v>1</v>
      </c>
      <c r="J6164" s="284">
        <v>0</v>
      </c>
    </row>
    <row r="6165" spans="3:10" x14ac:dyDescent="0.25">
      <c r="C6165" s="300" t="s">
        <v>1062</v>
      </c>
      <c r="D6165" s="283" t="s">
        <v>1090</v>
      </c>
      <c r="E6165" s="283" t="s">
        <v>1080</v>
      </c>
      <c r="F6165" s="283" t="s">
        <v>524</v>
      </c>
      <c r="G6165" s="283">
        <v>1</v>
      </c>
      <c r="H6165" s="283">
        <v>0</v>
      </c>
      <c r="I6165" s="283">
        <v>1</v>
      </c>
      <c r="J6165" s="284">
        <v>0</v>
      </c>
    </row>
    <row r="6166" spans="3:10" x14ac:dyDescent="0.25">
      <c r="C6166" s="300" t="s">
        <v>1067</v>
      </c>
      <c r="D6166" s="283" t="s">
        <v>1079</v>
      </c>
      <c r="E6166" s="283" t="s">
        <v>1075</v>
      </c>
      <c r="F6166" s="283" t="s">
        <v>1084</v>
      </c>
      <c r="G6166" s="283">
        <v>2</v>
      </c>
      <c r="H6166" s="283">
        <v>0</v>
      </c>
      <c r="I6166" s="283">
        <v>0</v>
      </c>
      <c r="J6166" s="284">
        <v>0</v>
      </c>
    </row>
    <row r="6167" spans="3:10" x14ac:dyDescent="0.25">
      <c r="C6167" s="300" t="s">
        <v>1068</v>
      </c>
      <c r="D6167" s="283" t="s">
        <v>1077</v>
      </c>
      <c r="E6167" s="283" t="s">
        <v>1075</v>
      </c>
      <c r="F6167" s="283" t="s">
        <v>1093</v>
      </c>
      <c r="G6167" s="283">
        <v>2</v>
      </c>
      <c r="H6167" s="283">
        <v>0</v>
      </c>
      <c r="I6167" s="283">
        <v>1</v>
      </c>
      <c r="J6167" s="284">
        <v>0</v>
      </c>
    </row>
    <row r="6168" spans="3:10" x14ac:dyDescent="0.25">
      <c r="C6168" s="300" t="s">
        <v>1067</v>
      </c>
      <c r="D6168" s="283" t="s">
        <v>1079</v>
      </c>
      <c r="E6168" s="283" t="s">
        <v>1075</v>
      </c>
      <c r="F6168" s="283" t="s">
        <v>1075</v>
      </c>
      <c r="G6168" s="283">
        <v>3</v>
      </c>
      <c r="H6168" s="283">
        <v>0</v>
      </c>
      <c r="I6168" s="283">
        <v>0</v>
      </c>
      <c r="J6168" s="284">
        <v>0</v>
      </c>
    </row>
    <row r="6169" spans="3:10" x14ac:dyDescent="0.25">
      <c r="C6169" s="300" t="s">
        <v>1063</v>
      </c>
      <c r="D6169" s="283" t="s">
        <v>1079</v>
      </c>
      <c r="E6169" s="283" t="s">
        <v>1102</v>
      </c>
      <c r="F6169" s="283" t="s">
        <v>1075</v>
      </c>
      <c r="G6169" s="283">
        <v>2</v>
      </c>
      <c r="H6169" s="283">
        <v>0</v>
      </c>
      <c r="I6169" s="283">
        <v>1</v>
      </c>
      <c r="J6169" s="284">
        <v>0</v>
      </c>
    </row>
    <row r="6170" spans="3:10" x14ac:dyDescent="0.25">
      <c r="C6170" s="300" t="s">
        <v>1065</v>
      </c>
      <c r="D6170" s="283" t="s">
        <v>1079</v>
      </c>
      <c r="E6170" s="283" t="s">
        <v>1075</v>
      </c>
      <c r="F6170" s="283" t="s">
        <v>1075</v>
      </c>
      <c r="G6170" s="283">
        <v>2</v>
      </c>
      <c r="H6170" s="283">
        <v>0</v>
      </c>
      <c r="I6170" s="283">
        <v>0</v>
      </c>
      <c r="J6170" s="284">
        <v>0</v>
      </c>
    </row>
    <row r="6171" spans="3:10" x14ac:dyDescent="0.25">
      <c r="C6171" s="300" t="s">
        <v>1060</v>
      </c>
      <c r="D6171" s="283" t="s">
        <v>1079</v>
      </c>
      <c r="E6171" s="283" t="s">
        <v>1089</v>
      </c>
      <c r="F6171" s="283" t="s">
        <v>1075</v>
      </c>
      <c r="G6171" s="283">
        <v>2</v>
      </c>
      <c r="H6171" s="283">
        <v>0</v>
      </c>
      <c r="I6171" s="283">
        <v>0</v>
      </c>
      <c r="J6171" s="284">
        <v>0</v>
      </c>
    </row>
    <row r="6172" spans="3:10" x14ac:dyDescent="0.25">
      <c r="C6172" s="300" t="s">
        <v>1064</v>
      </c>
      <c r="D6172" s="283" t="s">
        <v>1079</v>
      </c>
      <c r="E6172" s="283" t="s">
        <v>1078</v>
      </c>
      <c r="F6172" s="283" t="s">
        <v>1044</v>
      </c>
      <c r="G6172" s="283">
        <v>2</v>
      </c>
      <c r="H6172" s="283">
        <v>0</v>
      </c>
      <c r="I6172" s="283">
        <v>0</v>
      </c>
      <c r="J6172" s="284">
        <v>1</v>
      </c>
    </row>
    <row r="6173" spans="3:10" x14ac:dyDescent="0.25">
      <c r="C6173" s="300" t="s">
        <v>1062</v>
      </c>
      <c r="D6173" s="283" t="s">
        <v>1074</v>
      </c>
      <c r="E6173" s="283" t="s">
        <v>1075</v>
      </c>
      <c r="F6173" s="283" t="s">
        <v>1083</v>
      </c>
      <c r="G6173" s="283">
        <v>2</v>
      </c>
      <c r="H6173" s="283">
        <v>0</v>
      </c>
      <c r="I6173" s="283">
        <v>0</v>
      </c>
      <c r="J6173" s="284">
        <v>1</v>
      </c>
    </row>
    <row r="6174" spans="3:10" x14ac:dyDescent="0.25">
      <c r="C6174" s="300" t="s">
        <v>1061</v>
      </c>
      <c r="D6174" s="283" t="s">
        <v>1079</v>
      </c>
      <c r="E6174" s="283" t="s">
        <v>1075</v>
      </c>
      <c r="F6174" s="283" t="s">
        <v>1075</v>
      </c>
      <c r="G6174" s="283">
        <v>4</v>
      </c>
      <c r="H6174" s="283">
        <v>0</v>
      </c>
      <c r="I6174" s="283">
        <v>0</v>
      </c>
      <c r="J6174" s="284">
        <v>1</v>
      </c>
    </row>
    <row r="6175" spans="3:10" x14ac:dyDescent="0.25">
      <c r="C6175" s="300" t="s">
        <v>1060</v>
      </c>
      <c r="D6175" s="283" t="s">
        <v>1079</v>
      </c>
      <c r="E6175" s="283" t="s">
        <v>1075</v>
      </c>
      <c r="F6175" s="283" t="s">
        <v>1075</v>
      </c>
      <c r="G6175" s="283">
        <v>2</v>
      </c>
      <c r="H6175" s="283">
        <v>0</v>
      </c>
      <c r="I6175" s="283">
        <v>1</v>
      </c>
      <c r="J6175" s="284">
        <v>0</v>
      </c>
    </row>
    <row r="6176" spans="3:10" x14ac:dyDescent="0.25">
      <c r="C6176" s="300" t="s">
        <v>1060</v>
      </c>
      <c r="D6176" s="283" t="s">
        <v>1074</v>
      </c>
      <c r="E6176" s="283" t="s">
        <v>1089</v>
      </c>
      <c r="F6176" s="283" t="s">
        <v>1075</v>
      </c>
      <c r="G6176" s="283">
        <v>2</v>
      </c>
      <c r="H6176" s="283">
        <v>0</v>
      </c>
      <c r="I6176" s="283">
        <v>0</v>
      </c>
      <c r="J6176" s="284">
        <v>0</v>
      </c>
    </row>
    <row r="6177" spans="3:10" x14ac:dyDescent="0.25">
      <c r="C6177" s="300" t="s">
        <v>1065</v>
      </c>
      <c r="D6177" s="283" t="s">
        <v>1077</v>
      </c>
      <c r="E6177" s="283" t="s">
        <v>1075</v>
      </c>
      <c r="F6177" s="283" t="s">
        <v>1089</v>
      </c>
      <c r="G6177" s="283">
        <v>2</v>
      </c>
      <c r="H6177" s="283">
        <v>0</v>
      </c>
      <c r="I6177" s="283">
        <v>0</v>
      </c>
      <c r="J6177" s="284">
        <v>0</v>
      </c>
    </row>
    <row r="6178" spans="3:10" x14ac:dyDescent="0.25">
      <c r="C6178" s="300" t="s">
        <v>1068</v>
      </c>
      <c r="D6178" s="283" t="s">
        <v>1074</v>
      </c>
      <c r="E6178" s="283" t="s">
        <v>1075</v>
      </c>
      <c r="F6178" s="283" t="s">
        <v>1089</v>
      </c>
      <c r="G6178" s="283">
        <v>2</v>
      </c>
      <c r="H6178" s="283">
        <v>0</v>
      </c>
      <c r="I6178" s="283">
        <v>0</v>
      </c>
      <c r="J6178" s="284">
        <v>1</v>
      </c>
    </row>
    <row r="6179" spans="3:10" x14ac:dyDescent="0.25">
      <c r="C6179" s="300" t="s">
        <v>1064</v>
      </c>
      <c r="D6179" s="283" t="s">
        <v>1074</v>
      </c>
      <c r="E6179" s="283" t="s">
        <v>1089</v>
      </c>
      <c r="F6179" s="283" t="s">
        <v>1075</v>
      </c>
      <c r="G6179" s="283">
        <v>2</v>
      </c>
      <c r="H6179" s="283">
        <v>0</v>
      </c>
      <c r="I6179" s="283">
        <v>0</v>
      </c>
      <c r="J6179" s="284">
        <v>0</v>
      </c>
    </row>
    <row r="6180" spans="3:10" x14ac:dyDescent="0.25">
      <c r="C6180" s="300" t="s">
        <v>1068</v>
      </c>
      <c r="D6180" s="283" t="s">
        <v>1087</v>
      </c>
      <c r="E6180" s="283" t="s">
        <v>1075</v>
      </c>
      <c r="F6180" s="283" t="s">
        <v>524</v>
      </c>
      <c r="G6180" s="283">
        <v>1</v>
      </c>
      <c r="H6180" s="283">
        <v>0</v>
      </c>
      <c r="I6180" s="283">
        <v>0</v>
      </c>
      <c r="J6180" s="284">
        <v>0</v>
      </c>
    </row>
    <row r="6181" spans="3:10" x14ac:dyDescent="0.25">
      <c r="C6181" s="300" t="s">
        <v>1061</v>
      </c>
      <c r="D6181" s="283" t="s">
        <v>1077</v>
      </c>
      <c r="E6181" s="283" t="s">
        <v>1080</v>
      </c>
      <c r="F6181" s="283" t="s">
        <v>1083</v>
      </c>
      <c r="G6181" s="283">
        <v>2</v>
      </c>
      <c r="H6181" s="283">
        <v>0</v>
      </c>
      <c r="I6181" s="283">
        <v>0</v>
      </c>
      <c r="J6181" s="284">
        <v>0</v>
      </c>
    </row>
    <row r="6182" spans="3:10" x14ac:dyDescent="0.25">
      <c r="C6182" s="300" t="s">
        <v>1059</v>
      </c>
      <c r="D6182" s="283" t="s">
        <v>1077</v>
      </c>
      <c r="E6182" s="283" t="s">
        <v>1089</v>
      </c>
      <c r="F6182" s="283" t="s">
        <v>1075</v>
      </c>
      <c r="G6182" s="283">
        <v>2</v>
      </c>
      <c r="H6182" s="283">
        <v>0</v>
      </c>
      <c r="I6182" s="283">
        <v>0</v>
      </c>
      <c r="J6182" s="284">
        <v>1</v>
      </c>
    </row>
    <row r="6183" spans="3:10" x14ac:dyDescent="0.25">
      <c r="C6183" s="300" t="s">
        <v>1062</v>
      </c>
      <c r="D6183" s="283" t="s">
        <v>1074</v>
      </c>
      <c r="E6183" s="283" t="s">
        <v>1089</v>
      </c>
      <c r="F6183" s="283" t="s">
        <v>1075</v>
      </c>
      <c r="G6183" s="283">
        <v>2</v>
      </c>
      <c r="H6183" s="283">
        <v>0</v>
      </c>
      <c r="I6183" s="283">
        <v>0</v>
      </c>
      <c r="J6183" s="284">
        <v>0</v>
      </c>
    </row>
    <row r="6184" spans="3:10" x14ac:dyDescent="0.25">
      <c r="C6184" s="300" t="s">
        <v>1067</v>
      </c>
      <c r="D6184" s="283" t="s">
        <v>1079</v>
      </c>
      <c r="E6184" s="283" t="s">
        <v>1085</v>
      </c>
      <c r="F6184" s="283" t="s">
        <v>1075</v>
      </c>
      <c r="G6184" s="283">
        <v>2</v>
      </c>
      <c r="H6184" s="283">
        <v>0</v>
      </c>
      <c r="I6184" s="283">
        <v>0</v>
      </c>
      <c r="J6184" s="284">
        <v>0</v>
      </c>
    </row>
    <row r="6185" spans="3:10" x14ac:dyDescent="0.25">
      <c r="C6185" s="300" t="s">
        <v>1065</v>
      </c>
      <c r="D6185" s="283" t="s">
        <v>1077</v>
      </c>
      <c r="E6185" s="283" t="s">
        <v>1076</v>
      </c>
      <c r="F6185" s="283" t="s">
        <v>1075</v>
      </c>
      <c r="G6185" s="283">
        <v>2</v>
      </c>
      <c r="H6185" s="283">
        <v>0</v>
      </c>
      <c r="I6185" s="283">
        <v>0</v>
      </c>
      <c r="J6185" s="284">
        <v>0</v>
      </c>
    </row>
    <row r="6186" spans="3:10" x14ac:dyDescent="0.25">
      <c r="C6186" s="300" t="s">
        <v>1060</v>
      </c>
      <c r="D6186" s="283" t="s">
        <v>1074</v>
      </c>
      <c r="E6186" s="283" t="s">
        <v>1075</v>
      </c>
      <c r="F6186" s="283" t="s">
        <v>1075</v>
      </c>
      <c r="G6186" s="283">
        <v>2</v>
      </c>
      <c r="H6186" s="283">
        <v>0</v>
      </c>
      <c r="I6186" s="283">
        <v>0</v>
      </c>
      <c r="J6186" s="284">
        <v>1</v>
      </c>
    </row>
    <row r="6187" spans="3:10" x14ac:dyDescent="0.25">
      <c r="C6187" s="300" t="s">
        <v>1064</v>
      </c>
      <c r="D6187" s="283" t="s">
        <v>1074</v>
      </c>
      <c r="E6187" s="283" t="s">
        <v>1075</v>
      </c>
      <c r="F6187" s="283" t="s">
        <v>1081</v>
      </c>
      <c r="G6187" s="283">
        <v>2</v>
      </c>
      <c r="H6187" s="283">
        <v>0</v>
      </c>
      <c r="I6187" s="283">
        <v>0</v>
      </c>
      <c r="J6187" s="284">
        <v>0</v>
      </c>
    </row>
    <row r="6188" spans="3:10" x14ac:dyDescent="0.25">
      <c r="C6188" s="300" t="s">
        <v>1061</v>
      </c>
      <c r="D6188" s="283" t="s">
        <v>1079</v>
      </c>
      <c r="E6188" s="283" t="s">
        <v>1044</v>
      </c>
      <c r="F6188" s="283" t="s">
        <v>1084</v>
      </c>
      <c r="G6188" s="283">
        <v>2</v>
      </c>
      <c r="H6188" s="283">
        <v>0</v>
      </c>
      <c r="I6188" s="283">
        <v>1</v>
      </c>
      <c r="J6188" s="284">
        <v>0</v>
      </c>
    </row>
    <row r="6189" spans="3:10" x14ac:dyDescent="0.25">
      <c r="C6189" s="300" t="s">
        <v>1060</v>
      </c>
      <c r="D6189" s="283" t="s">
        <v>1077</v>
      </c>
      <c r="E6189" s="283" t="s">
        <v>1076</v>
      </c>
      <c r="F6189" s="283" t="s">
        <v>1075</v>
      </c>
      <c r="G6189" s="283">
        <v>3</v>
      </c>
      <c r="H6189" s="283">
        <v>0</v>
      </c>
      <c r="I6189" s="283">
        <v>0</v>
      </c>
      <c r="J6189" s="284">
        <v>0</v>
      </c>
    </row>
    <row r="6190" spans="3:10" x14ac:dyDescent="0.25">
      <c r="C6190" s="300" t="s">
        <v>1064</v>
      </c>
      <c r="D6190" s="283" t="s">
        <v>1074</v>
      </c>
      <c r="E6190" s="283" t="s">
        <v>1075</v>
      </c>
      <c r="F6190" s="283" t="s">
        <v>1075</v>
      </c>
      <c r="G6190" s="283">
        <v>3</v>
      </c>
      <c r="H6190" s="283">
        <v>0</v>
      </c>
      <c r="I6190" s="283">
        <v>0</v>
      </c>
      <c r="J6190" s="284">
        <v>0</v>
      </c>
    </row>
    <row r="6191" spans="3:10" x14ac:dyDescent="0.25">
      <c r="C6191" s="300" t="s">
        <v>1065</v>
      </c>
      <c r="D6191" s="283" t="s">
        <v>1077</v>
      </c>
      <c r="E6191" s="283" t="s">
        <v>1075</v>
      </c>
      <c r="F6191" s="283" t="s">
        <v>1089</v>
      </c>
      <c r="G6191" s="283">
        <v>2</v>
      </c>
      <c r="H6191" s="283">
        <v>0</v>
      </c>
      <c r="I6191" s="283">
        <v>0</v>
      </c>
      <c r="J6191" s="284">
        <v>1</v>
      </c>
    </row>
    <row r="6192" spans="3:10" x14ac:dyDescent="0.25">
      <c r="C6192" s="300" t="s">
        <v>1062</v>
      </c>
      <c r="D6192" s="283" t="s">
        <v>1079</v>
      </c>
      <c r="E6192" s="283" t="s">
        <v>1086</v>
      </c>
      <c r="F6192" s="283" t="s">
        <v>1075</v>
      </c>
      <c r="G6192" s="283">
        <v>2</v>
      </c>
      <c r="H6192" s="283">
        <v>0</v>
      </c>
      <c r="I6192" s="283">
        <v>0</v>
      </c>
      <c r="J6192" s="284">
        <v>0</v>
      </c>
    </row>
    <row r="6193" spans="3:10" x14ac:dyDescent="0.25">
      <c r="C6193" s="300" t="s">
        <v>1061</v>
      </c>
      <c r="D6193" s="283" t="s">
        <v>1079</v>
      </c>
      <c r="E6193" s="283" t="s">
        <v>1076</v>
      </c>
      <c r="F6193" s="283" t="s">
        <v>1075</v>
      </c>
      <c r="G6193" s="283">
        <v>4</v>
      </c>
      <c r="H6193" s="283">
        <v>0</v>
      </c>
      <c r="I6193" s="283">
        <v>0</v>
      </c>
      <c r="J6193" s="284">
        <v>1</v>
      </c>
    </row>
    <row r="6194" spans="3:10" x14ac:dyDescent="0.25">
      <c r="C6194" s="300" t="s">
        <v>1065</v>
      </c>
      <c r="D6194" s="283" t="s">
        <v>1077</v>
      </c>
      <c r="E6194" s="283" t="s">
        <v>1075</v>
      </c>
      <c r="F6194" s="283" t="s">
        <v>1075</v>
      </c>
      <c r="G6194" s="283">
        <v>2</v>
      </c>
      <c r="H6194" s="283">
        <v>0</v>
      </c>
      <c r="I6194" s="283">
        <v>0</v>
      </c>
      <c r="J6194" s="284">
        <v>1</v>
      </c>
    </row>
    <row r="6195" spans="3:10" x14ac:dyDescent="0.25">
      <c r="C6195" s="300" t="s">
        <v>1061</v>
      </c>
      <c r="D6195" s="283" t="s">
        <v>1077</v>
      </c>
      <c r="E6195" s="283" t="s">
        <v>1076</v>
      </c>
      <c r="F6195" s="283" t="s">
        <v>1089</v>
      </c>
      <c r="G6195" s="283">
        <v>3</v>
      </c>
      <c r="H6195" s="283">
        <v>0</v>
      </c>
      <c r="I6195" s="283">
        <v>0</v>
      </c>
      <c r="J6195" s="284">
        <v>0</v>
      </c>
    </row>
    <row r="6196" spans="3:10" x14ac:dyDescent="0.25">
      <c r="C6196" s="300" t="s">
        <v>1065</v>
      </c>
      <c r="D6196" s="283" t="s">
        <v>1074</v>
      </c>
      <c r="E6196" s="283" t="s">
        <v>1078</v>
      </c>
      <c r="F6196" s="283" t="s">
        <v>1078</v>
      </c>
      <c r="G6196" s="283">
        <v>2</v>
      </c>
      <c r="H6196" s="283">
        <v>0</v>
      </c>
      <c r="I6196" s="283">
        <v>0</v>
      </c>
      <c r="J6196" s="284">
        <v>0</v>
      </c>
    </row>
    <row r="6197" spans="3:10" x14ac:dyDescent="0.25">
      <c r="C6197" s="300" t="s">
        <v>1068</v>
      </c>
      <c r="D6197" s="283" t="s">
        <v>1077</v>
      </c>
      <c r="E6197" s="283" t="s">
        <v>1088</v>
      </c>
      <c r="F6197" s="283" t="s">
        <v>1075</v>
      </c>
      <c r="G6197" s="283">
        <v>2</v>
      </c>
      <c r="H6197" s="283">
        <v>0</v>
      </c>
      <c r="I6197" s="283">
        <v>0</v>
      </c>
      <c r="J6197" s="284">
        <v>0</v>
      </c>
    </row>
    <row r="6198" spans="3:10" x14ac:dyDescent="0.25">
      <c r="C6198" s="300" t="s">
        <v>1065</v>
      </c>
      <c r="D6198" s="283" t="s">
        <v>1077</v>
      </c>
      <c r="E6198" s="283" t="s">
        <v>1075</v>
      </c>
      <c r="F6198" s="283" t="s">
        <v>1078</v>
      </c>
      <c r="G6198" s="283">
        <v>2</v>
      </c>
      <c r="H6198" s="283">
        <v>0</v>
      </c>
      <c r="I6198" s="283">
        <v>0</v>
      </c>
      <c r="J6198" s="284">
        <v>0</v>
      </c>
    </row>
    <row r="6199" spans="3:10" x14ac:dyDescent="0.25">
      <c r="C6199" s="300" t="s">
        <v>1060</v>
      </c>
      <c r="D6199" s="283" t="s">
        <v>1074</v>
      </c>
      <c r="E6199" s="283" t="s">
        <v>1075</v>
      </c>
      <c r="F6199" s="283" t="s">
        <v>1075</v>
      </c>
      <c r="G6199" s="283">
        <v>2</v>
      </c>
      <c r="H6199" s="283">
        <v>0</v>
      </c>
      <c r="I6199" s="283">
        <v>0</v>
      </c>
      <c r="J6199" s="284">
        <v>0</v>
      </c>
    </row>
    <row r="6200" spans="3:10" x14ac:dyDescent="0.25">
      <c r="C6200" s="300" t="s">
        <v>1066</v>
      </c>
      <c r="D6200" s="283" t="s">
        <v>1074</v>
      </c>
      <c r="E6200" s="283" t="s">
        <v>1083</v>
      </c>
      <c r="F6200" s="283" t="s">
        <v>1075</v>
      </c>
      <c r="G6200" s="283">
        <v>2</v>
      </c>
      <c r="H6200" s="283">
        <v>0</v>
      </c>
      <c r="I6200" s="283">
        <v>0</v>
      </c>
      <c r="J6200" s="284">
        <v>0</v>
      </c>
    </row>
    <row r="6201" spans="3:10" x14ac:dyDescent="0.25">
      <c r="C6201" s="300" t="s">
        <v>1064</v>
      </c>
      <c r="D6201" s="283" t="s">
        <v>1077</v>
      </c>
      <c r="E6201" s="283" t="s">
        <v>1078</v>
      </c>
      <c r="F6201" s="283" t="s">
        <v>1075</v>
      </c>
      <c r="G6201" s="283">
        <v>2</v>
      </c>
      <c r="H6201" s="283">
        <v>0</v>
      </c>
      <c r="I6201" s="283">
        <v>0</v>
      </c>
      <c r="J6201" s="284">
        <v>0</v>
      </c>
    </row>
    <row r="6202" spans="3:10" x14ac:dyDescent="0.25">
      <c r="C6202" s="300" t="s">
        <v>1067</v>
      </c>
      <c r="D6202" s="283" t="s">
        <v>1074</v>
      </c>
      <c r="E6202" s="283" t="s">
        <v>1075</v>
      </c>
      <c r="F6202" s="283" t="s">
        <v>1075</v>
      </c>
      <c r="G6202" s="283">
        <v>3</v>
      </c>
      <c r="H6202" s="283">
        <v>0</v>
      </c>
      <c r="I6202" s="283">
        <v>0</v>
      </c>
      <c r="J6202" s="284">
        <v>1</v>
      </c>
    </row>
    <row r="6203" spans="3:10" x14ac:dyDescent="0.25">
      <c r="C6203" s="300" t="s">
        <v>1067</v>
      </c>
      <c r="D6203" s="283" t="s">
        <v>1074</v>
      </c>
      <c r="E6203" s="283" t="s">
        <v>1076</v>
      </c>
      <c r="F6203" s="283" t="s">
        <v>1089</v>
      </c>
      <c r="G6203" s="283">
        <v>2</v>
      </c>
      <c r="H6203" s="283">
        <v>0</v>
      </c>
      <c r="I6203" s="283">
        <v>0</v>
      </c>
      <c r="J6203" s="284">
        <v>2</v>
      </c>
    </row>
    <row r="6204" spans="3:10" x14ac:dyDescent="0.25">
      <c r="C6204" s="300" t="s">
        <v>1061</v>
      </c>
      <c r="D6204" s="283" t="s">
        <v>1079</v>
      </c>
      <c r="E6204" s="283" t="s">
        <v>1075</v>
      </c>
      <c r="F6204" s="283" t="s">
        <v>1097</v>
      </c>
      <c r="G6204" s="283">
        <v>2</v>
      </c>
      <c r="H6204" s="283">
        <v>0</v>
      </c>
      <c r="I6204" s="283">
        <v>0</v>
      </c>
      <c r="J6204" s="284">
        <v>0</v>
      </c>
    </row>
    <row r="6205" spans="3:10" x14ac:dyDescent="0.25">
      <c r="C6205" s="300" t="s">
        <v>1067</v>
      </c>
      <c r="D6205" s="283" t="s">
        <v>1079</v>
      </c>
      <c r="E6205" s="283" t="s">
        <v>1089</v>
      </c>
      <c r="F6205" s="283" t="s">
        <v>1083</v>
      </c>
      <c r="G6205" s="283">
        <v>2</v>
      </c>
      <c r="H6205" s="283">
        <v>0</v>
      </c>
      <c r="I6205" s="283">
        <v>0</v>
      </c>
      <c r="J6205" s="284">
        <v>1</v>
      </c>
    </row>
    <row r="6206" spans="3:10" x14ac:dyDescent="0.25">
      <c r="C6206" s="300" t="s">
        <v>1064</v>
      </c>
      <c r="D6206" s="283" t="s">
        <v>1074</v>
      </c>
      <c r="E6206" s="283" t="s">
        <v>1075</v>
      </c>
      <c r="F6206" s="283" t="s">
        <v>1075</v>
      </c>
      <c r="G6206" s="283">
        <v>2</v>
      </c>
      <c r="H6206" s="283">
        <v>0</v>
      </c>
      <c r="I6206" s="283">
        <v>0</v>
      </c>
      <c r="J6206" s="284">
        <v>1</v>
      </c>
    </row>
    <row r="6207" spans="3:10" x14ac:dyDescent="0.25">
      <c r="C6207" s="300" t="s">
        <v>1065</v>
      </c>
      <c r="D6207" s="283" t="s">
        <v>1077</v>
      </c>
      <c r="E6207" s="283" t="s">
        <v>1086</v>
      </c>
      <c r="F6207" s="283" t="s">
        <v>1078</v>
      </c>
      <c r="G6207" s="283">
        <v>2</v>
      </c>
      <c r="H6207" s="283">
        <v>0</v>
      </c>
      <c r="I6207" s="283">
        <v>0</v>
      </c>
      <c r="J6207" s="284">
        <v>0</v>
      </c>
    </row>
    <row r="6208" spans="3:10" x14ac:dyDescent="0.25">
      <c r="C6208" s="300" t="s">
        <v>1063</v>
      </c>
      <c r="D6208" s="283" t="s">
        <v>1079</v>
      </c>
      <c r="E6208" s="283" t="s">
        <v>1089</v>
      </c>
      <c r="F6208" s="283" t="s">
        <v>1089</v>
      </c>
      <c r="G6208" s="283">
        <v>2</v>
      </c>
      <c r="H6208" s="283">
        <v>0</v>
      </c>
      <c r="I6208" s="283">
        <v>0</v>
      </c>
      <c r="J6208" s="284">
        <v>1</v>
      </c>
    </row>
    <row r="6209" spans="3:10" x14ac:dyDescent="0.25">
      <c r="C6209" s="300" t="s">
        <v>1067</v>
      </c>
      <c r="D6209" s="283" t="s">
        <v>1077</v>
      </c>
      <c r="E6209" s="283" t="s">
        <v>1078</v>
      </c>
      <c r="F6209" s="283" t="s">
        <v>1075</v>
      </c>
      <c r="G6209" s="283">
        <v>2</v>
      </c>
      <c r="H6209" s="283">
        <v>0</v>
      </c>
      <c r="I6209" s="283">
        <v>0</v>
      </c>
      <c r="J6209" s="284">
        <v>0</v>
      </c>
    </row>
    <row r="6210" spans="3:10" x14ac:dyDescent="0.25">
      <c r="C6210" s="300" t="s">
        <v>1067</v>
      </c>
      <c r="D6210" s="283" t="s">
        <v>1087</v>
      </c>
      <c r="E6210" s="283" t="s">
        <v>1078</v>
      </c>
      <c r="F6210" s="283" t="s">
        <v>524</v>
      </c>
      <c r="G6210" s="283">
        <v>1</v>
      </c>
      <c r="H6210" s="283">
        <v>0</v>
      </c>
      <c r="I6210" s="283">
        <v>0</v>
      </c>
      <c r="J6210" s="284">
        <v>1</v>
      </c>
    </row>
    <row r="6211" spans="3:10" x14ac:dyDescent="0.25">
      <c r="C6211" s="300" t="s">
        <v>1057</v>
      </c>
      <c r="D6211" s="283" t="s">
        <v>1087</v>
      </c>
      <c r="E6211" s="283" t="s">
        <v>1089</v>
      </c>
      <c r="F6211" s="283" t="s">
        <v>524</v>
      </c>
      <c r="G6211" s="283">
        <v>1</v>
      </c>
      <c r="H6211" s="283">
        <v>0</v>
      </c>
      <c r="I6211" s="283">
        <v>0</v>
      </c>
      <c r="J6211" s="284">
        <v>0</v>
      </c>
    </row>
    <row r="6212" spans="3:10" x14ac:dyDescent="0.25">
      <c r="C6212" s="300" t="s">
        <v>1063</v>
      </c>
      <c r="D6212" s="283" t="s">
        <v>1079</v>
      </c>
      <c r="E6212" s="283" t="s">
        <v>1044</v>
      </c>
      <c r="F6212" s="283" t="s">
        <v>1075</v>
      </c>
      <c r="G6212" s="283">
        <v>2</v>
      </c>
      <c r="H6212" s="283">
        <v>0</v>
      </c>
      <c r="I6212" s="283">
        <v>0</v>
      </c>
      <c r="J6212" s="284">
        <v>1</v>
      </c>
    </row>
    <row r="6213" spans="3:10" x14ac:dyDescent="0.25">
      <c r="C6213" s="300" t="s">
        <v>1068</v>
      </c>
      <c r="D6213" s="283" t="s">
        <v>1043</v>
      </c>
      <c r="E6213" s="283" t="s">
        <v>1078</v>
      </c>
      <c r="F6213" s="283" t="s">
        <v>1092</v>
      </c>
      <c r="G6213" s="283">
        <v>2</v>
      </c>
      <c r="H6213" s="283">
        <v>0</v>
      </c>
      <c r="I6213" s="283">
        <v>0</v>
      </c>
      <c r="J6213" s="284">
        <v>1</v>
      </c>
    </row>
    <row r="6214" spans="3:10" x14ac:dyDescent="0.25">
      <c r="C6214" s="300" t="s">
        <v>1066</v>
      </c>
      <c r="D6214" s="283" t="s">
        <v>1043</v>
      </c>
      <c r="E6214" s="283" t="s">
        <v>1075</v>
      </c>
      <c r="F6214" s="283" t="s">
        <v>1092</v>
      </c>
      <c r="G6214" s="283">
        <v>2</v>
      </c>
      <c r="H6214" s="283">
        <v>0</v>
      </c>
      <c r="I6214" s="283">
        <v>1</v>
      </c>
      <c r="J6214" s="284">
        <v>0</v>
      </c>
    </row>
    <row r="6215" spans="3:10" x14ac:dyDescent="0.25">
      <c r="C6215" s="300" t="s">
        <v>1066</v>
      </c>
      <c r="D6215" s="283" t="s">
        <v>1077</v>
      </c>
      <c r="E6215" s="283" t="s">
        <v>1075</v>
      </c>
      <c r="F6215" s="283" t="s">
        <v>1075</v>
      </c>
      <c r="G6215" s="283">
        <v>2</v>
      </c>
      <c r="H6215" s="283">
        <v>0</v>
      </c>
      <c r="I6215" s="283">
        <v>0</v>
      </c>
      <c r="J6215" s="284">
        <v>1</v>
      </c>
    </row>
    <row r="6216" spans="3:10" x14ac:dyDescent="0.25">
      <c r="C6216" s="300" t="s">
        <v>1059</v>
      </c>
      <c r="D6216" s="283" t="s">
        <v>1079</v>
      </c>
      <c r="E6216" s="283" t="s">
        <v>1075</v>
      </c>
      <c r="F6216" s="283" t="s">
        <v>1075</v>
      </c>
      <c r="G6216" s="283">
        <v>2</v>
      </c>
      <c r="H6216" s="283">
        <v>0</v>
      </c>
      <c r="I6216" s="283">
        <v>0</v>
      </c>
      <c r="J6216" s="284">
        <v>2</v>
      </c>
    </row>
    <row r="6217" spans="3:10" x14ac:dyDescent="0.25">
      <c r="C6217" s="300" t="s">
        <v>1065</v>
      </c>
      <c r="D6217" s="283" t="s">
        <v>1079</v>
      </c>
      <c r="E6217" s="283" t="s">
        <v>1075</v>
      </c>
      <c r="F6217" s="283" t="s">
        <v>1089</v>
      </c>
      <c r="G6217" s="283">
        <v>2</v>
      </c>
      <c r="H6217" s="283">
        <v>0</v>
      </c>
      <c r="I6217" s="283">
        <v>0</v>
      </c>
      <c r="J6217" s="284">
        <v>3</v>
      </c>
    </row>
    <row r="6218" spans="3:10" x14ac:dyDescent="0.25">
      <c r="C6218" s="300" t="s">
        <v>1063</v>
      </c>
      <c r="D6218" s="283" t="s">
        <v>1079</v>
      </c>
      <c r="E6218" s="283" t="s">
        <v>1075</v>
      </c>
      <c r="F6218" s="283" t="s">
        <v>1076</v>
      </c>
      <c r="G6218" s="283">
        <v>2</v>
      </c>
      <c r="H6218" s="283">
        <v>0</v>
      </c>
      <c r="I6218" s="283">
        <v>0</v>
      </c>
      <c r="J6218" s="284">
        <v>0</v>
      </c>
    </row>
    <row r="6219" spans="3:10" x14ac:dyDescent="0.25">
      <c r="C6219" s="300" t="s">
        <v>1063</v>
      </c>
      <c r="D6219" s="283" t="s">
        <v>1087</v>
      </c>
      <c r="E6219" s="283" t="s">
        <v>1075</v>
      </c>
      <c r="F6219" s="283" t="s">
        <v>524</v>
      </c>
      <c r="G6219" s="283">
        <v>1</v>
      </c>
      <c r="H6219" s="283">
        <v>0</v>
      </c>
      <c r="I6219" s="283">
        <v>0</v>
      </c>
      <c r="J6219" s="284">
        <v>0</v>
      </c>
    </row>
    <row r="6220" spans="3:10" x14ac:dyDescent="0.25">
      <c r="C6220" s="300" t="s">
        <v>1064</v>
      </c>
      <c r="D6220" s="283" t="s">
        <v>1079</v>
      </c>
      <c r="E6220" s="283" t="s">
        <v>1080</v>
      </c>
      <c r="F6220" s="283" t="s">
        <v>1089</v>
      </c>
      <c r="G6220" s="283">
        <v>2</v>
      </c>
      <c r="H6220" s="283">
        <v>0</v>
      </c>
      <c r="I6220" s="283">
        <v>0</v>
      </c>
      <c r="J6220" s="284">
        <v>0</v>
      </c>
    </row>
    <row r="6221" spans="3:10" x14ac:dyDescent="0.25">
      <c r="C6221" s="300" t="s">
        <v>1060</v>
      </c>
      <c r="D6221" s="283" t="s">
        <v>1079</v>
      </c>
      <c r="E6221" s="283" t="s">
        <v>1078</v>
      </c>
      <c r="F6221" s="283" t="s">
        <v>1089</v>
      </c>
      <c r="G6221" s="283">
        <v>3</v>
      </c>
      <c r="H6221" s="283">
        <v>0</v>
      </c>
      <c r="I6221" s="283">
        <v>0</v>
      </c>
      <c r="J6221" s="284">
        <v>0</v>
      </c>
    </row>
    <row r="6222" spans="3:10" x14ac:dyDescent="0.25">
      <c r="C6222" s="300" t="s">
        <v>1060</v>
      </c>
      <c r="D6222" s="283" t="s">
        <v>1077</v>
      </c>
      <c r="E6222" s="283" t="s">
        <v>1078</v>
      </c>
      <c r="F6222" s="283" t="s">
        <v>1089</v>
      </c>
      <c r="G6222" s="283">
        <v>2</v>
      </c>
      <c r="H6222" s="283">
        <v>0</v>
      </c>
      <c r="I6222" s="283">
        <v>0</v>
      </c>
      <c r="J6222" s="284">
        <v>0</v>
      </c>
    </row>
    <row r="6223" spans="3:10" x14ac:dyDescent="0.25">
      <c r="C6223" s="300" t="s">
        <v>1065</v>
      </c>
      <c r="D6223" s="283" t="s">
        <v>1079</v>
      </c>
      <c r="E6223" s="283" t="s">
        <v>1075</v>
      </c>
      <c r="F6223" s="283" t="s">
        <v>1078</v>
      </c>
      <c r="G6223" s="283">
        <v>2</v>
      </c>
      <c r="H6223" s="283">
        <v>0</v>
      </c>
      <c r="I6223" s="283">
        <v>0</v>
      </c>
      <c r="J6223" s="284">
        <v>0</v>
      </c>
    </row>
    <row r="6224" spans="3:10" x14ac:dyDescent="0.25">
      <c r="C6224" s="300" t="s">
        <v>1066</v>
      </c>
      <c r="D6224" s="283" t="s">
        <v>1079</v>
      </c>
      <c r="E6224" s="283" t="s">
        <v>1075</v>
      </c>
      <c r="F6224" s="283" t="s">
        <v>1075</v>
      </c>
      <c r="G6224" s="283">
        <v>2</v>
      </c>
      <c r="H6224" s="283">
        <v>0</v>
      </c>
      <c r="I6224" s="283">
        <v>0</v>
      </c>
      <c r="J6224" s="284">
        <v>0</v>
      </c>
    </row>
    <row r="6225" spans="3:10" x14ac:dyDescent="0.25">
      <c r="C6225" s="300" t="s">
        <v>1060</v>
      </c>
      <c r="D6225" s="283" t="s">
        <v>1087</v>
      </c>
      <c r="E6225" s="283" t="s">
        <v>1075</v>
      </c>
      <c r="F6225" s="283" t="s">
        <v>524</v>
      </c>
      <c r="G6225" s="283">
        <v>1</v>
      </c>
      <c r="H6225" s="283">
        <v>0</v>
      </c>
      <c r="I6225" s="283">
        <v>0</v>
      </c>
      <c r="J6225" s="284">
        <v>0</v>
      </c>
    </row>
    <row r="6226" spans="3:10" x14ac:dyDescent="0.25">
      <c r="C6226" s="300" t="s">
        <v>1067</v>
      </c>
      <c r="D6226" s="283" t="s">
        <v>1079</v>
      </c>
      <c r="E6226" s="283" t="s">
        <v>1089</v>
      </c>
      <c r="F6226" s="283" t="s">
        <v>1075</v>
      </c>
      <c r="G6226" s="283">
        <v>2</v>
      </c>
      <c r="H6226" s="283">
        <v>0</v>
      </c>
      <c r="I6226" s="283">
        <v>0</v>
      </c>
      <c r="J6226" s="284">
        <v>0</v>
      </c>
    </row>
    <row r="6227" spans="3:10" x14ac:dyDescent="0.25">
      <c r="C6227" s="300" t="s">
        <v>1063</v>
      </c>
      <c r="D6227" s="283" t="s">
        <v>1043</v>
      </c>
      <c r="E6227" s="283" t="s">
        <v>1091</v>
      </c>
      <c r="F6227" s="283" t="s">
        <v>1092</v>
      </c>
      <c r="G6227" s="283">
        <v>2</v>
      </c>
      <c r="H6227" s="283">
        <v>0</v>
      </c>
      <c r="I6227" s="283">
        <v>0</v>
      </c>
      <c r="J6227" s="284">
        <v>1</v>
      </c>
    </row>
    <row r="6228" spans="3:10" x14ac:dyDescent="0.25">
      <c r="C6228" s="300" t="s">
        <v>1066</v>
      </c>
      <c r="D6228" s="283" t="s">
        <v>1074</v>
      </c>
      <c r="E6228" s="283" t="s">
        <v>1075</v>
      </c>
      <c r="F6228" s="283" t="s">
        <v>1089</v>
      </c>
      <c r="G6228" s="283">
        <v>2</v>
      </c>
      <c r="H6228" s="283">
        <v>0</v>
      </c>
      <c r="I6228" s="283">
        <v>0</v>
      </c>
      <c r="J6228" s="284">
        <v>0</v>
      </c>
    </row>
    <row r="6229" spans="3:10" x14ac:dyDescent="0.25">
      <c r="C6229" s="300" t="s">
        <v>1066</v>
      </c>
      <c r="D6229" s="283" t="s">
        <v>1077</v>
      </c>
      <c r="E6229" s="283" t="s">
        <v>1076</v>
      </c>
      <c r="F6229" s="283" t="s">
        <v>1076</v>
      </c>
      <c r="G6229" s="283">
        <v>2</v>
      </c>
      <c r="H6229" s="283">
        <v>0</v>
      </c>
      <c r="I6229" s="283">
        <v>0</v>
      </c>
      <c r="J6229" s="284">
        <v>0</v>
      </c>
    </row>
    <row r="6230" spans="3:10" x14ac:dyDescent="0.25">
      <c r="C6230" s="300" t="s">
        <v>1060</v>
      </c>
      <c r="D6230" s="283" t="s">
        <v>1079</v>
      </c>
      <c r="E6230" s="283" t="s">
        <v>1084</v>
      </c>
      <c r="F6230" s="283" t="s">
        <v>1075</v>
      </c>
      <c r="G6230" s="283">
        <v>2</v>
      </c>
      <c r="H6230" s="283">
        <v>0</v>
      </c>
      <c r="I6230" s="283">
        <v>0</v>
      </c>
      <c r="J6230" s="284">
        <v>0</v>
      </c>
    </row>
    <row r="6231" spans="3:10" x14ac:dyDescent="0.25">
      <c r="C6231" s="300" t="s">
        <v>1061</v>
      </c>
      <c r="D6231" s="283" t="s">
        <v>1079</v>
      </c>
      <c r="E6231" s="283" t="s">
        <v>1075</v>
      </c>
      <c r="F6231" s="283" t="s">
        <v>1075</v>
      </c>
      <c r="G6231" s="283">
        <v>2</v>
      </c>
      <c r="H6231" s="283">
        <v>0</v>
      </c>
      <c r="I6231" s="283">
        <v>0</v>
      </c>
      <c r="J6231" s="284">
        <v>0</v>
      </c>
    </row>
    <row r="6232" spans="3:10" x14ac:dyDescent="0.25">
      <c r="C6232" s="300" t="s">
        <v>1059</v>
      </c>
      <c r="D6232" s="283" t="s">
        <v>1077</v>
      </c>
      <c r="E6232" s="283" t="s">
        <v>1084</v>
      </c>
      <c r="F6232" s="283" t="s">
        <v>1075</v>
      </c>
      <c r="G6232" s="283">
        <v>2</v>
      </c>
      <c r="H6232" s="283">
        <v>0</v>
      </c>
      <c r="I6232" s="283">
        <v>0</v>
      </c>
      <c r="J6232" s="284">
        <v>0</v>
      </c>
    </row>
    <row r="6233" spans="3:10" x14ac:dyDescent="0.25">
      <c r="C6233" s="300" t="s">
        <v>1064</v>
      </c>
      <c r="D6233" s="283" t="s">
        <v>1090</v>
      </c>
      <c r="E6233" s="283" t="s">
        <v>1075</v>
      </c>
      <c r="F6233" s="283" t="s">
        <v>524</v>
      </c>
      <c r="G6233" s="283">
        <v>1</v>
      </c>
      <c r="H6233" s="283">
        <v>0</v>
      </c>
      <c r="I6233" s="283">
        <v>1</v>
      </c>
      <c r="J6233" s="284">
        <v>0</v>
      </c>
    </row>
    <row r="6234" spans="3:10" x14ac:dyDescent="0.25">
      <c r="C6234" s="300" t="s">
        <v>1061</v>
      </c>
      <c r="D6234" s="283" t="s">
        <v>1079</v>
      </c>
      <c r="E6234" s="283" t="s">
        <v>1075</v>
      </c>
      <c r="F6234" s="283" t="s">
        <v>1083</v>
      </c>
      <c r="G6234" s="283">
        <v>2</v>
      </c>
      <c r="H6234" s="283">
        <v>0</v>
      </c>
      <c r="I6234" s="283">
        <v>1</v>
      </c>
      <c r="J6234" s="284">
        <v>0</v>
      </c>
    </row>
    <row r="6235" spans="3:10" x14ac:dyDescent="0.25">
      <c r="C6235" s="300" t="s">
        <v>1062</v>
      </c>
      <c r="D6235" s="283" t="s">
        <v>1087</v>
      </c>
      <c r="E6235" s="283" t="s">
        <v>1075</v>
      </c>
      <c r="F6235" s="283" t="s">
        <v>524</v>
      </c>
      <c r="G6235" s="283">
        <v>1</v>
      </c>
      <c r="H6235" s="283">
        <v>0</v>
      </c>
      <c r="I6235" s="283">
        <v>1</v>
      </c>
      <c r="J6235" s="284">
        <v>0</v>
      </c>
    </row>
    <row r="6236" spans="3:10" x14ac:dyDescent="0.25">
      <c r="C6236" s="300" t="s">
        <v>1064</v>
      </c>
      <c r="D6236" s="283" t="s">
        <v>1074</v>
      </c>
      <c r="E6236" s="283" t="s">
        <v>1089</v>
      </c>
      <c r="F6236" s="283" t="s">
        <v>1078</v>
      </c>
      <c r="G6236" s="283">
        <v>2</v>
      </c>
      <c r="H6236" s="283">
        <v>0</v>
      </c>
      <c r="I6236" s="283">
        <v>1</v>
      </c>
      <c r="J6236" s="284">
        <v>0</v>
      </c>
    </row>
    <row r="6237" spans="3:10" x14ac:dyDescent="0.25">
      <c r="C6237" s="300" t="s">
        <v>1063</v>
      </c>
      <c r="D6237" s="283" t="s">
        <v>1077</v>
      </c>
      <c r="E6237" s="283" t="s">
        <v>1076</v>
      </c>
      <c r="F6237" s="283" t="s">
        <v>1075</v>
      </c>
      <c r="G6237" s="283">
        <v>2</v>
      </c>
      <c r="H6237" s="283">
        <v>0</v>
      </c>
      <c r="I6237" s="283">
        <v>0</v>
      </c>
      <c r="J6237" s="284">
        <v>0</v>
      </c>
    </row>
    <row r="6238" spans="3:10" x14ac:dyDescent="0.25">
      <c r="C6238" s="300" t="s">
        <v>1057</v>
      </c>
      <c r="D6238" s="283" t="s">
        <v>1087</v>
      </c>
      <c r="E6238" s="283" t="s">
        <v>1075</v>
      </c>
      <c r="F6238" s="283" t="s">
        <v>524</v>
      </c>
      <c r="G6238" s="283">
        <v>1</v>
      </c>
      <c r="H6238" s="283">
        <v>0</v>
      </c>
      <c r="I6238" s="283">
        <v>0</v>
      </c>
      <c r="J6238" s="284">
        <v>0</v>
      </c>
    </row>
    <row r="6239" spans="3:10" x14ac:dyDescent="0.25">
      <c r="C6239" s="300" t="s">
        <v>1059</v>
      </c>
      <c r="D6239" s="283" t="s">
        <v>1077</v>
      </c>
      <c r="E6239" s="283" t="s">
        <v>1075</v>
      </c>
      <c r="F6239" s="283" t="s">
        <v>1083</v>
      </c>
      <c r="G6239" s="283">
        <v>2</v>
      </c>
      <c r="H6239" s="283">
        <v>0</v>
      </c>
      <c r="I6239" s="283">
        <v>0</v>
      </c>
      <c r="J6239" s="284">
        <v>1</v>
      </c>
    </row>
    <row r="6240" spans="3:10" x14ac:dyDescent="0.25">
      <c r="C6240" s="300" t="s">
        <v>1065</v>
      </c>
      <c r="D6240" s="283" t="s">
        <v>1074</v>
      </c>
      <c r="E6240" s="283" t="s">
        <v>1078</v>
      </c>
      <c r="F6240" s="283" t="s">
        <v>1075</v>
      </c>
      <c r="G6240" s="283">
        <v>2</v>
      </c>
      <c r="H6240" s="283">
        <v>0</v>
      </c>
      <c r="I6240" s="283">
        <v>0</v>
      </c>
      <c r="J6240" s="284">
        <v>0</v>
      </c>
    </row>
    <row r="6241" spans="3:10" x14ac:dyDescent="0.25">
      <c r="C6241" s="300" t="s">
        <v>1063</v>
      </c>
      <c r="D6241" s="283" t="s">
        <v>1077</v>
      </c>
      <c r="E6241" s="283" t="s">
        <v>1075</v>
      </c>
      <c r="F6241" s="283" t="s">
        <v>1075</v>
      </c>
      <c r="G6241" s="283">
        <v>4</v>
      </c>
      <c r="H6241" s="283">
        <v>0</v>
      </c>
      <c r="I6241" s="283">
        <v>0</v>
      </c>
      <c r="J6241" s="284">
        <v>0</v>
      </c>
    </row>
    <row r="6242" spans="3:10" x14ac:dyDescent="0.25">
      <c r="C6242" s="300" t="s">
        <v>1065</v>
      </c>
      <c r="D6242" s="283" t="s">
        <v>1079</v>
      </c>
      <c r="E6242" s="283" t="s">
        <v>1075</v>
      </c>
      <c r="F6242" s="283" t="s">
        <v>1075</v>
      </c>
      <c r="G6242" s="283">
        <v>2</v>
      </c>
      <c r="H6242" s="283">
        <v>0</v>
      </c>
      <c r="I6242" s="283">
        <v>0</v>
      </c>
      <c r="J6242" s="284">
        <v>0</v>
      </c>
    </row>
    <row r="6243" spans="3:10" x14ac:dyDescent="0.25">
      <c r="C6243" s="300" t="s">
        <v>1065</v>
      </c>
      <c r="D6243" s="283" t="s">
        <v>1077</v>
      </c>
      <c r="E6243" s="283" t="s">
        <v>1078</v>
      </c>
      <c r="F6243" s="283" t="s">
        <v>1076</v>
      </c>
      <c r="G6243" s="283">
        <v>2</v>
      </c>
      <c r="H6243" s="283">
        <v>0</v>
      </c>
      <c r="I6243" s="283">
        <v>0</v>
      </c>
      <c r="J6243" s="284">
        <v>0</v>
      </c>
    </row>
    <row r="6244" spans="3:10" x14ac:dyDescent="0.25">
      <c r="C6244" s="300" t="s">
        <v>1065</v>
      </c>
      <c r="D6244" s="283" t="s">
        <v>1077</v>
      </c>
      <c r="E6244" s="283" t="s">
        <v>1084</v>
      </c>
      <c r="F6244" s="283" t="s">
        <v>1075</v>
      </c>
      <c r="G6244" s="283">
        <v>2</v>
      </c>
      <c r="H6244" s="283">
        <v>0</v>
      </c>
      <c r="I6244" s="283">
        <v>0</v>
      </c>
      <c r="J6244" s="284">
        <v>0</v>
      </c>
    </row>
    <row r="6245" spans="3:10" x14ac:dyDescent="0.25">
      <c r="C6245" s="300" t="s">
        <v>1064</v>
      </c>
      <c r="D6245" s="283" t="s">
        <v>1079</v>
      </c>
      <c r="E6245" s="283" t="s">
        <v>1075</v>
      </c>
      <c r="F6245" s="283" t="s">
        <v>1044</v>
      </c>
      <c r="G6245" s="283">
        <v>2</v>
      </c>
      <c r="H6245" s="283">
        <v>0</v>
      </c>
      <c r="I6245" s="283">
        <v>0</v>
      </c>
      <c r="J6245" s="284">
        <v>1</v>
      </c>
    </row>
    <row r="6246" spans="3:10" x14ac:dyDescent="0.25">
      <c r="C6246" s="300" t="s">
        <v>1065</v>
      </c>
      <c r="D6246" s="283" t="s">
        <v>1077</v>
      </c>
      <c r="E6246" s="283" t="s">
        <v>1084</v>
      </c>
      <c r="F6246" s="283" t="s">
        <v>1075</v>
      </c>
      <c r="G6246" s="283">
        <v>2</v>
      </c>
      <c r="H6246" s="283">
        <v>0</v>
      </c>
      <c r="I6246" s="283">
        <v>0</v>
      </c>
      <c r="J6246" s="284">
        <v>0</v>
      </c>
    </row>
    <row r="6247" spans="3:10" x14ac:dyDescent="0.25">
      <c r="C6247" s="300" t="s">
        <v>1064</v>
      </c>
      <c r="D6247" s="283" t="s">
        <v>1074</v>
      </c>
      <c r="E6247" s="283" t="s">
        <v>1075</v>
      </c>
      <c r="F6247" s="283" t="s">
        <v>1075</v>
      </c>
      <c r="G6247" s="283">
        <v>2</v>
      </c>
      <c r="H6247" s="283">
        <v>0</v>
      </c>
      <c r="I6247" s="283">
        <v>0</v>
      </c>
      <c r="J6247" s="284">
        <v>0</v>
      </c>
    </row>
    <row r="6248" spans="3:10" x14ac:dyDescent="0.25">
      <c r="C6248" s="300" t="s">
        <v>1057</v>
      </c>
      <c r="D6248" s="283" t="s">
        <v>1090</v>
      </c>
      <c r="E6248" s="283" t="s">
        <v>1093</v>
      </c>
      <c r="F6248" s="283" t="s">
        <v>524</v>
      </c>
      <c r="G6248" s="283">
        <v>1</v>
      </c>
      <c r="H6248" s="283">
        <v>0</v>
      </c>
      <c r="I6248" s="283">
        <v>1</v>
      </c>
      <c r="J6248" s="284">
        <v>0</v>
      </c>
    </row>
    <row r="6249" spans="3:10" x14ac:dyDescent="0.25">
      <c r="C6249" s="300" t="s">
        <v>1066</v>
      </c>
      <c r="D6249" s="283" t="s">
        <v>1079</v>
      </c>
      <c r="E6249" s="283" t="s">
        <v>1075</v>
      </c>
      <c r="F6249" s="283" t="s">
        <v>1075</v>
      </c>
      <c r="G6249" s="283">
        <v>2</v>
      </c>
      <c r="H6249" s="283">
        <v>0</v>
      </c>
      <c r="I6249" s="283">
        <v>1</v>
      </c>
      <c r="J6249" s="284">
        <v>0</v>
      </c>
    </row>
    <row r="6250" spans="3:10" x14ac:dyDescent="0.25">
      <c r="C6250" s="300" t="s">
        <v>1061</v>
      </c>
      <c r="D6250" s="283" t="s">
        <v>1079</v>
      </c>
      <c r="E6250" s="283" t="s">
        <v>1075</v>
      </c>
      <c r="F6250" s="283" t="s">
        <v>1044</v>
      </c>
      <c r="G6250" s="283">
        <v>2</v>
      </c>
      <c r="H6250" s="283">
        <v>0</v>
      </c>
      <c r="I6250" s="283">
        <v>1</v>
      </c>
      <c r="J6250" s="284">
        <v>0</v>
      </c>
    </row>
    <row r="6251" spans="3:10" x14ac:dyDescent="0.25">
      <c r="C6251" s="300" t="s">
        <v>1064</v>
      </c>
      <c r="D6251" s="283" t="s">
        <v>1087</v>
      </c>
      <c r="E6251" s="283" t="s">
        <v>1076</v>
      </c>
      <c r="F6251" s="283" t="s">
        <v>524</v>
      </c>
      <c r="G6251" s="283">
        <v>1</v>
      </c>
      <c r="H6251" s="283">
        <v>0</v>
      </c>
      <c r="I6251" s="283">
        <v>0</v>
      </c>
      <c r="J6251" s="284">
        <v>0</v>
      </c>
    </row>
    <row r="6252" spans="3:10" x14ac:dyDescent="0.25">
      <c r="C6252" s="300" t="s">
        <v>1062</v>
      </c>
      <c r="D6252" s="283" t="s">
        <v>1079</v>
      </c>
      <c r="E6252" s="283" t="s">
        <v>1099</v>
      </c>
      <c r="F6252" s="283" t="s">
        <v>1083</v>
      </c>
      <c r="G6252" s="283">
        <v>2</v>
      </c>
      <c r="H6252" s="283">
        <v>0</v>
      </c>
      <c r="I6252" s="283">
        <v>1</v>
      </c>
      <c r="J6252" s="284">
        <v>0</v>
      </c>
    </row>
    <row r="6253" spans="3:10" x14ac:dyDescent="0.25">
      <c r="C6253" s="300" t="s">
        <v>1061</v>
      </c>
      <c r="D6253" s="283" t="s">
        <v>1074</v>
      </c>
      <c r="E6253" s="283" t="s">
        <v>1044</v>
      </c>
      <c r="F6253" s="283" t="s">
        <v>1078</v>
      </c>
      <c r="G6253" s="283">
        <v>2</v>
      </c>
      <c r="H6253" s="283">
        <v>0</v>
      </c>
      <c r="I6253" s="283">
        <v>1</v>
      </c>
      <c r="J6253" s="284">
        <v>0</v>
      </c>
    </row>
    <row r="6254" spans="3:10" x14ac:dyDescent="0.25">
      <c r="C6254" s="300" t="s">
        <v>1064</v>
      </c>
      <c r="D6254" s="283" t="s">
        <v>1077</v>
      </c>
      <c r="E6254" s="283" t="s">
        <v>1086</v>
      </c>
      <c r="F6254" s="283" t="s">
        <v>1076</v>
      </c>
      <c r="G6254" s="283">
        <v>3</v>
      </c>
      <c r="H6254" s="283">
        <v>0</v>
      </c>
      <c r="I6254" s="283">
        <v>0</v>
      </c>
      <c r="J6254" s="284">
        <v>0</v>
      </c>
    </row>
    <row r="6255" spans="3:10" x14ac:dyDescent="0.25">
      <c r="C6255" s="300" t="s">
        <v>1065</v>
      </c>
      <c r="D6255" s="283" t="s">
        <v>1087</v>
      </c>
      <c r="E6255" s="283" t="s">
        <v>1094</v>
      </c>
      <c r="F6255" s="283" t="s">
        <v>524</v>
      </c>
      <c r="G6255" s="283">
        <v>1</v>
      </c>
      <c r="H6255" s="283">
        <v>0</v>
      </c>
      <c r="I6255" s="283">
        <v>1</v>
      </c>
      <c r="J6255" s="284">
        <v>0</v>
      </c>
    </row>
    <row r="6256" spans="3:10" x14ac:dyDescent="0.25">
      <c r="C6256" s="300" t="s">
        <v>1064</v>
      </c>
      <c r="D6256" s="283" t="s">
        <v>1079</v>
      </c>
      <c r="E6256" s="283" t="s">
        <v>1086</v>
      </c>
      <c r="F6256" s="283" t="s">
        <v>1075</v>
      </c>
      <c r="G6256" s="283">
        <v>3</v>
      </c>
      <c r="H6256" s="283">
        <v>0</v>
      </c>
      <c r="I6256" s="283">
        <v>0</v>
      </c>
      <c r="J6256" s="284">
        <v>0</v>
      </c>
    </row>
    <row r="6257" spans="3:10" x14ac:dyDescent="0.25">
      <c r="C6257" s="300" t="s">
        <v>1057</v>
      </c>
      <c r="D6257" s="283" t="s">
        <v>1043</v>
      </c>
      <c r="E6257" s="283" t="s">
        <v>1099</v>
      </c>
      <c r="F6257" s="283" t="s">
        <v>1092</v>
      </c>
      <c r="G6257" s="283">
        <v>2</v>
      </c>
      <c r="H6257" s="283">
        <v>0</v>
      </c>
      <c r="I6257" s="283">
        <v>1</v>
      </c>
      <c r="J6257" s="284">
        <v>0</v>
      </c>
    </row>
    <row r="6258" spans="3:10" x14ac:dyDescent="0.25">
      <c r="C6258" s="300" t="s">
        <v>1060</v>
      </c>
      <c r="D6258" s="283" t="s">
        <v>1079</v>
      </c>
      <c r="E6258" s="283" t="s">
        <v>1089</v>
      </c>
      <c r="F6258" s="283" t="s">
        <v>1044</v>
      </c>
      <c r="G6258" s="283">
        <v>2</v>
      </c>
      <c r="H6258" s="283">
        <v>0</v>
      </c>
      <c r="I6258" s="283">
        <v>0</v>
      </c>
      <c r="J6258" s="284">
        <v>0</v>
      </c>
    </row>
    <row r="6259" spans="3:10" x14ac:dyDescent="0.25">
      <c r="C6259" s="300" t="s">
        <v>1064</v>
      </c>
      <c r="D6259" s="283" t="s">
        <v>1079</v>
      </c>
      <c r="E6259" s="283" t="s">
        <v>1075</v>
      </c>
      <c r="F6259" s="283" t="s">
        <v>1089</v>
      </c>
      <c r="G6259" s="283">
        <v>2</v>
      </c>
      <c r="H6259" s="283">
        <v>0</v>
      </c>
      <c r="I6259" s="283">
        <v>0</v>
      </c>
      <c r="J6259" s="284">
        <v>1</v>
      </c>
    </row>
    <row r="6260" spans="3:10" x14ac:dyDescent="0.25">
      <c r="C6260" s="300" t="s">
        <v>1059</v>
      </c>
      <c r="D6260" s="283" t="s">
        <v>1074</v>
      </c>
      <c r="E6260" s="283" t="s">
        <v>1044</v>
      </c>
      <c r="F6260" s="283" t="s">
        <v>1076</v>
      </c>
      <c r="G6260" s="283">
        <v>2</v>
      </c>
      <c r="H6260" s="283">
        <v>0</v>
      </c>
      <c r="I6260" s="283">
        <v>0</v>
      </c>
      <c r="J6260" s="284">
        <v>1</v>
      </c>
    </row>
    <row r="6261" spans="3:10" x14ac:dyDescent="0.25">
      <c r="C6261" s="300" t="s">
        <v>1065</v>
      </c>
      <c r="D6261" s="283" t="s">
        <v>1079</v>
      </c>
      <c r="E6261" s="283" t="s">
        <v>1075</v>
      </c>
      <c r="F6261" s="283" t="s">
        <v>1044</v>
      </c>
      <c r="G6261" s="283">
        <v>2</v>
      </c>
      <c r="H6261" s="283">
        <v>0</v>
      </c>
      <c r="I6261" s="283">
        <v>1</v>
      </c>
      <c r="J6261" s="284">
        <v>0</v>
      </c>
    </row>
    <row r="6262" spans="3:10" x14ac:dyDescent="0.25">
      <c r="C6262" s="300" t="s">
        <v>1066</v>
      </c>
      <c r="D6262" s="283" t="s">
        <v>1079</v>
      </c>
      <c r="E6262" s="283" t="s">
        <v>1089</v>
      </c>
      <c r="F6262" s="283" t="s">
        <v>1089</v>
      </c>
      <c r="G6262" s="283">
        <v>2</v>
      </c>
      <c r="H6262" s="283">
        <v>0</v>
      </c>
      <c r="I6262" s="283">
        <v>0</v>
      </c>
      <c r="J6262" s="284">
        <v>1</v>
      </c>
    </row>
    <row r="6263" spans="3:10" x14ac:dyDescent="0.25">
      <c r="C6263" s="300" t="s">
        <v>1060</v>
      </c>
      <c r="D6263" s="283" t="s">
        <v>1087</v>
      </c>
      <c r="E6263" s="283" t="s">
        <v>1084</v>
      </c>
      <c r="F6263" s="283" t="s">
        <v>524</v>
      </c>
      <c r="G6263" s="283">
        <v>1</v>
      </c>
      <c r="H6263" s="283">
        <v>0</v>
      </c>
      <c r="I6263" s="283">
        <v>1</v>
      </c>
      <c r="J6263" s="284">
        <v>0</v>
      </c>
    </row>
    <row r="6264" spans="3:10" x14ac:dyDescent="0.25">
      <c r="C6264" s="300" t="s">
        <v>1063</v>
      </c>
      <c r="D6264" s="283" t="s">
        <v>1079</v>
      </c>
      <c r="E6264" s="283" t="s">
        <v>1075</v>
      </c>
      <c r="F6264" s="283" t="s">
        <v>1089</v>
      </c>
      <c r="G6264" s="283">
        <v>4</v>
      </c>
      <c r="H6264" s="283">
        <v>0</v>
      </c>
      <c r="I6264" s="283">
        <v>0</v>
      </c>
      <c r="J6264" s="284">
        <v>0</v>
      </c>
    </row>
    <row r="6265" spans="3:10" x14ac:dyDescent="0.25">
      <c r="C6265" s="300" t="s">
        <v>1062</v>
      </c>
      <c r="D6265" s="283" t="s">
        <v>1079</v>
      </c>
      <c r="E6265" s="283" t="s">
        <v>1075</v>
      </c>
      <c r="F6265" s="283" t="s">
        <v>1075</v>
      </c>
      <c r="G6265" s="283">
        <v>2</v>
      </c>
      <c r="H6265" s="283">
        <v>0</v>
      </c>
      <c r="I6265" s="283">
        <v>0</v>
      </c>
      <c r="J6265" s="284">
        <v>0</v>
      </c>
    </row>
    <row r="6266" spans="3:10" x14ac:dyDescent="0.25">
      <c r="C6266" s="300" t="s">
        <v>1061</v>
      </c>
      <c r="D6266" s="283" t="s">
        <v>1079</v>
      </c>
      <c r="E6266" s="283" t="s">
        <v>1075</v>
      </c>
      <c r="F6266" s="283" t="s">
        <v>1075</v>
      </c>
      <c r="G6266" s="283">
        <v>3</v>
      </c>
      <c r="H6266" s="283">
        <v>0</v>
      </c>
      <c r="I6266" s="283">
        <v>0</v>
      </c>
      <c r="J6266" s="284">
        <v>0</v>
      </c>
    </row>
    <row r="6267" spans="3:10" x14ac:dyDescent="0.25">
      <c r="C6267" s="300" t="s">
        <v>1068</v>
      </c>
      <c r="D6267" s="283" t="s">
        <v>1079</v>
      </c>
      <c r="E6267" s="283" t="s">
        <v>1076</v>
      </c>
      <c r="F6267" s="283" t="s">
        <v>1075</v>
      </c>
      <c r="G6267" s="283">
        <v>2</v>
      </c>
      <c r="H6267" s="283">
        <v>0</v>
      </c>
      <c r="I6267" s="283">
        <v>1</v>
      </c>
      <c r="J6267" s="284">
        <v>1</v>
      </c>
    </row>
    <row r="6268" spans="3:10" x14ac:dyDescent="0.25">
      <c r="C6268" s="300" t="s">
        <v>1060</v>
      </c>
      <c r="D6268" s="283" t="s">
        <v>1077</v>
      </c>
      <c r="E6268" s="283" t="s">
        <v>1099</v>
      </c>
      <c r="F6268" s="283" t="s">
        <v>1076</v>
      </c>
      <c r="G6268" s="283">
        <v>3</v>
      </c>
      <c r="H6268" s="283">
        <v>0</v>
      </c>
      <c r="I6268" s="283">
        <v>0</v>
      </c>
      <c r="J6268" s="284">
        <v>2</v>
      </c>
    </row>
    <row r="6269" spans="3:10" x14ac:dyDescent="0.25">
      <c r="C6269" s="300" t="s">
        <v>1064</v>
      </c>
      <c r="D6269" s="283" t="s">
        <v>1087</v>
      </c>
      <c r="E6269" s="283" t="s">
        <v>1075</v>
      </c>
      <c r="F6269" s="283" t="s">
        <v>524</v>
      </c>
      <c r="G6269" s="283">
        <v>1</v>
      </c>
      <c r="H6269" s="283">
        <v>0</v>
      </c>
      <c r="I6269" s="283">
        <v>0</v>
      </c>
      <c r="J6269" s="284">
        <v>0</v>
      </c>
    </row>
    <row r="6270" spans="3:10" x14ac:dyDescent="0.25">
      <c r="C6270" s="300" t="s">
        <v>1060</v>
      </c>
      <c r="D6270" s="283" t="s">
        <v>1043</v>
      </c>
      <c r="E6270" s="283" t="s">
        <v>1075</v>
      </c>
      <c r="F6270" s="283" t="s">
        <v>1092</v>
      </c>
      <c r="G6270" s="283">
        <v>2</v>
      </c>
      <c r="H6270" s="283">
        <v>0</v>
      </c>
      <c r="I6270" s="283">
        <v>1</v>
      </c>
      <c r="J6270" s="284">
        <v>0</v>
      </c>
    </row>
    <row r="6271" spans="3:10" x14ac:dyDescent="0.25">
      <c r="C6271" s="300" t="s">
        <v>1063</v>
      </c>
      <c r="D6271" s="283" t="s">
        <v>1077</v>
      </c>
      <c r="E6271" s="283" t="s">
        <v>1075</v>
      </c>
      <c r="F6271" s="283" t="s">
        <v>1089</v>
      </c>
      <c r="G6271" s="283">
        <v>2</v>
      </c>
      <c r="H6271" s="283">
        <v>0</v>
      </c>
      <c r="I6271" s="283">
        <v>0</v>
      </c>
      <c r="J6271" s="284">
        <v>1</v>
      </c>
    </row>
    <row r="6272" spans="3:10" x14ac:dyDescent="0.25">
      <c r="C6272" s="300" t="s">
        <v>1061</v>
      </c>
      <c r="D6272" s="283" t="s">
        <v>1096</v>
      </c>
      <c r="E6272" s="283" t="s">
        <v>1083</v>
      </c>
      <c r="F6272" s="283" t="s">
        <v>524</v>
      </c>
      <c r="G6272" s="283">
        <v>1</v>
      </c>
      <c r="H6272" s="283">
        <v>0</v>
      </c>
      <c r="I6272" s="283">
        <v>0</v>
      </c>
      <c r="J6272" s="284">
        <v>1</v>
      </c>
    </row>
    <row r="6273" spans="3:10" x14ac:dyDescent="0.25">
      <c r="C6273" s="300" t="s">
        <v>1060</v>
      </c>
      <c r="D6273" s="283" t="s">
        <v>1077</v>
      </c>
      <c r="E6273" s="283" t="s">
        <v>1075</v>
      </c>
      <c r="F6273" s="283" t="s">
        <v>1075</v>
      </c>
      <c r="G6273" s="283">
        <v>2</v>
      </c>
      <c r="H6273" s="283">
        <v>0</v>
      </c>
      <c r="I6273" s="283">
        <v>0</v>
      </c>
      <c r="J6273" s="284">
        <v>0</v>
      </c>
    </row>
    <row r="6274" spans="3:10" x14ac:dyDescent="0.25">
      <c r="C6274" s="300" t="s">
        <v>1061</v>
      </c>
      <c r="D6274" s="283" t="s">
        <v>1077</v>
      </c>
      <c r="E6274" s="283" t="s">
        <v>1089</v>
      </c>
      <c r="F6274" s="283" t="s">
        <v>1080</v>
      </c>
      <c r="G6274" s="283">
        <v>2</v>
      </c>
      <c r="H6274" s="283">
        <v>0</v>
      </c>
      <c r="I6274" s="283">
        <v>0</v>
      </c>
      <c r="J6274" s="284">
        <v>0</v>
      </c>
    </row>
    <row r="6275" spans="3:10" x14ac:dyDescent="0.25">
      <c r="C6275" s="300" t="s">
        <v>1060</v>
      </c>
      <c r="D6275" s="283" t="s">
        <v>1082</v>
      </c>
      <c r="E6275" s="283" t="s">
        <v>1081</v>
      </c>
      <c r="F6275" s="283" t="s">
        <v>1078</v>
      </c>
      <c r="G6275" s="283">
        <v>3</v>
      </c>
      <c r="H6275" s="283">
        <v>0</v>
      </c>
      <c r="I6275" s="283">
        <v>2</v>
      </c>
      <c r="J6275" s="284">
        <v>0</v>
      </c>
    </row>
    <row r="6276" spans="3:10" x14ac:dyDescent="0.25">
      <c r="C6276" s="300" t="s">
        <v>1065</v>
      </c>
      <c r="D6276" s="283" t="s">
        <v>1043</v>
      </c>
      <c r="E6276" s="283" t="s">
        <v>1075</v>
      </c>
      <c r="F6276" s="283" t="s">
        <v>1092</v>
      </c>
      <c r="G6276" s="283">
        <v>2</v>
      </c>
      <c r="H6276" s="283">
        <v>0</v>
      </c>
      <c r="I6276" s="283">
        <v>1</v>
      </c>
      <c r="J6276" s="284">
        <v>0</v>
      </c>
    </row>
    <row r="6277" spans="3:10" x14ac:dyDescent="0.25">
      <c r="C6277" s="300" t="s">
        <v>1066</v>
      </c>
      <c r="D6277" s="283" t="s">
        <v>1074</v>
      </c>
      <c r="E6277" s="283" t="s">
        <v>1078</v>
      </c>
      <c r="F6277" s="283" t="s">
        <v>1075</v>
      </c>
      <c r="G6277" s="283">
        <v>2</v>
      </c>
      <c r="H6277" s="283">
        <v>0</v>
      </c>
      <c r="I6277" s="283">
        <v>0</v>
      </c>
      <c r="J6277" s="284">
        <v>1</v>
      </c>
    </row>
    <row r="6278" spans="3:10" x14ac:dyDescent="0.25">
      <c r="C6278" s="300" t="s">
        <v>1058</v>
      </c>
      <c r="D6278" s="283" t="s">
        <v>1079</v>
      </c>
      <c r="E6278" s="283" t="s">
        <v>1086</v>
      </c>
      <c r="F6278" s="283" t="s">
        <v>1089</v>
      </c>
      <c r="G6278" s="283">
        <v>2</v>
      </c>
      <c r="H6278" s="283">
        <v>0</v>
      </c>
      <c r="I6278" s="283">
        <v>0</v>
      </c>
      <c r="J6278" s="284">
        <v>0</v>
      </c>
    </row>
    <row r="6279" spans="3:10" x14ac:dyDescent="0.25">
      <c r="C6279" s="300" t="s">
        <v>1065</v>
      </c>
      <c r="D6279" s="283" t="s">
        <v>1074</v>
      </c>
      <c r="E6279" s="283" t="s">
        <v>1075</v>
      </c>
      <c r="F6279" s="283" t="s">
        <v>1089</v>
      </c>
      <c r="G6279" s="283">
        <v>2</v>
      </c>
      <c r="H6279" s="283">
        <v>0</v>
      </c>
      <c r="I6279" s="283">
        <v>0</v>
      </c>
      <c r="J6279" s="284">
        <v>0</v>
      </c>
    </row>
    <row r="6280" spans="3:10" x14ac:dyDescent="0.25">
      <c r="C6280" s="300" t="s">
        <v>1065</v>
      </c>
      <c r="D6280" s="283" t="s">
        <v>1074</v>
      </c>
      <c r="E6280" s="283" t="s">
        <v>1075</v>
      </c>
      <c r="F6280" s="283" t="s">
        <v>1075</v>
      </c>
      <c r="G6280" s="283">
        <v>2</v>
      </c>
      <c r="H6280" s="283">
        <v>0</v>
      </c>
      <c r="I6280" s="283">
        <v>0</v>
      </c>
      <c r="J6280" s="284">
        <v>0</v>
      </c>
    </row>
    <row r="6281" spans="3:10" x14ac:dyDescent="0.25">
      <c r="C6281" s="300" t="s">
        <v>1067</v>
      </c>
      <c r="D6281" s="283" t="s">
        <v>1079</v>
      </c>
      <c r="E6281" s="283" t="s">
        <v>1075</v>
      </c>
      <c r="F6281" s="283" t="s">
        <v>1075</v>
      </c>
      <c r="G6281" s="283">
        <v>2</v>
      </c>
      <c r="H6281" s="283">
        <v>0</v>
      </c>
      <c r="I6281" s="283">
        <v>0</v>
      </c>
      <c r="J6281" s="284">
        <v>0</v>
      </c>
    </row>
    <row r="6282" spans="3:10" x14ac:dyDescent="0.25">
      <c r="C6282" s="300" t="s">
        <v>1065</v>
      </c>
      <c r="D6282" s="283" t="s">
        <v>1074</v>
      </c>
      <c r="E6282" s="283" t="s">
        <v>1075</v>
      </c>
      <c r="F6282" s="283" t="s">
        <v>1075</v>
      </c>
      <c r="G6282" s="283">
        <v>2</v>
      </c>
      <c r="H6282" s="283">
        <v>0</v>
      </c>
      <c r="I6282" s="283">
        <v>0</v>
      </c>
      <c r="J6282" s="284">
        <v>0</v>
      </c>
    </row>
    <row r="6283" spans="3:10" x14ac:dyDescent="0.25">
      <c r="C6283" s="300" t="s">
        <v>1063</v>
      </c>
      <c r="D6283" s="283" t="s">
        <v>1087</v>
      </c>
      <c r="E6283" s="283" t="s">
        <v>1078</v>
      </c>
      <c r="F6283" s="283" t="s">
        <v>524</v>
      </c>
      <c r="G6283" s="283">
        <v>1</v>
      </c>
      <c r="H6283" s="283">
        <v>0</v>
      </c>
      <c r="I6283" s="283">
        <v>0</v>
      </c>
      <c r="J6283" s="284">
        <v>0</v>
      </c>
    </row>
    <row r="6284" spans="3:10" x14ac:dyDescent="0.25">
      <c r="C6284" s="300" t="s">
        <v>1063</v>
      </c>
      <c r="D6284" s="283" t="s">
        <v>1090</v>
      </c>
      <c r="E6284" s="283" t="s">
        <v>1083</v>
      </c>
      <c r="F6284" s="283" t="s">
        <v>524</v>
      </c>
      <c r="G6284" s="283">
        <v>1</v>
      </c>
      <c r="H6284" s="283">
        <v>0</v>
      </c>
      <c r="I6284" s="283">
        <v>1</v>
      </c>
      <c r="J6284" s="284">
        <v>0</v>
      </c>
    </row>
    <row r="6285" spans="3:10" x14ac:dyDescent="0.25">
      <c r="C6285" s="300" t="s">
        <v>1067</v>
      </c>
      <c r="D6285" s="283" t="s">
        <v>1087</v>
      </c>
      <c r="E6285" s="283" t="s">
        <v>1078</v>
      </c>
      <c r="F6285" s="283" t="s">
        <v>524</v>
      </c>
      <c r="G6285" s="283">
        <v>1</v>
      </c>
      <c r="H6285" s="283">
        <v>0</v>
      </c>
      <c r="I6285" s="283">
        <v>1</v>
      </c>
      <c r="J6285" s="284">
        <v>0</v>
      </c>
    </row>
    <row r="6286" spans="3:10" x14ac:dyDescent="0.25">
      <c r="C6286" s="300" t="s">
        <v>1061</v>
      </c>
      <c r="D6286" s="283" t="s">
        <v>1087</v>
      </c>
      <c r="E6286" s="283" t="s">
        <v>1075</v>
      </c>
      <c r="F6286" s="283" t="s">
        <v>524</v>
      </c>
      <c r="G6286" s="283">
        <v>1</v>
      </c>
      <c r="H6286" s="283">
        <v>0</v>
      </c>
      <c r="I6286" s="283">
        <v>0</v>
      </c>
      <c r="J6286" s="284">
        <v>1</v>
      </c>
    </row>
    <row r="6287" spans="3:10" x14ac:dyDescent="0.25">
      <c r="C6287" s="300" t="s">
        <v>1058</v>
      </c>
      <c r="D6287" s="283" t="s">
        <v>1087</v>
      </c>
      <c r="E6287" s="283" t="s">
        <v>1100</v>
      </c>
      <c r="F6287" s="283" t="s">
        <v>524</v>
      </c>
      <c r="G6287" s="283">
        <v>1</v>
      </c>
      <c r="H6287" s="283">
        <v>1</v>
      </c>
      <c r="I6287" s="283">
        <v>0</v>
      </c>
      <c r="J6287" s="284">
        <v>0</v>
      </c>
    </row>
    <row r="6288" spans="3:10" x14ac:dyDescent="0.25">
      <c r="C6288" s="300" t="s">
        <v>1064</v>
      </c>
      <c r="D6288" s="283" t="s">
        <v>1090</v>
      </c>
      <c r="E6288" s="283" t="s">
        <v>1075</v>
      </c>
      <c r="F6288" s="283" t="s">
        <v>1080</v>
      </c>
      <c r="G6288" s="283">
        <v>2</v>
      </c>
      <c r="H6288" s="283">
        <v>1</v>
      </c>
      <c r="I6288" s="283">
        <v>0</v>
      </c>
      <c r="J6288" s="284">
        <v>0</v>
      </c>
    </row>
    <row r="6289" spans="3:10" x14ac:dyDescent="0.25">
      <c r="C6289" s="300" t="s">
        <v>1062</v>
      </c>
      <c r="D6289" s="283" t="s">
        <v>1079</v>
      </c>
      <c r="E6289" s="283" t="s">
        <v>1075</v>
      </c>
      <c r="F6289" s="283" t="s">
        <v>1088</v>
      </c>
      <c r="G6289" s="283">
        <v>3</v>
      </c>
      <c r="H6289" s="283">
        <v>0</v>
      </c>
      <c r="I6289" s="283">
        <v>1</v>
      </c>
      <c r="J6289" s="284">
        <v>2</v>
      </c>
    </row>
    <row r="6290" spans="3:10" x14ac:dyDescent="0.25">
      <c r="C6290" s="300" t="s">
        <v>1065</v>
      </c>
      <c r="D6290" s="283" t="s">
        <v>1079</v>
      </c>
      <c r="E6290" s="283" t="s">
        <v>1075</v>
      </c>
      <c r="F6290" s="283" t="s">
        <v>1075</v>
      </c>
      <c r="G6290" s="283">
        <v>2</v>
      </c>
      <c r="H6290" s="283">
        <v>0</v>
      </c>
      <c r="I6290" s="283">
        <v>0</v>
      </c>
      <c r="J6290" s="284">
        <v>0</v>
      </c>
    </row>
    <row r="6291" spans="3:10" x14ac:dyDescent="0.25">
      <c r="C6291" s="300" t="s">
        <v>1059</v>
      </c>
      <c r="D6291" s="283" t="s">
        <v>1087</v>
      </c>
      <c r="E6291" s="283" t="s">
        <v>1075</v>
      </c>
      <c r="F6291" s="283" t="s">
        <v>524</v>
      </c>
      <c r="G6291" s="283">
        <v>1</v>
      </c>
      <c r="H6291" s="283">
        <v>0</v>
      </c>
      <c r="I6291" s="283">
        <v>0</v>
      </c>
      <c r="J6291" s="284">
        <v>0</v>
      </c>
    </row>
    <row r="6292" spans="3:10" x14ac:dyDescent="0.25">
      <c r="C6292" s="300" t="s">
        <v>1058</v>
      </c>
      <c r="D6292" s="283" t="s">
        <v>1079</v>
      </c>
      <c r="E6292" s="283" t="s">
        <v>1089</v>
      </c>
      <c r="F6292" s="283" t="s">
        <v>1075</v>
      </c>
      <c r="G6292" s="283">
        <v>2</v>
      </c>
      <c r="H6292" s="283">
        <v>0</v>
      </c>
      <c r="I6292" s="283">
        <v>0</v>
      </c>
      <c r="J6292" s="284">
        <v>1</v>
      </c>
    </row>
    <row r="6293" spans="3:10" x14ac:dyDescent="0.25">
      <c r="C6293" s="300" t="s">
        <v>1060</v>
      </c>
      <c r="D6293" s="283" t="s">
        <v>1077</v>
      </c>
      <c r="E6293" s="283" t="s">
        <v>1076</v>
      </c>
      <c r="F6293" s="283" t="s">
        <v>1084</v>
      </c>
      <c r="G6293" s="283">
        <v>5</v>
      </c>
      <c r="H6293" s="283">
        <v>0</v>
      </c>
      <c r="I6293" s="283">
        <v>0</v>
      </c>
      <c r="J6293" s="284">
        <v>0</v>
      </c>
    </row>
    <row r="6294" spans="3:10" x14ac:dyDescent="0.25">
      <c r="C6294" s="300" t="s">
        <v>1064</v>
      </c>
      <c r="D6294" s="283" t="s">
        <v>1077</v>
      </c>
      <c r="E6294" s="283" t="s">
        <v>1075</v>
      </c>
      <c r="F6294" s="283" t="s">
        <v>1076</v>
      </c>
      <c r="G6294" s="283">
        <v>3</v>
      </c>
      <c r="H6294" s="283">
        <v>0</v>
      </c>
      <c r="I6294" s="283">
        <v>0</v>
      </c>
      <c r="J6294" s="284">
        <v>0</v>
      </c>
    </row>
    <row r="6295" spans="3:10" x14ac:dyDescent="0.25">
      <c r="C6295" s="300" t="s">
        <v>1061</v>
      </c>
      <c r="D6295" s="283" t="s">
        <v>1079</v>
      </c>
      <c r="E6295" s="283" t="s">
        <v>1075</v>
      </c>
      <c r="F6295" s="283" t="s">
        <v>1076</v>
      </c>
      <c r="G6295" s="283">
        <v>3</v>
      </c>
      <c r="H6295" s="283">
        <v>0</v>
      </c>
      <c r="I6295" s="283">
        <v>0</v>
      </c>
      <c r="J6295" s="284">
        <v>0</v>
      </c>
    </row>
    <row r="6296" spans="3:10" x14ac:dyDescent="0.25">
      <c r="C6296" s="300" t="s">
        <v>1060</v>
      </c>
      <c r="D6296" s="283" t="s">
        <v>1074</v>
      </c>
      <c r="E6296" s="283" t="s">
        <v>1089</v>
      </c>
      <c r="F6296" s="283" t="s">
        <v>1044</v>
      </c>
      <c r="G6296" s="283">
        <v>2</v>
      </c>
      <c r="H6296" s="283">
        <v>0</v>
      </c>
      <c r="I6296" s="283">
        <v>0</v>
      </c>
      <c r="J6296" s="284">
        <v>1</v>
      </c>
    </row>
    <row r="6297" spans="3:10" x14ac:dyDescent="0.25">
      <c r="C6297" s="300" t="s">
        <v>1060</v>
      </c>
      <c r="D6297" s="283" t="s">
        <v>1079</v>
      </c>
      <c r="E6297" s="283" t="s">
        <v>1075</v>
      </c>
      <c r="F6297" s="283" t="s">
        <v>1076</v>
      </c>
      <c r="G6297" s="283">
        <v>2</v>
      </c>
      <c r="H6297" s="283">
        <v>0</v>
      </c>
      <c r="I6297" s="283">
        <v>1</v>
      </c>
      <c r="J6297" s="284">
        <v>0</v>
      </c>
    </row>
    <row r="6298" spans="3:10" x14ac:dyDescent="0.25">
      <c r="C6298" s="300" t="s">
        <v>1068</v>
      </c>
      <c r="D6298" s="283" t="s">
        <v>1079</v>
      </c>
      <c r="E6298" s="283" t="s">
        <v>1076</v>
      </c>
      <c r="F6298" s="283" t="s">
        <v>1076</v>
      </c>
      <c r="G6298" s="283">
        <v>2</v>
      </c>
      <c r="H6298" s="283">
        <v>0</v>
      </c>
      <c r="I6298" s="283">
        <v>0</v>
      </c>
      <c r="J6298" s="284">
        <v>1</v>
      </c>
    </row>
    <row r="6299" spans="3:10" x14ac:dyDescent="0.25">
      <c r="C6299" s="300" t="s">
        <v>1057</v>
      </c>
      <c r="D6299" s="283" t="s">
        <v>1087</v>
      </c>
      <c r="E6299" s="283" t="s">
        <v>1083</v>
      </c>
      <c r="F6299" s="283" t="s">
        <v>524</v>
      </c>
      <c r="G6299" s="283">
        <v>1</v>
      </c>
      <c r="H6299" s="283">
        <v>0</v>
      </c>
      <c r="I6299" s="283">
        <v>1</v>
      </c>
      <c r="J6299" s="284">
        <v>0</v>
      </c>
    </row>
    <row r="6300" spans="3:10" x14ac:dyDescent="0.25">
      <c r="C6300" s="300" t="s">
        <v>1065</v>
      </c>
      <c r="D6300" s="283" t="s">
        <v>1082</v>
      </c>
      <c r="E6300" s="283" t="s">
        <v>1089</v>
      </c>
      <c r="F6300" s="283" t="s">
        <v>1075</v>
      </c>
      <c r="G6300" s="283">
        <v>2</v>
      </c>
      <c r="H6300" s="283">
        <v>0</v>
      </c>
      <c r="I6300" s="283">
        <v>0</v>
      </c>
      <c r="J6300" s="284">
        <v>0</v>
      </c>
    </row>
    <row r="6301" spans="3:10" x14ac:dyDescent="0.25">
      <c r="C6301" s="300" t="s">
        <v>1067</v>
      </c>
      <c r="D6301" s="283" t="s">
        <v>1043</v>
      </c>
      <c r="E6301" s="283" t="s">
        <v>1075</v>
      </c>
      <c r="F6301" s="283" t="s">
        <v>1092</v>
      </c>
      <c r="G6301" s="283">
        <v>2</v>
      </c>
      <c r="H6301" s="283">
        <v>0</v>
      </c>
      <c r="I6301" s="283">
        <v>0</v>
      </c>
      <c r="J6301" s="284">
        <v>1</v>
      </c>
    </row>
    <row r="6302" spans="3:10" x14ac:dyDescent="0.25">
      <c r="C6302" s="300" t="s">
        <v>1063</v>
      </c>
      <c r="D6302" s="283" t="s">
        <v>1074</v>
      </c>
      <c r="E6302" s="283" t="s">
        <v>1075</v>
      </c>
      <c r="F6302" s="283" t="s">
        <v>1089</v>
      </c>
      <c r="G6302" s="283">
        <v>2</v>
      </c>
      <c r="H6302" s="283">
        <v>0</v>
      </c>
      <c r="I6302" s="283">
        <v>0</v>
      </c>
      <c r="J6302" s="284">
        <v>1</v>
      </c>
    </row>
    <row r="6303" spans="3:10" x14ac:dyDescent="0.25">
      <c r="C6303" s="300" t="s">
        <v>1065</v>
      </c>
      <c r="D6303" s="283" t="s">
        <v>1074</v>
      </c>
      <c r="E6303" s="283" t="s">
        <v>1086</v>
      </c>
      <c r="F6303" s="283" t="s">
        <v>1075</v>
      </c>
      <c r="G6303" s="283">
        <v>2</v>
      </c>
      <c r="H6303" s="283">
        <v>0</v>
      </c>
      <c r="I6303" s="283">
        <v>0</v>
      </c>
      <c r="J6303" s="284">
        <v>1</v>
      </c>
    </row>
    <row r="6304" spans="3:10" x14ac:dyDescent="0.25">
      <c r="C6304" s="300" t="s">
        <v>1065</v>
      </c>
      <c r="D6304" s="283" t="s">
        <v>1079</v>
      </c>
      <c r="E6304" s="283" t="s">
        <v>1089</v>
      </c>
      <c r="F6304" s="283" t="s">
        <v>1075</v>
      </c>
      <c r="G6304" s="283">
        <v>2</v>
      </c>
      <c r="H6304" s="283">
        <v>0</v>
      </c>
      <c r="I6304" s="283">
        <v>0</v>
      </c>
      <c r="J6304" s="284">
        <v>0</v>
      </c>
    </row>
    <row r="6305" spans="3:10" x14ac:dyDescent="0.25">
      <c r="C6305" s="300" t="s">
        <v>1061</v>
      </c>
      <c r="D6305" s="283" t="s">
        <v>1079</v>
      </c>
      <c r="E6305" s="283" t="s">
        <v>1083</v>
      </c>
      <c r="F6305" s="283" t="s">
        <v>1080</v>
      </c>
      <c r="G6305" s="283">
        <v>2</v>
      </c>
      <c r="H6305" s="283">
        <v>0</v>
      </c>
      <c r="I6305" s="283">
        <v>1</v>
      </c>
      <c r="J6305" s="284">
        <v>1</v>
      </c>
    </row>
    <row r="6306" spans="3:10" x14ac:dyDescent="0.25">
      <c r="C6306" s="300" t="s">
        <v>1061</v>
      </c>
      <c r="D6306" s="283" t="s">
        <v>1074</v>
      </c>
      <c r="E6306" s="283" t="s">
        <v>1089</v>
      </c>
      <c r="F6306" s="283" t="s">
        <v>1083</v>
      </c>
      <c r="G6306" s="283">
        <v>2</v>
      </c>
      <c r="H6306" s="283">
        <v>0</v>
      </c>
      <c r="I6306" s="283">
        <v>1</v>
      </c>
      <c r="J6306" s="284">
        <v>0</v>
      </c>
    </row>
    <row r="6307" spans="3:10" x14ac:dyDescent="0.25">
      <c r="C6307" s="300" t="s">
        <v>1061</v>
      </c>
      <c r="D6307" s="283" t="s">
        <v>1043</v>
      </c>
      <c r="E6307" s="283" t="s">
        <v>1075</v>
      </c>
      <c r="F6307" s="283" t="s">
        <v>1092</v>
      </c>
      <c r="G6307" s="283">
        <v>2</v>
      </c>
      <c r="H6307" s="283">
        <v>0</v>
      </c>
      <c r="I6307" s="283">
        <v>1</v>
      </c>
      <c r="J6307" s="284">
        <v>0</v>
      </c>
    </row>
    <row r="6308" spans="3:10" x14ac:dyDescent="0.25">
      <c r="C6308" s="300" t="s">
        <v>1063</v>
      </c>
      <c r="D6308" s="283" t="s">
        <v>1077</v>
      </c>
      <c r="E6308" s="283" t="s">
        <v>1089</v>
      </c>
      <c r="F6308" s="283" t="s">
        <v>1076</v>
      </c>
      <c r="G6308" s="283">
        <v>2</v>
      </c>
      <c r="H6308" s="283">
        <v>0</v>
      </c>
      <c r="I6308" s="283">
        <v>1</v>
      </c>
      <c r="J6308" s="284">
        <v>0</v>
      </c>
    </row>
    <row r="6309" spans="3:10" x14ac:dyDescent="0.25">
      <c r="C6309" s="300" t="s">
        <v>1063</v>
      </c>
      <c r="D6309" s="283" t="s">
        <v>1079</v>
      </c>
      <c r="E6309" s="283" t="s">
        <v>1089</v>
      </c>
      <c r="F6309" s="283" t="s">
        <v>1075</v>
      </c>
      <c r="G6309" s="283">
        <v>2</v>
      </c>
      <c r="H6309" s="283">
        <v>0</v>
      </c>
      <c r="I6309" s="283">
        <v>2</v>
      </c>
      <c r="J6309" s="284">
        <v>0</v>
      </c>
    </row>
    <row r="6310" spans="3:10" x14ac:dyDescent="0.25">
      <c r="C6310" s="300" t="s">
        <v>1063</v>
      </c>
      <c r="D6310" s="283" t="s">
        <v>1087</v>
      </c>
      <c r="E6310" s="283" t="s">
        <v>1075</v>
      </c>
      <c r="F6310" s="283" t="s">
        <v>524</v>
      </c>
      <c r="G6310" s="283">
        <v>2</v>
      </c>
      <c r="H6310" s="283">
        <v>0</v>
      </c>
      <c r="I6310" s="283">
        <v>0</v>
      </c>
      <c r="J6310" s="284">
        <v>2</v>
      </c>
    </row>
    <row r="6311" spans="3:10" x14ac:dyDescent="0.25">
      <c r="C6311" s="300" t="s">
        <v>1063</v>
      </c>
      <c r="D6311" s="283" t="s">
        <v>1087</v>
      </c>
      <c r="E6311" s="283" t="s">
        <v>1075</v>
      </c>
      <c r="F6311" s="283" t="s">
        <v>524</v>
      </c>
      <c r="G6311" s="283">
        <v>1</v>
      </c>
      <c r="H6311" s="283">
        <v>0</v>
      </c>
      <c r="I6311" s="283">
        <v>0</v>
      </c>
      <c r="J6311" s="284">
        <v>1</v>
      </c>
    </row>
    <row r="6312" spans="3:10" x14ac:dyDescent="0.25">
      <c r="C6312" s="300" t="s">
        <v>1064</v>
      </c>
      <c r="D6312" s="283" t="s">
        <v>1043</v>
      </c>
      <c r="E6312" s="283" t="s">
        <v>1094</v>
      </c>
      <c r="F6312" s="283" t="s">
        <v>1092</v>
      </c>
      <c r="G6312" s="283">
        <v>2</v>
      </c>
      <c r="H6312" s="283">
        <v>0</v>
      </c>
      <c r="I6312" s="283">
        <v>1</v>
      </c>
      <c r="J6312" s="284">
        <v>0</v>
      </c>
    </row>
    <row r="6313" spans="3:10" x14ac:dyDescent="0.25">
      <c r="C6313" s="300" t="s">
        <v>1065</v>
      </c>
      <c r="D6313" s="283" t="s">
        <v>1077</v>
      </c>
      <c r="E6313" s="283" t="s">
        <v>1075</v>
      </c>
      <c r="F6313" s="283" t="s">
        <v>1089</v>
      </c>
      <c r="G6313" s="283">
        <v>5</v>
      </c>
      <c r="H6313" s="283">
        <v>0</v>
      </c>
      <c r="I6313" s="283">
        <v>1</v>
      </c>
      <c r="J6313" s="284">
        <v>1</v>
      </c>
    </row>
    <row r="6314" spans="3:10" x14ac:dyDescent="0.25">
      <c r="C6314" s="300" t="s">
        <v>1062</v>
      </c>
      <c r="D6314" s="283" t="s">
        <v>1077</v>
      </c>
      <c r="E6314" s="283" t="s">
        <v>1089</v>
      </c>
      <c r="F6314" s="283" t="s">
        <v>1075</v>
      </c>
      <c r="G6314" s="283">
        <v>3</v>
      </c>
      <c r="H6314" s="283">
        <v>0</v>
      </c>
      <c r="I6314" s="283">
        <v>0</v>
      </c>
      <c r="J6314" s="284">
        <v>1</v>
      </c>
    </row>
    <row r="6315" spans="3:10" x14ac:dyDescent="0.25">
      <c r="C6315" s="300" t="s">
        <v>1062</v>
      </c>
      <c r="D6315" s="283" t="s">
        <v>1082</v>
      </c>
      <c r="E6315" s="283" t="s">
        <v>1076</v>
      </c>
      <c r="F6315" s="283" t="s">
        <v>1076</v>
      </c>
      <c r="G6315" s="283">
        <v>2</v>
      </c>
      <c r="H6315" s="283">
        <v>0</v>
      </c>
      <c r="I6315" s="283">
        <v>0</v>
      </c>
      <c r="J6315" s="284">
        <v>1</v>
      </c>
    </row>
    <row r="6316" spans="3:10" x14ac:dyDescent="0.25">
      <c r="C6316" s="300" t="s">
        <v>1060</v>
      </c>
      <c r="D6316" s="283" t="s">
        <v>1074</v>
      </c>
      <c r="E6316" s="283" t="s">
        <v>1075</v>
      </c>
      <c r="F6316" s="283" t="s">
        <v>1044</v>
      </c>
      <c r="G6316" s="283">
        <v>2</v>
      </c>
      <c r="H6316" s="283">
        <v>0</v>
      </c>
      <c r="I6316" s="283">
        <v>1</v>
      </c>
      <c r="J6316" s="284">
        <v>0</v>
      </c>
    </row>
    <row r="6317" spans="3:10" x14ac:dyDescent="0.25">
      <c r="C6317" s="300" t="s">
        <v>1061</v>
      </c>
      <c r="D6317" s="283" t="s">
        <v>1087</v>
      </c>
      <c r="E6317" s="283" t="s">
        <v>1075</v>
      </c>
      <c r="F6317" s="283" t="s">
        <v>524</v>
      </c>
      <c r="G6317" s="283">
        <v>1</v>
      </c>
      <c r="H6317" s="283">
        <v>0</v>
      </c>
      <c r="I6317" s="283">
        <v>0</v>
      </c>
      <c r="J6317" s="284">
        <v>0</v>
      </c>
    </row>
    <row r="6318" spans="3:10" x14ac:dyDescent="0.25">
      <c r="C6318" s="300" t="s">
        <v>1064</v>
      </c>
      <c r="D6318" s="283" t="s">
        <v>1079</v>
      </c>
      <c r="E6318" s="283" t="s">
        <v>1075</v>
      </c>
      <c r="F6318" s="283" t="s">
        <v>1086</v>
      </c>
      <c r="G6318" s="283">
        <v>4</v>
      </c>
      <c r="H6318" s="283">
        <v>0</v>
      </c>
      <c r="I6318" s="283">
        <v>1</v>
      </c>
      <c r="J6318" s="284">
        <v>0</v>
      </c>
    </row>
    <row r="6319" spans="3:10" x14ac:dyDescent="0.25">
      <c r="C6319" s="300" t="s">
        <v>1065</v>
      </c>
      <c r="D6319" s="283" t="s">
        <v>1077</v>
      </c>
      <c r="E6319" s="283" t="s">
        <v>1089</v>
      </c>
      <c r="F6319" s="283" t="s">
        <v>1089</v>
      </c>
      <c r="G6319" s="283">
        <v>3</v>
      </c>
      <c r="H6319" s="283">
        <v>0</v>
      </c>
      <c r="I6319" s="283">
        <v>0</v>
      </c>
      <c r="J6319" s="284">
        <v>0</v>
      </c>
    </row>
    <row r="6320" spans="3:10" x14ac:dyDescent="0.25">
      <c r="C6320" s="300" t="s">
        <v>1065</v>
      </c>
      <c r="D6320" s="283" t="s">
        <v>1079</v>
      </c>
      <c r="E6320" s="283" t="s">
        <v>1089</v>
      </c>
      <c r="F6320" s="283" t="s">
        <v>1075</v>
      </c>
      <c r="G6320" s="283">
        <v>2</v>
      </c>
      <c r="H6320" s="283">
        <v>0</v>
      </c>
      <c r="I6320" s="283">
        <v>0</v>
      </c>
      <c r="J6320" s="284">
        <v>0</v>
      </c>
    </row>
    <row r="6321" spans="3:10" x14ac:dyDescent="0.25">
      <c r="C6321" s="300" t="s">
        <v>1061</v>
      </c>
      <c r="D6321" s="283" t="s">
        <v>1087</v>
      </c>
      <c r="E6321" s="283" t="s">
        <v>1076</v>
      </c>
      <c r="F6321" s="283" t="s">
        <v>524</v>
      </c>
      <c r="G6321" s="283">
        <v>1</v>
      </c>
      <c r="H6321" s="283">
        <v>0</v>
      </c>
      <c r="I6321" s="283">
        <v>0</v>
      </c>
      <c r="J6321" s="284">
        <v>0</v>
      </c>
    </row>
    <row r="6322" spans="3:10" x14ac:dyDescent="0.25">
      <c r="C6322" s="300" t="s">
        <v>1064</v>
      </c>
      <c r="D6322" s="283" t="s">
        <v>1079</v>
      </c>
      <c r="E6322" s="283" t="s">
        <v>1075</v>
      </c>
      <c r="F6322" s="283" t="s">
        <v>1081</v>
      </c>
      <c r="G6322" s="283">
        <v>2</v>
      </c>
      <c r="H6322" s="283">
        <v>0</v>
      </c>
      <c r="I6322" s="283">
        <v>0</v>
      </c>
      <c r="J6322" s="284">
        <v>0</v>
      </c>
    </row>
    <row r="6323" spans="3:10" x14ac:dyDescent="0.25">
      <c r="C6323" s="300" t="s">
        <v>1065</v>
      </c>
      <c r="D6323" s="283" t="s">
        <v>1077</v>
      </c>
      <c r="E6323" s="283" t="s">
        <v>1076</v>
      </c>
      <c r="F6323" s="283" t="s">
        <v>1075</v>
      </c>
      <c r="G6323" s="283">
        <v>2</v>
      </c>
      <c r="H6323" s="283">
        <v>0</v>
      </c>
      <c r="I6323" s="283">
        <v>0</v>
      </c>
      <c r="J6323" s="284">
        <v>0</v>
      </c>
    </row>
    <row r="6324" spans="3:10" x14ac:dyDescent="0.25">
      <c r="C6324" s="300" t="s">
        <v>1063</v>
      </c>
      <c r="D6324" s="283" t="s">
        <v>1077</v>
      </c>
      <c r="E6324" s="283" t="s">
        <v>1075</v>
      </c>
      <c r="F6324" s="283" t="s">
        <v>1075</v>
      </c>
      <c r="G6324" s="283">
        <v>2</v>
      </c>
      <c r="H6324" s="283">
        <v>0</v>
      </c>
      <c r="I6324" s="283">
        <v>0</v>
      </c>
      <c r="J6324" s="284">
        <v>0</v>
      </c>
    </row>
    <row r="6325" spans="3:10" x14ac:dyDescent="0.25">
      <c r="C6325" s="300" t="s">
        <v>1064</v>
      </c>
      <c r="D6325" s="283" t="s">
        <v>1079</v>
      </c>
      <c r="E6325" s="283" t="s">
        <v>1091</v>
      </c>
      <c r="F6325" s="283" t="s">
        <v>1078</v>
      </c>
      <c r="G6325" s="283">
        <v>2</v>
      </c>
      <c r="H6325" s="283">
        <v>0</v>
      </c>
      <c r="I6325" s="283">
        <v>0</v>
      </c>
      <c r="J6325" s="284">
        <v>0</v>
      </c>
    </row>
    <row r="6326" spans="3:10" x14ac:dyDescent="0.25">
      <c r="C6326" s="300" t="s">
        <v>1061</v>
      </c>
      <c r="D6326" s="283" t="s">
        <v>1079</v>
      </c>
      <c r="E6326" s="283" t="s">
        <v>1075</v>
      </c>
      <c r="F6326" s="283" t="s">
        <v>1075</v>
      </c>
      <c r="G6326" s="283">
        <v>2</v>
      </c>
      <c r="H6326" s="283">
        <v>0</v>
      </c>
      <c r="I6326" s="283">
        <v>0</v>
      </c>
      <c r="J6326" s="284">
        <v>0</v>
      </c>
    </row>
    <row r="6327" spans="3:10" x14ac:dyDescent="0.25">
      <c r="C6327" s="300" t="s">
        <v>1061</v>
      </c>
      <c r="D6327" s="283" t="s">
        <v>1077</v>
      </c>
      <c r="E6327" s="283" t="s">
        <v>1089</v>
      </c>
      <c r="F6327" s="283" t="s">
        <v>1076</v>
      </c>
      <c r="G6327" s="283">
        <v>2</v>
      </c>
      <c r="H6327" s="283">
        <v>0</v>
      </c>
      <c r="I6327" s="283">
        <v>0</v>
      </c>
      <c r="J6327" s="284">
        <v>0</v>
      </c>
    </row>
    <row r="6328" spans="3:10" x14ac:dyDescent="0.25">
      <c r="C6328" s="300" t="s">
        <v>1063</v>
      </c>
      <c r="D6328" s="283" t="s">
        <v>1087</v>
      </c>
      <c r="E6328" s="283" t="s">
        <v>1075</v>
      </c>
      <c r="F6328" s="283" t="s">
        <v>524</v>
      </c>
      <c r="G6328" s="283">
        <v>1</v>
      </c>
      <c r="H6328" s="283">
        <v>0</v>
      </c>
      <c r="I6328" s="283">
        <v>0</v>
      </c>
      <c r="J6328" s="284">
        <v>0</v>
      </c>
    </row>
    <row r="6329" spans="3:10" x14ac:dyDescent="0.25">
      <c r="C6329" s="300" t="s">
        <v>1064</v>
      </c>
      <c r="D6329" s="283" t="s">
        <v>1079</v>
      </c>
      <c r="E6329" s="283" t="s">
        <v>1078</v>
      </c>
      <c r="F6329" s="283" t="s">
        <v>1078</v>
      </c>
      <c r="G6329" s="283">
        <v>2</v>
      </c>
      <c r="H6329" s="283">
        <v>0</v>
      </c>
      <c r="I6329" s="283">
        <v>0</v>
      </c>
      <c r="J6329" s="284">
        <v>0</v>
      </c>
    </row>
    <row r="6330" spans="3:10" x14ac:dyDescent="0.25">
      <c r="C6330" s="300" t="s">
        <v>1063</v>
      </c>
      <c r="D6330" s="283" t="s">
        <v>1079</v>
      </c>
      <c r="E6330" s="283" t="s">
        <v>1075</v>
      </c>
      <c r="F6330" s="283" t="s">
        <v>1078</v>
      </c>
      <c r="G6330" s="283">
        <v>2</v>
      </c>
      <c r="H6330" s="283">
        <v>0</v>
      </c>
      <c r="I6330" s="283">
        <v>0</v>
      </c>
      <c r="J6330" s="284">
        <v>0</v>
      </c>
    </row>
    <row r="6331" spans="3:10" x14ac:dyDescent="0.25">
      <c r="C6331" s="300" t="s">
        <v>1065</v>
      </c>
      <c r="D6331" s="283" t="s">
        <v>1087</v>
      </c>
      <c r="E6331" s="283" t="s">
        <v>1075</v>
      </c>
      <c r="F6331" s="283" t="s">
        <v>524</v>
      </c>
      <c r="G6331" s="283">
        <v>1</v>
      </c>
      <c r="H6331" s="283">
        <v>0</v>
      </c>
      <c r="I6331" s="283">
        <v>0</v>
      </c>
      <c r="J6331" s="284">
        <v>0</v>
      </c>
    </row>
    <row r="6332" spans="3:10" x14ac:dyDescent="0.25">
      <c r="C6332" s="300" t="s">
        <v>1061</v>
      </c>
      <c r="D6332" s="283" t="s">
        <v>1079</v>
      </c>
      <c r="E6332" s="283" t="s">
        <v>1075</v>
      </c>
      <c r="F6332" s="283" t="s">
        <v>1075</v>
      </c>
      <c r="G6332" s="283">
        <v>2</v>
      </c>
      <c r="H6332" s="283">
        <v>0</v>
      </c>
      <c r="I6332" s="283">
        <v>0</v>
      </c>
      <c r="J6332" s="284">
        <v>0</v>
      </c>
    </row>
    <row r="6333" spans="3:10" x14ac:dyDescent="0.25">
      <c r="C6333" s="300" t="s">
        <v>1066</v>
      </c>
      <c r="D6333" s="283" t="s">
        <v>1079</v>
      </c>
      <c r="E6333" s="283" t="s">
        <v>1075</v>
      </c>
      <c r="F6333" s="283" t="s">
        <v>1075</v>
      </c>
      <c r="G6333" s="283">
        <v>2</v>
      </c>
      <c r="H6333" s="283">
        <v>0</v>
      </c>
      <c r="I6333" s="283">
        <v>0</v>
      </c>
      <c r="J6333" s="284">
        <v>0</v>
      </c>
    </row>
    <row r="6334" spans="3:10" x14ac:dyDescent="0.25">
      <c r="C6334" s="300" t="s">
        <v>1065</v>
      </c>
      <c r="D6334" s="283" t="s">
        <v>1077</v>
      </c>
      <c r="E6334" s="283" t="s">
        <v>1075</v>
      </c>
      <c r="F6334" s="283" t="s">
        <v>1093</v>
      </c>
      <c r="G6334" s="283">
        <v>2</v>
      </c>
      <c r="H6334" s="283">
        <v>0</v>
      </c>
      <c r="I6334" s="283">
        <v>1</v>
      </c>
      <c r="J6334" s="284">
        <v>0</v>
      </c>
    </row>
    <row r="6335" spans="3:10" x14ac:dyDescent="0.25">
      <c r="C6335" s="300" t="s">
        <v>1063</v>
      </c>
      <c r="D6335" s="283" t="s">
        <v>1079</v>
      </c>
      <c r="E6335" s="283" t="s">
        <v>1089</v>
      </c>
      <c r="F6335" s="283" t="s">
        <v>1089</v>
      </c>
      <c r="G6335" s="283">
        <v>2</v>
      </c>
      <c r="H6335" s="283">
        <v>0</v>
      </c>
      <c r="I6335" s="283">
        <v>0</v>
      </c>
      <c r="J6335" s="284">
        <v>0</v>
      </c>
    </row>
    <row r="6336" spans="3:10" x14ac:dyDescent="0.25">
      <c r="C6336" s="300" t="s">
        <v>1065</v>
      </c>
      <c r="D6336" s="283" t="s">
        <v>1077</v>
      </c>
      <c r="E6336" s="283" t="s">
        <v>1075</v>
      </c>
      <c r="F6336" s="283" t="s">
        <v>1078</v>
      </c>
      <c r="G6336" s="283">
        <v>2</v>
      </c>
      <c r="H6336" s="283">
        <v>0</v>
      </c>
      <c r="I6336" s="283">
        <v>0</v>
      </c>
      <c r="J6336" s="284">
        <v>1</v>
      </c>
    </row>
    <row r="6337" spans="3:10" x14ac:dyDescent="0.25">
      <c r="C6337" s="300" t="s">
        <v>1065</v>
      </c>
      <c r="D6337" s="283" t="s">
        <v>1087</v>
      </c>
      <c r="E6337" s="283" t="s">
        <v>1075</v>
      </c>
      <c r="F6337" s="283" t="s">
        <v>524</v>
      </c>
      <c r="G6337" s="283">
        <v>1</v>
      </c>
      <c r="H6337" s="283">
        <v>0</v>
      </c>
      <c r="I6337" s="283">
        <v>0</v>
      </c>
      <c r="J6337" s="284">
        <v>0</v>
      </c>
    </row>
    <row r="6338" spans="3:10" x14ac:dyDescent="0.25">
      <c r="C6338" s="300" t="s">
        <v>1066</v>
      </c>
      <c r="D6338" s="283" t="s">
        <v>1090</v>
      </c>
      <c r="E6338" s="283" t="s">
        <v>1083</v>
      </c>
      <c r="F6338" s="283" t="s">
        <v>524</v>
      </c>
      <c r="G6338" s="283">
        <v>1</v>
      </c>
      <c r="H6338" s="283">
        <v>0</v>
      </c>
      <c r="I6338" s="283">
        <v>1</v>
      </c>
      <c r="J6338" s="284">
        <v>0</v>
      </c>
    </row>
    <row r="6339" spans="3:10" x14ac:dyDescent="0.25">
      <c r="C6339" s="300" t="s">
        <v>1064</v>
      </c>
      <c r="D6339" s="283" t="s">
        <v>1077</v>
      </c>
      <c r="E6339" s="283" t="s">
        <v>1078</v>
      </c>
      <c r="F6339" s="283" t="s">
        <v>1086</v>
      </c>
      <c r="G6339" s="283">
        <v>4</v>
      </c>
      <c r="H6339" s="283">
        <v>0</v>
      </c>
      <c r="I6339" s="283">
        <v>1</v>
      </c>
      <c r="J6339" s="284">
        <v>0</v>
      </c>
    </row>
    <row r="6340" spans="3:10" x14ac:dyDescent="0.25">
      <c r="C6340" s="300" t="s">
        <v>1061</v>
      </c>
      <c r="D6340" s="283" t="s">
        <v>1079</v>
      </c>
      <c r="E6340" s="283" t="s">
        <v>1075</v>
      </c>
      <c r="F6340" s="283" t="s">
        <v>1075</v>
      </c>
      <c r="G6340" s="283">
        <v>3</v>
      </c>
      <c r="H6340" s="283">
        <v>0</v>
      </c>
      <c r="I6340" s="283">
        <v>0</v>
      </c>
      <c r="J6340" s="284">
        <v>1</v>
      </c>
    </row>
    <row r="6341" spans="3:10" x14ac:dyDescent="0.25">
      <c r="C6341" s="300" t="s">
        <v>1060</v>
      </c>
      <c r="D6341" s="283" t="s">
        <v>1074</v>
      </c>
      <c r="E6341" s="283" t="s">
        <v>1081</v>
      </c>
      <c r="F6341" s="283" t="s">
        <v>1044</v>
      </c>
      <c r="G6341" s="283">
        <v>2</v>
      </c>
      <c r="H6341" s="283">
        <v>0</v>
      </c>
      <c r="I6341" s="283">
        <v>1</v>
      </c>
      <c r="J6341" s="284">
        <v>0</v>
      </c>
    </row>
    <row r="6342" spans="3:10" x14ac:dyDescent="0.25">
      <c r="C6342" s="300" t="s">
        <v>1065</v>
      </c>
      <c r="D6342" s="283" t="s">
        <v>1043</v>
      </c>
      <c r="E6342" s="283" t="s">
        <v>1083</v>
      </c>
      <c r="F6342" s="283" t="s">
        <v>1092</v>
      </c>
      <c r="G6342" s="283">
        <v>2</v>
      </c>
      <c r="H6342" s="283">
        <v>0</v>
      </c>
      <c r="I6342" s="283">
        <v>0</v>
      </c>
      <c r="J6342" s="284">
        <v>1</v>
      </c>
    </row>
    <row r="6343" spans="3:10" x14ac:dyDescent="0.25">
      <c r="C6343" s="300" t="s">
        <v>1063</v>
      </c>
      <c r="D6343" s="283" t="s">
        <v>1079</v>
      </c>
      <c r="E6343" s="283" t="s">
        <v>1086</v>
      </c>
      <c r="F6343" s="283" t="s">
        <v>1075</v>
      </c>
      <c r="G6343" s="283">
        <v>2</v>
      </c>
      <c r="H6343" s="283">
        <v>0</v>
      </c>
      <c r="I6343" s="283">
        <v>0</v>
      </c>
      <c r="J6343" s="284">
        <v>0</v>
      </c>
    </row>
    <row r="6344" spans="3:10" x14ac:dyDescent="0.25">
      <c r="C6344" s="300" t="s">
        <v>1066</v>
      </c>
      <c r="D6344" s="283" t="s">
        <v>1087</v>
      </c>
      <c r="E6344" s="283" t="s">
        <v>1075</v>
      </c>
      <c r="F6344" s="283" t="s">
        <v>524</v>
      </c>
      <c r="G6344" s="283">
        <v>1</v>
      </c>
      <c r="H6344" s="283">
        <v>0</v>
      </c>
      <c r="I6344" s="283">
        <v>0</v>
      </c>
      <c r="J6344" s="284">
        <v>0</v>
      </c>
    </row>
    <row r="6345" spans="3:10" x14ac:dyDescent="0.25">
      <c r="C6345" s="300" t="s">
        <v>1061</v>
      </c>
      <c r="D6345" s="283" t="s">
        <v>1077</v>
      </c>
      <c r="E6345" s="283" t="s">
        <v>1080</v>
      </c>
      <c r="F6345" s="283" t="s">
        <v>1075</v>
      </c>
      <c r="G6345" s="283">
        <v>2</v>
      </c>
      <c r="H6345" s="283">
        <v>0</v>
      </c>
      <c r="I6345" s="283">
        <v>0</v>
      </c>
      <c r="J6345" s="284">
        <v>1</v>
      </c>
    </row>
    <row r="6346" spans="3:10" x14ac:dyDescent="0.25">
      <c r="C6346" s="300" t="s">
        <v>1064</v>
      </c>
      <c r="D6346" s="283" t="s">
        <v>1082</v>
      </c>
      <c r="E6346" s="283" t="s">
        <v>1075</v>
      </c>
      <c r="F6346" s="283" t="s">
        <v>1075</v>
      </c>
      <c r="G6346" s="283">
        <v>2</v>
      </c>
      <c r="H6346" s="283">
        <v>0</v>
      </c>
      <c r="I6346" s="283">
        <v>0</v>
      </c>
      <c r="J6346" s="284">
        <v>0</v>
      </c>
    </row>
    <row r="6347" spans="3:10" x14ac:dyDescent="0.25">
      <c r="C6347" s="300" t="s">
        <v>1065</v>
      </c>
      <c r="D6347" s="283" t="s">
        <v>1074</v>
      </c>
      <c r="E6347" s="283" t="s">
        <v>1075</v>
      </c>
      <c r="F6347" s="283" t="s">
        <v>1075</v>
      </c>
      <c r="G6347" s="283">
        <v>2</v>
      </c>
      <c r="H6347" s="283">
        <v>0</v>
      </c>
      <c r="I6347" s="283">
        <v>0</v>
      </c>
      <c r="J6347" s="284">
        <v>0</v>
      </c>
    </row>
    <row r="6348" spans="3:10" x14ac:dyDescent="0.25">
      <c r="C6348" s="300" t="s">
        <v>1066</v>
      </c>
      <c r="D6348" s="283" t="s">
        <v>1077</v>
      </c>
      <c r="E6348" s="283" t="s">
        <v>1075</v>
      </c>
      <c r="F6348" s="283" t="s">
        <v>1089</v>
      </c>
      <c r="G6348" s="283">
        <v>2</v>
      </c>
      <c r="H6348" s="283">
        <v>0</v>
      </c>
      <c r="I6348" s="283">
        <v>0</v>
      </c>
      <c r="J6348" s="284">
        <v>0</v>
      </c>
    </row>
    <row r="6349" spans="3:10" x14ac:dyDescent="0.25">
      <c r="C6349" s="300" t="s">
        <v>1065</v>
      </c>
      <c r="D6349" s="283" t="s">
        <v>1077</v>
      </c>
      <c r="E6349" s="283" t="s">
        <v>1075</v>
      </c>
      <c r="F6349" s="283" t="s">
        <v>1089</v>
      </c>
      <c r="G6349" s="283">
        <v>2</v>
      </c>
      <c r="H6349" s="283">
        <v>0</v>
      </c>
      <c r="I6349" s="283">
        <v>0</v>
      </c>
      <c r="J6349" s="284">
        <v>0</v>
      </c>
    </row>
    <row r="6350" spans="3:10" x14ac:dyDescent="0.25">
      <c r="C6350" s="300" t="s">
        <v>1065</v>
      </c>
      <c r="D6350" s="283" t="s">
        <v>1077</v>
      </c>
      <c r="E6350" s="283" t="s">
        <v>1089</v>
      </c>
      <c r="F6350" s="283" t="s">
        <v>1075</v>
      </c>
      <c r="G6350" s="283">
        <v>2</v>
      </c>
      <c r="H6350" s="283">
        <v>0</v>
      </c>
      <c r="I6350" s="283">
        <v>0</v>
      </c>
      <c r="J6350" s="284">
        <v>0</v>
      </c>
    </row>
    <row r="6351" spans="3:10" x14ac:dyDescent="0.25">
      <c r="C6351" s="300" t="s">
        <v>1061</v>
      </c>
      <c r="D6351" s="283" t="s">
        <v>1087</v>
      </c>
      <c r="E6351" s="283" t="s">
        <v>1075</v>
      </c>
      <c r="F6351" s="283" t="s">
        <v>524</v>
      </c>
      <c r="G6351" s="283">
        <v>1</v>
      </c>
      <c r="H6351" s="283">
        <v>0</v>
      </c>
      <c r="I6351" s="283">
        <v>0</v>
      </c>
      <c r="J6351" s="284">
        <v>0</v>
      </c>
    </row>
    <row r="6352" spans="3:10" x14ac:dyDescent="0.25">
      <c r="C6352" s="300" t="s">
        <v>1066</v>
      </c>
      <c r="D6352" s="283" t="s">
        <v>1079</v>
      </c>
      <c r="E6352" s="283" t="s">
        <v>1086</v>
      </c>
      <c r="F6352" s="283" t="s">
        <v>1075</v>
      </c>
      <c r="G6352" s="283">
        <v>2</v>
      </c>
      <c r="H6352" s="283">
        <v>0</v>
      </c>
      <c r="I6352" s="283">
        <v>0</v>
      </c>
      <c r="J6352" s="284">
        <v>0</v>
      </c>
    </row>
    <row r="6353" spans="3:10" x14ac:dyDescent="0.25">
      <c r="C6353" s="300" t="s">
        <v>1060</v>
      </c>
      <c r="D6353" s="283" t="s">
        <v>1074</v>
      </c>
      <c r="E6353" s="283" t="s">
        <v>1075</v>
      </c>
      <c r="F6353" s="283" t="s">
        <v>1075</v>
      </c>
      <c r="G6353" s="283">
        <v>2</v>
      </c>
      <c r="H6353" s="283">
        <v>0</v>
      </c>
      <c r="I6353" s="283">
        <v>0</v>
      </c>
      <c r="J6353" s="284">
        <v>0</v>
      </c>
    </row>
    <row r="6354" spans="3:10" x14ac:dyDescent="0.25">
      <c r="C6354" s="300" t="s">
        <v>1061</v>
      </c>
      <c r="D6354" s="283" t="s">
        <v>1079</v>
      </c>
      <c r="E6354" s="283" t="s">
        <v>1075</v>
      </c>
      <c r="F6354" s="283" t="s">
        <v>1075</v>
      </c>
      <c r="G6354" s="283">
        <v>2</v>
      </c>
      <c r="H6354" s="283">
        <v>0</v>
      </c>
      <c r="I6354" s="283">
        <v>0</v>
      </c>
      <c r="J6354" s="284">
        <v>0</v>
      </c>
    </row>
    <row r="6355" spans="3:10" x14ac:dyDescent="0.25">
      <c r="C6355" s="300" t="s">
        <v>1065</v>
      </c>
      <c r="D6355" s="283" t="s">
        <v>1079</v>
      </c>
      <c r="E6355" s="283" t="s">
        <v>1083</v>
      </c>
      <c r="F6355" s="283" t="s">
        <v>1078</v>
      </c>
      <c r="G6355" s="283">
        <v>2</v>
      </c>
      <c r="H6355" s="283">
        <v>0</v>
      </c>
      <c r="I6355" s="283">
        <v>1</v>
      </c>
      <c r="J6355" s="284">
        <v>1</v>
      </c>
    </row>
    <row r="6356" spans="3:10" x14ac:dyDescent="0.25">
      <c r="C6356" s="300" t="s">
        <v>1066</v>
      </c>
      <c r="D6356" s="283" t="s">
        <v>1043</v>
      </c>
      <c r="E6356" s="283" t="s">
        <v>1075</v>
      </c>
      <c r="F6356" s="283" t="s">
        <v>1092</v>
      </c>
      <c r="G6356" s="283">
        <v>2</v>
      </c>
      <c r="H6356" s="283">
        <v>0</v>
      </c>
      <c r="I6356" s="283">
        <v>0</v>
      </c>
      <c r="J6356" s="284">
        <v>1</v>
      </c>
    </row>
    <row r="6357" spans="3:10" x14ac:dyDescent="0.25">
      <c r="C6357" s="300" t="s">
        <v>1060</v>
      </c>
      <c r="D6357" s="283" t="s">
        <v>1090</v>
      </c>
      <c r="E6357" s="283" t="s">
        <v>1044</v>
      </c>
      <c r="F6357" s="283" t="s">
        <v>524</v>
      </c>
      <c r="G6357" s="283">
        <v>1</v>
      </c>
      <c r="H6357" s="283">
        <v>0</v>
      </c>
      <c r="I6357" s="283">
        <v>1</v>
      </c>
      <c r="J6357" s="284">
        <v>0</v>
      </c>
    </row>
    <row r="6358" spans="3:10" x14ac:dyDescent="0.25">
      <c r="C6358" s="300" t="s">
        <v>1068</v>
      </c>
      <c r="D6358" s="283" t="s">
        <v>1079</v>
      </c>
      <c r="E6358" s="283" t="s">
        <v>1075</v>
      </c>
      <c r="F6358" s="283" t="s">
        <v>1089</v>
      </c>
      <c r="G6358" s="283">
        <v>2</v>
      </c>
      <c r="H6358" s="283">
        <v>0</v>
      </c>
      <c r="I6358" s="283">
        <v>0</v>
      </c>
      <c r="J6358" s="284">
        <v>0</v>
      </c>
    </row>
    <row r="6359" spans="3:10" x14ac:dyDescent="0.25">
      <c r="C6359" s="300" t="s">
        <v>1065</v>
      </c>
      <c r="D6359" s="283" t="s">
        <v>1087</v>
      </c>
      <c r="E6359" s="283" t="s">
        <v>1075</v>
      </c>
      <c r="F6359" s="283" t="s">
        <v>524</v>
      </c>
      <c r="G6359" s="283">
        <v>1</v>
      </c>
      <c r="H6359" s="283">
        <v>0</v>
      </c>
      <c r="I6359" s="283">
        <v>1</v>
      </c>
      <c r="J6359" s="284">
        <v>1</v>
      </c>
    </row>
    <row r="6360" spans="3:10" x14ac:dyDescent="0.25">
      <c r="C6360" s="300" t="s">
        <v>1067</v>
      </c>
      <c r="D6360" s="283" t="s">
        <v>1079</v>
      </c>
      <c r="E6360" s="283" t="s">
        <v>1075</v>
      </c>
      <c r="F6360" s="283" t="s">
        <v>1075</v>
      </c>
      <c r="G6360" s="283">
        <v>2</v>
      </c>
      <c r="H6360" s="283">
        <v>0</v>
      </c>
      <c r="I6360" s="283">
        <v>0</v>
      </c>
      <c r="J6360" s="284">
        <v>0</v>
      </c>
    </row>
    <row r="6361" spans="3:10" x14ac:dyDescent="0.25">
      <c r="C6361" s="300" t="s">
        <v>1064</v>
      </c>
      <c r="D6361" s="283" t="s">
        <v>1079</v>
      </c>
      <c r="E6361" s="283" t="s">
        <v>1075</v>
      </c>
      <c r="F6361" s="283" t="s">
        <v>1083</v>
      </c>
      <c r="G6361" s="283">
        <v>2</v>
      </c>
      <c r="H6361" s="283">
        <v>0</v>
      </c>
      <c r="I6361" s="283">
        <v>1</v>
      </c>
      <c r="J6361" s="284">
        <v>1</v>
      </c>
    </row>
    <row r="6362" spans="3:10" x14ac:dyDescent="0.25">
      <c r="C6362" s="300" t="s">
        <v>1065</v>
      </c>
      <c r="D6362" s="283" t="s">
        <v>1077</v>
      </c>
      <c r="E6362" s="283" t="s">
        <v>1089</v>
      </c>
      <c r="F6362" s="283" t="s">
        <v>1075</v>
      </c>
      <c r="G6362" s="283">
        <v>2</v>
      </c>
      <c r="H6362" s="283">
        <v>0</v>
      </c>
      <c r="I6362" s="283">
        <v>0</v>
      </c>
      <c r="J6362" s="284">
        <v>0</v>
      </c>
    </row>
    <row r="6363" spans="3:10" x14ac:dyDescent="0.25">
      <c r="C6363" s="300" t="s">
        <v>1065</v>
      </c>
      <c r="D6363" s="283" t="s">
        <v>1087</v>
      </c>
      <c r="E6363" s="283" t="s">
        <v>1089</v>
      </c>
      <c r="F6363" s="283" t="s">
        <v>524</v>
      </c>
      <c r="G6363" s="283">
        <v>2</v>
      </c>
      <c r="H6363" s="283">
        <v>0</v>
      </c>
      <c r="I6363" s="283">
        <v>0</v>
      </c>
      <c r="J6363" s="284">
        <v>1</v>
      </c>
    </row>
    <row r="6364" spans="3:10" x14ac:dyDescent="0.25">
      <c r="C6364" s="300" t="s">
        <v>1064</v>
      </c>
      <c r="D6364" s="283" t="s">
        <v>1082</v>
      </c>
      <c r="E6364" s="283" t="s">
        <v>1075</v>
      </c>
      <c r="F6364" s="283" t="s">
        <v>1075</v>
      </c>
      <c r="G6364" s="283">
        <v>2</v>
      </c>
      <c r="H6364" s="283">
        <v>0</v>
      </c>
      <c r="I6364" s="283">
        <v>0</v>
      </c>
      <c r="J6364" s="284">
        <v>0</v>
      </c>
    </row>
    <row r="6365" spans="3:10" x14ac:dyDescent="0.25">
      <c r="C6365" s="300" t="s">
        <v>1061</v>
      </c>
      <c r="D6365" s="283" t="s">
        <v>1074</v>
      </c>
      <c r="E6365" s="283" t="s">
        <v>1081</v>
      </c>
      <c r="F6365" s="283" t="s">
        <v>1089</v>
      </c>
      <c r="G6365" s="283">
        <v>2</v>
      </c>
      <c r="H6365" s="283">
        <v>0</v>
      </c>
      <c r="I6365" s="283">
        <v>0</v>
      </c>
      <c r="J6365" s="284">
        <v>0</v>
      </c>
    </row>
    <row r="6366" spans="3:10" x14ac:dyDescent="0.25">
      <c r="C6366" s="300" t="s">
        <v>1058</v>
      </c>
      <c r="D6366" s="283" t="s">
        <v>1090</v>
      </c>
      <c r="E6366" s="283" t="s">
        <v>1100</v>
      </c>
      <c r="F6366" s="283" t="s">
        <v>524</v>
      </c>
      <c r="G6366" s="283">
        <v>2</v>
      </c>
      <c r="H6366" s="283">
        <v>0</v>
      </c>
      <c r="I6366" s="283">
        <v>1</v>
      </c>
      <c r="J6366" s="284">
        <v>1</v>
      </c>
    </row>
    <row r="6367" spans="3:10" x14ac:dyDescent="0.25">
      <c r="C6367" s="300" t="s">
        <v>1066</v>
      </c>
      <c r="D6367" s="283" t="s">
        <v>1090</v>
      </c>
      <c r="E6367" s="283" t="s">
        <v>1093</v>
      </c>
      <c r="F6367" s="283" t="s">
        <v>524</v>
      </c>
      <c r="G6367" s="283">
        <v>1</v>
      </c>
      <c r="H6367" s="283">
        <v>0</v>
      </c>
      <c r="I6367" s="283">
        <v>0</v>
      </c>
      <c r="J6367" s="284">
        <v>1</v>
      </c>
    </row>
    <row r="6368" spans="3:10" x14ac:dyDescent="0.25">
      <c r="C6368" s="300" t="s">
        <v>1065</v>
      </c>
      <c r="D6368" s="283" t="s">
        <v>1077</v>
      </c>
      <c r="E6368" s="283" t="s">
        <v>1078</v>
      </c>
      <c r="F6368" s="283" t="s">
        <v>1084</v>
      </c>
      <c r="G6368" s="283">
        <v>2</v>
      </c>
      <c r="H6368" s="283">
        <v>0</v>
      </c>
      <c r="I6368" s="283">
        <v>0</v>
      </c>
      <c r="J6368" s="284">
        <v>0</v>
      </c>
    </row>
    <row r="6369" spans="3:10" x14ac:dyDescent="0.25">
      <c r="C6369" s="300" t="s">
        <v>1060</v>
      </c>
      <c r="D6369" s="283" t="s">
        <v>1079</v>
      </c>
      <c r="E6369" s="283" t="s">
        <v>1075</v>
      </c>
      <c r="F6369" s="283" t="s">
        <v>1078</v>
      </c>
      <c r="G6369" s="283">
        <v>3</v>
      </c>
      <c r="H6369" s="283">
        <v>0</v>
      </c>
      <c r="I6369" s="283">
        <v>0</v>
      </c>
      <c r="J6369" s="284">
        <v>0</v>
      </c>
    </row>
    <row r="6370" spans="3:10" x14ac:dyDescent="0.25">
      <c r="C6370" s="300" t="s">
        <v>1065</v>
      </c>
      <c r="D6370" s="283" t="s">
        <v>1079</v>
      </c>
      <c r="E6370" s="283" t="s">
        <v>1094</v>
      </c>
      <c r="F6370" s="283" t="s">
        <v>524</v>
      </c>
      <c r="G6370" s="283">
        <v>1</v>
      </c>
      <c r="H6370" s="283">
        <v>0</v>
      </c>
      <c r="I6370" s="283">
        <v>0</v>
      </c>
      <c r="J6370" s="284">
        <v>0</v>
      </c>
    </row>
    <row r="6371" spans="3:10" x14ac:dyDescent="0.25">
      <c r="C6371" s="300" t="s">
        <v>1063</v>
      </c>
      <c r="D6371" s="283" t="s">
        <v>1079</v>
      </c>
      <c r="E6371" s="283" t="s">
        <v>1089</v>
      </c>
      <c r="F6371" s="283" t="s">
        <v>1076</v>
      </c>
      <c r="G6371" s="283">
        <v>2</v>
      </c>
      <c r="H6371" s="283">
        <v>0</v>
      </c>
      <c r="I6371" s="283">
        <v>0</v>
      </c>
      <c r="J6371" s="284">
        <v>0</v>
      </c>
    </row>
    <row r="6372" spans="3:10" x14ac:dyDescent="0.25">
      <c r="C6372" s="300" t="s">
        <v>1060</v>
      </c>
      <c r="D6372" s="283" t="s">
        <v>1077</v>
      </c>
      <c r="E6372" s="283" t="s">
        <v>1089</v>
      </c>
      <c r="F6372" s="283" t="s">
        <v>1078</v>
      </c>
      <c r="G6372" s="283">
        <v>2</v>
      </c>
      <c r="H6372" s="283">
        <v>0</v>
      </c>
      <c r="I6372" s="283">
        <v>0</v>
      </c>
      <c r="J6372" s="284">
        <v>0</v>
      </c>
    </row>
    <row r="6373" spans="3:10" x14ac:dyDescent="0.25">
      <c r="C6373" s="300" t="s">
        <v>1065</v>
      </c>
      <c r="D6373" s="283" t="s">
        <v>1077</v>
      </c>
      <c r="E6373" s="283" t="s">
        <v>1075</v>
      </c>
      <c r="F6373" s="283" t="s">
        <v>1075</v>
      </c>
      <c r="G6373" s="283">
        <v>2</v>
      </c>
      <c r="H6373" s="283">
        <v>0</v>
      </c>
      <c r="I6373" s="283">
        <v>0</v>
      </c>
      <c r="J6373" s="284">
        <v>0</v>
      </c>
    </row>
    <row r="6374" spans="3:10" x14ac:dyDescent="0.25">
      <c r="C6374" s="300" t="s">
        <v>1061</v>
      </c>
      <c r="D6374" s="283" t="s">
        <v>1077</v>
      </c>
      <c r="E6374" s="283" t="s">
        <v>1075</v>
      </c>
      <c r="F6374" s="283" t="s">
        <v>1075</v>
      </c>
      <c r="G6374" s="283">
        <v>2</v>
      </c>
      <c r="H6374" s="283">
        <v>0</v>
      </c>
      <c r="I6374" s="283">
        <v>0</v>
      </c>
      <c r="J6374" s="284">
        <v>0</v>
      </c>
    </row>
    <row r="6375" spans="3:10" x14ac:dyDescent="0.25">
      <c r="C6375" s="300" t="s">
        <v>1061</v>
      </c>
      <c r="D6375" s="283" t="s">
        <v>1074</v>
      </c>
      <c r="E6375" s="283" t="s">
        <v>1075</v>
      </c>
      <c r="F6375" s="283" t="s">
        <v>1089</v>
      </c>
      <c r="G6375" s="283">
        <v>2</v>
      </c>
      <c r="H6375" s="283">
        <v>0</v>
      </c>
      <c r="I6375" s="283">
        <v>0</v>
      </c>
      <c r="J6375" s="284">
        <v>0</v>
      </c>
    </row>
    <row r="6376" spans="3:10" x14ac:dyDescent="0.25">
      <c r="C6376" s="300" t="s">
        <v>1061</v>
      </c>
      <c r="D6376" s="283" t="s">
        <v>1079</v>
      </c>
      <c r="E6376" s="283" t="s">
        <v>1081</v>
      </c>
      <c r="F6376" s="283" t="s">
        <v>1100</v>
      </c>
      <c r="G6376" s="283">
        <v>3</v>
      </c>
      <c r="H6376" s="283">
        <v>0</v>
      </c>
      <c r="I6376" s="283">
        <v>0</v>
      </c>
      <c r="J6376" s="284">
        <v>0</v>
      </c>
    </row>
    <row r="6377" spans="3:10" x14ac:dyDescent="0.25">
      <c r="C6377" s="300" t="s">
        <v>1061</v>
      </c>
      <c r="D6377" s="283" t="s">
        <v>1079</v>
      </c>
      <c r="E6377" s="283" t="s">
        <v>1080</v>
      </c>
      <c r="F6377" s="283" t="s">
        <v>1084</v>
      </c>
      <c r="G6377" s="283">
        <v>2</v>
      </c>
      <c r="H6377" s="283">
        <v>0</v>
      </c>
      <c r="I6377" s="283">
        <v>0</v>
      </c>
      <c r="J6377" s="284">
        <v>0</v>
      </c>
    </row>
    <row r="6378" spans="3:10" x14ac:dyDescent="0.25">
      <c r="C6378" s="300" t="s">
        <v>1062</v>
      </c>
      <c r="D6378" s="283" t="s">
        <v>1074</v>
      </c>
      <c r="E6378" s="283" t="s">
        <v>1076</v>
      </c>
      <c r="F6378" s="283" t="s">
        <v>1075</v>
      </c>
      <c r="G6378" s="283">
        <v>2</v>
      </c>
      <c r="H6378" s="283">
        <v>0</v>
      </c>
      <c r="I6378" s="283">
        <v>0</v>
      </c>
      <c r="J6378" s="284">
        <v>0</v>
      </c>
    </row>
    <row r="6379" spans="3:10" x14ac:dyDescent="0.25">
      <c r="C6379" s="300" t="s">
        <v>1065</v>
      </c>
      <c r="D6379" s="283" t="s">
        <v>1077</v>
      </c>
      <c r="E6379" s="283" t="s">
        <v>1083</v>
      </c>
      <c r="F6379" s="283" t="s">
        <v>1089</v>
      </c>
      <c r="G6379" s="283">
        <v>2</v>
      </c>
      <c r="H6379" s="283">
        <v>0</v>
      </c>
      <c r="I6379" s="283">
        <v>0</v>
      </c>
      <c r="J6379" s="284">
        <v>0</v>
      </c>
    </row>
    <row r="6380" spans="3:10" x14ac:dyDescent="0.25">
      <c r="C6380" s="300" t="s">
        <v>1064</v>
      </c>
      <c r="D6380" s="283" t="s">
        <v>1074</v>
      </c>
      <c r="E6380" s="283" t="s">
        <v>1080</v>
      </c>
      <c r="F6380" s="283" t="s">
        <v>1075</v>
      </c>
      <c r="G6380" s="283">
        <v>2</v>
      </c>
      <c r="H6380" s="283">
        <v>0</v>
      </c>
      <c r="I6380" s="283">
        <v>0</v>
      </c>
      <c r="J6380" s="284">
        <v>0</v>
      </c>
    </row>
    <row r="6381" spans="3:10" x14ac:dyDescent="0.25">
      <c r="C6381" s="300" t="s">
        <v>1061</v>
      </c>
      <c r="D6381" s="283" t="s">
        <v>1079</v>
      </c>
      <c r="E6381" s="283" t="s">
        <v>1089</v>
      </c>
      <c r="F6381" s="283" t="s">
        <v>1075</v>
      </c>
      <c r="G6381" s="283">
        <v>2</v>
      </c>
      <c r="H6381" s="283">
        <v>0</v>
      </c>
      <c r="I6381" s="283">
        <v>0</v>
      </c>
      <c r="J6381" s="284">
        <v>1</v>
      </c>
    </row>
    <row r="6382" spans="3:10" x14ac:dyDescent="0.25">
      <c r="C6382" s="300" t="s">
        <v>1064</v>
      </c>
      <c r="D6382" s="283" t="s">
        <v>1077</v>
      </c>
      <c r="E6382" s="283" t="s">
        <v>1075</v>
      </c>
      <c r="F6382" s="283" t="s">
        <v>1075</v>
      </c>
      <c r="G6382" s="283">
        <v>2</v>
      </c>
      <c r="H6382" s="283">
        <v>0</v>
      </c>
      <c r="I6382" s="283">
        <v>0</v>
      </c>
      <c r="J6382" s="284">
        <v>0</v>
      </c>
    </row>
    <row r="6383" spans="3:10" x14ac:dyDescent="0.25">
      <c r="C6383" s="300" t="s">
        <v>1064</v>
      </c>
      <c r="D6383" s="283" t="s">
        <v>1079</v>
      </c>
      <c r="E6383" s="283" t="s">
        <v>1089</v>
      </c>
      <c r="F6383" s="283" t="s">
        <v>1089</v>
      </c>
      <c r="G6383" s="283">
        <v>2</v>
      </c>
      <c r="H6383" s="283">
        <v>0</v>
      </c>
      <c r="I6383" s="283">
        <v>0</v>
      </c>
      <c r="J6383" s="284">
        <v>0</v>
      </c>
    </row>
    <row r="6384" spans="3:10" x14ac:dyDescent="0.25">
      <c r="C6384" s="300" t="s">
        <v>1065</v>
      </c>
      <c r="D6384" s="283" t="s">
        <v>1077</v>
      </c>
      <c r="E6384" s="283" t="s">
        <v>1076</v>
      </c>
      <c r="F6384" s="283" t="s">
        <v>1075</v>
      </c>
      <c r="G6384" s="283">
        <v>2</v>
      </c>
      <c r="H6384" s="283">
        <v>0</v>
      </c>
      <c r="I6384" s="283">
        <v>0</v>
      </c>
      <c r="J6384" s="284">
        <v>1</v>
      </c>
    </row>
    <row r="6385" spans="3:10" x14ac:dyDescent="0.25">
      <c r="C6385" s="300" t="s">
        <v>1067</v>
      </c>
      <c r="D6385" s="283" t="s">
        <v>1077</v>
      </c>
      <c r="E6385" s="283" t="s">
        <v>1075</v>
      </c>
      <c r="F6385" s="283" t="s">
        <v>1083</v>
      </c>
      <c r="G6385" s="283">
        <v>2</v>
      </c>
      <c r="H6385" s="283">
        <v>0</v>
      </c>
      <c r="I6385" s="283">
        <v>0</v>
      </c>
      <c r="J6385" s="284">
        <v>1</v>
      </c>
    </row>
    <row r="6386" spans="3:10" x14ac:dyDescent="0.25">
      <c r="C6386" s="300" t="s">
        <v>1064</v>
      </c>
      <c r="D6386" s="283" t="s">
        <v>1077</v>
      </c>
      <c r="E6386" s="283" t="s">
        <v>1084</v>
      </c>
      <c r="F6386" s="283" t="s">
        <v>1089</v>
      </c>
      <c r="G6386" s="283">
        <v>2</v>
      </c>
      <c r="H6386" s="283">
        <v>0</v>
      </c>
      <c r="I6386" s="283">
        <v>0</v>
      </c>
      <c r="J6386" s="284">
        <v>0</v>
      </c>
    </row>
    <row r="6387" spans="3:10" x14ac:dyDescent="0.25">
      <c r="C6387" s="300" t="s">
        <v>1065</v>
      </c>
      <c r="D6387" s="283" t="s">
        <v>1074</v>
      </c>
      <c r="E6387" s="283" t="s">
        <v>1075</v>
      </c>
      <c r="F6387" s="283" t="s">
        <v>1076</v>
      </c>
      <c r="G6387" s="283">
        <v>2</v>
      </c>
      <c r="H6387" s="283">
        <v>0</v>
      </c>
      <c r="I6387" s="283">
        <v>0</v>
      </c>
      <c r="J6387" s="284">
        <v>0</v>
      </c>
    </row>
    <row r="6388" spans="3:10" x14ac:dyDescent="0.25">
      <c r="C6388" s="300" t="s">
        <v>1061</v>
      </c>
      <c r="D6388" s="283" t="s">
        <v>1077</v>
      </c>
      <c r="E6388" s="283" t="s">
        <v>1075</v>
      </c>
      <c r="F6388" s="283" t="s">
        <v>1075</v>
      </c>
      <c r="G6388" s="283">
        <v>3</v>
      </c>
      <c r="H6388" s="283">
        <v>0</v>
      </c>
      <c r="I6388" s="283">
        <v>1</v>
      </c>
      <c r="J6388" s="284">
        <v>0</v>
      </c>
    </row>
    <row r="6389" spans="3:10" x14ac:dyDescent="0.25">
      <c r="C6389" s="300" t="s">
        <v>1065</v>
      </c>
      <c r="D6389" s="283" t="s">
        <v>1077</v>
      </c>
      <c r="E6389" s="283" t="s">
        <v>1075</v>
      </c>
      <c r="F6389" s="283" t="s">
        <v>1075</v>
      </c>
      <c r="G6389" s="283">
        <v>2</v>
      </c>
      <c r="H6389" s="283">
        <v>0</v>
      </c>
      <c r="I6389" s="283">
        <v>0</v>
      </c>
      <c r="J6389" s="284">
        <v>1</v>
      </c>
    </row>
    <row r="6390" spans="3:10" x14ac:dyDescent="0.25">
      <c r="C6390" s="300" t="s">
        <v>1065</v>
      </c>
      <c r="D6390" s="283" t="s">
        <v>1079</v>
      </c>
      <c r="E6390" s="283" t="s">
        <v>1075</v>
      </c>
      <c r="F6390" s="283" t="s">
        <v>1089</v>
      </c>
      <c r="G6390" s="283">
        <v>2</v>
      </c>
      <c r="H6390" s="283">
        <v>0</v>
      </c>
      <c r="I6390" s="283">
        <v>0</v>
      </c>
      <c r="J6390" s="284">
        <v>0</v>
      </c>
    </row>
    <row r="6391" spans="3:10" x14ac:dyDescent="0.25">
      <c r="C6391" s="300" t="s">
        <v>1065</v>
      </c>
      <c r="D6391" s="283" t="s">
        <v>1079</v>
      </c>
      <c r="E6391" s="283" t="s">
        <v>1075</v>
      </c>
      <c r="F6391" s="283" t="s">
        <v>1105</v>
      </c>
      <c r="G6391" s="283">
        <v>2</v>
      </c>
      <c r="H6391" s="283">
        <v>0</v>
      </c>
      <c r="I6391" s="283">
        <v>0</v>
      </c>
      <c r="J6391" s="284">
        <v>0</v>
      </c>
    </row>
    <row r="6392" spans="3:10" x14ac:dyDescent="0.25">
      <c r="C6392" s="300" t="s">
        <v>1063</v>
      </c>
      <c r="D6392" s="283" t="s">
        <v>1074</v>
      </c>
      <c r="E6392" s="283" t="s">
        <v>1075</v>
      </c>
      <c r="F6392" s="283" t="s">
        <v>1075</v>
      </c>
      <c r="G6392" s="283">
        <v>2</v>
      </c>
      <c r="H6392" s="283">
        <v>0</v>
      </c>
      <c r="I6392" s="283">
        <v>1</v>
      </c>
      <c r="J6392" s="284">
        <v>1</v>
      </c>
    </row>
    <row r="6393" spans="3:10" x14ac:dyDescent="0.25">
      <c r="C6393" s="300" t="s">
        <v>1065</v>
      </c>
      <c r="D6393" s="283" t="s">
        <v>1079</v>
      </c>
      <c r="E6393" s="283" t="s">
        <v>1089</v>
      </c>
      <c r="F6393" s="283" t="s">
        <v>1075</v>
      </c>
      <c r="G6393" s="283">
        <v>2</v>
      </c>
      <c r="H6393" s="283">
        <v>0</v>
      </c>
      <c r="I6393" s="283">
        <v>0</v>
      </c>
      <c r="J6393" s="284">
        <v>0</v>
      </c>
    </row>
    <row r="6394" spans="3:10" x14ac:dyDescent="0.25">
      <c r="C6394" s="300" t="s">
        <v>1062</v>
      </c>
      <c r="D6394" s="283" t="s">
        <v>1079</v>
      </c>
      <c r="E6394" s="283" t="s">
        <v>1044</v>
      </c>
      <c r="F6394" s="283" t="s">
        <v>1084</v>
      </c>
      <c r="G6394" s="283">
        <v>2</v>
      </c>
      <c r="H6394" s="283">
        <v>0</v>
      </c>
      <c r="I6394" s="283">
        <v>0</v>
      </c>
      <c r="J6394" s="284">
        <v>1</v>
      </c>
    </row>
    <row r="6395" spans="3:10" x14ac:dyDescent="0.25">
      <c r="C6395" s="300" t="s">
        <v>1061</v>
      </c>
      <c r="D6395" s="283" t="s">
        <v>1079</v>
      </c>
      <c r="E6395" s="283" t="s">
        <v>1078</v>
      </c>
      <c r="F6395" s="283" t="s">
        <v>1083</v>
      </c>
      <c r="G6395" s="283">
        <v>2</v>
      </c>
      <c r="H6395" s="283">
        <v>0</v>
      </c>
      <c r="I6395" s="283">
        <v>1</v>
      </c>
      <c r="J6395" s="284">
        <v>0</v>
      </c>
    </row>
    <row r="6396" spans="3:10" x14ac:dyDescent="0.25">
      <c r="C6396" s="300" t="s">
        <v>1068</v>
      </c>
      <c r="D6396" s="283" t="s">
        <v>1087</v>
      </c>
      <c r="E6396" s="283" t="s">
        <v>1075</v>
      </c>
      <c r="F6396" s="283" t="s">
        <v>524</v>
      </c>
      <c r="G6396" s="283">
        <v>1</v>
      </c>
      <c r="H6396" s="283">
        <v>0</v>
      </c>
      <c r="I6396" s="283">
        <v>0</v>
      </c>
      <c r="J6396" s="284">
        <v>0</v>
      </c>
    </row>
    <row r="6397" spans="3:10" x14ac:dyDescent="0.25">
      <c r="C6397" s="300" t="s">
        <v>1067</v>
      </c>
      <c r="D6397" s="283" t="s">
        <v>1090</v>
      </c>
      <c r="E6397" s="283" t="s">
        <v>1044</v>
      </c>
      <c r="F6397" s="283" t="s">
        <v>524</v>
      </c>
      <c r="G6397" s="283">
        <v>1</v>
      </c>
      <c r="H6397" s="283">
        <v>0</v>
      </c>
      <c r="I6397" s="283">
        <v>0</v>
      </c>
      <c r="J6397" s="284">
        <v>1</v>
      </c>
    </row>
    <row r="6398" spans="3:10" x14ac:dyDescent="0.25">
      <c r="C6398" s="300" t="s">
        <v>1065</v>
      </c>
      <c r="D6398" s="283" t="s">
        <v>1043</v>
      </c>
      <c r="E6398" s="283" t="s">
        <v>1075</v>
      </c>
      <c r="F6398" s="283" t="s">
        <v>1092</v>
      </c>
      <c r="G6398" s="283">
        <v>2</v>
      </c>
      <c r="H6398" s="283">
        <v>0</v>
      </c>
      <c r="I6398" s="283">
        <v>0</v>
      </c>
      <c r="J6398" s="284">
        <v>0</v>
      </c>
    </row>
    <row r="6399" spans="3:10" x14ac:dyDescent="0.25">
      <c r="C6399" s="300" t="s">
        <v>1068</v>
      </c>
      <c r="D6399" s="283" t="s">
        <v>1087</v>
      </c>
      <c r="E6399" s="283" t="s">
        <v>1075</v>
      </c>
      <c r="F6399" s="283" t="s">
        <v>524</v>
      </c>
      <c r="G6399" s="283">
        <v>1</v>
      </c>
      <c r="H6399" s="283">
        <v>0</v>
      </c>
      <c r="I6399" s="283">
        <v>1</v>
      </c>
      <c r="J6399" s="284">
        <v>0</v>
      </c>
    </row>
    <row r="6400" spans="3:10" x14ac:dyDescent="0.25">
      <c r="C6400" s="300" t="s">
        <v>1066</v>
      </c>
      <c r="D6400" s="283" t="s">
        <v>1079</v>
      </c>
      <c r="E6400" s="283" t="s">
        <v>1075</v>
      </c>
      <c r="F6400" s="283" t="s">
        <v>1075</v>
      </c>
      <c r="G6400" s="283">
        <v>3</v>
      </c>
      <c r="H6400" s="283">
        <v>0</v>
      </c>
      <c r="I6400" s="283">
        <v>0</v>
      </c>
      <c r="J6400" s="284">
        <v>0</v>
      </c>
    </row>
    <row r="6401" spans="3:10" x14ac:dyDescent="0.25">
      <c r="C6401" s="300" t="s">
        <v>1061</v>
      </c>
      <c r="D6401" s="283" t="s">
        <v>1077</v>
      </c>
      <c r="E6401" s="283" t="s">
        <v>1084</v>
      </c>
      <c r="F6401" s="283" t="s">
        <v>1089</v>
      </c>
      <c r="G6401" s="283">
        <v>2</v>
      </c>
      <c r="H6401" s="283">
        <v>0</v>
      </c>
      <c r="I6401" s="283">
        <v>0</v>
      </c>
      <c r="J6401" s="284">
        <v>0</v>
      </c>
    </row>
    <row r="6402" spans="3:10" x14ac:dyDescent="0.25">
      <c r="C6402" s="300" t="s">
        <v>1067</v>
      </c>
      <c r="D6402" s="283" t="s">
        <v>1074</v>
      </c>
      <c r="E6402" s="283" t="s">
        <v>1075</v>
      </c>
      <c r="F6402" s="283" t="s">
        <v>1083</v>
      </c>
      <c r="G6402" s="283">
        <v>2</v>
      </c>
      <c r="H6402" s="283">
        <v>0</v>
      </c>
      <c r="I6402" s="283">
        <v>1</v>
      </c>
      <c r="J6402" s="284">
        <v>0</v>
      </c>
    </row>
    <row r="6403" spans="3:10" x14ac:dyDescent="0.25">
      <c r="C6403" s="300" t="s">
        <v>1063</v>
      </c>
      <c r="D6403" s="283" t="s">
        <v>1079</v>
      </c>
      <c r="E6403" s="283" t="s">
        <v>1075</v>
      </c>
      <c r="F6403" s="283" t="s">
        <v>1075</v>
      </c>
      <c r="G6403" s="283">
        <v>2</v>
      </c>
      <c r="H6403" s="283">
        <v>0</v>
      </c>
      <c r="I6403" s="283">
        <v>0</v>
      </c>
      <c r="J6403" s="284">
        <v>0</v>
      </c>
    </row>
    <row r="6404" spans="3:10" x14ac:dyDescent="0.25">
      <c r="C6404" s="300" t="s">
        <v>1068</v>
      </c>
      <c r="D6404" s="283" t="s">
        <v>1087</v>
      </c>
      <c r="E6404" s="283" t="s">
        <v>1075</v>
      </c>
      <c r="F6404" s="283" t="s">
        <v>524</v>
      </c>
      <c r="G6404" s="283">
        <v>1</v>
      </c>
      <c r="H6404" s="283">
        <v>0</v>
      </c>
      <c r="I6404" s="283">
        <v>1</v>
      </c>
      <c r="J6404" s="284">
        <v>0</v>
      </c>
    </row>
    <row r="6405" spans="3:10" x14ac:dyDescent="0.25">
      <c r="C6405" s="300" t="s">
        <v>1062</v>
      </c>
      <c r="D6405" s="283" t="s">
        <v>1077</v>
      </c>
      <c r="E6405" s="283" t="s">
        <v>1084</v>
      </c>
      <c r="F6405" s="283" t="s">
        <v>1089</v>
      </c>
      <c r="G6405" s="283">
        <v>3</v>
      </c>
      <c r="H6405" s="283">
        <v>0</v>
      </c>
      <c r="I6405" s="283">
        <v>0</v>
      </c>
      <c r="J6405" s="284">
        <v>1</v>
      </c>
    </row>
    <row r="6406" spans="3:10" x14ac:dyDescent="0.25">
      <c r="C6406" s="300" t="s">
        <v>1067</v>
      </c>
      <c r="D6406" s="283" t="s">
        <v>1077</v>
      </c>
      <c r="E6406" s="283" t="s">
        <v>1076</v>
      </c>
      <c r="F6406" s="283" t="s">
        <v>1075</v>
      </c>
      <c r="G6406" s="283">
        <v>2</v>
      </c>
      <c r="H6406" s="283">
        <v>0</v>
      </c>
      <c r="I6406" s="283">
        <v>0</v>
      </c>
      <c r="J6406" s="284">
        <v>0</v>
      </c>
    </row>
    <row r="6407" spans="3:10" x14ac:dyDescent="0.25">
      <c r="C6407" s="300" t="s">
        <v>1068</v>
      </c>
      <c r="D6407" s="283" t="s">
        <v>1087</v>
      </c>
      <c r="E6407" s="283" t="s">
        <v>1076</v>
      </c>
      <c r="F6407" s="283" t="s">
        <v>524</v>
      </c>
      <c r="G6407" s="283">
        <v>1</v>
      </c>
      <c r="H6407" s="283">
        <v>0</v>
      </c>
      <c r="I6407" s="283">
        <v>1</v>
      </c>
      <c r="J6407" s="284">
        <v>0</v>
      </c>
    </row>
    <row r="6408" spans="3:10" x14ac:dyDescent="0.25">
      <c r="C6408" s="300" t="s">
        <v>1065</v>
      </c>
      <c r="D6408" s="283" t="s">
        <v>1074</v>
      </c>
      <c r="E6408" s="283" t="s">
        <v>1078</v>
      </c>
      <c r="F6408" s="283" t="s">
        <v>1044</v>
      </c>
      <c r="G6408" s="283">
        <v>2</v>
      </c>
      <c r="H6408" s="283">
        <v>0</v>
      </c>
      <c r="I6408" s="283">
        <v>0</v>
      </c>
      <c r="J6408" s="284">
        <v>0</v>
      </c>
    </row>
    <row r="6409" spans="3:10" x14ac:dyDescent="0.25">
      <c r="C6409" s="300" t="s">
        <v>1064</v>
      </c>
      <c r="D6409" s="283" t="s">
        <v>1077</v>
      </c>
      <c r="E6409" s="283" t="s">
        <v>1084</v>
      </c>
      <c r="F6409" s="283" t="s">
        <v>1075</v>
      </c>
      <c r="G6409" s="283">
        <v>4</v>
      </c>
      <c r="H6409" s="283">
        <v>0</v>
      </c>
      <c r="I6409" s="283">
        <v>0</v>
      </c>
      <c r="J6409" s="284">
        <v>1</v>
      </c>
    </row>
    <row r="6410" spans="3:10" x14ac:dyDescent="0.25">
      <c r="C6410" s="300" t="s">
        <v>1063</v>
      </c>
      <c r="D6410" s="283" t="s">
        <v>1079</v>
      </c>
      <c r="E6410" s="283" t="s">
        <v>1044</v>
      </c>
      <c r="F6410" s="283" t="s">
        <v>1075</v>
      </c>
      <c r="G6410" s="283">
        <v>2</v>
      </c>
      <c r="H6410" s="283">
        <v>0</v>
      </c>
      <c r="I6410" s="283">
        <v>1</v>
      </c>
      <c r="J6410" s="284">
        <v>0</v>
      </c>
    </row>
    <row r="6411" spans="3:10" x14ac:dyDescent="0.25">
      <c r="C6411" s="300" t="s">
        <v>1068</v>
      </c>
      <c r="D6411" s="283" t="s">
        <v>1077</v>
      </c>
      <c r="E6411" s="283" t="s">
        <v>1075</v>
      </c>
      <c r="F6411" s="283" t="s">
        <v>1075</v>
      </c>
      <c r="G6411" s="283">
        <v>2</v>
      </c>
      <c r="H6411" s="283">
        <v>0</v>
      </c>
      <c r="I6411" s="283">
        <v>0</v>
      </c>
      <c r="J6411" s="284">
        <v>0</v>
      </c>
    </row>
    <row r="6412" spans="3:10" x14ac:dyDescent="0.25">
      <c r="C6412" s="300" t="s">
        <v>1062</v>
      </c>
      <c r="D6412" s="283" t="s">
        <v>1079</v>
      </c>
      <c r="E6412" s="283" t="s">
        <v>1075</v>
      </c>
      <c r="F6412" s="283" t="s">
        <v>1075</v>
      </c>
      <c r="G6412" s="283">
        <v>2</v>
      </c>
      <c r="H6412" s="283">
        <v>0</v>
      </c>
      <c r="I6412" s="283">
        <v>0</v>
      </c>
      <c r="J6412" s="284">
        <v>1</v>
      </c>
    </row>
    <row r="6413" spans="3:10" x14ac:dyDescent="0.25">
      <c r="C6413" s="300" t="s">
        <v>1062</v>
      </c>
      <c r="D6413" s="283" t="s">
        <v>1043</v>
      </c>
      <c r="E6413" s="283" t="s">
        <v>1075</v>
      </c>
      <c r="F6413" s="283" t="s">
        <v>1092</v>
      </c>
      <c r="G6413" s="283">
        <v>2</v>
      </c>
      <c r="H6413" s="283">
        <v>0</v>
      </c>
      <c r="I6413" s="283">
        <v>1</v>
      </c>
      <c r="J6413" s="284">
        <v>0</v>
      </c>
    </row>
    <row r="6414" spans="3:10" x14ac:dyDescent="0.25">
      <c r="C6414" s="300" t="s">
        <v>1067</v>
      </c>
      <c r="D6414" s="283" t="s">
        <v>1077</v>
      </c>
      <c r="E6414" s="283" t="s">
        <v>1075</v>
      </c>
      <c r="F6414" s="283" t="s">
        <v>1086</v>
      </c>
      <c r="G6414" s="283">
        <v>2</v>
      </c>
      <c r="H6414" s="283">
        <v>0</v>
      </c>
      <c r="I6414" s="283">
        <v>0</v>
      </c>
      <c r="J6414" s="284">
        <v>0</v>
      </c>
    </row>
    <row r="6415" spans="3:10" x14ac:dyDescent="0.25">
      <c r="C6415" s="300" t="s">
        <v>1064</v>
      </c>
      <c r="D6415" s="283" t="s">
        <v>1074</v>
      </c>
      <c r="E6415" s="283" t="s">
        <v>1089</v>
      </c>
      <c r="F6415" s="283" t="s">
        <v>1075</v>
      </c>
      <c r="G6415" s="283">
        <v>2</v>
      </c>
      <c r="H6415" s="283">
        <v>0</v>
      </c>
      <c r="I6415" s="283">
        <v>0</v>
      </c>
      <c r="J6415" s="284">
        <v>1</v>
      </c>
    </row>
    <row r="6416" spans="3:10" x14ac:dyDescent="0.25">
      <c r="C6416" s="300" t="s">
        <v>1060</v>
      </c>
      <c r="D6416" s="283" t="s">
        <v>1077</v>
      </c>
      <c r="E6416" s="283" t="s">
        <v>1075</v>
      </c>
      <c r="F6416" s="283" t="s">
        <v>1075</v>
      </c>
      <c r="G6416" s="283">
        <v>3</v>
      </c>
      <c r="H6416" s="283">
        <v>0</v>
      </c>
      <c r="I6416" s="283">
        <v>0</v>
      </c>
      <c r="J6416" s="284">
        <v>0</v>
      </c>
    </row>
    <row r="6417" spans="3:10" x14ac:dyDescent="0.25">
      <c r="C6417" s="300" t="s">
        <v>1068</v>
      </c>
      <c r="D6417" s="283" t="s">
        <v>1077</v>
      </c>
      <c r="E6417" s="283" t="s">
        <v>1075</v>
      </c>
      <c r="F6417" s="283" t="s">
        <v>1075</v>
      </c>
      <c r="G6417" s="283">
        <v>2</v>
      </c>
      <c r="H6417" s="283">
        <v>0</v>
      </c>
      <c r="I6417" s="283">
        <v>0</v>
      </c>
      <c r="J6417" s="284">
        <v>0</v>
      </c>
    </row>
    <row r="6418" spans="3:10" x14ac:dyDescent="0.25">
      <c r="C6418" s="300" t="s">
        <v>1065</v>
      </c>
      <c r="D6418" s="283" t="s">
        <v>1079</v>
      </c>
      <c r="E6418" s="283" t="s">
        <v>1075</v>
      </c>
      <c r="F6418" s="283" t="s">
        <v>1044</v>
      </c>
      <c r="G6418" s="283">
        <v>2</v>
      </c>
      <c r="H6418" s="283">
        <v>0</v>
      </c>
      <c r="I6418" s="283">
        <v>0</v>
      </c>
      <c r="J6418" s="284">
        <v>0</v>
      </c>
    </row>
    <row r="6419" spans="3:10" x14ac:dyDescent="0.25">
      <c r="C6419" s="300" t="s">
        <v>1060</v>
      </c>
      <c r="D6419" s="283" t="s">
        <v>1077</v>
      </c>
      <c r="E6419" s="283" t="s">
        <v>1075</v>
      </c>
      <c r="F6419" s="283" t="s">
        <v>1075</v>
      </c>
      <c r="G6419" s="283">
        <v>3</v>
      </c>
      <c r="H6419" s="283">
        <v>0</v>
      </c>
      <c r="I6419" s="283">
        <v>0</v>
      </c>
      <c r="J6419" s="284">
        <v>0</v>
      </c>
    </row>
    <row r="6420" spans="3:10" x14ac:dyDescent="0.25">
      <c r="C6420" s="300" t="s">
        <v>1060</v>
      </c>
      <c r="D6420" s="283" t="s">
        <v>1079</v>
      </c>
      <c r="E6420" s="283" t="s">
        <v>1044</v>
      </c>
      <c r="F6420" s="283" t="s">
        <v>1075</v>
      </c>
      <c r="G6420" s="283">
        <v>2</v>
      </c>
      <c r="H6420" s="283">
        <v>0</v>
      </c>
      <c r="I6420" s="283">
        <v>0</v>
      </c>
      <c r="J6420" s="284">
        <v>0</v>
      </c>
    </row>
    <row r="6421" spans="3:10" x14ac:dyDescent="0.25">
      <c r="C6421" s="300" t="s">
        <v>1061</v>
      </c>
      <c r="D6421" s="283" t="s">
        <v>1077</v>
      </c>
      <c r="E6421" s="283" t="s">
        <v>1078</v>
      </c>
      <c r="F6421" s="283" t="s">
        <v>1094</v>
      </c>
      <c r="G6421" s="283">
        <v>3</v>
      </c>
      <c r="H6421" s="283">
        <v>0</v>
      </c>
      <c r="I6421" s="283">
        <v>0</v>
      </c>
      <c r="J6421" s="284">
        <v>0</v>
      </c>
    </row>
    <row r="6422" spans="3:10" x14ac:dyDescent="0.25">
      <c r="C6422" s="300" t="s">
        <v>1061</v>
      </c>
      <c r="D6422" s="283" t="s">
        <v>1079</v>
      </c>
      <c r="E6422" s="283" t="s">
        <v>1089</v>
      </c>
      <c r="F6422" s="283" t="s">
        <v>524</v>
      </c>
      <c r="G6422" s="283">
        <v>1</v>
      </c>
      <c r="H6422" s="283">
        <v>0</v>
      </c>
      <c r="I6422" s="283">
        <v>1</v>
      </c>
      <c r="J6422" s="284">
        <v>0</v>
      </c>
    </row>
    <row r="6423" spans="3:10" x14ac:dyDescent="0.25">
      <c r="C6423" s="300" t="s">
        <v>1063</v>
      </c>
      <c r="D6423" s="283" t="s">
        <v>1079</v>
      </c>
      <c r="E6423" s="283" t="s">
        <v>1075</v>
      </c>
      <c r="F6423" s="283" t="s">
        <v>1080</v>
      </c>
      <c r="G6423" s="283">
        <v>2</v>
      </c>
      <c r="H6423" s="283">
        <v>0</v>
      </c>
      <c r="I6423" s="283">
        <v>0</v>
      </c>
      <c r="J6423" s="284">
        <v>0</v>
      </c>
    </row>
    <row r="6424" spans="3:10" x14ac:dyDescent="0.25">
      <c r="C6424" s="300" t="s">
        <v>1062</v>
      </c>
      <c r="D6424" s="283" t="s">
        <v>1087</v>
      </c>
      <c r="E6424" s="283" t="s">
        <v>1075</v>
      </c>
      <c r="F6424" s="283" t="s">
        <v>524</v>
      </c>
      <c r="G6424" s="283">
        <v>1</v>
      </c>
      <c r="H6424" s="283">
        <v>0</v>
      </c>
      <c r="I6424" s="283">
        <v>0</v>
      </c>
      <c r="J6424" s="284">
        <v>0</v>
      </c>
    </row>
    <row r="6425" spans="3:10" x14ac:dyDescent="0.25">
      <c r="C6425" s="300" t="s">
        <v>1067</v>
      </c>
      <c r="D6425" s="283" t="s">
        <v>1074</v>
      </c>
      <c r="E6425" s="283" t="s">
        <v>1089</v>
      </c>
      <c r="F6425" s="283" t="s">
        <v>1093</v>
      </c>
      <c r="G6425" s="283">
        <v>2</v>
      </c>
      <c r="H6425" s="283">
        <v>0</v>
      </c>
      <c r="I6425" s="283">
        <v>0</v>
      </c>
      <c r="J6425" s="284">
        <v>1</v>
      </c>
    </row>
    <row r="6426" spans="3:10" x14ac:dyDescent="0.25">
      <c r="C6426" s="300" t="s">
        <v>1059</v>
      </c>
      <c r="D6426" s="283" t="s">
        <v>1087</v>
      </c>
      <c r="E6426" s="283" t="s">
        <v>1075</v>
      </c>
      <c r="F6426" s="283" t="s">
        <v>1080</v>
      </c>
      <c r="G6426" s="283">
        <v>2</v>
      </c>
      <c r="H6426" s="283">
        <v>0</v>
      </c>
      <c r="I6426" s="283">
        <v>0</v>
      </c>
      <c r="J6426" s="284">
        <v>1</v>
      </c>
    </row>
    <row r="6427" spans="3:10" x14ac:dyDescent="0.25">
      <c r="C6427" s="300" t="s">
        <v>1062</v>
      </c>
      <c r="D6427" s="283" t="s">
        <v>1087</v>
      </c>
      <c r="E6427" s="283" t="s">
        <v>1075</v>
      </c>
      <c r="F6427" s="283" t="s">
        <v>524</v>
      </c>
      <c r="G6427" s="283">
        <v>2</v>
      </c>
      <c r="H6427" s="283">
        <v>0</v>
      </c>
      <c r="I6427" s="283">
        <v>0</v>
      </c>
      <c r="J6427" s="284">
        <v>1</v>
      </c>
    </row>
    <row r="6428" spans="3:10" x14ac:dyDescent="0.25">
      <c r="C6428" s="300" t="s">
        <v>1064</v>
      </c>
      <c r="D6428" s="283" t="s">
        <v>1079</v>
      </c>
      <c r="E6428" s="283" t="s">
        <v>1089</v>
      </c>
      <c r="F6428" s="283" t="s">
        <v>1089</v>
      </c>
      <c r="G6428" s="283">
        <v>2</v>
      </c>
      <c r="H6428" s="283">
        <v>0</v>
      </c>
      <c r="I6428" s="283">
        <v>0</v>
      </c>
      <c r="J6428" s="284">
        <v>1</v>
      </c>
    </row>
    <row r="6429" spans="3:10" x14ac:dyDescent="0.25">
      <c r="C6429" s="300" t="s">
        <v>1067</v>
      </c>
      <c r="D6429" s="283" t="s">
        <v>1077</v>
      </c>
      <c r="E6429" s="283" t="s">
        <v>1075</v>
      </c>
      <c r="F6429" s="283" t="s">
        <v>1093</v>
      </c>
      <c r="G6429" s="283">
        <v>2</v>
      </c>
      <c r="H6429" s="283">
        <v>0</v>
      </c>
      <c r="I6429" s="283">
        <v>1</v>
      </c>
      <c r="J6429" s="284">
        <v>0</v>
      </c>
    </row>
    <row r="6430" spans="3:10" x14ac:dyDescent="0.25">
      <c r="C6430" s="300" t="s">
        <v>1067</v>
      </c>
      <c r="D6430" s="283" t="s">
        <v>1087</v>
      </c>
      <c r="E6430" s="283" t="s">
        <v>1075</v>
      </c>
      <c r="F6430" s="283" t="s">
        <v>524</v>
      </c>
      <c r="G6430" s="283">
        <v>1</v>
      </c>
      <c r="H6430" s="283">
        <v>0</v>
      </c>
      <c r="I6430" s="283">
        <v>1</v>
      </c>
      <c r="J6430" s="284">
        <v>1</v>
      </c>
    </row>
    <row r="6431" spans="3:10" x14ac:dyDescent="0.25">
      <c r="C6431" s="300" t="s">
        <v>1060</v>
      </c>
      <c r="D6431" s="283" t="s">
        <v>1087</v>
      </c>
      <c r="E6431" s="283" t="s">
        <v>1089</v>
      </c>
      <c r="F6431" s="283" t="s">
        <v>524</v>
      </c>
      <c r="G6431" s="283">
        <v>1</v>
      </c>
      <c r="H6431" s="283">
        <v>0</v>
      </c>
      <c r="I6431" s="283">
        <v>0</v>
      </c>
      <c r="J6431" s="284">
        <v>0</v>
      </c>
    </row>
    <row r="6432" spans="3:10" x14ac:dyDescent="0.25">
      <c r="C6432" s="300" t="s">
        <v>1061</v>
      </c>
      <c r="D6432" s="283" t="s">
        <v>1079</v>
      </c>
      <c r="E6432" s="283" t="s">
        <v>1075</v>
      </c>
      <c r="F6432" s="283" t="s">
        <v>1093</v>
      </c>
      <c r="G6432" s="283">
        <v>2</v>
      </c>
      <c r="H6432" s="283">
        <v>0</v>
      </c>
      <c r="I6432" s="283">
        <v>0</v>
      </c>
      <c r="J6432" s="284">
        <v>1</v>
      </c>
    </row>
    <row r="6433" spans="3:10" x14ac:dyDescent="0.25">
      <c r="C6433" s="300" t="s">
        <v>1065</v>
      </c>
      <c r="D6433" s="283" t="s">
        <v>1079</v>
      </c>
      <c r="E6433" s="283" t="s">
        <v>1075</v>
      </c>
      <c r="F6433" s="283" t="s">
        <v>1075</v>
      </c>
      <c r="G6433" s="283">
        <v>4</v>
      </c>
      <c r="H6433" s="283">
        <v>0</v>
      </c>
      <c r="I6433" s="283">
        <v>1</v>
      </c>
      <c r="J6433" s="284">
        <v>0</v>
      </c>
    </row>
    <row r="6434" spans="3:10" x14ac:dyDescent="0.25">
      <c r="C6434" s="300" t="s">
        <v>1061</v>
      </c>
      <c r="D6434" s="283" t="s">
        <v>1074</v>
      </c>
      <c r="E6434" s="283" t="s">
        <v>1078</v>
      </c>
      <c r="F6434" s="283" t="s">
        <v>1044</v>
      </c>
      <c r="G6434" s="283">
        <v>2</v>
      </c>
      <c r="H6434" s="283">
        <v>0</v>
      </c>
      <c r="I6434" s="283">
        <v>0</v>
      </c>
      <c r="J6434" s="284">
        <v>1</v>
      </c>
    </row>
    <row r="6435" spans="3:10" x14ac:dyDescent="0.25">
      <c r="C6435" s="300" t="s">
        <v>1064</v>
      </c>
      <c r="D6435" s="283" t="s">
        <v>1082</v>
      </c>
      <c r="E6435" s="283" t="s">
        <v>1076</v>
      </c>
      <c r="F6435" s="283" t="s">
        <v>1075</v>
      </c>
      <c r="G6435" s="283">
        <v>2</v>
      </c>
      <c r="H6435" s="283">
        <v>0</v>
      </c>
      <c r="I6435" s="283">
        <v>0</v>
      </c>
      <c r="J6435" s="284">
        <v>0</v>
      </c>
    </row>
    <row r="6436" spans="3:10" x14ac:dyDescent="0.25">
      <c r="C6436" s="300" t="s">
        <v>1062</v>
      </c>
      <c r="D6436" s="283" t="s">
        <v>1077</v>
      </c>
      <c r="E6436" s="283" t="s">
        <v>1089</v>
      </c>
      <c r="F6436" s="283" t="s">
        <v>1084</v>
      </c>
      <c r="G6436" s="283">
        <v>2</v>
      </c>
      <c r="H6436" s="283">
        <v>0</v>
      </c>
      <c r="I6436" s="283">
        <v>0</v>
      </c>
      <c r="J6436" s="284">
        <v>1</v>
      </c>
    </row>
    <row r="6437" spans="3:10" x14ac:dyDescent="0.25">
      <c r="C6437" s="300" t="s">
        <v>1066</v>
      </c>
      <c r="D6437" s="283" t="s">
        <v>1087</v>
      </c>
      <c r="E6437" s="283" t="s">
        <v>1075</v>
      </c>
      <c r="F6437" s="283" t="s">
        <v>524</v>
      </c>
      <c r="G6437" s="283">
        <v>1</v>
      </c>
      <c r="H6437" s="283">
        <v>0</v>
      </c>
      <c r="I6437" s="283">
        <v>0</v>
      </c>
      <c r="J6437" s="284">
        <v>1</v>
      </c>
    </row>
    <row r="6438" spans="3:10" x14ac:dyDescent="0.25">
      <c r="C6438" s="300" t="s">
        <v>1065</v>
      </c>
      <c r="D6438" s="283" t="s">
        <v>1077</v>
      </c>
      <c r="E6438" s="283" t="s">
        <v>1084</v>
      </c>
      <c r="F6438" s="283" t="s">
        <v>1081</v>
      </c>
      <c r="G6438" s="283">
        <v>2</v>
      </c>
      <c r="H6438" s="283">
        <v>0</v>
      </c>
      <c r="I6438" s="283">
        <v>0</v>
      </c>
      <c r="J6438" s="284">
        <v>0</v>
      </c>
    </row>
    <row r="6439" spans="3:10" x14ac:dyDescent="0.25">
      <c r="C6439" s="300" t="s">
        <v>1063</v>
      </c>
      <c r="D6439" s="283" t="s">
        <v>1077</v>
      </c>
      <c r="E6439" s="283" t="s">
        <v>1089</v>
      </c>
      <c r="F6439" s="283" t="s">
        <v>1075</v>
      </c>
      <c r="G6439" s="283">
        <v>2</v>
      </c>
      <c r="H6439" s="283">
        <v>0</v>
      </c>
      <c r="I6439" s="283">
        <v>1</v>
      </c>
      <c r="J6439" s="284">
        <v>0</v>
      </c>
    </row>
    <row r="6440" spans="3:10" x14ac:dyDescent="0.25">
      <c r="C6440" s="300" t="s">
        <v>1061</v>
      </c>
      <c r="D6440" s="283" t="s">
        <v>1079</v>
      </c>
      <c r="E6440" s="283" t="s">
        <v>1075</v>
      </c>
      <c r="F6440" s="283" t="s">
        <v>1075</v>
      </c>
      <c r="G6440" s="283">
        <v>4</v>
      </c>
      <c r="H6440" s="283">
        <v>0</v>
      </c>
      <c r="I6440" s="283">
        <v>0</v>
      </c>
      <c r="J6440" s="284">
        <v>1</v>
      </c>
    </row>
    <row r="6441" spans="3:10" x14ac:dyDescent="0.25">
      <c r="C6441" s="300" t="s">
        <v>1062</v>
      </c>
      <c r="D6441" s="283" t="s">
        <v>1090</v>
      </c>
      <c r="E6441" s="283" t="s">
        <v>1083</v>
      </c>
      <c r="F6441" s="283" t="s">
        <v>524</v>
      </c>
      <c r="G6441" s="283">
        <v>1</v>
      </c>
      <c r="H6441" s="283">
        <v>0</v>
      </c>
      <c r="I6441" s="283">
        <v>1</v>
      </c>
      <c r="J6441" s="284">
        <v>0</v>
      </c>
    </row>
    <row r="6442" spans="3:10" x14ac:dyDescent="0.25">
      <c r="C6442" s="300" t="s">
        <v>1061</v>
      </c>
      <c r="D6442" s="283" t="s">
        <v>1079</v>
      </c>
      <c r="E6442" s="283" t="s">
        <v>1089</v>
      </c>
      <c r="F6442" s="283" t="s">
        <v>1086</v>
      </c>
      <c r="G6442" s="283">
        <v>2</v>
      </c>
      <c r="H6442" s="283">
        <v>0</v>
      </c>
      <c r="I6442" s="283">
        <v>1</v>
      </c>
      <c r="J6442" s="284">
        <v>0</v>
      </c>
    </row>
    <row r="6443" spans="3:10" x14ac:dyDescent="0.25">
      <c r="C6443" s="300" t="s">
        <v>1065</v>
      </c>
      <c r="D6443" s="283" t="s">
        <v>1077</v>
      </c>
      <c r="E6443" s="283" t="s">
        <v>1089</v>
      </c>
      <c r="F6443" s="283" t="s">
        <v>1075</v>
      </c>
      <c r="G6443" s="283">
        <v>2</v>
      </c>
      <c r="H6443" s="283">
        <v>0</v>
      </c>
      <c r="I6443" s="283">
        <v>1</v>
      </c>
      <c r="J6443" s="284">
        <v>1</v>
      </c>
    </row>
    <row r="6444" spans="3:10" x14ac:dyDescent="0.25">
      <c r="C6444" s="300" t="s">
        <v>1063</v>
      </c>
      <c r="D6444" s="283" t="s">
        <v>1077</v>
      </c>
      <c r="E6444" s="283" t="s">
        <v>1084</v>
      </c>
      <c r="F6444" s="283" t="s">
        <v>1089</v>
      </c>
      <c r="G6444" s="283">
        <v>2</v>
      </c>
      <c r="H6444" s="283">
        <v>0</v>
      </c>
      <c r="I6444" s="283">
        <v>0</v>
      </c>
      <c r="J6444" s="284">
        <v>0</v>
      </c>
    </row>
    <row r="6445" spans="3:10" x14ac:dyDescent="0.25">
      <c r="C6445" s="300" t="s">
        <v>1067</v>
      </c>
      <c r="D6445" s="283" t="s">
        <v>1090</v>
      </c>
      <c r="E6445" s="283" t="s">
        <v>1083</v>
      </c>
      <c r="F6445" s="283" t="s">
        <v>524</v>
      </c>
      <c r="G6445" s="283">
        <v>1</v>
      </c>
      <c r="H6445" s="283">
        <v>0</v>
      </c>
      <c r="I6445" s="283">
        <v>1</v>
      </c>
      <c r="J6445" s="284">
        <v>0</v>
      </c>
    </row>
    <row r="6446" spans="3:10" x14ac:dyDescent="0.25">
      <c r="C6446" s="300" t="s">
        <v>1066</v>
      </c>
      <c r="D6446" s="283" t="s">
        <v>1077</v>
      </c>
      <c r="E6446" s="283" t="s">
        <v>1089</v>
      </c>
      <c r="F6446" s="283" t="s">
        <v>1075</v>
      </c>
      <c r="G6446" s="283">
        <v>2</v>
      </c>
      <c r="H6446" s="283">
        <v>0</v>
      </c>
      <c r="I6446" s="283">
        <v>1</v>
      </c>
      <c r="J6446" s="284">
        <v>0</v>
      </c>
    </row>
    <row r="6447" spans="3:10" x14ac:dyDescent="0.25">
      <c r="C6447" s="300" t="s">
        <v>1066</v>
      </c>
      <c r="D6447" s="283" t="s">
        <v>1079</v>
      </c>
      <c r="E6447" s="283" t="s">
        <v>1093</v>
      </c>
      <c r="F6447" s="283" t="s">
        <v>1089</v>
      </c>
      <c r="G6447" s="283">
        <v>2</v>
      </c>
      <c r="H6447" s="283">
        <v>0</v>
      </c>
      <c r="I6447" s="283">
        <v>0</v>
      </c>
      <c r="J6447" s="284">
        <v>1</v>
      </c>
    </row>
    <row r="6448" spans="3:10" x14ac:dyDescent="0.25">
      <c r="C6448" s="300" t="s">
        <v>1065</v>
      </c>
      <c r="D6448" s="283" t="s">
        <v>1079</v>
      </c>
      <c r="E6448" s="283" t="s">
        <v>1076</v>
      </c>
      <c r="F6448" s="283" t="s">
        <v>1076</v>
      </c>
      <c r="G6448" s="283">
        <v>2</v>
      </c>
      <c r="H6448" s="283">
        <v>0</v>
      </c>
      <c r="I6448" s="283">
        <v>0</v>
      </c>
      <c r="J6448" s="284">
        <v>1</v>
      </c>
    </row>
    <row r="6449" spans="3:10" x14ac:dyDescent="0.25">
      <c r="C6449" s="300" t="s">
        <v>1066</v>
      </c>
      <c r="D6449" s="283" t="s">
        <v>1077</v>
      </c>
      <c r="E6449" s="283" t="s">
        <v>1075</v>
      </c>
      <c r="F6449" s="283" t="s">
        <v>1089</v>
      </c>
      <c r="G6449" s="283">
        <v>2</v>
      </c>
      <c r="H6449" s="283">
        <v>0</v>
      </c>
      <c r="I6449" s="283">
        <v>0</v>
      </c>
      <c r="J6449" s="284">
        <v>0</v>
      </c>
    </row>
    <row r="6450" spans="3:10" x14ac:dyDescent="0.25">
      <c r="C6450" s="300" t="s">
        <v>1064</v>
      </c>
      <c r="D6450" s="283" t="s">
        <v>1074</v>
      </c>
      <c r="E6450" s="283" t="s">
        <v>1075</v>
      </c>
      <c r="F6450" s="283" t="s">
        <v>1085</v>
      </c>
      <c r="G6450" s="283">
        <v>2</v>
      </c>
      <c r="H6450" s="283">
        <v>0</v>
      </c>
      <c r="I6450" s="283">
        <v>0</v>
      </c>
      <c r="J6450" s="284">
        <v>0</v>
      </c>
    </row>
    <row r="6451" spans="3:10" x14ac:dyDescent="0.25">
      <c r="C6451" s="300" t="s">
        <v>1061</v>
      </c>
      <c r="D6451" s="283" t="s">
        <v>1079</v>
      </c>
      <c r="E6451" s="283" t="s">
        <v>1078</v>
      </c>
      <c r="F6451" s="283" t="s">
        <v>1089</v>
      </c>
      <c r="G6451" s="283">
        <v>2</v>
      </c>
      <c r="H6451" s="283">
        <v>0</v>
      </c>
      <c r="I6451" s="283">
        <v>0</v>
      </c>
      <c r="J6451" s="284">
        <v>2</v>
      </c>
    </row>
    <row r="6452" spans="3:10" x14ac:dyDescent="0.25">
      <c r="C6452" s="300" t="s">
        <v>1067</v>
      </c>
      <c r="D6452" s="283" t="s">
        <v>1079</v>
      </c>
      <c r="E6452" s="283" t="s">
        <v>1075</v>
      </c>
      <c r="F6452" s="283" t="s">
        <v>1084</v>
      </c>
      <c r="G6452" s="283">
        <v>3</v>
      </c>
      <c r="H6452" s="283">
        <v>0</v>
      </c>
      <c r="I6452" s="283">
        <v>0</v>
      </c>
      <c r="J6452" s="284">
        <v>1</v>
      </c>
    </row>
    <row r="6453" spans="3:10" x14ac:dyDescent="0.25">
      <c r="C6453" s="300" t="s">
        <v>1062</v>
      </c>
      <c r="D6453" s="283" t="s">
        <v>1074</v>
      </c>
      <c r="E6453" s="283" t="s">
        <v>1075</v>
      </c>
      <c r="F6453" s="283" t="s">
        <v>1094</v>
      </c>
      <c r="G6453" s="283">
        <v>2</v>
      </c>
      <c r="H6453" s="283">
        <v>0</v>
      </c>
      <c r="I6453" s="283">
        <v>2</v>
      </c>
      <c r="J6453" s="284">
        <v>0</v>
      </c>
    </row>
    <row r="6454" spans="3:10" x14ac:dyDescent="0.25">
      <c r="C6454" s="300" t="s">
        <v>1061</v>
      </c>
      <c r="D6454" s="283" t="s">
        <v>1079</v>
      </c>
      <c r="E6454" s="283" t="s">
        <v>1075</v>
      </c>
      <c r="F6454" s="283" t="s">
        <v>1075</v>
      </c>
      <c r="G6454" s="283">
        <v>3</v>
      </c>
      <c r="H6454" s="283">
        <v>0</v>
      </c>
      <c r="I6454" s="283">
        <v>0</v>
      </c>
      <c r="J6454" s="284">
        <v>0</v>
      </c>
    </row>
    <row r="6455" spans="3:10" x14ac:dyDescent="0.25">
      <c r="C6455" s="300" t="s">
        <v>1062</v>
      </c>
      <c r="D6455" s="283" t="s">
        <v>1077</v>
      </c>
      <c r="E6455" s="283" t="s">
        <v>1075</v>
      </c>
      <c r="F6455" s="283" t="s">
        <v>1075</v>
      </c>
      <c r="G6455" s="283">
        <v>2</v>
      </c>
      <c r="H6455" s="283">
        <v>0</v>
      </c>
      <c r="I6455" s="283">
        <v>0</v>
      </c>
      <c r="J6455" s="284">
        <v>0</v>
      </c>
    </row>
    <row r="6456" spans="3:10" x14ac:dyDescent="0.25">
      <c r="C6456" s="300" t="s">
        <v>1068</v>
      </c>
      <c r="D6456" s="283" t="s">
        <v>1043</v>
      </c>
      <c r="E6456" s="283" t="s">
        <v>1075</v>
      </c>
      <c r="F6456" s="283" t="s">
        <v>1092</v>
      </c>
      <c r="G6456" s="283">
        <v>2</v>
      </c>
      <c r="H6456" s="283">
        <v>0</v>
      </c>
      <c r="I6456" s="283">
        <v>1</v>
      </c>
      <c r="J6456" s="284">
        <v>0</v>
      </c>
    </row>
    <row r="6457" spans="3:10" x14ac:dyDescent="0.25">
      <c r="C6457" s="300" t="s">
        <v>1058</v>
      </c>
      <c r="D6457" s="283" t="s">
        <v>1079</v>
      </c>
      <c r="E6457" s="283" t="s">
        <v>1075</v>
      </c>
      <c r="F6457" s="283" t="s">
        <v>1076</v>
      </c>
      <c r="G6457" s="283">
        <v>3</v>
      </c>
      <c r="H6457" s="283">
        <v>0</v>
      </c>
      <c r="I6457" s="283">
        <v>0</v>
      </c>
      <c r="J6457" s="284">
        <v>0</v>
      </c>
    </row>
    <row r="6458" spans="3:10" x14ac:dyDescent="0.25">
      <c r="C6458" s="300" t="s">
        <v>1068</v>
      </c>
      <c r="D6458" s="283" t="s">
        <v>1087</v>
      </c>
      <c r="E6458" s="283" t="s">
        <v>1084</v>
      </c>
      <c r="F6458" s="283" t="s">
        <v>524</v>
      </c>
      <c r="G6458" s="283">
        <v>1</v>
      </c>
      <c r="H6458" s="283">
        <v>0</v>
      </c>
      <c r="I6458" s="283">
        <v>0</v>
      </c>
      <c r="J6458" s="284">
        <v>0</v>
      </c>
    </row>
    <row r="6459" spans="3:10" x14ac:dyDescent="0.25">
      <c r="C6459" s="300" t="s">
        <v>1057</v>
      </c>
      <c r="D6459" s="283" t="s">
        <v>1079</v>
      </c>
      <c r="E6459" s="283" t="s">
        <v>1075</v>
      </c>
      <c r="F6459" s="283" t="s">
        <v>1078</v>
      </c>
      <c r="G6459" s="283">
        <v>2</v>
      </c>
      <c r="H6459" s="283">
        <v>0</v>
      </c>
      <c r="I6459" s="283">
        <v>0</v>
      </c>
      <c r="J6459" s="284">
        <v>0</v>
      </c>
    </row>
    <row r="6460" spans="3:10" x14ac:dyDescent="0.25">
      <c r="C6460" s="300" t="s">
        <v>1068</v>
      </c>
      <c r="D6460" s="283" t="s">
        <v>1090</v>
      </c>
      <c r="E6460" s="283" t="s">
        <v>1083</v>
      </c>
      <c r="F6460" s="283" t="s">
        <v>524</v>
      </c>
      <c r="G6460" s="283">
        <v>1</v>
      </c>
      <c r="H6460" s="283">
        <v>0</v>
      </c>
      <c r="I6460" s="283">
        <v>0</v>
      </c>
      <c r="J6460" s="284">
        <v>1</v>
      </c>
    </row>
    <row r="6461" spans="3:10" x14ac:dyDescent="0.25">
      <c r="C6461" s="300" t="s">
        <v>1065</v>
      </c>
      <c r="D6461" s="283" t="s">
        <v>1077</v>
      </c>
      <c r="E6461" s="283" t="s">
        <v>1076</v>
      </c>
      <c r="F6461" s="283" t="s">
        <v>1089</v>
      </c>
      <c r="G6461" s="283">
        <v>2</v>
      </c>
      <c r="H6461" s="283">
        <v>0</v>
      </c>
      <c r="I6461" s="283">
        <v>0</v>
      </c>
      <c r="J6461" s="284">
        <v>0</v>
      </c>
    </row>
    <row r="6462" spans="3:10" x14ac:dyDescent="0.25">
      <c r="C6462" s="300" t="s">
        <v>1064</v>
      </c>
      <c r="D6462" s="283" t="s">
        <v>1087</v>
      </c>
      <c r="E6462" s="283" t="s">
        <v>1084</v>
      </c>
      <c r="F6462" s="283" t="s">
        <v>524</v>
      </c>
      <c r="G6462" s="283">
        <v>1</v>
      </c>
      <c r="H6462" s="283">
        <v>0</v>
      </c>
      <c r="I6462" s="283">
        <v>0</v>
      </c>
      <c r="J6462" s="284">
        <v>0</v>
      </c>
    </row>
    <row r="6463" spans="3:10" x14ac:dyDescent="0.25">
      <c r="C6463" s="300" t="s">
        <v>1065</v>
      </c>
      <c r="D6463" s="283" t="s">
        <v>1077</v>
      </c>
      <c r="E6463" s="283" t="s">
        <v>1089</v>
      </c>
      <c r="F6463" s="283" t="s">
        <v>1089</v>
      </c>
      <c r="G6463" s="283">
        <v>2</v>
      </c>
      <c r="H6463" s="283">
        <v>0</v>
      </c>
      <c r="I6463" s="283">
        <v>0</v>
      </c>
      <c r="J6463" s="284">
        <v>0</v>
      </c>
    </row>
    <row r="6464" spans="3:10" x14ac:dyDescent="0.25">
      <c r="C6464" s="300" t="s">
        <v>1062</v>
      </c>
      <c r="D6464" s="283" t="s">
        <v>1079</v>
      </c>
      <c r="E6464" s="283" t="s">
        <v>1075</v>
      </c>
      <c r="F6464" s="283" t="s">
        <v>1089</v>
      </c>
      <c r="G6464" s="283">
        <v>2</v>
      </c>
      <c r="H6464" s="283">
        <v>0</v>
      </c>
      <c r="I6464" s="283">
        <v>1</v>
      </c>
      <c r="J6464" s="284">
        <v>0</v>
      </c>
    </row>
    <row r="6465" spans="3:10" x14ac:dyDescent="0.25">
      <c r="C6465" s="300" t="s">
        <v>1060</v>
      </c>
      <c r="D6465" s="283" t="s">
        <v>1074</v>
      </c>
      <c r="E6465" s="283" t="s">
        <v>1078</v>
      </c>
      <c r="F6465" s="283" t="s">
        <v>1044</v>
      </c>
      <c r="G6465" s="283">
        <v>2</v>
      </c>
      <c r="H6465" s="283">
        <v>0</v>
      </c>
      <c r="I6465" s="283">
        <v>1</v>
      </c>
      <c r="J6465" s="284">
        <v>0</v>
      </c>
    </row>
    <row r="6466" spans="3:10" x14ac:dyDescent="0.25">
      <c r="C6466" s="300" t="s">
        <v>1064</v>
      </c>
      <c r="D6466" s="283" t="s">
        <v>1079</v>
      </c>
      <c r="E6466" s="283" t="s">
        <v>1075</v>
      </c>
      <c r="F6466" s="283" t="s">
        <v>1089</v>
      </c>
      <c r="G6466" s="283">
        <v>4</v>
      </c>
      <c r="H6466" s="283">
        <v>0</v>
      </c>
      <c r="I6466" s="283">
        <v>0</v>
      </c>
      <c r="J6466" s="284">
        <v>0</v>
      </c>
    </row>
    <row r="6467" spans="3:10" x14ac:dyDescent="0.25">
      <c r="C6467" s="300" t="s">
        <v>1062</v>
      </c>
      <c r="D6467" s="283" t="s">
        <v>1079</v>
      </c>
      <c r="E6467" s="283" t="s">
        <v>1044</v>
      </c>
      <c r="F6467" s="283" t="s">
        <v>1075</v>
      </c>
      <c r="G6467" s="283">
        <v>2</v>
      </c>
      <c r="H6467" s="283">
        <v>0</v>
      </c>
      <c r="I6467" s="283">
        <v>0</v>
      </c>
      <c r="J6467" s="284">
        <v>0</v>
      </c>
    </row>
    <row r="6468" spans="3:10" x14ac:dyDescent="0.25">
      <c r="C6468" s="300" t="s">
        <v>1067</v>
      </c>
      <c r="D6468" s="283" t="s">
        <v>1074</v>
      </c>
      <c r="E6468" s="283" t="s">
        <v>1075</v>
      </c>
      <c r="F6468" s="283" t="s">
        <v>1107</v>
      </c>
      <c r="G6468" s="283">
        <v>2</v>
      </c>
      <c r="H6468" s="283">
        <v>0</v>
      </c>
      <c r="I6468" s="283">
        <v>0</v>
      </c>
      <c r="J6468" s="284">
        <v>0</v>
      </c>
    </row>
    <row r="6469" spans="3:10" x14ac:dyDescent="0.25">
      <c r="C6469" s="300" t="s">
        <v>1061</v>
      </c>
      <c r="D6469" s="283" t="s">
        <v>1079</v>
      </c>
      <c r="E6469" s="283" t="s">
        <v>1075</v>
      </c>
      <c r="F6469" s="283" t="s">
        <v>1089</v>
      </c>
      <c r="G6469" s="283">
        <v>2</v>
      </c>
      <c r="H6469" s="283">
        <v>0</v>
      </c>
      <c r="I6469" s="283">
        <v>0</v>
      </c>
      <c r="J6469" s="284">
        <v>0</v>
      </c>
    </row>
    <row r="6470" spans="3:10" x14ac:dyDescent="0.25">
      <c r="C6470" s="300" t="s">
        <v>1066</v>
      </c>
      <c r="D6470" s="283" t="s">
        <v>1079</v>
      </c>
      <c r="E6470" s="283" t="s">
        <v>1084</v>
      </c>
      <c r="F6470" s="283" t="s">
        <v>1089</v>
      </c>
      <c r="G6470" s="283">
        <v>2</v>
      </c>
      <c r="H6470" s="283">
        <v>0</v>
      </c>
      <c r="I6470" s="283">
        <v>0</v>
      </c>
      <c r="J6470" s="284">
        <v>0</v>
      </c>
    </row>
    <row r="6471" spans="3:10" x14ac:dyDescent="0.25">
      <c r="C6471" s="300" t="s">
        <v>1065</v>
      </c>
      <c r="D6471" s="283" t="s">
        <v>1077</v>
      </c>
      <c r="E6471" s="283" t="s">
        <v>1075</v>
      </c>
      <c r="F6471" s="283" t="s">
        <v>1080</v>
      </c>
      <c r="G6471" s="283">
        <v>2</v>
      </c>
      <c r="H6471" s="283">
        <v>0</v>
      </c>
      <c r="I6471" s="283">
        <v>0</v>
      </c>
      <c r="J6471" s="284">
        <v>1</v>
      </c>
    </row>
    <row r="6472" spans="3:10" x14ac:dyDescent="0.25">
      <c r="C6472" s="300" t="s">
        <v>1065</v>
      </c>
      <c r="D6472" s="283" t="s">
        <v>1087</v>
      </c>
      <c r="E6472" s="283" t="s">
        <v>1075</v>
      </c>
      <c r="F6472" s="283" t="s">
        <v>524</v>
      </c>
      <c r="G6472" s="283">
        <v>1</v>
      </c>
      <c r="H6472" s="283">
        <v>0</v>
      </c>
      <c r="I6472" s="283">
        <v>0</v>
      </c>
      <c r="J6472" s="284">
        <v>0</v>
      </c>
    </row>
    <row r="6473" spans="3:10" x14ac:dyDescent="0.25">
      <c r="C6473" s="300" t="s">
        <v>1061</v>
      </c>
      <c r="D6473" s="283" t="s">
        <v>1087</v>
      </c>
      <c r="E6473" s="283" t="s">
        <v>1075</v>
      </c>
      <c r="F6473" s="283" t="s">
        <v>524</v>
      </c>
      <c r="G6473" s="283">
        <v>1</v>
      </c>
      <c r="H6473" s="283">
        <v>0</v>
      </c>
      <c r="I6473" s="283">
        <v>0</v>
      </c>
      <c r="J6473" s="284">
        <v>1</v>
      </c>
    </row>
    <row r="6474" spans="3:10" x14ac:dyDescent="0.25">
      <c r="C6474" s="300" t="s">
        <v>1065</v>
      </c>
      <c r="D6474" s="283" t="s">
        <v>1077</v>
      </c>
      <c r="E6474" s="283" t="s">
        <v>1078</v>
      </c>
      <c r="F6474" s="283" t="s">
        <v>1075</v>
      </c>
      <c r="G6474" s="283">
        <v>3</v>
      </c>
      <c r="H6474" s="283">
        <v>0</v>
      </c>
      <c r="I6474" s="283">
        <v>0</v>
      </c>
      <c r="J6474" s="284">
        <v>1</v>
      </c>
    </row>
    <row r="6475" spans="3:10" x14ac:dyDescent="0.25">
      <c r="C6475" s="300" t="s">
        <v>1062</v>
      </c>
      <c r="D6475" s="283" t="s">
        <v>1090</v>
      </c>
      <c r="E6475" s="283" t="s">
        <v>1083</v>
      </c>
      <c r="F6475" s="283" t="s">
        <v>524</v>
      </c>
      <c r="G6475" s="283">
        <v>1</v>
      </c>
      <c r="H6475" s="283">
        <v>0</v>
      </c>
      <c r="I6475" s="283">
        <v>1</v>
      </c>
      <c r="J6475" s="284">
        <v>0</v>
      </c>
    </row>
    <row r="6476" spans="3:10" x14ac:dyDescent="0.25">
      <c r="C6476" s="300" t="s">
        <v>1064</v>
      </c>
      <c r="D6476" s="283" t="s">
        <v>1077</v>
      </c>
      <c r="E6476" s="283" t="s">
        <v>1084</v>
      </c>
      <c r="F6476" s="283" t="s">
        <v>1075</v>
      </c>
      <c r="G6476" s="283">
        <v>3</v>
      </c>
      <c r="H6476" s="283">
        <v>0</v>
      </c>
      <c r="I6476" s="283">
        <v>0</v>
      </c>
      <c r="J6476" s="284">
        <v>1</v>
      </c>
    </row>
    <row r="6477" spans="3:10" x14ac:dyDescent="0.25">
      <c r="C6477" s="300" t="s">
        <v>1060</v>
      </c>
      <c r="D6477" s="283" t="s">
        <v>1077</v>
      </c>
      <c r="E6477" s="283" t="s">
        <v>1076</v>
      </c>
      <c r="F6477" s="283" t="s">
        <v>1076</v>
      </c>
      <c r="G6477" s="283">
        <v>3</v>
      </c>
      <c r="H6477" s="283">
        <v>0</v>
      </c>
      <c r="I6477" s="283">
        <v>1</v>
      </c>
      <c r="J6477" s="284">
        <v>0</v>
      </c>
    </row>
    <row r="6478" spans="3:10" x14ac:dyDescent="0.25">
      <c r="C6478" s="300" t="s">
        <v>1065</v>
      </c>
      <c r="D6478" s="283" t="s">
        <v>1087</v>
      </c>
      <c r="E6478" s="283" t="s">
        <v>1084</v>
      </c>
      <c r="F6478" s="283" t="s">
        <v>524</v>
      </c>
      <c r="G6478" s="283">
        <v>1</v>
      </c>
      <c r="H6478" s="283">
        <v>0</v>
      </c>
      <c r="I6478" s="283">
        <v>0</v>
      </c>
      <c r="J6478" s="284">
        <v>0</v>
      </c>
    </row>
    <row r="6479" spans="3:10" x14ac:dyDescent="0.25">
      <c r="C6479" s="300" t="s">
        <v>1066</v>
      </c>
      <c r="D6479" s="283" t="s">
        <v>1087</v>
      </c>
      <c r="E6479" s="283" t="s">
        <v>1075</v>
      </c>
      <c r="F6479" s="283" t="s">
        <v>524</v>
      </c>
      <c r="G6479" s="283">
        <v>1</v>
      </c>
      <c r="H6479" s="283">
        <v>0</v>
      </c>
      <c r="I6479" s="283">
        <v>0</v>
      </c>
      <c r="J6479" s="284">
        <v>0</v>
      </c>
    </row>
    <row r="6480" spans="3:10" x14ac:dyDescent="0.25">
      <c r="C6480" s="300" t="s">
        <v>1059</v>
      </c>
      <c r="D6480" s="283" t="s">
        <v>1077</v>
      </c>
      <c r="E6480" s="283" t="s">
        <v>1085</v>
      </c>
      <c r="F6480" s="283" t="s">
        <v>1080</v>
      </c>
      <c r="G6480" s="283">
        <v>2</v>
      </c>
      <c r="H6480" s="283">
        <v>0</v>
      </c>
      <c r="I6480" s="283">
        <v>0</v>
      </c>
      <c r="J6480" s="284">
        <v>0</v>
      </c>
    </row>
    <row r="6481" spans="3:10" x14ac:dyDescent="0.25">
      <c r="C6481" s="300" t="s">
        <v>1066</v>
      </c>
      <c r="D6481" s="283" t="s">
        <v>1074</v>
      </c>
      <c r="E6481" s="283" t="s">
        <v>1089</v>
      </c>
      <c r="F6481" s="283" t="s">
        <v>1083</v>
      </c>
      <c r="G6481" s="283">
        <v>2</v>
      </c>
      <c r="H6481" s="283">
        <v>0</v>
      </c>
      <c r="I6481" s="283">
        <v>0</v>
      </c>
      <c r="J6481" s="284">
        <v>0</v>
      </c>
    </row>
    <row r="6482" spans="3:10" x14ac:dyDescent="0.25">
      <c r="C6482" s="300" t="s">
        <v>1057</v>
      </c>
      <c r="D6482" s="283" t="s">
        <v>1079</v>
      </c>
      <c r="E6482" s="283" t="s">
        <v>1075</v>
      </c>
      <c r="F6482" s="283" t="s">
        <v>1075</v>
      </c>
      <c r="G6482" s="283">
        <v>3</v>
      </c>
      <c r="H6482" s="283">
        <v>0</v>
      </c>
      <c r="I6482" s="283">
        <v>1</v>
      </c>
      <c r="J6482" s="284">
        <v>0</v>
      </c>
    </row>
    <row r="6483" spans="3:10" x14ac:dyDescent="0.25">
      <c r="C6483" s="300" t="s">
        <v>1063</v>
      </c>
      <c r="D6483" s="283" t="s">
        <v>1074</v>
      </c>
      <c r="E6483" s="283" t="s">
        <v>1089</v>
      </c>
      <c r="F6483" s="283" t="s">
        <v>1089</v>
      </c>
      <c r="G6483" s="283">
        <v>2</v>
      </c>
      <c r="H6483" s="283">
        <v>0</v>
      </c>
      <c r="I6483" s="283">
        <v>0</v>
      </c>
      <c r="J6483" s="284">
        <v>2</v>
      </c>
    </row>
    <row r="6484" spans="3:10" x14ac:dyDescent="0.25">
      <c r="C6484" s="300" t="s">
        <v>1062</v>
      </c>
      <c r="D6484" s="283" t="s">
        <v>1079</v>
      </c>
      <c r="E6484" s="283" t="s">
        <v>1094</v>
      </c>
      <c r="F6484" s="283" t="s">
        <v>1084</v>
      </c>
      <c r="G6484" s="283">
        <v>2</v>
      </c>
      <c r="H6484" s="283">
        <v>0</v>
      </c>
      <c r="I6484" s="283">
        <v>0</v>
      </c>
      <c r="J6484" s="284">
        <v>1</v>
      </c>
    </row>
    <row r="6485" spans="3:10" x14ac:dyDescent="0.25">
      <c r="C6485" s="300" t="s">
        <v>1065</v>
      </c>
      <c r="D6485" s="283" t="s">
        <v>1043</v>
      </c>
      <c r="E6485" s="283" t="s">
        <v>1078</v>
      </c>
      <c r="F6485" s="283" t="s">
        <v>1092</v>
      </c>
      <c r="G6485" s="283">
        <v>2</v>
      </c>
      <c r="H6485" s="283">
        <v>0</v>
      </c>
      <c r="I6485" s="283">
        <v>1</v>
      </c>
      <c r="J6485" s="284">
        <v>0</v>
      </c>
    </row>
    <row r="6486" spans="3:10" x14ac:dyDescent="0.25">
      <c r="C6486" s="300" t="s">
        <v>1061</v>
      </c>
      <c r="D6486" s="283" t="s">
        <v>1082</v>
      </c>
      <c r="E6486" s="283" t="s">
        <v>1084</v>
      </c>
      <c r="F6486" s="283" t="s">
        <v>1075</v>
      </c>
      <c r="G6486" s="283">
        <v>3</v>
      </c>
      <c r="H6486" s="283">
        <v>0</v>
      </c>
      <c r="I6486" s="283">
        <v>1</v>
      </c>
      <c r="J6486" s="284">
        <v>0</v>
      </c>
    </row>
    <row r="6487" spans="3:10" x14ac:dyDescent="0.25">
      <c r="C6487" s="300" t="s">
        <v>1063</v>
      </c>
      <c r="D6487" s="283" t="s">
        <v>1074</v>
      </c>
      <c r="E6487" s="283" t="s">
        <v>1075</v>
      </c>
      <c r="F6487" s="283" t="s">
        <v>1075</v>
      </c>
      <c r="G6487" s="283">
        <v>2</v>
      </c>
      <c r="H6487" s="283">
        <v>0</v>
      </c>
      <c r="I6487" s="283">
        <v>1</v>
      </c>
      <c r="J6487" s="284">
        <v>0</v>
      </c>
    </row>
    <row r="6488" spans="3:10" x14ac:dyDescent="0.25">
      <c r="C6488" s="300" t="s">
        <v>1065</v>
      </c>
      <c r="D6488" s="283" t="s">
        <v>1079</v>
      </c>
      <c r="E6488" s="283" t="s">
        <v>1075</v>
      </c>
      <c r="F6488" s="283" t="s">
        <v>1083</v>
      </c>
      <c r="G6488" s="283">
        <v>2</v>
      </c>
      <c r="H6488" s="283">
        <v>0</v>
      </c>
      <c r="I6488" s="283">
        <v>0</v>
      </c>
      <c r="J6488" s="284">
        <v>1</v>
      </c>
    </row>
    <row r="6489" spans="3:10" x14ac:dyDescent="0.25">
      <c r="C6489" s="300" t="s">
        <v>1066</v>
      </c>
      <c r="D6489" s="283" t="s">
        <v>1043</v>
      </c>
      <c r="E6489" s="283" t="s">
        <v>1086</v>
      </c>
      <c r="F6489" s="283" t="s">
        <v>1092</v>
      </c>
      <c r="G6489" s="283">
        <v>2</v>
      </c>
      <c r="H6489" s="283">
        <v>0</v>
      </c>
      <c r="I6489" s="283">
        <v>0</v>
      </c>
      <c r="J6489" s="284">
        <v>0</v>
      </c>
    </row>
    <row r="6490" spans="3:10" x14ac:dyDescent="0.25">
      <c r="C6490" s="300" t="s">
        <v>1065</v>
      </c>
      <c r="D6490" s="283" t="s">
        <v>1090</v>
      </c>
      <c r="E6490" s="283" t="s">
        <v>1083</v>
      </c>
      <c r="F6490" s="283" t="s">
        <v>524</v>
      </c>
      <c r="G6490" s="283">
        <v>1</v>
      </c>
      <c r="H6490" s="283">
        <v>0</v>
      </c>
      <c r="I6490" s="283">
        <v>1</v>
      </c>
      <c r="J6490" s="284">
        <v>0</v>
      </c>
    </row>
    <row r="6491" spans="3:10" x14ac:dyDescent="0.25">
      <c r="C6491" s="300" t="s">
        <v>1066</v>
      </c>
      <c r="D6491" s="283" t="s">
        <v>1079</v>
      </c>
      <c r="E6491" s="283" t="s">
        <v>1075</v>
      </c>
      <c r="F6491" s="283" t="s">
        <v>1075</v>
      </c>
      <c r="G6491" s="283">
        <v>2</v>
      </c>
      <c r="H6491" s="283">
        <v>0</v>
      </c>
      <c r="I6491" s="283">
        <v>0</v>
      </c>
      <c r="J6491" s="284">
        <v>1</v>
      </c>
    </row>
    <row r="6492" spans="3:10" x14ac:dyDescent="0.25">
      <c r="C6492" s="300" t="s">
        <v>1062</v>
      </c>
      <c r="D6492" s="283" t="s">
        <v>1087</v>
      </c>
      <c r="E6492" s="283" t="s">
        <v>1076</v>
      </c>
      <c r="F6492" s="283" t="s">
        <v>524</v>
      </c>
      <c r="G6492" s="283">
        <v>1</v>
      </c>
      <c r="H6492" s="283">
        <v>1</v>
      </c>
      <c r="I6492" s="283">
        <v>0</v>
      </c>
      <c r="J6492" s="284">
        <v>0</v>
      </c>
    </row>
    <row r="6493" spans="3:10" x14ac:dyDescent="0.25">
      <c r="C6493" s="300" t="s">
        <v>1063</v>
      </c>
      <c r="D6493" s="283" t="s">
        <v>1043</v>
      </c>
      <c r="E6493" s="283" t="s">
        <v>1078</v>
      </c>
      <c r="F6493" s="283" t="s">
        <v>1092</v>
      </c>
      <c r="G6493" s="283">
        <v>2</v>
      </c>
      <c r="H6493" s="283">
        <v>1</v>
      </c>
      <c r="I6493" s="283">
        <v>0</v>
      </c>
      <c r="J6493" s="284">
        <v>0</v>
      </c>
    </row>
    <row r="6494" spans="3:10" x14ac:dyDescent="0.25">
      <c r="C6494" s="300" t="s">
        <v>1061</v>
      </c>
      <c r="D6494" s="283" t="s">
        <v>1082</v>
      </c>
      <c r="E6494" s="283" t="s">
        <v>1075</v>
      </c>
      <c r="F6494" s="283" t="s">
        <v>1089</v>
      </c>
      <c r="G6494" s="283">
        <v>3</v>
      </c>
      <c r="H6494" s="283">
        <v>1</v>
      </c>
      <c r="I6494" s="283">
        <v>1</v>
      </c>
      <c r="J6494" s="284">
        <v>0</v>
      </c>
    </row>
    <row r="6495" spans="3:10" x14ac:dyDescent="0.25">
      <c r="C6495" s="300" t="s">
        <v>1062</v>
      </c>
      <c r="D6495" s="283" t="s">
        <v>1043</v>
      </c>
      <c r="E6495" s="283" t="s">
        <v>1078</v>
      </c>
      <c r="F6495" s="283" t="s">
        <v>1092</v>
      </c>
      <c r="G6495" s="283">
        <v>2</v>
      </c>
      <c r="H6495" s="283">
        <v>1</v>
      </c>
      <c r="I6495" s="283">
        <v>0</v>
      </c>
      <c r="J6495" s="284">
        <v>0</v>
      </c>
    </row>
    <row r="6496" spans="3:10" x14ac:dyDescent="0.25">
      <c r="C6496" s="300" t="s">
        <v>1065</v>
      </c>
      <c r="D6496" s="283" t="s">
        <v>1079</v>
      </c>
      <c r="E6496" s="283" t="s">
        <v>1089</v>
      </c>
      <c r="F6496" s="283" t="s">
        <v>1083</v>
      </c>
      <c r="G6496" s="283">
        <v>2</v>
      </c>
      <c r="H6496" s="283">
        <v>0</v>
      </c>
      <c r="I6496" s="283">
        <v>1</v>
      </c>
      <c r="J6496" s="284">
        <v>1</v>
      </c>
    </row>
    <row r="6497" spans="3:10" x14ac:dyDescent="0.25">
      <c r="C6497" s="300" t="s">
        <v>1063</v>
      </c>
      <c r="D6497" s="283" t="s">
        <v>1079</v>
      </c>
      <c r="E6497" s="283" t="s">
        <v>1080</v>
      </c>
      <c r="F6497" s="283" t="s">
        <v>1078</v>
      </c>
      <c r="G6497" s="283">
        <v>2</v>
      </c>
      <c r="H6497" s="283">
        <v>0</v>
      </c>
      <c r="I6497" s="283">
        <v>0</v>
      </c>
      <c r="J6497" s="284">
        <v>0</v>
      </c>
    </row>
    <row r="6498" spans="3:10" x14ac:dyDescent="0.25">
      <c r="C6498" s="300" t="s">
        <v>1057</v>
      </c>
      <c r="D6498" s="283" t="s">
        <v>1087</v>
      </c>
      <c r="E6498" s="283" t="s">
        <v>1075</v>
      </c>
      <c r="F6498" s="283" t="s">
        <v>524</v>
      </c>
      <c r="G6498" s="283">
        <v>2</v>
      </c>
      <c r="H6498" s="283">
        <v>0</v>
      </c>
      <c r="I6498" s="283">
        <v>1</v>
      </c>
      <c r="J6498" s="284">
        <v>0</v>
      </c>
    </row>
    <row r="6499" spans="3:10" x14ac:dyDescent="0.25">
      <c r="C6499" s="300" t="s">
        <v>1062</v>
      </c>
      <c r="D6499" s="283" t="s">
        <v>1079</v>
      </c>
      <c r="E6499" s="283" t="s">
        <v>1099</v>
      </c>
      <c r="F6499" s="283" t="s">
        <v>1075</v>
      </c>
      <c r="G6499" s="283">
        <v>2</v>
      </c>
      <c r="H6499" s="283">
        <v>0</v>
      </c>
      <c r="I6499" s="283">
        <v>0</v>
      </c>
      <c r="J6499" s="284">
        <v>0</v>
      </c>
    </row>
    <row r="6500" spans="3:10" x14ac:dyDescent="0.25">
      <c r="C6500" s="300" t="s">
        <v>1060</v>
      </c>
      <c r="D6500" s="283" t="s">
        <v>1090</v>
      </c>
      <c r="E6500" s="283" t="s">
        <v>1089</v>
      </c>
      <c r="F6500" s="283" t="s">
        <v>524</v>
      </c>
      <c r="G6500" s="283">
        <v>1</v>
      </c>
      <c r="H6500" s="283">
        <v>1</v>
      </c>
      <c r="I6500" s="283">
        <v>0</v>
      </c>
      <c r="J6500" s="284">
        <v>0</v>
      </c>
    </row>
    <row r="6501" spans="3:10" x14ac:dyDescent="0.25">
      <c r="C6501" s="300" t="s">
        <v>1062</v>
      </c>
      <c r="D6501" s="283" t="s">
        <v>1043</v>
      </c>
      <c r="E6501" s="283" t="s">
        <v>1075</v>
      </c>
      <c r="F6501" s="283" t="s">
        <v>1092</v>
      </c>
      <c r="G6501" s="283">
        <v>2</v>
      </c>
      <c r="H6501" s="283">
        <v>0</v>
      </c>
      <c r="I6501" s="283">
        <v>1</v>
      </c>
      <c r="J6501" s="284">
        <v>0</v>
      </c>
    </row>
    <row r="6502" spans="3:10" x14ac:dyDescent="0.25">
      <c r="C6502" s="300" t="s">
        <v>1066</v>
      </c>
      <c r="D6502" s="283" t="s">
        <v>1079</v>
      </c>
      <c r="E6502" s="283" t="s">
        <v>1075</v>
      </c>
      <c r="F6502" s="283" t="s">
        <v>1083</v>
      </c>
      <c r="G6502" s="283">
        <v>2</v>
      </c>
      <c r="H6502" s="283">
        <v>0</v>
      </c>
      <c r="I6502" s="283">
        <v>1</v>
      </c>
      <c r="J6502" s="284">
        <v>0</v>
      </c>
    </row>
    <row r="6503" spans="3:10" x14ac:dyDescent="0.25">
      <c r="C6503" s="300" t="s">
        <v>1062</v>
      </c>
      <c r="D6503" s="283" t="s">
        <v>1079</v>
      </c>
      <c r="E6503" s="283" t="s">
        <v>1089</v>
      </c>
      <c r="F6503" s="283" t="s">
        <v>1075</v>
      </c>
      <c r="G6503" s="283">
        <v>2</v>
      </c>
      <c r="H6503" s="283">
        <v>0</v>
      </c>
      <c r="I6503" s="283">
        <v>0</v>
      </c>
      <c r="J6503" s="284">
        <v>0</v>
      </c>
    </row>
    <row r="6504" spans="3:10" x14ac:dyDescent="0.25">
      <c r="C6504" s="300" t="s">
        <v>1063</v>
      </c>
      <c r="D6504" s="283" t="s">
        <v>1079</v>
      </c>
      <c r="E6504" s="283" t="s">
        <v>1076</v>
      </c>
      <c r="F6504" s="283" t="s">
        <v>1075</v>
      </c>
      <c r="G6504" s="283">
        <v>2</v>
      </c>
      <c r="H6504" s="283">
        <v>0</v>
      </c>
      <c r="I6504" s="283">
        <v>0</v>
      </c>
      <c r="J6504" s="284">
        <v>0</v>
      </c>
    </row>
    <row r="6505" spans="3:10" x14ac:dyDescent="0.25">
      <c r="C6505" s="300" t="s">
        <v>1061</v>
      </c>
      <c r="D6505" s="283" t="s">
        <v>1087</v>
      </c>
      <c r="E6505" s="283" t="s">
        <v>1075</v>
      </c>
      <c r="F6505" s="283" t="s">
        <v>524</v>
      </c>
      <c r="G6505" s="283">
        <v>1</v>
      </c>
      <c r="H6505" s="283">
        <v>0</v>
      </c>
      <c r="I6505" s="283">
        <v>0</v>
      </c>
      <c r="J6505" s="284">
        <v>0</v>
      </c>
    </row>
    <row r="6506" spans="3:10" x14ac:dyDescent="0.25">
      <c r="C6506" s="300" t="s">
        <v>1068</v>
      </c>
      <c r="D6506" s="283" t="s">
        <v>1074</v>
      </c>
      <c r="E6506" s="283" t="s">
        <v>1089</v>
      </c>
      <c r="F6506" s="283" t="s">
        <v>1089</v>
      </c>
      <c r="G6506" s="283">
        <v>2</v>
      </c>
      <c r="H6506" s="283">
        <v>0</v>
      </c>
      <c r="I6506" s="283">
        <v>0</v>
      </c>
      <c r="J6506" s="284">
        <v>0</v>
      </c>
    </row>
    <row r="6507" spans="3:10" x14ac:dyDescent="0.25">
      <c r="C6507" s="300" t="s">
        <v>1065</v>
      </c>
      <c r="D6507" s="283" t="s">
        <v>1077</v>
      </c>
      <c r="E6507" s="283" t="s">
        <v>1076</v>
      </c>
      <c r="F6507" s="283" t="s">
        <v>1075</v>
      </c>
      <c r="G6507" s="283">
        <v>2</v>
      </c>
      <c r="H6507" s="283">
        <v>0</v>
      </c>
      <c r="I6507" s="283">
        <v>0</v>
      </c>
      <c r="J6507" s="284">
        <v>1</v>
      </c>
    </row>
    <row r="6508" spans="3:10" x14ac:dyDescent="0.25">
      <c r="C6508" s="300" t="s">
        <v>1061</v>
      </c>
      <c r="D6508" s="283" t="s">
        <v>1077</v>
      </c>
      <c r="E6508" s="283" t="s">
        <v>1089</v>
      </c>
      <c r="F6508" s="283" t="s">
        <v>1089</v>
      </c>
      <c r="G6508" s="283">
        <v>2</v>
      </c>
      <c r="H6508" s="283">
        <v>0</v>
      </c>
      <c r="I6508" s="283">
        <v>1</v>
      </c>
      <c r="J6508" s="284">
        <v>0</v>
      </c>
    </row>
    <row r="6509" spans="3:10" x14ac:dyDescent="0.25">
      <c r="C6509" s="300" t="s">
        <v>1060</v>
      </c>
      <c r="D6509" s="283" t="s">
        <v>1079</v>
      </c>
      <c r="E6509" s="283" t="s">
        <v>1076</v>
      </c>
      <c r="F6509" s="283" t="s">
        <v>1075</v>
      </c>
      <c r="G6509" s="283">
        <v>2</v>
      </c>
      <c r="H6509" s="283">
        <v>0</v>
      </c>
      <c r="I6509" s="283">
        <v>0</v>
      </c>
      <c r="J6509" s="284">
        <v>0</v>
      </c>
    </row>
    <row r="6510" spans="3:10" x14ac:dyDescent="0.25">
      <c r="C6510" s="300" t="s">
        <v>1060</v>
      </c>
      <c r="D6510" s="283" t="s">
        <v>1087</v>
      </c>
      <c r="E6510" s="283" t="s">
        <v>1076</v>
      </c>
      <c r="F6510" s="283" t="s">
        <v>1080</v>
      </c>
      <c r="G6510" s="283">
        <v>2</v>
      </c>
      <c r="H6510" s="283">
        <v>0</v>
      </c>
      <c r="I6510" s="283">
        <v>0</v>
      </c>
      <c r="J6510" s="284">
        <v>0</v>
      </c>
    </row>
    <row r="6511" spans="3:10" x14ac:dyDescent="0.25">
      <c r="C6511" s="300" t="s">
        <v>1058</v>
      </c>
      <c r="D6511" s="283" t="s">
        <v>1087</v>
      </c>
      <c r="E6511" s="283" t="s">
        <v>1075</v>
      </c>
      <c r="F6511" s="283" t="s">
        <v>524</v>
      </c>
      <c r="G6511" s="283">
        <v>1</v>
      </c>
      <c r="H6511" s="283">
        <v>0</v>
      </c>
      <c r="I6511" s="283">
        <v>0</v>
      </c>
      <c r="J6511" s="284">
        <v>1</v>
      </c>
    </row>
    <row r="6512" spans="3:10" x14ac:dyDescent="0.25">
      <c r="C6512" s="300" t="s">
        <v>1067</v>
      </c>
      <c r="D6512" s="283" t="s">
        <v>1087</v>
      </c>
      <c r="E6512" s="283" t="s">
        <v>1094</v>
      </c>
      <c r="F6512" s="283" t="s">
        <v>524</v>
      </c>
      <c r="G6512" s="283">
        <v>1</v>
      </c>
      <c r="H6512" s="283">
        <v>0</v>
      </c>
      <c r="I6512" s="283">
        <v>1</v>
      </c>
      <c r="J6512" s="284">
        <v>0</v>
      </c>
    </row>
    <row r="6513" spans="3:10" x14ac:dyDescent="0.25">
      <c r="C6513" s="300" t="s">
        <v>1065</v>
      </c>
      <c r="D6513" s="283" t="s">
        <v>1079</v>
      </c>
      <c r="E6513" s="283" t="s">
        <v>1086</v>
      </c>
      <c r="F6513" s="283" t="s">
        <v>1075</v>
      </c>
      <c r="G6513" s="283">
        <v>2</v>
      </c>
      <c r="H6513" s="283">
        <v>0</v>
      </c>
      <c r="I6513" s="283">
        <v>0</v>
      </c>
      <c r="J6513" s="284">
        <v>0</v>
      </c>
    </row>
    <row r="6514" spans="3:10" x14ac:dyDescent="0.25">
      <c r="C6514" s="300" t="s">
        <v>1061</v>
      </c>
      <c r="D6514" s="283" t="s">
        <v>1043</v>
      </c>
      <c r="E6514" s="283" t="s">
        <v>1089</v>
      </c>
      <c r="F6514" s="283" t="s">
        <v>1092</v>
      </c>
      <c r="G6514" s="283">
        <v>2</v>
      </c>
      <c r="H6514" s="283">
        <v>0</v>
      </c>
      <c r="I6514" s="283">
        <v>1</v>
      </c>
      <c r="J6514" s="284">
        <v>0</v>
      </c>
    </row>
    <row r="6515" spans="3:10" x14ac:dyDescent="0.25">
      <c r="C6515" s="300" t="s">
        <v>1063</v>
      </c>
      <c r="D6515" s="283" t="s">
        <v>1090</v>
      </c>
      <c r="E6515" s="283" t="s">
        <v>1076</v>
      </c>
      <c r="F6515" s="283" t="s">
        <v>524</v>
      </c>
      <c r="G6515" s="283">
        <v>1</v>
      </c>
      <c r="H6515" s="283">
        <v>0</v>
      </c>
      <c r="I6515" s="283">
        <v>0</v>
      </c>
      <c r="J6515" s="284">
        <v>0</v>
      </c>
    </row>
    <row r="6516" spans="3:10" x14ac:dyDescent="0.25">
      <c r="C6516" s="300" t="s">
        <v>1061</v>
      </c>
      <c r="D6516" s="283" t="s">
        <v>1079</v>
      </c>
      <c r="E6516" s="283" t="s">
        <v>1075</v>
      </c>
      <c r="F6516" s="283" t="s">
        <v>1093</v>
      </c>
      <c r="G6516" s="283">
        <v>2</v>
      </c>
      <c r="H6516" s="283">
        <v>0</v>
      </c>
      <c r="I6516" s="283">
        <v>1</v>
      </c>
      <c r="J6516" s="284">
        <v>0</v>
      </c>
    </row>
    <row r="6517" spans="3:10" x14ac:dyDescent="0.25">
      <c r="C6517" s="300" t="s">
        <v>1068</v>
      </c>
      <c r="D6517" s="283" t="s">
        <v>1087</v>
      </c>
      <c r="E6517" s="283" t="s">
        <v>1075</v>
      </c>
      <c r="F6517" s="283" t="s">
        <v>524</v>
      </c>
      <c r="G6517" s="283">
        <v>1</v>
      </c>
      <c r="H6517" s="283">
        <v>0</v>
      </c>
      <c r="I6517" s="283">
        <v>0</v>
      </c>
      <c r="J6517" s="284">
        <v>1</v>
      </c>
    </row>
    <row r="6518" spans="3:10" x14ac:dyDescent="0.25">
      <c r="C6518" s="300" t="s">
        <v>1062</v>
      </c>
      <c r="D6518" s="283" t="s">
        <v>1074</v>
      </c>
      <c r="E6518" s="283" t="s">
        <v>1084</v>
      </c>
      <c r="F6518" s="283" t="s">
        <v>1099</v>
      </c>
      <c r="G6518" s="283">
        <v>2</v>
      </c>
      <c r="H6518" s="283">
        <v>0</v>
      </c>
      <c r="I6518" s="283">
        <v>0</v>
      </c>
      <c r="J6518" s="284">
        <v>0</v>
      </c>
    </row>
    <row r="6519" spans="3:10" x14ac:dyDescent="0.25">
      <c r="C6519" s="300" t="s">
        <v>1064</v>
      </c>
      <c r="D6519" s="283" t="s">
        <v>1087</v>
      </c>
      <c r="E6519" s="283" t="s">
        <v>1075</v>
      </c>
      <c r="F6519" s="283" t="s">
        <v>524</v>
      </c>
      <c r="G6519" s="283">
        <v>1</v>
      </c>
      <c r="H6519" s="283">
        <v>0</v>
      </c>
      <c r="I6519" s="283">
        <v>0</v>
      </c>
      <c r="J6519" s="284">
        <v>1</v>
      </c>
    </row>
    <row r="6520" spans="3:10" x14ac:dyDescent="0.25">
      <c r="C6520" s="300" t="s">
        <v>1066</v>
      </c>
      <c r="D6520" s="283" t="s">
        <v>1079</v>
      </c>
      <c r="E6520" s="283" t="s">
        <v>1075</v>
      </c>
      <c r="F6520" s="283" t="s">
        <v>1075</v>
      </c>
      <c r="G6520" s="283">
        <v>2</v>
      </c>
      <c r="H6520" s="283">
        <v>0</v>
      </c>
      <c r="I6520" s="283">
        <v>0</v>
      </c>
      <c r="J6520" s="284">
        <v>1</v>
      </c>
    </row>
    <row r="6521" spans="3:10" x14ac:dyDescent="0.25">
      <c r="C6521" s="300" t="s">
        <v>1061</v>
      </c>
      <c r="D6521" s="283" t="s">
        <v>1079</v>
      </c>
      <c r="E6521" s="283" t="s">
        <v>1084</v>
      </c>
      <c r="F6521" s="283" t="s">
        <v>1075</v>
      </c>
      <c r="G6521" s="283">
        <v>2</v>
      </c>
      <c r="H6521" s="283">
        <v>0</v>
      </c>
      <c r="I6521" s="283">
        <v>0</v>
      </c>
      <c r="J6521" s="284">
        <v>1</v>
      </c>
    </row>
    <row r="6522" spans="3:10" x14ac:dyDescent="0.25">
      <c r="C6522" s="300" t="s">
        <v>1067</v>
      </c>
      <c r="D6522" s="283" t="s">
        <v>1087</v>
      </c>
      <c r="E6522" s="283" t="s">
        <v>1075</v>
      </c>
      <c r="F6522" s="283" t="s">
        <v>524</v>
      </c>
      <c r="G6522" s="283">
        <v>1</v>
      </c>
      <c r="H6522" s="283">
        <v>0</v>
      </c>
      <c r="I6522" s="283">
        <v>0</v>
      </c>
      <c r="J6522" s="284">
        <v>1</v>
      </c>
    </row>
    <row r="6523" spans="3:10" x14ac:dyDescent="0.25">
      <c r="C6523" s="300" t="s">
        <v>1065</v>
      </c>
      <c r="D6523" s="283" t="s">
        <v>1087</v>
      </c>
      <c r="E6523" s="283" t="s">
        <v>1089</v>
      </c>
      <c r="F6523" s="283" t="s">
        <v>524</v>
      </c>
      <c r="G6523" s="283">
        <v>1</v>
      </c>
      <c r="H6523" s="283">
        <v>0</v>
      </c>
      <c r="I6523" s="283">
        <v>0</v>
      </c>
      <c r="J6523" s="284">
        <v>0</v>
      </c>
    </row>
    <row r="6524" spans="3:10" x14ac:dyDescent="0.25">
      <c r="C6524" s="300" t="s">
        <v>1068</v>
      </c>
      <c r="D6524" s="283" t="s">
        <v>1074</v>
      </c>
      <c r="E6524" s="283" t="s">
        <v>1075</v>
      </c>
      <c r="F6524" s="283" t="s">
        <v>1075</v>
      </c>
      <c r="G6524" s="283">
        <v>3</v>
      </c>
      <c r="H6524" s="283">
        <v>0</v>
      </c>
      <c r="I6524" s="283">
        <v>0</v>
      </c>
      <c r="J6524" s="284">
        <v>0</v>
      </c>
    </row>
    <row r="6525" spans="3:10" x14ac:dyDescent="0.25">
      <c r="C6525" s="300" t="s">
        <v>1065</v>
      </c>
      <c r="D6525" s="283" t="s">
        <v>1074</v>
      </c>
      <c r="E6525" s="283" t="s">
        <v>1075</v>
      </c>
      <c r="F6525" s="283" t="s">
        <v>1075</v>
      </c>
      <c r="G6525" s="283">
        <v>2</v>
      </c>
      <c r="H6525" s="283">
        <v>0</v>
      </c>
      <c r="I6525" s="283">
        <v>0</v>
      </c>
      <c r="J6525" s="284">
        <v>0</v>
      </c>
    </row>
    <row r="6526" spans="3:10" x14ac:dyDescent="0.25">
      <c r="C6526" s="300" t="s">
        <v>1060</v>
      </c>
      <c r="D6526" s="283" t="s">
        <v>1087</v>
      </c>
      <c r="E6526" s="283" t="s">
        <v>1076</v>
      </c>
      <c r="F6526" s="283" t="s">
        <v>524</v>
      </c>
      <c r="G6526" s="283">
        <v>1</v>
      </c>
      <c r="H6526" s="283">
        <v>0</v>
      </c>
      <c r="I6526" s="283">
        <v>0</v>
      </c>
      <c r="J6526" s="284">
        <v>0</v>
      </c>
    </row>
    <row r="6527" spans="3:10" x14ac:dyDescent="0.25">
      <c r="C6527" s="300" t="s">
        <v>1061</v>
      </c>
      <c r="D6527" s="283" t="s">
        <v>1074</v>
      </c>
      <c r="E6527" s="283" t="s">
        <v>1089</v>
      </c>
      <c r="F6527" s="283" t="s">
        <v>1075</v>
      </c>
      <c r="G6527" s="283">
        <v>2</v>
      </c>
      <c r="H6527" s="283">
        <v>0</v>
      </c>
      <c r="I6527" s="283">
        <v>0</v>
      </c>
      <c r="J6527" s="284">
        <v>1</v>
      </c>
    </row>
    <row r="6528" spans="3:10" x14ac:dyDescent="0.25">
      <c r="C6528" s="300" t="s">
        <v>1061</v>
      </c>
      <c r="D6528" s="283" t="s">
        <v>1087</v>
      </c>
      <c r="E6528" s="283" t="s">
        <v>1081</v>
      </c>
      <c r="F6528" s="283" t="s">
        <v>524</v>
      </c>
      <c r="G6528" s="283">
        <v>1</v>
      </c>
      <c r="H6528" s="283">
        <v>0</v>
      </c>
      <c r="I6528" s="283">
        <v>0</v>
      </c>
      <c r="J6528" s="284">
        <v>1</v>
      </c>
    </row>
    <row r="6529" spans="3:10" x14ac:dyDescent="0.25">
      <c r="C6529" s="300" t="s">
        <v>1062</v>
      </c>
      <c r="D6529" s="283" t="s">
        <v>1079</v>
      </c>
      <c r="E6529" s="283" t="s">
        <v>1089</v>
      </c>
      <c r="F6529" s="283" t="s">
        <v>1075</v>
      </c>
      <c r="G6529" s="283">
        <v>2</v>
      </c>
      <c r="H6529" s="283">
        <v>0</v>
      </c>
      <c r="I6529" s="283">
        <v>0</v>
      </c>
      <c r="J6529" s="284">
        <v>1</v>
      </c>
    </row>
    <row r="6530" spans="3:10" x14ac:dyDescent="0.25">
      <c r="C6530" s="300" t="s">
        <v>1065</v>
      </c>
      <c r="D6530" s="283" t="s">
        <v>1079</v>
      </c>
      <c r="E6530" s="283" t="s">
        <v>1089</v>
      </c>
      <c r="F6530" s="283" t="s">
        <v>1075</v>
      </c>
      <c r="G6530" s="283">
        <v>2</v>
      </c>
      <c r="H6530" s="283">
        <v>0</v>
      </c>
      <c r="I6530" s="283">
        <v>0</v>
      </c>
      <c r="J6530" s="284">
        <v>0</v>
      </c>
    </row>
    <row r="6531" spans="3:10" x14ac:dyDescent="0.25">
      <c r="C6531" s="300" t="s">
        <v>1065</v>
      </c>
      <c r="D6531" s="283" t="s">
        <v>1079</v>
      </c>
      <c r="E6531" s="283" t="s">
        <v>1078</v>
      </c>
      <c r="F6531" s="283" t="s">
        <v>1083</v>
      </c>
      <c r="G6531" s="283">
        <v>2</v>
      </c>
      <c r="H6531" s="283">
        <v>0</v>
      </c>
      <c r="I6531" s="283">
        <v>1</v>
      </c>
      <c r="J6531" s="284">
        <v>0</v>
      </c>
    </row>
    <row r="6532" spans="3:10" x14ac:dyDescent="0.25">
      <c r="C6532" s="300" t="s">
        <v>1060</v>
      </c>
      <c r="D6532" s="283" t="s">
        <v>1087</v>
      </c>
      <c r="E6532" s="283" t="s">
        <v>1075</v>
      </c>
      <c r="F6532" s="283" t="s">
        <v>524</v>
      </c>
      <c r="G6532" s="283">
        <v>1</v>
      </c>
      <c r="H6532" s="283">
        <v>0</v>
      </c>
      <c r="I6532" s="283">
        <v>0</v>
      </c>
      <c r="J6532" s="284">
        <v>0</v>
      </c>
    </row>
    <row r="6533" spans="3:10" x14ac:dyDescent="0.25">
      <c r="C6533" s="300" t="s">
        <v>1065</v>
      </c>
      <c r="D6533" s="283" t="s">
        <v>1077</v>
      </c>
      <c r="E6533" s="283" t="s">
        <v>1089</v>
      </c>
      <c r="F6533" s="283" t="s">
        <v>1075</v>
      </c>
      <c r="G6533" s="283">
        <v>2</v>
      </c>
      <c r="H6533" s="283">
        <v>0</v>
      </c>
      <c r="I6533" s="283">
        <v>0</v>
      </c>
      <c r="J6533" s="284">
        <v>0</v>
      </c>
    </row>
    <row r="6534" spans="3:10" x14ac:dyDescent="0.25">
      <c r="C6534" s="300" t="s">
        <v>1061</v>
      </c>
      <c r="D6534" s="283" t="s">
        <v>1077</v>
      </c>
      <c r="E6534" s="283" t="s">
        <v>1089</v>
      </c>
      <c r="F6534" s="283" t="s">
        <v>1076</v>
      </c>
      <c r="G6534" s="283">
        <v>2</v>
      </c>
      <c r="H6534" s="283">
        <v>0</v>
      </c>
      <c r="I6534" s="283">
        <v>0</v>
      </c>
      <c r="J6534" s="284">
        <v>0</v>
      </c>
    </row>
    <row r="6535" spans="3:10" x14ac:dyDescent="0.25">
      <c r="C6535" s="300" t="s">
        <v>1063</v>
      </c>
      <c r="D6535" s="283" t="s">
        <v>1079</v>
      </c>
      <c r="E6535" s="283" t="s">
        <v>1075</v>
      </c>
      <c r="F6535" s="283" t="s">
        <v>1084</v>
      </c>
      <c r="G6535" s="283">
        <v>2</v>
      </c>
      <c r="H6535" s="283">
        <v>0</v>
      </c>
      <c r="I6535" s="283">
        <v>0</v>
      </c>
      <c r="J6535" s="284">
        <v>0</v>
      </c>
    </row>
    <row r="6536" spans="3:10" x14ac:dyDescent="0.25">
      <c r="C6536" s="300" t="s">
        <v>1060</v>
      </c>
      <c r="D6536" s="283" t="s">
        <v>1074</v>
      </c>
      <c r="E6536" s="283" t="s">
        <v>1080</v>
      </c>
      <c r="F6536" s="283" t="s">
        <v>1076</v>
      </c>
      <c r="G6536" s="283">
        <v>2</v>
      </c>
      <c r="H6536" s="283">
        <v>0</v>
      </c>
      <c r="I6536" s="283">
        <v>0</v>
      </c>
      <c r="J6536" s="284">
        <v>0</v>
      </c>
    </row>
    <row r="6537" spans="3:10" x14ac:dyDescent="0.25">
      <c r="C6537" s="300" t="s">
        <v>1062</v>
      </c>
      <c r="D6537" s="283" t="s">
        <v>1090</v>
      </c>
      <c r="E6537" s="283" t="s">
        <v>1075</v>
      </c>
      <c r="F6537" s="283" t="s">
        <v>524</v>
      </c>
      <c r="G6537" s="283">
        <v>1</v>
      </c>
      <c r="H6537" s="283">
        <v>0</v>
      </c>
      <c r="I6537" s="283">
        <v>0</v>
      </c>
      <c r="J6537" s="284">
        <v>0</v>
      </c>
    </row>
    <row r="6538" spans="3:10" x14ac:dyDescent="0.25">
      <c r="C6538" s="300" t="s">
        <v>1064</v>
      </c>
      <c r="D6538" s="283" t="s">
        <v>1074</v>
      </c>
      <c r="E6538" s="283" t="s">
        <v>1084</v>
      </c>
      <c r="F6538" s="283" t="s">
        <v>1075</v>
      </c>
      <c r="G6538" s="283">
        <v>2</v>
      </c>
      <c r="H6538" s="283">
        <v>0</v>
      </c>
      <c r="I6538" s="283">
        <v>0</v>
      </c>
      <c r="J6538" s="284">
        <v>0</v>
      </c>
    </row>
    <row r="6539" spans="3:10" x14ac:dyDescent="0.25">
      <c r="C6539" s="300" t="s">
        <v>1064</v>
      </c>
      <c r="D6539" s="283" t="s">
        <v>1077</v>
      </c>
      <c r="E6539" s="283" t="s">
        <v>1075</v>
      </c>
      <c r="F6539" s="283" t="s">
        <v>1075</v>
      </c>
      <c r="G6539" s="283">
        <v>2</v>
      </c>
      <c r="H6539" s="283">
        <v>0</v>
      </c>
      <c r="I6539" s="283">
        <v>0</v>
      </c>
      <c r="J6539" s="284">
        <v>1</v>
      </c>
    </row>
    <row r="6540" spans="3:10" x14ac:dyDescent="0.25">
      <c r="C6540" s="300" t="s">
        <v>1065</v>
      </c>
      <c r="D6540" s="283" t="s">
        <v>1043</v>
      </c>
      <c r="E6540" s="283" t="s">
        <v>1078</v>
      </c>
      <c r="F6540" s="283" t="s">
        <v>1104</v>
      </c>
      <c r="G6540" s="283">
        <v>2</v>
      </c>
      <c r="H6540" s="283">
        <v>0</v>
      </c>
      <c r="I6540" s="283">
        <v>1</v>
      </c>
      <c r="J6540" s="284">
        <v>0</v>
      </c>
    </row>
    <row r="6541" spans="3:10" x14ac:dyDescent="0.25">
      <c r="C6541" s="300" t="s">
        <v>1063</v>
      </c>
      <c r="D6541" s="283" t="s">
        <v>1079</v>
      </c>
      <c r="E6541" s="283" t="s">
        <v>1081</v>
      </c>
      <c r="F6541" s="283" t="s">
        <v>1075</v>
      </c>
      <c r="G6541" s="283">
        <v>2</v>
      </c>
      <c r="H6541" s="283">
        <v>0</v>
      </c>
      <c r="I6541" s="283">
        <v>0</v>
      </c>
      <c r="J6541" s="284">
        <v>2</v>
      </c>
    </row>
    <row r="6542" spans="3:10" x14ac:dyDescent="0.25">
      <c r="C6542" s="300" t="s">
        <v>1062</v>
      </c>
      <c r="D6542" s="283" t="s">
        <v>1077</v>
      </c>
      <c r="E6542" s="283" t="s">
        <v>1080</v>
      </c>
      <c r="F6542" s="283" t="s">
        <v>1076</v>
      </c>
      <c r="G6542" s="283">
        <v>3</v>
      </c>
      <c r="H6542" s="283">
        <v>0</v>
      </c>
      <c r="I6542" s="283">
        <v>0</v>
      </c>
      <c r="J6542" s="284">
        <v>1</v>
      </c>
    </row>
    <row r="6543" spans="3:10" x14ac:dyDescent="0.25">
      <c r="C6543" s="300" t="s">
        <v>1060</v>
      </c>
      <c r="D6543" s="283" t="s">
        <v>1077</v>
      </c>
      <c r="E6543" s="283" t="s">
        <v>1075</v>
      </c>
      <c r="F6543" s="283" t="s">
        <v>1075</v>
      </c>
      <c r="G6543" s="283">
        <v>2</v>
      </c>
      <c r="H6543" s="283">
        <v>0</v>
      </c>
      <c r="I6543" s="283">
        <v>0</v>
      </c>
      <c r="J6543" s="284">
        <v>0</v>
      </c>
    </row>
    <row r="6544" spans="3:10" x14ac:dyDescent="0.25">
      <c r="C6544" s="300" t="s">
        <v>1059</v>
      </c>
      <c r="D6544" s="283" t="s">
        <v>1087</v>
      </c>
      <c r="E6544" s="283" t="s">
        <v>1075</v>
      </c>
      <c r="F6544" s="283" t="s">
        <v>524</v>
      </c>
      <c r="G6544" s="283">
        <v>1</v>
      </c>
      <c r="H6544" s="283">
        <v>0</v>
      </c>
      <c r="I6544" s="283">
        <v>0</v>
      </c>
      <c r="J6544" s="284">
        <v>1</v>
      </c>
    </row>
    <row r="6545" spans="3:10" x14ac:dyDescent="0.25">
      <c r="C6545" s="300" t="s">
        <v>1067</v>
      </c>
      <c r="D6545" s="283" t="s">
        <v>1079</v>
      </c>
      <c r="E6545" s="283" t="s">
        <v>1075</v>
      </c>
      <c r="F6545" s="283" t="s">
        <v>1044</v>
      </c>
      <c r="G6545" s="283">
        <v>2</v>
      </c>
      <c r="H6545" s="283">
        <v>0</v>
      </c>
      <c r="I6545" s="283">
        <v>0</v>
      </c>
      <c r="J6545" s="284">
        <v>0</v>
      </c>
    </row>
    <row r="6546" spans="3:10" x14ac:dyDescent="0.25">
      <c r="C6546" s="300" t="s">
        <v>1061</v>
      </c>
      <c r="D6546" s="283" t="s">
        <v>1079</v>
      </c>
      <c r="E6546" s="283" t="s">
        <v>1076</v>
      </c>
      <c r="F6546" s="283" t="s">
        <v>1044</v>
      </c>
      <c r="G6546" s="283">
        <v>2</v>
      </c>
      <c r="H6546" s="283">
        <v>0</v>
      </c>
      <c r="I6546" s="283">
        <v>0</v>
      </c>
      <c r="J6546" s="284">
        <v>0</v>
      </c>
    </row>
    <row r="6547" spans="3:10" x14ac:dyDescent="0.25">
      <c r="C6547" s="300" t="s">
        <v>1065</v>
      </c>
      <c r="D6547" s="283" t="s">
        <v>1082</v>
      </c>
      <c r="E6547" s="283" t="s">
        <v>1080</v>
      </c>
      <c r="F6547" s="283" t="s">
        <v>1076</v>
      </c>
      <c r="G6547" s="283">
        <v>2</v>
      </c>
      <c r="H6547" s="283">
        <v>0</v>
      </c>
      <c r="I6547" s="283">
        <v>0</v>
      </c>
      <c r="J6547" s="284">
        <v>1</v>
      </c>
    </row>
    <row r="6548" spans="3:10" x14ac:dyDescent="0.25">
      <c r="C6548" s="300" t="s">
        <v>1065</v>
      </c>
      <c r="D6548" s="283" t="s">
        <v>1079</v>
      </c>
      <c r="E6548" s="283" t="s">
        <v>1089</v>
      </c>
      <c r="F6548" s="283" t="s">
        <v>1075</v>
      </c>
      <c r="G6548" s="283">
        <v>3</v>
      </c>
      <c r="H6548" s="283">
        <v>0</v>
      </c>
      <c r="I6548" s="283">
        <v>0</v>
      </c>
      <c r="J6548" s="284">
        <v>0</v>
      </c>
    </row>
    <row r="6549" spans="3:10" x14ac:dyDescent="0.25">
      <c r="C6549" s="300" t="s">
        <v>1063</v>
      </c>
      <c r="D6549" s="283" t="s">
        <v>1077</v>
      </c>
      <c r="E6549" s="283" t="s">
        <v>1083</v>
      </c>
      <c r="F6549" s="283" t="s">
        <v>1075</v>
      </c>
      <c r="G6549" s="283">
        <v>2</v>
      </c>
      <c r="H6549" s="283">
        <v>0</v>
      </c>
      <c r="I6549" s="283">
        <v>0</v>
      </c>
      <c r="J6549" s="284">
        <v>1</v>
      </c>
    </row>
    <row r="6550" spans="3:10" x14ac:dyDescent="0.25">
      <c r="C6550" s="300" t="s">
        <v>1059</v>
      </c>
      <c r="D6550" s="283" t="s">
        <v>1082</v>
      </c>
      <c r="E6550" s="283" t="s">
        <v>1075</v>
      </c>
      <c r="F6550" s="283" t="s">
        <v>1088</v>
      </c>
      <c r="G6550" s="283">
        <v>2</v>
      </c>
      <c r="H6550" s="283">
        <v>0</v>
      </c>
      <c r="I6550" s="283">
        <v>1</v>
      </c>
      <c r="J6550" s="284">
        <v>0</v>
      </c>
    </row>
    <row r="6551" spans="3:10" x14ac:dyDescent="0.25">
      <c r="C6551" s="300" t="s">
        <v>1068</v>
      </c>
      <c r="D6551" s="283" t="s">
        <v>1090</v>
      </c>
      <c r="E6551" s="283" t="s">
        <v>1075</v>
      </c>
      <c r="F6551" s="283" t="s">
        <v>524</v>
      </c>
      <c r="G6551" s="283">
        <v>1</v>
      </c>
      <c r="H6551" s="283">
        <v>0</v>
      </c>
      <c r="I6551" s="283">
        <v>0</v>
      </c>
      <c r="J6551" s="284">
        <v>0</v>
      </c>
    </row>
    <row r="6552" spans="3:10" x14ac:dyDescent="0.25">
      <c r="C6552" s="300" t="s">
        <v>1060</v>
      </c>
      <c r="D6552" s="283" t="s">
        <v>1079</v>
      </c>
      <c r="E6552" s="283" t="s">
        <v>1083</v>
      </c>
      <c r="F6552" s="283" t="s">
        <v>1075</v>
      </c>
      <c r="G6552" s="283">
        <v>2</v>
      </c>
      <c r="H6552" s="283">
        <v>0</v>
      </c>
      <c r="I6552" s="283">
        <v>1</v>
      </c>
      <c r="J6552" s="284">
        <v>0</v>
      </c>
    </row>
    <row r="6553" spans="3:10" x14ac:dyDescent="0.25">
      <c r="C6553" s="300" t="s">
        <v>1065</v>
      </c>
      <c r="D6553" s="283" t="s">
        <v>1082</v>
      </c>
      <c r="E6553" s="283" t="s">
        <v>1089</v>
      </c>
      <c r="F6553" s="283" t="s">
        <v>1075</v>
      </c>
      <c r="G6553" s="283">
        <v>2</v>
      </c>
      <c r="H6553" s="283">
        <v>0</v>
      </c>
      <c r="I6553" s="283">
        <v>0</v>
      </c>
      <c r="J6553" s="284">
        <v>1</v>
      </c>
    </row>
    <row r="6554" spans="3:10" x14ac:dyDescent="0.25">
      <c r="C6554" s="300" t="s">
        <v>1063</v>
      </c>
      <c r="D6554" s="283" t="s">
        <v>1079</v>
      </c>
      <c r="E6554" s="283" t="s">
        <v>1075</v>
      </c>
      <c r="F6554" s="283" t="s">
        <v>1075</v>
      </c>
      <c r="G6554" s="283">
        <v>3</v>
      </c>
      <c r="H6554" s="283">
        <v>0</v>
      </c>
      <c r="I6554" s="283">
        <v>0</v>
      </c>
      <c r="J6554" s="284">
        <v>1</v>
      </c>
    </row>
    <row r="6555" spans="3:10" x14ac:dyDescent="0.25">
      <c r="C6555" s="300" t="s">
        <v>1063</v>
      </c>
      <c r="D6555" s="283" t="s">
        <v>1074</v>
      </c>
      <c r="E6555" s="283" t="s">
        <v>1078</v>
      </c>
      <c r="F6555" s="283" t="s">
        <v>1044</v>
      </c>
      <c r="G6555" s="283">
        <v>2</v>
      </c>
      <c r="H6555" s="283">
        <v>0</v>
      </c>
      <c r="I6555" s="283">
        <v>0</v>
      </c>
      <c r="J6555" s="284">
        <v>1</v>
      </c>
    </row>
    <row r="6556" spans="3:10" x14ac:dyDescent="0.25">
      <c r="C6556" s="300" t="s">
        <v>1068</v>
      </c>
      <c r="D6556" s="283" t="s">
        <v>1043</v>
      </c>
      <c r="E6556" s="283" t="s">
        <v>1075</v>
      </c>
      <c r="F6556" s="283" t="s">
        <v>1092</v>
      </c>
      <c r="G6556" s="283">
        <v>2</v>
      </c>
      <c r="H6556" s="283">
        <v>0</v>
      </c>
      <c r="I6556" s="283">
        <v>1</v>
      </c>
      <c r="J6556" s="284">
        <v>0</v>
      </c>
    </row>
    <row r="6557" spans="3:10" x14ac:dyDescent="0.25">
      <c r="C6557" s="300" t="s">
        <v>1065</v>
      </c>
      <c r="D6557" s="283" t="s">
        <v>1074</v>
      </c>
      <c r="E6557" s="283" t="s">
        <v>1044</v>
      </c>
      <c r="F6557" s="283" t="s">
        <v>1075</v>
      </c>
      <c r="G6557" s="283">
        <v>2</v>
      </c>
      <c r="H6557" s="283">
        <v>0</v>
      </c>
      <c r="I6557" s="283">
        <v>1</v>
      </c>
      <c r="J6557" s="284">
        <v>1</v>
      </c>
    </row>
    <row r="6558" spans="3:10" x14ac:dyDescent="0.25">
      <c r="C6558" s="300" t="s">
        <v>1065</v>
      </c>
      <c r="D6558" s="283" t="s">
        <v>1043</v>
      </c>
      <c r="E6558" s="283" t="s">
        <v>1075</v>
      </c>
      <c r="F6558" s="283" t="s">
        <v>1092</v>
      </c>
      <c r="G6558" s="283">
        <v>2</v>
      </c>
      <c r="H6558" s="283">
        <v>0</v>
      </c>
      <c r="I6558" s="283">
        <v>1</v>
      </c>
      <c r="J6558" s="284">
        <v>0</v>
      </c>
    </row>
    <row r="6559" spans="3:10" x14ac:dyDescent="0.25">
      <c r="C6559" s="300" t="s">
        <v>1063</v>
      </c>
      <c r="D6559" s="283" t="s">
        <v>1082</v>
      </c>
      <c r="E6559" s="283" t="s">
        <v>1076</v>
      </c>
      <c r="F6559" s="283" t="s">
        <v>1076</v>
      </c>
      <c r="G6559" s="283">
        <v>2</v>
      </c>
      <c r="H6559" s="283">
        <v>0</v>
      </c>
      <c r="I6559" s="283">
        <v>0</v>
      </c>
      <c r="J6559" s="284">
        <v>0</v>
      </c>
    </row>
    <row r="6560" spans="3:10" x14ac:dyDescent="0.25">
      <c r="C6560" s="300" t="s">
        <v>1064</v>
      </c>
      <c r="D6560" s="283" t="s">
        <v>1074</v>
      </c>
      <c r="E6560" s="283" t="s">
        <v>1084</v>
      </c>
      <c r="F6560" s="283" t="s">
        <v>1075</v>
      </c>
      <c r="G6560" s="283">
        <v>2</v>
      </c>
      <c r="H6560" s="283">
        <v>0</v>
      </c>
      <c r="I6560" s="283">
        <v>0</v>
      </c>
      <c r="J6560" s="284">
        <v>1</v>
      </c>
    </row>
    <row r="6561" spans="3:10" x14ac:dyDescent="0.25">
      <c r="C6561" s="300" t="s">
        <v>1065</v>
      </c>
      <c r="D6561" s="283" t="s">
        <v>1077</v>
      </c>
      <c r="E6561" s="283" t="s">
        <v>1078</v>
      </c>
      <c r="F6561" s="283" t="s">
        <v>1075</v>
      </c>
      <c r="G6561" s="283">
        <v>2</v>
      </c>
      <c r="H6561" s="283">
        <v>0</v>
      </c>
      <c r="I6561" s="283">
        <v>0</v>
      </c>
      <c r="J6561" s="284">
        <v>0</v>
      </c>
    </row>
    <row r="6562" spans="3:10" x14ac:dyDescent="0.25">
      <c r="C6562" s="300" t="s">
        <v>1065</v>
      </c>
      <c r="D6562" s="283" t="s">
        <v>1077</v>
      </c>
      <c r="E6562" s="283" t="s">
        <v>1075</v>
      </c>
      <c r="F6562" s="283" t="s">
        <v>1083</v>
      </c>
      <c r="G6562" s="283">
        <v>2</v>
      </c>
      <c r="H6562" s="283">
        <v>0</v>
      </c>
      <c r="I6562" s="283">
        <v>0</v>
      </c>
      <c r="J6562" s="284">
        <v>1</v>
      </c>
    </row>
    <row r="6563" spans="3:10" x14ac:dyDescent="0.25">
      <c r="C6563" s="300" t="s">
        <v>1067</v>
      </c>
      <c r="D6563" s="283" t="s">
        <v>1077</v>
      </c>
      <c r="E6563" s="283" t="s">
        <v>1075</v>
      </c>
      <c r="F6563" s="283" t="s">
        <v>1083</v>
      </c>
      <c r="G6563" s="283">
        <v>2</v>
      </c>
      <c r="H6563" s="283">
        <v>0</v>
      </c>
      <c r="I6563" s="283">
        <v>0</v>
      </c>
      <c r="J6563" s="284">
        <v>1</v>
      </c>
    </row>
    <row r="6564" spans="3:10" x14ac:dyDescent="0.25">
      <c r="C6564" s="300" t="s">
        <v>1065</v>
      </c>
      <c r="D6564" s="283" t="s">
        <v>1077</v>
      </c>
      <c r="E6564" s="283" t="s">
        <v>1089</v>
      </c>
      <c r="F6564" s="283" t="s">
        <v>1075</v>
      </c>
      <c r="G6564" s="283">
        <v>3</v>
      </c>
      <c r="H6564" s="283">
        <v>0</v>
      </c>
      <c r="I6564" s="283">
        <v>0</v>
      </c>
      <c r="J6564" s="284">
        <v>0</v>
      </c>
    </row>
    <row r="6565" spans="3:10" x14ac:dyDescent="0.25">
      <c r="C6565" s="300" t="s">
        <v>1061</v>
      </c>
      <c r="D6565" s="283" t="s">
        <v>1079</v>
      </c>
      <c r="E6565" s="283" t="s">
        <v>1075</v>
      </c>
      <c r="F6565" s="283" t="s">
        <v>1075</v>
      </c>
      <c r="G6565" s="283">
        <v>2</v>
      </c>
      <c r="H6565" s="283">
        <v>0</v>
      </c>
      <c r="I6565" s="283">
        <v>0</v>
      </c>
      <c r="J6565" s="284">
        <v>0</v>
      </c>
    </row>
    <row r="6566" spans="3:10" x14ac:dyDescent="0.25">
      <c r="C6566" s="300" t="s">
        <v>1059</v>
      </c>
      <c r="D6566" s="283" t="s">
        <v>1087</v>
      </c>
      <c r="E6566" s="283" t="s">
        <v>1076</v>
      </c>
      <c r="F6566" s="283" t="s">
        <v>524</v>
      </c>
      <c r="G6566" s="283">
        <v>1</v>
      </c>
      <c r="H6566" s="283">
        <v>0</v>
      </c>
      <c r="I6566" s="283">
        <v>0</v>
      </c>
      <c r="J6566" s="284">
        <v>0</v>
      </c>
    </row>
    <row r="6567" spans="3:10" x14ac:dyDescent="0.25">
      <c r="C6567" s="300" t="s">
        <v>1063</v>
      </c>
      <c r="D6567" s="283" t="s">
        <v>1079</v>
      </c>
      <c r="E6567" s="283" t="s">
        <v>1081</v>
      </c>
      <c r="F6567" s="283" t="s">
        <v>1075</v>
      </c>
      <c r="G6567" s="283">
        <v>2</v>
      </c>
      <c r="H6567" s="283">
        <v>0</v>
      </c>
      <c r="I6567" s="283">
        <v>0</v>
      </c>
      <c r="J6567" s="284">
        <v>0</v>
      </c>
    </row>
    <row r="6568" spans="3:10" x14ac:dyDescent="0.25">
      <c r="C6568" s="300" t="s">
        <v>1060</v>
      </c>
      <c r="D6568" s="283" t="s">
        <v>1079</v>
      </c>
      <c r="E6568" s="283" t="s">
        <v>1075</v>
      </c>
      <c r="F6568" s="283" t="s">
        <v>1094</v>
      </c>
      <c r="G6568" s="283">
        <v>2</v>
      </c>
      <c r="H6568" s="283">
        <v>0</v>
      </c>
      <c r="I6568" s="283">
        <v>0</v>
      </c>
      <c r="J6568" s="284">
        <v>0</v>
      </c>
    </row>
    <row r="6569" spans="3:10" x14ac:dyDescent="0.25">
      <c r="C6569" s="300" t="s">
        <v>1060</v>
      </c>
      <c r="D6569" s="283" t="s">
        <v>1077</v>
      </c>
      <c r="E6569" s="283" t="s">
        <v>1076</v>
      </c>
      <c r="F6569" s="283" t="s">
        <v>1075</v>
      </c>
      <c r="G6569" s="283">
        <v>2</v>
      </c>
      <c r="H6569" s="283">
        <v>0</v>
      </c>
      <c r="I6569" s="283">
        <v>0</v>
      </c>
      <c r="J6569" s="284">
        <v>0</v>
      </c>
    </row>
    <row r="6570" spans="3:10" x14ac:dyDescent="0.25">
      <c r="C6570" s="300" t="s">
        <v>1065</v>
      </c>
      <c r="D6570" s="283" t="s">
        <v>1074</v>
      </c>
      <c r="E6570" s="283" t="s">
        <v>1076</v>
      </c>
      <c r="F6570" s="283" t="s">
        <v>1089</v>
      </c>
      <c r="G6570" s="283">
        <v>3</v>
      </c>
      <c r="H6570" s="283">
        <v>0</v>
      </c>
      <c r="I6570" s="283">
        <v>0</v>
      </c>
      <c r="J6570" s="284">
        <v>0</v>
      </c>
    </row>
    <row r="6571" spans="3:10" x14ac:dyDescent="0.25">
      <c r="C6571" s="300" t="s">
        <v>1062</v>
      </c>
      <c r="D6571" s="283" t="s">
        <v>1087</v>
      </c>
      <c r="E6571" s="283" t="s">
        <v>1075</v>
      </c>
      <c r="F6571" s="283" t="s">
        <v>524</v>
      </c>
      <c r="G6571" s="283">
        <v>1</v>
      </c>
      <c r="H6571" s="283">
        <v>0</v>
      </c>
      <c r="I6571" s="283">
        <v>1</v>
      </c>
      <c r="J6571" s="284">
        <v>0</v>
      </c>
    </row>
    <row r="6572" spans="3:10" x14ac:dyDescent="0.25">
      <c r="C6572" s="300" t="s">
        <v>1067</v>
      </c>
      <c r="D6572" s="283" t="s">
        <v>1079</v>
      </c>
      <c r="E6572" s="283" t="s">
        <v>1075</v>
      </c>
      <c r="F6572" s="283" t="s">
        <v>1076</v>
      </c>
      <c r="G6572" s="283">
        <v>2</v>
      </c>
      <c r="H6572" s="283">
        <v>0</v>
      </c>
      <c r="I6572" s="283">
        <v>0</v>
      </c>
      <c r="J6572" s="284">
        <v>0</v>
      </c>
    </row>
    <row r="6573" spans="3:10" x14ac:dyDescent="0.25">
      <c r="C6573" s="300" t="s">
        <v>1065</v>
      </c>
      <c r="D6573" s="283" t="s">
        <v>1077</v>
      </c>
      <c r="E6573" s="283" t="s">
        <v>1076</v>
      </c>
      <c r="F6573" s="283" t="s">
        <v>1084</v>
      </c>
      <c r="G6573" s="283">
        <v>3</v>
      </c>
      <c r="H6573" s="283">
        <v>0</v>
      </c>
      <c r="I6573" s="283">
        <v>0</v>
      </c>
      <c r="J6573" s="284">
        <v>0</v>
      </c>
    </row>
    <row r="6574" spans="3:10" x14ac:dyDescent="0.25">
      <c r="C6574" s="300" t="s">
        <v>1065</v>
      </c>
      <c r="D6574" s="283" t="s">
        <v>1079</v>
      </c>
      <c r="E6574" s="283" t="s">
        <v>1075</v>
      </c>
      <c r="F6574" s="283" t="s">
        <v>1111</v>
      </c>
      <c r="G6574" s="283">
        <v>2</v>
      </c>
      <c r="H6574" s="283">
        <v>0</v>
      </c>
      <c r="I6574" s="283">
        <v>1</v>
      </c>
      <c r="J6574" s="284">
        <v>0</v>
      </c>
    </row>
    <row r="6575" spans="3:10" x14ac:dyDescent="0.25">
      <c r="C6575" s="300" t="s">
        <v>1061</v>
      </c>
      <c r="D6575" s="283" t="s">
        <v>1077</v>
      </c>
      <c r="E6575" s="283" t="s">
        <v>1076</v>
      </c>
      <c r="F6575" s="283" t="s">
        <v>1075</v>
      </c>
      <c r="G6575" s="283">
        <v>2</v>
      </c>
      <c r="H6575" s="283">
        <v>0</v>
      </c>
      <c r="I6575" s="283">
        <v>0</v>
      </c>
      <c r="J6575" s="284">
        <v>0</v>
      </c>
    </row>
    <row r="6576" spans="3:10" x14ac:dyDescent="0.25">
      <c r="C6576" s="300" t="s">
        <v>1060</v>
      </c>
      <c r="D6576" s="283" t="s">
        <v>1074</v>
      </c>
      <c r="E6576" s="283" t="s">
        <v>1076</v>
      </c>
      <c r="F6576" s="283" t="s">
        <v>1094</v>
      </c>
      <c r="G6576" s="283">
        <v>2</v>
      </c>
      <c r="H6576" s="283">
        <v>0</v>
      </c>
      <c r="I6576" s="283">
        <v>0</v>
      </c>
      <c r="J6576" s="284">
        <v>0</v>
      </c>
    </row>
    <row r="6577" spans="3:10" x14ac:dyDescent="0.25">
      <c r="C6577" s="300" t="s">
        <v>1064</v>
      </c>
      <c r="D6577" s="283" t="s">
        <v>1074</v>
      </c>
      <c r="E6577" s="283" t="s">
        <v>1075</v>
      </c>
      <c r="F6577" s="283" t="s">
        <v>1089</v>
      </c>
      <c r="G6577" s="283">
        <v>2</v>
      </c>
      <c r="H6577" s="283">
        <v>0</v>
      </c>
      <c r="I6577" s="283">
        <v>0</v>
      </c>
      <c r="J6577" s="284">
        <v>0</v>
      </c>
    </row>
    <row r="6578" spans="3:10" x14ac:dyDescent="0.25">
      <c r="C6578" s="300" t="s">
        <v>1063</v>
      </c>
      <c r="D6578" s="283" t="s">
        <v>1074</v>
      </c>
      <c r="E6578" s="283" t="s">
        <v>1075</v>
      </c>
      <c r="F6578" s="283" t="s">
        <v>1085</v>
      </c>
      <c r="G6578" s="283">
        <v>2</v>
      </c>
      <c r="H6578" s="283">
        <v>0</v>
      </c>
      <c r="I6578" s="283">
        <v>0</v>
      </c>
      <c r="J6578" s="284">
        <v>0</v>
      </c>
    </row>
    <row r="6579" spans="3:10" x14ac:dyDescent="0.25">
      <c r="C6579" s="300" t="s">
        <v>1065</v>
      </c>
      <c r="D6579" s="283" t="s">
        <v>1079</v>
      </c>
      <c r="E6579" s="283" t="s">
        <v>1075</v>
      </c>
      <c r="F6579" s="283" t="s">
        <v>1075</v>
      </c>
      <c r="G6579" s="283">
        <v>2</v>
      </c>
      <c r="H6579" s="283">
        <v>0</v>
      </c>
      <c r="I6579" s="283">
        <v>0</v>
      </c>
      <c r="J6579" s="284">
        <v>0</v>
      </c>
    </row>
    <row r="6580" spans="3:10" x14ac:dyDescent="0.25">
      <c r="C6580" s="300" t="s">
        <v>1060</v>
      </c>
      <c r="D6580" s="283" t="s">
        <v>1077</v>
      </c>
      <c r="E6580" s="283" t="s">
        <v>1089</v>
      </c>
      <c r="F6580" s="283" t="s">
        <v>1075</v>
      </c>
      <c r="G6580" s="283">
        <v>2</v>
      </c>
      <c r="H6580" s="283">
        <v>0</v>
      </c>
      <c r="I6580" s="283">
        <v>0</v>
      </c>
      <c r="J6580" s="284">
        <v>0</v>
      </c>
    </row>
    <row r="6581" spans="3:10" x14ac:dyDescent="0.25">
      <c r="C6581" s="300" t="s">
        <v>1065</v>
      </c>
      <c r="D6581" s="283" t="s">
        <v>1077</v>
      </c>
      <c r="E6581" s="283" t="s">
        <v>1086</v>
      </c>
      <c r="F6581" s="283" t="s">
        <v>1075</v>
      </c>
      <c r="G6581" s="283">
        <v>2</v>
      </c>
      <c r="H6581" s="283">
        <v>0</v>
      </c>
      <c r="I6581" s="283">
        <v>0</v>
      </c>
      <c r="J6581" s="284">
        <v>0</v>
      </c>
    </row>
    <row r="6582" spans="3:10" x14ac:dyDescent="0.25">
      <c r="C6582" s="300" t="s">
        <v>1060</v>
      </c>
      <c r="D6582" s="283" t="s">
        <v>1077</v>
      </c>
      <c r="E6582" s="283" t="s">
        <v>1075</v>
      </c>
      <c r="F6582" s="283" t="s">
        <v>1075</v>
      </c>
      <c r="G6582" s="283">
        <v>2</v>
      </c>
      <c r="H6582" s="283">
        <v>0</v>
      </c>
      <c r="I6582" s="283">
        <v>0</v>
      </c>
      <c r="J6582" s="284">
        <v>0</v>
      </c>
    </row>
    <row r="6583" spans="3:10" x14ac:dyDescent="0.25">
      <c r="C6583" s="300" t="s">
        <v>1061</v>
      </c>
      <c r="D6583" s="283" t="s">
        <v>1074</v>
      </c>
      <c r="E6583" s="283" t="s">
        <v>1081</v>
      </c>
      <c r="F6583" s="283" t="s">
        <v>1089</v>
      </c>
      <c r="G6583" s="283">
        <v>2</v>
      </c>
      <c r="H6583" s="283">
        <v>0</v>
      </c>
      <c r="I6583" s="283">
        <v>0</v>
      </c>
      <c r="J6583" s="284">
        <v>0</v>
      </c>
    </row>
    <row r="6584" spans="3:10" x14ac:dyDescent="0.25">
      <c r="C6584" s="300" t="s">
        <v>1066</v>
      </c>
      <c r="D6584" s="283" t="s">
        <v>1077</v>
      </c>
      <c r="E6584" s="283" t="s">
        <v>1075</v>
      </c>
      <c r="F6584" s="283" t="s">
        <v>1075</v>
      </c>
      <c r="G6584" s="283">
        <v>2</v>
      </c>
      <c r="H6584" s="283">
        <v>0</v>
      </c>
      <c r="I6584" s="283">
        <v>0</v>
      </c>
      <c r="J6584" s="284">
        <v>0</v>
      </c>
    </row>
    <row r="6585" spans="3:10" x14ac:dyDescent="0.25">
      <c r="C6585" s="300" t="s">
        <v>1064</v>
      </c>
      <c r="D6585" s="283" t="s">
        <v>1079</v>
      </c>
      <c r="E6585" s="283" t="s">
        <v>1075</v>
      </c>
      <c r="F6585" s="283" t="s">
        <v>1075</v>
      </c>
      <c r="G6585" s="283">
        <v>2</v>
      </c>
      <c r="H6585" s="283">
        <v>0</v>
      </c>
      <c r="I6585" s="283">
        <v>0</v>
      </c>
      <c r="J6585" s="284">
        <v>0</v>
      </c>
    </row>
    <row r="6586" spans="3:10" x14ac:dyDescent="0.25">
      <c r="C6586" s="300" t="s">
        <v>1064</v>
      </c>
      <c r="D6586" s="283" t="s">
        <v>1079</v>
      </c>
      <c r="E6586" s="283" t="s">
        <v>1075</v>
      </c>
      <c r="F6586" s="283" t="s">
        <v>1089</v>
      </c>
      <c r="G6586" s="283">
        <v>2</v>
      </c>
      <c r="H6586" s="283">
        <v>0</v>
      </c>
      <c r="I6586" s="283">
        <v>0</v>
      </c>
      <c r="J6586" s="284">
        <v>0</v>
      </c>
    </row>
    <row r="6587" spans="3:10" x14ac:dyDescent="0.25">
      <c r="C6587" s="300" t="s">
        <v>1066</v>
      </c>
      <c r="D6587" s="283" t="s">
        <v>1077</v>
      </c>
      <c r="E6587" s="283" t="s">
        <v>1076</v>
      </c>
      <c r="F6587" s="283" t="s">
        <v>1089</v>
      </c>
      <c r="G6587" s="283">
        <v>3</v>
      </c>
      <c r="H6587" s="283">
        <v>0</v>
      </c>
      <c r="I6587" s="283">
        <v>0</v>
      </c>
      <c r="J6587" s="284">
        <v>0</v>
      </c>
    </row>
    <row r="6588" spans="3:10" x14ac:dyDescent="0.25">
      <c r="C6588" s="300" t="s">
        <v>1062</v>
      </c>
      <c r="D6588" s="283" t="s">
        <v>1079</v>
      </c>
      <c r="E6588" s="283" t="s">
        <v>1089</v>
      </c>
      <c r="F6588" s="283" t="s">
        <v>1078</v>
      </c>
      <c r="G6588" s="283">
        <v>2</v>
      </c>
      <c r="H6588" s="283">
        <v>0</v>
      </c>
      <c r="I6588" s="283">
        <v>0</v>
      </c>
      <c r="J6588" s="284">
        <v>0</v>
      </c>
    </row>
    <row r="6589" spans="3:10" x14ac:dyDescent="0.25">
      <c r="C6589" s="300" t="s">
        <v>1064</v>
      </c>
      <c r="D6589" s="283" t="s">
        <v>1043</v>
      </c>
      <c r="E6589" s="283" t="s">
        <v>1075</v>
      </c>
      <c r="F6589" s="283" t="s">
        <v>1092</v>
      </c>
      <c r="G6589" s="283">
        <v>2</v>
      </c>
      <c r="H6589" s="283">
        <v>0</v>
      </c>
      <c r="I6589" s="283">
        <v>1</v>
      </c>
      <c r="J6589" s="284">
        <v>0</v>
      </c>
    </row>
    <row r="6590" spans="3:10" x14ac:dyDescent="0.25">
      <c r="C6590" s="300" t="s">
        <v>1065</v>
      </c>
      <c r="D6590" s="283" t="s">
        <v>1077</v>
      </c>
      <c r="E6590" s="283" t="s">
        <v>1075</v>
      </c>
      <c r="F6590" s="283" t="s">
        <v>1084</v>
      </c>
      <c r="G6590" s="283">
        <v>2</v>
      </c>
      <c r="H6590" s="283">
        <v>0</v>
      </c>
      <c r="I6590" s="283">
        <v>0</v>
      </c>
      <c r="J6590" s="284">
        <v>0</v>
      </c>
    </row>
    <row r="6591" spans="3:10" x14ac:dyDescent="0.25">
      <c r="C6591" s="300" t="s">
        <v>1066</v>
      </c>
      <c r="D6591" s="283" t="s">
        <v>1079</v>
      </c>
      <c r="E6591" s="283" t="s">
        <v>1080</v>
      </c>
      <c r="F6591" s="283" t="s">
        <v>1075</v>
      </c>
      <c r="G6591" s="283">
        <v>2</v>
      </c>
      <c r="H6591" s="283">
        <v>0</v>
      </c>
      <c r="I6591" s="283">
        <v>1</v>
      </c>
      <c r="J6591" s="284">
        <v>0</v>
      </c>
    </row>
    <row r="6592" spans="3:10" x14ac:dyDescent="0.25">
      <c r="C6592" s="300" t="s">
        <v>1065</v>
      </c>
      <c r="D6592" s="283" t="s">
        <v>1079</v>
      </c>
      <c r="E6592" s="283" t="s">
        <v>1083</v>
      </c>
      <c r="F6592" s="283" t="s">
        <v>1075</v>
      </c>
      <c r="G6592" s="283">
        <v>2</v>
      </c>
      <c r="H6592" s="283">
        <v>0</v>
      </c>
      <c r="I6592" s="283">
        <v>0</v>
      </c>
      <c r="J6592" s="284">
        <v>0</v>
      </c>
    </row>
    <row r="6593" spans="3:10" x14ac:dyDescent="0.25">
      <c r="C6593" s="300" t="s">
        <v>1065</v>
      </c>
      <c r="D6593" s="283" t="s">
        <v>1077</v>
      </c>
      <c r="E6593" s="283" t="s">
        <v>1075</v>
      </c>
      <c r="F6593" s="283" t="s">
        <v>1075</v>
      </c>
      <c r="G6593" s="283">
        <v>3</v>
      </c>
      <c r="H6593" s="283">
        <v>0</v>
      </c>
      <c r="I6593" s="283">
        <v>0</v>
      </c>
      <c r="J6593" s="284">
        <v>1</v>
      </c>
    </row>
    <row r="6594" spans="3:10" x14ac:dyDescent="0.25">
      <c r="C6594" s="300" t="s">
        <v>1061</v>
      </c>
      <c r="D6594" s="283" t="s">
        <v>1077</v>
      </c>
      <c r="E6594" s="283" t="s">
        <v>1089</v>
      </c>
      <c r="F6594" s="283" t="s">
        <v>1078</v>
      </c>
      <c r="G6594" s="283">
        <v>2</v>
      </c>
      <c r="H6594" s="283">
        <v>0</v>
      </c>
      <c r="I6594" s="283">
        <v>0</v>
      </c>
      <c r="J6594" s="284">
        <v>0</v>
      </c>
    </row>
    <row r="6595" spans="3:10" x14ac:dyDescent="0.25">
      <c r="C6595" s="300" t="s">
        <v>1068</v>
      </c>
      <c r="D6595" s="283" t="s">
        <v>1074</v>
      </c>
      <c r="E6595" s="283" t="s">
        <v>1076</v>
      </c>
      <c r="F6595" s="283" t="s">
        <v>1075</v>
      </c>
      <c r="G6595" s="283">
        <v>2</v>
      </c>
      <c r="H6595" s="283">
        <v>0</v>
      </c>
      <c r="I6595" s="283">
        <v>0</v>
      </c>
      <c r="J6595" s="284">
        <v>0</v>
      </c>
    </row>
    <row r="6596" spans="3:10" x14ac:dyDescent="0.25">
      <c r="C6596" s="300" t="s">
        <v>1061</v>
      </c>
      <c r="D6596" s="283" t="s">
        <v>1043</v>
      </c>
      <c r="E6596" s="283" t="s">
        <v>1075</v>
      </c>
      <c r="F6596" s="283" t="s">
        <v>1092</v>
      </c>
      <c r="G6596" s="283">
        <v>2</v>
      </c>
      <c r="H6596" s="283">
        <v>0</v>
      </c>
      <c r="I6596" s="283">
        <v>0</v>
      </c>
      <c r="J6596" s="284">
        <v>0</v>
      </c>
    </row>
    <row r="6597" spans="3:10" x14ac:dyDescent="0.25">
      <c r="C6597" s="300" t="s">
        <v>1062</v>
      </c>
      <c r="D6597" s="283" t="s">
        <v>1074</v>
      </c>
      <c r="E6597" s="283" t="s">
        <v>1089</v>
      </c>
      <c r="F6597" s="283" t="s">
        <v>1075</v>
      </c>
      <c r="G6597" s="283">
        <v>2</v>
      </c>
      <c r="H6597" s="283">
        <v>0</v>
      </c>
      <c r="I6597" s="283">
        <v>0</v>
      </c>
      <c r="J6597" s="284">
        <v>0</v>
      </c>
    </row>
    <row r="6598" spans="3:10" x14ac:dyDescent="0.25">
      <c r="C6598" s="300" t="s">
        <v>1062</v>
      </c>
      <c r="D6598" s="283" t="s">
        <v>1077</v>
      </c>
      <c r="E6598" s="283" t="s">
        <v>1084</v>
      </c>
      <c r="F6598" s="283" t="s">
        <v>1084</v>
      </c>
      <c r="G6598" s="283">
        <v>2</v>
      </c>
      <c r="H6598" s="283">
        <v>0</v>
      </c>
      <c r="I6598" s="283">
        <v>0</v>
      </c>
      <c r="J6598" s="284">
        <v>0</v>
      </c>
    </row>
    <row r="6599" spans="3:10" x14ac:dyDescent="0.25">
      <c r="C6599" s="300" t="s">
        <v>1064</v>
      </c>
      <c r="D6599" s="283" t="s">
        <v>1077</v>
      </c>
      <c r="E6599" s="283" t="s">
        <v>1075</v>
      </c>
      <c r="F6599" s="283" t="s">
        <v>1076</v>
      </c>
      <c r="G6599" s="283">
        <v>2</v>
      </c>
      <c r="H6599" s="283">
        <v>0</v>
      </c>
      <c r="I6599" s="283">
        <v>0</v>
      </c>
      <c r="J6599" s="284">
        <v>1</v>
      </c>
    </row>
    <row r="6600" spans="3:10" x14ac:dyDescent="0.25">
      <c r="C6600" s="300" t="s">
        <v>1064</v>
      </c>
      <c r="D6600" s="283" t="s">
        <v>1077</v>
      </c>
      <c r="E6600" s="283" t="s">
        <v>1075</v>
      </c>
      <c r="F6600" s="283" t="s">
        <v>1076</v>
      </c>
      <c r="G6600" s="283">
        <v>4</v>
      </c>
      <c r="H6600" s="283">
        <v>0</v>
      </c>
      <c r="I6600" s="283">
        <v>0</v>
      </c>
      <c r="J6600" s="284">
        <v>0</v>
      </c>
    </row>
    <row r="6601" spans="3:10" x14ac:dyDescent="0.25">
      <c r="C6601" s="300" t="s">
        <v>1068</v>
      </c>
      <c r="D6601" s="283" t="s">
        <v>1074</v>
      </c>
      <c r="E6601" s="283" t="s">
        <v>1081</v>
      </c>
      <c r="F6601" s="283" t="s">
        <v>1089</v>
      </c>
      <c r="G6601" s="283">
        <v>2</v>
      </c>
      <c r="H6601" s="283">
        <v>0</v>
      </c>
      <c r="I6601" s="283">
        <v>0</v>
      </c>
      <c r="J6601" s="284">
        <v>0</v>
      </c>
    </row>
    <row r="6602" spans="3:10" x14ac:dyDescent="0.25">
      <c r="C6602" s="300" t="s">
        <v>1063</v>
      </c>
      <c r="D6602" s="283" t="s">
        <v>1074</v>
      </c>
      <c r="E6602" s="283" t="s">
        <v>1075</v>
      </c>
      <c r="F6602" s="283" t="s">
        <v>1076</v>
      </c>
      <c r="G6602" s="283">
        <v>2</v>
      </c>
      <c r="H6602" s="283">
        <v>0</v>
      </c>
      <c r="I6602" s="283">
        <v>0</v>
      </c>
      <c r="J6602" s="284">
        <v>0</v>
      </c>
    </row>
    <row r="6603" spans="3:10" x14ac:dyDescent="0.25">
      <c r="C6603" s="300" t="s">
        <v>1060</v>
      </c>
      <c r="D6603" s="283" t="s">
        <v>1087</v>
      </c>
      <c r="E6603" s="283" t="s">
        <v>1076</v>
      </c>
      <c r="F6603" s="283" t="s">
        <v>524</v>
      </c>
      <c r="G6603" s="283">
        <v>1</v>
      </c>
      <c r="H6603" s="283">
        <v>0</v>
      </c>
      <c r="I6603" s="283">
        <v>0</v>
      </c>
      <c r="J6603" s="284">
        <v>0</v>
      </c>
    </row>
    <row r="6604" spans="3:10" x14ac:dyDescent="0.25">
      <c r="C6604" s="300" t="s">
        <v>1061</v>
      </c>
      <c r="D6604" s="283" t="s">
        <v>1079</v>
      </c>
      <c r="E6604" s="283" t="s">
        <v>1080</v>
      </c>
      <c r="F6604" s="283" t="s">
        <v>1075</v>
      </c>
      <c r="G6604" s="283">
        <v>2</v>
      </c>
      <c r="H6604" s="283">
        <v>0</v>
      </c>
      <c r="I6604" s="283">
        <v>0</v>
      </c>
      <c r="J6604" s="284">
        <v>0</v>
      </c>
    </row>
    <row r="6605" spans="3:10" x14ac:dyDescent="0.25">
      <c r="C6605" s="300" t="s">
        <v>1065</v>
      </c>
      <c r="D6605" s="283" t="s">
        <v>1079</v>
      </c>
      <c r="E6605" s="283" t="s">
        <v>1076</v>
      </c>
      <c r="F6605" s="283" t="s">
        <v>1075</v>
      </c>
      <c r="G6605" s="283">
        <v>2</v>
      </c>
      <c r="H6605" s="283">
        <v>0</v>
      </c>
      <c r="I6605" s="283">
        <v>0</v>
      </c>
      <c r="J6605" s="284">
        <v>0</v>
      </c>
    </row>
    <row r="6606" spans="3:10" x14ac:dyDescent="0.25">
      <c r="C6606" s="300" t="s">
        <v>1063</v>
      </c>
      <c r="D6606" s="283" t="s">
        <v>1079</v>
      </c>
      <c r="E6606" s="283" t="s">
        <v>1075</v>
      </c>
      <c r="F6606" s="283" t="s">
        <v>1076</v>
      </c>
      <c r="G6606" s="283">
        <v>4</v>
      </c>
      <c r="H6606" s="283">
        <v>0</v>
      </c>
      <c r="I6606" s="283">
        <v>0</v>
      </c>
      <c r="J6606" s="284">
        <v>1</v>
      </c>
    </row>
    <row r="6607" spans="3:10" x14ac:dyDescent="0.25">
      <c r="C6607" s="300" t="s">
        <v>1063</v>
      </c>
      <c r="D6607" s="283" t="s">
        <v>1079</v>
      </c>
      <c r="E6607" s="283" t="s">
        <v>1080</v>
      </c>
      <c r="F6607" s="283" t="s">
        <v>1075</v>
      </c>
      <c r="G6607" s="283">
        <v>2</v>
      </c>
      <c r="H6607" s="283">
        <v>0</v>
      </c>
      <c r="I6607" s="283">
        <v>0</v>
      </c>
      <c r="J6607" s="284">
        <v>1</v>
      </c>
    </row>
    <row r="6608" spans="3:10" x14ac:dyDescent="0.25">
      <c r="C6608" s="300" t="s">
        <v>1063</v>
      </c>
      <c r="D6608" s="283" t="s">
        <v>1079</v>
      </c>
      <c r="E6608" s="283" t="s">
        <v>1075</v>
      </c>
      <c r="F6608" s="283" t="s">
        <v>1044</v>
      </c>
      <c r="G6608" s="283">
        <v>2</v>
      </c>
      <c r="H6608" s="283">
        <v>0</v>
      </c>
      <c r="I6608" s="283">
        <v>1</v>
      </c>
      <c r="J6608" s="284">
        <v>0</v>
      </c>
    </row>
    <row r="6609" spans="3:10" x14ac:dyDescent="0.25">
      <c r="C6609" s="300" t="s">
        <v>1066</v>
      </c>
      <c r="D6609" s="283" t="s">
        <v>1079</v>
      </c>
      <c r="E6609" s="283" t="s">
        <v>1075</v>
      </c>
      <c r="F6609" s="283" t="s">
        <v>1075</v>
      </c>
      <c r="G6609" s="283">
        <v>4</v>
      </c>
      <c r="H6609" s="283">
        <v>0</v>
      </c>
      <c r="I6609" s="283">
        <v>1</v>
      </c>
      <c r="J6609" s="284">
        <v>0</v>
      </c>
    </row>
    <row r="6610" spans="3:10" x14ac:dyDescent="0.25">
      <c r="C6610" s="300" t="s">
        <v>1060</v>
      </c>
      <c r="D6610" s="283" t="s">
        <v>1077</v>
      </c>
      <c r="E6610" s="283" t="s">
        <v>1075</v>
      </c>
      <c r="F6610" s="283" t="s">
        <v>1075</v>
      </c>
      <c r="G6610" s="283">
        <v>2</v>
      </c>
      <c r="H6610" s="283">
        <v>0</v>
      </c>
      <c r="I6610" s="283">
        <v>0</v>
      </c>
      <c r="J6610" s="284">
        <v>1</v>
      </c>
    </row>
    <row r="6611" spans="3:10" x14ac:dyDescent="0.25">
      <c r="C6611" s="300" t="s">
        <v>1065</v>
      </c>
      <c r="D6611" s="283" t="s">
        <v>1079</v>
      </c>
      <c r="E6611" s="283" t="s">
        <v>1078</v>
      </c>
      <c r="F6611" s="283" t="s">
        <v>1081</v>
      </c>
      <c r="G6611" s="283">
        <v>4</v>
      </c>
      <c r="H6611" s="283">
        <v>0</v>
      </c>
      <c r="I6611" s="283">
        <v>0</v>
      </c>
      <c r="J6611" s="284">
        <v>0</v>
      </c>
    </row>
    <row r="6612" spans="3:10" x14ac:dyDescent="0.25">
      <c r="C6612" s="300" t="s">
        <v>1059</v>
      </c>
      <c r="D6612" s="283" t="s">
        <v>1090</v>
      </c>
      <c r="E6612" s="283" t="s">
        <v>1083</v>
      </c>
      <c r="F6612" s="283" t="s">
        <v>524</v>
      </c>
      <c r="G6612" s="283">
        <v>1</v>
      </c>
      <c r="H6612" s="283">
        <v>0</v>
      </c>
      <c r="I6612" s="283">
        <v>0</v>
      </c>
      <c r="J6612" s="284">
        <v>1</v>
      </c>
    </row>
    <row r="6613" spans="3:10" x14ac:dyDescent="0.25">
      <c r="C6613" s="300" t="s">
        <v>1065</v>
      </c>
      <c r="D6613" s="283" t="s">
        <v>1077</v>
      </c>
      <c r="E6613" s="283" t="s">
        <v>1075</v>
      </c>
      <c r="F6613" s="283" t="s">
        <v>1089</v>
      </c>
      <c r="G6613" s="283">
        <v>2</v>
      </c>
      <c r="H6613" s="283">
        <v>0</v>
      </c>
      <c r="I6613" s="283">
        <v>0</v>
      </c>
      <c r="J6613" s="284">
        <v>1</v>
      </c>
    </row>
    <row r="6614" spans="3:10" x14ac:dyDescent="0.25">
      <c r="C6614" s="300" t="s">
        <v>1065</v>
      </c>
      <c r="D6614" s="283" t="s">
        <v>1074</v>
      </c>
      <c r="E6614" s="283" t="s">
        <v>1076</v>
      </c>
      <c r="F6614" s="283" t="s">
        <v>1076</v>
      </c>
      <c r="G6614" s="283">
        <v>2</v>
      </c>
      <c r="H6614" s="283">
        <v>0</v>
      </c>
      <c r="I6614" s="283">
        <v>1</v>
      </c>
      <c r="J6614" s="284">
        <v>0</v>
      </c>
    </row>
    <row r="6615" spans="3:10" x14ac:dyDescent="0.25">
      <c r="C6615" s="300" t="s">
        <v>1061</v>
      </c>
      <c r="D6615" s="283" t="s">
        <v>1077</v>
      </c>
      <c r="E6615" s="283" t="s">
        <v>1075</v>
      </c>
      <c r="F6615" s="283" t="s">
        <v>1078</v>
      </c>
      <c r="G6615" s="283">
        <v>2</v>
      </c>
      <c r="H6615" s="283">
        <v>0</v>
      </c>
      <c r="I6615" s="283">
        <v>0</v>
      </c>
      <c r="J6615" s="284">
        <v>2</v>
      </c>
    </row>
    <row r="6616" spans="3:10" x14ac:dyDescent="0.25">
      <c r="C6616" s="300" t="s">
        <v>1063</v>
      </c>
      <c r="D6616" s="283" t="s">
        <v>1043</v>
      </c>
      <c r="E6616" s="283" t="s">
        <v>1078</v>
      </c>
      <c r="F6616" s="283" t="s">
        <v>1092</v>
      </c>
      <c r="G6616" s="283">
        <v>2</v>
      </c>
      <c r="H6616" s="283">
        <v>0</v>
      </c>
      <c r="I6616" s="283">
        <v>0</v>
      </c>
      <c r="J6616" s="284">
        <v>1</v>
      </c>
    </row>
    <row r="6617" spans="3:10" x14ac:dyDescent="0.25">
      <c r="C6617" s="300" t="s">
        <v>1066</v>
      </c>
      <c r="D6617" s="283" t="s">
        <v>1043</v>
      </c>
      <c r="E6617" s="283" t="s">
        <v>1075</v>
      </c>
      <c r="F6617" s="283" t="s">
        <v>1092</v>
      </c>
      <c r="G6617" s="283">
        <v>2</v>
      </c>
      <c r="H6617" s="283">
        <v>0</v>
      </c>
      <c r="I6617" s="283">
        <v>1</v>
      </c>
      <c r="J6617" s="284">
        <v>0</v>
      </c>
    </row>
    <row r="6618" spans="3:10" x14ac:dyDescent="0.25">
      <c r="C6618" s="300" t="s">
        <v>1060</v>
      </c>
      <c r="D6618" s="283" t="s">
        <v>1077</v>
      </c>
      <c r="E6618" s="283" t="s">
        <v>1076</v>
      </c>
      <c r="F6618" s="283" t="s">
        <v>1075</v>
      </c>
      <c r="G6618" s="283">
        <v>2</v>
      </c>
      <c r="H6618" s="283">
        <v>0</v>
      </c>
      <c r="I6618" s="283">
        <v>0</v>
      </c>
      <c r="J6618" s="284">
        <v>0</v>
      </c>
    </row>
    <row r="6619" spans="3:10" x14ac:dyDescent="0.25">
      <c r="C6619" s="300" t="s">
        <v>1065</v>
      </c>
      <c r="D6619" s="283" t="s">
        <v>1043</v>
      </c>
      <c r="E6619" s="283" t="s">
        <v>1075</v>
      </c>
      <c r="F6619" s="283" t="s">
        <v>1092</v>
      </c>
      <c r="G6619" s="283">
        <v>2</v>
      </c>
      <c r="H6619" s="283">
        <v>0</v>
      </c>
      <c r="I6619" s="283">
        <v>1</v>
      </c>
      <c r="J6619" s="284">
        <v>0</v>
      </c>
    </row>
    <row r="6620" spans="3:10" x14ac:dyDescent="0.25">
      <c r="C6620" s="300" t="s">
        <v>1068</v>
      </c>
      <c r="D6620" s="283" t="s">
        <v>1082</v>
      </c>
      <c r="E6620" s="283" t="s">
        <v>1081</v>
      </c>
      <c r="F6620" s="283" t="s">
        <v>1084</v>
      </c>
      <c r="G6620" s="283">
        <v>2</v>
      </c>
      <c r="H6620" s="283">
        <v>0</v>
      </c>
      <c r="I6620" s="283">
        <v>0</v>
      </c>
      <c r="J6620" s="284">
        <v>1</v>
      </c>
    </row>
    <row r="6621" spans="3:10" x14ac:dyDescent="0.25">
      <c r="C6621" s="300" t="s">
        <v>1066</v>
      </c>
      <c r="D6621" s="283" t="s">
        <v>1074</v>
      </c>
      <c r="E6621" s="283" t="s">
        <v>1075</v>
      </c>
      <c r="F6621" s="283" t="s">
        <v>1044</v>
      </c>
      <c r="G6621" s="283">
        <v>2</v>
      </c>
      <c r="H6621" s="283">
        <v>0</v>
      </c>
      <c r="I6621" s="283">
        <v>1</v>
      </c>
      <c r="J6621" s="284">
        <v>0</v>
      </c>
    </row>
    <row r="6622" spans="3:10" x14ac:dyDescent="0.25">
      <c r="C6622" s="300" t="s">
        <v>1064</v>
      </c>
      <c r="D6622" s="283" t="s">
        <v>1077</v>
      </c>
      <c r="E6622" s="283" t="s">
        <v>1076</v>
      </c>
      <c r="F6622" s="283" t="s">
        <v>1075</v>
      </c>
      <c r="G6622" s="283">
        <v>2</v>
      </c>
      <c r="H6622" s="283">
        <v>0</v>
      </c>
      <c r="I6622" s="283">
        <v>0</v>
      </c>
      <c r="J6622" s="284">
        <v>0</v>
      </c>
    </row>
    <row r="6623" spans="3:10" x14ac:dyDescent="0.25">
      <c r="C6623" s="300" t="s">
        <v>1067</v>
      </c>
      <c r="D6623" s="283" t="s">
        <v>1079</v>
      </c>
      <c r="E6623" s="283" t="s">
        <v>1089</v>
      </c>
      <c r="F6623" s="283" t="s">
        <v>1044</v>
      </c>
      <c r="G6623" s="283">
        <v>2</v>
      </c>
      <c r="H6623" s="283">
        <v>0</v>
      </c>
      <c r="I6623" s="283">
        <v>0</v>
      </c>
      <c r="J6623" s="284">
        <v>0</v>
      </c>
    </row>
    <row r="6624" spans="3:10" x14ac:dyDescent="0.25">
      <c r="C6624" s="300" t="s">
        <v>1067</v>
      </c>
      <c r="D6624" s="283" t="s">
        <v>1043</v>
      </c>
      <c r="E6624" s="283" t="s">
        <v>1075</v>
      </c>
      <c r="F6624" s="283" t="s">
        <v>1092</v>
      </c>
      <c r="G6624" s="283">
        <v>2</v>
      </c>
      <c r="H6624" s="283">
        <v>0</v>
      </c>
      <c r="I6624" s="283">
        <v>1</v>
      </c>
      <c r="J6624" s="284">
        <v>0</v>
      </c>
    </row>
    <row r="6625" spans="3:10" x14ac:dyDescent="0.25">
      <c r="C6625" s="300" t="s">
        <v>1065</v>
      </c>
      <c r="D6625" s="283" t="s">
        <v>1074</v>
      </c>
      <c r="E6625" s="283" t="s">
        <v>1076</v>
      </c>
      <c r="F6625" s="283" t="s">
        <v>1075</v>
      </c>
      <c r="G6625" s="283">
        <v>2</v>
      </c>
      <c r="H6625" s="283">
        <v>0</v>
      </c>
      <c r="I6625" s="283">
        <v>0</v>
      </c>
      <c r="J6625" s="284">
        <v>0</v>
      </c>
    </row>
    <row r="6626" spans="3:10" x14ac:dyDescent="0.25">
      <c r="C6626" s="300" t="s">
        <v>1061</v>
      </c>
      <c r="D6626" s="283" t="s">
        <v>1074</v>
      </c>
      <c r="E6626" s="283" t="s">
        <v>1089</v>
      </c>
      <c r="F6626" s="283" t="s">
        <v>1076</v>
      </c>
      <c r="G6626" s="283">
        <v>2</v>
      </c>
      <c r="H6626" s="283">
        <v>0</v>
      </c>
      <c r="I6626" s="283">
        <v>0</v>
      </c>
      <c r="J6626" s="284">
        <v>0</v>
      </c>
    </row>
    <row r="6627" spans="3:10" x14ac:dyDescent="0.25">
      <c r="C6627" s="300" t="s">
        <v>1063</v>
      </c>
      <c r="D6627" s="283" t="s">
        <v>1077</v>
      </c>
      <c r="E6627" s="283" t="s">
        <v>1075</v>
      </c>
      <c r="F6627" s="283" t="s">
        <v>1075</v>
      </c>
      <c r="G6627" s="283">
        <v>2</v>
      </c>
      <c r="H6627" s="283">
        <v>0</v>
      </c>
      <c r="I6627" s="283">
        <v>0</v>
      </c>
      <c r="J6627" s="284">
        <v>0</v>
      </c>
    </row>
    <row r="6628" spans="3:10" x14ac:dyDescent="0.25">
      <c r="C6628" s="300" t="s">
        <v>1059</v>
      </c>
      <c r="D6628" s="283" t="s">
        <v>1074</v>
      </c>
      <c r="E6628" s="283" t="s">
        <v>1089</v>
      </c>
      <c r="F6628" s="283" t="s">
        <v>1089</v>
      </c>
      <c r="G6628" s="283">
        <v>2</v>
      </c>
      <c r="H6628" s="283">
        <v>0</v>
      </c>
      <c r="I6628" s="283">
        <v>0</v>
      </c>
      <c r="J6628" s="284">
        <v>1</v>
      </c>
    </row>
    <row r="6629" spans="3:10" x14ac:dyDescent="0.25">
      <c r="C6629" s="300" t="s">
        <v>1060</v>
      </c>
      <c r="D6629" s="283" t="s">
        <v>1079</v>
      </c>
      <c r="E6629" s="283" t="s">
        <v>1075</v>
      </c>
      <c r="F6629" s="283" t="s">
        <v>1094</v>
      </c>
      <c r="G6629" s="283">
        <v>2</v>
      </c>
      <c r="H6629" s="283">
        <v>0</v>
      </c>
      <c r="I6629" s="283">
        <v>0</v>
      </c>
      <c r="J6629" s="284">
        <v>0</v>
      </c>
    </row>
    <row r="6630" spans="3:10" x14ac:dyDescent="0.25">
      <c r="C6630" s="300" t="s">
        <v>1067</v>
      </c>
      <c r="D6630" s="283" t="s">
        <v>1090</v>
      </c>
      <c r="E6630" s="283" t="s">
        <v>1075</v>
      </c>
      <c r="F6630" s="283" t="s">
        <v>524</v>
      </c>
      <c r="G6630" s="283">
        <v>1</v>
      </c>
      <c r="H6630" s="283">
        <v>0</v>
      </c>
      <c r="I6630" s="283">
        <v>0</v>
      </c>
      <c r="J6630" s="284">
        <v>0</v>
      </c>
    </row>
    <row r="6631" spans="3:10" x14ac:dyDescent="0.25">
      <c r="C6631" s="300" t="s">
        <v>1066</v>
      </c>
      <c r="D6631" s="283" t="s">
        <v>1079</v>
      </c>
      <c r="E6631" s="283" t="s">
        <v>1086</v>
      </c>
      <c r="F6631" s="283" t="s">
        <v>1083</v>
      </c>
      <c r="G6631" s="283">
        <v>2</v>
      </c>
      <c r="H6631" s="283">
        <v>0</v>
      </c>
      <c r="I6631" s="283">
        <v>1</v>
      </c>
      <c r="J6631" s="284">
        <v>0</v>
      </c>
    </row>
    <row r="6632" spans="3:10" x14ac:dyDescent="0.25">
      <c r="C6632" s="300" t="s">
        <v>1065</v>
      </c>
      <c r="D6632" s="283" t="s">
        <v>1077</v>
      </c>
      <c r="E6632" s="283" t="s">
        <v>1075</v>
      </c>
      <c r="F6632" s="283" t="s">
        <v>1076</v>
      </c>
      <c r="G6632" s="283">
        <v>2</v>
      </c>
      <c r="H6632" s="283">
        <v>0</v>
      </c>
      <c r="I6632" s="283">
        <v>1</v>
      </c>
      <c r="J6632" s="284">
        <v>0</v>
      </c>
    </row>
    <row r="6633" spans="3:10" x14ac:dyDescent="0.25">
      <c r="C6633" s="300" t="s">
        <v>1066</v>
      </c>
      <c r="D6633" s="283" t="s">
        <v>1077</v>
      </c>
      <c r="E6633" s="283" t="s">
        <v>1075</v>
      </c>
      <c r="F6633" s="283" t="s">
        <v>1084</v>
      </c>
      <c r="G6633" s="283">
        <v>2</v>
      </c>
      <c r="H6633" s="283">
        <v>0</v>
      </c>
      <c r="I6633" s="283">
        <v>0</v>
      </c>
      <c r="J6633" s="284">
        <v>0</v>
      </c>
    </row>
    <row r="6634" spans="3:10" x14ac:dyDescent="0.25">
      <c r="C6634" s="300" t="s">
        <v>1065</v>
      </c>
      <c r="D6634" s="283" t="s">
        <v>1077</v>
      </c>
      <c r="E6634" s="283" t="s">
        <v>1083</v>
      </c>
      <c r="F6634" s="283" t="s">
        <v>1075</v>
      </c>
      <c r="G6634" s="283">
        <v>2</v>
      </c>
      <c r="H6634" s="283">
        <v>0</v>
      </c>
      <c r="I6634" s="283">
        <v>1</v>
      </c>
      <c r="J6634" s="284">
        <v>0</v>
      </c>
    </row>
    <row r="6635" spans="3:10" x14ac:dyDescent="0.25">
      <c r="C6635" s="300" t="s">
        <v>1060</v>
      </c>
      <c r="D6635" s="283" t="s">
        <v>1082</v>
      </c>
      <c r="E6635" s="283" t="s">
        <v>1075</v>
      </c>
      <c r="F6635" s="283" t="s">
        <v>1075</v>
      </c>
      <c r="G6635" s="283">
        <v>2</v>
      </c>
      <c r="H6635" s="283">
        <v>0</v>
      </c>
      <c r="I6635" s="283">
        <v>0</v>
      </c>
      <c r="J6635" s="284">
        <v>0</v>
      </c>
    </row>
    <row r="6636" spans="3:10" x14ac:dyDescent="0.25">
      <c r="C6636" s="300" t="s">
        <v>1065</v>
      </c>
      <c r="D6636" s="283" t="s">
        <v>1074</v>
      </c>
      <c r="E6636" s="283" t="s">
        <v>1078</v>
      </c>
      <c r="F6636" s="283" t="s">
        <v>1078</v>
      </c>
      <c r="G6636" s="283">
        <v>3</v>
      </c>
      <c r="H6636" s="283">
        <v>0</v>
      </c>
      <c r="I6636" s="283">
        <v>0</v>
      </c>
      <c r="J6636" s="284">
        <v>4</v>
      </c>
    </row>
    <row r="6637" spans="3:10" x14ac:dyDescent="0.25">
      <c r="C6637" s="300" t="s">
        <v>1060</v>
      </c>
      <c r="D6637" s="283" t="s">
        <v>1077</v>
      </c>
      <c r="E6637" s="283" t="s">
        <v>1075</v>
      </c>
      <c r="F6637" s="283" t="s">
        <v>1075</v>
      </c>
      <c r="G6637" s="283">
        <v>2</v>
      </c>
      <c r="H6637" s="283">
        <v>0</v>
      </c>
      <c r="I6637" s="283">
        <v>0</v>
      </c>
      <c r="J6637" s="284">
        <v>0</v>
      </c>
    </row>
    <row r="6638" spans="3:10" x14ac:dyDescent="0.25">
      <c r="C6638" s="300" t="s">
        <v>1066</v>
      </c>
      <c r="D6638" s="283" t="s">
        <v>1077</v>
      </c>
      <c r="E6638" s="283" t="s">
        <v>1089</v>
      </c>
      <c r="F6638" s="283" t="s">
        <v>1075</v>
      </c>
      <c r="G6638" s="283">
        <v>4</v>
      </c>
      <c r="H6638" s="283">
        <v>0</v>
      </c>
      <c r="I6638" s="283">
        <v>2</v>
      </c>
      <c r="J6638" s="284">
        <v>0</v>
      </c>
    </row>
    <row r="6639" spans="3:10" x14ac:dyDescent="0.25">
      <c r="C6639" s="300" t="s">
        <v>1063</v>
      </c>
      <c r="D6639" s="283" t="s">
        <v>1077</v>
      </c>
      <c r="E6639" s="283" t="s">
        <v>1075</v>
      </c>
      <c r="F6639" s="283" t="s">
        <v>1089</v>
      </c>
      <c r="G6639" s="283">
        <v>2</v>
      </c>
      <c r="H6639" s="283">
        <v>0</v>
      </c>
      <c r="I6639" s="283">
        <v>0</v>
      </c>
      <c r="J6639" s="284">
        <v>0</v>
      </c>
    </row>
    <row r="6640" spans="3:10" x14ac:dyDescent="0.25">
      <c r="C6640" s="300" t="s">
        <v>1064</v>
      </c>
      <c r="D6640" s="283" t="s">
        <v>1077</v>
      </c>
      <c r="E6640" s="283" t="s">
        <v>1080</v>
      </c>
      <c r="F6640" s="283" t="s">
        <v>1075</v>
      </c>
      <c r="G6640" s="283">
        <v>2</v>
      </c>
      <c r="H6640" s="283">
        <v>0</v>
      </c>
      <c r="I6640" s="283">
        <v>0</v>
      </c>
      <c r="J6640" s="284">
        <v>1</v>
      </c>
    </row>
    <row r="6641" spans="3:10" x14ac:dyDescent="0.25">
      <c r="C6641" s="300" t="s">
        <v>1062</v>
      </c>
      <c r="D6641" s="283" t="s">
        <v>1079</v>
      </c>
      <c r="E6641" s="283" t="s">
        <v>1075</v>
      </c>
      <c r="F6641" s="283" t="s">
        <v>1089</v>
      </c>
      <c r="G6641" s="283">
        <v>2</v>
      </c>
      <c r="H6641" s="283">
        <v>0</v>
      </c>
      <c r="I6641" s="283">
        <v>0</v>
      </c>
      <c r="J6641" s="284">
        <v>0</v>
      </c>
    </row>
    <row r="6642" spans="3:10" x14ac:dyDescent="0.25">
      <c r="C6642" s="300" t="s">
        <v>1060</v>
      </c>
      <c r="D6642" s="283" t="s">
        <v>1077</v>
      </c>
      <c r="E6642" s="283" t="s">
        <v>1075</v>
      </c>
      <c r="F6642" s="283" t="s">
        <v>1089</v>
      </c>
      <c r="G6642" s="283">
        <v>2</v>
      </c>
      <c r="H6642" s="283">
        <v>0</v>
      </c>
      <c r="I6642" s="283">
        <v>0</v>
      </c>
      <c r="J6642" s="284">
        <v>0</v>
      </c>
    </row>
    <row r="6643" spans="3:10" x14ac:dyDescent="0.25">
      <c r="C6643" s="300" t="s">
        <v>1062</v>
      </c>
      <c r="D6643" s="283" t="s">
        <v>1077</v>
      </c>
      <c r="E6643" s="283" t="s">
        <v>1084</v>
      </c>
      <c r="F6643" s="283" t="s">
        <v>1075</v>
      </c>
      <c r="G6643" s="283">
        <v>4</v>
      </c>
      <c r="H6643" s="283">
        <v>0</v>
      </c>
      <c r="I6643" s="283">
        <v>0</v>
      </c>
      <c r="J6643" s="284">
        <v>0</v>
      </c>
    </row>
    <row r="6644" spans="3:10" x14ac:dyDescent="0.25">
      <c r="C6644" s="300" t="s">
        <v>1061</v>
      </c>
      <c r="D6644" s="283" t="s">
        <v>1106</v>
      </c>
      <c r="E6644" s="283" t="s">
        <v>1083</v>
      </c>
      <c r="F6644" s="283" t="s">
        <v>524</v>
      </c>
      <c r="G6644" s="283">
        <v>1</v>
      </c>
      <c r="H6644" s="283">
        <v>0</v>
      </c>
      <c r="I6644" s="283">
        <v>1</v>
      </c>
      <c r="J6644" s="284">
        <v>0</v>
      </c>
    </row>
    <row r="6645" spans="3:10" x14ac:dyDescent="0.25">
      <c r="C6645" s="300" t="s">
        <v>1060</v>
      </c>
      <c r="D6645" s="283" t="s">
        <v>1079</v>
      </c>
      <c r="E6645" s="283" t="s">
        <v>1075</v>
      </c>
      <c r="F6645" s="283" t="s">
        <v>1075</v>
      </c>
      <c r="G6645" s="283">
        <v>2</v>
      </c>
      <c r="H6645" s="283">
        <v>0</v>
      </c>
      <c r="I6645" s="283">
        <v>0</v>
      </c>
      <c r="J6645" s="284">
        <v>0</v>
      </c>
    </row>
    <row r="6646" spans="3:10" x14ac:dyDescent="0.25">
      <c r="C6646" s="300" t="s">
        <v>1064</v>
      </c>
      <c r="D6646" s="283" t="s">
        <v>1077</v>
      </c>
      <c r="E6646" s="283" t="s">
        <v>1089</v>
      </c>
      <c r="F6646" s="283" t="s">
        <v>1075</v>
      </c>
      <c r="G6646" s="283">
        <v>2</v>
      </c>
      <c r="H6646" s="283">
        <v>0</v>
      </c>
      <c r="I6646" s="283">
        <v>0</v>
      </c>
      <c r="J6646" s="284">
        <v>0</v>
      </c>
    </row>
    <row r="6647" spans="3:10" x14ac:dyDescent="0.25">
      <c r="C6647" s="300" t="s">
        <v>1066</v>
      </c>
      <c r="D6647" s="283" t="s">
        <v>1079</v>
      </c>
      <c r="E6647" s="283" t="s">
        <v>1075</v>
      </c>
      <c r="F6647" s="283" t="s">
        <v>1075</v>
      </c>
      <c r="G6647" s="283">
        <v>3</v>
      </c>
      <c r="H6647" s="283">
        <v>0</v>
      </c>
      <c r="I6647" s="283">
        <v>0</v>
      </c>
      <c r="J6647" s="284">
        <v>0</v>
      </c>
    </row>
    <row r="6648" spans="3:10" x14ac:dyDescent="0.25">
      <c r="C6648" s="300" t="s">
        <v>1059</v>
      </c>
      <c r="D6648" s="283" t="s">
        <v>1087</v>
      </c>
      <c r="E6648" s="283" t="s">
        <v>1076</v>
      </c>
      <c r="F6648" s="283" t="s">
        <v>524</v>
      </c>
      <c r="G6648" s="283">
        <v>1</v>
      </c>
      <c r="H6648" s="283">
        <v>0</v>
      </c>
      <c r="I6648" s="283">
        <v>0</v>
      </c>
      <c r="J6648" s="284">
        <v>0</v>
      </c>
    </row>
    <row r="6649" spans="3:10" x14ac:dyDescent="0.25">
      <c r="C6649" s="300" t="s">
        <v>1060</v>
      </c>
      <c r="D6649" s="283" t="s">
        <v>1074</v>
      </c>
      <c r="E6649" s="283" t="s">
        <v>1075</v>
      </c>
      <c r="F6649" s="283" t="s">
        <v>1075</v>
      </c>
      <c r="G6649" s="283">
        <v>2</v>
      </c>
      <c r="H6649" s="283">
        <v>0</v>
      </c>
      <c r="I6649" s="283">
        <v>0</v>
      </c>
      <c r="J6649" s="284">
        <v>0</v>
      </c>
    </row>
    <row r="6650" spans="3:10" x14ac:dyDescent="0.25">
      <c r="C6650" s="300" t="s">
        <v>1065</v>
      </c>
      <c r="D6650" s="283" t="s">
        <v>1043</v>
      </c>
      <c r="E6650" s="283" t="s">
        <v>1089</v>
      </c>
      <c r="F6650" s="283" t="s">
        <v>1092</v>
      </c>
      <c r="G6650" s="283">
        <v>2</v>
      </c>
      <c r="H6650" s="283">
        <v>0</v>
      </c>
      <c r="I6650" s="283">
        <v>0</v>
      </c>
      <c r="J6650" s="284">
        <v>1</v>
      </c>
    </row>
    <row r="6651" spans="3:10" x14ac:dyDescent="0.25">
      <c r="C6651" s="300" t="s">
        <v>1058</v>
      </c>
      <c r="D6651" s="283" t="s">
        <v>1087</v>
      </c>
      <c r="E6651" s="283" t="s">
        <v>1075</v>
      </c>
      <c r="F6651" s="283" t="s">
        <v>524</v>
      </c>
      <c r="G6651" s="283">
        <v>1</v>
      </c>
      <c r="H6651" s="283">
        <v>0</v>
      </c>
      <c r="I6651" s="283">
        <v>1</v>
      </c>
      <c r="J6651" s="284">
        <v>0</v>
      </c>
    </row>
    <row r="6652" spans="3:10" x14ac:dyDescent="0.25">
      <c r="C6652" s="300" t="s">
        <v>1067</v>
      </c>
      <c r="D6652" s="283" t="s">
        <v>1043</v>
      </c>
      <c r="E6652" s="283" t="s">
        <v>1075</v>
      </c>
      <c r="F6652" s="283" t="s">
        <v>1092</v>
      </c>
      <c r="G6652" s="283">
        <v>2</v>
      </c>
      <c r="H6652" s="283">
        <v>0</v>
      </c>
      <c r="I6652" s="283">
        <v>1</v>
      </c>
      <c r="J6652" s="284">
        <v>0</v>
      </c>
    </row>
    <row r="6653" spans="3:10" x14ac:dyDescent="0.25">
      <c r="C6653" s="300" t="s">
        <v>1065</v>
      </c>
      <c r="D6653" s="283" t="s">
        <v>1077</v>
      </c>
      <c r="E6653" s="283" t="s">
        <v>1075</v>
      </c>
      <c r="F6653" s="283" t="s">
        <v>1075</v>
      </c>
      <c r="G6653" s="283">
        <v>3</v>
      </c>
      <c r="H6653" s="283">
        <v>0</v>
      </c>
      <c r="I6653" s="283">
        <v>0</v>
      </c>
      <c r="J6653" s="284">
        <v>1</v>
      </c>
    </row>
    <row r="6654" spans="3:10" x14ac:dyDescent="0.25">
      <c r="C6654" s="300" t="s">
        <v>1064</v>
      </c>
      <c r="D6654" s="283" t="s">
        <v>1043</v>
      </c>
      <c r="E6654" s="283" t="s">
        <v>1081</v>
      </c>
      <c r="F6654" s="283" t="s">
        <v>1092</v>
      </c>
      <c r="G6654" s="283">
        <v>2</v>
      </c>
      <c r="H6654" s="283">
        <v>0</v>
      </c>
      <c r="I6654" s="283">
        <v>0</v>
      </c>
      <c r="J6654" s="284">
        <v>1</v>
      </c>
    </row>
    <row r="6655" spans="3:10" x14ac:dyDescent="0.25">
      <c r="C6655" s="300" t="s">
        <v>1065</v>
      </c>
      <c r="D6655" s="283" t="s">
        <v>1079</v>
      </c>
      <c r="E6655" s="283" t="s">
        <v>1089</v>
      </c>
      <c r="F6655" s="283" t="s">
        <v>1044</v>
      </c>
      <c r="G6655" s="283">
        <v>2</v>
      </c>
      <c r="H6655" s="283">
        <v>0</v>
      </c>
      <c r="I6655" s="283">
        <v>0</v>
      </c>
      <c r="J6655" s="284">
        <v>1</v>
      </c>
    </row>
    <row r="6656" spans="3:10" x14ac:dyDescent="0.25">
      <c r="C6656" s="300" t="s">
        <v>1061</v>
      </c>
      <c r="D6656" s="283" t="s">
        <v>1087</v>
      </c>
      <c r="E6656" s="283" t="s">
        <v>1076</v>
      </c>
      <c r="F6656" s="283" t="s">
        <v>524</v>
      </c>
      <c r="G6656" s="283">
        <v>1</v>
      </c>
      <c r="H6656" s="283">
        <v>0</v>
      </c>
      <c r="I6656" s="283">
        <v>0</v>
      </c>
      <c r="J6656" s="284">
        <v>0</v>
      </c>
    </row>
    <row r="6657" spans="3:10" x14ac:dyDescent="0.25">
      <c r="C6657" s="300" t="s">
        <v>1063</v>
      </c>
      <c r="D6657" s="283" t="s">
        <v>1079</v>
      </c>
      <c r="E6657" s="283" t="s">
        <v>1094</v>
      </c>
      <c r="F6657" s="283" t="s">
        <v>1078</v>
      </c>
      <c r="G6657" s="283">
        <v>2</v>
      </c>
      <c r="H6657" s="283">
        <v>0</v>
      </c>
      <c r="I6657" s="283">
        <v>0</v>
      </c>
      <c r="J6657" s="284">
        <v>0</v>
      </c>
    </row>
    <row r="6658" spans="3:10" x14ac:dyDescent="0.25">
      <c r="C6658" s="300" t="s">
        <v>1066</v>
      </c>
      <c r="D6658" s="283" t="s">
        <v>1077</v>
      </c>
      <c r="E6658" s="283" t="s">
        <v>1075</v>
      </c>
      <c r="F6658" s="283" t="s">
        <v>1075</v>
      </c>
      <c r="G6658" s="283">
        <v>3</v>
      </c>
      <c r="H6658" s="283">
        <v>0</v>
      </c>
      <c r="I6658" s="283">
        <v>0</v>
      </c>
      <c r="J6658" s="284">
        <v>0</v>
      </c>
    </row>
    <row r="6659" spans="3:10" x14ac:dyDescent="0.25">
      <c r="C6659" s="300" t="s">
        <v>1065</v>
      </c>
      <c r="D6659" s="283" t="s">
        <v>1074</v>
      </c>
      <c r="E6659" s="283" t="s">
        <v>1089</v>
      </c>
      <c r="F6659" s="283" t="s">
        <v>1093</v>
      </c>
      <c r="G6659" s="283">
        <v>2</v>
      </c>
      <c r="H6659" s="283">
        <v>0</v>
      </c>
      <c r="I6659" s="283">
        <v>0</v>
      </c>
      <c r="J6659" s="284">
        <v>1</v>
      </c>
    </row>
    <row r="6660" spans="3:10" x14ac:dyDescent="0.25">
      <c r="C6660" s="300" t="s">
        <v>1064</v>
      </c>
      <c r="D6660" s="283" t="s">
        <v>1077</v>
      </c>
      <c r="E6660" s="283" t="s">
        <v>1075</v>
      </c>
      <c r="F6660" s="283" t="s">
        <v>1089</v>
      </c>
      <c r="G6660" s="283">
        <v>3</v>
      </c>
      <c r="H6660" s="283">
        <v>0</v>
      </c>
      <c r="I6660" s="283">
        <v>0</v>
      </c>
      <c r="J6660" s="284">
        <v>0</v>
      </c>
    </row>
    <row r="6661" spans="3:10" x14ac:dyDescent="0.25">
      <c r="C6661" s="300" t="s">
        <v>1062</v>
      </c>
      <c r="D6661" s="283" t="s">
        <v>1090</v>
      </c>
      <c r="E6661" s="283" t="s">
        <v>1075</v>
      </c>
      <c r="F6661" s="283" t="s">
        <v>524</v>
      </c>
      <c r="G6661" s="283">
        <v>1</v>
      </c>
      <c r="H6661" s="283">
        <v>0</v>
      </c>
      <c r="I6661" s="283">
        <v>0</v>
      </c>
      <c r="J6661" s="284">
        <v>0</v>
      </c>
    </row>
    <row r="6662" spans="3:10" x14ac:dyDescent="0.25">
      <c r="C6662" s="300" t="s">
        <v>1066</v>
      </c>
      <c r="D6662" s="283" t="s">
        <v>1087</v>
      </c>
      <c r="E6662" s="283" t="s">
        <v>1076</v>
      </c>
      <c r="F6662" s="283" t="s">
        <v>524</v>
      </c>
      <c r="G6662" s="283">
        <v>1</v>
      </c>
      <c r="H6662" s="283">
        <v>0</v>
      </c>
      <c r="I6662" s="283">
        <v>0</v>
      </c>
      <c r="J6662" s="284">
        <v>1</v>
      </c>
    </row>
    <row r="6663" spans="3:10" x14ac:dyDescent="0.25">
      <c r="C6663" s="300" t="s">
        <v>1065</v>
      </c>
      <c r="D6663" s="283" t="s">
        <v>1043</v>
      </c>
      <c r="E6663" s="283" t="s">
        <v>1075</v>
      </c>
      <c r="F6663" s="283" t="s">
        <v>1092</v>
      </c>
      <c r="G6663" s="283">
        <v>2</v>
      </c>
      <c r="H6663" s="283">
        <v>0</v>
      </c>
      <c r="I6663" s="283">
        <v>0</v>
      </c>
      <c r="J6663" s="284">
        <v>1</v>
      </c>
    </row>
    <row r="6664" spans="3:10" x14ac:dyDescent="0.25">
      <c r="C6664" s="300" t="s">
        <v>1059</v>
      </c>
      <c r="D6664" s="283" t="s">
        <v>1087</v>
      </c>
      <c r="E6664" s="283" t="s">
        <v>1089</v>
      </c>
      <c r="F6664" s="283" t="s">
        <v>524</v>
      </c>
      <c r="G6664" s="283">
        <v>1</v>
      </c>
      <c r="H6664" s="283">
        <v>0</v>
      </c>
      <c r="I6664" s="283">
        <v>0</v>
      </c>
      <c r="J6664" s="284">
        <v>0</v>
      </c>
    </row>
    <row r="6665" spans="3:10" x14ac:dyDescent="0.25">
      <c r="C6665" s="300" t="s">
        <v>1060</v>
      </c>
      <c r="D6665" s="283" t="s">
        <v>1043</v>
      </c>
      <c r="E6665" s="283" t="s">
        <v>1075</v>
      </c>
      <c r="F6665" s="283" t="s">
        <v>1092</v>
      </c>
      <c r="G6665" s="283">
        <v>2</v>
      </c>
      <c r="H6665" s="283">
        <v>0</v>
      </c>
      <c r="I6665" s="283">
        <v>0</v>
      </c>
      <c r="J6665" s="284">
        <v>1</v>
      </c>
    </row>
    <row r="6666" spans="3:10" x14ac:dyDescent="0.25">
      <c r="C6666" s="300" t="s">
        <v>1063</v>
      </c>
      <c r="D6666" s="283" t="s">
        <v>1079</v>
      </c>
      <c r="E6666" s="283" t="s">
        <v>1076</v>
      </c>
      <c r="F6666" s="283" t="s">
        <v>1076</v>
      </c>
      <c r="G6666" s="283">
        <v>2</v>
      </c>
      <c r="H6666" s="283">
        <v>0</v>
      </c>
      <c r="I6666" s="283">
        <v>1</v>
      </c>
      <c r="J6666" s="284">
        <v>0</v>
      </c>
    </row>
    <row r="6667" spans="3:10" x14ac:dyDescent="0.25">
      <c r="C6667" s="300" t="s">
        <v>1065</v>
      </c>
      <c r="D6667" s="283" t="s">
        <v>1090</v>
      </c>
      <c r="E6667" s="283" t="s">
        <v>1083</v>
      </c>
      <c r="F6667" s="283" t="s">
        <v>524</v>
      </c>
      <c r="G6667" s="283">
        <v>1</v>
      </c>
      <c r="H6667" s="283">
        <v>0</v>
      </c>
      <c r="I6667" s="283">
        <v>1</v>
      </c>
      <c r="J6667" s="284">
        <v>0</v>
      </c>
    </row>
    <row r="6668" spans="3:10" x14ac:dyDescent="0.25">
      <c r="C6668" s="300" t="s">
        <v>1065</v>
      </c>
      <c r="D6668" s="283" t="s">
        <v>1082</v>
      </c>
      <c r="E6668" s="283" t="s">
        <v>1076</v>
      </c>
      <c r="F6668" s="283" t="s">
        <v>1075</v>
      </c>
      <c r="G6668" s="283">
        <v>3</v>
      </c>
      <c r="H6668" s="283">
        <v>0</v>
      </c>
      <c r="I6668" s="283">
        <v>0</v>
      </c>
      <c r="J6668" s="284">
        <v>1</v>
      </c>
    </row>
    <row r="6669" spans="3:10" x14ac:dyDescent="0.25">
      <c r="C6669" s="300" t="s">
        <v>1060</v>
      </c>
      <c r="D6669" s="283" t="s">
        <v>1077</v>
      </c>
      <c r="E6669" s="283" t="s">
        <v>1078</v>
      </c>
      <c r="F6669" s="283" t="s">
        <v>1075</v>
      </c>
      <c r="G6669" s="283">
        <v>2</v>
      </c>
      <c r="H6669" s="283">
        <v>0</v>
      </c>
      <c r="I6669" s="283">
        <v>0</v>
      </c>
      <c r="J6669" s="284">
        <v>0</v>
      </c>
    </row>
    <row r="6670" spans="3:10" x14ac:dyDescent="0.25">
      <c r="C6670" s="300" t="s">
        <v>1061</v>
      </c>
      <c r="D6670" s="283" t="s">
        <v>1043</v>
      </c>
      <c r="E6670" s="283" t="s">
        <v>1075</v>
      </c>
      <c r="F6670" s="283" t="s">
        <v>1092</v>
      </c>
      <c r="G6670" s="283">
        <v>2</v>
      </c>
      <c r="H6670" s="283">
        <v>0</v>
      </c>
      <c r="I6670" s="283">
        <v>1</v>
      </c>
      <c r="J6670" s="284">
        <v>0</v>
      </c>
    </row>
    <row r="6671" spans="3:10" x14ac:dyDescent="0.25">
      <c r="C6671" s="300" t="s">
        <v>1059</v>
      </c>
      <c r="D6671" s="283" t="s">
        <v>1090</v>
      </c>
      <c r="E6671" s="283" t="s">
        <v>1089</v>
      </c>
      <c r="F6671" s="283" t="s">
        <v>524</v>
      </c>
      <c r="G6671" s="283">
        <v>1</v>
      </c>
      <c r="H6671" s="283">
        <v>0</v>
      </c>
      <c r="I6671" s="283">
        <v>0</v>
      </c>
      <c r="J6671" s="284">
        <v>0</v>
      </c>
    </row>
    <row r="6672" spans="3:10" x14ac:dyDescent="0.25">
      <c r="C6672" s="300" t="s">
        <v>1059</v>
      </c>
      <c r="D6672" s="283" t="s">
        <v>1079</v>
      </c>
      <c r="E6672" s="283" t="s">
        <v>1088</v>
      </c>
      <c r="F6672" s="283" t="s">
        <v>1075</v>
      </c>
      <c r="G6672" s="283">
        <v>3</v>
      </c>
      <c r="H6672" s="283">
        <v>0</v>
      </c>
      <c r="I6672" s="283">
        <v>0</v>
      </c>
      <c r="J6672" s="284">
        <v>0</v>
      </c>
    </row>
    <row r="6673" spans="3:10" x14ac:dyDescent="0.25">
      <c r="C6673" s="300" t="s">
        <v>1064</v>
      </c>
      <c r="D6673" s="283" t="s">
        <v>1077</v>
      </c>
      <c r="E6673" s="283" t="s">
        <v>1086</v>
      </c>
      <c r="F6673" s="283" t="s">
        <v>1081</v>
      </c>
      <c r="G6673" s="283">
        <v>3</v>
      </c>
      <c r="H6673" s="283">
        <v>0</v>
      </c>
      <c r="I6673" s="283">
        <v>0</v>
      </c>
      <c r="J6673" s="284">
        <v>0</v>
      </c>
    </row>
    <row r="6674" spans="3:10" x14ac:dyDescent="0.25">
      <c r="C6674" s="300" t="s">
        <v>1065</v>
      </c>
      <c r="D6674" s="283" t="s">
        <v>1087</v>
      </c>
      <c r="E6674" s="283" t="s">
        <v>1076</v>
      </c>
      <c r="F6674" s="283" t="s">
        <v>524</v>
      </c>
      <c r="G6674" s="283">
        <v>2</v>
      </c>
      <c r="H6674" s="283">
        <v>0</v>
      </c>
      <c r="I6674" s="283">
        <v>0</v>
      </c>
      <c r="J6674" s="284">
        <v>0</v>
      </c>
    </row>
    <row r="6675" spans="3:10" x14ac:dyDescent="0.25">
      <c r="C6675" s="300" t="s">
        <v>1063</v>
      </c>
      <c r="D6675" s="283" t="s">
        <v>1077</v>
      </c>
      <c r="E6675" s="283" t="s">
        <v>1089</v>
      </c>
      <c r="F6675" s="283" t="s">
        <v>1075</v>
      </c>
      <c r="G6675" s="283">
        <v>2</v>
      </c>
      <c r="H6675" s="283">
        <v>0</v>
      </c>
      <c r="I6675" s="283">
        <v>0</v>
      </c>
      <c r="J6675" s="284">
        <v>1</v>
      </c>
    </row>
    <row r="6676" spans="3:10" x14ac:dyDescent="0.25">
      <c r="C6676" s="300" t="s">
        <v>1065</v>
      </c>
      <c r="D6676" s="283" t="s">
        <v>1079</v>
      </c>
      <c r="E6676" s="283" t="s">
        <v>1089</v>
      </c>
      <c r="F6676" s="283" t="s">
        <v>1075</v>
      </c>
      <c r="G6676" s="283">
        <v>3</v>
      </c>
      <c r="H6676" s="283">
        <v>0</v>
      </c>
      <c r="I6676" s="283">
        <v>0</v>
      </c>
      <c r="J6676" s="284">
        <v>0</v>
      </c>
    </row>
    <row r="6677" spans="3:10" x14ac:dyDescent="0.25">
      <c r="C6677" s="300" t="s">
        <v>1059</v>
      </c>
      <c r="D6677" s="283" t="s">
        <v>1079</v>
      </c>
      <c r="E6677" s="283" t="s">
        <v>1086</v>
      </c>
      <c r="F6677" s="283" t="s">
        <v>1076</v>
      </c>
      <c r="G6677" s="283">
        <v>2</v>
      </c>
      <c r="H6677" s="283">
        <v>0</v>
      </c>
      <c r="I6677" s="283">
        <v>0</v>
      </c>
      <c r="J6677" s="284">
        <v>0</v>
      </c>
    </row>
    <row r="6678" spans="3:10" x14ac:dyDescent="0.25">
      <c r="C6678" s="300" t="s">
        <v>1066</v>
      </c>
      <c r="D6678" s="283" t="s">
        <v>1043</v>
      </c>
      <c r="E6678" s="283" t="s">
        <v>1089</v>
      </c>
      <c r="F6678" s="283" t="s">
        <v>1092</v>
      </c>
      <c r="G6678" s="283">
        <v>2</v>
      </c>
      <c r="H6678" s="283">
        <v>0</v>
      </c>
      <c r="I6678" s="283">
        <v>0</v>
      </c>
      <c r="J6678" s="284">
        <v>1</v>
      </c>
    </row>
    <row r="6679" spans="3:10" x14ac:dyDescent="0.25">
      <c r="C6679" s="300" t="s">
        <v>1066</v>
      </c>
      <c r="D6679" s="283" t="s">
        <v>1074</v>
      </c>
      <c r="E6679" s="283" t="s">
        <v>1089</v>
      </c>
      <c r="F6679" s="283" t="s">
        <v>1075</v>
      </c>
      <c r="G6679" s="283">
        <v>2</v>
      </c>
      <c r="H6679" s="283">
        <v>0</v>
      </c>
      <c r="I6679" s="283">
        <v>0</v>
      </c>
      <c r="J6679" s="284">
        <v>1</v>
      </c>
    </row>
    <row r="6680" spans="3:10" x14ac:dyDescent="0.25">
      <c r="C6680" s="300" t="s">
        <v>1062</v>
      </c>
      <c r="D6680" s="283" t="s">
        <v>1079</v>
      </c>
      <c r="E6680" s="283" t="s">
        <v>1093</v>
      </c>
      <c r="F6680" s="283" t="s">
        <v>1075</v>
      </c>
      <c r="G6680" s="283">
        <v>2</v>
      </c>
      <c r="H6680" s="283">
        <v>0</v>
      </c>
      <c r="I6680" s="283">
        <v>0</v>
      </c>
      <c r="J6680" s="284">
        <v>0</v>
      </c>
    </row>
    <row r="6681" spans="3:10" x14ac:dyDescent="0.25">
      <c r="C6681" s="300" t="s">
        <v>1062</v>
      </c>
      <c r="D6681" s="283" t="s">
        <v>1079</v>
      </c>
      <c r="E6681" s="283" t="s">
        <v>1084</v>
      </c>
      <c r="F6681" s="283" t="s">
        <v>1075</v>
      </c>
      <c r="G6681" s="283">
        <v>2</v>
      </c>
      <c r="H6681" s="283">
        <v>0</v>
      </c>
      <c r="I6681" s="283">
        <v>0</v>
      </c>
      <c r="J6681" s="284">
        <v>0</v>
      </c>
    </row>
    <row r="6682" spans="3:10" x14ac:dyDescent="0.25">
      <c r="C6682" s="300" t="s">
        <v>1063</v>
      </c>
      <c r="D6682" s="283" t="s">
        <v>1077</v>
      </c>
      <c r="E6682" s="283" t="s">
        <v>1094</v>
      </c>
      <c r="F6682" s="283" t="s">
        <v>1075</v>
      </c>
      <c r="G6682" s="283">
        <v>3</v>
      </c>
      <c r="H6682" s="283">
        <v>0</v>
      </c>
      <c r="I6682" s="283">
        <v>0</v>
      </c>
      <c r="J6682" s="284">
        <v>0</v>
      </c>
    </row>
    <row r="6683" spans="3:10" x14ac:dyDescent="0.25">
      <c r="C6683" s="300" t="s">
        <v>1064</v>
      </c>
      <c r="D6683" s="283" t="s">
        <v>1079</v>
      </c>
      <c r="E6683" s="283" t="s">
        <v>1075</v>
      </c>
      <c r="F6683" s="283" t="s">
        <v>1076</v>
      </c>
      <c r="G6683" s="283">
        <v>2</v>
      </c>
      <c r="H6683" s="283">
        <v>0</v>
      </c>
      <c r="I6683" s="283">
        <v>1</v>
      </c>
      <c r="J6683" s="284">
        <v>0</v>
      </c>
    </row>
    <row r="6684" spans="3:10" x14ac:dyDescent="0.25">
      <c r="C6684" s="300" t="s">
        <v>1063</v>
      </c>
      <c r="D6684" s="283" t="s">
        <v>1090</v>
      </c>
      <c r="E6684" s="283" t="s">
        <v>1083</v>
      </c>
      <c r="F6684" s="283" t="s">
        <v>524</v>
      </c>
      <c r="G6684" s="283">
        <v>1</v>
      </c>
      <c r="H6684" s="283">
        <v>0</v>
      </c>
      <c r="I6684" s="283">
        <v>1</v>
      </c>
      <c r="J6684" s="284">
        <v>0</v>
      </c>
    </row>
    <row r="6685" spans="3:10" x14ac:dyDescent="0.25">
      <c r="C6685" s="300" t="s">
        <v>1057</v>
      </c>
      <c r="D6685" s="283" t="s">
        <v>1079</v>
      </c>
      <c r="E6685" s="283" t="s">
        <v>1075</v>
      </c>
      <c r="F6685" s="283" t="s">
        <v>1075</v>
      </c>
      <c r="G6685" s="283">
        <v>2</v>
      </c>
      <c r="H6685" s="283">
        <v>0</v>
      </c>
      <c r="I6685" s="283">
        <v>0</v>
      </c>
      <c r="J6685" s="284">
        <v>2</v>
      </c>
    </row>
    <row r="6686" spans="3:10" x14ac:dyDescent="0.25">
      <c r="C6686" s="300" t="s">
        <v>1059</v>
      </c>
      <c r="D6686" s="283" t="s">
        <v>1079</v>
      </c>
      <c r="E6686" s="283" t="s">
        <v>1075</v>
      </c>
      <c r="F6686" s="283" t="s">
        <v>1075</v>
      </c>
      <c r="G6686" s="283">
        <v>2</v>
      </c>
      <c r="H6686" s="283">
        <v>0</v>
      </c>
      <c r="I6686" s="283">
        <v>0</v>
      </c>
      <c r="J6686" s="284">
        <v>1</v>
      </c>
    </row>
    <row r="6687" spans="3:10" x14ac:dyDescent="0.25">
      <c r="C6687" s="300" t="s">
        <v>1060</v>
      </c>
      <c r="D6687" s="283" t="s">
        <v>1043</v>
      </c>
      <c r="E6687" s="283" t="s">
        <v>1080</v>
      </c>
      <c r="F6687" s="283" t="s">
        <v>1092</v>
      </c>
      <c r="G6687" s="283">
        <v>2</v>
      </c>
      <c r="H6687" s="283">
        <v>1</v>
      </c>
      <c r="I6687" s="283">
        <v>0</v>
      </c>
      <c r="J6687" s="284">
        <v>1</v>
      </c>
    </row>
    <row r="6688" spans="3:10" x14ac:dyDescent="0.25">
      <c r="C6688" s="300" t="s">
        <v>1063</v>
      </c>
      <c r="D6688" s="283" t="s">
        <v>1079</v>
      </c>
      <c r="E6688" s="283" t="s">
        <v>1078</v>
      </c>
      <c r="F6688" s="283" t="s">
        <v>1078</v>
      </c>
      <c r="G6688" s="283">
        <v>2</v>
      </c>
      <c r="H6688" s="283">
        <v>0</v>
      </c>
      <c r="I6688" s="283">
        <v>0</v>
      </c>
      <c r="J6688" s="284">
        <v>1</v>
      </c>
    </row>
    <row r="6689" spans="3:10" x14ac:dyDescent="0.25">
      <c r="C6689" s="300" t="s">
        <v>1057</v>
      </c>
      <c r="D6689" s="283" t="s">
        <v>1079</v>
      </c>
      <c r="E6689" s="283" t="s">
        <v>1075</v>
      </c>
      <c r="F6689" s="283" t="s">
        <v>1094</v>
      </c>
      <c r="G6689" s="283">
        <v>2</v>
      </c>
      <c r="H6689" s="283">
        <v>0</v>
      </c>
      <c r="I6689" s="283">
        <v>0</v>
      </c>
      <c r="J6689" s="284">
        <v>1</v>
      </c>
    </row>
    <row r="6690" spans="3:10" x14ac:dyDescent="0.25">
      <c r="C6690" s="300" t="s">
        <v>1065</v>
      </c>
      <c r="D6690" s="283" t="s">
        <v>1077</v>
      </c>
      <c r="E6690" s="283" t="s">
        <v>1078</v>
      </c>
      <c r="F6690" s="283" t="s">
        <v>1078</v>
      </c>
      <c r="G6690" s="283">
        <v>2</v>
      </c>
      <c r="H6690" s="283">
        <v>0</v>
      </c>
      <c r="I6690" s="283">
        <v>0</v>
      </c>
      <c r="J6690" s="284">
        <v>0</v>
      </c>
    </row>
    <row r="6691" spans="3:10" x14ac:dyDescent="0.25">
      <c r="C6691" s="300" t="s">
        <v>1062</v>
      </c>
      <c r="D6691" s="283" t="s">
        <v>1077</v>
      </c>
      <c r="E6691" s="283" t="s">
        <v>1076</v>
      </c>
      <c r="F6691" s="283" t="s">
        <v>1075</v>
      </c>
      <c r="G6691" s="283">
        <v>2</v>
      </c>
      <c r="H6691" s="283">
        <v>0</v>
      </c>
      <c r="I6691" s="283">
        <v>1</v>
      </c>
      <c r="J6691" s="284">
        <v>1</v>
      </c>
    </row>
    <row r="6692" spans="3:10" x14ac:dyDescent="0.25">
      <c r="C6692" s="300" t="s">
        <v>1064</v>
      </c>
      <c r="D6692" s="283" t="s">
        <v>1082</v>
      </c>
      <c r="E6692" s="283" t="s">
        <v>1078</v>
      </c>
      <c r="F6692" s="283" t="s">
        <v>1075</v>
      </c>
      <c r="G6692" s="283">
        <v>2</v>
      </c>
      <c r="H6692" s="283">
        <v>0</v>
      </c>
      <c r="I6692" s="283">
        <v>0</v>
      </c>
      <c r="J6692" s="284">
        <v>1</v>
      </c>
    </row>
    <row r="6693" spans="3:10" x14ac:dyDescent="0.25">
      <c r="C6693" s="300" t="s">
        <v>1066</v>
      </c>
      <c r="D6693" s="283" t="s">
        <v>1079</v>
      </c>
      <c r="E6693" s="283" t="s">
        <v>1075</v>
      </c>
      <c r="F6693" s="283" t="s">
        <v>1075</v>
      </c>
      <c r="G6693" s="283">
        <v>2</v>
      </c>
      <c r="H6693" s="283">
        <v>0</v>
      </c>
      <c r="I6693" s="283">
        <v>0</v>
      </c>
      <c r="J6693" s="284">
        <v>0</v>
      </c>
    </row>
    <row r="6694" spans="3:10" x14ac:dyDescent="0.25">
      <c r="C6694" s="300" t="s">
        <v>1063</v>
      </c>
      <c r="D6694" s="283" t="s">
        <v>1074</v>
      </c>
      <c r="E6694" s="283" t="s">
        <v>1075</v>
      </c>
      <c r="F6694" s="283" t="s">
        <v>1078</v>
      </c>
      <c r="G6694" s="283">
        <v>2</v>
      </c>
      <c r="H6694" s="283">
        <v>0</v>
      </c>
      <c r="I6694" s="283">
        <v>1</v>
      </c>
      <c r="J6694" s="284">
        <v>2</v>
      </c>
    </row>
    <row r="6695" spans="3:10" x14ac:dyDescent="0.25">
      <c r="C6695" s="300" t="s">
        <v>1064</v>
      </c>
      <c r="D6695" s="283" t="s">
        <v>1079</v>
      </c>
      <c r="E6695" s="283" t="s">
        <v>1078</v>
      </c>
      <c r="F6695" s="283" t="s">
        <v>524</v>
      </c>
      <c r="G6695" s="283">
        <v>1</v>
      </c>
      <c r="H6695" s="283">
        <v>0</v>
      </c>
      <c r="I6695" s="283">
        <v>0</v>
      </c>
      <c r="J6695" s="284">
        <v>1</v>
      </c>
    </row>
    <row r="6696" spans="3:10" x14ac:dyDescent="0.25">
      <c r="C6696" s="300" t="s">
        <v>1060</v>
      </c>
      <c r="D6696" s="283" t="s">
        <v>1074</v>
      </c>
      <c r="E6696" s="283" t="s">
        <v>1084</v>
      </c>
      <c r="F6696" s="283" t="s">
        <v>1044</v>
      </c>
      <c r="G6696" s="283">
        <v>2</v>
      </c>
      <c r="H6696" s="283">
        <v>0</v>
      </c>
      <c r="I6696" s="283">
        <v>1</v>
      </c>
      <c r="J6696" s="284">
        <v>0</v>
      </c>
    </row>
    <row r="6697" spans="3:10" x14ac:dyDescent="0.25">
      <c r="C6697" s="300" t="s">
        <v>1065</v>
      </c>
      <c r="D6697" s="283" t="s">
        <v>1077</v>
      </c>
      <c r="E6697" s="283" t="s">
        <v>1083</v>
      </c>
      <c r="F6697" s="283" t="s">
        <v>1075</v>
      </c>
      <c r="G6697" s="283">
        <v>2</v>
      </c>
      <c r="H6697" s="283">
        <v>0</v>
      </c>
      <c r="I6697" s="283">
        <v>1</v>
      </c>
      <c r="J6697" s="284">
        <v>0</v>
      </c>
    </row>
    <row r="6698" spans="3:10" x14ac:dyDescent="0.25">
      <c r="C6698" s="300" t="s">
        <v>1061</v>
      </c>
      <c r="D6698" s="283" t="s">
        <v>1077</v>
      </c>
      <c r="E6698" s="283" t="s">
        <v>1075</v>
      </c>
      <c r="F6698" s="283" t="s">
        <v>1078</v>
      </c>
      <c r="G6698" s="283">
        <v>2</v>
      </c>
      <c r="H6698" s="283">
        <v>0</v>
      </c>
      <c r="I6698" s="283">
        <v>0</v>
      </c>
      <c r="J6698" s="284">
        <v>0</v>
      </c>
    </row>
    <row r="6699" spans="3:10" x14ac:dyDescent="0.25">
      <c r="C6699" s="300" t="s">
        <v>1061</v>
      </c>
      <c r="D6699" s="283" t="s">
        <v>1079</v>
      </c>
      <c r="E6699" s="283" t="s">
        <v>1100</v>
      </c>
      <c r="F6699" s="283" t="s">
        <v>1075</v>
      </c>
      <c r="G6699" s="283">
        <v>2</v>
      </c>
      <c r="H6699" s="283">
        <v>0</v>
      </c>
      <c r="I6699" s="283">
        <v>0</v>
      </c>
      <c r="J6699" s="284">
        <v>0</v>
      </c>
    </row>
    <row r="6700" spans="3:10" x14ac:dyDescent="0.25">
      <c r="C6700" s="300" t="s">
        <v>1067</v>
      </c>
      <c r="D6700" s="283" t="s">
        <v>1079</v>
      </c>
      <c r="E6700" s="283" t="s">
        <v>1044</v>
      </c>
      <c r="F6700" s="283" t="s">
        <v>1081</v>
      </c>
      <c r="G6700" s="283">
        <v>2</v>
      </c>
      <c r="H6700" s="283">
        <v>0</v>
      </c>
      <c r="I6700" s="283">
        <v>0</v>
      </c>
      <c r="J6700" s="284">
        <v>0</v>
      </c>
    </row>
    <row r="6701" spans="3:10" x14ac:dyDescent="0.25">
      <c r="C6701" s="300" t="s">
        <v>1057</v>
      </c>
      <c r="D6701" s="283" t="s">
        <v>1079</v>
      </c>
      <c r="E6701" s="283" t="s">
        <v>1078</v>
      </c>
      <c r="F6701" s="283" t="s">
        <v>1088</v>
      </c>
      <c r="G6701" s="283">
        <v>3</v>
      </c>
      <c r="H6701" s="283">
        <v>0</v>
      </c>
      <c r="I6701" s="283">
        <v>1</v>
      </c>
      <c r="J6701" s="284">
        <v>0</v>
      </c>
    </row>
    <row r="6702" spans="3:10" x14ac:dyDescent="0.25">
      <c r="C6702" s="300" t="s">
        <v>1057</v>
      </c>
      <c r="D6702" s="283" t="s">
        <v>1077</v>
      </c>
      <c r="E6702" s="283" t="s">
        <v>1078</v>
      </c>
      <c r="F6702" s="283" t="s">
        <v>1084</v>
      </c>
      <c r="G6702" s="283">
        <v>2</v>
      </c>
      <c r="H6702" s="283">
        <v>0</v>
      </c>
      <c r="I6702" s="283">
        <v>0</v>
      </c>
      <c r="J6702" s="284">
        <v>2</v>
      </c>
    </row>
    <row r="6703" spans="3:10" x14ac:dyDescent="0.25">
      <c r="C6703" s="300" t="s">
        <v>1067</v>
      </c>
      <c r="D6703" s="283" t="s">
        <v>1079</v>
      </c>
      <c r="E6703" s="283" t="s">
        <v>1075</v>
      </c>
      <c r="F6703" s="283" t="s">
        <v>1089</v>
      </c>
      <c r="G6703" s="283">
        <v>2</v>
      </c>
      <c r="H6703" s="283">
        <v>0</v>
      </c>
      <c r="I6703" s="283">
        <v>0</v>
      </c>
      <c r="J6703" s="284">
        <v>0</v>
      </c>
    </row>
    <row r="6704" spans="3:10" x14ac:dyDescent="0.25">
      <c r="C6704" s="300" t="s">
        <v>1061</v>
      </c>
      <c r="D6704" s="283" t="s">
        <v>1077</v>
      </c>
      <c r="E6704" s="283" t="s">
        <v>1080</v>
      </c>
      <c r="F6704" s="283" t="s">
        <v>1075</v>
      </c>
      <c r="G6704" s="283">
        <v>3</v>
      </c>
      <c r="H6704" s="283">
        <v>0</v>
      </c>
      <c r="I6704" s="283">
        <v>0</v>
      </c>
      <c r="J6704" s="284">
        <v>0</v>
      </c>
    </row>
    <row r="6705" spans="3:10" x14ac:dyDescent="0.25">
      <c r="C6705" s="300" t="s">
        <v>1067</v>
      </c>
      <c r="D6705" s="283" t="s">
        <v>1082</v>
      </c>
      <c r="E6705" s="283" t="s">
        <v>1075</v>
      </c>
      <c r="F6705" s="283" t="s">
        <v>1075</v>
      </c>
      <c r="G6705" s="283">
        <v>2</v>
      </c>
      <c r="H6705" s="283">
        <v>0</v>
      </c>
      <c r="I6705" s="283">
        <v>2</v>
      </c>
      <c r="J6705" s="284">
        <v>1</v>
      </c>
    </row>
    <row r="6706" spans="3:10" x14ac:dyDescent="0.25">
      <c r="C6706" s="300" t="s">
        <v>1067</v>
      </c>
      <c r="D6706" s="283" t="s">
        <v>1087</v>
      </c>
      <c r="E6706" s="283" t="s">
        <v>1078</v>
      </c>
      <c r="F6706" s="283" t="s">
        <v>524</v>
      </c>
      <c r="G6706" s="283">
        <v>1</v>
      </c>
      <c r="H6706" s="283">
        <v>0</v>
      </c>
      <c r="I6706" s="283">
        <v>0</v>
      </c>
      <c r="J6706" s="284">
        <v>0</v>
      </c>
    </row>
    <row r="6707" spans="3:10" x14ac:dyDescent="0.25">
      <c r="C6707" s="300" t="s">
        <v>1060</v>
      </c>
      <c r="D6707" s="283" t="s">
        <v>1079</v>
      </c>
      <c r="E6707" s="283" t="s">
        <v>1075</v>
      </c>
      <c r="F6707" s="283" t="s">
        <v>1075</v>
      </c>
      <c r="G6707" s="283">
        <v>3</v>
      </c>
      <c r="H6707" s="283">
        <v>0</v>
      </c>
      <c r="I6707" s="283">
        <v>1</v>
      </c>
      <c r="J6707" s="284">
        <v>0</v>
      </c>
    </row>
    <row r="6708" spans="3:10" x14ac:dyDescent="0.25">
      <c r="C6708" s="300" t="s">
        <v>1065</v>
      </c>
      <c r="D6708" s="283" t="s">
        <v>1043</v>
      </c>
      <c r="E6708" s="283" t="s">
        <v>1075</v>
      </c>
      <c r="F6708" s="283" t="s">
        <v>1092</v>
      </c>
      <c r="G6708" s="283">
        <v>2</v>
      </c>
      <c r="H6708" s="283">
        <v>0</v>
      </c>
      <c r="I6708" s="283">
        <v>0</v>
      </c>
      <c r="J6708" s="284">
        <v>0</v>
      </c>
    </row>
    <row r="6709" spans="3:10" x14ac:dyDescent="0.25">
      <c r="C6709" s="300" t="s">
        <v>1057</v>
      </c>
      <c r="D6709" s="283" t="s">
        <v>1077</v>
      </c>
      <c r="E6709" s="283" t="s">
        <v>1075</v>
      </c>
      <c r="F6709" s="283" t="s">
        <v>1088</v>
      </c>
      <c r="G6709" s="283">
        <v>2</v>
      </c>
      <c r="H6709" s="283">
        <v>0</v>
      </c>
      <c r="I6709" s="283">
        <v>1</v>
      </c>
      <c r="J6709" s="284">
        <v>0</v>
      </c>
    </row>
    <row r="6710" spans="3:10" x14ac:dyDescent="0.25">
      <c r="C6710" s="300" t="s">
        <v>1065</v>
      </c>
      <c r="D6710" s="283" t="s">
        <v>1077</v>
      </c>
      <c r="E6710" s="283" t="s">
        <v>1075</v>
      </c>
      <c r="F6710" s="283" t="s">
        <v>1094</v>
      </c>
      <c r="G6710" s="283">
        <v>2</v>
      </c>
      <c r="H6710" s="283">
        <v>0</v>
      </c>
      <c r="I6710" s="283">
        <v>0</v>
      </c>
      <c r="J6710" s="284">
        <v>1</v>
      </c>
    </row>
    <row r="6711" spans="3:10" x14ac:dyDescent="0.25">
      <c r="C6711" s="300" t="s">
        <v>1065</v>
      </c>
      <c r="D6711" s="283" t="s">
        <v>1074</v>
      </c>
      <c r="E6711" s="283" t="s">
        <v>1083</v>
      </c>
      <c r="F6711" s="283" t="s">
        <v>1075</v>
      </c>
      <c r="G6711" s="283">
        <v>2</v>
      </c>
      <c r="H6711" s="283">
        <v>0</v>
      </c>
      <c r="I6711" s="283">
        <v>0</v>
      </c>
      <c r="J6711" s="284">
        <v>0</v>
      </c>
    </row>
    <row r="6712" spans="3:10" x14ac:dyDescent="0.25">
      <c r="C6712" s="300" t="s">
        <v>1067</v>
      </c>
      <c r="D6712" s="283" t="s">
        <v>1079</v>
      </c>
      <c r="E6712" s="283" t="s">
        <v>1078</v>
      </c>
      <c r="F6712" s="283" t="s">
        <v>1089</v>
      </c>
      <c r="G6712" s="283">
        <v>2</v>
      </c>
      <c r="H6712" s="283">
        <v>0</v>
      </c>
      <c r="I6712" s="283">
        <v>0</v>
      </c>
      <c r="J6712" s="284">
        <v>1</v>
      </c>
    </row>
    <row r="6713" spans="3:10" x14ac:dyDescent="0.25">
      <c r="C6713" s="300" t="s">
        <v>1062</v>
      </c>
      <c r="D6713" s="283" t="s">
        <v>1079</v>
      </c>
      <c r="E6713" s="283" t="s">
        <v>1080</v>
      </c>
      <c r="F6713" s="283" t="s">
        <v>1083</v>
      </c>
      <c r="G6713" s="283">
        <v>7</v>
      </c>
      <c r="H6713" s="283">
        <v>0</v>
      </c>
      <c r="I6713" s="283">
        <v>0</v>
      </c>
      <c r="J6713" s="284">
        <v>0</v>
      </c>
    </row>
    <row r="6714" spans="3:10" x14ac:dyDescent="0.25">
      <c r="C6714" s="300" t="s">
        <v>1060</v>
      </c>
      <c r="D6714" s="283" t="s">
        <v>1079</v>
      </c>
      <c r="E6714" s="283" t="s">
        <v>1075</v>
      </c>
      <c r="F6714" s="283" t="s">
        <v>1094</v>
      </c>
      <c r="G6714" s="283">
        <v>3</v>
      </c>
      <c r="H6714" s="283">
        <v>0</v>
      </c>
      <c r="I6714" s="283">
        <v>0</v>
      </c>
      <c r="J6714" s="284">
        <v>1</v>
      </c>
    </row>
    <row r="6715" spans="3:10" x14ac:dyDescent="0.25">
      <c r="C6715" s="300" t="s">
        <v>1060</v>
      </c>
      <c r="D6715" s="283" t="s">
        <v>1079</v>
      </c>
      <c r="E6715" s="283" t="s">
        <v>1075</v>
      </c>
      <c r="F6715" s="283" t="s">
        <v>1089</v>
      </c>
      <c r="G6715" s="283">
        <v>2</v>
      </c>
      <c r="H6715" s="283">
        <v>0</v>
      </c>
      <c r="I6715" s="283">
        <v>0</v>
      </c>
      <c r="J6715" s="284">
        <v>0</v>
      </c>
    </row>
    <row r="6716" spans="3:10" x14ac:dyDescent="0.25">
      <c r="C6716" s="300" t="s">
        <v>1066</v>
      </c>
      <c r="D6716" s="283" t="s">
        <v>1090</v>
      </c>
      <c r="E6716" s="283" t="s">
        <v>1083</v>
      </c>
      <c r="F6716" s="283" t="s">
        <v>524</v>
      </c>
      <c r="G6716" s="283">
        <v>1</v>
      </c>
      <c r="H6716" s="283">
        <v>0</v>
      </c>
      <c r="I6716" s="283">
        <v>0</v>
      </c>
      <c r="J6716" s="284">
        <v>1</v>
      </c>
    </row>
    <row r="6717" spans="3:10" x14ac:dyDescent="0.25">
      <c r="C6717" s="300" t="s">
        <v>1061</v>
      </c>
      <c r="D6717" s="283" t="s">
        <v>1074</v>
      </c>
      <c r="E6717" s="283" t="s">
        <v>1075</v>
      </c>
      <c r="F6717" s="283" t="s">
        <v>1075</v>
      </c>
      <c r="G6717" s="283">
        <v>2</v>
      </c>
      <c r="H6717" s="283">
        <v>0</v>
      </c>
      <c r="I6717" s="283">
        <v>0</v>
      </c>
      <c r="J6717" s="284">
        <v>1</v>
      </c>
    </row>
    <row r="6718" spans="3:10" x14ac:dyDescent="0.25">
      <c r="C6718" s="300" t="s">
        <v>1065</v>
      </c>
      <c r="D6718" s="283" t="s">
        <v>1074</v>
      </c>
      <c r="E6718" s="283" t="s">
        <v>1089</v>
      </c>
      <c r="F6718" s="283" t="s">
        <v>1075</v>
      </c>
      <c r="G6718" s="283">
        <v>2</v>
      </c>
      <c r="H6718" s="283">
        <v>0</v>
      </c>
      <c r="I6718" s="283">
        <v>0</v>
      </c>
      <c r="J6718" s="284">
        <v>0</v>
      </c>
    </row>
    <row r="6719" spans="3:10" x14ac:dyDescent="0.25">
      <c r="C6719" s="300" t="s">
        <v>1065</v>
      </c>
      <c r="D6719" s="283" t="s">
        <v>1077</v>
      </c>
      <c r="E6719" s="283" t="s">
        <v>1080</v>
      </c>
      <c r="F6719" s="283" t="s">
        <v>1076</v>
      </c>
      <c r="G6719" s="283">
        <v>2</v>
      </c>
      <c r="H6719" s="283">
        <v>0</v>
      </c>
      <c r="I6719" s="283">
        <v>0</v>
      </c>
      <c r="J6719" s="284">
        <v>0</v>
      </c>
    </row>
    <row r="6720" spans="3:10" x14ac:dyDescent="0.25">
      <c r="C6720" s="300" t="s">
        <v>1065</v>
      </c>
      <c r="D6720" s="283" t="s">
        <v>1077</v>
      </c>
      <c r="E6720" s="283" t="s">
        <v>1084</v>
      </c>
      <c r="F6720" s="283" t="s">
        <v>1075</v>
      </c>
      <c r="G6720" s="283">
        <v>2</v>
      </c>
      <c r="H6720" s="283">
        <v>0</v>
      </c>
      <c r="I6720" s="283">
        <v>0</v>
      </c>
      <c r="J6720" s="284">
        <v>0</v>
      </c>
    </row>
    <row r="6721" spans="3:10" x14ac:dyDescent="0.25">
      <c r="C6721" s="300" t="s">
        <v>1066</v>
      </c>
      <c r="D6721" s="283" t="s">
        <v>1079</v>
      </c>
      <c r="E6721" s="283" t="s">
        <v>1075</v>
      </c>
      <c r="F6721" s="283" t="s">
        <v>1083</v>
      </c>
      <c r="G6721" s="283">
        <v>2</v>
      </c>
      <c r="H6721" s="283">
        <v>0</v>
      </c>
      <c r="I6721" s="283">
        <v>0</v>
      </c>
      <c r="J6721" s="284">
        <v>0</v>
      </c>
    </row>
    <row r="6722" spans="3:10" x14ac:dyDescent="0.25">
      <c r="C6722" s="300" t="s">
        <v>1062</v>
      </c>
      <c r="D6722" s="283" t="s">
        <v>1079</v>
      </c>
      <c r="E6722" s="283" t="s">
        <v>1075</v>
      </c>
      <c r="F6722" s="283" t="s">
        <v>1075</v>
      </c>
      <c r="G6722" s="283">
        <v>2</v>
      </c>
      <c r="H6722" s="283">
        <v>0</v>
      </c>
      <c r="I6722" s="283">
        <v>0</v>
      </c>
      <c r="J6722" s="284">
        <v>0</v>
      </c>
    </row>
    <row r="6723" spans="3:10" x14ac:dyDescent="0.25">
      <c r="C6723" s="300" t="s">
        <v>1065</v>
      </c>
      <c r="D6723" s="283" t="s">
        <v>1077</v>
      </c>
      <c r="E6723" s="283" t="s">
        <v>1075</v>
      </c>
      <c r="F6723" s="283" t="s">
        <v>1075</v>
      </c>
      <c r="G6723" s="283">
        <v>2</v>
      </c>
      <c r="H6723" s="283">
        <v>0</v>
      </c>
      <c r="I6723" s="283">
        <v>0</v>
      </c>
      <c r="J6723" s="284">
        <v>0</v>
      </c>
    </row>
    <row r="6724" spans="3:10" x14ac:dyDescent="0.25">
      <c r="C6724" s="300" t="s">
        <v>1068</v>
      </c>
      <c r="D6724" s="283" t="s">
        <v>1079</v>
      </c>
      <c r="E6724" s="283" t="s">
        <v>1075</v>
      </c>
      <c r="F6724" s="283" t="s">
        <v>1075</v>
      </c>
      <c r="G6724" s="283">
        <v>2</v>
      </c>
      <c r="H6724" s="283">
        <v>0</v>
      </c>
      <c r="I6724" s="283">
        <v>0</v>
      </c>
      <c r="J6724" s="284">
        <v>1</v>
      </c>
    </row>
    <row r="6725" spans="3:10" x14ac:dyDescent="0.25">
      <c r="C6725" s="300" t="s">
        <v>1065</v>
      </c>
      <c r="D6725" s="283" t="s">
        <v>1079</v>
      </c>
      <c r="E6725" s="283" t="s">
        <v>1078</v>
      </c>
      <c r="F6725" s="283" t="s">
        <v>1089</v>
      </c>
      <c r="G6725" s="283">
        <v>3</v>
      </c>
      <c r="H6725" s="283">
        <v>0</v>
      </c>
      <c r="I6725" s="283">
        <v>0</v>
      </c>
      <c r="J6725" s="284">
        <v>0</v>
      </c>
    </row>
    <row r="6726" spans="3:10" x14ac:dyDescent="0.25">
      <c r="C6726" s="300" t="s">
        <v>1065</v>
      </c>
      <c r="D6726" s="283" t="s">
        <v>1074</v>
      </c>
      <c r="E6726" s="283" t="s">
        <v>1084</v>
      </c>
      <c r="F6726" s="283" t="s">
        <v>1044</v>
      </c>
      <c r="G6726" s="283">
        <v>2</v>
      </c>
      <c r="H6726" s="283">
        <v>0</v>
      </c>
      <c r="I6726" s="283">
        <v>0</v>
      </c>
      <c r="J6726" s="284">
        <v>0</v>
      </c>
    </row>
    <row r="6727" spans="3:10" x14ac:dyDescent="0.25">
      <c r="C6727" s="300" t="s">
        <v>1063</v>
      </c>
      <c r="D6727" s="283" t="s">
        <v>1074</v>
      </c>
      <c r="E6727" s="283" t="s">
        <v>1075</v>
      </c>
      <c r="F6727" s="283" t="s">
        <v>1075</v>
      </c>
      <c r="G6727" s="283">
        <v>2</v>
      </c>
      <c r="H6727" s="283">
        <v>0</v>
      </c>
      <c r="I6727" s="283">
        <v>0</v>
      </c>
      <c r="J6727" s="284">
        <v>0</v>
      </c>
    </row>
    <row r="6728" spans="3:10" x14ac:dyDescent="0.25">
      <c r="C6728" s="300" t="s">
        <v>1062</v>
      </c>
      <c r="D6728" s="283" t="s">
        <v>1074</v>
      </c>
      <c r="E6728" s="283" t="s">
        <v>1075</v>
      </c>
      <c r="F6728" s="283" t="s">
        <v>1089</v>
      </c>
      <c r="G6728" s="283">
        <v>2</v>
      </c>
      <c r="H6728" s="283">
        <v>0</v>
      </c>
      <c r="I6728" s="283">
        <v>0</v>
      </c>
      <c r="J6728" s="284">
        <v>0</v>
      </c>
    </row>
    <row r="6729" spans="3:10" x14ac:dyDescent="0.25">
      <c r="C6729" s="300" t="s">
        <v>1063</v>
      </c>
      <c r="D6729" s="283" t="s">
        <v>1077</v>
      </c>
      <c r="E6729" s="283" t="s">
        <v>1080</v>
      </c>
      <c r="F6729" s="283" t="s">
        <v>1075</v>
      </c>
      <c r="G6729" s="283">
        <v>2</v>
      </c>
      <c r="H6729" s="283">
        <v>0</v>
      </c>
      <c r="I6729" s="283">
        <v>0</v>
      </c>
      <c r="J6729" s="284">
        <v>0</v>
      </c>
    </row>
    <row r="6730" spans="3:10" x14ac:dyDescent="0.25">
      <c r="C6730" s="300" t="s">
        <v>1061</v>
      </c>
      <c r="D6730" s="283" t="s">
        <v>1079</v>
      </c>
      <c r="E6730" s="283" t="s">
        <v>1075</v>
      </c>
      <c r="F6730" s="283" t="s">
        <v>1086</v>
      </c>
      <c r="G6730" s="283">
        <v>2</v>
      </c>
      <c r="H6730" s="283">
        <v>0</v>
      </c>
      <c r="I6730" s="283">
        <v>0</v>
      </c>
      <c r="J6730" s="284">
        <v>0</v>
      </c>
    </row>
    <row r="6731" spans="3:10" x14ac:dyDescent="0.25">
      <c r="C6731" s="300" t="s">
        <v>1063</v>
      </c>
      <c r="D6731" s="283" t="s">
        <v>1077</v>
      </c>
      <c r="E6731" s="283" t="s">
        <v>1076</v>
      </c>
      <c r="F6731" s="283" t="s">
        <v>1089</v>
      </c>
      <c r="G6731" s="283">
        <v>2</v>
      </c>
      <c r="H6731" s="283">
        <v>0</v>
      </c>
      <c r="I6731" s="283">
        <v>0</v>
      </c>
      <c r="J6731" s="284">
        <v>0</v>
      </c>
    </row>
    <row r="6732" spans="3:10" x14ac:dyDescent="0.25">
      <c r="C6732" s="300" t="s">
        <v>1066</v>
      </c>
      <c r="D6732" s="283" t="s">
        <v>1074</v>
      </c>
      <c r="E6732" s="283" t="s">
        <v>1089</v>
      </c>
      <c r="F6732" s="283" t="s">
        <v>1075</v>
      </c>
      <c r="G6732" s="283">
        <v>2</v>
      </c>
      <c r="H6732" s="283">
        <v>0</v>
      </c>
      <c r="I6732" s="283">
        <v>0</v>
      </c>
      <c r="J6732" s="284">
        <v>0</v>
      </c>
    </row>
    <row r="6733" spans="3:10" x14ac:dyDescent="0.25">
      <c r="C6733" s="300" t="s">
        <v>1064</v>
      </c>
      <c r="D6733" s="283" t="s">
        <v>1079</v>
      </c>
      <c r="E6733" s="283" t="s">
        <v>1076</v>
      </c>
      <c r="F6733" s="283" t="s">
        <v>1086</v>
      </c>
      <c r="G6733" s="283">
        <v>2</v>
      </c>
      <c r="H6733" s="283">
        <v>0</v>
      </c>
      <c r="I6733" s="283">
        <v>0</v>
      </c>
      <c r="J6733" s="284">
        <v>0</v>
      </c>
    </row>
    <row r="6734" spans="3:10" x14ac:dyDescent="0.25">
      <c r="C6734" s="300" t="s">
        <v>1060</v>
      </c>
      <c r="D6734" s="283" t="s">
        <v>1082</v>
      </c>
      <c r="E6734" s="283" t="s">
        <v>1078</v>
      </c>
      <c r="F6734" s="283" t="s">
        <v>1089</v>
      </c>
      <c r="G6734" s="283">
        <v>2</v>
      </c>
      <c r="H6734" s="283">
        <v>0</v>
      </c>
      <c r="I6734" s="283">
        <v>0</v>
      </c>
      <c r="J6734" s="284">
        <v>0</v>
      </c>
    </row>
    <row r="6735" spans="3:10" x14ac:dyDescent="0.25">
      <c r="C6735" s="300" t="s">
        <v>1061</v>
      </c>
      <c r="D6735" s="283" t="s">
        <v>1077</v>
      </c>
      <c r="E6735" s="283" t="s">
        <v>1086</v>
      </c>
      <c r="F6735" s="283" t="s">
        <v>1089</v>
      </c>
      <c r="G6735" s="283">
        <v>2</v>
      </c>
      <c r="H6735" s="283">
        <v>0</v>
      </c>
      <c r="I6735" s="283">
        <v>0</v>
      </c>
      <c r="J6735" s="284">
        <v>0</v>
      </c>
    </row>
    <row r="6736" spans="3:10" x14ac:dyDescent="0.25">
      <c r="C6736" s="300" t="s">
        <v>1067</v>
      </c>
      <c r="D6736" s="283" t="s">
        <v>1079</v>
      </c>
      <c r="E6736" s="283" t="s">
        <v>1086</v>
      </c>
      <c r="F6736" s="283" t="s">
        <v>1075</v>
      </c>
      <c r="G6736" s="283">
        <v>3</v>
      </c>
      <c r="H6736" s="283">
        <v>0</v>
      </c>
      <c r="I6736" s="283">
        <v>0</v>
      </c>
      <c r="J6736" s="284">
        <v>0</v>
      </c>
    </row>
    <row r="6737" spans="3:10" x14ac:dyDescent="0.25">
      <c r="C6737" s="300" t="s">
        <v>1060</v>
      </c>
      <c r="D6737" s="283" t="s">
        <v>1079</v>
      </c>
      <c r="E6737" s="283" t="s">
        <v>1085</v>
      </c>
      <c r="F6737" s="283" t="s">
        <v>1089</v>
      </c>
      <c r="G6737" s="283">
        <v>2</v>
      </c>
      <c r="H6737" s="283">
        <v>0</v>
      </c>
      <c r="I6737" s="283">
        <v>0</v>
      </c>
      <c r="J6737" s="284">
        <v>0</v>
      </c>
    </row>
    <row r="6738" spans="3:10" x14ac:dyDescent="0.25">
      <c r="C6738" s="300" t="s">
        <v>1064</v>
      </c>
      <c r="D6738" s="283" t="s">
        <v>1077</v>
      </c>
      <c r="E6738" s="283" t="s">
        <v>1075</v>
      </c>
      <c r="F6738" s="283" t="s">
        <v>1089</v>
      </c>
      <c r="G6738" s="283">
        <v>2</v>
      </c>
      <c r="H6738" s="283">
        <v>0</v>
      </c>
      <c r="I6738" s="283">
        <v>0</v>
      </c>
      <c r="J6738" s="284">
        <v>0</v>
      </c>
    </row>
    <row r="6739" spans="3:10" x14ac:dyDescent="0.25">
      <c r="C6739" s="300" t="s">
        <v>1061</v>
      </c>
      <c r="D6739" s="283" t="s">
        <v>1079</v>
      </c>
      <c r="E6739" s="283" t="s">
        <v>1075</v>
      </c>
      <c r="F6739" s="283" t="s">
        <v>1076</v>
      </c>
      <c r="G6739" s="283">
        <v>2</v>
      </c>
      <c r="H6739" s="283">
        <v>0</v>
      </c>
      <c r="I6739" s="283">
        <v>0</v>
      </c>
      <c r="J6739" s="284">
        <v>0</v>
      </c>
    </row>
    <row r="6740" spans="3:10" x14ac:dyDescent="0.25">
      <c r="C6740" s="300" t="s">
        <v>1060</v>
      </c>
      <c r="D6740" s="283" t="s">
        <v>1079</v>
      </c>
      <c r="E6740" s="283" t="s">
        <v>1075</v>
      </c>
      <c r="F6740" s="283" t="s">
        <v>1075</v>
      </c>
      <c r="G6740" s="283">
        <v>2</v>
      </c>
      <c r="H6740" s="283">
        <v>0</v>
      </c>
      <c r="I6740" s="283">
        <v>0</v>
      </c>
      <c r="J6740" s="284">
        <v>0</v>
      </c>
    </row>
    <row r="6741" spans="3:10" x14ac:dyDescent="0.25">
      <c r="C6741" s="300" t="s">
        <v>1065</v>
      </c>
      <c r="D6741" s="283" t="s">
        <v>1079</v>
      </c>
      <c r="E6741" s="283" t="s">
        <v>1075</v>
      </c>
      <c r="F6741" s="283" t="s">
        <v>1075</v>
      </c>
      <c r="G6741" s="283">
        <v>2</v>
      </c>
      <c r="H6741" s="283">
        <v>0</v>
      </c>
      <c r="I6741" s="283">
        <v>0</v>
      </c>
      <c r="J6741" s="284">
        <v>0</v>
      </c>
    </row>
    <row r="6742" spans="3:10" x14ac:dyDescent="0.25">
      <c r="C6742" s="300" t="s">
        <v>1061</v>
      </c>
      <c r="D6742" s="283" t="s">
        <v>1077</v>
      </c>
      <c r="E6742" s="283" t="s">
        <v>1075</v>
      </c>
      <c r="F6742" s="283" t="s">
        <v>1075</v>
      </c>
      <c r="G6742" s="283">
        <v>4</v>
      </c>
      <c r="H6742" s="283">
        <v>0</v>
      </c>
      <c r="I6742" s="283">
        <v>0</v>
      </c>
      <c r="J6742" s="284">
        <v>1</v>
      </c>
    </row>
    <row r="6743" spans="3:10" x14ac:dyDescent="0.25">
      <c r="C6743" s="300" t="s">
        <v>1066</v>
      </c>
      <c r="D6743" s="283" t="s">
        <v>1090</v>
      </c>
      <c r="E6743" s="283" t="s">
        <v>1089</v>
      </c>
      <c r="F6743" s="283" t="s">
        <v>524</v>
      </c>
      <c r="G6743" s="283">
        <v>1</v>
      </c>
      <c r="H6743" s="283">
        <v>0</v>
      </c>
      <c r="I6743" s="283">
        <v>0</v>
      </c>
      <c r="J6743" s="284">
        <v>1</v>
      </c>
    </row>
    <row r="6744" spans="3:10" x14ac:dyDescent="0.25">
      <c r="C6744" s="300" t="s">
        <v>1060</v>
      </c>
      <c r="D6744" s="283" t="s">
        <v>1090</v>
      </c>
      <c r="E6744" s="283" t="s">
        <v>1083</v>
      </c>
      <c r="F6744" s="283" t="s">
        <v>524</v>
      </c>
      <c r="G6744" s="283">
        <v>1</v>
      </c>
      <c r="H6744" s="283">
        <v>0</v>
      </c>
      <c r="I6744" s="283">
        <v>0</v>
      </c>
      <c r="J6744" s="284">
        <v>0</v>
      </c>
    </row>
    <row r="6745" spans="3:10" x14ac:dyDescent="0.25">
      <c r="C6745" s="300" t="s">
        <v>1063</v>
      </c>
      <c r="D6745" s="283" t="s">
        <v>1077</v>
      </c>
      <c r="E6745" s="283" t="s">
        <v>1075</v>
      </c>
      <c r="F6745" s="283" t="s">
        <v>1078</v>
      </c>
      <c r="G6745" s="283">
        <v>2</v>
      </c>
      <c r="H6745" s="283">
        <v>0</v>
      </c>
      <c r="I6745" s="283">
        <v>0</v>
      </c>
      <c r="J6745" s="284">
        <v>0</v>
      </c>
    </row>
    <row r="6746" spans="3:10" x14ac:dyDescent="0.25">
      <c r="C6746" s="300" t="s">
        <v>1062</v>
      </c>
      <c r="D6746" s="283" t="s">
        <v>1074</v>
      </c>
      <c r="E6746" s="283" t="s">
        <v>1075</v>
      </c>
      <c r="F6746" s="283" t="s">
        <v>1075</v>
      </c>
      <c r="G6746" s="283">
        <v>2</v>
      </c>
      <c r="H6746" s="283">
        <v>0</v>
      </c>
      <c r="I6746" s="283">
        <v>0</v>
      </c>
      <c r="J6746" s="284">
        <v>0</v>
      </c>
    </row>
    <row r="6747" spans="3:10" x14ac:dyDescent="0.25">
      <c r="C6747" s="300" t="s">
        <v>1067</v>
      </c>
      <c r="D6747" s="283" t="s">
        <v>1087</v>
      </c>
      <c r="E6747" s="283" t="s">
        <v>1089</v>
      </c>
      <c r="F6747" s="283" t="s">
        <v>524</v>
      </c>
      <c r="G6747" s="283">
        <v>1</v>
      </c>
      <c r="H6747" s="283">
        <v>0</v>
      </c>
      <c r="I6747" s="283">
        <v>0</v>
      </c>
      <c r="J6747" s="284">
        <v>0</v>
      </c>
    </row>
    <row r="6748" spans="3:10" x14ac:dyDescent="0.25">
      <c r="C6748" s="300" t="s">
        <v>1061</v>
      </c>
      <c r="D6748" s="283" t="s">
        <v>1087</v>
      </c>
      <c r="E6748" s="283" t="s">
        <v>1089</v>
      </c>
      <c r="F6748" s="283" t="s">
        <v>524</v>
      </c>
      <c r="G6748" s="283">
        <v>1</v>
      </c>
      <c r="H6748" s="283">
        <v>0</v>
      </c>
      <c r="I6748" s="283">
        <v>0</v>
      </c>
      <c r="J6748" s="284">
        <v>0</v>
      </c>
    </row>
    <row r="6749" spans="3:10" x14ac:dyDescent="0.25">
      <c r="C6749" s="300" t="s">
        <v>1063</v>
      </c>
      <c r="D6749" s="283" t="s">
        <v>1074</v>
      </c>
      <c r="E6749" s="283" t="s">
        <v>1075</v>
      </c>
      <c r="F6749" s="283" t="s">
        <v>1075</v>
      </c>
      <c r="G6749" s="283">
        <v>3</v>
      </c>
      <c r="H6749" s="283">
        <v>0</v>
      </c>
      <c r="I6749" s="283">
        <v>0</v>
      </c>
      <c r="J6749" s="284">
        <v>0</v>
      </c>
    </row>
    <row r="6750" spans="3:10" x14ac:dyDescent="0.25">
      <c r="C6750" s="300" t="s">
        <v>1066</v>
      </c>
      <c r="D6750" s="283" t="s">
        <v>1079</v>
      </c>
      <c r="E6750" s="283" t="s">
        <v>1075</v>
      </c>
      <c r="F6750" s="283" t="s">
        <v>1075</v>
      </c>
      <c r="G6750" s="283">
        <v>2</v>
      </c>
      <c r="H6750" s="283">
        <v>0</v>
      </c>
      <c r="I6750" s="283">
        <v>0</v>
      </c>
      <c r="J6750" s="284">
        <v>0</v>
      </c>
    </row>
    <row r="6751" spans="3:10" x14ac:dyDescent="0.25">
      <c r="C6751" s="300" t="s">
        <v>1064</v>
      </c>
      <c r="D6751" s="283" t="s">
        <v>1079</v>
      </c>
      <c r="E6751" s="283" t="s">
        <v>1100</v>
      </c>
      <c r="F6751" s="283" t="s">
        <v>1075</v>
      </c>
      <c r="G6751" s="283">
        <v>2</v>
      </c>
      <c r="H6751" s="283">
        <v>0</v>
      </c>
      <c r="I6751" s="283">
        <v>0</v>
      </c>
      <c r="J6751" s="284">
        <v>0</v>
      </c>
    </row>
    <row r="6752" spans="3:10" x14ac:dyDescent="0.25">
      <c r="C6752" s="300" t="s">
        <v>1060</v>
      </c>
      <c r="D6752" s="283" t="s">
        <v>1077</v>
      </c>
      <c r="E6752" s="283" t="s">
        <v>1084</v>
      </c>
      <c r="F6752" s="283" t="s">
        <v>1076</v>
      </c>
      <c r="G6752" s="283">
        <v>3</v>
      </c>
      <c r="H6752" s="283">
        <v>0</v>
      </c>
      <c r="I6752" s="283">
        <v>0</v>
      </c>
      <c r="J6752" s="284">
        <v>0</v>
      </c>
    </row>
    <row r="6753" spans="3:10" x14ac:dyDescent="0.25">
      <c r="C6753" s="300" t="s">
        <v>1065</v>
      </c>
      <c r="D6753" s="283" t="s">
        <v>1079</v>
      </c>
      <c r="E6753" s="283" t="s">
        <v>1076</v>
      </c>
      <c r="F6753" s="283" t="s">
        <v>1075</v>
      </c>
      <c r="G6753" s="283">
        <v>2</v>
      </c>
      <c r="H6753" s="283">
        <v>0</v>
      </c>
      <c r="I6753" s="283">
        <v>0</v>
      </c>
      <c r="J6753" s="284">
        <v>0</v>
      </c>
    </row>
    <row r="6754" spans="3:10" x14ac:dyDescent="0.25">
      <c r="C6754" s="300" t="s">
        <v>1060</v>
      </c>
      <c r="D6754" s="283" t="s">
        <v>1079</v>
      </c>
      <c r="E6754" s="283" t="s">
        <v>1075</v>
      </c>
      <c r="F6754" s="283" t="s">
        <v>1076</v>
      </c>
      <c r="G6754" s="283">
        <v>2</v>
      </c>
      <c r="H6754" s="283">
        <v>0</v>
      </c>
      <c r="I6754" s="283">
        <v>0</v>
      </c>
      <c r="J6754" s="284">
        <v>0</v>
      </c>
    </row>
    <row r="6755" spans="3:10" x14ac:dyDescent="0.25">
      <c r="C6755" s="300" t="s">
        <v>1061</v>
      </c>
      <c r="D6755" s="283" t="s">
        <v>1087</v>
      </c>
      <c r="E6755" s="283" t="s">
        <v>1075</v>
      </c>
      <c r="F6755" s="283" t="s">
        <v>524</v>
      </c>
      <c r="G6755" s="283">
        <v>1</v>
      </c>
      <c r="H6755" s="283">
        <v>0</v>
      </c>
      <c r="I6755" s="283">
        <v>0</v>
      </c>
      <c r="J6755" s="284">
        <v>0</v>
      </c>
    </row>
    <row r="6756" spans="3:10" x14ac:dyDescent="0.25">
      <c r="C6756" s="300" t="s">
        <v>1065</v>
      </c>
      <c r="D6756" s="283" t="s">
        <v>1074</v>
      </c>
      <c r="E6756" s="283" t="s">
        <v>1089</v>
      </c>
      <c r="F6756" s="283" t="s">
        <v>1089</v>
      </c>
      <c r="G6756" s="283">
        <v>2</v>
      </c>
      <c r="H6756" s="283">
        <v>0</v>
      </c>
      <c r="I6756" s="283">
        <v>0</v>
      </c>
      <c r="J6756" s="284">
        <v>0</v>
      </c>
    </row>
    <row r="6757" spans="3:10" x14ac:dyDescent="0.25">
      <c r="C6757" s="300" t="s">
        <v>1060</v>
      </c>
      <c r="D6757" s="283" t="s">
        <v>1077</v>
      </c>
      <c r="E6757" s="283" t="s">
        <v>1076</v>
      </c>
      <c r="F6757" s="283" t="s">
        <v>1089</v>
      </c>
      <c r="G6757" s="283">
        <v>3</v>
      </c>
      <c r="H6757" s="283">
        <v>0</v>
      </c>
      <c r="I6757" s="283">
        <v>0</v>
      </c>
      <c r="J6757" s="284">
        <v>0</v>
      </c>
    </row>
    <row r="6758" spans="3:10" x14ac:dyDescent="0.25">
      <c r="C6758" s="300" t="s">
        <v>1065</v>
      </c>
      <c r="D6758" s="283" t="s">
        <v>1082</v>
      </c>
      <c r="E6758" s="283" t="s">
        <v>1075</v>
      </c>
      <c r="F6758" s="283" t="s">
        <v>1089</v>
      </c>
      <c r="G6758" s="283">
        <v>2</v>
      </c>
      <c r="H6758" s="283">
        <v>0</v>
      </c>
      <c r="I6758" s="283">
        <v>0</v>
      </c>
      <c r="J6758" s="284">
        <v>0</v>
      </c>
    </row>
    <row r="6759" spans="3:10" x14ac:dyDescent="0.25">
      <c r="C6759" s="300" t="s">
        <v>1067</v>
      </c>
      <c r="D6759" s="283" t="s">
        <v>1082</v>
      </c>
      <c r="E6759" s="283" t="s">
        <v>1075</v>
      </c>
      <c r="F6759" s="283" t="s">
        <v>1076</v>
      </c>
      <c r="G6759" s="283">
        <v>2</v>
      </c>
      <c r="H6759" s="283">
        <v>0</v>
      </c>
      <c r="I6759" s="283">
        <v>0</v>
      </c>
      <c r="J6759" s="284">
        <v>0</v>
      </c>
    </row>
    <row r="6760" spans="3:10" x14ac:dyDescent="0.25">
      <c r="C6760" s="300" t="s">
        <v>1060</v>
      </c>
      <c r="D6760" s="283" t="s">
        <v>1077</v>
      </c>
      <c r="E6760" s="283" t="s">
        <v>1075</v>
      </c>
      <c r="F6760" s="283" t="s">
        <v>1075</v>
      </c>
      <c r="G6760" s="283">
        <v>2</v>
      </c>
      <c r="H6760" s="283">
        <v>0</v>
      </c>
      <c r="I6760" s="283">
        <v>0</v>
      </c>
      <c r="J6760" s="284">
        <v>0</v>
      </c>
    </row>
    <row r="6761" spans="3:10" x14ac:dyDescent="0.25">
      <c r="C6761" s="300" t="s">
        <v>1063</v>
      </c>
      <c r="D6761" s="283" t="s">
        <v>1077</v>
      </c>
      <c r="E6761" s="283" t="s">
        <v>1089</v>
      </c>
      <c r="F6761" s="283" t="s">
        <v>1075</v>
      </c>
      <c r="G6761" s="283">
        <v>2</v>
      </c>
      <c r="H6761" s="283">
        <v>0</v>
      </c>
      <c r="I6761" s="283">
        <v>0</v>
      </c>
      <c r="J6761" s="284">
        <v>0</v>
      </c>
    </row>
    <row r="6762" spans="3:10" x14ac:dyDescent="0.25">
      <c r="C6762" s="300" t="s">
        <v>1062</v>
      </c>
      <c r="D6762" s="283" t="s">
        <v>1087</v>
      </c>
      <c r="E6762" s="283" t="s">
        <v>1080</v>
      </c>
      <c r="F6762" s="283" t="s">
        <v>524</v>
      </c>
      <c r="G6762" s="283">
        <v>1</v>
      </c>
      <c r="H6762" s="283">
        <v>0</v>
      </c>
      <c r="I6762" s="283">
        <v>0</v>
      </c>
      <c r="J6762" s="284">
        <v>0</v>
      </c>
    </row>
    <row r="6763" spans="3:10" x14ac:dyDescent="0.25">
      <c r="C6763" s="300" t="s">
        <v>1059</v>
      </c>
      <c r="D6763" s="283" t="s">
        <v>1077</v>
      </c>
      <c r="E6763" s="283" t="s">
        <v>1075</v>
      </c>
      <c r="F6763" s="283" t="s">
        <v>1086</v>
      </c>
      <c r="G6763" s="283">
        <v>2</v>
      </c>
      <c r="H6763" s="283">
        <v>0</v>
      </c>
      <c r="I6763" s="283">
        <v>0</v>
      </c>
      <c r="J6763" s="284">
        <v>0</v>
      </c>
    </row>
    <row r="6764" spans="3:10" x14ac:dyDescent="0.25">
      <c r="C6764" s="300" t="s">
        <v>1061</v>
      </c>
      <c r="D6764" s="283" t="s">
        <v>1077</v>
      </c>
      <c r="E6764" s="283" t="s">
        <v>1084</v>
      </c>
      <c r="F6764" s="283" t="s">
        <v>1075</v>
      </c>
      <c r="G6764" s="283">
        <v>3</v>
      </c>
      <c r="H6764" s="283">
        <v>0</v>
      </c>
      <c r="I6764" s="283">
        <v>0</v>
      </c>
      <c r="J6764" s="284">
        <v>1</v>
      </c>
    </row>
    <row r="6765" spans="3:10" x14ac:dyDescent="0.25">
      <c r="C6765" s="300" t="s">
        <v>1061</v>
      </c>
      <c r="D6765" s="283" t="s">
        <v>1077</v>
      </c>
      <c r="E6765" s="283" t="s">
        <v>1078</v>
      </c>
      <c r="F6765" s="283" t="s">
        <v>1089</v>
      </c>
      <c r="G6765" s="283">
        <v>2</v>
      </c>
      <c r="H6765" s="283">
        <v>0</v>
      </c>
      <c r="I6765" s="283">
        <v>0</v>
      </c>
      <c r="J6765" s="284">
        <v>0</v>
      </c>
    </row>
    <row r="6766" spans="3:10" x14ac:dyDescent="0.25">
      <c r="C6766" s="300" t="s">
        <v>1065</v>
      </c>
      <c r="D6766" s="283" t="s">
        <v>1079</v>
      </c>
      <c r="E6766" s="283" t="s">
        <v>1078</v>
      </c>
      <c r="F6766" s="283" t="s">
        <v>1075</v>
      </c>
      <c r="G6766" s="283">
        <v>2</v>
      </c>
      <c r="H6766" s="283">
        <v>0</v>
      </c>
      <c r="I6766" s="283">
        <v>0</v>
      </c>
      <c r="J6766" s="284">
        <v>0</v>
      </c>
    </row>
    <row r="6767" spans="3:10" x14ac:dyDescent="0.25">
      <c r="C6767" s="300" t="s">
        <v>1064</v>
      </c>
      <c r="D6767" s="283" t="s">
        <v>1079</v>
      </c>
      <c r="E6767" s="283" t="s">
        <v>1080</v>
      </c>
      <c r="F6767" s="283" t="s">
        <v>1078</v>
      </c>
      <c r="G6767" s="283">
        <v>2</v>
      </c>
      <c r="H6767" s="283">
        <v>0</v>
      </c>
      <c r="I6767" s="283">
        <v>0</v>
      </c>
      <c r="J6767" s="284">
        <v>0</v>
      </c>
    </row>
    <row r="6768" spans="3:10" x14ac:dyDescent="0.25">
      <c r="C6768" s="300" t="s">
        <v>1063</v>
      </c>
      <c r="D6768" s="283" t="s">
        <v>1079</v>
      </c>
      <c r="E6768" s="283" t="s">
        <v>1089</v>
      </c>
      <c r="F6768" s="283" t="s">
        <v>1075</v>
      </c>
      <c r="G6768" s="283">
        <v>2</v>
      </c>
      <c r="H6768" s="283">
        <v>0</v>
      </c>
      <c r="I6768" s="283">
        <v>0</v>
      </c>
      <c r="J6768" s="284">
        <v>0</v>
      </c>
    </row>
    <row r="6769" spans="3:10" x14ac:dyDescent="0.25">
      <c r="C6769" s="300" t="s">
        <v>1060</v>
      </c>
      <c r="D6769" s="283" t="s">
        <v>1079</v>
      </c>
      <c r="E6769" s="283" t="s">
        <v>1075</v>
      </c>
      <c r="F6769" s="283" t="s">
        <v>1075</v>
      </c>
      <c r="G6769" s="283">
        <v>2</v>
      </c>
      <c r="H6769" s="283">
        <v>0</v>
      </c>
      <c r="I6769" s="283">
        <v>0</v>
      </c>
      <c r="J6769" s="284">
        <v>0</v>
      </c>
    </row>
    <row r="6770" spans="3:10" x14ac:dyDescent="0.25">
      <c r="C6770" s="300" t="s">
        <v>1064</v>
      </c>
      <c r="D6770" s="283" t="s">
        <v>1077</v>
      </c>
      <c r="E6770" s="283" t="s">
        <v>1089</v>
      </c>
      <c r="F6770" s="283" t="s">
        <v>1075</v>
      </c>
      <c r="G6770" s="283">
        <v>2</v>
      </c>
      <c r="H6770" s="283">
        <v>0</v>
      </c>
      <c r="I6770" s="283">
        <v>0</v>
      </c>
      <c r="J6770" s="284">
        <v>0</v>
      </c>
    </row>
    <row r="6771" spans="3:10" x14ac:dyDescent="0.25">
      <c r="C6771" s="300" t="s">
        <v>1058</v>
      </c>
      <c r="D6771" s="283" t="s">
        <v>1079</v>
      </c>
      <c r="E6771" s="283" t="s">
        <v>1075</v>
      </c>
      <c r="F6771" s="283" t="s">
        <v>1089</v>
      </c>
      <c r="G6771" s="283">
        <v>2</v>
      </c>
      <c r="H6771" s="283">
        <v>0</v>
      </c>
      <c r="I6771" s="283">
        <v>0</v>
      </c>
      <c r="J6771" s="284">
        <v>1</v>
      </c>
    </row>
    <row r="6772" spans="3:10" x14ac:dyDescent="0.25">
      <c r="C6772" s="300" t="s">
        <v>1065</v>
      </c>
      <c r="D6772" s="283" t="s">
        <v>1079</v>
      </c>
      <c r="E6772" s="283" t="s">
        <v>1075</v>
      </c>
      <c r="F6772" s="283" t="s">
        <v>1075</v>
      </c>
      <c r="G6772" s="283">
        <v>2</v>
      </c>
      <c r="H6772" s="283">
        <v>0</v>
      </c>
      <c r="I6772" s="283">
        <v>0</v>
      </c>
      <c r="J6772" s="284">
        <v>0</v>
      </c>
    </row>
    <row r="6773" spans="3:10" x14ac:dyDescent="0.25">
      <c r="C6773" s="300" t="s">
        <v>1065</v>
      </c>
      <c r="D6773" s="283" t="s">
        <v>1079</v>
      </c>
      <c r="E6773" s="283" t="s">
        <v>1088</v>
      </c>
      <c r="F6773" s="283" t="s">
        <v>1075</v>
      </c>
      <c r="G6773" s="283">
        <v>2</v>
      </c>
      <c r="H6773" s="283">
        <v>0</v>
      </c>
      <c r="I6773" s="283">
        <v>1</v>
      </c>
      <c r="J6773" s="284">
        <v>0</v>
      </c>
    </row>
    <row r="6774" spans="3:10" x14ac:dyDescent="0.25">
      <c r="C6774" s="300" t="s">
        <v>1064</v>
      </c>
      <c r="D6774" s="283" t="s">
        <v>1087</v>
      </c>
      <c r="E6774" s="283" t="s">
        <v>1078</v>
      </c>
      <c r="F6774" s="283" t="s">
        <v>524</v>
      </c>
      <c r="G6774" s="283">
        <v>2</v>
      </c>
      <c r="H6774" s="283">
        <v>0</v>
      </c>
      <c r="I6774" s="283">
        <v>0</v>
      </c>
      <c r="J6774" s="284">
        <v>0</v>
      </c>
    </row>
    <row r="6775" spans="3:10" x14ac:dyDescent="0.25">
      <c r="C6775" s="300" t="s">
        <v>1060</v>
      </c>
      <c r="D6775" s="283" t="s">
        <v>1043</v>
      </c>
      <c r="E6775" s="283" t="s">
        <v>1089</v>
      </c>
      <c r="F6775" s="283" t="s">
        <v>1092</v>
      </c>
      <c r="G6775" s="283">
        <v>2</v>
      </c>
      <c r="H6775" s="283">
        <v>0</v>
      </c>
      <c r="I6775" s="283">
        <v>0</v>
      </c>
      <c r="J6775" s="284">
        <v>0</v>
      </c>
    </row>
    <row r="6776" spans="3:10" x14ac:dyDescent="0.25">
      <c r="C6776" s="300" t="s">
        <v>1065</v>
      </c>
      <c r="D6776" s="283" t="s">
        <v>1079</v>
      </c>
      <c r="E6776" s="283" t="s">
        <v>1075</v>
      </c>
      <c r="F6776" s="283" t="s">
        <v>1089</v>
      </c>
      <c r="G6776" s="283">
        <v>2</v>
      </c>
      <c r="H6776" s="283">
        <v>0</v>
      </c>
      <c r="I6776" s="283">
        <v>0</v>
      </c>
      <c r="J6776" s="284">
        <v>0</v>
      </c>
    </row>
    <row r="6777" spans="3:10" x14ac:dyDescent="0.25">
      <c r="C6777" s="300" t="s">
        <v>1064</v>
      </c>
      <c r="D6777" s="283" t="s">
        <v>1079</v>
      </c>
      <c r="E6777" s="283" t="s">
        <v>1075</v>
      </c>
      <c r="F6777" s="283" t="s">
        <v>1075</v>
      </c>
      <c r="G6777" s="283">
        <v>2</v>
      </c>
      <c r="H6777" s="283">
        <v>0</v>
      </c>
      <c r="I6777" s="283">
        <v>1</v>
      </c>
      <c r="J6777" s="284">
        <v>1</v>
      </c>
    </row>
    <row r="6778" spans="3:10" x14ac:dyDescent="0.25">
      <c r="C6778" s="300" t="s">
        <v>1068</v>
      </c>
      <c r="D6778" s="283" t="s">
        <v>1106</v>
      </c>
      <c r="E6778" s="283" t="s">
        <v>1086</v>
      </c>
      <c r="F6778" s="283" t="s">
        <v>524</v>
      </c>
      <c r="G6778" s="283">
        <v>1</v>
      </c>
      <c r="H6778" s="283">
        <v>0</v>
      </c>
      <c r="I6778" s="283">
        <v>0</v>
      </c>
      <c r="J6778" s="284">
        <v>0</v>
      </c>
    </row>
    <row r="6779" spans="3:10" x14ac:dyDescent="0.25">
      <c r="C6779" s="300" t="s">
        <v>1064</v>
      </c>
      <c r="D6779" s="283" t="s">
        <v>1079</v>
      </c>
      <c r="E6779" s="283" t="s">
        <v>1075</v>
      </c>
      <c r="F6779" s="283" t="s">
        <v>1078</v>
      </c>
      <c r="G6779" s="283">
        <v>2</v>
      </c>
      <c r="H6779" s="283">
        <v>0</v>
      </c>
      <c r="I6779" s="283">
        <v>1</v>
      </c>
      <c r="J6779" s="284">
        <v>0</v>
      </c>
    </row>
    <row r="6780" spans="3:10" x14ac:dyDescent="0.25">
      <c r="C6780" s="300" t="s">
        <v>1063</v>
      </c>
      <c r="D6780" s="283" t="s">
        <v>1087</v>
      </c>
      <c r="E6780" s="283" t="s">
        <v>1075</v>
      </c>
      <c r="F6780" s="283" t="s">
        <v>524</v>
      </c>
      <c r="G6780" s="283">
        <v>1</v>
      </c>
      <c r="H6780" s="283">
        <v>0</v>
      </c>
      <c r="I6780" s="283">
        <v>0</v>
      </c>
      <c r="J6780" s="284">
        <v>1</v>
      </c>
    </row>
    <row r="6781" spans="3:10" x14ac:dyDescent="0.25">
      <c r="C6781" s="300" t="s">
        <v>1061</v>
      </c>
      <c r="D6781" s="283" t="s">
        <v>1077</v>
      </c>
      <c r="E6781" s="283" t="s">
        <v>1089</v>
      </c>
      <c r="F6781" s="283" t="s">
        <v>1089</v>
      </c>
      <c r="G6781" s="283">
        <v>2</v>
      </c>
      <c r="H6781" s="283">
        <v>0</v>
      </c>
      <c r="I6781" s="283">
        <v>0</v>
      </c>
      <c r="J6781" s="284">
        <v>0</v>
      </c>
    </row>
    <row r="6782" spans="3:10" x14ac:dyDescent="0.25">
      <c r="C6782" s="300" t="s">
        <v>1063</v>
      </c>
      <c r="D6782" s="283" t="s">
        <v>1077</v>
      </c>
      <c r="E6782" s="283" t="s">
        <v>1089</v>
      </c>
      <c r="F6782" s="283" t="s">
        <v>1089</v>
      </c>
      <c r="G6782" s="283">
        <v>2</v>
      </c>
      <c r="H6782" s="283">
        <v>0</v>
      </c>
      <c r="I6782" s="283">
        <v>0</v>
      </c>
      <c r="J6782" s="284">
        <v>1</v>
      </c>
    </row>
    <row r="6783" spans="3:10" x14ac:dyDescent="0.25">
      <c r="C6783" s="300" t="s">
        <v>1061</v>
      </c>
      <c r="D6783" s="283" t="s">
        <v>1074</v>
      </c>
      <c r="E6783" s="283" t="s">
        <v>1078</v>
      </c>
      <c r="F6783" s="283" t="s">
        <v>1075</v>
      </c>
      <c r="G6783" s="283">
        <v>2</v>
      </c>
      <c r="H6783" s="283">
        <v>0</v>
      </c>
      <c r="I6783" s="283">
        <v>0</v>
      </c>
      <c r="J6783" s="284">
        <v>0</v>
      </c>
    </row>
    <row r="6784" spans="3:10" x14ac:dyDescent="0.25">
      <c r="C6784" s="300" t="s">
        <v>1067</v>
      </c>
      <c r="D6784" s="283" t="s">
        <v>1087</v>
      </c>
      <c r="E6784" s="283" t="s">
        <v>1083</v>
      </c>
      <c r="F6784" s="283" t="s">
        <v>524</v>
      </c>
      <c r="G6784" s="283">
        <v>1</v>
      </c>
      <c r="H6784" s="283">
        <v>0</v>
      </c>
      <c r="I6784" s="283">
        <v>1</v>
      </c>
      <c r="J6784" s="284">
        <v>0</v>
      </c>
    </row>
    <row r="6785" spans="3:10" x14ac:dyDescent="0.25">
      <c r="C6785" s="300" t="s">
        <v>1057</v>
      </c>
      <c r="D6785" s="283" t="s">
        <v>1077</v>
      </c>
      <c r="E6785" s="283" t="s">
        <v>1080</v>
      </c>
      <c r="F6785" s="283" t="s">
        <v>1084</v>
      </c>
      <c r="G6785" s="283">
        <v>2</v>
      </c>
      <c r="H6785" s="283">
        <v>0</v>
      </c>
      <c r="I6785" s="283">
        <v>1</v>
      </c>
      <c r="J6785" s="284">
        <v>1</v>
      </c>
    </row>
    <row r="6786" spans="3:10" x14ac:dyDescent="0.25">
      <c r="C6786" s="300" t="s">
        <v>1064</v>
      </c>
      <c r="D6786" s="283" t="s">
        <v>1079</v>
      </c>
      <c r="E6786" s="283" t="s">
        <v>1075</v>
      </c>
      <c r="F6786" s="283" t="s">
        <v>1078</v>
      </c>
      <c r="G6786" s="283">
        <v>2</v>
      </c>
      <c r="H6786" s="283">
        <v>0</v>
      </c>
      <c r="I6786" s="283">
        <v>0</v>
      </c>
      <c r="J6786" s="284">
        <v>0</v>
      </c>
    </row>
    <row r="6787" spans="3:10" x14ac:dyDescent="0.25">
      <c r="C6787" s="300" t="s">
        <v>1061</v>
      </c>
      <c r="D6787" s="283" t="s">
        <v>1079</v>
      </c>
      <c r="E6787" s="283" t="s">
        <v>1044</v>
      </c>
      <c r="F6787" s="283" t="s">
        <v>1089</v>
      </c>
      <c r="G6787" s="283">
        <v>2</v>
      </c>
      <c r="H6787" s="283">
        <v>0</v>
      </c>
      <c r="I6787" s="283">
        <v>1</v>
      </c>
      <c r="J6787" s="284">
        <v>0</v>
      </c>
    </row>
    <row r="6788" spans="3:10" x14ac:dyDescent="0.25">
      <c r="C6788" s="300" t="s">
        <v>1059</v>
      </c>
      <c r="D6788" s="283" t="s">
        <v>1087</v>
      </c>
      <c r="E6788" s="283" t="s">
        <v>1075</v>
      </c>
      <c r="F6788" s="283" t="s">
        <v>524</v>
      </c>
      <c r="G6788" s="283">
        <v>1</v>
      </c>
      <c r="H6788" s="283">
        <v>0</v>
      </c>
      <c r="I6788" s="283">
        <v>1</v>
      </c>
      <c r="J6788" s="284">
        <v>0</v>
      </c>
    </row>
    <row r="6789" spans="3:10" x14ac:dyDescent="0.25">
      <c r="C6789" s="300" t="s">
        <v>1065</v>
      </c>
      <c r="D6789" s="283" t="s">
        <v>1077</v>
      </c>
      <c r="E6789" s="283" t="s">
        <v>1083</v>
      </c>
      <c r="F6789" s="283" t="s">
        <v>1083</v>
      </c>
      <c r="G6789" s="283">
        <v>2</v>
      </c>
      <c r="H6789" s="283">
        <v>0</v>
      </c>
      <c r="I6789" s="283">
        <v>0</v>
      </c>
      <c r="J6789" s="284">
        <v>1</v>
      </c>
    </row>
    <row r="6790" spans="3:10" x14ac:dyDescent="0.25">
      <c r="C6790" s="300" t="s">
        <v>1065</v>
      </c>
      <c r="D6790" s="283" t="s">
        <v>1079</v>
      </c>
      <c r="E6790" s="283" t="s">
        <v>1075</v>
      </c>
      <c r="F6790" s="283" t="s">
        <v>1075</v>
      </c>
      <c r="G6790" s="283">
        <v>3</v>
      </c>
      <c r="H6790" s="283">
        <v>0</v>
      </c>
      <c r="I6790" s="283">
        <v>0</v>
      </c>
      <c r="J6790" s="284">
        <v>3</v>
      </c>
    </row>
    <row r="6791" spans="3:10" x14ac:dyDescent="0.25">
      <c r="C6791" s="300" t="s">
        <v>1060</v>
      </c>
      <c r="D6791" s="283" t="s">
        <v>1090</v>
      </c>
      <c r="E6791" s="283" t="s">
        <v>1083</v>
      </c>
      <c r="F6791" s="283" t="s">
        <v>524</v>
      </c>
      <c r="G6791" s="283">
        <v>1</v>
      </c>
      <c r="H6791" s="283">
        <v>0</v>
      </c>
      <c r="I6791" s="283">
        <v>1</v>
      </c>
      <c r="J6791" s="284">
        <v>0</v>
      </c>
    </row>
    <row r="6792" spans="3:10" x14ac:dyDescent="0.25">
      <c r="C6792" s="300" t="s">
        <v>1067</v>
      </c>
      <c r="D6792" s="283" t="s">
        <v>1079</v>
      </c>
      <c r="E6792" s="283" t="s">
        <v>1089</v>
      </c>
      <c r="F6792" s="283" t="s">
        <v>1075</v>
      </c>
      <c r="G6792" s="283">
        <v>2</v>
      </c>
      <c r="H6792" s="283">
        <v>0</v>
      </c>
      <c r="I6792" s="283">
        <v>0</v>
      </c>
      <c r="J6792" s="284">
        <v>1</v>
      </c>
    </row>
    <row r="6793" spans="3:10" x14ac:dyDescent="0.25">
      <c r="C6793" s="300" t="s">
        <v>1061</v>
      </c>
      <c r="D6793" s="283" t="s">
        <v>1087</v>
      </c>
      <c r="E6793" s="283" t="s">
        <v>1075</v>
      </c>
      <c r="F6793" s="283" t="s">
        <v>524</v>
      </c>
      <c r="G6793" s="283">
        <v>1</v>
      </c>
      <c r="H6793" s="283">
        <v>0</v>
      </c>
      <c r="I6793" s="283">
        <v>1</v>
      </c>
      <c r="J6793" s="284">
        <v>0</v>
      </c>
    </row>
    <row r="6794" spans="3:10" x14ac:dyDescent="0.25">
      <c r="C6794" s="300" t="s">
        <v>1066</v>
      </c>
      <c r="D6794" s="283" t="s">
        <v>1090</v>
      </c>
      <c r="E6794" s="283" t="s">
        <v>1044</v>
      </c>
      <c r="F6794" s="283" t="s">
        <v>524</v>
      </c>
      <c r="G6794" s="283">
        <v>1</v>
      </c>
      <c r="H6794" s="283">
        <v>0</v>
      </c>
      <c r="I6794" s="283">
        <v>0</v>
      </c>
      <c r="J6794" s="284">
        <v>1</v>
      </c>
    </row>
    <row r="6795" spans="3:10" x14ac:dyDescent="0.25">
      <c r="C6795" s="300" t="s">
        <v>1060</v>
      </c>
      <c r="D6795" s="283" t="s">
        <v>1082</v>
      </c>
      <c r="E6795" s="283" t="s">
        <v>1075</v>
      </c>
      <c r="F6795" s="283" t="s">
        <v>1075</v>
      </c>
      <c r="G6795" s="283">
        <v>2</v>
      </c>
      <c r="H6795" s="283">
        <v>0</v>
      </c>
      <c r="I6795" s="283">
        <v>1</v>
      </c>
      <c r="J6795" s="284">
        <v>0</v>
      </c>
    </row>
    <row r="6796" spans="3:10" x14ac:dyDescent="0.25">
      <c r="C6796" s="300" t="s">
        <v>1064</v>
      </c>
      <c r="D6796" s="283" t="s">
        <v>1087</v>
      </c>
      <c r="E6796" s="283" t="s">
        <v>1075</v>
      </c>
      <c r="F6796" s="283" t="s">
        <v>524</v>
      </c>
      <c r="G6796" s="283">
        <v>1</v>
      </c>
      <c r="H6796" s="283">
        <v>0</v>
      </c>
      <c r="I6796" s="283">
        <v>0</v>
      </c>
      <c r="J6796" s="284">
        <v>0</v>
      </c>
    </row>
    <row r="6797" spans="3:10" x14ac:dyDescent="0.25">
      <c r="C6797" s="300" t="s">
        <v>1065</v>
      </c>
      <c r="D6797" s="283" t="s">
        <v>1077</v>
      </c>
      <c r="E6797" s="283" t="s">
        <v>1075</v>
      </c>
      <c r="F6797" s="283" t="s">
        <v>1084</v>
      </c>
      <c r="G6797" s="283">
        <v>2</v>
      </c>
      <c r="H6797" s="283">
        <v>0</v>
      </c>
      <c r="I6797" s="283">
        <v>0</v>
      </c>
      <c r="J6797" s="284">
        <v>0</v>
      </c>
    </row>
    <row r="6798" spans="3:10" x14ac:dyDescent="0.25">
      <c r="C6798" s="300" t="s">
        <v>1061</v>
      </c>
      <c r="D6798" s="283" t="s">
        <v>1079</v>
      </c>
      <c r="E6798" s="283" t="s">
        <v>1088</v>
      </c>
      <c r="F6798" s="283" t="s">
        <v>1075</v>
      </c>
      <c r="G6798" s="283">
        <v>2</v>
      </c>
      <c r="H6798" s="283">
        <v>0</v>
      </c>
      <c r="I6798" s="283">
        <v>1</v>
      </c>
      <c r="J6798" s="284">
        <v>0</v>
      </c>
    </row>
    <row r="6799" spans="3:10" x14ac:dyDescent="0.25">
      <c r="C6799" s="300" t="s">
        <v>1068</v>
      </c>
      <c r="D6799" s="283" t="s">
        <v>1090</v>
      </c>
      <c r="E6799" s="283" t="s">
        <v>1089</v>
      </c>
      <c r="F6799" s="283" t="s">
        <v>524</v>
      </c>
      <c r="G6799" s="283">
        <v>2</v>
      </c>
      <c r="H6799" s="283">
        <v>0</v>
      </c>
      <c r="I6799" s="283">
        <v>0</v>
      </c>
      <c r="J6799" s="284">
        <v>0</v>
      </c>
    </row>
    <row r="6800" spans="3:10" x14ac:dyDescent="0.25">
      <c r="C6800" s="300" t="s">
        <v>1061</v>
      </c>
      <c r="D6800" s="283" t="s">
        <v>1090</v>
      </c>
      <c r="E6800" s="283" t="s">
        <v>1083</v>
      </c>
      <c r="F6800" s="283" t="s">
        <v>524</v>
      </c>
      <c r="G6800" s="283">
        <v>1</v>
      </c>
      <c r="H6800" s="283">
        <v>0</v>
      </c>
      <c r="I6800" s="283">
        <v>0</v>
      </c>
      <c r="J6800" s="284">
        <v>1</v>
      </c>
    </row>
    <row r="6801" spans="3:10" x14ac:dyDescent="0.25">
      <c r="C6801" s="300" t="s">
        <v>1065</v>
      </c>
      <c r="D6801" s="283" t="s">
        <v>1079</v>
      </c>
      <c r="E6801" s="283" t="s">
        <v>1089</v>
      </c>
      <c r="F6801" s="283" t="s">
        <v>1083</v>
      </c>
      <c r="G6801" s="283">
        <v>2</v>
      </c>
      <c r="H6801" s="283">
        <v>0</v>
      </c>
      <c r="I6801" s="283">
        <v>0</v>
      </c>
      <c r="J6801" s="284">
        <v>1</v>
      </c>
    </row>
    <row r="6802" spans="3:10" x14ac:dyDescent="0.25">
      <c r="C6802" s="300" t="s">
        <v>1060</v>
      </c>
      <c r="D6802" s="283" t="s">
        <v>1090</v>
      </c>
      <c r="E6802" s="283" t="s">
        <v>1083</v>
      </c>
      <c r="F6802" s="283" t="s">
        <v>524</v>
      </c>
      <c r="G6802" s="283">
        <v>1</v>
      </c>
      <c r="H6802" s="283">
        <v>0</v>
      </c>
      <c r="I6802" s="283">
        <v>0</v>
      </c>
      <c r="J6802" s="284">
        <v>1</v>
      </c>
    </row>
    <row r="6803" spans="3:10" x14ac:dyDescent="0.25">
      <c r="C6803" s="300" t="s">
        <v>1061</v>
      </c>
      <c r="D6803" s="283" t="s">
        <v>1074</v>
      </c>
      <c r="E6803" s="283" t="s">
        <v>1075</v>
      </c>
      <c r="F6803" s="283" t="s">
        <v>1078</v>
      </c>
      <c r="G6803" s="283">
        <v>2</v>
      </c>
      <c r="H6803" s="283">
        <v>0</v>
      </c>
      <c r="I6803" s="283">
        <v>0</v>
      </c>
      <c r="J6803" s="284">
        <v>1</v>
      </c>
    </row>
    <row r="6804" spans="3:10" x14ac:dyDescent="0.25">
      <c r="C6804" s="300" t="s">
        <v>1064</v>
      </c>
      <c r="D6804" s="283" t="s">
        <v>1043</v>
      </c>
      <c r="E6804" s="283" t="s">
        <v>1081</v>
      </c>
      <c r="F6804" s="283" t="s">
        <v>1092</v>
      </c>
      <c r="G6804" s="283">
        <v>2</v>
      </c>
      <c r="H6804" s="283">
        <v>0</v>
      </c>
      <c r="I6804" s="283">
        <v>0</v>
      </c>
      <c r="J6804" s="284">
        <v>1</v>
      </c>
    </row>
    <row r="6805" spans="3:10" x14ac:dyDescent="0.25">
      <c r="C6805" s="300" t="s">
        <v>1068</v>
      </c>
      <c r="D6805" s="283" t="s">
        <v>1087</v>
      </c>
      <c r="E6805" s="283" t="s">
        <v>1075</v>
      </c>
      <c r="F6805" s="283" t="s">
        <v>524</v>
      </c>
      <c r="G6805" s="283">
        <v>1</v>
      </c>
      <c r="H6805" s="283">
        <v>0</v>
      </c>
      <c r="I6805" s="283">
        <v>0</v>
      </c>
      <c r="J6805" s="284">
        <v>0</v>
      </c>
    </row>
    <row r="6806" spans="3:10" x14ac:dyDescent="0.25">
      <c r="C6806" s="300" t="s">
        <v>1061</v>
      </c>
      <c r="D6806" s="283" t="s">
        <v>1077</v>
      </c>
      <c r="E6806" s="283" t="s">
        <v>1075</v>
      </c>
      <c r="F6806" s="283" t="s">
        <v>1075</v>
      </c>
      <c r="G6806" s="283">
        <v>2</v>
      </c>
      <c r="H6806" s="283">
        <v>0</v>
      </c>
      <c r="I6806" s="283">
        <v>0</v>
      </c>
      <c r="J6806" s="284">
        <v>1</v>
      </c>
    </row>
    <row r="6807" spans="3:10" x14ac:dyDescent="0.25">
      <c r="C6807" s="300" t="s">
        <v>1068</v>
      </c>
      <c r="D6807" s="283" t="s">
        <v>1074</v>
      </c>
      <c r="E6807" s="283" t="s">
        <v>1089</v>
      </c>
      <c r="F6807" s="283" t="s">
        <v>1076</v>
      </c>
      <c r="G6807" s="283">
        <v>2</v>
      </c>
      <c r="H6807" s="283">
        <v>0</v>
      </c>
      <c r="I6807" s="283">
        <v>0</v>
      </c>
      <c r="J6807" s="284">
        <v>0</v>
      </c>
    </row>
    <row r="6808" spans="3:10" x14ac:dyDescent="0.25">
      <c r="C6808" s="300" t="s">
        <v>1064</v>
      </c>
      <c r="D6808" s="283" t="s">
        <v>1077</v>
      </c>
      <c r="E6808" s="283" t="s">
        <v>1084</v>
      </c>
      <c r="F6808" s="283" t="s">
        <v>1075</v>
      </c>
      <c r="G6808" s="283">
        <v>2</v>
      </c>
      <c r="H6808" s="283">
        <v>0</v>
      </c>
      <c r="I6808" s="283">
        <v>0</v>
      </c>
      <c r="J6808" s="284">
        <v>0</v>
      </c>
    </row>
    <row r="6809" spans="3:10" x14ac:dyDescent="0.25">
      <c r="C6809" s="300" t="s">
        <v>1065</v>
      </c>
      <c r="D6809" s="283" t="s">
        <v>1079</v>
      </c>
      <c r="E6809" s="283" t="s">
        <v>1075</v>
      </c>
      <c r="F6809" s="283" t="s">
        <v>1089</v>
      </c>
      <c r="G6809" s="283">
        <v>2</v>
      </c>
      <c r="H6809" s="283">
        <v>0</v>
      </c>
      <c r="I6809" s="283">
        <v>0</v>
      </c>
      <c r="J6809" s="284">
        <v>1</v>
      </c>
    </row>
    <row r="6810" spans="3:10" x14ac:dyDescent="0.25">
      <c r="C6810" s="300" t="s">
        <v>1065</v>
      </c>
      <c r="D6810" s="283" t="s">
        <v>1106</v>
      </c>
      <c r="E6810" s="283" t="s">
        <v>1085</v>
      </c>
      <c r="F6810" s="283" t="s">
        <v>524</v>
      </c>
      <c r="G6810" s="283">
        <v>1</v>
      </c>
      <c r="H6810" s="283">
        <v>0</v>
      </c>
      <c r="I6810" s="283">
        <v>1</v>
      </c>
      <c r="J6810" s="284">
        <v>0</v>
      </c>
    </row>
    <row r="6811" spans="3:10" x14ac:dyDescent="0.25">
      <c r="C6811" s="300" t="s">
        <v>1064</v>
      </c>
      <c r="D6811" s="283" t="s">
        <v>1074</v>
      </c>
      <c r="E6811" s="283" t="s">
        <v>1078</v>
      </c>
      <c r="F6811" s="283" t="s">
        <v>1075</v>
      </c>
      <c r="G6811" s="283">
        <v>2</v>
      </c>
      <c r="H6811" s="283">
        <v>0</v>
      </c>
      <c r="I6811" s="283">
        <v>1</v>
      </c>
      <c r="J6811" s="284">
        <v>0</v>
      </c>
    </row>
    <row r="6812" spans="3:10" x14ac:dyDescent="0.25">
      <c r="C6812" s="300" t="s">
        <v>1065</v>
      </c>
      <c r="D6812" s="283" t="s">
        <v>1043</v>
      </c>
      <c r="E6812" s="283" t="s">
        <v>1044</v>
      </c>
      <c r="F6812" s="283" t="s">
        <v>1092</v>
      </c>
      <c r="G6812" s="283">
        <v>2</v>
      </c>
      <c r="H6812" s="283">
        <v>0</v>
      </c>
      <c r="I6812" s="283">
        <v>0</v>
      </c>
      <c r="J6812" s="284">
        <v>0</v>
      </c>
    </row>
    <row r="6813" spans="3:10" x14ac:dyDescent="0.25">
      <c r="C6813" s="300" t="s">
        <v>1061</v>
      </c>
      <c r="D6813" s="283" t="s">
        <v>1079</v>
      </c>
      <c r="E6813" s="283" t="s">
        <v>1075</v>
      </c>
      <c r="F6813" s="283" t="s">
        <v>1075</v>
      </c>
      <c r="G6813" s="283">
        <v>2</v>
      </c>
      <c r="H6813" s="283">
        <v>0</v>
      </c>
      <c r="I6813" s="283">
        <v>0</v>
      </c>
      <c r="J6813" s="284">
        <v>1</v>
      </c>
    </row>
    <row r="6814" spans="3:10" x14ac:dyDescent="0.25">
      <c r="C6814" s="300" t="s">
        <v>1067</v>
      </c>
      <c r="D6814" s="283" t="s">
        <v>1079</v>
      </c>
      <c r="E6814" s="283" t="s">
        <v>1044</v>
      </c>
      <c r="F6814" s="283" t="s">
        <v>1078</v>
      </c>
      <c r="G6814" s="283">
        <v>2</v>
      </c>
      <c r="H6814" s="283">
        <v>0</v>
      </c>
      <c r="I6814" s="283">
        <v>1</v>
      </c>
      <c r="J6814" s="284">
        <v>0</v>
      </c>
    </row>
    <row r="6815" spans="3:10" x14ac:dyDescent="0.25">
      <c r="C6815" s="300" t="s">
        <v>1061</v>
      </c>
      <c r="D6815" s="283" t="s">
        <v>1043</v>
      </c>
      <c r="E6815" s="283" t="s">
        <v>1088</v>
      </c>
      <c r="F6815" s="283" t="s">
        <v>1092</v>
      </c>
      <c r="G6815" s="283">
        <v>2</v>
      </c>
      <c r="H6815" s="283">
        <v>0</v>
      </c>
      <c r="I6815" s="283">
        <v>0</v>
      </c>
      <c r="J6815" s="284">
        <v>1</v>
      </c>
    </row>
    <row r="6816" spans="3:10" x14ac:dyDescent="0.25">
      <c r="C6816" s="300" t="s">
        <v>1065</v>
      </c>
      <c r="D6816" s="283" t="s">
        <v>1074</v>
      </c>
      <c r="E6816" s="283" t="s">
        <v>1089</v>
      </c>
      <c r="F6816" s="283" t="s">
        <v>1075</v>
      </c>
      <c r="G6816" s="283">
        <v>2</v>
      </c>
      <c r="H6816" s="283">
        <v>0</v>
      </c>
      <c r="I6816" s="283">
        <v>0</v>
      </c>
      <c r="J6816" s="284">
        <v>1</v>
      </c>
    </row>
    <row r="6817" spans="3:10" x14ac:dyDescent="0.25">
      <c r="C6817" s="300" t="s">
        <v>1067</v>
      </c>
      <c r="D6817" s="283" t="s">
        <v>1077</v>
      </c>
      <c r="E6817" s="283" t="s">
        <v>1086</v>
      </c>
      <c r="F6817" s="283" t="s">
        <v>1089</v>
      </c>
      <c r="G6817" s="283">
        <v>3</v>
      </c>
      <c r="H6817" s="283">
        <v>0</v>
      </c>
      <c r="I6817" s="283">
        <v>0</v>
      </c>
      <c r="J6817" s="284">
        <v>0</v>
      </c>
    </row>
    <row r="6818" spans="3:10" x14ac:dyDescent="0.25">
      <c r="C6818" s="300" t="s">
        <v>1065</v>
      </c>
      <c r="D6818" s="283" t="s">
        <v>1079</v>
      </c>
      <c r="E6818" s="283" t="s">
        <v>1075</v>
      </c>
      <c r="F6818" s="283" t="s">
        <v>1089</v>
      </c>
      <c r="G6818" s="283">
        <v>2</v>
      </c>
      <c r="H6818" s="283">
        <v>0</v>
      </c>
      <c r="I6818" s="283">
        <v>1</v>
      </c>
      <c r="J6818" s="284">
        <v>0</v>
      </c>
    </row>
    <row r="6819" spans="3:10" x14ac:dyDescent="0.25">
      <c r="C6819" s="300" t="s">
        <v>1068</v>
      </c>
      <c r="D6819" s="283" t="s">
        <v>1079</v>
      </c>
      <c r="E6819" s="283" t="s">
        <v>1075</v>
      </c>
      <c r="F6819" s="283" t="s">
        <v>1075</v>
      </c>
      <c r="G6819" s="283">
        <v>2</v>
      </c>
      <c r="H6819" s="283">
        <v>0</v>
      </c>
      <c r="I6819" s="283">
        <v>0</v>
      </c>
      <c r="J6819" s="284">
        <v>1</v>
      </c>
    </row>
    <row r="6820" spans="3:10" x14ac:dyDescent="0.25">
      <c r="C6820" s="300" t="s">
        <v>1062</v>
      </c>
      <c r="D6820" s="283" t="s">
        <v>1079</v>
      </c>
      <c r="E6820" s="283" t="s">
        <v>1081</v>
      </c>
      <c r="F6820" s="283" t="s">
        <v>524</v>
      </c>
      <c r="G6820" s="283">
        <v>2</v>
      </c>
      <c r="H6820" s="283">
        <v>0</v>
      </c>
      <c r="I6820" s="283">
        <v>1</v>
      </c>
      <c r="J6820" s="284">
        <v>0</v>
      </c>
    </row>
    <row r="6821" spans="3:10" x14ac:dyDescent="0.25">
      <c r="C6821" s="300" t="s">
        <v>1064</v>
      </c>
      <c r="D6821" s="283" t="s">
        <v>1090</v>
      </c>
      <c r="E6821" s="283" t="s">
        <v>1089</v>
      </c>
      <c r="F6821" s="283" t="s">
        <v>524</v>
      </c>
      <c r="G6821" s="283">
        <v>1</v>
      </c>
      <c r="H6821" s="283">
        <v>0</v>
      </c>
      <c r="I6821" s="283">
        <v>1</v>
      </c>
      <c r="J6821" s="284">
        <v>0</v>
      </c>
    </row>
    <row r="6822" spans="3:10" x14ac:dyDescent="0.25">
      <c r="C6822" s="300" t="s">
        <v>1065</v>
      </c>
      <c r="D6822" s="283" t="s">
        <v>1077</v>
      </c>
      <c r="E6822" s="283" t="s">
        <v>1084</v>
      </c>
      <c r="F6822" s="283" t="s">
        <v>1075</v>
      </c>
      <c r="G6822" s="283">
        <v>2</v>
      </c>
      <c r="H6822" s="283">
        <v>0</v>
      </c>
      <c r="I6822" s="283">
        <v>0</v>
      </c>
      <c r="J6822" s="284">
        <v>0</v>
      </c>
    </row>
    <row r="6823" spans="3:10" x14ac:dyDescent="0.25">
      <c r="C6823" s="300" t="s">
        <v>1060</v>
      </c>
      <c r="D6823" s="283" t="s">
        <v>1079</v>
      </c>
      <c r="E6823" s="283" t="s">
        <v>1089</v>
      </c>
      <c r="F6823" s="283" t="s">
        <v>1075</v>
      </c>
      <c r="G6823" s="283">
        <v>2</v>
      </c>
      <c r="H6823" s="283">
        <v>0</v>
      </c>
      <c r="I6823" s="283">
        <v>0</v>
      </c>
      <c r="J6823" s="284">
        <v>1</v>
      </c>
    </row>
    <row r="6824" spans="3:10" x14ac:dyDescent="0.25">
      <c r="C6824" s="300" t="s">
        <v>1067</v>
      </c>
      <c r="D6824" s="283" t="s">
        <v>1079</v>
      </c>
      <c r="E6824" s="283" t="s">
        <v>1044</v>
      </c>
      <c r="F6824" s="283" t="s">
        <v>1076</v>
      </c>
      <c r="G6824" s="283">
        <v>2</v>
      </c>
      <c r="H6824" s="283">
        <v>0</v>
      </c>
      <c r="I6824" s="283">
        <v>1</v>
      </c>
      <c r="J6824" s="284">
        <v>0</v>
      </c>
    </row>
    <row r="6825" spans="3:10" x14ac:dyDescent="0.25">
      <c r="C6825" s="300" t="s">
        <v>1061</v>
      </c>
      <c r="D6825" s="283" t="s">
        <v>1074</v>
      </c>
      <c r="E6825" s="283" t="s">
        <v>1075</v>
      </c>
      <c r="F6825" s="283" t="s">
        <v>1089</v>
      </c>
      <c r="G6825" s="283">
        <v>2</v>
      </c>
      <c r="H6825" s="283">
        <v>0</v>
      </c>
      <c r="I6825" s="283">
        <v>0</v>
      </c>
      <c r="J6825" s="284">
        <v>0</v>
      </c>
    </row>
    <row r="6826" spans="3:10" x14ac:dyDescent="0.25">
      <c r="C6826" s="300" t="s">
        <v>1067</v>
      </c>
      <c r="D6826" s="283" t="s">
        <v>1043</v>
      </c>
      <c r="E6826" s="283" t="s">
        <v>1093</v>
      </c>
      <c r="F6826" s="283" t="s">
        <v>1092</v>
      </c>
      <c r="G6826" s="283">
        <v>2</v>
      </c>
      <c r="H6826" s="283">
        <v>0</v>
      </c>
      <c r="I6826" s="283">
        <v>0</v>
      </c>
      <c r="J6826" s="284">
        <v>1</v>
      </c>
    </row>
    <row r="6827" spans="3:10" x14ac:dyDescent="0.25">
      <c r="C6827" s="300" t="s">
        <v>1066</v>
      </c>
      <c r="D6827" s="283" t="s">
        <v>1079</v>
      </c>
      <c r="E6827" s="283" t="s">
        <v>1075</v>
      </c>
      <c r="F6827" s="283" t="s">
        <v>1075</v>
      </c>
      <c r="G6827" s="283">
        <v>2</v>
      </c>
      <c r="H6827" s="283">
        <v>0</v>
      </c>
      <c r="I6827" s="283">
        <v>0</v>
      </c>
      <c r="J6827" s="284">
        <v>0</v>
      </c>
    </row>
    <row r="6828" spans="3:10" x14ac:dyDescent="0.25">
      <c r="C6828" s="300" t="s">
        <v>1060</v>
      </c>
      <c r="D6828" s="283" t="s">
        <v>1074</v>
      </c>
      <c r="E6828" s="283" t="s">
        <v>1075</v>
      </c>
      <c r="F6828" s="283" t="s">
        <v>1075</v>
      </c>
      <c r="G6828" s="283">
        <v>2</v>
      </c>
      <c r="H6828" s="283">
        <v>0</v>
      </c>
      <c r="I6828" s="283">
        <v>0</v>
      </c>
      <c r="J6828" s="284">
        <v>1</v>
      </c>
    </row>
    <row r="6829" spans="3:10" x14ac:dyDescent="0.25">
      <c r="C6829" s="300" t="s">
        <v>1058</v>
      </c>
      <c r="D6829" s="283" t="s">
        <v>1090</v>
      </c>
      <c r="E6829" s="283" t="s">
        <v>1093</v>
      </c>
      <c r="F6829" s="283" t="s">
        <v>524</v>
      </c>
      <c r="G6829" s="283">
        <v>1</v>
      </c>
      <c r="H6829" s="283">
        <v>0</v>
      </c>
      <c r="I6829" s="283">
        <v>0</v>
      </c>
      <c r="J6829" s="284">
        <v>1</v>
      </c>
    </row>
    <row r="6830" spans="3:10" x14ac:dyDescent="0.25">
      <c r="C6830" s="300" t="s">
        <v>1065</v>
      </c>
      <c r="D6830" s="283" t="s">
        <v>1079</v>
      </c>
      <c r="E6830" s="283" t="s">
        <v>1075</v>
      </c>
      <c r="F6830" s="283" t="s">
        <v>1075</v>
      </c>
      <c r="G6830" s="283">
        <v>2</v>
      </c>
      <c r="H6830" s="283">
        <v>0</v>
      </c>
      <c r="I6830" s="283">
        <v>0</v>
      </c>
      <c r="J6830" s="284">
        <v>2</v>
      </c>
    </row>
    <row r="6831" spans="3:10" x14ac:dyDescent="0.25">
      <c r="C6831" s="300" t="s">
        <v>1065</v>
      </c>
      <c r="D6831" s="283" t="s">
        <v>1074</v>
      </c>
      <c r="E6831" s="283" t="s">
        <v>1075</v>
      </c>
      <c r="F6831" s="283" t="s">
        <v>1089</v>
      </c>
      <c r="G6831" s="283">
        <v>2</v>
      </c>
      <c r="H6831" s="283">
        <v>0</v>
      </c>
      <c r="I6831" s="283">
        <v>0</v>
      </c>
      <c r="J6831" s="284">
        <v>0</v>
      </c>
    </row>
    <row r="6832" spans="3:10" x14ac:dyDescent="0.25">
      <c r="C6832" s="300" t="s">
        <v>1063</v>
      </c>
      <c r="D6832" s="283" t="s">
        <v>1074</v>
      </c>
      <c r="E6832" s="283" t="s">
        <v>1081</v>
      </c>
      <c r="F6832" s="283" t="s">
        <v>1083</v>
      </c>
      <c r="G6832" s="283">
        <v>2</v>
      </c>
      <c r="H6832" s="283">
        <v>0</v>
      </c>
      <c r="I6832" s="283">
        <v>1</v>
      </c>
      <c r="J6832" s="284">
        <v>0</v>
      </c>
    </row>
    <row r="6833" spans="3:10" x14ac:dyDescent="0.25">
      <c r="C6833" s="300" t="s">
        <v>1060</v>
      </c>
      <c r="D6833" s="283" t="s">
        <v>1090</v>
      </c>
      <c r="E6833" s="283" t="s">
        <v>1076</v>
      </c>
      <c r="F6833" s="283" t="s">
        <v>524</v>
      </c>
      <c r="G6833" s="283">
        <v>1</v>
      </c>
      <c r="H6833" s="283">
        <v>0</v>
      </c>
      <c r="I6833" s="283">
        <v>1</v>
      </c>
      <c r="J6833" s="284">
        <v>0</v>
      </c>
    </row>
    <row r="6834" spans="3:10" x14ac:dyDescent="0.25">
      <c r="C6834" s="300" t="s">
        <v>1065</v>
      </c>
      <c r="D6834" s="283" t="s">
        <v>1077</v>
      </c>
      <c r="E6834" s="283" t="s">
        <v>1086</v>
      </c>
      <c r="F6834" s="283" t="s">
        <v>1083</v>
      </c>
      <c r="G6834" s="283">
        <v>2</v>
      </c>
      <c r="H6834" s="283">
        <v>0</v>
      </c>
      <c r="I6834" s="283">
        <v>0</v>
      </c>
      <c r="J6834" s="284">
        <v>0</v>
      </c>
    </row>
    <row r="6835" spans="3:10" x14ac:dyDescent="0.25">
      <c r="C6835" s="300" t="s">
        <v>1058</v>
      </c>
      <c r="D6835" s="283" t="s">
        <v>1074</v>
      </c>
      <c r="E6835" s="283" t="s">
        <v>1075</v>
      </c>
      <c r="F6835" s="283" t="s">
        <v>1088</v>
      </c>
      <c r="G6835" s="283">
        <v>2</v>
      </c>
      <c r="H6835" s="283">
        <v>0</v>
      </c>
      <c r="I6835" s="283">
        <v>0</v>
      </c>
      <c r="J6835" s="284">
        <v>1</v>
      </c>
    </row>
    <row r="6836" spans="3:10" x14ac:dyDescent="0.25">
      <c r="C6836" s="300" t="s">
        <v>1061</v>
      </c>
      <c r="D6836" s="283" t="s">
        <v>1077</v>
      </c>
      <c r="E6836" s="283" t="s">
        <v>1089</v>
      </c>
      <c r="F6836" s="283" t="s">
        <v>1089</v>
      </c>
      <c r="G6836" s="283">
        <v>2</v>
      </c>
      <c r="H6836" s="283">
        <v>0</v>
      </c>
      <c r="I6836" s="283">
        <v>1</v>
      </c>
      <c r="J6836" s="284">
        <v>0</v>
      </c>
    </row>
    <row r="6837" spans="3:10" x14ac:dyDescent="0.25">
      <c r="C6837" s="300" t="s">
        <v>1062</v>
      </c>
      <c r="D6837" s="283" t="s">
        <v>1043</v>
      </c>
      <c r="E6837" s="283" t="s">
        <v>1075</v>
      </c>
      <c r="F6837" s="283" t="s">
        <v>1092</v>
      </c>
      <c r="G6837" s="283">
        <v>2</v>
      </c>
      <c r="H6837" s="283">
        <v>0</v>
      </c>
      <c r="I6837" s="283">
        <v>0</v>
      </c>
      <c r="J6837" s="284">
        <v>1</v>
      </c>
    </row>
    <row r="6838" spans="3:10" x14ac:dyDescent="0.25">
      <c r="C6838" s="300" t="s">
        <v>1064</v>
      </c>
      <c r="D6838" s="283" t="s">
        <v>1079</v>
      </c>
      <c r="E6838" s="283" t="s">
        <v>1044</v>
      </c>
      <c r="F6838" s="283" t="s">
        <v>1084</v>
      </c>
      <c r="G6838" s="283">
        <v>2</v>
      </c>
      <c r="H6838" s="283">
        <v>0</v>
      </c>
      <c r="I6838" s="283">
        <v>1</v>
      </c>
      <c r="J6838" s="284">
        <v>0</v>
      </c>
    </row>
    <row r="6839" spans="3:10" x14ac:dyDescent="0.25">
      <c r="C6839" s="300" t="s">
        <v>1067</v>
      </c>
      <c r="D6839" s="283" t="s">
        <v>1087</v>
      </c>
      <c r="E6839" s="283" t="s">
        <v>1078</v>
      </c>
      <c r="F6839" s="283" t="s">
        <v>524</v>
      </c>
      <c r="G6839" s="283">
        <v>1</v>
      </c>
      <c r="H6839" s="283">
        <v>0</v>
      </c>
      <c r="I6839" s="283">
        <v>0</v>
      </c>
      <c r="J6839" s="284">
        <v>0</v>
      </c>
    </row>
    <row r="6840" spans="3:10" x14ac:dyDescent="0.25">
      <c r="C6840" s="300" t="s">
        <v>1067</v>
      </c>
      <c r="D6840" s="283" t="s">
        <v>1079</v>
      </c>
      <c r="E6840" s="283" t="s">
        <v>1075</v>
      </c>
      <c r="F6840" s="283" t="s">
        <v>1078</v>
      </c>
      <c r="G6840" s="283">
        <v>2</v>
      </c>
      <c r="H6840" s="283">
        <v>0</v>
      </c>
      <c r="I6840" s="283">
        <v>0</v>
      </c>
      <c r="J6840" s="284">
        <v>1</v>
      </c>
    </row>
    <row r="6841" spans="3:10" x14ac:dyDescent="0.25">
      <c r="C6841" s="300" t="s">
        <v>1064</v>
      </c>
      <c r="D6841" s="283" t="s">
        <v>1087</v>
      </c>
      <c r="E6841" s="283" t="s">
        <v>1083</v>
      </c>
      <c r="F6841" s="283" t="s">
        <v>524</v>
      </c>
      <c r="G6841" s="283">
        <v>1</v>
      </c>
      <c r="H6841" s="283">
        <v>0</v>
      </c>
      <c r="I6841" s="283">
        <v>1</v>
      </c>
      <c r="J6841" s="284">
        <v>0</v>
      </c>
    </row>
    <row r="6842" spans="3:10" x14ac:dyDescent="0.25">
      <c r="C6842" s="300" t="s">
        <v>1063</v>
      </c>
      <c r="D6842" s="283" t="s">
        <v>1079</v>
      </c>
      <c r="E6842" s="283" t="s">
        <v>1086</v>
      </c>
      <c r="F6842" s="283" t="s">
        <v>1075</v>
      </c>
      <c r="G6842" s="283">
        <v>2</v>
      </c>
      <c r="H6842" s="283">
        <v>0</v>
      </c>
      <c r="I6842" s="283">
        <v>0</v>
      </c>
      <c r="J6842" s="284">
        <v>0</v>
      </c>
    </row>
    <row r="6843" spans="3:10" x14ac:dyDescent="0.25">
      <c r="C6843" s="300" t="s">
        <v>1067</v>
      </c>
      <c r="D6843" s="283" t="s">
        <v>1087</v>
      </c>
      <c r="E6843" s="283" t="s">
        <v>1089</v>
      </c>
      <c r="F6843" s="283" t="s">
        <v>524</v>
      </c>
      <c r="G6843" s="283">
        <v>1</v>
      </c>
      <c r="H6843" s="283">
        <v>0</v>
      </c>
      <c r="I6843" s="283">
        <v>0</v>
      </c>
      <c r="J6843" s="284">
        <v>1</v>
      </c>
    </row>
    <row r="6844" spans="3:10" x14ac:dyDescent="0.25">
      <c r="C6844" s="300" t="s">
        <v>1068</v>
      </c>
      <c r="D6844" s="283" t="s">
        <v>1074</v>
      </c>
      <c r="E6844" s="283" t="s">
        <v>1076</v>
      </c>
      <c r="F6844" s="283" t="s">
        <v>1089</v>
      </c>
      <c r="G6844" s="283">
        <v>2</v>
      </c>
      <c r="H6844" s="283">
        <v>0</v>
      </c>
      <c r="I6844" s="283">
        <v>0</v>
      </c>
      <c r="J6844" s="284">
        <v>0</v>
      </c>
    </row>
    <row r="6845" spans="3:10" x14ac:dyDescent="0.25">
      <c r="C6845" s="300" t="s">
        <v>1064</v>
      </c>
      <c r="D6845" s="283" t="s">
        <v>1074</v>
      </c>
      <c r="E6845" s="283" t="s">
        <v>1075</v>
      </c>
      <c r="F6845" s="283" t="s">
        <v>1089</v>
      </c>
      <c r="G6845" s="283">
        <v>2</v>
      </c>
      <c r="H6845" s="283">
        <v>0</v>
      </c>
      <c r="I6845" s="283">
        <v>0</v>
      </c>
      <c r="J6845" s="284">
        <v>0</v>
      </c>
    </row>
    <row r="6846" spans="3:10" x14ac:dyDescent="0.25">
      <c r="C6846" s="300" t="s">
        <v>1060</v>
      </c>
      <c r="D6846" s="283" t="s">
        <v>1077</v>
      </c>
      <c r="E6846" s="283" t="s">
        <v>1076</v>
      </c>
      <c r="F6846" s="283" t="s">
        <v>1075</v>
      </c>
      <c r="G6846" s="283">
        <v>2</v>
      </c>
      <c r="H6846" s="283">
        <v>0</v>
      </c>
      <c r="I6846" s="283">
        <v>0</v>
      </c>
      <c r="J6846" s="284">
        <v>0</v>
      </c>
    </row>
    <row r="6847" spans="3:10" x14ac:dyDescent="0.25">
      <c r="C6847" s="300" t="s">
        <v>1064</v>
      </c>
      <c r="D6847" s="283" t="s">
        <v>1079</v>
      </c>
      <c r="E6847" s="283" t="s">
        <v>1078</v>
      </c>
      <c r="F6847" s="283" t="s">
        <v>1093</v>
      </c>
      <c r="G6847" s="283">
        <v>2</v>
      </c>
      <c r="H6847" s="283">
        <v>0</v>
      </c>
      <c r="I6847" s="283">
        <v>1</v>
      </c>
      <c r="J6847" s="284">
        <v>0</v>
      </c>
    </row>
    <row r="6848" spans="3:10" x14ac:dyDescent="0.25">
      <c r="C6848" s="300" t="s">
        <v>1066</v>
      </c>
      <c r="D6848" s="283" t="s">
        <v>1082</v>
      </c>
      <c r="E6848" s="283" t="s">
        <v>1076</v>
      </c>
      <c r="F6848" s="283" t="s">
        <v>1089</v>
      </c>
      <c r="G6848" s="283">
        <v>2</v>
      </c>
      <c r="H6848" s="283">
        <v>0</v>
      </c>
      <c r="I6848" s="283">
        <v>0</v>
      </c>
      <c r="J6848" s="284">
        <v>0</v>
      </c>
    </row>
    <row r="6849" spans="3:10" x14ac:dyDescent="0.25">
      <c r="C6849" s="300" t="s">
        <v>1065</v>
      </c>
      <c r="D6849" s="283" t="s">
        <v>1077</v>
      </c>
      <c r="E6849" s="283" t="s">
        <v>1076</v>
      </c>
      <c r="F6849" s="283" t="s">
        <v>1075</v>
      </c>
      <c r="G6849" s="283">
        <v>3</v>
      </c>
      <c r="H6849" s="283">
        <v>0</v>
      </c>
      <c r="I6849" s="283">
        <v>0</v>
      </c>
      <c r="J6849" s="284">
        <v>0</v>
      </c>
    </row>
    <row r="6850" spans="3:10" x14ac:dyDescent="0.25">
      <c r="C6850" s="300" t="s">
        <v>1064</v>
      </c>
      <c r="D6850" s="283" t="s">
        <v>1077</v>
      </c>
      <c r="E6850" s="283" t="s">
        <v>1075</v>
      </c>
      <c r="F6850" s="283" t="s">
        <v>1075</v>
      </c>
      <c r="G6850" s="283">
        <v>3</v>
      </c>
      <c r="H6850" s="283">
        <v>0</v>
      </c>
      <c r="I6850" s="283">
        <v>0</v>
      </c>
      <c r="J6850" s="284">
        <v>0</v>
      </c>
    </row>
    <row r="6851" spans="3:10" x14ac:dyDescent="0.25">
      <c r="C6851" s="300" t="s">
        <v>1064</v>
      </c>
      <c r="D6851" s="283" t="s">
        <v>1082</v>
      </c>
      <c r="E6851" s="283" t="s">
        <v>1075</v>
      </c>
      <c r="F6851" s="283" t="s">
        <v>1075</v>
      </c>
      <c r="G6851" s="283">
        <v>2</v>
      </c>
      <c r="H6851" s="283">
        <v>0</v>
      </c>
      <c r="I6851" s="283">
        <v>0</v>
      </c>
      <c r="J6851" s="284">
        <v>0</v>
      </c>
    </row>
    <row r="6852" spans="3:10" x14ac:dyDescent="0.25">
      <c r="C6852" s="300" t="s">
        <v>1067</v>
      </c>
      <c r="D6852" s="283" t="s">
        <v>1087</v>
      </c>
      <c r="E6852" s="283" t="s">
        <v>1078</v>
      </c>
      <c r="F6852" s="283" t="s">
        <v>524</v>
      </c>
      <c r="G6852" s="283">
        <v>1</v>
      </c>
      <c r="H6852" s="283">
        <v>0</v>
      </c>
      <c r="I6852" s="283">
        <v>0</v>
      </c>
      <c r="J6852" s="284">
        <v>0</v>
      </c>
    </row>
    <row r="6853" spans="3:10" x14ac:dyDescent="0.25">
      <c r="C6853" s="300" t="s">
        <v>1067</v>
      </c>
      <c r="D6853" s="283" t="s">
        <v>1079</v>
      </c>
      <c r="E6853" s="283" t="s">
        <v>1078</v>
      </c>
      <c r="F6853" s="283" t="s">
        <v>1089</v>
      </c>
      <c r="G6853" s="283">
        <v>2</v>
      </c>
      <c r="H6853" s="283">
        <v>0</v>
      </c>
      <c r="I6853" s="283">
        <v>0</v>
      </c>
      <c r="J6853" s="284">
        <v>1</v>
      </c>
    </row>
    <row r="6854" spans="3:10" x14ac:dyDescent="0.25">
      <c r="C6854" s="300" t="s">
        <v>1060</v>
      </c>
      <c r="D6854" s="283" t="s">
        <v>1043</v>
      </c>
      <c r="E6854" s="283" t="s">
        <v>1085</v>
      </c>
      <c r="F6854" s="283" t="s">
        <v>1092</v>
      </c>
      <c r="G6854" s="283">
        <v>2</v>
      </c>
      <c r="H6854" s="283">
        <v>0</v>
      </c>
      <c r="I6854" s="283">
        <v>0</v>
      </c>
      <c r="J6854" s="284">
        <v>1</v>
      </c>
    </row>
    <row r="6855" spans="3:10" x14ac:dyDescent="0.25">
      <c r="C6855" s="300" t="s">
        <v>1063</v>
      </c>
      <c r="D6855" s="283" t="s">
        <v>1077</v>
      </c>
      <c r="E6855" s="283" t="s">
        <v>1076</v>
      </c>
      <c r="F6855" s="283" t="s">
        <v>1075</v>
      </c>
      <c r="G6855" s="283">
        <v>2</v>
      </c>
      <c r="H6855" s="283">
        <v>0</v>
      </c>
      <c r="I6855" s="283">
        <v>0</v>
      </c>
      <c r="J6855" s="284">
        <v>1</v>
      </c>
    </row>
    <row r="6856" spans="3:10" x14ac:dyDescent="0.25">
      <c r="C6856" s="300" t="s">
        <v>1067</v>
      </c>
      <c r="D6856" s="283" t="s">
        <v>1074</v>
      </c>
      <c r="E6856" s="283" t="s">
        <v>1078</v>
      </c>
      <c r="F6856" s="283" t="s">
        <v>1075</v>
      </c>
      <c r="G6856" s="283">
        <v>2</v>
      </c>
      <c r="H6856" s="283">
        <v>0</v>
      </c>
      <c r="I6856" s="283">
        <v>0</v>
      </c>
      <c r="J6856" s="284">
        <v>1</v>
      </c>
    </row>
    <row r="6857" spans="3:10" x14ac:dyDescent="0.25">
      <c r="C6857" s="300" t="s">
        <v>1057</v>
      </c>
      <c r="D6857" s="283" t="s">
        <v>1087</v>
      </c>
      <c r="E6857" s="283" t="s">
        <v>1075</v>
      </c>
      <c r="F6857" s="283" t="s">
        <v>524</v>
      </c>
      <c r="G6857" s="283">
        <v>1</v>
      </c>
      <c r="H6857" s="283">
        <v>0</v>
      </c>
      <c r="I6857" s="283">
        <v>0</v>
      </c>
      <c r="J6857" s="284">
        <v>0</v>
      </c>
    </row>
    <row r="6858" spans="3:10" x14ac:dyDescent="0.25">
      <c r="C6858" s="300" t="s">
        <v>1060</v>
      </c>
      <c r="D6858" s="283" t="s">
        <v>1074</v>
      </c>
      <c r="E6858" s="283" t="s">
        <v>1075</v>
      </c>
      <c r="F6858" s="283" t="s">
        <v>1075</v>
      </c>
      <c r="G6858" s="283">
        <v>2</v>
      </c>
      <c r="H6858" s="283">
        <v>0</v>
      </c>
      <c r="I6858" s="283">
        <v>0</v>
      </c>
      <c r="J6858" s="284">
        <v>0</v>
      </c>
    </row>
    <row r="6859" spans="3:10" x14ac:dyDescent="0.25">
      <c r="C6859" s="300" t="s">
        <v>1060</v>
      </c>
      <c r="D6859" s="283" t="s">
        <v>1074</v>
      </c>
      <c r="E6859" s="283" t="s">
        <v>1089</v>
      </c>
      <c r="F6859" s="283" t="s">
        <v>1075</v>
      </c>
      <c r="G6859" s="283">
        <v>2</v>
      </c>
      <c r="H6859" s="283">
        <v>0</v>
      </c>
      <c r="I6859" s="283">
        <v>0</v>
      </c>
      <c r="J6859" s="284">
        <v>0</v>
      </c>
    </row>
    <row r="6860" spans="3:10" x14ac:dyDescent="0.25">
      <c r="C6860" s="300" t="s">
        <v>1059</v>
      </c>
      <c r="D6860" s="283" t="s">
        <v>1077</v>
      </c>
      <c r="E6860" s="283" t="s">
        <v>1076</v>
      </c>
      <c r="F6860" s="283" t="s">
        <v>1075</v>
      </c>
      <c r="G6860" s="283">
        <v>2</v>
      </c>
      <c r="H6860" s="283">
        <v>0</v>
      </c>
      <c r="I6860" s="283">
        <v>0</v>
      </c>
      <c r="J6860" s="284">
        <v>0</v>
      </c>
    </row>
    <row r="6861" spans="3:10" x14ac:dyDescent="0.25">
      <c r="C6861" s="300" t="s">
        <v>1059</v>
      </c>
      <c r="D6861" s="283" t="s">
        <v>1087</v>
      </c>
      <c r="E6861" s="283" t="s">
        <v>1089</v>
      </c>
      <c r="F6861" s="283" t="s">
        <v>524</v>
      </c>
      <c r="G6861" s="283">
        <v>1</v>
      </c>
      <c r="H6861" s="283">
        <v>0</v>
      </c>
      <c r="I6861" s="283">
        <v>0</v>
      </c>
      <c r="J6861" s="284">
        <v>0</v>
      </c>
    </row>
    <row r="6862" spans="3:10" x14ac:dyDescent="0.25">
      <c r="C6862" s="300" t="s">
        <v>1064</v>
      </c>
      <c r="D6862" s="283" t="s">
        <v>1074</v>
      </c>
      <c r="E6862" s="283" t="s">
        <v>1075</v>
      </c>
      <c r="F6862" s="283" t="s">
        <v>1075</v>
      </c>
      <c r="G6862" s="283">
        <v>2</v>
      </c>
      <c r="H6862" s="283">
        <v>0</v>
      </c>
      <c r="I6862" s="283">
        <v>0</v>
      </c>
      <c r="J6862" s="284">
        <v>1</v>
      </c>
    </row>
    <row r="6863" spans="3:10" x14ac:dyDescent="0.25">
      <c r="C6863" s="300" t="s">
        <v>1060</v>
      </c>
      <c r="D6863" s="283" t="s">
        <v>1074</v>
      </c>
      <c r="E6863" s="283" t="s">
        <v>1075</v>
      </c>
      <c r="F6863" s="283" t="s">
        <v>1078</v>
      </c>
      <c r="G6863" s="283">
        <v>2</v>
      </c>
      <c r="H6863" s="283">
        <v>0</v>
      </c>
      <c r="I6863" s="283">
        <v>1</v>
      </c>
      <c r="J6863" s="284">
        <v>1</v>
      </c>
    </row>
    <row r="6864" spans="3:10" x14ac:dyDescent="0.25">
      <c r="C6864" s="300" t="s">
        <v>1064</v>
      </c>
      <c r="D6864" s="283" t="s">
        <v>1074</v>
      </c>
      <c r="E6864" s="283" t="s">
        <v>1075</v>
      </c>
      <c r="F6864" s="283" t="s">
        <v>1083</v>
      </c>
      <c r="G6864" s="283">
        <v>2</v>
      </c>
      <c r="H6864" s="283">
        <v>0</v>
      </c>
      <c r="I6864" s="283">
        <v>1</v>
      </c>
      <c r="J6864" s="284">
        <v>1</v>
      </c>
    </row>
    <row r="6865" spans="3:10" x14ac:dyDescent="0.25">
      <c r="C6865" s="300" t="s">
        <v>1065</v>
      </c>
      <c r="D6865" s="283" t="s">
        <v>1077</v>
      </c>
      <c r="E6865" s="283" t="s">
        <v>1084</v>
      </c>
      <c r="F6865" s="283" t="s">
        <v>1075</v>
      </c>
      <c r="G6865" s="283">
        <v>2</v>
      </c>
      <c r="H6865" s="283">
        <v>0</v>
      </c>
      <c r="I6865" s="283">
        <v>0</v>
      </c>
      <c r="J6865" s="284">
        <v>0</v>
      </c>
    </row>
    <row r="6866" spans="3:10" x14ac:dyDescent="0.25">
      <c r="C6866" s="300" t="s">
        <v>1068</v>
      </c>
      <c r="D6866" s="283" t="s">
        <v>1043</v>
      </c>
      <c r="E6866" s="283" t="s">
        <v>1075</v>
      </c>
      <c r="F6866" s="283" t="s">
        <v>1092</v>
      </c>
      <c r="G6866" s="283">
        <v>2</v>
      </c>
      <c r="H6866" s="283">
        <v>0</v>
      </c>
      <c r="I6866" s="283">
        <v>1</v>
      </c>
      <c r="J6866" s="284">
        <v>0</v>
      </c>
    </row>
    <row r="6867" spans="3:10" x14ac:dyDescent="0.25">
      <c r="C6867" s="300" t="s">
        <v>1061</v>
      </c>
      <c r="D6867" s="283" t="s">
        <v>1082</v>
      </c>
      <c r="E6867" s="283" t="s">
        <v>1076</v>
      </c>
      <c r="F6867" s="283" t="s">
        <v>1084</v>
      </c>
      <c r="G6867" s="283">
        <v>2</v>
      </c>
      <c r="H6867" s="283">
        <v>0</v>
      </c>
      <c r="I6867" s="283">
        <v>0</v>
      </c>
      <c r="J6867" s="284">
        <v>2</v>
      </c>
    </row>
    <row r="6868" spans="3:10" x14ac:dyDescent="0.25">
      <c r="C6868" s="300" t="s">
        <v>1060</v>
      </c>
      <c r="D6868" s="283" t="s">
        <v>1079</v>
      </c>
      <c r="E6868" s="283" t="s">
        <v>1075</v>
      </c>
      <c r="F6868" s="283" t="s">
        <v>1075</v>
      </c>
      <c r="G6868" s="283">
        <v>2</v>
      </c>
      <c r="H6868" s="283">
        <v>0</v>
      </c>
      <c r="I6868" s="283">
        <v>0</v>
      </c>
      <c r="J6868" s="284">
        <v>0</v>
      </c>
    </row>
    <row r="6869" spans="3:10" x14ac:dyDescent="0.25">
      <c r="C6869" s="300" t="s">
        <v>1068</v>
      </c>
      <c r="D6869" s="283" t="s">
        <v>1090</v>
      </c>
      <c r="E6869" s="283" t="s">
        <v>1075</v>
      </c>
      <c r="F6869" s="283" t="s">
        <v>524</v>
      </c>
      <c r="G6869" s="283">
        <v>1</v>
      </c>
      <c r="H6869" s="283">
        <v>0</v>
      </c>
      <c r="I6869" s="283">
        <v>0</v>
      </c>
      <c r="J6869" s="284">
        <v>0</v>
      </c>
    </row>
    <row r="6870" spans="3:10" x14ac:dyDescent="0.25">
      <c r="C6870" s="300" t="s">
        <v>1064</v>
      </c>
      <c r="D6870" s="283" t="s">
        <v>1074</v>
      </c>
      <c r="E6870" s="283" t="s">
        <v>1075</v>
      </c>
      <c r="F6870" s="283" t="s">
        <v>1075</v>
      </c>
      <c r="G6870" s="283">
        <v>2</v>
      </c>
      <c r="H6870" s="283">
        <v>0</v>
      </c>
      <c r="I6870" s="283">
        <v>0</v>
      </c>
      <c r="J6870" s="284">
        <v>2</v>
      </c>
    </row>
    <row r="6871" spans="3:10" x14ac:dyDescent="0.25">
      <c r="C6871" s="300" t="s">
        <v>1065</v>
      </c>
      <c r="D6871" s="283" t="s">
        <v>1077</v>
      </c>
      <c r="E6871" s="283" t="s">
        <v>1075</v>
      </c>
      <c r="F6871" s="283" t="s">
        <v>1083</v>
      </c>
      <c r="G6871" s="283">
        <v>2</v>
      </c>
      <c r="H6871" s="283">
        <v>0</v>
      </c>
      <c r="I6871" s="283">
        <v>0</v>
      </c>
      <c r="J6871" s="284">
        <v>1</v>
      </c>
    </row>
    <row r="6872" spans="3:10" x14ac:dyDescent="0.25">
      <c r="C6872" s="300" t="s">
        <v>1063</v>
      </c>
      <c r="D6872" s="283" t="s">
        <v>1079</v>
      </c>
      <c r="E6872" s="283" t="s">
        <v>1075</v>
      </c>
      <c r="F6872" s="283" t="s">
        <v>1075</v>
      </c>
      <c r="G6872" s="283">
        <v>3</v>
      </c>
      <c r="H6872" s="283">
        <v>0</v>
      </c>
      <c r="I6872" s="283">
        <v>1</v>
      </c>
      <c r="J6872" s="284">
        <v>0</v>
      </c>
    </row>
    <row r="6873" spans="3:10" x14ac:dyDescent="0.25">
      <c r="C6873" s="300" t="s">
        <v>1060</v>
      </c>
      <c r="D6873" s="283" t="s">
        <v>1082</v>
      </c>
      <c r="E6873" s="283" t="s">
        <v>1075</v>
      </c>
      <c r="F6873" s="283" t="s">
        <v>1076</v>
      </c>
      <c r="G6873" s="283">
        <v>3</v>
      </c>
      <c r="H6873" s="283">
        <v>0</v>
      </c>
      <c r="I6873" s="283">
        <v>1</v>
      </c>
      <c r="J6873" s="284">
        <v>1</v>
      </c>
    </row>
    <row r="6874" spans="3:10" x14ac:dyDescent="0.25">
      <c r="C6874" s="300" t="s">
        <v>1060</v>
      </c>
      <c r="D6874" s="283" t="s">
        <v>1077</v>
      </c>
      <c r="E6874" s="283" t="s">
        <v>1075</v>
      </c>
      <c r="F6874" s="283" t="s">
        <v>1075</v>
      </c>
      <c r="G6874" s="283">
        <v>2</v>
      </c>
      <c r="H6874" s="283">
        <v>0</v>
      </c>
      <c r="I6874" s="283">
        <v>0</v>
      </c>
      <c r="J6874" s="284">
        <v>0</v>
      </c>
    </row>
    <row r="6875" spans="3:10" x14ac:dyDescent="0.25">
      <c r="C6875" s="300" t="s">
        <v>1059</v>
      </c>
      <c r="D6875" s="283" t="s">
        <v>1087</v>
      </c>
      <c r="E6875" s="283" t="s">
        <v>1075</v>
      </c>
      <c r="F6875" s="283" t="s">
        <v>524</v>
      </c>
      <c r="G6875" s="283">
        <v>3</v>
      </c>
      <c r="H6875" s="283">
        <v>0</v>
      </c>
      <c r="I6875" s="283">
        <v>0</v>
      </c>
      <c r="J6875" s="284">
        <v>0</v>
      </c>
    </row>
    <row r="6876" spans="3:10" x14ac:dyDescent="0.25">
      <c r="C6876" s="300" t="s">
        <v>1066</v>
      </c>
      <c r="D6876" s="283" t="s">
        <v>1087</v>
      </c>
      <c r="E6876" s="283" t="s">
        <v>1075</v>
      </c>
      <c r="F6876" s="283" t="s">
        <v>524</v>
      </c>
      <c r="G6876" s="283">
        <v>1</v>
      </c>
      <c r="H6876" s="283">
        <v>0</v>
      </c>
      <c r="I6876" s="283">
        <v>0</v>
      </c>
      <c r="J6876" s="284">
        <v>0</v>
      </c>
    </row>
    <row r="6877" spans="3:10" x14ac:dyDescent="0.25">
      <c r="C6877" s="300" t="s">
        <v>1065</v>
      </c>
      <c r="D6877" s="283" t="s">
        <v>1082</v>
      </c>
      <c r="E6877" s="283" t="s">
        <v>1078</v>
      </c>
      <c r="F6877" s="283" t="s">
        <v>1078</v>
      </c>
      <c r="G6877" s="283">
        <v>3</v>
      </c>
      <c r="H6877" s="283">
        <v>0</v>
      </c>
      <c r="I6877" s="283">
        <v>1</v>
      </c>
      <c r="J6877" s="284">
        <v>2</v>
      </c>
    </row>
    <row r="6878" spans="3:10" x14ac:dyDescent="0.25">
      <c r="C6878" s="300" t="s">
        <v>1060</v>
      </c>
      <c r="D6878" s="283" t="s">
        <v>1082</v>
      </c>
      <c r="E6878" s="283" t="s">
        <v>1075</v>
      </c>
      <c r="F6878" s="283" t="s">
        <v>1075</v>
      </c>
      <c r="G6878" s="283">
        <v>2</v>
      </c>
      <c r="H6878" s="283">
        <v>0</v>
      </c>
      <c r="I6878" s="283">
        <v>2</v>
      </c>
      <c r="J6878" s="284">
        <v>1</v>
      </c>
    </row>
    <row r="6879" spans="3:10" x14ac:dyDescent="0.25">
      <c r="C6879" s="300" t="s">
        <v>1066</v>
      </c>
      <c r="D6879" s="283" t="s">
        <v>1087</v>
      </c>
      <c r="E6879" s="283" t="s">
        <v>1075</v>
      </c>
      <c r="F6879" s="283" t="s">
        <v>524</v>
      </c>
      <c r="G6879" s="283">
        <v>1</v>
      </c>
      <c r="H6879" s="283">
        <v>0</v>
      </c>
      <c r="I6879" s="283">
        <v>1</v>
      </c>
      <c r="J6879" s="284">
        <v>1</v>
      </c>
    </row>
    <row r="6880" spans="3:10" x14ac:dyDescent="0.25">
      <c r="C6880" s="300" t="s">
        <v>1060</v>
      </c>
      <c r="D6880" s="283" t="s">
        <v>1079</v>
      </c>
      <c r="E6880" s="283" t="s">
        <v>1078</v>
      </c>
      <c r="F6880" s="283" t="s">
        <v>1044</v>
      </c>
      <c r="G6880" s="283">
        <v>2</v>
      </c>
      <c r="H6880" s="283">
        <v>0</v>
      </c>
      <c r="I6880" s="283">
        <v>0</v>
      </c>
      <c r="J6880" s="284">
        <v>0</v>
      </c>
    </row>
    <row r="6881" spans="3:10" x14ac:dyDescent="0.25">
      <c r="C6881" s="300" t="s">
        <v>1067</v>
      </c>
      <c r="D6881" s="283" t="s">
        <v>1079</v>
      </c>
      <c r="E6881" s="283" t="s">
        <v>1076</v>
      </c>
      <c r="F6881" s="283" t="s">
        <v>1094</v>
      </c>
      <c r="G6881" s="283">
        <v>4</v>
      </c>
      <c r="H6881" s="283">
        <v>0</v>
      </c>
      <c r="I6881" s="283">
        <v>0</v>
      </c>
      <c r="J6881" s="284">
        <v>0</v>
      </c>
    </row>
    <row r="6882" spans="3:10" x14ac:dyDescent="0.25">
      <c r="C6882" s="300" t="s">
        <v>1064</v>
      </c>
      <c r="D6882" s="283" t="s">
        <v>1077</v>
      </c>
      <c r="E6882" s="283" t="s">
        <v>1076</v>
      </c>
      <c r="F6882" s="283" t="s">
        <v>1075</v>
      </c>
      <c r="G6882" s="283">
        <v>3</v>
      </c>
      <c r="H6882" s="283">
        <v>0</v>
      </c>
      <c r="I6882" s="283">
        <v>0</v>
      </c>
      <c r="J6882" s="284">
        <v>1</v>
      </c>
    </row>
    <row r="6883" spans="3:10" x14ac:dyDescent="0.25">
      <c r="C6883" s="300" t="s">
        <v>1059</v>
      </c>
      <c r="D6883" s="283" t="s">
        <v>1087</v>
      </c>
      <c r="E6883" s="283" t="s">
        <v>1075</v>
      </c>
      <c r="F6883" s="283" t="s">
        <v>524</v>
      </c>
      <c r="G6883" s="283">
        <v>2</v>
      </c>
      <c r="H6883" s="283">
        <v>0</v>
      </c>
      <c r="I6883" s="283">
        <v>0</v>
      </c>
      <c r="J6883" s="284">
        <v>0</v>
      </c>
    </row>
    <row r="6884" spans="3:10" x14ac:dyDescent="0.25">
      <c r="C6884" s="300" t="s">
        <v>1062</v>
      </c>
      <c r="D6884" s="283" t="s">
        <v>1077</v>
      </c>
      <c r="E6884" s="283" t="s">
        <v>1078</v>
      </c>
      <c r="F6884" s="283" t="s">
        <v>1075</v>
      </c>
      <c r="G6884" s="283">
        <v>2</v>
      </c>
      <c r="H6884" s="283">
        <v>0</v>
      </c>
      <c r="I6884" s="283">
        <v>0</v>
      </c>
      <c r="J6884" s="284">
        <v>0</v>
      </c>
    </row>
    <row r="6885" spans="3:10" x14ac:dyDescent="0.25">
      <c r="C6885" s="300" t="s">
        <v>1059</v>
      </c>
      <c r="D6885" s="283" t="s">
        <v>1087</v>
      </c>
      <c r="E6885" s="283" t="s">
        <v>1076</v>
      </c>
      <c r="F6885" s="283" t="s">
        <v>524</v>
      </c>
      <c r="G6885" s="283">
        <v>1</v>
      </c>
      <c r="H6885" s="283">
        <v>0</v>
      </c>
      <c r="I6885" s="283">
        <v>0</v>
      </c>
      <c r="J6885" s="284">
        <v>0</v>
      </c>
    </row>
    <row r="6886" spans="3:10" x14ac:dyDescent="0.25">
      <c r="C6886" s="300" t="s">
        <v>1061</v>
      </c>
      <c r="D6886" s="283" t="s">
        <v>1077</v>
      </c>
      <c r="E6886" s="283" t="s">
        <v>1076</v>
      </c>
      <c r="F6886" s="283" t="s">
        <v>1089</v>
      </c>
      <c r="G6886" s="283">
        <v>2</v>
      </c>
      <c r="H6886" s="283">
        <v>0</v>
      </c>
      <c r="I6886" s="283">
        <v>0</v>
      </c>
      <c r="J6886" s="284">
        <v>1</v>
      </c>
    </row>
    <row r="6887" spans="3:10" x14ac:dyDescent="0.25">
      <c r="C6887" s="300" t="s">
        <v>1064</v>
      </c>
      <c r="D6887" s="283" t="s">
        <v>1090</v>
      </c>
      <c r="E6887" s="283" t="s">
        <v>1089</v>
      </c>
      <c r="F6887" s="283" t="s">
        <v>524</v>
      </c>
      <c r="G6887" s="283">
        <v>1</v>
      </c>
      <c r="H6887" s="283">
        <v>0</v>
      </c>
      <c r="I6887" s="283">
        <v>2</v>
      </c>
      <c r="J6887" s="284">
        <v>0</v>
      </c>
    </row>
    <row r="6888" spans="3:10" x14ac:dyDescent="0.25">
      <c r="C6888" s="300" t="s">
        <v>1061</v>
      </c>
      <c r="D6888" s="283" t="s">
        <v>1074</v>
      </c>
      <c r="E6888" s="283" t="s">
        <v>1075</v>
      </c>
      <c r="F6888" s="283" t="s">
        <v>1089</v>
      </c>
      <c r="G6888" s="283">
        <v>3</v>
      </c>
      <c r="H6888" s="283">
        <v>0</v>
      </c>
      <c r="I6888" s="283">
        <v>1</v>
      </c>
      <c r="J6888" s="284">
        <v>0</v>
      </c>
    </row>
    <row r="6889" spans="3:10" x14ac:dyDescent="0.25">
      <c r="C6889" s="300" t="s">
        <v>1064</v>
      </c>
      <c r="D6889" s="283" t="s">
        <v>1090</v>
      </c>
      <c r="E6889" s="283" t="s">
        <v>1083</v>
      </c>
      <c r="F6889" s="283" t="s">
        <v>524</v>
      </c>
      <c r="G6889" s="283">
        <v>1</v>
      </c>
      <c r="H6889" s="283">
        <v>0</v>
      </c>
      <c r="I6889" s="283">
        <v>0</v>
      </c>
      <c r="J6889" s="284">
        <v>1</v>
      </c>
    </row>
    <row r="6890" spans="3:10" x14ac:dyDescent="0.25">
      <c r="C6890" s="300" t="s">
        <v>1064</v>
      </c>
      <c r="D6890" s="283" t="s">
        <v>1079</v>
      </c>
      <c r="E6890" s="283" t="s">
        <v>1080</v>
      </c>
      <c r="F6890" s="283" t="s">
        <v>1076</v>
      </c>
      <c r="G6890" s="283">
        <v>2</v>
      </c>
      <c r="H6890" s="283">
        <v>0</v>
      </c>
      <c r="I6890" s="283">
        <v>0</v>
      </c>
      <c r="J6890" s="284">
        <v>1</v>
      </c>
    </row>
    <row r="6891" spans="3:10" x14ac:dyDescent="0.25">
      <c r="C6891" s="300" t="s">
        <v>1060</v>
      </c>
      <c r="D6891" s="283" t="s">
        <v>1043</v>
      </c>
      <c r="E6891" s="283" t="s">
        <v>1080</v>
      </c>
      <c r="F6891" s="283" t="s">
        <v>1092</v>
      </c>
      <c r="G6891" s="283">
        <v>2</v>
      </c>
      <c r="H6891" s="283">
        <v>0</v>
      </c>
      <c r="I6891" s="283">
        <v>1</v>
      </c>
      <c r="J6891" s="284">
        <v>0</v>
      </c>
    </row>
    <row r="6892" spans="3:10" x14ac:dyDescent="0.25">
      <c r="C6892" s="300" t="s">
        <v>1065</v>
      </c>
      <c r="D6892" s="283" t="s">
        <v>1095</v>
      </c>
      <c r="E6892" s="283" t="s">
        <v>1086</v>
      </c>
      <c r="F6892" s="283" t="s">
        <v>1093</v>
      </c>
      <c r="G6892" s="283">
        <v>2</v>
      </c>
      <c r="H6892" s="283">
        <v>0</v>
      </c>
      <c r="I6892" s="283">
        <v>0</v>
      </c>
      <c r="J6892" s="284">
        <v>0</v>
      </c>
    </row>
    <row r="6893" spans="3:10" x14ac:dyDescent="0.25">
      <c r="C6893" s="300" t="s">
        <v>1066</v>
      </c>
      <c r="D6893" s="283" t="s">
        <v>1079</v>
      </c>
      <c r="E6893" s="283" t="s">
        <v>1075</v>
      </c>
      <c r="F6893" s="283" t="s">
        <v>1080</v>
      </c>
      <c r="G6893" s="283">
        <v>3</v>
      </c>
      <c r="H6893" s="283">
        <v>0</v>
      </c>
      <c r="I6893" s="283">
        <v>0</v>
      </c>
      <c r="J6893" s="284">
        <v>1</v>
      </c>
    </row>
    <row r="6894" spans="3:10" x14ac:dyDescent="0.25">
      <c r="C6894" s="300" t="s">
        <v>1063</v>
      </c>
      <c r="D6894" s="283" t="s">
        <v>1087</v>
      </c>
      <c r="E6894" s="283" t="s">
        <v>1075</v>
      </c>
      <c r="F6894" s="283" t="s">
        <v>524</v>
      </c>
      <c r="G6894" s="283">
        <v>1</v>
      </c>
      <c r="H6894" s="283">
        <v>0</v>
      </c>
      <c r="I6894" s="283">
        <v>1</v>
      </c>
      <c r="J6894" s="284">
        <v>0</v>
      </c>
    </row>
    <row r="6895" spans="3:10" x14ac:dyDescent="0.25">
      <c r="C6895" s="300" t="s">
        <v>1066</v>
      </c>
      <c r="D6895" s="283" t="s">
        <v>1074</v>
      </c>
      <c r="E6895" s="283" t="s">
        <v>1089</v>
      </c>
      <c r="F6895" s="283" t="s">
        <v>1075</v>
      </c>
      <c r="G6895" s="283">
        <v>2</v>
      </c>
      <c r="H6895" s="283">
        <v>0</v>
      </c>
      <c r="I6895" s="283">
        <v>1</v>
      </c>
      <c r="J6895" s="284">
        <v>0</v>
      </c>
    </row>
    <row r="6896" spans="3:10" x14ac:dyDescent="0.25">
      <c r="C6896" s="300" t="s">
        <v>1062</v>
      </c>
      <c r="D6896" s="283" t="s">
        <v>1074</v>
      </c>
      <c r="E6896" s="283" t="s">
        <v>1089</v>
      </c>
      <c r="F6896" s="283" t="s">
        <v>1083</v>
      </c>
      <c r="G6896" s="283">
        <v>2</v>
      </c>
      <c r="H6896" s="283">
        <v>0</v>
      </c>
      <c r="I6896" s="283">
        <v>1</v>
      </c>
      <c r="J6896" s="284">
        <v>0</v>
      </c>
    </row>
    <row r="6897" spans="3:10" x14ac:dyDescent="0.25">
      <c r="C6897" s="300" t="s">
        <v>1066</v>
      </c>
      <c r="D6897" s="283" t="s">
        <v>1079</v>
      </c>
      <c r="E6897" s="283" t="s">
        <v>1083</v>
      </c>
      <c r="F6897" s="283" t="s">
        <v>1075</v>
      </c>
      <c r="G6897" s="283">
        <v>2</v>
      </c>
      <c r="H6897" s="283">
        <v>0</v>
      </c>
      <c r="I6897" s="283">
        <v>0</v>
      </c>
      <c r="J6897" s="284">
        <v>0</v>
      </c>
    </row>
    <row r="6898" spans="3:10" x14ac:dyDescent="0.25">
      <c r="C6898" s="300" t="s">
        <v>1061</v>
      </c>
      <c r="D6898" s="283" t="s">
        <v>1077</v>
      </c>
      <c r="E6898" s="283" t="s">
        <v>1084</v>
      </c>
      <c r="F6898" s="283" t="s">
        <v>1089</v>
      </c>
      <c r="G6898" s="283">
        <v>2</v>
      </c>
      <c r="H6898" s="283">
        <v>0</v>
      </c>
      <c r="I6898" s="283">
        <v>0</v>
      </c>
      <c r="J6898" s="284">
        <v>0</v>
      </c>
    </row>
    <row r="6899" spans="3:10" x14ac:dyDescent="0.25">
      <c r="C6899" s="300" t="s">
        <v>1062</v>
      </c>
      <c r="D6899" s="283" t="s">
        <v>1043</v>
      </c>
      <c r="E6899" s="283" t="s">
        <v>1076</v>
      </c>
      <c r="F6899" s="283" t="s">
        <v>1092</v>
      </c>
      <c r="G6899" s="283">
        <v>3</v>
      </c>
      <c r="H6899" s="283">
        <v>0</v>
      </c>
      <c r="I6899" s="283">
        <v>2</v>
      </c>
      <c r="J6899" s="284">
        <v>0</v>
      </c>
    </row>
    <row r="6900" spans="3:10" x14ac:dyDescent="0.25">
      <c r="C6900" s="300" t="s">
        <v>1060</v>
      </c>
      <c r="D6900" s="283" t="s">
        <v>1079</v>
      </c>
      <c r="E6900" s="283" t="s">
        <v>1084</v>
      </c>
      <c r="F6900" s="283" t="s">
        <v>1094</v>
      </c>
      <c r="G6900" s="283">
        <v>2</v>
      </c>
      <c r="H6900" s="283">
        <v>0</v>
      </c>
      <c r="I6900" s="283">
        <v>0</v>
      </c>
      <c r="J6900" s="284">
        <v>1</v>
      </c>
    </row>
    <row r="6901" spans="3:10" x14ac:dyDescent="0.25">
      <c r="C6901" s="300" t="s">
        <v>1065</v>
      </c>
      <c r="D6901" s="283" t="s">
        <v>1079</v>
      </c>
      <c r="E6901" s="283" t="s">
        <v>1085</v>
      </c>
      <c r="F6901" s="283" t="s">
        <v>1075</v>
      </c>
      <c r="G6901" s="283">
        <v>2</v>
      </c>
      <c r="H6901" s="283">
        <v>0</v>
      </c>
      <c r="I6901" s="283">
        <v>0</v>
      </c>
      <c r="J6901" s="284">
        <v>1</v>
      </c>
    </row>
    <row r="6902" spans="3:10" x14ac:dyDescent="0.25">
      <c r="C6902" s="300" t="s">
        <v>1063</v>
      </c>
      <c r="D6902" s="283" t="s">
        <v>1077</v>
      </c>
      <c r="E6902" s="283" t="s">
        <v>1083</v>
      </c>
      <c r="F6902" s="283" t="s">
        <v>1080</v>
      </c>
      <c r="G6902" s="283">
        <v>2</v>
      </c>
      <c r="H6902" s="283">
        <v>0</v>
      </c>
      <c r="I6902" s="283">
        <v>1</v>
      </c>
      <c r="J6902" s="284">
        <v>0</v>
      </c>
    </row>
    <row r="6903" spans="3:10" x14ac:dyDescent="0.25">
      <c r="C6903" s="300" t="s">
        <v>1061</v>
      </c>
      <c r="D6903" s="283" t="s">
        <v>1043</v>
      </c>
      <c r="E6903" s="283" t="s">
        <v>1089</v>
      </c>
      <c r="F6903" s="283" t="s">
        <v>1092</v>
      </c>
      <c r="G6903" s="283">
        <v>2</v>
      </c>
      <c r="H6903" s="283">
        <v>0</v>
      </c>
      <c r="I6903" s="283">
        <v>1</v>
      </c>
      <c r="J6903" s="284">
        <v>0</v>
      </c>
    </row>
    <row r="6904" spans="3:10" x14ac:dyDescent="0.25">
      <c r="C6904" s="300" t="s">
        <v>1064</v>
      </c>
      <c r="D6904" s="283" t="s">
        <v>1043</v>
      </c>
      <c r="E6904" s="283" t="s">
        <v>1044</v>
      </c>
      <c r="F6904" s="283" t="s">
        <v>1092</v>
      </c>
      <c r="G6904" s="283">
        <v>2</v>
      </c>
      <c r="H6904" s="283">
        <v>0</v>
      </c>
      <c r="I6904" s="283">
        <v>0</v>
      </c>
      <c r="J6904" s="284">
        <v>0</v>
      </c>
    </row>
    <row r="6905" spans="3:10" x14ac:dyDescent="0.25">
      <c r="C6905" s="300" t="s">
        <v>1064</v>
      </c>
      <c r="D6905" s="283" t="s">
        <v>1087</v>
      </c>
      <c r="E6905" s="283" t="s">
        <v>1075</v>
      </c>
      <c r="F6905" s="283" t="s">
        <v>524</v>
      </c>
      <c r="G6905" s="283">
        <v>3</v>
      </c>
      <c r="H6905" s="283">
        <v>0</v>
      </c>
      <c r="I6905" s="283">
        <v>0</v>
      </c>
      <c r="J6905" s="284">
        <v>1</v>
      </c>
    </row>
    <row r="6906" spans="3:10" x14ac:dyDescent="0.25">
      <c r="C6906" s="300" t="s">
        <v>1064</v>
      </c>
      <c r="D6906" s="283" t="s">
        <v>1087</v>
      </c>
      <c r="E6906" s="283" t="s">
        <v>1075</v>
      </c>
      <c r="F6906" s="283" t="s">
        <v>524</v>
      </c>
      <c r="G6906" s="283">
        <v>1</v>
      </c>
      <c r="H6906" s="283">
        <v>0</v>
      </c>
      <c r="I6906" s="283">
        <v>0</v>
      </c>
      <c r="J6906" s="284">
        <v>1</v>
      </c>
    </row>
    <row r="6907" spans="3:10" x14ac:dyDescent="0.25">
      <c r="C6907" s="300" t="s">
        <v>1065</v>
      </c>
      <c r="D6907" s="283" t="s">
        <v>1090</v>
      </c>
      <c r="E6907" s="283" t="s">
        <v>1093</v>
      </c>
      <c r="F6907" s="283" t="s">
        <v>524</v>
      </c>
      <c r="G6907" s="283">
        <v>1</v>
      </c>
      <c r="H6907" s="283">
        <v>0</v>
      </c>
      <c r="I6907" s="283">
        <v>0</v>
      </c>
      <c r="J6907" s="284">
        <v>0</v>
      </c>
    </row>
    <row r="6908" spans="3:10" x14ac:dyDescent="0.25">
      <c r="C6908" s="300" t="s">
        <v>1064</v>
      </c>
      <c r="D6908" s="283" t="s">
        <v>1079</v>
      </c>
      <c r="E6908" s="283" t="s">
        <v>1075</v>
      </c>
      <c r="F6908" s="283" t="s">
        <v>1093</v>
      </c>
      <c r="G6908" s="283">
        <v>2</v>
      </c>
      <c r="H6908" s="283">
        <v>0</v>
      </c>
      <c r="I6908" s="283">
        <v>0</v>
      </c>
      <c r="J6908" s="284">
        <v>1</v>
      </c>
    </row>
    <row r="6909" spans="3:10" x14ac:dyDescent="0.25">
      <c r="C6909" s="300" t="s">
        <v>1061</v>
      </c>
      <c r="D6909" s="283" t="s">
        <v>1074</v>
      </c>
      <c r="E6909" s="283" t="s">
        <v>1044</v>
      </c>
      <c r="F6909" s="283" t="s">
        <v>1075</v>
      </c>
      <c r="G6909" s="283">
        <v>2</v>
      </c>
      <c r="H6909" s="283">
        <v>0</v>
      </c>
      <c r="I6909" s="283">
        <v>1</v>
      </c>
      <c r="J6909" s="284">
        <v>0</v>
      </c>
    </row>
    <row r="6910" spans="3:10" x14ac:dyDescent="0.25">
      <c r="C6910" s="300" t="s">
        <v>1063</v>
      </c>
      <c r="D6910" s="283" t="s">
        <v>1079</v>
      </c>
      <c r="E6910" s="283" t="s">
        <v>1075</v>
      </c>
      <c r="F6910" s="283" t="s">
        <v>1089</v>
      </c>
      <c r="G6910" s="283">
        <v>2</v>
      </c>
      <c r="H6910" s="283">
        <v>0</v>
      </c>
      <c r="I6910" s="283">
        <v>0</v>
      </c>
      <c r="J6910" s="284">
        <v>0</v>
      </c>
    </row>
    <row r="6911" spans="3:10" x14ac:dyDescent="0.25">
      <c r="C6911" s="300" t="s">
        <v>1068</v>
      </c>
      <c r="D6911" s="283" t="s">
        <v>1090</v>
      </c>
      <c r="E6911" s="283" t="s">
        <v>1083</v>
      </c>
      <c r="F6911" s="283" t="s">
        <v>524</v>
      </c>
      <c r="G6911" s="283">
        <v>1</v>
      </c>
      <c r="H6911" s="283">
        <v>0</v>
      </c>
      <c r="I6911" s="283">
        <v>0</v>
      </c>
      <c r="J6911" s="284">
        <v>1</v>
      </c>
    </row>
    <row r="6912" spans="3:10" x14ac:dyDescent="0.25">
      <c r="C6912" s="300" t="s">
        <v>1065</v>
      </c>
      <c r="D6912" s="283" t="s">
        <v>1079</v>
      </c>
      <c r="E6912" s="283" t="s">
        <v>1089</v>
      </c>
      <c r="F6912" s="283" t="s">
        <v>1083</v>
      </c>
      <c r="G6912" s="283">
        <v>2</v>
      </c>
      <c r="H6912" s="283">
        <v>0</v>
      </c>
      <c r="I6912" s="283">
        <v>0</v>
      </c>
      <c r="J6912" s="284">
        <v>1</v>
      </c>
    </row>
    <row r="6913" spans="3:10" x14ac:dyDescent="0.25">
      <c r="C6913" s="300" t="s">
        <v>1064</v>
      </c>
      <c r="D6913" s="283" t="s">
        <v>1079</v>
      </c>
      <c r="E6913" s="283" t="s">
        <v>1044</v>
      </c>
      <c r="F6913" s="283" t="s">
        <v>1075</v>
      </c>
      <c r="G6913" s="283">
        <v>2</v>
      </c>
      <c r="H6913" s="283">
        <v>0</v>
      </c>
      <c r="I6913" s="283">
        <v>0</v>
      </c>
      <c r="J6913" s="284">
        <v>0</v>
      </c>
    </row>
    <row r="6914" spans="3:10" x14ac:dyDescent="0.25">
      <c r="C6914" s="300" t="s">
        <v>1064</v>
      </c>
      <c r="D6914" s="283" t="s">
        <v>1079</v>
      </c>
      <c r="E6914" s="283" t="s">
        <v>1044</v>
      </c>
      <c r="F6914" s="283" t="s">
        <v>1089</v>
      </c>
      <c r="G6914" s="283">
        <v>2</v>
      </c>
      <c r="H6914" s="283">
        <v>0</v>
      </c>
      <c r="I6914" s="283">
        <v>0</v>
      </c>
      <c r="J6914" s="284">
        <v>0</v>
      </c>
    </row>
    <row r="6915" spans="3:10" x14ac:dyDescent="0.25">
      <c r="C6915" s="300" t="s">
        <v>1065</v>
      </c>
      <c r="D6915" s="283" t="s">
        <v>1043</v>
      </c>
      <c r="E6915" s="283" t="s">
        <v>1075</v>
      </c>
      <c r="F6915" s="283" t="s">
        <v>1092</v>
      </c>
      <c r="G6915" s="283">
        <v>2</v>
      </c>
      <c r="H6915" s="283">
        <v>0</v>
      </c>
      <c r="I6915" s="283">
        <v>1</v>
      </c>
      <c r="J6915" s="284">
        <v>0</v>
      </c>
    </row>
    <row r="6916" spans="3:10" x14ac:dyDescent="0.25">
      <c r="C6916" s="300" t="s">
        <v>1060</v>
      </c>
      <c r="D6916" s="283" t="s">
        <v>1090</v>
      </c>
      <c r="E6916" s="283" t="s">
        <v>1083</v>
      </c>
      <c r="F6916" s="283" t="s">
        <v>524</v>
      </c>
      <c r="G6916" s="283">
        <v>1</v>
      </c>
      <c r="H6916" s="283">
        <v>0</v>
      </c>
      <c r="I6916" s="283">
        <v>0</v>
      </c>
      <c r="J6916" s="284">
        <v>1</v>
      </c>
    </row>
    <row r="6917" spans="3:10" x14ac:dyDescent="0.25">
      <c r="C6917" s="300" t="s">
        <v>1062</v>
      </c>
      <c r="D6917" s="283" t="s">
        <v>1077</v>
      </c>
      <c r="E6917" s="283" t="s">
        <v>1075</v>
      </c>
      <c r="F6917" s="283" t="s">
        <v>1075</v>
      </c>
      <c r="G6917" s="283">
        <v>2</v>
      </c>
      <c r="H6917" s="283">
        <v>0</v>
      </c>
      <c r="I6917" s="283">
        <v>1</v>
      </c>
      <c r="J6917" s="284">
        <v>1</v>
      </c>
    </row>
    <row r="6918" spans="3:10" x14ac:dyDescent="0.25">
      <c r="C6918" s="300" t="s">
        <v>1063</v>
      </c>
      <c r="D6918" s="283" t="s">
        <v>1077</v>
      </c>
      <c r="E6918" s="283" t="s">
        <v>1075</v>
      </c>
      <c r="F6918" s="283" t="s">
        <v>1080</v>
      </c>
      <c r="G6918" s="283">
        <v>2</v>
      </c>
      <c r="H6918" s="283">
        <v>0</v>
      </c>
      <c r="I6918" s="283">
        <v>0</v>
      </c>
      <c r="J6918" s="284">
        <v>1</v>
      </c>
    </row>
    <row r="6919" spans="3:10" x14ac:dyDescent="0.25">
      <c r="C6919" s="300" t="s">
        <v>1063</v>
      </c>
      <c r="D6919" s="283" t="s">
        <v>1079</v>
      </c>
      <c r="E6919" s="283" t="s">
        <v>1089</v>
      </c>
      <c r="F6919" s="283" t="s">
        <v>1075</v>
      </c>
      <c r="G6919" s="283">
        <v>2</v>
      </c>
      <c r="H6919" s="283">
        <v>0</v>
      </c>
      <c r="I6919" s="283">
        <v>1</v>
      </c>
      <c r="J6919" s="284">
        <v>0</v>
      </c>
    </row>
    <row r="6920" spans="3:10" x14ac:dyDescent="0.25">
      <c r="C6920" s="300" t="s">
        <v>1061</v>
      </c>
      <c r="D6920" s="283" t="s">
        <v>1074</v>
      </c>
      <c r="E6920" s="283" t="s">
        <v>1075</v>
      </c>
      <c r="F6920" s="283" t="s">
        <v>1083</v>
      </c>
      <c r="G6920" s="283">
        <v>2</v>
      </c>
      <c r="H6920" s="283">
        <v>0</v>
      </c>
      <c r="I6920" s="283">
        <v>0</v>
      </c>
      <c r="J6920" s="284">
        <v>1</v>
      </c>
    </row>
    <row r="6921" spans="3:10" x14ac:dyDescent="0.25">
      <c r="C6921" s="300" t="s">
        <v>1067</v>
      </c>
      <c r="D6921" s="283" t="s">
        <v>1082</v>
      </c>
      <c r="E6921" s="283" t="s">
        <v>1075</v>
      </c>
      <c r="F6921" s="283" t="s">
        <v>1075</v>
      </c>
      <c r="G6921" s="283">
        <v>2</v>
      </c>
      <c r="H6921" s="283">
        <v>0</v>
      </c>
      <c r="I6921" s="283">
        <v>0</v>
      </c>
      <c r="J6921" s="284">
        <v>1</v>
      </c>
    </row>
    <row r="6922" spans="3:10" x14ac:dyDescent="0.25">
      <c r="C6922" s="300" t="s">
        <v>1061</v>
      </c>
      <c r="D6922" s="283" t="s">
        <v>1077</v>
      </c>
      <c r="E6922" s="283" t="s">
        <v>1078</v>
      </c>
      <c r="F6922" s="283" t="s">
        <v>1081</v>
      </c>
      <c r="G6922" s="283">
        <v>3</v>
      </c>
      <c r="H6922" s="283">
        <v>0</v>
      </c>
      <c r="I6922" s="283">
        <v>0</v>
      </c>
      <c r="J6922" s="284">
        <v>0</v>
      </c>
    </row>
    <row r="6923" spans="3:10" x14ac:dyDescent="0.25">
      <c r="C6923" s="300" t="s">
        <v>1065</v>
      </c>
      <c r="D6923" s="283" t="s">
        <v>1090</v>
      </c>
      <c r="E6923" s="283" t="s">
        <v>1093</v>
      </c>
      <c r="F6923" s="283" t="s">
        <v>524</v>
      </c>
      <c r="G6923" s="283">
        <v>2</v>
      </c>
      <c r="H6923" s="283">
        <v>0</v>
      </c>
      <c r="I6923" s="283">
        <v>1</v>
      </c>
      <c r="J6923" s="284">
        <v>0</v>
      </c>
    </row>
    <row r="6924" spans="3:10" x14ac:dyDescent="0.25">
      <c r="C6924" s="300" t="s">
        <v>1068</v>
      </c>
      <c r="D6924" s="283" t="s">
        <v>1079</v>
      </c>
      <c r="E6924" s="283" t="s">
        <v>1089</v>
      </c>
      <c r="F6924" s="283" t="s">
        <v>1084</v>
      </c>
      <c r="G6924" s="283">
        <v>3</v>
      </c>
      <c r="H6924" s="283">
        <v>0</v>
      </c>
      <c r="I6924" s="283">
        <v>0</v>
      </c>
      <c r="J6924" s="284">
        <v>0</v>
      </c>
    </row>
    <row r="6925" spans="3:10" x14ac:dyDescent="0.25">
      <c r="C6925" s="300" t="s">
        <v>1067</v>
      </c>
      <c r="D6925" s="283" t="s">
        <v>1087</v>
      </c>
      <c r="E6925" s="283" t="s">
        <v>1089</v>
      </c>
      <c r="F6925" s="283" t="s">
        <v>524</v>
      </c>
      <c r="G6925" s="283">
        <v>1</v>
      </c>
      <c r="H6925" s="283">
        <v>0</v>
      </c>
      <c r="I6925" s="283">
        <v>0</v>
      </c>
      <c r="J6925" s="284">
        <v>0</v>
      </c>
    </row>
    <row r="6926" spans="3:10" x14ac:dyDescent="0.25">
      <c r="C6926" s="300" t="s">
        <v>1059</v>
      </c>
      <c r="D6926" s="283" t="s">
        <v>1079</v>
      </c>
      <c r="E6926" s="283" t="s">
        <v>1075</v>
      </c>
      <c r="F6926" s="283" t="s">
        <v>1044</v>
      </c>
      <c r="G6926" s="283">
        <v>2</v>
      </c>
      <c r="H6926" s="283">
        <v>0</v>
      </c>
      <c r="I6926" s="283">
        <v>0</v>
      </c>
      <c r="J6926" s="284">
        <v>0</v>
      </c>
    </row>
    <row r="6927" spans="3:10" x14ac:dyDescent="0.25">
      <c r="C6927" s="300" t="s">
        <v>1062</v>
      </c>
      <c r="D6927" s="283" t="s">
        <v>1090</v>
      </c>
      <c r="E6927" s="283" t="s">
        <v>1044</v>
      </c>
      <c r="F6927" s="283" t="s">
        <v>524</v>
      </c>
      <c r="G6927" s="283">
        <v>1</v>
      </c>
      <c r="H6927" s="283">
        <v>0</v>
      </c>
      <c r="I6927" s="283">
        <v>1</v>
      </c>
      <c r="J6927" s="284">
        <v>0</v>
      </c>
    </row>
    <row r="6928" spans="3:10" x14ac:dyDescent="0.25">
      <c r="C6928" s="300" t="s">
        <v>1060</v>
      </c>
      <c r="D6928" s="283" t="s">
        <v>1077</v>
      </c>
      <c r="E6928" s="283" t="s">
        <v>1076</v>
      </c>
      <c r="F6928" s="283" t="s">
        <v>1084</v>
      </c>
      <c r="G6928" s="283">
        <v>2</v>
      </c>
      <c r="H6928" s="283">
        <v>0</v>
      </c>
      <c r="I6928" s="283">
        <v>0</v>
      </c>
      <c r="J6928" s="284">
        <v>0</v>
      </c>
    </row>
    <row r="6929" spans="3:10" x14ac:dyDescent="0.25">
      <c r="C6929" s="300" t="s">
        <v>1061</v>
      </c>
      <c r="D6929" s="283" t="s">
        <v>1074</v>
      </c>
      <c r="E6929" s="283" t="s">
        <v>1089</v>
      </c>
      <c r="F6929" s="283" t="s">
        <v>1075</v>
      </c>
      <c r="G6929" s="283">
        <v>2</v>
      </c>
      <c r="H6929" s="283">
        <v>0</v>
      </c>
      <c r="I6929" s="283">
        <v>0</v>
      </c>
      <c r="J6929" s="284">
        <v>0</v>
      </c>
    </row>
    <row r="6930" spans="3:10" x14ac:dyDescent="0.25">
      <c r="C6930" s="300" t="s">
        <v>1067</v>
      </c>
      <c r="D6930" s="283" t="s">
        <v>1074</v>
      </c>
      <c r="E6930" s="283" t="s">
        <v>1075</v>
      </c>
      <c r="F6930" s="283" t="s">
        <v>1075</v>
      </c>
      <c r="G6930" s="283">
        <v>2</v>
      </c>
      <c r="H6930" s="283">
        <v>0</v>
      </c>
      <c r="I6930" s="283">
        <v>0</v>
      </c>
      <c r="J6930" s="284">
        <v>0</v>
      </c>
    </row>
    <row r="6931" spans="3:10" x14ac:dyDescent="0.25">
      <c r="C6931" s="300" t="s">
        <v>1064</v>
      </c>
      <c r="D6931" s="283" t="s">
        <v>1074</v>
      </c>
      <c r="E6931" s="283" t="s">
        <v>1078</v>
      </c>
      <c r="F6931" s="283" t="s">
        <v>1075</v>
      </c>
      <c r="G6931" s="283">
        <v>2</v>
      </c>
      <c r="H6931" s="283">
        <v>0</v>
      </c>
      <c r="I6931" s="283">
        <v>0</v>
      </c>
      <c r="J6931" s="284">
        <v>1</v>
      </c>
    </row>
    <row r="6932" spans="3:10" x14ac:dyDescent="0.25">
      <c r="C6932" s="300" t="s">
        <v>1063</v>
      </c>
      <c r="D6932" s="283" t="s">
        <v>1074</v>
      </c>
      <c r="E6932" s="283" t="s">
        <v>1075</v>
      </c>
      <c r="F6932" s="283" t="s">
        <v>1078</v>
      </c>
      <c r="G6932" s="283">
        <v>2</v>
      </c>
      <c r="H6932" s="283">
        <v>0</v>
      </c>
      <c r="I6932" s="283">
        <v>0</v>
      </c>
      <c r="J6932" s="284">
        <v>0</v>
      </c>
    </row>
    <row r="6933" spans="3:10" x14ac:dyDescent="0.25">
      <c r="C6933" s="300" t="s">
        <v>1059</v>
      </c>
      <c r="D6933" s="283" t="s">
        <v>1074</v>
      </c>
      <c r="E6933" s="283" t="s">
        <v>1089</v>
      </c>
      <c r="F6933" s="283" t="s">
        <v>1089</v>
      </c>
      <c r="G6933" s="283">
        <v>2</v>
      </c>
      <c r="H6933" s="283">
        <v>0</v>
      </c>
      <c r="I6933" s="283">
        <v>0</v>
      </c>
      <c r="J6933" s="284">
        <v>1</v>
      </c>
    </row>
    <row r="6934" spans="3:10" x14ac:dyDescent="0.25">
      <c r="C6934" s="300" t="s">
        <v>1061</v>
      </c>
      <c r="D6934" s="283" t="s">
        <v>1079</v>
      </c>
      <c r="E6934" s="283" t="s">
        <v>1080</v>
      </c>
      <c r="F6934" s="283" t="s">
        <v>1075</v>
      </c>
      <c r="G6934" s="283">
        <v>2</v>
      </c>
      <c r="H6934" s="283">
        <v>0</v>
      </c>
      <c r="I6934" s="283">
        <v>0</v>
      </c>
      <c r="J6934" s="284">
        <v>0</v>
      </c>
    </row>
    <row r="6935" spans="3:10" x14ac:dyDescent="0.25">
      <c r="C6935" s="300" t="s">
        <v>1067</v>
      </c>
      <c r="D6935" s="283" t="s">
        <v>1074</v>
      </c>
      <c r="E6935" s="283" t="s">
        <v>1076</v>
      </c>
      <c r="F6935" s="283" t="s">
        <v>1075</v>
      </c>
      <c r="G6935" s="283">
        <v>2</v>
      </c>
      <c r="H6935" s="283">
        <v>0</v>
      </c>
      <c r="I6935" s="283">
        <v>0</v>
      </c>
      <c r="J6935" s="284">
        <v>0</v>
      </c>
    </row>
    <row r="6936" spans="3:10" x14ac:dyDescent="0.25">
      <c r="C6936" s="300" t="s">
        <v>1058</v>
      </c>
      <c r="D6936" s="283" t="s">
        <v>1087</v>
      </c>
      <c r="E6936" s="283" t="s">
        <v>1075</v>
      </c>
      <c r="F6936" s="283" t="s">
        <v>524</v>
      </c>
      <c r="G6936" s="283">
        <v>1</v>
      </c>
      <c r="H6936" s="283">
        <v>0</v>
      </c>
      <c r="I6936" s="283">
        <v>0</v>
      </c>
      <c r="J6936" s="284">
        <v>0</v>
      </c>
    </row>
    <row r="6937" spans="3:10" x14ac:dyDescent="0.25">
      <c r="C6937" s="300" t="s">
        <v>1064</v>
      </c>
      <c r="D6937" s="283" t="s">
        <v>1079</v>
      </c>
      <c r="E6937" s="283" t="s">
        <v>1088</v>
      </c>
      <c r="F6937" s="283" t="s">
        <v>1075</v>
      </c>
      <c r="G6937" s="283">
        <v>2</v>
      </c>
      <c r="H6937" s="283">
        <v>0</v>
      </c>
      <c r="I6937" s="283">
        <v>0</v>
      </c>
      <c r="J6937" s="284">
        <v>0</v>
      </c>
    </row>
    <row r="6938" spans="3:10" x14ac:dyDescent="0.25">
      <c r="C6938" s="300" t="s">
        <v>1061</v>
      </c>
      <c r="D6938" s="283" t="s">
        <v>1074</v>
      </c>
      <c r="E6938" s="283" t="s">
        <v>1075</v>
      </c>
      <c r="F6938" s="283" t="s">
        <v>1089</v>
      </c>
      <c r="G6938" s="283">
        <v>2</v>
      </c>
      <c r="H6938" s="283">
        <v>0</v>
      </c>
      <c r="I6938" s="283">
        <v>0</v>
      </c>
      <c r="J6938" s="284">
        <v>0</v>
      </c>
    </row>
    <row r="6939" spans="3:10" x14ac:dyDescent="0.25">
      <c r="C6939" s="300" t="s">
        <v>1065</v>
      </c>
      <c r="D6939" s="283" t="s">
        <v>1077</v>
      </c>
      <c r="E6939" s="283" t="s">
        <v>1083</v>
      </c>
      <c r="F6939" s="283" t="s">
        <v>1078</v>
      </c>
      <c r="G6939" s="283">
        <v>2</v>
      </c>
      <c r="H6939" s="283">
        <v>0</v>
      </c>
      <c r="I6939" s="283">
        <v>1</v>
      </c>
      <c r="J6939" s="284">
        <v>0</v>
      </c>
    </row>
    <row r="6940" spans="3:10" x14ac:dyDescent="0.25">
      <c r="C6940" s="300" t="s">
        <v>1063</v>
      </c>
      <c r="D6940" s="283" t="s">
        <v>1043</v>
      </c>
      <c r="E6940" s="283" t="s">
        <v>1086</v>
      </c>
      <c r="F6940" s="283" t="s">
        <v>1092</v>
      </c>
      <c r="G6940" s="283">
        <v>2</v>
      </c>
      <c r="H6940" s="283">
        <v>0</v>
      </c>
      <c r="I6940" s="283">
        <v>0</v>
      </c>
      <c r="J6940" s="284">
        <v>0</v>
      </c>
    </row>
    <row r="6941" spans="3:10" x14ac:dyDescent="0.25">
      <c r="C6941" s="300" t="s">
        <v>1065</v>
      </c>
      <c r="D6941" s="283" t="s">
        <v>1074</v>
      </c>
      <c r="E6941" s="283" t="s">
        <v>1075</v>
      </c>
      <c r="F6941" s="283" t="s">
        <v>1089</v>
      </c>
      <c r="G6941" s="283">
        <v>2</v>
      </c>
      <c r="H6941" s="283">
        <v>0</v>
      </c>
      <c r="I6941" s="283">
        <v>0</v>
      </c>
      <c r="J6941" s="284">
        <v>2</v>
      </c>
    </row>
    <row r="6942" spans="3:10" x14ac:dyDescent="0.25">
      <c r="C6942" s="300" t="s">
        <v>1061</v>
      </c>
      <c r="D6942" s="283" t="s">
        <v>1077</v>
      </c>
      <c r="E6942" s="283" t="s">
        <v>1075</v>
      </c>
      <c r="F6942" s="283" t="s">
        <v>1075</v>
      </c>
      <c r="G6942" s="283">
        <v>3</v>
      </c>
      <c r="H6942" s="283">
        <v>0</v>
      </c>
      <c r="I6942" s="283">
        <v>0</v>
      </c>
      <c r="J6942" s="284">
        <v>0</v>
      </c>
    </row>
    <row r="6943" spans="3:10" x14ac:dyDescent="0.25">
      <c r="C6943" s="300" t="s">
        <v>1058</v>
      </c>
      <c r="D6943" s="283" t="s">
        <v>1087</v>
      </c>
      <c r="E6943" s="283" t="s">
        <v>1075</v>
      </c>
      <c r="F6943" s="283" t="s">
        <v>524</v>
      </c>
      <c r="G6943" s="283">
        <v>2</v>
      </c>
      <c r="H6943" s="283">
        <v>0</v>
      </c>
      <c r="I6943" s="283">
        <v>0</v>
      </c>
      <c r="J6943" s="284">
        <v>0</v>
      </c>
    </row>
    <row r="6944" spans="3:10" x14ac:dyDescent="0.25">
      <c r="C6944" s="300" t="s">
        <v>1065</v>
      </c>
      <c r="D6944" s="283" t="s">
        <v>1077</v>
      </c>
      <c r="E6944" s="283" t="s">
        <v>1075</v>
      </c>
      <c r="F6944" s="283" t="s">
        <v>1078</v>
      </c>
      <c r="G6944" s="283">
        <v>2</v>
      </c>
      <c r="H6944" s="283">
        <v>0</v>
      </c>
      <c r="I6944" s="283">
        <v>1</v>
      </c>
      <c r="J6944" s="284">
        <v>1</v>
      </c>
    </row>
    <row r="6945" spans="3:10" x14ac:dyDescent="0.25">
      <c r="C6945" s="300" t="s">
        <v>1060</v>
      </c>
      <c r="D6945" s="283" t="s">
        <v>1077</v>
      </c>
      <c r="E6945" s="283" t="s">
        <v>1075</v>
      </c>
      <c r="F6945" s="283" t="s">
        <v>1075</v>
      </c>
      <c r="G6945" s="283">
        <v>2</v>
      </c>
      <c r="H6945" s="283">
        <v>0</v>
      </c>
      <c r="I6945" s="283">
        <v>0</v>
      </c>
      <c r="J6945" s="284">
        <v>0</v>
      </c>
    </row>
    <row r="6946" spans="3:10" x14ac:dyDescent="0.25">
      <c r="C6946" s="300" t="s">
        <v>1061</v>
      </c>
      <c r="D6946" s="283" t="s">
        <v>1090</v>
      </c>
      <c r="E6946" s="283" t="s">
        <v>1093</v>
      </c>
      <c r="F6946" s="283" t="s">
        <v>524</v>
      </c>
      <c r="G6946" s="283">
        <v>1</v>
      </c>
      <c r="H6946" s="283">
        <v>0</v>
      </c>
      <c r="I6946" s="283">
        <v>1</v>
      </c>
      <c r="J6946" s="284">
        <v>0</v>
      </c>
    </row>
    <row r="6947" spans="3:10" x14ac:dyDescent="0.25">
      <c r="C6947" s="300" t="s">
        <v>1063</v>
      </c>
      <c r="D6947" s="283" t="s">
        <v>1074</v>
      </c>
      <c r="E6947" s="283" t="s">
        <v>1075</v>
      </c>
      <c r="F6947" s="283" t="s">
        <v>1075</v>
      </c>
      <c r="G6947" s="283">
        <v>2</v>
      </c>
      <c r="H6947" s="283">
        <v>0</v>
      </c>
      <c r="I6947" s="283">
        <v>0</v>
      </c>
      <c r="J6947" s="284">
        <v>0</v>
      </c>
    </row>
    <row r="6948" spans="3:10" x14ac:dyDescent="0.25">
      <c r="C6948" s="300" t="s">
        <v>1058</v>
      </c>
      <c r="D6948" s="283" t="s">
        <v>1087</v>
      </c>
      <c r="E6948" s="283" t="s">
        <v>1084</v>
      </c>
      <c r="F6948" s="283" t="s">
        <v>524</v>
      </c>
      <c r="G6948" s="283">
        <v>1</v>
      </c>
      <c r="H6948" s="283">
        <v>0</v>
      </c>
      <c r="I6948" s="283">
        <v>0</v>
      </c>
      <c r="J6948" s="284">
        <v>1</v>
      </c>
    </row>
    <row r="6949" spans="3:10" x14ac:dyDescent="0.25">
      <c r="C6949" s="300" t="s">
        <v>1061</v>
      </c>
      <c r="D6949" s="283" t="s">
        <v>1079</v>
      </c>
      <c r="E6949" s="283" t="s">
        <v>1076</v>
      </c>
      <c r="F6949" s="283" t="s">
        <v>1075</v>
      </c>
      <c r="G6949" s="283">
        <v>2</v>
      </c>
      <c r="H6949" s="283">
        <v>0</v>
      </c>
      <c r="I6949" s="283">
        <v>0</v>
      </c>
      <c r="J6949" s="284">
        <v>0</v>
      </c>
    </row>
    <row r="6950" spans="3:10" x14ac:dyDescent="0.25">
      <c r="C6950" s="300" t="s">
        <v>1063</v>
      </c>
      <c r="D6950" s="283" t="s">
        <v>1079</v>
      </c>
      <c r="E6950" s="283" t="s">
        <v>1093</v>
      </c>
      <c r="F6950" s="283" t="s">
        <v>1086</v>
      </c>
      <c r="G6950" s="283">
        <v>2</v>
      </c>
      <c r="H6950" s="283">
        <v>0</v>
      </c>
      <c r="I6950" s="283">
        <v>0</v>
      </c>
      <c r="J6950" s="284">
        <v>1</v>
      </c>
    </row>
    <row r="6951" spans="3:10" x14ac:dyDescent="0.25">
      <c r="C6951" s="300" t="s">
        <v>1065</v>
      </c>
      <c r="D6951" s="283" t="s">
        <v>1079</v>
      </c>
      <c r="E6951" s="283" t="s">
        <v>1075</v>
      </c>
      <c r="F6951" s="283" t="s">
        <v>1075</v>
      </c>
      <c r="G6951" s="283">
        <v>2</v>
      </c>
      <c r="H6951" s="283">
        <v>0</v>
      </c>
      <c r="I6951" s="283">
        <v>0</v>
      </c>
      <c r="J6951" s="284">
        <v>0</v>
      </c>
    </row>
    <row r="6952" spans="3:10" x14ac:dyDescent="0.25">
      <c r="C6952" s="300" t="s">
        <v>1064</v>
      </c>
      <c r="D6952" s="283" t="s">
        <v>1077</v>
      </c>
      <c r="E6952" s="283" t="s">
        <v>1076</v>
      </c>
      <c r="F6952" s="283" t="s">
        <v>1089</v>
      </c>
      <c r="G6952" s="283">
        <v>2</v>
      </c>
      <c r="H6952" s="283">
        <v>0</v>
      </c>
      <c r="I6952" s="283">
        <v>0</v>
      </c>
      <c r="J6952" s="284">
        <v>1</v>
      </c>
    </row>
    <row r="6953" spans="3:10" x14ac:dyDescent="0.25">
      <c r="C6953" s="300" t="s">
        <v>1067</v>
      </c>
      <c r="D6953" s="283" t="s">
        <v>1079</v>
      </c>
      <c r="E6953" s="283" t="s">
        <v>1089</v>
      </c>
      <c r="F6953" s="283" t="s">
        <v>1078</v>
      </c>
      <c r="G6953" s="283">
        <v>2</v>
      </c>
      <c r="H6953" s="283">
        <v>0</v>
      </c>
      <c r="I6953" s="283">
        <v>0</v>
      </c>
      <c r="J6953" s="284">
        <v>1</v>
      </c>
    </row>
    <row r="6954" spans="3:10" x14ac:dyDescent="0.25">
      <c r="C6954" s="300" t="s">
        <v>1064</v>
      </c>
      <c r="D6954" s="283" t="s">
        <v>1043</v>
      </c>
      <c r="E6954" s="283" t="s">
        <v>1075</v>
      </c>
      <c r="F6954" s="283" t="s">
        <v>1092</v>
      </c>
      <c r="G6954" s="283">
        <v>2</v>
      </c>
      <c r="H6954" s="283">
        <v>0</v>
      </c>
      <c r="I6954" s="283">
        <v>1</v>
      </c>
      <c r="J6954" s="284">
        <v>0</v>
      </c>
    </row>
    <row r="6955" spans="3:10" x14ac:dyDescent="0.25">
      <c r="C6955" s="300" t="s">
        <v>1060</v>
      </c>
      <c r="D6955" s="283" t="s">
        <v>1074</v>
      </c>
      <c r="E6955" s="283" t="s">
        <v>1075</v>
      </c>
      <c r="F6955" s="283" t="s">
        <v>1078</v>
      </c>
      <c r="G6955" s="283">
        <v>3</v>
      </c>
      <c r="H6955" s="283">
        <v>0</v>
      </c>
      <c r="I6955" s="283">
        <v>0</v>
      </c>
      <c r="J6955" s="284">
        <v>0</v>
      </c>
    </row>
    <row r="6956" spans="3:10" x14ac:dyDescent="0.25">
      <c r="C6956" s="300" t="s">
        <v>1061</v>
      </c>
      <c r="D6956" s="283" t="s">
        <v>1087</v>
      </c>
      <c r="E6956" s="283" t="s">
        <v>1075</v>
      </c>
      <c r="F6956" s="283" t="s">
        <v>524</v>
      </c>
      <c r="G6956" s="283">
        <v>1</v>
      </c>
      <c r="H6956" s="283">
        <v>0</v>
      </c>
      <c r="I6956" s="283">
        <v>0</v>
      </c>
      <c r="J6956" s="284">
        <v>0</v>
      </c>
    </row>
    <row r="6957" spans="3:10" x14ac:dyDescent="0.25">
      <c r="C6957" s="300" t="s">
        <v>1058</v>
      </c>
      <c r="D6957" s="283" t="s">
        <v>1087</v>
      </c>
      <c r="E6957" s="283" t="s">
        <v>1084</v>
      </c>
      <c r="F6957" s="283" t="s">
        <v>524</v>
      </c>
      <c r="G6957" s="283">
        <v>1</v>
      </c>
      <c r="H6957" s="283">
        <v>0</v>
      </c>
      <c r="I6957" s="283">
        <v>0</v>
      </c>
      <c r="J6957" s="284">
        <v>1</v>
      </c>
    </row>
    <row r="6958" spans="3:10" x14ac:dyDescent="0.25">
      <c r="C6958" s="300" t="s">
        <v>1064</v>
      </c>
      <c r="D6958" s="283" t="s">
        <v>1079</v>
      </c>
      <c r="E6958" s="283" t="s">
        <v>1075</v>
      </c>
      <c r="F6958" s="283" t="s">
        <v>1084</v>
      </c>
      <c r="G6958" s="283">
        <v>2</v>
      </c>
      <c r="H6958" s="283">
        <v>0</v>
      </c>
      <c r="I6958" s="283">
        <v>0</v>
      </c>
      <c r="J6958" s="284">
        <v>0</v>
      </c>
    </row>
    <row r="6959" spans="3:10" x14ac:dyDescent="0.25">
      <c r="C6959" s="300" t="s">
        <v>1064</v>
      </c>
      <c r="D6959" s="283" t="s">
        <v>1074</v>
      </c>
      <c r="E6959" s="283" t="s">
        <v>1089</v>
      </c>
      <c r="F6959" s="283" t="s">
        <v>1080</v>
      </c>
      <c r="G6959" s="283">
        <v>2</v>
      </c>
      <c r="H6959" s="283">
        <v>0</v>
      </c>
      <c r="I6959" s="283">
        <v>1</v>
      </c>
      <c r="J6959" s="284">
        <v>0</v>
      </c>
    </row>
    <row r="6960" spans="3:10" x14ac:dyDescent="0.25">
      <c r="C6960" s="300" t="s">
        <v>1062</v>
      </c>
      <c r="D6960" s="283" t="s">
        <v>1079</v>
      </c>
      <c r="E6960" s="283" t="s">
        <v>1075</v>
      </c>
      <c r="F6960" s="283" t="s">
        <v>1085</v>
      </c>
      <c r="G6960" s="283">
        <v>2</v>
      </c>
      <c r="H6960" s="283">
        <v>0</v>
      </c>
      <c r="I6960" s="283">
        <v>0</v>
      </c>
      <c r="J6960" s="284">
        <v>1</v>
      </c>
    </row>
    <row r="6961" spans="3:10" x14ac:dyDescent="0.25">
      <c r="C6961" s="300" t="s">
        <v>1066</v>
      </c>
      <c r="D6961" s="283" t="s">
        <v>1074</v>
      </c>
      <c r="E6961" s="283" t="s">
        <v>1075</v>
      </c>
      <c r="F6961" s="283" t="s">
        <v>1083</v>
      </c>
      <c r="G6961" s="283">
        <v>2</v>
      </c>
      <c r="H6961" s="283">
        <v>0</v>
      </c>
      <c r="I6961" s="283">
        <v>1</v>
      </c>
      <c r="J6961" s="284">
        <v>0</v>
      </c>
    </row>
    <row r="6962" spans="3:10" x14ac:dyDescent="0.25">
      <c r="C6962" s="300" t="s">
        <v>1066</v>
      </c>
      <c r="D6962" s="283" t="s">
        <v>1079</v>
      </c>
      <c r="E6962" s="283" t="s">
        <v>1075</v>
      </c>
      <c r="F6962" s="283" t="s">
        <v>1075</v>
      </c>
      <c r="G6962" s="283">
        <v>2</v>
      </c>
      <c r="H6962" s="283">
        <v>0</v>
      </c>
      <c r="I6962" s="283">
        <v>1</v>
      </c>
      <c r="J6962" s="284">
        <v>0</v>
      </c>
    </row>
    <row r="6963" spans="3:10" x14ac:dyDescent="0.25">
      <c r="C6963" s="300" t="s">
        <v>1067</v>
      </c>
      <c r="D6963" s="283" t="s">
        <v>1079</v>
      </c>
      <c r="E6963" s="283" t="s">
        <v>1075</v>
      </c>
      <c r="F6963" s="283" t="s">
        <v>1075</v>
      </c>
      <c r="G6963" s="283">
        <v>2</v>
      </c>
      <c r="H6963" s="283">
        <v>0</v>
      </c>
      <c r="I6963" s="283">
        <v>0</v>
      </c>
      <c r="J6963" s="284">
        <v>1</v>
      </c>
    </row>
    <row r="6964" spans="3:10" x14ac:dyDescent="0.25">
      <c r="C6964" s="300" t="s">
        <v>1062</v>
      </c>
      <c r="D6964" s="283" t="s">
        <v>1079</v>
      </c>
      <c r="E6964" s="283" t="s">
        <v>1075</v>
      </c>
      <c r="F6964" s="283" t="s">
        <v>1083</v>
      </c>
      <c r="G6964" s="283">
        <v>2</v>
      </c>
      <c r="H6964" s="283">
        <v>0</v>
      </c>
      <c r="I6964" s="283">
        <v>0</v>
      </c>
      <c r="J6964" s="284">
        <v>1</v>
      </c>
    </row>
    <row r="6965" spans="3:10" x14ac:dyDescent="0.25">
      <c r="C6965" s="300" t="s">
        <v>1060</v>
      </c>
      <c r="D6965" s="283" t="s">
        <v>1074</v>
      </c>
      <c r="E6965" s="283" t="s">
        <v>1076</v>
      </c>
      <c r="F6965" s="283" t="s">
        <v>1083</v>
      </c>
      <c r="G6965" s="283">
        <v>2</v>
      </c>
      <c r="H6965" s="283">
        <v>0</v>
      </c>
      <c r="I6965" s="283">
        <v>1</v>
      </c>
      <c r="J6965" s="284">
        <v>0</v>
      </c>
    </row>
    <row r="6966" spans="3:10" x14ac:dyDescent="0.25">
      <c r="C6966" s="300" t="s">
        <v>1068</v>
      </c>
      <c r="D6966" s="283" t="s">
        <v>1079</v>
      </c>
      <c r="E6966" s="283" t="s">
        <v>1084</v>
      </c>
      <c r="F6966" s="283" t="s">
        <v>1076</v>
      </c>
      <c r="G6966" s="283">
        <v>2</v>
      </c>
      <c r="H6966" s="283">
        <v>0</v>
      </c>
      <c r="I6966" s="283">
        <v>0</v>
      </c>
      <c r="J6966" s="284">
        <v>0</v>
      </c>
    </row>
    <row r="6967" spans="3:10" x14ac:dyDescent="0.25">
      <c r="C6967" s="300" t="s">
        <v>1057</v>
      </c>
      <c r="D6967" s="283" t="s">
        <v>1087</v>
      </c>
      <c r="E6967" s="283" t="s">
        <v>1075</v>
      </c>
      <c r="F6967" s="283" t="s">
        <v>524</v>
      </c>
      <c r="G6967" s="283">
        <v>1</v>
      </c>
      <c r="H6967" s="283">
        <v>0</v>
      </c>
      <c r="I6967" s="283">
        <v>0</v>
      </c>
      <c r="J6967" s="284">
        <v>1</v>
      </c>
    </row>
    <row r="6968" spans="3:10" x14ac:dyDescent="0.25">
      <c r="C6968" s="300" t="s">
        <v>1065</v>
      </c>
      <c r="D6968" s="283" t="s">
        <v>1043</v>
      </c>
      <c r="E6968" s="283" t="s">
        <v>1075</v>
      </c>
      <c r="F6968" s="283" t="s">
        <v>1092</v>
      </c>
      <c r="G6968" s="283">
        <v>2</v>
      </c>
      <c r="H6968" s="283">
        <v>0</v>
      </c>
      <c r="I6968" s="283">
        <v>1</v>
      </c>
      <c r="J6968" s="284">
        <v>0</v>
      </c>
    </row>
    <row r="6969" spans="3:10" x14ac:dyDescent="0.25">
      <c r="C6969" s="300" t="s">
        <v>1063</v>
      </c>
      <c r="D6969" s="283" t="s">
        <v>1090</v>
      </c>
      <c r="E6969" s="283" t="s">
        <v>1093</v>
      </c>
      <c r="F6969" s="283" t="s">
        <v>524</v>
      </c>
      <c r="G6969" s="283">
        <v>2</v>
      </c>
      <c r="H6969" s="283">
        <v>0</v>
      </c>
      <c r="I6969" s="283">
        <v>1</v>
      </c>
      <c r="J6969" s="284">
        <v>0</v>
      </c>
    </row>
    <row r="6970" spans="3:10" x14ac:dyDescent="0.25">
      <c r="C6970" s="300" t="s">
        <v>1066</v>
      </c>
      <c r="D6970" s="283" t="s">
        <v>1043</v>
      </c>
      <c r="E6970" s="283" t="s">
        <v>1075</v>
      </c>
      <c r="F6970" s="283" t="s">
        <v>1092</v>
      </c>
      <c r="G6970" s="283">
        <v>2</v>
      </c>
      <c r="H6970" s="283">
        <v>0</v>
      </c>
      <c r="I6970" s="283">
        <v>1</v>
      </c>
      <c r="J6970" s="284">
        <v>0</v>
      </c>
    </row>
    <row r="6971" spans="3:10" x14ac:dyDescent="0.25">
      <c r="C6971" s="300" t="s">
        <v>1064</v>
      </c>
      <c r="D6971" s="283" t="s">
        <v>1082</v>
      </c>
      <c r="E6971" s="283" t="s">
        <v>1075</v>
      </c>
      <c r="F6971" s="283" t="s">
        <v>1084</v>
      </c>
      <c r="G6971" s="283">
        <v>2</v>
      </c>
      <c r="H6971" s="283">
        <v>0</v>
      </c>
      <c r="I6971" s="283">
        <v>0</v>
      </c>
      <c r="J6971" s="284">
        <v>1</v>
      </c>
    </row>
    <row r="6972" spans="3:10" x14ac:dyDescent="0.25">
      <c r="C6972" s="300" t="s">
        <v>1067</v>
      </c>
      <c r="D6972" s="283" t="s">
        <v>1079</v>
      </c>
      <c r="E6972" s="283" t="s">
        <v>1075</v>
      </c>
      <c r="F6972" s="283" t="s">
        <v>1078</v>
      </c>
      <c r="G6972" s="283">
        <v>2</v>
      </c>
      <c r="H6972" s="283">
        <v>0</v>
      </c>
      <c r="I6972" s="283">
        <v>1</v>
      </c>
      <c r="J6972" s="284">
        <v>3</v>
      </c>
    </row>
    <row r="6973" spans="3:10" x14ac:dyDescent="0.25">
      <c r="C6973" s="300" t="s">
        <v>1066</v>
      </c>
      <c r="D6973" s="283" t="s">
        <v>1043</v>
      </c>
      <c r="E6973" s="283" t="s">
        <v>1075</v>
      </c>
      <c r="F6973" s="283" t="s">
        <v>1092</v>
      </c>
      <c r="G6973" s="283">
        <v>2</v>
      </c>
      <c r="H6973" s="283">
        <v>0</v>
      </c>
      <c r="I6973" s="283">
        <v>1</v>
      </c>
      <c r="J6973" s="284">
        <v>0</v>
      </c>
    </row>
    <row r="6974" spans="3:10" x14ac:dyDescent="0.25">
      <c r="C6974" s="300" t="s">
        <v>1064</v>
      </c>
      <c r="D6974" s="283" t="s">
        <v>1077</v>
      </c>
      <c r="E6974" s="283" t="s">
        <v>1094</v>
      </c>
      <c r="F6974" s="283" t="s">
        <v>1075</v>
      </c>
      <c r="G6974" s="283">
        <v>2</v>
      </c>
      <c r="H6974" s="283">
        <v>0</v>
      </c>
      <c r="I6974" s="283">
        <v>0</v>
      </c>
      <c r="J6974" s="284">
        <v>0</v>
      </c>
    </row>
    <row r="6975" spans="3:10" x14ac:dyDescent="0.25">
      <c r="C6975" s="300" t="s">
        <v>1066</v>
      </c>
      <c r="D6975" s="283" t="s">
        <v>1079</v>
      </c>
      <c r="E6975" s="283" t="s">
        <v>1089</v>
      </c>
      <c r="F6975" s="283" t="s">
        <v>1083</v>
      </c>
      <c r="G6975" s="283">
        <v>2</v>
      </c>
      <c r="H6975" s="283">
        <v>0</v>
      </c>
      <c r="I6975" s="283">
        <v>1</v>
      </c>
      <c r="J6975" s="284">
        <v>0</v>
      </c>
    </row>
    <row r="6976" spans="3:10" x14ac:dyDescent="0.25">
      <c r="C6976" s="300" t="s">
        <v>1065</v>
      </c>
      <c r="D6976" s="283" t="s">
        <v>1074</v>
      </c>
      <c r="E6976" s="283" t="s">
        <v>1075</v>
      </c>
      <c r="F6976" s="283" t="s">
        <v>1083</v>
      </c>
      <c r="G6976" s="283">
        <v>2</v>
      </c>
      <c r="H6976" s="283">
        <v>0</v>
      </c>
      <c r="I6976" s="283">
        <v>0</v>
      </c>
      <c r="J6976" s="284">
        <v>1</v>
      </c>
    </row>
    <row r="6977" spans="3:10" x14ac:dyDescent="0.25">
      <c r="C6977" s="300" t="s">
        <v>1060</v>
      </c>
      <c r="D6977" s="283" t="s">
        <v>1087</v>
      </c>
      <c r="E6977" s="283" t="s">
        <v>1075</v>
      </c>
      <c r="F6977" s="283" t="s">
        <v>524</v>
      </c>
      <c r="G6977" s="283">
        <v>1</v>
      </c>
      <c r="H6977" s="283">
        <v>0</v>
      </c>
      <c r="I6977" s="283">
        <v>1</v>
      </c>
      <c r="J6977" s="284">
        <v>0</v>
      </c>
    </row>
    <row r="6978" spans="3:10" x14ac:dyDescent="0.25">
      <c r="C6978" s="300" t="s">
        <v>1066</v>
      </c>
      <c r="D6978" s="283" t="s">
        <v>1087</v>
      </c>
      <c r="E6978" s="283" t="s">
        <v>1089</v>
      </c>
      <c r="F6978" s="283" t="s">
        <v>524</v>
      </c>
      <c r="G6978" s="283">
        <v>1</v>
      </c>
      <c r="H6978" s="283">
        <v>0</v>
      </c>
      <c r="I6978" s="283">
        <v>1</v>
      </c>
      <c r="J6978" s="284">
        <v>0</v>
      </c>
    </row>
    <row r="6979" spans="3:10" x14ac:dyDescent="0.25">
      <c r="C6979" s="300" t="s">
        <v>1057</v>
      </c>
      <c r="D6979" s="283" t="s">
        <v>1079</v>
      </c>
      <c r="E6979" s="283" t="s">
        <v>1094</v>
      </c>
      <c r="F6979" s="283" t="s">
        <v>1075</v>
      </c>
      <c r="G6979" s="283">
        <v>3</v>
      </c>
      <c r="H6979" s="283">
        <v>0</v>
      </c>
      <c r="I6979" s="283">
        <v>0</v>
      </c>
      <c r="J6979" s="284">
        <v>0</v>
      </c>
    </row>
    <row r="6980" spans="3:10" x14ac:dyDescent="0.25">
      <c r="C6980" s="300" t="s">
        <v>1066</v>
      </c>
      <c r="D6980" s="283" t="s">
        <v>1087</v>
      </c>
      <c r="E6980" s="283" t="s">
        <v>1075</v>
      </c>
      <c r="F6980" s="283" t="s">
        <v>524</v>
      </c>
      <c r="G6980" s="283">
        <v>1</v>
      </c>
      <c r="H6980" s="283">
        <v>0</v>
      </c>
      <c r="I6980" s="283">
        <v>0</v>
      </c>
      <c r="J6980" s="284">
        <v>1</v>
      </c>
    </row>
    <row r="6981" spans="3:10" x14ac:dyDescent="0.25">
      <c r="C6981" s="300" t="s">
        <v>1063</v>
      </c>
      <c r="D6981" s="283" t="s">
        <v>1043</v>
      </c>
      <c r="E6981" s="283" t="s">
        <v>1075</v>
      </c>
      <c r="F6981" s="283" t="s">
        <v>1092</v>
      </c>
      <c r="G6981" s="283">
        <v>2</v>
      </c>
      <c r="H6981" s="283">
        <v>0</v>
      </c>
      <c r="I6981" s="283">
        <v>1</v>
      </c>
      <c r="J6981" s="284">
        <v>0</v>
      </c>
    </row>
    <row r="6982" spans="3:10" x14ac:dyDescent="0.25">
      <c r="C6982" s="300" t="s">
        <v>1063</v>
      </c>
      <c r="D6982" s="283" t="s">
        <v>1079</v>
      </c>
      <c r="E6982" s="283" t="s">
        <v>1089</v>
      </c>
      <c r="F6982" s="283" t="s">
        <v>1075</v>
      </c>
      <c r="G6982" s="283">
        <v>3</v>
      </c>
      <c r="H6982" s="283">
        <v>0</v>
      </c>
      <c r="I6982" s="283">
        <v>0</v>
      </c>
      <c r="J6982" s="284">
        <v>1</v>
      </c>
    </row>
    <row r="6983" spans="3:10" x14ac:dyDescent="0.25">
      <c r="C6983" s="300" t="s">
        <v>1061</v>
      </c>
      <c r="D6983" s="283" t="s">
        <v>1082</v>
      </c>
      <c r="E6983" s="283" t="s">
        <v>1075</v>
      </c>
      <c r="F6983" s="283" t="s">
        <v>1089</v>
      </c>
      <c r="G6983" s="283">
        <v>2</v>
      </c>
      <c r="H6983" s="283">
        <v>0</v>
      </c>
      <c r="I6983" s="283">
        <v>0</v>
      </c>
      <c r="J6983" s="284">
        <v>3</v>
      </c>
    </row>
    <row r="6984" spans="3:10" x14ac:dyDescent="0.25">
      <c r="C6984" s="300" t="s">
        <v>1060</v>
      </c>
      <c r="D6984" s="283" t="s">
        <v>1079</v>
      </c>
      <c r="E6984" s="283" t="s">
        <v>1076</v>
      </c>
      <c r="F6984" s="283" t="s">
        <v>1083</v>
      </c>
      <c r="G6984" s="283">
        <v>2</v>
      </c>
      <c r="H6984" s="283">
        <v>0</v>
      </c>
      <c r="I6984" s="283">
        <v>1</v>
      </c>
      <c r="J6984" s="284">
        <v>0</v>
      </c>
    </row>
    <row r="6985" spans="3:10" x14ac:dyDescent="0.25">
      <c r="C6985" s="300" t="s">
        <v>1062</v>
      </c>
      <c r="D6985" s="283" t="s">
        <v>1074</v>
      </c>
      <c r="E6985" s="283" t="s">
        <v>1075</v>
      </c>
      <c r="F6985" s="283" t="s">
        <v>1084</v>
      </c>
      <c r="G6985" s="283">
        <v>2</v>
      </c>
      <c r="H6985" s="283">
        <v>0</v>
      </c>
      <c r="I6985" s="283">
        <v>1</v>
      </c>
      <c r="J6985" s="284">
        <v>0</v>
      </c>
    </row>
    <row r="6986" spans="3:10" x14ac:dyDescent="0.25">
      <c r="C6986" s="300" t="s">
        <v>1067</v>
      </c>
      <c r="D6986" s="283" t="s">
        <v>1082</v>
      </c>
      <c r="E6986" s="283" t="s">
        <v>1075</v>
      </c>
      <c r="F6986" s="283" t="s">
        <v>1084</v>
      </c>
      <c r="G6986" s="283">
        <v>2</v>
      </c>
      <c r="H6986" s="283">
        <v>0</v>
      </c>
      <c r="I6986" s="283">
        <v>1</v>
      </c>
      <c r="J6986" s="284">
        <v>0</v>
      </c>
    </row>
    <row r="6987" spans="3:10" x14ac:dyDescent="0.25">
      <c r="C6987" s="300" t="s">
        <v>1065</v>
      </c>
      <c r="D6987" s="283" t="s">
        <v>1087</v>
      </c>
      <c r="E6987" s="283" t="s">
        <v>1078</v>
      </c>
      <c r="F6987" s="283" t="s">
        <v>524</v>
      </c>
      <c r="G6987" s="283">
        <v>1</v>
      </c>
      <c r="H6987" s="283">
        <v>0</v>
      </c>
      <c r="I6987" s="283">
        <v>0</v>
      </c>
      <c r="J6987" s="284">
        <v>1</v>
      </c>
    </row>
    <row r="6988" spans="3:10" x14ac:dyDescent="0.25">
      <c r="C6988" s="300" t="s">
        <v>1065</v>
      </c>
      <c r="D6988" s="283" t="s">
        <v>1043</v>
      </c>
      <c r="E6988" s="283" t="s">
        <v>1075</v>
      </c>
      <c r="F6988" s="283" t="s">
        <v>1092</v>
      </c>
      <c r="G6988" s="283">
        <v>2</v>
      </c>
      <c r="H6988" s="283">
        <v>0</v>
      </c>
      <c r="I6988" s="283">
        <v>0</v>
      </c>
      <c r="J6988" s="284">
        <v>2</v>
      </c>
    </row>
    <row r="6989" spans="3:10" x14ac:dyDescent="0.25">
      <c r="C6989" s="300" t="s">
        <v>1059</v>
      </c>
      <c r="D6989" s="283" t="s">
        <v>1087</v>
      </c>
      <c r="E6989" s="283" t="s">
        <v>1075</v>
      </c>
      <c r="F6989" s="283" t="s">
        <v>524</v>
      </c>
      <c r="G6989" s="283">
        <v>1</v>
      </c>
      <c r="H6989" s="283">
        <v>0</v>
      </c>
      <c r="I6989" s="283">
        <v>0</v>
      </c>
      <c r="J6989" s="284">
        <v>0</v>
      </c>
    </row>
    <row r="6990" spans="3:10" x14ac:dyDescent="0.25">
      <c r="C6990" s="300" t="s">
        <v>1057</v>
      </c>
      <c r="D6990" s="283" t="s">
        <v>1087</v>
      </c>
      <c r="E6990" s="283" t="s">
        <v>1089</v>
      </c>
      <c r="F6990" s="283" t="s">
        <v>524</v>
      </c>
      <c r="G6990" s="283">
        <v>1</v>
      </c>
      <c r="H6990" s="283">
        <v>0</v>
      </c>
      <c r="I6990" s="283">
        <v>0</v>
      </c>
      <c r="J6990" s="284">
        <v>1</v>
      </c>
    </row>
    <row r="6991" spans="3:10" x14ac:dyDescent="0.25">
      <c r="C6991" s="300" t="s">
        <v>1066</v>
      </c>
      <c r="D6991" s="283" t="s">
        <v>1082</v>
      </c>
      <c r="E6991" s="283" t="s">
        <v>1083</v>
      </c>
      <c r="F6991" s="283" t="s">
        <v>1083</v>
      </c>
      <c r="G6991" s="283">
        <v>2</v>
      </c>
      <c r="H6991" s="283">
        <v>0</v>
      </c>
      <c r="I6991" s="283">
        <v>4</v>
      </c>
      <c r="J6991" s="284">
        <v>0</v>
      </c>
    </row>
    <row r="6992" spans="3:10" x14ac:dyDescent="0.25">
      <c r="C6992" s="300" t="s">
        <v>1057</v>
      </c>
      <c r="D6992" s="283" t="s">
        <v>1090</v>
      </c>
      <c r="E6992" s="283" t="s">
        <v>1083</v>
      </c>
      <c r="F6992" s="283" t="s">
        <v>524</v>
      </c>
      <c r="G6992" s="283">
        <v>1</v>
      </c>
      <c r="H6992" s="283">
        <v>0</v>
      </c>
      <c r="I6992" s="283">
        <v>0</v>
      </c>
      <c r="J6992" s="284">
        <v>1</v>
      </c>
    </row>
    <row r="6993" spans="3:10" x14ac:dyDescent="0.25">
      <c r="C6993" s="300" t="s">
        <v>1067</v>
      </c>
      <c r="D6993" s="283" t="s">
        <v>1074</v>
      </c>
      <c r="E6993" s="283" t="s">
        <v>1075</v>
      </c>
      <c r="F6993" s="283" t="s">
        <v>1075</v>
      </c>
      <c r="G6993" s="283">
        <v>4</v>
      </c>
      <c r="H6993" s="283">
        <v>0</v>
      </c>
      <c r="I6993" s="283">
        <v>0</v>
      </c>
      <c r="J6993" s="284">
        <v>1</v>
      </c>
    </row>
    <row r="6994" spans="3:10" x14ac:dyDescent="0.25">
      <c r="C6994" s="300" t="s">
        <v>1059</v>
      </c>
      <c r="D6994" s="283" t="s">
        <v>1077</v>
      </c>
      <c r="E6994" s="283" t="s">
        <v>1075</v>
      </c>
      <c r="F6994" s="283" t="s">
        <v>1085</v>
      </c>
      <c r="G6994" s="283">
        <v>2</v>
      </c>
      <c r="H6994" s="283">
        <v>0</v>
      </c>
      <c r="I6994" s="283">
        <v>1</v>
      </c>
      <c r="J6994" s="284">
        <v>2</v>
      </c>
    </row>
    <row r="6995" spans="3:10" x14ac:dyDescent="0.25">
      <c r="C6995" s="300" t="s">
        <v>1060</v>
      </c>
      <c r="D6995" s="283" t="s">
        <v>1074</v>
      </c>
      <c r="E6995" s="283" t="s">
        <v>1089</v>
      </c>
      <c r="F6995" s="283" t="s">
        <v>1044</v>
      </c>
      <c r="G6995" s="283">
        <v>2</v>
      </c>
      <c r="H6995" s="283">
        <v>0</v>
      </c>
      <c r="I6995" s="283">
        <v>0</v>
      </c>
      <c r="J6995" s="284">
        <v>0</v>
      </c>
    </row>
    <row r="6996" spans="3:10" x14ac:dyDescent="0.25">
      <c r="C6996" s="300" t="s">
        <v>1061</v>
      </c>
      <c r="D6996" s="283" t="s">
        <v>1077</v>
      </c>
      <c r="E6996" s="283" t="s">
        <v>1089</v>
      </c>
      <c r="F6996" s="283" t="s">
        <v>1089</v>
      </c>
      <c r="G6996" s="283">
        <v>3</v>
      </c>
      <c r="H6996" s="283">
        <v>0</v>
      </c>
      <c r="I6996" s="283">
        <v>0</v>
      </c>
      <c r="J6996" s="284">
        <v>0</v>
      </c>
    </row>
    <row r="6997" spans="3:10" x14ac:dyDescent="0.25">
      <c r="C6997" s="300" t="s">
        <v>1061</v>
      </c>
      <c r="D6997" s="283" t="s">
        <v>1082</v>
      </c>
      <c r="E6997" s="283" t="s">
        <v>1075</v>
      </c>
      <c r="F6997" s="283" t="s">
        <v>1075</v>
      </c>
      <c r="G6997" s="283">
        <v>3</v>
      </c>
      <c r="H6997" s="283">
        <v>0</v>
      </c>
      <c r="I6997" s="283">
        <v>0</v>
      </c>
      <c r="J6997" s="284">
        <v>0</v>
      </c>
    </row>
    <row r="6998" spans="3:10" x14ac:dyDescent="0.25">
      <c r="C6998" s="300" t="s">
        <v>1062</v>
      </c>
      <c r="D6998" s="283" t="s">
        <v>1074</v>
      </c>
      <c r="E6998" s="283" t="s">
        <v>1075</v>
      </c>
      <c r="F6998" s="283" t="s">
        <v>1089</v>
      </c>
      <c r="G6998" s="283">
        <v>2</v>
      </c>
      <c r="H6998" s="283">
        <v>0</v>
      </c>
      <c r="I6998" s="283">
        <v>0</v>
      </c>
      <c r="J6998" s="284">
        <v>1</v>
      </c>
    </row>
    <row r="6999" spans="3:10" x14ac:dyDescent="0.25">
      <c r="C6999" s="300" t="s">
        <v>1065</v>
      </c>
      <c r="D6999" s="283" t="s">
        <v>1077</v>
      </c>
      <c r="E6999" s="283" t="s">
        <v>1075</v>
      </c>
      <c r="F6999" s="283" t="s">
        <v>1089</v>
      </c>
      <c r="G6999" s="283">
        <v>3</v>
      </c>
      <c r="H6999" s="283">
        <v>0</v>
      </c>
      <c r="I6999" s="283">
        <v>0</v>
      </c>
      <c r="J6999" s="284">
        <v>0</v>
      </c>
    </row>
    <row r="7000" spans="3:10" x14ac:dyDescent="0.25">
      <c r="C7000" s="300" t="s">
        <v>1065</v>
      </c>
      <c r="D7000" s="283" t="s">
        <v>1074</v>
      </c>
      <c r="E7000" s="283" t="s">
        <v>1075</v>
      </c>
      <c r="F7000" s="283" t="s">
        <v>1075</v>
      </c>
      <c r="G7000" s="283">
        <v>3</v>
      </c>
      <c r="H7000" s="283">
        <v>0</v>
      </c>
      <c r="I7000" s="283">
        <v>0</v>
      </c>
      <c r="J7000" s="284">
        <v>0</v>
      </c>
    </row>
    <row r="7001" spans="3:10" x14ac:dyDescent="0.25">
      <c r="C7001" s="300" t="s">
        <v>1067</v>
      </c>
      <c r="D7001" s="283" t="s">
        <v>1079</v>
      </c>
      <c r="E7001" s="283" t="s">
        <v>1075</v>
      </c>
      <c r="F7001" s="283" t="s">
        <v>1075</v>
      </c>
      <c r="G7001" s="283">
        <v>2</v>
      </c>
      <c r="H7001" s="283">
        <v>0</v>
      </c>
      <c r="I7001" s="283">
        <v>0</v>
      </c>
      <c r="J7001" s="284">
        <v>0</v>
      </c>
    </row>
    <row r="7002" spans="3:10" x14ac:dyDescent="0.25">
      <c r="C7002" s="300" t="s">
        <v>1060</v>
      </c>
      <c r="D7002" s="283" t="s">
        <v>1077</v>
      </c>
      <c r="E7002" s="283" t="s">
        <v>1076</v>
      </c>
      <c r="F7002" s="283" t="s">
        <v>1044</v>
      </c>
      <c r="G7002" s="283">
        <v>2</v>
      </c>
      <c r="H7002" s="283">
        <v>0</v>
      </c>
      <c r="I7002" s="283">
        <v>0</v>
      </c>
      <c r="J7002" s="284">
        <v>1</v>
      </c>
    </row>
    <row r="7003" spans="3:10" x14ac:dyDescent="0.25">
      <c r="C7003" s="300" t="s">
        <v>1065</v>
      </c>
      <c r="D7003" s="283" t="s">
        <v>1079</v>
      </c>
      <c r="E7003" s="283" t="s">
        <v>1075</v>
      </c>
      <c r="F7003" s="283" t="s">
        <v>1075</v>
      </c>
      <c r="G7003" s="283">
        <v>2</v>
      </c>
      <c r="H7003" s="283">
        <v>0</v>
      </c>
      <c r="I7003" s="283">
        <v>1</v>
      </c>
      <c r="J7003" s="284">
        <v>1</v>
      </c>
    </row>
    <row r="7004" spans="3:10" x14ac:dyDescent="0.25">
      <c r="C7004" s="300" t="s">
        <v>1064</v>
      </c>
      <c r="D7004" s="283" t="s">
        <v>1090</v>
      </c>
      <c r="E7004" s="283" t="s">
        <v>1081</v>
      </c>
      <c r="F7004" s="283" t="s">
        <v>524</v>
      </c>
      <c r="G7004" s="283">
        <v>1</v>
      </c>
      <c r="H7004" s="283">
        <v>0</v>
      </c>
      <c r="I7004" s="283">
        <v>1</v>
      </c>
      <c r="J7004" s="284">
        <v>0</v>
      </c>
    </row>
    <row r="7005" spans="3:10" x14ac:dyDescent="0.25">
      <c r="C7005" s="300" t="s">
        <v>1066</v>
      </c>
      <c r="D7005" s="283" t="s">
        <v>1074</v>
      </c>
      <c r="E7005" s="283" t="s">
        <v>1076</v>
      </c>
      <c r="F7005" s="283" t="s">
        <v>1075</v>
      </c>
      <c r="G7005" s="283">
        <v>2</v>
      </c>
      <c r="H7005" s="283">
        <v>0</v>
      </c>
      <c r="I7005" s="283">
        <v>1</v>
      </c>
      <c r="J7005" s="284">
        <v>1</v>
      </c>
    </row>
    <row r="7006" spans="3:10" x14ac:dyDescent="0.25">
      <c r="C7006" s="300" t="s">
        <v>1064</v>
      </c>
      <c r="D7006" s="283" t="s">
        <v>1079</v>
      </c>
      <c r="E7006" s="283" t="s">
        <v>1089</v>
      </c>
      <c r="F7006" s="283" t="s">
        <v>1044</v>
      </c>
      <c r="G7006" s="283">
        <v>2</v>
      </c>
      <c r="H7006" s="283">
        <v>0</v>
      </c>
      <c r="I7006" s="283">
        <v>0</v>
      </c>
      <c r="J7006" s="284">
        <v>1</v>
      </c>
    </row>
    <row r="7007" spans="3:10" x14ac:dyDescent="0.25">
      <c r="C7007" s="300" t="s">
        <v>1065</v>
      </c>
      <c r="D7007" s="283" t="s">
        <v>1043</v>
      </c>
      <c r="E7007" s="283" t="s">
        <v>1089</v>
      </c>
      <c r="F7007" s="283" t="s">
        <v>1092</v>
      </c>
      <c r="G7007" s="283">
        <v>2</v>
      </c>
      <c r="H7007" s="283">
        <v>0</v>
      </c>
      <c r="I7007" s="283">
        <v>0</v>
      </c>
      <c r="J7007" s="284">
        <v>0</v>
      </c>
    </row>
    <row r="7008" spans="3:10" x14ac:dyDescent="0.25">
      <c r="C7008" s="300" t="s">
        <v>1062</v>
      </c>
      <c r="D7008" s="283" t="s">
        <v>1043</v>
      </c>
      <c r="E7008" s="283" t="s">
        <v>1086</v>
      </c>
      <c r="F7008" s="283" t="s">
        <v>1092</v>
      </c>
      <c r="G7008" s="283">
        <v>2</v>
      </c>
      <c r="H7008" s="283">
        <v>0</v>
      </c>
      <c r="I7008" s="283">
        <v>0</v>
      </c>
      <c r="J7008" s="284">
        <v>1</v>
      </c>
    </row>
    <row r="7009" spans="3:10" x14ac:dyDescent="0.25">
      <c r="C7009" s="300" t="s">
        <v>1067</v>
      </c>
      <c r="D7009" s="283" t="s">
        <v>1079</v>
      </c>
      <c r="E7009" s="283" t="s">
        <v>1075</v>
      </c>
      <c r="F7009" s="283" t="s">
        <v>1044</v>
      </c>
      <c r="G7009" s="283">
        <v>2</v>
      </c>
      <c r="H7009" s="283">
        <v>0</v>
      </c>
      <c r="I7009" s="283">
        <v>1</v>
      </c>
      <c r="J7009" s="284">
        <v>0</v>
      </c>
    </row>
    <row r="7010" spans="3:10" x14ac:dyDescent="0.25">
      <c r="C7010" s="300" t="s">
        <v>1062</v>
      </c>
      <c r="D7010" s="283" t="s">
        <v>1079</v>
      </c>
      <c r="E7010" s="283" t="s">
        <v>1089</v>
      </c>
      <c r="F7010" s="283" t="s">
        <v>1083</v>
      </c>
      <c r="G7010" s="283">
        <v>2</v>
      </c>
      <c r="H7010" s="283">
        <v>0</v>
      </c>
      <c r="I7010" s="283">
        <v>1</v>
      </c>
      <c r="J7010" s="284">
        <v>0</v>
      </c>
    </row>
    <row r="7011" spans="3:10" x14ac:dyDescent="0.25">
      <c r="C7011" s="300" t="s">
        <v>1062</v>
      </c>
      <c r="D7011" s="283" t="s">
        <v>1074</v>
      </c>
      <c r="E7011" s="283" t="s">
        <v>1075</v>
      </c>
      <c r="F7011" s="283" t="s">
        <v>1075</v>
      </c>
      <c r="G7011" s="283">
        <v>2</v>
      </c>
      <c r="H7011" s="283">
        <v>0</v>
      </c>
      <c r="I7011" s="283">
        <v>0</v>
      </c>
      <c r="J7011" s="284">
        <v>1</v>
      </c>
    </row>
    <row r="7012" spans="3:10" x14ac:dyDescent="0.25">
      <c r="C7012" s="300" t="s">
        <v>1066</v>
      </c>
      <c r="D7012" s="283" t="s">
        <v>1087</v>
      </c>
      <c r="E7012" s="283" t="s">
        <v>1075</v>
      </c>
      <c r="F7012" s="283" t="s">
        <v>524</v>
      </c>
      <c r="G7012" s="283">
        <v>1</v>
      </c>
      <c r="H7012" s="283">
        <v>0</v>
      </c>
      <c r="I7012" s="283">
        <v>1</v>
      </c>
      <c r="J7012" s="284">
        <v>0</v>
      </c>
    </row>
    <row r="7013" spans="3:10" x14ac:dyDescent="0.25">
      <c r="C7013" s="300" t="s">
        <v>1061</v>
      </c>
      <c r="D7013" s="283" t="s">
        <v>1043</v>
      </c>
      <c r="E7013" s="283" t="s">
        <v>1075</v>
      </c>
      <c r="F7013" s="283" t="s">
        <v>1092</v>
      </c>
      <c r="G7013" s="283">
        <v>2</v>
      </c>
      <c r="H7013" s="283">
        <v>0</v>
      </c>
      <c r="I7013" s="283">
        <v>1</v>
      </c>
      <c r="J7013" s="284">
        <v>0</v>
      </c>
    </row>
    <row r="7014" spans="3:10" x14ac:dyDescent="0.25">
      <c r="C7014" s="300" t="s">
        <v>1068</v>
      </c>
      <c r="D7014" s="283" t="s">
        <v>1079</v>
      </c>
      <c r="E7014" s="283" t="s">
        <v>1075</v>
      </c>
      <c r="F7014" s="283" t="s">
        <v>1089</v>
      </c>
      <c r="G7014" s="283">
        <v>2</v>
      </c>
      <c r="H7014" s="283">
        <v>0</v>
      </c>
      <c r="I7014" s="283">
        <v>0</v>
      </c>
      <c r="J7014" s="284">
        <v>0</v>
      </c>
    </row>
    <row r="7015" spans="3:10" x14ac:dyDescent="0.25">
      <c r="C7015" s="300" t="s">
        <v>1067</v>
      </c>
      <c r="D7015" s="283" t="s">
        <v>1082</v>
      </c>
      <c r="E7015" s="283" t="s">
        <v>1075</v>
      </c>
      <c r="F7015" s="283" t="s">
        <v>1075</v>
      </c>
      <c r="G7015" s="283">
        <v>3</v>
      </c>
      <c r="H7015" s="283">
        <v>0</v>
      </c>
      <c r="I7015" s="283">
        <v>2</v>
      </c>
      <c r="J7015" s="284">
        <v>1</v>
      </c>
    </row>
    <row r="7016" spans="3:10" x14ac:dyDescent="0.25">
      <c r="C7016" s="300" t="s">
        <v>1066</v>
      </c>
      <c r="D7016" s="283" t="s">
        <v>1077</v>
      </c>
      <c r="E7016" s="283" t="s">
        <v>1075</v>
      </c>
      <c r="F7016" s="283" t="s">
        <v>1075</v>
      </c>
      <c r="G7016" s="283">
        <v>2</v>
      </c>
      <c r="H7016" s="283">
        <v>0</v>
      </c>
      <c r="I7016" s="283">
        <v>0</v>
      </c>
      <c r="J7016" s="284">
        <v>0</v>
      </c>
    </row>
    <row r="7017" spans="3:10" x14ac:dyDescent="0.25">
      <c r="C7017" s="300" t="s">
        <v>1068</v>
      </c>
      <c r="D7017" s="283" t="s">
        <v>1074</v>
      </c>
      <c r="E7017" s="283" t="s">
        <v>1076</v>
      </c>
      <c r="F7017" s="283" t="s">
        <v>1075</v>
      </c>
      <c r="G7017" s="283">
        <v>4</v>
      </c>
      <c r="H7017" s="283">
        <v>0</v>
      </c>
      <c r="I7017" s="283">
        <v>1</v>
      </c>
      <c r="J7017" s="284">
        <v>0</v>
      </c>
    </row>
    <row r="7018" spans="3:10" x14ac:dyDescent="0.25">
      <c r="C7018" s="300" t="s">
        <v>1064</v>
      </c>
      <c r="D7018" s="283" t="s">
        <v>1043</v>
      </c>
      <c r="E7018" s="283" t="s">
        <v>1044</v>
      </c>
      <c r="F7018" s="283" t="s">
        <v>1092</v>
      </c>
      <c r="G7018" s="283">
        <v>2</v>
      </c>
      <c r="H7018" s="283">
        <v>0</v>
      </c>
      <c r="I7018" s="283">
        <v>0</v>
      </c>
      <c r="J7018" s="284">
        <v>0</v>
      </c>
    </row>
    <row r="7019" spans="3:10" x14ac:dyDescent="0.25">
      <c r="C7019" s="300" t="s">
        <v>1067</v>
      </c>
      <c r="D7019" s="283" t="s">
        <v>1087</v>
      </c>
      <c r="E7019" s="283" t="s">
        <v>1089</v>
      </c>
      <c r="F7019" s="283" t="s">
        <v>524</v>
      </c>
      <c r="G7019" s="283">
        <v>1</v>
      </c>
      <c r="H7019" s="283">
        <v>0</v>
      </c>
      <c r="I7019" s="283">
        <v>1</v>
      </c>
      <c r="J7019" s="284">
        <v>0</v>
      </c>
    </row>
    <row r="7020" spans="3:10" x14ac:dyDescent="0.25">
      <c r="C7020" s="300" t="s">
        <v>1063</v>
      </c>
      <c r="D7020" s="283" t="s">
        <v>1087</v>
      </c>
      <c r="E7020" s="283" t="s">
        <v>1075</v>
      </c>
      <c r="F7020" s="283" t="s">
        <v>524</v>
      </c>
      <c r="G7020" s="283">
        <v>1</v>
      </c>
      <c r="H7020" s="283">
        <v>0</v>
      </c>
      <c r="I7020" s="283">
        <v>0</v>
      </c>
      <c r="J7020" s="284">
        <v>1</v>
      </c>
    </row>
    <row r="7021" spans="3:10" x14ac:dyDescent="0.25">
      <c r="C7021" s="300" t="s">
        <v>1061</v>
      </c>
      <c r="D7021" s="283" t="s">
        <v>1043</v>
      </c>
      <c r="E7021" s="283" t="s">
        <v>1075</v>
      </c>
      <c r="F7021" s="283" t="s">
        <v>1092</v>
      </c>
      <c r="G7021" s="283">
        <v>2</v>
      </c>
      <c r="H7021" s="283">
        <v>0</v>
      </c>
      <c r="I7021" s="283">
        <v>1</v>
      </c>
      <c r="J7021" s="284">
        <v>0</v>
      </c>
    </row>
    <row r="7022" spans="3:10" x14ac:dyDescent="0.25">
      <c r="C7022" s="300" t="s">
        <v>1062</v>
      </c>
      <c r="D7022" s="283" t="s">
        <v>1087</v>
      </c>
      <c r="E7022" s="283" t="s">
        <v>1075</v>
      </c>
      <c r="F7022" s="283" t="s">
        <v>524</v>
      </c>
      <c r="G7022" s="283">
        <v>1</v>
      </c>
      <c r="H7022" s="283">
        <v>0</v>
      </c>
      <c r="I7022" s="283">
        <v>0</v>
      </c>
      <c r="J7022" s="284">
        <v>1</v>
      </c>
    </row>
    <row r="7023" spans="3:10" x14ac:dyDescent="0.25">
      <c r="C7023" s="300" t="s">
        <v>1061</v>
      </c>
      <c r="D7023" s="283" t="s">
        <v>1043</v>
      </c>
      <c r="E7023" s="283" t="s">
        <v>1084</v>
      </c>
      <c r="F7023" s="283" t="s">
        <v>1092</v>
      </c>
      <c r="G7023" s="283">
        <v>2</v>
      </c>
      <c r="H7023" s="283">
        <v>0</v>
      </c>
      <c r="I7023" s="283">
        <v>0</v>
      </c>
      <c r="J7023" s="284">
        <v>1</v>
      </c>
    </row>
    <row r="7024" spans="3:10" x14ac:dyDescent="0.25">
      <c r="C7024" s="300" t="s">
        <v>1067</v>
      </c>
      <c r="D7024" s="283" t="s">
        <v>1077</v>
      </c>
      <c r="E7024" s="283" t="s">
        <v>1075</v>
      </c>
      <c r="F7024" s="283" t="s">
        <v>1083</v>
      </c>
      <c r="G7024" s="283">
        <v>2</v>
      </c>
      <c r="H7024" s="283">
        <v>0</v>
      </c>
      <c r="I7024" s="283">
        <v>0</v>
      </c>
      <c r="J7024" s="284">
        <v>1</v>
      </c>
    </row>
    <row r="7025" spans="3:10" x14ac:dyDescent="0.25">
      <c r="C7025" s="300" t="s">
        <v>1061</v>
      </c>
      <c r="D7025" s="283" t="s">
        <v>1043</v>
      </c>
      <c r="E7025" s="283" t="s">
        <v>1089</v>
      </c>
      <c r="F7025" s="283" t="s">
        <v>1092</v>
      </c>
      <c r="G7025" s="283">
        <v>2</v>
      </c>
      <c r="H7025" s="283">
        <v>0</v>
      </c>
      <c r="I7025" s="283">
        <v>1</v>
      </c>
      <c r="J7025" s="284">
        <v>0</v>
      </c>
    </row>
    <row r="7026" spans="3:10" x14ac:dyDescent="0.25">
      <c r="C7026" s="300" t="s">
        <v>1064</v>
      </c>
      <c r="D7026" s="283" t="s">
        <v>1077</v>
      </c>
      <c r="E7026" s="283" t="s">
        <v>1075</v>
      </c>
      <c r="F7026" s="283" t="s">
        <v>1075</v>
      </c>
      <c r="G7026" s="283">
        <v>2</v>
      </c>
      <c r="H7026" s="283">
        <v>0</v>
      </c>
      <c r="I7026" s="283">
        <v>0</v>
      </c>
      <c r="J7026" s="284">
        <v>0</v>
      </c>
    </row>
    <row r="7027" spans="3:10" x14ac:dyDescent="0.25">
      <c r="C7027" s="300" t="s">
        <v>1060</v>
      </c>
      <c r="D7027" s="283" t="s">
        <v>1077</v>
      </c>
      <c r="E7027" s="283" t="s">
        <v>1075</v>
      </c>
      <c r="F7027" s="283" t="s">
        <v>1089</v>
      </c>
      <c r="G7027" s="283">
        <v>2</v>
      </c>
      <c r="H7027" s="283">
        <v>0</v>
      </c>
      <c r="I7027" s="283">
        <v>0</v>
      </c>
      <c r="J7027" s="284">
        <v>1</v>
      </c>
    </row>
    <row r="7028" spans="3:10" x14ac:dyDescent="0.25">
      <c r="C7028" s="300" t="s">
        <v>1062</v>
      </c>
      <c r="D7028" s="283" t="s">
        <v>1077</v>
      </c>
      <c r="E7028" s="283" t="s">
        <v>1075</v>
      </c>
      <c r="F7028" s="283" t="s">
        <v>1075</v>
      </c>
      <c r="G7028" s="283">
        <v>2</v>
      </c>
      <c r="H7028" s="283">
        <v>0</v>
      </c>
      <c r="I7028" s="283">
        <v>0</v>
      </c>
      <c r="J7028" s="284">
        <v>0</v>
      </c>
    </row>
    <row r="7029" spans="3:10" x14ac:dyDescent="0.25">
      <c r="C7029" s="300" t="s">
        <v>1063</v>
      </c>
      <c r="D7029" s="283" t="s">
        <v>1074</v>
      </c>
      <c r="E7029" s="283" t="s">
        <v>1075</v>
      </c>
      <c r="F7029" s="283" t="s">
        <v>1089</v>
      </c>
      <c r="G7029" s="283">
        <v>2</v>
      </c>
      <c r="H7029" s="283">
        <v>0</v>
      </c>
      <c r="I7029" s="283">
        <v>0</v>
      </c>
      <c r="J7029" s="284">
        <v>0</v>
      </c>
    </row>
    <row r="7030" spans="3:10" x14ac:dyDescent="0.25">
      <c r="C7030" s="300" t="s">
        <v>1064</v>
      </c>
      <c r="D7030" s="283" t="s">
        <v>1077</v>
      </c>
      <c r="E7030" s="283" t="s">
        <v>1081</v>
      </c>
      <c r="F7030" s="283" t="s">
        <v>1075</v>
      </c>
      <c r="G7030" s="283">
        <v>3</v>
      </c>
      <c r="H7030" s="283">
        <v>0</v>
      </c>
      <c r="I7030" s="283">
        <v>0</v>
      </c>
      <c r="J7030" s="284">
        <v>0</v>
      </c>
    </row>
    <row r="7031" spans="3:10" x14ac:dyDescent="0.25">
      <c r="C7031" s="300" t="s">
        <v>1062</v>
      </c>
      <c r="D7031" s="283" t="s">
        <v>1077</v>
      </c>
      <c r="E7031" s="283" t="s">
        <v>1078</v>
      </c>
      <c r="F7031" s="283" t="s">
        <v>1075</v>
      </c>
      <c r="G7031" s="283">
        <v>2</v>
      </c>
      <c r="H7031" s="283">
        <v>0</v>
      </c>
      <c r="I7031" s="283">
        <v>0</v>
      </c>
      <c r="J7031" s="284">
        <v>0</v>
      </c>
    </row>
    <row r="7032" spans="3:10" x14ac:dyDescent="0.25">
      <c r="C7032" s="300" t="s">
        <v>1066</v>
      </c>
      <c r="D7032" s="283" t="s">
        <v>1079</v>
      </c>
      <c r="E7032" s="283" t="s">
        <v>1076</v>
      </c>
      <c r="F7032" s="283" t="s">
        <v>1078</v>
      </c>
      <c r="G7032" s="283">
        <v>2</v>
      </c>
      <c r="H7032" s="283">
        <v>0</v>
      </c>
      <c r="I7032" s="283">
        <v>0</v>
      </c>
      <c r="J7032" s="284">
        <v>0</v>
      </c>
    </row>
    <row r="7033" spans="3:10" x14ac:dyDescent="0.25">
      <c r="C7033" s="300" t="s">
        <v>1064</v>
      </c>
      <c r="D7033" s="283" t="s">
        <v>1079</v>
      </c>
      <c r="E7033" s="283" t="s">
        <v>1089</v>
      </c>
      <c r="F7033" s="283" t="s">
        <v>1084</v>
      </c>
      <c r="G7033" s="283">
        <v>2</v>
      </c>
      <c r="H7033" s="283">
        <v>0</v>
      </c>
      <c r="I7033" s="283">
        <v>0</v>
      </c>
      <c r="J7033" s="284">
        <v>0</v>
      </c>
    </row>
    <row r="7034" spans="3:10" x14ac:dyDescent="0.25">
      <c r="C7034" s="300" t="s">
        <v>1065</v>
      </c>
      <c r="D7034" s="283" t="s">
        <v>1077</v>
      </c>
      <c r="E7034" s="283" t="s">
        <v>1075</v>
      </c>
      <c r="F7034" s="283" t="s">
        <v>1093</v>
      </c>
      <c r="G7034" s="283">
        <v>2</v>
      </c>
      <c r="H7034" s="283">
        <v>0</v>
      </c>
      <c r="I7034" s="283">
        <v>0</v>
      </c>
      <c r="J7034" s="284">
        <v>0</v>
      </c>
    </row>
    <row r="7035" spans="3:10" x14ac:dyDescent="0.25">
      <c r="C7035" s="300" t="s">
        <v>1065</v>
      </c>
      <c r="D7035" s="283" t="s">
        <v>1079</v>
      </c>
      <c r="E7035" s="283" t="s">
        <v>1081</v>
      </c>
      <c r="F7035" s="283" t="s">
        <v>1078</v>
      </c>
      <c r="G7035" s="283">
        <v>2</v>
      </c>
      <c r="H7035" s="283">
        <v>0</v>
      </c>
      <c r="I7035" s="283">
        <v>0</v>
      </c>
      <c r="J7035" s="284">
        <v>0</v>
      </c>
    </row>
    <row r="7036" spans="3:10" x14ac:dyDescent="0.25">
      <c r="C7036" s="300" t="s">
        <v>1066</v>
      </c>
      <c r="D7036" s="283" t="s">
        <v>1090</v>
      </c>
      <c r="E7036" s="283" t="s">
        <v>1075</v>
      </c>
      <c r="F7036" s="283" t="s">
        <v>524</v>
      </c>
      <c r="G7036" s="283">
        <v>1</v>
      </c>
      <c r="H7036" s="283">
        <v>0</v>
      </c>
      <c r="I7036" s="283">
        <v>0</v>
      </c>
      <c r="J7036" s="284">
        <v>0</v>
      </c>
    </row>
    <row r="7037" spans="3:10" x14ac:dyDescent="0.25">
      <c r="C7037" s="300" t="s">
        <v>1065</v>
      </c>
      <c r="D7037" s="283" t="s">
        <v>1077</v>
      </c>
      <c r="E7037" s="283" t="s">
        <v>1078</v>
      </c>
      <c r="F7037" s="283" t="s">
        <v>1089</v>
      </c>
      <c r="G7037" s="283">
        <v>2</v>
      </c>
      <c r="H7037" s="283">
        <v>0</v>
      </c>
      <c r="I7037" s="283">
        <v>0</v>
      </c>
      <c r="J7037" s="284">
        <v>0</v>
      </c>
    </row>
    <row r="7038" spans="3:10" x14ac:dyDescent="0.25">
      <c r="C7038" s="300" t="s">
        <v>1061</v>
      </c>
      <c r="D7038" s="283" t="s">
        <v>1079</v>
      </c>
      <c r="E7038" s="283" t="s">
        <v>1094</v>
      </c>
      <c r="F7038" s="283" t="s">
        <v>1075</v>
      </c>
      <c r="G7038" s="283">
        <v>2</v>
      </c>
      <c r="H7038" s="283">
        <v>0</v>
      </c>
      <c r="I7038" s="283">
        <v>0</v>
      </c>
      <c r="J7038" s="284">
        <v>0</v>
      </c>
    </row>
    <row r="7039" spans="3:10" x14ac:dyDescent="0.25">
      <c r="C7039" s="300" t="s">
        <v>1060</v>
      </c>
      <c r="D7039" s="283" t="s">
        <v>1090</v>
      </c>
      <c r="E7039" s="283" t="s">
        <v>1083</v>
      </c>
      <c r="F7039" s="283" t="s">
        <v>524</v>
      </c>
      <c r="G7039" s="283">
        <v>1</v>
      </c>
      <c r="H7039" s="283">
        <v>0</v>
      </c>
      <c r="I7039" s="283">
        <v>0</v>
      </c>
      <c r="J7039" s="284">
        <v>0</v>
      </c>
    </row>
    <row r="7040" spans="3:10" x14ac:dyDescent="0.25">
      <c r="C7040" s="300" t="s">
        <v>1064</v>
      </c>
      <c r="D7040" s="283" t="s">
        <v>1087</v>
      </c>
      <c r="E7040" s="283" t="s">
        <v>1084</v>
      </c>
      <c r="F7040" s="283" t="s">
        <v>524</v>
      </c>
      <c r="G7040" s="283">
        <v>1</v>
      </c>
      <c r="H7040" s="283">
        <v>0</v>
      </c>
      <c r="I7040" s="283">
        <v>0</v>
      </c>
      <c r="J7040" s="284">
        <v>0</v>
      </c>
    </row>
    <row r="7041" spans="3:10" x14ac:dyDescent="0.25">
      <c r="C7041" s="300" t="s">
        <v>1065</v>
      </c>
      <c r="D7041" s="283" t="s">
        <v>1079</v>
      </c>
      <c r="E7041" s="283" t="s">
        <v>1044</v>
      </c>
      <c r="F7041" s="283" t="s">
        <v>1075</v>
      </c>
      <c r="G7041" s="283">
        <v>2</v>
      </c>
      <c r="H7041" s="283">
        <v>0</v>
      </c>
      <c r="I7041" s="283">
        <v>0</v>
      </c>
      <c r="J7041" s="284">
        <v>1</v>
      </c>
    </row>
    <row r="7042" spans="3:10" x14ac:dyDescent="0.25">
      <c r="C7042" s="300" t="s">
        <v>1062</v>
      </c>
      <c r="D7042" s="283" t="s">
        <v>1074</v>
      </c>
      <c r="E7042" s="283" t="s">
        <v>1080</v>
      </c>
      <c r="F7042" s="283" t="s">
        <v>1075</v>
      </c>
      <c r="G7042" s="283">
        <v>2</v>
      </c>
      <c r="H7042" s="283">
        <v>0</v>
      </c>
      <c r="I7042" s="283">
        <v>0</v>
      </c>
      <c r="J7042" s="284">
        <v>1</v>
      </c>
    </row>
    <row r="7043" spans="3:10" x14ac:dyDescent="0.25">
      <c r="C7043" s="300" t="s">
        <v>1066</v>
      </c>
      <c r="D7043" s="283" t="s">
        <v>1079</v>
      </c>
      <c r="E7043" s="283" t="s">
        <v>1076</v>
      </c>
      <c r="F7043" s="283" t="s">
        <v>1083</v>
      </c>
      <c r="G7043" s="283">
        <v>2</v>
      </c>
      <c r="H7043" s="283">
        <v>0</v>
      </c>
      <c r="I7043" s="283">
        <v>1</v>
      </c>
      <c r="J7043" s="284">
        <v>0</v>
      </c>
    </row>
    <row r="7044" spans="3:10" x14ac:dyDescent="0.25">
      <c r="C7044" s="300" t="s">
        <v>1066</v>
      </c>
      <c r="D7044" s="283" t="s">
        <v>1074</v>
      </c>
      <c r="E7044" s="283" t="s">
        <v>1075</v>
      </c>
      <c r="F7044" s="283" t="s">
        <v>1075</v>
      </c>
      <c r="G7044" s="283">
        <v>2</v>
      </c>
      <c r="H7044" s="283">
        <v>0</v>
      </c>
      <c r="I7044" s="283">
        <v>0</v>
      </c>
      <c r="J7044" s="284">
        <v>0</v>
      </c>
    </row>
    <row r="7045" spans="3:10" x14ac:dyDescent="0.25">
      <c r="C7045" s="300" t="s">
        <v>1062</v>
      </c>
      <c r="D7045" s="283" t="s">
        <v>1079</v>
      </c>
      <c r="E7045" s="283" t="s">
        <v>1084</v>
      </c>
      <c r="F7045" s="283" t="s">
        <v>1076</v>
      </c>
      <c r="G7045" s="283">
        <v>3</v>
      </c>
      <c r="H7045" s="283">
        <v>0</v>
      </c>
      <c r="I7045" s="283">
        <v>0</v>
      </c>
      <c r="J7045" s="284">
        <v>0</v>
      </c>
    </row>
    <row r="7046" spans="3:10" x14ac:dyDescent="0.25">
      <c r="C7046" s="300" t="s">
        <v>1061</v>
      </c>
      <c r="D7046" s="283" t="s">
        <v>1077</v>
      </c>
      <c r="E7046" s="283" t="s">
        <v>1086</v>
      </c>
      <c r="F7046" s="283" t="s">
        <v>1075</v>
      </c>
      <c r="G7046" s="283">
        <v>2</v>
      </c>
      <c r="H7046" s="283">
        <v>0</v>
      </c>
      <c r="I7046" s="283">
        <v>0</v>
      </c>
      <c r="J7046" s="284">
        <v>1</v>
      </c>
    </row>
    <row r="7047" spans="3:10" x14ac:dyDescent="0.25">
      <c r="C7047" s="300" t="s">
        <v>1067</v>
      </c>
      <c r="D7047" s="283" t="s">
        <v>1077</v>
      </c>
      <c r="E7047" s="283" t="s">
        <v>1075</v>
      </c>
      <c r="F7047" s="283" t="s">
        <v>1075</v>
      </c>
      <c r="G7047" s="283">
        <v>2</v>
      </c>
      <c r="H7047" s="283">
        <v>0</v>
      </c>
      <c r="I7047" s="283">
        <v>0</v>
      </c>
      <c r="J7047" s="284">
        <v>0</v>
      </c>
    </row>
    <row r="7048" spans="3:10" x14ac:dyDescent="0.25">
      <c r="C7048" s="300" t="s">
        <v>1061</v>
      </c>
      <c r="D7048" s="283" t="s">
        <v>1077</v>
      </c>
      <c r="E7048" s="283" t="s">
        <v>1075</v>
      </c>
      <c r="F7048" s="283" t="s">
        <v>1089</v>
      </c>
      <c r="G7048" s="283">
        <v>2</v>
      </c>
      <c r="H7048" s="283">
        <v>0</v>
      </c>
      <c r="I7048" s="283">
        <v>0</v>
      </c>
      <c r="J7048" s="284">
        <v>0</v>
      </c>
    </row>
    <row r="7049" spans="3:10" x14ac:dyDescent="0.25">
      <c r="C7049" s="300" t="s">
        <v>1062</v>
      </c>
      <c r="D7049" s="283" t="s">
        <v>1074</v>
      </c>
      <c r="E7049" s="283" t="s">
        <v>1075</v>
      </c>
      <c r="F7049" s="283" t="s">
        <v>1075</v>
      </c>
      <c r="G7049" s="283">
        <v>2</v>
      </c>
      <c r="H7049" s="283">
        <v>0</v>
      </c>
      <c r="I7049" s="283">
        <v>1</v>
      </c>
      <c r="J7049" s="284">
        <v>1</v>
      </c>
    </row>
    <row r="7050" spans="3:10" x14ac:dyDescent="0.25">
      <c r="C7050" s="300" t="s">
        <v>1068</v>
      </c>
      <c r="D7050" s="283" t="s">
        <v>1079</v>
      </c>
      <c r="E7050" s="283" t="s">
        <v>1083</v>
      </c>
      <c r="F7050" s="283" t="s">
        <v>1086</v>
      </c>
      <c r="G7050" s="283">
        <v>2</v>
      </c>
      <c r="H7050" s="283">
        <v>0</v>
      </c>
      <c r="I7050" s="283">
        <v>1</v>
      </c>
      <c r="J7050" s="284">
        <v>0</v>
      </c>
    </row>
    <row r="7051" spans="3:10" x14ac:dyDescent="0.25">
      <c r="C7051" s="300" t="s">
        <v>1062</v>
      </c>
      <c r="D7051" s="283" t="s">
        <v>1079</v>
      </c>
      <c r="E7051" s="283" t="s">
        <v>1075</v>
      </c>
      <c r="F7051" s="283" t="s">
        <v>1075</v>
      </c>
      <c r="G7051" s="283">
        <v>2</v>
      </c>
      <c r="H7051" s="283">
        <v>0</v>
      </c>
      <c r="I7051" s="283">
        <v>0</v>
      </c>
      <c r="J7051" s="284">
        <v>0</v>
      </c>
    </row>
    <row r="7052" spans="3:10" x14ac:dyDescent="0.25">
      <c r="C7052" s="300" t="s">
        <v>1062</v>
      </c>
      <c r="D7052" s="283" t="s">
        <v>1074</v>
      </c>
      <c r="E7052" s="283" t="s">
        <v>1075</v>
      </c>
      <c r="F7052" s="283" t="s">
        <v>1075</v>
      </c>
      <c r="G7052" s="283">
        <v>2</v>
      </c>
      <c r="H7052" s="283">
        <v>0</v>
      </c>
      <c r="I7052" s="283">
        <v>0</v>
      </c>
      <c r="J7052" s="284">
        <v>0</v>
      </c>
    </row>
    <row r="7053" spans="3:10" x14ac:dyDescent="0.25">
      <c r="C7053" s="300" t="s">
        <v>1066</v>
      </c>
      <c r="D7053" s="283" t="s">
        <v>1077</v>
      </c>
      <c r="E7053" s="283" t="s">
        <v>1084</v>
      </c>
      <c r="F7053" s="283" t="s">
        <v>1075</v>
      </c>
      <c r="G7053" s="283">
        <v>2</v>
      </c>
      <c r="H7053" s="283">
        <v>0</v>
      </c>
      <c r="I7053" s="283">
        <v>0</v>
      </c>
      <c r="J7053" s="284">
        <v>0</v>
      </c>
    </row>
    <row r="7054" spans="3:10" x14ac:dyDescent="0.25">
      <c r="C7054" s="300" t="s">
        <v>1061</v>
      </c>
      <c r="D7054" s="283" t="s">
        <v>1043</v>
      </c>
      <c r="E7054" s="283" t="s">
        <v>1089</v>
      </c>
      <c r="F7054" s="283" t="s">
        <v>1104</v>
      </c>
      <c r="G7054" s="283">
        <v>2</v>
      </c>
      <c r="H7054" s="283">
        <v>0</v>
      </c>
      <c r="I7054" s="283">
        <v>0</v>
      </c>
      <c r="J7054" s="284">
        <v>0</v>
      </c>
    </row>
    <row r="7055" spans="3:10" x14ac:dyDescent="0.25">
      <c r="C7055" s="300" t="s">
        <v>1063</v>
      </c>
      <c r="D7055" s="283" t="s">
        <v>1074</v>
      </c>
      <c r="E7055" s="283" t="s">
        <v>1089</v>
      </c>
      <c r="F7055" s="283" t="s">
        <v>1075</v>
      </c>
      <c r="G7055" s="283">
        <v>3</v>
      </c>
      <c r="H7055" s="283">
        <v>0</v>
      </c>
      <c r="I7055" s="283">
        <v>0</v>
      </c>
      <c r="J7055" s="284">
        <v>1</v>
      </c>
    </row>
    <row r="7056" spans="3:10" x14ac:dyDescent="0.25">
      <c r="C7056" s="300" t="s">
        <v>1066</v>
      </c>
      <c r="D7056" s="283" t="s">
        <v>1079</v>
      </c>
      <c r="E7056" s="283" t="s">
        <v>1044</v>
      </c>
      <c r="F7056" s="283" t="s">
        <v>1093</v>
      </c>
      <c r="G7056" s="283">
        <v>2</v>
      </c>
      <c r="H7056" s="283">
        <v>0</v>
      </c>
      <c r="I7056" s="283">
        <v>0</v>
      </c>
      <c r="J7056" s="284">
        <v>1</v>
      </c>
    </row>
    <row r="7057" spans="3:10" x14ac:dyDescent="0.25">
      <c r="C7057" s="300" t="s">
        <v>1057</v>
      </c>
      <c r="D7057" s="283" t="s">
        <v>1087</v>
      </c>
      <c r="E7057" s="283" t="s">
        <v>1075</v>
      </c>
      <c r="F7057" s="283" t="s">
        <v>524</v>
      </c>
      <c r="G7057" s="283">
        <v>1</v>
      </c>
      <c r="H7057" s="283">
        <v>0</v>
      </c>
      <c r="I7057" s="283">
        <v>0</v>
      </c>
      <c r="J7057" s="284">
        <v>0</v>
      </c>
    </row>
    <row r="7058" spans="3:10" x14ac:dyDescent="0.25">
      <c r="C7058" s="300" t="s">
        <v>1060</v>
      </c>
      <c r="D7058" s="283" t="s">
        <v>1082</v>
      </c>
      <c r="E7058" s="283" t="s">
        <v>1078</v>
      </c>
      <c r="F7058" s="283" t="s">
        <v>1078</v>
      </c>
      <c r="G7058" s="283">
        <v>2</v>
      </c>
      <c r="H7058" s="283">
        <v>0</v>
      </c>
      <c r="I7058" s="283">
        <v>1</v>
      </c>
      <c r="J7058" s="284">
        <v>1</v>
      </c>
    </row>
    <row r="7059" spans="3:10" x14ac:dyDescent="0.25">
      <c r="C7059" s="300" t="s">
        <v>1062</v>
      </c>
      <c r="D7059" s="283" t="s">
        <v>1079</v>
      </c>
      <c r="E7059" s="283" t="s">
        <v>1086</v>
      </c>
      <c r="F7059" s="283" t="s">
        <v>1089</v>
      </c>
      <c r="G7059" s="283">
        <v>2</v>
      </c>
      <c r="H7059" s="283">
        <v>0</v>
      </c>
      <c r="I7059" s="283">
        <v>0</v>
      </c>
      <c r="J7059" s="284">
        <v>0</v>
      </c>
    </row>
    <row r="7060" spans="3:10" x14ac:dyDescent="0.25">
      <c r="C7060" s="300" t="s">
        <v>1067</v>
      </c>
      <c r="D7060" s="283" t="s">
        <v>1077</v>
      </c>
      <c r="E7060" s="283" t="s">
        <v>1089</v>
      </c>
      <c r="F7060" s="283" t="s">
        <v>1089</v>
      </c>
      <c r="G7060" s="283">
        <v>2</v>
      </c>
      <c r="H7060" s="283">
        <v>0</v>
      </c>
      <c r="I7060" s="283">
        <v>0</v>
      </c>
      <c r="J7060" s="284">
        <v>0</v>
      </c>
    </row>
    <row r="7061" spans="3:10" x14ac:dyDescent="0.25">
      <c r="C7061" s="300" t="s">
        <v>1062</v>
      </c>
      <c r="D7061" s="283" t="s">
        <v>1074</v>
      </c>
      <c r="E7061" s="283" t="s">
        <v>1076</v>
      </c>
      <c r="F7061" s="283" t="s">
        <v>1075</v>
      </c>
      <c r="G7061" s="283">
        <v>2</v>
      </c>
      <c r="H7061" s="283">
        <v>0</v>
      </c>
      <c r="I7061" s="283">
        <v>0</v>
      </c>
      <c r="J7061" s="284">
        <v>1</v>
      </c>
    </row>
    <row r="7062" spans="3:10" x14ac:dyDescent="0.25">
      <c r="C7062" s="300" t="s">
        <v>1066</v>
      </c>
      <c r="D7062" s="283" t="s">
        <v>1079</v>
      </c>
      <c r="E7062" s="283" t="s">
        <v>1076</v>
      </c>
      <c r="F7062" s="283" t="s">
        <v>1075</v>
      </c>
      <c r="G7062" s="283">
        <v>3</v>
      </c>
      <c r="H7062" s="283">
        <v>0</v>
      </c>
      <c r="I7062" s="283">
        <v>0</v>
      </c>
      <c r="J7062" s="284">
        <v>1</v>
      </c>
    </row>
    <row r="7063" spans="3:10" x14ac:dyDescent="0.25">
      <c r="C7063" s="300" t="s">
        <v>1068</v>
      </c>
      <c r="D7063" s="283" t="s">
        <v>1087</v>
      </c>
      <c r="E7063" s="283" t="s">
        <v>1075</v>
      </c>
      <c r="F7063" s="283" t="s">
        <v>524</v>
      </c>
      <c r="G7063" s="283">
        <v>1</v>
      </c>
      <c r="H7063" s="283">
        <v>0</v>
      </c>
      <c r="I7063" s="283">
        <v>0</v>
      </c>
      <c r="J7063" s="284">
        <v>0</v>
      </c>
    </row>
    <row r="7064" spans="3:10" x14ac:dyDescent="0.25">
      <c r="C7064" s="300" t="s">
        <v>1064</v>
      </c>
      <c r="D7064" s="283" t="s">
        <v>1074</v>
      </c>
      <c r="E7064" s="283" t="s">
        <v>1075</v>
      </c>
      <c r="F7064" s="283" t="s">
        <v>1076</v>
      </c>
      <c r="G7064" s="283">
        <v>2</v>
      </c>
      <c r="H7064" s="283">
        <v>0</v>
      </c>
      <c r="I7064" s="283">
        <v>0</v>
      </c>
      <c r="J7064" s="284">
        <v>0</v>
      </c>
    </row>
    <row r="7065" spans="3:10" x14ac:dyDescent="0.25">
      <c r="C7065" s="300" t="s">
        <v>1065</v>
      </c>
      <c r="D7065" s="283" t="s">
        <v>1079</v>
      </c>
      <c r="E7065" s="283" t="s">
        <v>1075</v>
      </c>
      <c r="F7065" s="283" t="s">
        <v>1075</v>
      </c>
      <c r="G7065" s="283">
        <v>2</v>
      </c>
      <c r="H7065" s="283">
        <v>0</v>
      </c>
      <c r="I7065" s="283">
        <v>0</v>
      </c>
      <c r="J7065" s="284">
        <v>0</v>
      </c>
    </row>
    <row r="7066" spans="3:10" x14ac:dyDescent="0.25">
      <c r="C7066" s="300" t="s">
        <v>1066</v>
      </c>
      <c r="D7066" s="283" t="s">
        <v>1074</v>
      </c>
      <c r="E7066" s="283" t="s">
        <v>1076</v>
      </c>
      <c r="F7066" s="283" t="s">
        <v>1102</v>
      </c>
      <c r="G7066" s="283">
        <v>2</v>
      </c>
      <c r="H7066" s="283">
        <v>0</v>
      </c>
      <c r="I7066" s="283">
        <v>1</v>
      </c>
      <c r="J7066" s="284">
        <v>0</v>
      </c>
    </row>
    <row r="7067" spans="3:10" x14ac:dyDescent="0.25">
      <c r="C7067" s="300" t="s">
        <v>1065</v>
      </c>
      <c r="D7067" s="283" t="s">
        <v>1079</v>
      </c>
      <c r="E7067" s="283" t="s">
        <v>1089</v>
      </c>
      <c r="F7067" s="283" t="s">
        <v>1089</v>
      </c>
      <c r="G7067" s="283">
        <v>2</v>
      </c>
      <c r="H7067" s="283">
        <v>0</v>
      </c>
      <c r="I7067" s="283">
        <v>0</v>
      </c>
      <c r="J7067" s="284">
        <v>0</v>
      </c>
    </row>
    <row r="7068" spans="3:10" x14ac:dyDescent="0.25">
      <c r="C7068" s="300" t="s">
        <v>1067</v>
      </c>
      <c r="D7068" s="283" t="s">
        <v>1087</v>
      </c>
      <c r="E7068" s="283" t="s">
        <v>1089</v>
      </c>
      <c r="F7068" s="283" t="s">
        <v>524</v>
      </c>
      <c r="G7068" s="283">
        <v>1</v>
      </c>
      <c r="H7068" s="283">
        <v>0</v>
      </c>
      <c r="I7068" s="283">
        <v>0</v>
      </c>
      <c r="J7068" s="284">
        <v>1</v>
      </c>
    </row>
    <row r="7069" spans="3:10" x14ac:dyDescent="0.25">
      <c r="C7069" s="300" t="s">
        <v>1066</v>
      </c>
      <c r="D7069" s="283" t="s">
        <v>1074</v>
      </c>
      <c r="E7069" s="283" t="s">
        <v>1081</v>
      </c>
      <c r="F7069" s="283" t="s">
        <v>1083</v>
      </c>
      <c r="G7069" s="283">
        <v>2</v>
      </c>
      <c r="H7069" s="283">
        <v>0</v>
      </c>
      <c r="I7069" s="283">
        <v>1</v>
      </c>
      <c r="J7069" s="284">
        <v>0</v>
      </c>
    </row>
    <row r="7070" spans="3:10" x14ac:dyDescent="0.25">
      <c r="C7070" s="300" t="s">
        <v>1064</v>
      </c>
      <c r="D7070" s="283" t="s">
        <v>1077</v>
      </c>
      <c r="E7070" s="283" t="s">
        <v>1075</v>
      </c>
      <c r="F7070" s="283" t="s">
        <v>1075</v>
      </c>
      <c r="G7070" s="283">
        <v>2</v>
      </c>
      <c r="H7070" s="283">
        <v>0</v>
      </c>
      <c r="I7070" s="283">
        <v>0</v>
      </c>
      <c r="J7070" s="284">
        <v>0</v>
      </c>
    </row>
    <row r="7071" spans="3:10" x14ac:dyDescent="0.25">
      <c r="C7071" s="300" t="s">
        <v>1062</v>
      </c>
      <c r="D7071" s="283" t="s">
        <v>1079</v>
      </c>
      <c r="E7071" s="283" t="s">
        <v>1089</v>
      </c>
      <c r="F7071" s="283" t="s">
        <v>1081</v>
      </c>
      <c r="G7071" s="283">
        <v>2</v>
      </c>
      <c r="H7071" s="283">
        <v>0</v>
      </c>
      <c r="I7071" s="283">
        <v>0</v>
      </c>
      <c r="J7071" s="284">
        <v>0</v>
      </c>
    </row>
    <row r="7072" spans="3:10" x14ac:dyDescent="0.25">
      <c r="C7072" s="300" t="s">
        <v>1065</v>
      </c>
      <c r="D7072" s="283" t="s">
        <v>1079</v>
      </c>
      <c r="E7072" s="283" t="s">
        <v>1084</v>
      </c>
      <c r="F7072" s="283" t="s">
        <v>1075</v>
      </c>
      <c r="G7072" s="283">
        <v>2</v>
      </c>
      <c r="H7072" s="283">
        <v>0</v>
      </c>
      <c r="I7072" s="283">
        <v>0</v>
      </c>
      <c r="J7072" s="284">
        <v>0</v>
      </c>
    </row>
    <row r="7073" spans="3:10" x14ac:dyDescent="0.25">
      <c r="C7073" s="300" t="s">
        <v>1063</v>
      </c>
      <c r="D7073" s="283" t="s">
        <v>1077</v>
      </c>
      <c r="E7073" s="283" t="s">
        <v>1089</v>
      </c>
      <c r="F7073" s="283" t="s">
        <v>1075</v>
      </c>
      <c r="G7073" s="283">
        <v>2</v>
      </c>
      <c r="H7073" s="283">
        <v>0</v>
      </c>
      <c r="I7073" s="283">
        <v>1</v>
      </c>
      <c r="J7073" s="284">
        <v>1</v>
      </c>
    </row>
    <row r="7074" spans="3:10" x14ac:dyDescent="0.25">
      <c r="C7074" s="300" t="s">
        <v>1065</v>
      </c>
      <c r="D7074" s="283" t="s">
        <v>1079</v>
      </c>
      <c r="E7074" s="283" t="s">
        <v>1075</v>
      </c>
      <c r="F7074" s="283" t="s">
        <v>1075</v>
      </c>
      <c r="G7074" s="283">
        <v>3</v>
      </c>
      <c r="H7074" s="283">
        <v>0</v>
      </c>
      <c r="I7074" s="283">
        <v>0</v>
      </c>
      <c r="J7074" s="284">
        <v>2</v>
      </c>
    </row>
    <row r="7075" spans="3:10" x14ac:dyDescent="0.25">
      <c r="C7075" s="300" t="s">
        <v>1065</v>
      </c>
      <c r="D7075" s="283" t="s">
        <v>1079</v>
      </c>
      <c r="E7075" s="283" t="s">
        <v>1044</v>
      </c>
      <c r="F7075" s="283" t="s">
        <v>1075</v>
      </c>
      <c r="G7075" s="283">
        <v>2</v>
      </c>
      <c r="H7075" s="283">
        <v>0</v>
      </c>
      <c r="I7075" s="283">
        <v>0</v>
      </c>
      <c r="J7075" s="284">
        <v>1</v>
      </c>
    </row>
    <row r="7076" spans="3:10" x14ac:dyDescent="0.25">
      <c r="C7076" s="300" t="s">
        <v>1065</v>
      </c>
      <c r="D7076" s="283" t="s">
        <v>1079</v>
      </c>
      <c r="E7076" s="283" t="s">
        <v>1075</v>
      </c>
      <c r="F7076" s="283" t="s">
        <v>1078</v>
      </c>
      <c r="G7076" s="283">
        <v>3</v>
      </c>
      <c r="H7076" s="283">
        <v>0</v>
      </c>
      <c r="I7076" s="283">
        <v>0</v>
      </c>
      <c r="J7076" s="284">
        <v>1</v>
      </c>
    </row>
    <row r="7077" spans="3:10" x14ac:dyDescent="0.25">
      <c r="C7077" s="300" t="s">
        <v>1064</v>
      </c>
      <c r="D7077" s="283" t="s">
        <v>1077</v>
      </c>
      <c r="E7077" s="283" t="s">
        <v>1075</v>
      </c>
      <c r="F7077" s="283" t="s">
        <v>1089</v>
      </c>
      <c r="G7077" s="283">
        <v>2</v>
      </c>
      <c r="H7077" s="283">
        <v>0</v>
      </c>
      <c r="I7077" s="283">
        <v>1</v>
      </c>
      <c r="J7077" s="284">
        <v>0</v>
      </c>
    </row>
    <row r="7078" spans="3:10" x14ac:dyDescent="0.25">
      <c r="C7078" s="300" t="s">
        <v>1061</v>
      </c>
      <c r="D7078" s="283" t="s">
        <v>1079</v>
      </c>
      <c r="E7078" s="283" t="s">
        <v>1089</v>
      </c>
      <c r="F7078" s="283" t="s">
        <v>1075</v>
      </c>
      <c r="G7078" s="283">
        <v>2</v>
      </c>
      <c r="H7078" s="283">
        <v>0</v>
      </c>
      <c r="I7078" s="283">
        <v>0</v>
      </c>
      <c r="J7078" s="284">
        <v>1</v>
      </c>
    </row>
    <row r="7079" spans="3:10" x14ac:dyDescent="0.25">
      <c r="C7079" s="300" t="s">
        <v>1063</v>
      </c>
      <c r="D7079" s="283" t="s">
        <v>1043</v>
      </c>
      <c r="E7079" s="283" t="s">
        <v>1086</v>
      </c>
      <c r="F7079" s="283" t="s">
        <v>1092</v>
      </c>
      <c r="G7079" s="283">
        <v>2</v>
      </c>
      <c r="H7079" s="283">
        <v>0</v>
      </c>
      <c r="I7079" s="283">
        <v>1</v>
      </c>
      <c r="J7079" s="284">
        <v>0</v>
      </c>
    </row>
    <row r="7080" spans="3:10" x14ac:dyDescent="0.25">
      <c r="C7080" s="300" t="s">
        <v>1063</v>
      </c>
      <c r="D7080" s="283" t="s">
        <v>1074</v>
      </c>
      <c r="E7080" s="283" t="s">
        <v>1089</v>
      </c>
      <c r="F7080" s="283" t="s">
        <v>1089</v>
      </c>
      <c r="G7080" s="283">
        <v>2</v>
      </c>
      <c r="H7080" s="283">
        <v>0</v>
      </c>
      <c r="I7080" s="283">
        <v>0</v>
      </c>
      <c r="J7080" s="284">
        <v>1</v>
      </c>
    </row>
    <row r="7081" spans="3:10" x14ac:dyDescent="0.25">
      <c r="C7081" s="300" t="s">
        <v>1065</v>
      </c>
      <c r="D7081" s="283" t="s">
        <v>1077</v>
      </c>
      <c r="E7081" s="283" t="s">
        <v>1076</v>
      </c>
      <c r="F7081" s="283" t="s">
        <v>1075</v>
      </c>
      <c r="G7081" s="283">
        <v>2</v>
      </c>
      <c r="H7081" s="283">
        <v>0</v>
      </c>
      <c r="I7081" s="283">
        <v>0</v>
      </c>
      <c r="J7081" s="284">
        <v>0</v>
      </c>
    </row>
    <row r="7082" spans="3:10" x14ac:dyDescent="0.25">
      <c r="C7082" s="300" t="s">
        <v>1060</v>
      </c>
      <c r="D7082" s="283" t="s">
        <v>1077</v>
      </c>
      <c r="E7082" s="283" t="s">
        <v>1075</v>
      </c>
      <c r="F7082" s="283" t="s">
        <v>1076</v>
      </c>
      <c r="G7082" s="283">
        <v>2</v>
      </c>
      <c r="H7082" s="283">
        <v>0</v>
      </c>
      <c r="I7082" s="283">
        <v>0</v>
      </c>
      <c r="J7082" s="284">
        <v>2</v>
      </c>
    </row>
    <row r="7083" spans="3:10" x14ac:dyDescent="0.25">
      <c r="C7083" s="300" t="s">
        <v>1067</v>
      </c>
      <c r="D7083" s="283" t="s">
        <v>1079</v>
      </c>
      <c r="E7083" s="283" t="s">
        <v>1075</v>
      </c>
      <c r="F7083" s="283" t="s">
        <v>1100</v>
      </c>
      <c r="G7083" s="283">
        <v>4</v>
      </c>
      <c r="H7083" s="283">
        <v>0</v>
      </c>
      <c r="I7083" s="283">
        <v>0</v>
      </c>
      <c r="J7083" s="284">
        <v>1</v>
      </c>
    </row>
    <row r="7084" spans="3:10" x14ac:dyDescent="0.25">
      <c r="C7084" s="300" t="s">
        <v>1068</v>
      </c>
      <c r="D7084" s="283" t="s">
        <v>1079</v>
      </c>
      <c r="E7084" s="283" t="s">
        <v>1084</v>
      </c>
      <c r="F7084" s="283" t="s">
        <v>1075</v>
      </c>
      <c r="G7084" s="283">
        <v>2</v>
      </c>
      <c r="H7084" s="283">
        <v>0</v>
      </c>
      <c r="I7084" s="283">
        <v>0</v>
      </c>
      <c r="J7084" s="284">
        <v>0</v>
      </c>
    </row>
    <row r="7085" spans="3:10" x14ac:dyDescent="0.25">
      <c r="C7085" s="300" t="s">
        <v>1065</v>
      </c>
      <c r="D7085" s="283" t="s">
        <v>1074</v>
      </c>
      <c r="E7085" s="283" t="s">
        <v>1075</v>
      </c>
      <c r="F7085" s="283" t="s">
        <v>1083</v>
      </c>
      <c r="G7085" s="283">
        <v>2</v>
      </c>
      <c r="H7085" s="283">
        <v>0</v>
      </c>
      <c r="I7085" s="283">
        <v>0</v>
      </c>
      <c r="J7085" s="284">
        <v>1</v>
      </c>
    </row>
    <row r="7086" spans="3:10" x14ac:dyDescent="0.25">
      <c r="C7086" s="300" t="s">
        <v>1065</v>
      </c>
      <c r="D7086" s="283" t="s">
        <v>1074</v>
      </c>
      <c r="E7086" s="283" t="s">
        <v>1075</v>
      </c>
      <c r="F7086" s="283" t="s">
        <v>1075</v>
      </c>
      <c r="G7086" s="283">
        <v>2</v>
      </c>
      <c r="H7086" s="283">
        <v>0</v>
      </c>
      <c r="I7086" s="283">
        <v>0</v>
      </c>
      <c r="J7086" s="284">
        <v>0</v>
      </c>
    </row>
    <row r="7087" spans="3:10" x14ac:dyDescent="0.25">
      <c r="C7087" s="300" t="s">
        <v>1062</v>
      </c>
      <c r="D7087" s="283" t="s">
        <v>1079</v>
      </c>
      <c r="E7087" s="283" t="s">
        <v>1075</v>
      </c>
      <c r="F7087" s="283" t="s">
        <v>1075</v>
      </c>
      <c r="G7087" s="283">
        <v>2</v>
      </c>
      <c r="H7087" s="283">
        <v>0</v>
      </c>
      <c r="I7087" s="283">
        <v>0</v>
      </c>
      <c r="J7087" s="284">
        <v>1</v>
      </c>
    </row>
    <row r="7088" spans="3:10" x14ac:dyDescent="0.25">
      <c r="C7088" s="300" t="s">
        <v>1060</v>
      </c>
      <c r="D7088" s="283" t="s">
        <v>1079</v>
      </c>
      <c r="E7088" s="283" t="s">
        <v>1075</v>
      </c>
      <c r="F7088" s="283" t="s">
        <v>1044</v>
      </c>
      <c r="G7088" s="283">
        <v>2</v>
      </c>
      <c r="H7088" s="283">
        <v>0</v>
      </c>
      <c r="I7088" s="283">
        <v>0</v>
      </c>
      <c r="J7088" s="284">
        <v>1</v>
      </c>
    </row>
    <row r="7089" spans="3:10" x14ac:dyDescent="0.25">
      <c r="C7089" s="300" t="s">
        <v>1067</v>
      </c>
      <c r="D7089" s="283" t="s">
        <v>1074</v>
      </c>
      <c r="E7089" s="283" t="s">
        <v>1075</v>
      </c>
      <c r="F7089" s="283" t="s">
        <v>1083</v>
      </c>
      <c r="G7089" s="283">
        <v>2</v>
      </c>
      <c r="H7089" s="283">
        <v>0</v>
      </c>
      <c r="I7089" s="283">
        <v>1</v>
      </c>
      <c r="J7089" s="284">
        <v>0</v>
      </c>
    </row>
    <row r="7090" spans="3:10" x14ac:dyDescent="0.25">
      <c r="C7090" s="300" t="s">
        <v>1067</v>
      </c>
      <c r="D7090" s="283" t="s">
        <v>1074</v>
      </c>
      <c r="E7090" s="283" t="s">
        <v>1078</v>
      </c>
      <c r="F7090" s="283" t="s">
        <v>1075</v>
      </c>
      <c r="G7090" s="283">
        <v>2</v>
      </c>
      <c r="H7090" s="283">
        <v>0</v>
      </c>
      <c r="I7090" s="283">
        <v>1</v>
      </c>
      <c r="J7090" s="284">
        <v>1</v>
      </c>
    </row>
    <row r="7091" spans="3:10" x14ac:dyDescent="0.25">
      <c r="C7091" s="300" t="s">
        <v>1058</v>
      </c>
      <c r="D7091" s="283" t="s">
        <v>1079</v>
      </c>
      <c r="E7091" s="283" t="s">
        <v>1075</v>
      </c>
      <c r="F7091" s="283" t="s">
        <v>1085</v>
      </c>
      <c r="G7091" s="283">
        <v>3</v>
      </c>
      <c r="H7091" s="283">
        <v>0</v>
      </c>
      <c r="I7091" s="283">
        <v>1</v>
      </c>
      <c r="J7091" s="284">
        <v>0</v>
      </c>
    </row>
    <row r="7092" spans="3:10" x14ac:dyDescent="0.25">
      <c r="C7092" s="300" t="s">
        <v>1067</v>
      </c>
      <c r="D7092" s="283" t="s">
        <v>1079</v>
      </c>
      <c r="E7092" s="283" t="s">
        <v>1076</v>
      </c>
      <c r="F7092" s="283" t="s">
        <v>1089</v>
      </c>
      <c r="G7092" s="283">
        <v>5</v>
      </c>
      <c r="H7092" s="283">
        <v>0</v>
      </c>
      <c r="I7092" s="283">
        <v>0</v>
      </c>
      <c r="J7092" s="284">
        <v>1</v>
      </c>
    </row>
    <row r="7093" spans="3:10" x14ac:dyDescent="0.25">
      <c r="C7093" s="300" t="s">
        <v>1067</v>
      </c>
      <c r="D7093" s="283" t="s">
        <v>1087</v>
      </c>
      <c r="E7093" s="283" t="s">
        <v>1083</v>
      </c>
      <c r="F7093" s="283" t="s">
        <v>524</v>
      </c>
      <c r="G7093" s="283">
        <v>1</v>
      </c>
      <c r="H7093" s="283">
        <v>0</v>
      </c>
      <c r="I7093" s="283">
        <v>1</v>
      </c>
      <c r="J7093" s="284">
        <v>0</v>
      </c>
    </row>
    <row r="7094" spans="3:10" x14ac:dyDescent="0.25">
      <c r="C7094" s="300" t="s">
        <v>1065</v>
      </c>
      <c r="D7094" s="283" t="s">
        <v>1077</v>
      </c>
      <c r="E7094" s="283" t="s">
        <v>1089</v>
      </c>
      <c r="F7094" s="283" t="s">
        <v>1089</v>
      </c>
      <c r="G7094" s="283">
        <v>2</v>
      </c>
      <c r="H7094" s="283">
        <v>0</v>
      </c>
      <c r="I7094" s="283">
        <v>0</v>
      </c>
      <c r="J7094" s="284">
        <v>0</v>
      </c>
    </row>
    <row r="7095" spans="3:10" x14ac:dyDescent="0.25">
      <c r="C7095" s="300" t="s">
        <v>1062</v>
      </c>
      <c r="D7095" s="283" t="s">
        <v>1079</v>
      </c>
      <c r="E7095" s="283" t="s">
        <v>1075</v>
      </c>
      <c r="F7095" s="283" t="s">
        <v>1089</v>
      </c>
      <c r="G7095" s="283">
        <v>2</v>
      </c>
      <c r="H7095" s="283">
        <v>0</v>
      </c>
      <c r="I7095" s="283">
        <v>0</v>
      </c>
      <c r="J7095" s="284">
        <v>2</v>
      </c>
    </row>
    <row r="7096" spans="3:10" x14ac:dyDescent="0.25">
      <c r="C7096" s="300" t="s">
        <v>1064</v>
      </c>
      <c r="D7096" s="283" t="s">
        <v>1090</v>
      </c>
      <c r="E7096" s="283" t="s">
        <v>1075</v>
      </c>
      <c r="F7096" s="283" t="s">
        <v>524</v>
      </c>
      <c r="G7096" s="283">
        <v>1</v>
      </c>
      <c r="H7096" s="283">
        <v>0</v>
      </c>
      <c r="I7096" s="283">
        <v>1</v>
      </c>
      <c r="J7096" s="284">
        <v>0</v>
      </c>
    </row>
    <row r="7097" spans="3:10" x14ac:dyDescent="0.25">
      <c r="C7097" s="300" t="s">
        <v>1066</v>
      </c>
      <c r="D7097" s="283" t="s">
        <v>1079</v>
      </c>
      <c r="E7097" s="283" t="s">
        <v>1075</v>
      </c>
      <c r="F7097" s="283" t="s">
        <v>1083</v>
      </c>
      <c r="G7097" s="283">
        <v>2</v>
      </c>
      <c r="H7097" s="283">
        <v>0</v>
      </c>
      <c r="I7097" s="283">
        <v>1</v>
      </c>
      <c r="J7097" s="284">
        <v>1</v>
      </c>
    </row>
    <row r="7098" spans="3:10" x14ac:dyDescent="0.25">
      <c r="C7098" s="300" t="s">
        <v>1062</v>
      </c>
      <c r="D7098" s="283" t="s">
        <v>1074</v>
      </c>
      <c r="E7098" s="283" t="s">
        <v>1089</v>
      </c>
      <c r="F7098" s="283" t="s">
        <v>1044</v>
      </c>
      <c r="G7098" s="283">
        <v>2</v>
      </c>
      <c r="H7098" s="283">
        <v>0</v>
      </c>
      <c r="I7098" s="283">
        <v>0</v>
      </c>
      <c r="J7098" s="284">
        <v>1</v>
      </c>
    </row>
    <row r="7099" spans="3:10" x14ac:dyDescent="0.25">
      <c r="C7099" s="300" t="s">
        <v>1058</v>
      </c>
      <c r="D7099" s="283" t="s">
        <v>1087</v>
      </c>
      <c r="E7099" s="283" t="s">
        <v>1075</v>
      </c>
      <c r="F7099" s="283" t="s">
        <v>524</v>
      </c>
      <c r="G7099" s="283">
        <v>1</v>
      </c>
      <c r="H7099" s="283">
        <v>0</v>
      </c>
      <c r="I7099" s="283">
        <v>0</v>
      </c>
      <c r="J7099" s="284">
        <v>1</v>
      </c>
    </row>
    <row r="7100" spans="3:10" x14ac:dyDescent="0.25">
      <c r="C7100" s="300" t="s">
        <v>1059</v>
      </c>
      <c r="D7100" s="283" t="s">
        <v>1087</v>
      </c>
      <c r="E7100" s="283" t="s">
        <v>1080</v>
      </c>
      <c r="F7100" s="283" t="s">
        <v>524</v>
      </c>
      <c r="G7100" s="283">
        <v>1</v>
      </c>
      <c r="H7100" s="283">
        <v>0</v>
      </c>
      <c r="I7100" s="283">
        <v>1</v>
      </c>
      <c r="J7100" s="284">
        <v>0</v>
      </c>
    </row>
    <row r="7101" spans="3:10" x14ac:dyDescent="0.25">
      <c r="C7101" s="300" t="s">
        <v>1066</v>
      </c>
      <c r="D7101" s="283" t="s">
        <v>1079</v>
      </c>
      <c r="E7101" s="283" t="s">
        <v>1076</v>
      </c>
      <c r="F7101" s="283" t="s">
        <v>1075</v>
      </c>
      <c r="G7101" s="283">
        <v>2</v>
      </c>
      <c r="H7101" s="283">
        <v>0</v>
      </c>
      <c r="I7101" s="283">
        <v>1</v>
      </c>
      <c r="J7101" s="284">
        <v>0</v>
      </c>
    </row>
    <row r="7102" spans="3:10" x14ac:dyDescent="0.25">
      <c r="C7102" s="300" t="s">
        <v>1064</v>
      </c>
      <c r="D7102" s="283" t="s">
        <v>1090</v>
      </c>
      <c r="E7102" s="283" t="s">
        <v>1044</v>
      </c>
      <c r="F7102" s="283" t="s">
        <v>524</v>
      </c>
      <c r="G7102" s="283">
        <v>1</v>
      </c>
      <c r="H7102" s="283">
        <v>0</v>
      </c>
      <c r="I7102" s="283">
        <v>1</v>
      </c>
      <c r="J7102" s="284">
        <v>0</v>
      </c>
    </row>
    <row r="7103" spans="3:10" x14ac:dyDescent="0.25">
      <c r="C7103" s="300" t="s">
        <v>1065</v>
      </c>
      <c r="D7103" s="283" t="s">
        <v>1074</v>
      </c>
      <c r="E7103" s="283" t="s">
        <v>1089</v>
      </c>
      <c r="F7103" s="283" t="s">
        <v>1075</v>
      </c>
      <c r="G7103" s="283">
        <v>3</v>
      </c>
      <c r="H7103" s="283">
        <v>0</v>
      </c>
      <c r="I7103" s="283">
        <v>0</v>
      </c>
      <c r="J7103" s="284">
        <v>2</v>
      </c>
    </row>
    <row r="7104" spans="3:10" x14ac:dyDescent="0.25">
      <c r="C7104" s="300" t="s">
        <v>1064</v>
      </c>
      <c r="D7104" s="283" t="s">
        <v>1077</v>
      </c>
      <c r="E7104" s="283" t="s">
        <v>1084</v>
      </c>
      <c r="F7104" s="283" t="s">
        <v>1089</v>
      </c>
      <c r="G7104" s="283">
        <v>2</v>
      </c>
      <c r="H7104" s="283">
        <v>0</v>
      </c>
      <c r="I7104" s="283">
        <v>0</v>
      </c>
      <c r="J7104" s="284">
        <v>0</v>
      </c>
    </row>
    <row r="7105" spans="3:10" x14ac:dyDescent="0.25">
      <c r="C7105" s="300" t="s">
        <v>1066</v>
      </c>
      <c r="D7105" s="283" t="s">
        <v>1077</v>
      </c>
      <c r="E7105" s="283" t="s">
        <v>1086</v>
      </c>
      <c r="F7105" s="283" t="s">
        <v>1044</v>
      </c>
      <c r="G7105" s="283">
        <v>2</v>
      </c>
      <c r="H7105" s="283">
        <v>0</v>
      </c>
      <c r="I7105" s="283">
        <v>0</v>
      </c>
      <c r="J7105" s="284">
        <v>0</v>
      </c>
    </row>
    <row r="7106" spans="3:10" x14ac:dyDescent="0.25">
      <c r="C7106" s="300" t="s">
        <v>1065</v>
      </c>
      <c r="D7106" s="283" t="s">
        <v>1074</v>
      </c>
      <c r="E7106" s="283" t="s">
        <v>1075</v>
      </c>
      <c r="F7106" s="283" t="s">
        <v>1075</v>
      </c>
      <c r="G7106" s="283">
        <v>2</v>
      </c>
      <c r="H7106" s="283">
        <v>0</v>
      </c>
      <c r="I7106" s="283">
        <v>0</v>
      </c>
      <c r="J7106" s="284">
        <v>1</v>
      </c>
    </row>
    <row r="7107" spans="3:10" x14ac:dyDescent="0.25">
      <c r="C7107" s="300" t="s">
        <v>1064</v>
      </c>
      <c r="D7107" s="283" t="s">
        <v>1043</v>
      </c>
      <c r="E7107" s="283" t="s">
        <v>1086</v>
      </c>
      <c r="F7107" s="283" t="s">
        <v>1092</v>
      </c>
      <c r="G7107" s="283">
        <v>2</v>
      </c>
      <c r="H7107" s="283">
        <v>0</v>
      </c>
      <c r="I7107" s="283">
        <v>0</v>
      </c>
      <c r="J7107" s="284">
        <v>0</v>
      </c>
    </row>
    <row r="7108" spans="3:10" x14ac:dyDescent="0.25">
      <c r="C7108" s="300" t="s">
        <v>1065</v>
      </c>
      <c r="D7108" s="283" t="s">
        <v>1095</v>
      </c>
      <c r="E7108" s="283" t="s">
        <v>1078</v>
      </c>
      <c r="F7108" s="283" t="s">
        <v>1086</v>
      </c>
      <c r="G7108" s="283">
        <v>2</v>
      </c>
      <c r="H7108" s="283">
        <v>0</v>
      </c>
      <c r="I7108" s="283">
        <v>2</v>
      </c>
      <c r="J7108" s="284">
        <v>0</v>
      </c>
    </row>
    <row r="7109" spans="3:10" x14ac:dyDescent="0.25">
      <c r="C7109" s="300" t="s">
        <v>1063</v>
      </c>
      <c r="D7109" s="283" t="s">
        <v>1074</v>
      </c>
      <c r="E7109" s="283" t="s">
        <v>1094</v>
      </c>
      <c r="F7109" s="283" t="s">
        <v>1075</v>
      </c>
      <c r="G7109" s="283">
        <v>2</v>
      </c>
      <c r="H7109" s="283">
        <v>0</v>
      </c>
      <c r="I7109" s="283">
        <v>0</v>
      </c>
      <c r="J7109" s="284">
        <v>0</v>
      </c>
    </row>
    <row r="7110" spans="3:10" x14ac:dyDescent="0.25">
      <c r="C7110" s="300" t="s">
        <v>1060</v>
      </c>
      <c r="D7110" s="283" t="s">
        <v>1079</v>
      </c>
      <c r="E7110" s="283" t="s">
        <v>1075</v>
      </c>
      <c r="F7110" s="283" t="s">
        <v>1075</v>
      </c>
      <c r="G7110" s="283">
        <v>5</v>
      </c>
      <c r="H7110" s="283">
        <v>0</v>
      </c>
      <c r="I7110" s="283">
        <v>1</v>
      </c>
      <c r="J7110" s="284">
        <v>0</v>
      </c>
    </row>
    <row r="7111" spans="3:10" x14ac:dyDescent="0.25">
      <c r="C7111" s="300" t="s">
        <v>1065</v>
      </c>
      <c r="D7111" s="283" t="s">
        <v>1074</v>
      </c>
      <c r="E7111" s="283" t="s">
        <v>1089</v>
      </c>
      <c r="F7111" s="283" t="s">
        <v>1075</v>
      </c>
      <c r="G7111" s="283">
        <v>3</v>
      </c>
      <c r="H7111" s="283">
        <v>0</v>
      </c>
      <c r="I7111" s="283">
        <v>0</v>
      </c>
      <c r="J7111" s="284">
        <v>1</v>
      </c>
    </row>
    <row r="7112" spans="3:10" x14ac:dyDescent="0.25">
      <c r="C7112" s="300" t="s">
        <v>1059</v>
      </c>
      <c r="D7112" s="283" t="s">
        <v>1077</v>
      </c>
      <c r="E7112" s="283" t="s">
        <v>1075</v>
      </c>
      <c r="F7112" s="283" t="s">
        <v>1080</v>
      </c>
      <c r="G7112" s="283">
        <v>2</v>
      </c>
      <c r="H7112" s="283">
        <v>0</v>
      </c>
      <c r="I7112" s="283">
        <v>0</v>
      </c>
      <c r="J7112" s="284">
        <v>1</v>
      </c>
    </row>
    <row r="7113" spans="3:10" x14ac:dyDescent="0.25">
      <c r="C7113" s="300" t="s">
        <v>1064</v>
      </c>
      <c r="D7113" s="283" t="s">
        <v>1074</v>
      </c>
      <c r="E7113" s="283" t="s">
        <v>1094</v>
      </c>
      <c r="F7113" s="283" t="s">
        <v>1075</v>
      </c>
      <c r="G7113" s="283">
        <v>2</v>
      </c>
      <c r="H7113" s="283">
        <v>0</v>
      </c>
      <c r="I7113" s="283">
        <v>0</v>
      </c>
      <c r="J7113" s="284">
        <v>2</v>
      </c>
    </row>
    <row r="7114" spans="3:10" x14ac:dyDescent="0.25">
      <c r="C7114" s="300" t="s">
        <v>1062</v>
      </c>
      <c r="D7114" s="283" t="s">
        <v>1074</v>
      </c>
      <c r="E7114" s="283" t="s">
        <v>1075</v>
      </c>
      <c r="F7114" s="283" t="s">
        <v>1075</v>
      </c>
      <c r="G7114" s="283">
        <v>3</v>
      </c>
      <c r="H7114" s="283">
        <v>0</v>
      </c>
      <c r="I7114" s="283">
        <v>0</v>
      </c>
      <c r="J7114" s="284">
        <v>1</v>
      </c>
    </row>
    <row r="7115" spans="3:10" x14ac:dyDescent="0.25">
      <c r="C7115" s="300" t="s">
        <v>1063</v>
      </c>
      <c r="D7115" s="283" t="s">
        <v>1074</v>
      </c>
      <c r="E7115" s="283" t="s">
        <v>1075</v>
      </c>
      <c r="F7115" s="283" t="s">
        <v>1076</v>
      </c>
      <c r="G7115" s="283">
        <v>2</v>
      </c>
      <c r="H7115" s="283">
        <v>0</v>
      </c>
      <c r="I7115" s="283">
        <v>0</v>
      </c>
      <c r="J7115" s="284">
        <v>1</v>
      </c>
    </row>
    <row r="7116" spans="3:10" x14ac:dyDescent="0.25">
      <c r="C7116" s="300" t="s">
        <v>1066</v>
      </c>
      <c r="D7116" s="283" t="s">
        <v>1090</v>
      </c>
      <c r="E7116" s="283" t="s">
        <v>1093</v>
      </c>
      <c r="F7116" s="283" t="s">
        <v>524</v>
      </c>
      <c r="G7116" s="283">
        <v>1</v>
      </c>
      <c r="H7116" s="283">
        <v>0</v>
      </c>
      <c r="I7116" s="283">
        <v>0</v>
      </c>
      <c r="J7116" s="284">
        <v>1</v>
      </c>
    </row>
    <row r="7117" spans="3:10" x14ac:dyDescent="0.25">
      <c r="C7117" s="300" t="s">
        <v>1065</v>
      </c>
      <c r="D7117" s="283" t="s">
        <v>1043</v>
      </c>
      <c r="E7117" s="283" t="s">
        <v>1075</v>
      </c>
      <c r="F7117" s="283" t="s">
        <v>1092</v>
      </c>
      <c r="G7117" s="283">
        <v>2</v>
      </c>
      <c r="H7117" s="283">
        <v>0</v>
      </c>
      <c r="I7117" s="283">
        <v>0</v>
      </c>
      <c r="J7117" s="284">
        <v>0</v>
      </c>
    </row>
    <row r="7118" spans="3:10" x14ac:dyDescent="0.25">
      <c r="C7118" s="300" t="s">
        <v>1064</v>
      </c>
      <c r="D7118" s="283" t="s">
        <v>1079</v>
      </c>
      <c r="E7118" s="283" t="s">
        <v>1075</v>
      </c>
      <c r="F7118" s="283" t="s">
        <v>1075</v>
      </c>
      <c r="G7118" s="283">
        <v>2</v>
      </c>
      <c r="H7118" s="283">
        <v>0</v>
      </c>
      <c r="I7118" s="283">
        <v>0</v>
      </c>
      <c r="J7118" s="284">
        <v>0</v>
      </c>
    </row>
    <row r="7119" spans="3:10" x14ac:dyDescent="0.25">
      <c r="C7119" s="300" t="s">
        <v>1059</v>
      </c>
      <c r="D7119" s="283" t="s">
        <v>1043</v>
      </c>
      <c r="E7119" s="283" t="s">
        <v>1075</v>
      </c>
      <c r="F7119" s="283" t="s">
        <v>1092</v>
      </c>
      <c r="G7119" s="283">
        <v>2</v>
      </c>
      <c r="H7119" s="283">
        <v>0</v>
      </c>
      <c r="I7119" s="283">
        <v>1</v>
      </c>
      <c r="J7119" s="284">
        <v>0</v>
      </c>
    </row>
    <row r="7120" spans="3:10" x14ac:dyDescent="0.25">
      <c r="C7120" s="300" t="s">
        <v>1064</v>
      </c>
      <c r="D7120" s="283" t="s">
        <v>1077</v>
      </c>
      <c r="E7120" s="283" t="s">
        <v>1075</v>
      </c>
      <c r="F7120" s="283" t="s">
        <v>1089</v>
      </c>
      <c r="G7120" s="283">
        <v>2</v>
      </c>
      <c r="H7120" s="283">
        <v>0</v>
      </c>
      <c r="I7120" s="283">
        <v>0</v>
      </c>
      <c r="J7120" s="284">
        <v>1</v>
      </c>
    </row>
    <row r="7121" spans="3:10" x14ac:dyDescent="0.25">
      <c r="C7121" s="300" t="s">
        <v>1064</v>
      </c>
      <c r="D7121" s="283" t="s">
        <v>1077</v>
      </c>
      <c r="E7121" s="283" t="s">
        <v>1075</v>
      </c>
      <c r="F7121" s="283" t="s">
        <v>1075</v>
      </c>
      <c r="G7121" s="283">
        <v>2</v>
      </c>
      <c r="H7121" s="283">
        <v>0</v>
      </c>
      <c r="I7121" s="283">
        <v>0</v>
      </c>
      <c r="J7121" s="284">
        <v>0</v>
      </c>
    </row>
    <row r="7122" spans="3:10" x14ac:dyDescent="0.25">
      <c r="C7122" s="300" t="s">
        <v>1065</v>
      </c>
      <c r="D7122" s="283" t="s">
        <v>1079</v>
      </c>
      <c r="E7122" s="283" t="s">
        <v>1078</v>
      </c>
      <c r="F7122" s="283" t="s">
        <v>1089</v>
      </c>
      <c r="G7122" s="283">
        <v>2</v>
      </c>
      <c r="H7122" s="283">
        <v>0</v>
      </c>
      <c r="I7122" s="283">
        <v>0</v>
      </c>
      <c r="J7122" s="284">
        <v>0</v>
      </c>
    </row>
    <row r="7123" spans="3:10" x14ac:dyDescent="0.25">
      <c r="C7123" s="300" t="s">
        <v>1061</v>
      </c>
      <c r="D7123" s="283" t="s">
        <v>1074</v>
      </c>
      <c r="E7123" s="283" t="s">
        <v>1089</v>
      </c>
      <c r="F7123" s="283" t="s">
        <v>1089</v>
      </c>
      <c r="G7123" s="283">
        <v>2</v>
      </c>
      <c r="H7123" s="283">
        <v>0</v>
      </c>
      <c r="I7123" s="283">
        <v>0</v>
      </c>
      <c r="J7123" s="284">
        <v>0</v>
      </c>
    </row>
    <row r="7124" spans="3:10" x14ac:dyDescent="0.25">
      <c r="C7124" s="300" t="s">
        <v>1065</v>
      </c>
      <c r="D7124" s="283" t="s">
        <v>1077</v>
      </c>
      <c r="E7124" s="283" t="s">
        <v>1084</v>
      </c>
      <c r="F7124" s="283" t="s">
        <v>1076</v>
      </c>
      <c r="G7124" s="283">
        <v>5</v>
      </c>
      <c r="H7124" s="283">
        <v>0</v>
      </c>
      <c r="I7124" s="283">
        <v>0</v>
      </c>
      <c r="J7124" s="284">
        <v>0</v>
      </c>
    </row>
    <row r="7125" spans="3:10" x14ac:dyDescent="0.25">
      <c r="C7125" s="300" t="s">
        <v>1065</v>
      </c>
      <c r="D7125" s="283" t="s">
        <v>1079</v>
      </c>
      <c r="E7125" s="283" t="s">
        <v>1075</v>
      </c>
      <c r="F7125" s="283" t="s">
        <v>1078</v>
      </c>
      <c r="G7125" s="283">
        <v>2</v>
      </c>
      <c r="H7125" s="283">
        <v>0</v>
      </c>
      <c r="I7125" s="283">
        <v>0</v>
      </c>
      <c r="J7125" s="284">
        <v>0</v>
      </c>
    </row>
    <row r="7126" spans="3:10" x14ac:dyDescent="0.25">
      <c r="C7126" s="300" t="s">
        <v>1060</v>
      </c>
      <c r="D7126" s="283" t="s">
        <v>1074</v>
      </c>
      <c r="E7126" s="283" t="s">
        <v>1075</v>
      </c>
      <c r="F7126" s="283" t="s">
        <v>1044</v>
      </c>
      <c r="G7126" s="283">
        <v>2</v>
      </c>
      <c r="H7126" s="283">
        <v>0</v>
      </c>
      <c r="I7126" s="283">
        <v>1</v>
      </c>
      <c r="J7126" s="284">
        <v>0</v>
      </c>
    </row>
    <row r="7127" spans="3:10" x14ac:dyDescent="0.25">
      <c r="C7127" s="300" t="s">
        <v>1065</v>
      </c>
      <c r="D7127" s="283" t="s">
        <v>1077</v>
      </c>
      <c r="E7127" s="283" t="s">
        <v>1078</v>
      </c>
      <c r="F7127" s="283" t="s">
        <v>1075</v>
      </c>
      <c r="G7127" s="283">
        <v>2</v>
      </c>
      <c r="H7127" s="283">
        <v>0</v>
      </c>
      <c r="I7127" s="283">
        <v>0</v>
      </c>
      <c r="J7127" s="284">
        <v>0</v>
      </c>
    </row>
    <row r="7128" spans="3:10" x14ac:dyDescent="0.25">
      <c r="C7128" s="300" t="s">
        <v>1064</v>
      </c>
      <c r="D7128" s="283" t="s">
        <v>1077</v>
      </c>
      <c r="E7128" s="283" t="s">
        <v>1083</v>
      </c>
      <c r="F7128" s="283" t="s">
        <v>1078</v>
      </c>
      <c r="G7128" s="283">
        <v>2</v>
      </c>
      <c r="H7128" s="283">
        <v>0</v>
      </c>
      <c r="I7128" s="283">
        <v>1</v>
      </c>
      <c r="J7128" s="284">
        <v>0</v>
      </c>
    </row>
    <row r="7129" spans="3:10" x14ac:dyDescent="0.25">
      <c r="C7129" s="300" t="s">
        <v>1066</v>
      </c>
      <c r="D7129" s="283" t="s">
        <v>1079</v>
      </c>
      <c r="E7129" s="283" t="s">
        <v>1075</v>
      </c>
      <c r="F7129" s="283" t="s">
        <v>1083</v>
      </c>
      <c r="G7129" s="283">
        <v>2</v>
      </c>
      <c r="H7129" s="283">
        <v>0</v>
      </c>
      <c r="I7129" s="283">
        <v>1</v>
      </c>
      <c r="J7129" s="284">
        <v>0</v>
      </c>
    </row>
    <row r="7130" spans="3:10" x14ac:dyDescent="0.25">
      <c r="C7130" s="300" t="s">
        <v>1066</v>
      </c>
      <c r="D7130" s="283" t="s">
        <v>1074</v>
      </c>
      <c r="E7130" s="283" t="s">
        <v>1075</v>
      </c>
      <c r="F7130" s="283" t="s">
        <v>1083</v>
      </c>
      <c r="G7130" s="283">
        <v>2</v>
      </c>
      <c r="H7130" s="283">
        <v>0</v>
      </c>
      <c r="I7130" s="283">
        <v>1</v>
      </c>
      <c r="J7130" s="284">
        <v>1</v>
      </c>
    </row>
    <row r="7131" spans="3:10" x14ac:dyDescent="0.25">
      <c r="C7131" s="300" t="s">
        <v>1063</v>
      </c>
      <c r="D7131" s="283" t="s">
        <v>1043</v>
      </c>
      <c r="E7131" s="283" t="s">
        <v>1084</v>
      </c>
      <c r="F7131" s="283" t="s">
        <v>1092</v>
      </c>
      <c r="G7131" s="283">
        <v>2</v>
      </c>
      <c r="H7131" s="283">
        <v>0</v>
      </c>
      <c r="I7131" s="283">
        <v>1</v>
      </c>
      <c r="J7131" s="284">
        <v>0</v>
      </c>
    </row>
    <row r="7132" spans="3:10" x14ac:dyDescent="0.25">
      <c r="C7132" s="300" t="s">
        <v>1062</v>
      </c>
      <c r="D7132" s="283" t="s">
        <v>1079</v>
      </c>
      <c r="E7132" s="283" t="s">
        <v>1076</v>
      </c>
      <c r="F7132" s="283" t="s">
        <v>1075</v>
      </c>
      <c r="G7132" s="283">
        <v>2</v>
      </c>
      <c r="H7132" s="283">
        <v>0</v>
      </c>
      <c r="I7132" s="283">
        <v>1</v>
      </c>
      <c r="J7132" s="284">
        <v>0</v>
      </c>
    </row>
    <row r="7133" spans="3:10" x14ac:dyDescent="0.25">
      <c r="C7133" s="300" t="s">
        <v>1062</v>
      </c>
      <c r="D7133" s="283" t="s">
        <v>1087</v>
      </c>
      <c r="E7133" s="283" t="s">
        <v>1078</v>
      </c>
      <c r="F7133" s="283" t="s">
        <v>524</v>
      </c>
      <c r="G7133" s="283">
        <v>2</v>
      </c>
      <c r="H7133" s="283">
        <v>0</v>
      </c>
      <c r="I7133" s="283">
        <v>1</v>
      </c>
      <c r="J7133" s="284">
        <v>0</v>
      </c>
    </row>
    <row r="7134" spans="3:10" x14ac:dyDescent="0.25">
      <c r="C7134" s="300" t="s">
        <v>1061</v>
      </c>
      <c r="D7134" s="283" t="s">
        <v>1077</v>
      </c>
      <c r="E7134" s="283" t="s">
        <v>1075</v>
      </c>
      <c r="F7134" s="283" t="s">
        <v>1089</v>
      </c>
      <c r="G7134" s="283">
        <v>4</v>
      </c>
      <c r="H7134" s="283">
        <v>0</v>
      </c>
      <c r="I7134" s="283">
        <v>0</v>
      </c>
      <c r="J7134" s="284">
        <v>2</v>
      </c>
    </row>
    <row r="7135" spans="3:10" x14ac:dyDescent="0.25">
      <c r="C7135" s="300" t="s">
        <v>1061</v>
      </c>
      <c r="D7135" s="283" t="s">
        <v>1077</v>
      </c>
      <c r="E7135" s="283" t="s">
        <v>1081</v>
      </c>
      <c r="F7135" s="283" t="s">
        <v>1089</v>
      </c>
      <c r="G7135" s="283">
        <v>2</v>
      </c>
      <c r="H7135" s="283">
        <v>0</v>
      </c>
      <c r="I7135" s="283">
        <v>0</v>
      </c>
      <c r="J7135" s="284">
        <v>0</v>
      </c>
    </row>
    <row r="7136" spans="3:10" x14ac:dyDescent="0.25">
      <c r="C7136" s="300" t="s">
        <v>1063</v>
      </c>
      <c r="D7136" s="283" t="s">
        <v>1077</v>
      </c>
      <c r="E7136" s="283" t="s">
        <v>1089</v>
      </c>
      <c r="F7136" s="283" t="s">
        <v>1075</v>
      </c>
      <c r="G7136" s="283">
        <v>2</v>
      </c>
      <c r="H7136" s="283">
        <v>0</v>
      </c>
      <c r="I7136" s="283">
        <v>0</v>
      </c>
      <c r="J7136" s="284">
        <v>0</v>
      </c>
    </row>
    <row r="7137" spans="3:10" x14ac:dyDescent="0.25">
      <c r="C7137" s="300" t="s">
        <v>1062</v>
      </c>
      <c r="D7137" s="283" t="s">
        <v>1079</v>
      </c>
      <c r="E7137" s="283" t="s">
        <v>1075</v>
      </c>
      <c r="F7137" s="283" t="s">
        <v>1083</v>
      </c>
      <c r="G7137" s="283">
        <v>2</v>
      </c>
      <c r="H7137" s="283">
        <v>0</v>
      </c>
      <c r="I7137" s="283">
        <v>0</v>
      </c>
      <c r="J7137" s="284">
        <v>1</v>
      </c>
    </row>
    <row r="7138" spans="3:10" x14ac:dyDescent="0.25">
      <c r="C7138" s="300" t="s">
        <v>1063</v>
      </c>
      <c r="D7138" s="283" t="s">
        <v>1077</v>
      </c>
      <c r="E7138" s="283" t="s">
        <v>1084</v>
      </c>
      <c r="F7138" s="283" t="s">
        <v>1078</v>
      </c>
      <c r="G7138" s="283">
        <v>5</v>
      </c>
      <c r="H7138" s="283">
        <v>0</v>
      </c>
      <c r="I7138" s="283">
        <v>2</v>
      </c>
      <c r="J7138" s="284">
        <v>0</v>
      </c>
    </row>
    <row r="7139" spans="3:10" x14ac:dyDescent="0.25">
      <c r="C7139" s="300" t="s">
        <v>1061</v>
      </c>
      <c r="D7139" s="283" t="s">
        <v>1077</v>
      </c>
      <c r="E7139" s="283" t="s">
        <v>1075</v>
      </c>
      <c r="F7139" s="283" t="s">
        <v>1089</v>
      </c>
      <c r="G7139" s="283">
        <v>3</v>
      </c>
      <c r="H7139" s="283">
        <v>0</v>
      </c>
      <c r="I7139" s="283">
        <v>0</v>
      </c>
      <c r="J7139" s="284">
        <v>1</v>
      </c>
    </row>
    <row r="7140" spans="3:10" x14ac:dyDescent="0.25">
      <c r="C7140" s="300" t="s">
        <v>1067</v>
      </c>
      <c r="D7140" s="283" t="s">
        <v>1079</v>
      </c>
      <c r="E7140" s="283" t="s">
        <v>1075</v>
      </c>
      <c r="F7140" s="283" t="s">
        <v>1044</v>
      </c>
      <c r="G7140" s="283">
        <v>2</v>
      </c>
      <c r="H7140" s="283">
        <v>0</v>
      </c>
      <c r="I7140" s="283">
        <v>0</v>
      </c>
      <c r="J7140" s="284">
        <v>1</v>
      </c>
    </row>
    <row r="7141" spans="3:10" x14ac:dyDescent="0.25">
      <c r="C7141" s="300" t="s">
        <v>1063</v>
      </c>
      <c r="D7141" s="283" t="s">
        <v>1043</v>
      </c>
      <c r="E7141" s="283" t="s">
        <v>1076</v>
      </c>
      <c r="F7141" s="283" t="s">
        <v>1092</v>
      </c>
      <c r="G7141" s="283">
        <v>2</v>
      </c>
      <c r="H7141" s="283">
        <v>0</v>
      </c>
      <c r="I7141" s="283">
        <v>1</v>
      </c>
      <c r="J7141" s="284">
        <v>0</v>
      </c>
    </row>
    <row r="7142" spans="3:10" x14ac:dyDescent="0.25">
      <c r="C7142" s="300" t="s">
        <v>1068</v>
      </c>
      <c r="D7142" s="283" t="s">
        <v>1079</v>
      </c>
      <c r="E7142" s="283" t="s">
        <v>1075</v>
      </c>
      <c r="F7142" s="283" t="s">
        <v>1075</v>
      </c>
      <c r="G7142" s="283">
        <v>2</v>
      </c>
      <c r="H7142" s="283">
        <v>0</v>
      </c>
      <c r="I7142" s="283">
        <v>0</v>
      </c>
      <c r="J7142" s="284">
        <v>1</v>
      </c>
    </row>
    <row r="7143" spans="3:10" x14ac:dyDescent="0.25">
      <c r="C7143" s="300" t="s">
        <v>1061</v>
      </c>
      <c r="D7143" s="283" t="s">
        <v>1079</v>
      </c>
      <c r="E7143" s="283" t="s">
        <v>1075</v>
      </c>
      <c r="F7143" s="283" t="s">
        <v>524</v>
      </c>
      <c r="G7143" s="283">
        <v>1</v>
      </c>
      <c r="H7143" s="283">
        <v>0</v>
      </c>
      <c r="I7143" s="283">
        <v>0</v>
      </c>
      <c r="J7143" s="284">
        <v>0</v>
      </c>
    </row>
    <row r="7144" spans="3:10" x14ac:dyDescent="0.25">
      <c r="C7144" s="300" t="s">
        <v>1061</v>
      </c>
      <c r="D7144" s="283" t="s">
        <v>1043</v>
      </c>
      <c r="E7144" s="283" t="s">
        <v>1075</v>
      </c>
      <c r="F7144" s="283" t="s">
        <v>1092</v>
      </c>
      <c r="G7144" s="283">
        <v>2</v>
      </c>
      <c r="H7144" s="283">
        <v>0</v>
      </c>
      <c r="I7144" s="283">
        <v>1</v>
      </c>
      <c r="J7144" s="284">
        <v>0</v>
      </c>
    </row>
    <row r="7145" spans="3:10" x14ac:dyDescent="0.25">
      <c r="C7145" s="300" t="s">
        <v>1065</v>
      </c>
      <c r="D7145" s="283" t="s">
        <v>1077</v>
      </c>
      <c r="E7145" s="283" t="s">
        <v>1094</v>
      </c>
      <c r="F7145" s="283" t="s">
        <v>1075</v>
      </c>
      <c r="G7145" s="283">
        <v>2</v>
      </c>
      <c r="H7145" s="283">
        <v>0</v>
      </c>
      <c r="I7145" s="283">
        <v>0</v>
      </c>
      <c r="J7145" s="284">
        <v>0</v>
      </c>
    </row>
    <row r="7146" spans="3:10" x14ac:dyDescent="0.25">
      <c r="C7146" s="300" t="s">
        <v>1059</v>
      </c>
      <c r="D7146" s="283" t="s">
        <v>1079</v>
      </c>
      <c r="E7146" s="283" t="s">
        <v>1075</v>
      </c>
      <c r="F7146" s="283" t="s">
        <v>1075</v>
      </c>
      <c r="G7146" s="283">
        <v>2</v>
      </c>
      <c r="H7146" s="283">
        <v>0</v>
      </c>
      <c r="I7146" s="283">
        <v>0</v>
      </c>
      <c r="J7146" s="284">
        <v>0</v>
      </c>
    </row>
    <row r="7147" spans="3:10" x14ac:dyDescent="0.25">
      <c r="C7147" s="300" t="s">
        <v>1059</v>
      </c>
      <c r="D7147" s="283" t="s">
        <v>1077</v>
      </c>
      <c r="E7147" s="283" t="s">
        <v>1094</v>
      </c>
      <c r="F7147" s="283" t="s">
        <v>1094</v>
      </c>
      <c r="G7147" s="283">
        <v>2</v>
      </c>
      <c r="H7147" s="283">
        <v>0</v>
      </c>
      <c r="I7147" s="283">
        <v>0</v>
      </c>
      <c r="J7147" s="284">
        <v>0</v>
      </c>
    </row>
    <row r="7148" spans="3:10" x14ac:dyDescent="0.25">
      <c r="C7148" s="300" t="s">
        <v>1063</v>
      </c>
      <c r="D7148" s="283" t="s">
        <v>1077</v>
      </c>
      <c r="E7148" s="283" t="s">
        <v>1075</v>
      </c>
      <c r="F7148" s="283" t="s">
        <v>1075</v>
      </c>
      <c r="G7148" s="283">
        <v>3</v>
      </c>
      <c r="H7148" s="283">
        <v>0</v>
      </c>
      <c r="I7148" s="283">
        <v>1</v>
      </c>
      <c r="J7148" s="284">
        <v>1</v>
      </c>
    </row>
    <row r="7149" spans="3:10" x14ac:dyDescent="0.25">
      <c r="C7149" s="300" t="s">
        <v>1063</v>
      </c>
      <c r="D7149" s="283" t="s">
        <v>1079</v>
      </c>
      <c r="E7149" s="283" t="s">
        <v>1093</v>
      </c>
      <c r="F7149" s="283" t="s">
        <v>1075</v>
      </c>
      <c r="G7149" s="283">
        <v>2</v>
      </c>
      <c r="H7149" s="283">
        <v>0</v>
      </c>
      <c r="I7149" s="283">
        <v>0</v>
      </c>
      <c r="J7149" s="284">
        <v>1</v>
      </c>
    </row>
    <row r="7150" spans="3:10" x14ac:dyDescent="0.25">
      <c r="C7150" s="300" t="s">
        <v>1059</v>
      </c>
      <c r="D7150" s="283" t="s">
        <v>1082</v>
      </c>
      <c r="E7150" s="283" t="s">
        <v>1076</v>
      </c>
      <c r="F7150" s="283" t="s">
        <v>1089</v>
      </c>
      <c r="G7150" s="283">
        <v>2</v>
      </c>
      <c r="H7150" s="283">
        <v>0</v>
      </c>
      <c r="I7150" s="283">
        <v>0</v>
      </c>
      <c r="J7150" s="284">
        <v>1</v>
      </c>
    </row>
    <row r="7151" spans="3:10" x14ac:dyDescent="0.25">
      <c r="C7151" s="300" t="s">
        <v>1068</v>
      </c>
      <c r="D7151" s="283" t="s">
        <v>1079</v>
      </c>
      <c r="E7151" s="283" t="s">
        <v>1075</v>
      </c>
      <c r="F7151" s="283" t="s">
        <v>1078</v>
      </c>
      <c r="G7151" s="283">
        <v>3</v>
      </c>
      <c r="H7151" s="283">
        <v>0</v>
      </c>
      <c r="I7151" s="283">
        <v>0</v>
      </c>
      <c r="J7151" s="284">
        <v>0</v>
      </c>
    </row>
    <row r="7152" spans="3:10" x14ac:dyDescent="0.25">
      <c r="C7152" s="300" t="s">
        <v>1062</v>
      </c>
      <c r="D7152" s="283" t="s">
        <v>1090</v>
      </c>
      <c r="E7152" s="283" t="s">
        <v>1075</v>
      </c>
      <c r="F7152" s="283" t="s">
        <v>524</v>
      </c>
      <c r="G7152" s="283">
        <v>1</v>
      </c>
      <c r="H7152" s="283">
        <v>0</v>
      </c>
      <c r="I7152" s="283">
        <v>0</v>
      </c>
      <c r="J7152" s="284">
        <v>1</v>
      </c>
    </row>
    <row r="7153" spans="3:10" x14ac:dyDescent="0.25">
      <c r="C7153" s="300" t="s">
        <v>1058</v>
      </c>
      <c r="D7153" s="283" t="s">
        <v>1087</v>
      </c>
      <c r="E7153" s="283" t="s">
        <v>1075</v>
      </c>
      <c r="F7153" s="283" t="s">
        <v>524</v>
      </c>
      <c r="G7153" s="283">
        <v>1</v>
      </c>
      <c r="H7153" s="283">
        <v>0</v>
      </c>
      <c r="I7153" s="283">
        <v>0</v>
      </c>
      <c r="J7153" s="284">
        <v>0</v>
      </c>
    </row>
    <row r="7154" spans="3:10" x14ac:dyDescent="0.25">
      <c r="C7154" s="300" t="s">
        <v>1063</v>
      </c>
      <c r="D7154" s="283" t="s">
        <v>1079</v>
      </c>
      <c r="E7154" s="283" t="s">
        <v>1075</v>
      </c>
      <c r="F7154" s="283" t="s">
        <v>1083</v>
      </c>
      <c r="G7154" s="283">
        <v>2</v>
      </c>
      <c r="H7154" s="283">
        <v>0</v>
      </c>
      <c r="I7154" s="283">
        <v>0</v>
      </c>
      <c r="J7154" s="284">
        <v>1</v>
      </c>
    </row>
    <row r="7155" spans="3:10" x14ac:dyDescent="0.25">
      <c r="C7155" s="300" t="s">
        <v>1059</v>
      </c>
      <c r="D7155" s="283" t="s">
        <v>1077</v>
      </c>
      <c r="E7155" s="283" t="s">
        <v>1086</v>
      </c>
      <c r="F7155" s="283" t="s">
        <v>1044</v>
      </c>
      <c r="G7155" s="283">
        <v>2</v>
      </c>
      <c r="H7155" s="283">
        <v>0</v>
      </c>
      <c r="I7155" s="283">
        <v>0</v>
      </c>
      <c r="J7155" s="284">
        <v>0</v>
      </c>
    </row>
    <row r="7156" spans="3:10" x14ac:dyDescent="0.25">
      <c r="C7156" s="300" t="s">
        <v>1064</v>
      </c>
      <c r="D7156" s="283" t="s">
        <v>1074</v>
      </c>
      <c r="E7156" s="283" t="s">
        <v>1078</v>
      </c>
      <c r="F7156" s="283" t="s">
        <v>1075</v>
      </c>
      <c r="G7156" s="283">
        <v>2</v>
      </c>
      <c r="H7156" s="283">
        <v>0</v>
      </c>
      <c r="I7156" s="283">
        <v>0</v>
      </c>
      <c r="J7156" s="284">
        <v>1</v>
      </c>
    </row>
    <row r="7157" spans="3:10" x14ac:dyDescent="0.25">
      <c r="C7157" s="300" t="s">
        <v>1065</v>
      </c>
      <c r="D7157" s="283" t="s">
        <v>1079</v>
      </c>
      <c r="E7157" s="283" t="s">
        <v>1075</v>
      </c>
      <c r="F7157" s="283" t="s">
        <v>1089</v>
      </c>
      <c r="G7157" s="283">
        <v>2</v>
      </c>
      <c r="H7157" s="283">
        <v>0</v>
      </c>
      <c r="I7157" s="283">
        <v>0</v>
      </c>
      <c r="J7157" s="284">
        <v>1</v>
      </c>
    </row>
    <row r="7158" spans="3:10" x14ac:dyDescent="0.25">
      <c r="C7158" s="300" t="s">
        <v>1064</v>
      </c>
      <c r="D7158" s="283" t="s">
        <v>1074</v>
      </c>
      <c r="E7158" s="283" t="s">
        <v>1089</v>
      </c>
      <c r="F7158" s="283" t="s">
        <v>1075</v>
      </c>
      <c r="G7158" s="283">
        <v>2</v>
      </c>
      <c r="H7158" s="283">
        <v>0</v>
      </c>
      <c r="I7158" s="283">
        <v>0</v>
      </c>
      <c r="J7158" s="284">
        <v>0</v>
      </c>
    </row>
    <row r="7159" spans="3:10" x14ac:dyDescent="0.25">
      <c r="C7159" s="300" t="s">
        <v>1065</v>
      </c>
      <c r="D7159" s="283" t="s">
        <v>1079</v>
      </c>
      <c r="E7159" s="283" t="s">
        <v>1044</v>
      </c>
      <c r="F7159" s="283" t="s">
        <v>1075</v>
      </c>
      <c r="G7159" s="283">
        <v>2</v>
      </c>
      <c r="H7159" s="283">
        <v>0</v>
      </c>
      <c r="I7159" s="283">
        <v>0</v>
      </c>
      <c r="J7159" s="284">
        <v>1</v>
      </c>
    </row>
    <row r="7160" spans="3:10" x14ac:dyDescent="0.25">
      <c r="C7160" s="300" t="s">
        <v>1062</v>
      </c>
      <c r="D7160" s="283" t="s">
        <v>1079</v>
      </c>
      <c r="E7160" s="283" t="s">
        <v>1084</v>
      </c>
      <c r="F7160" s="283" t="s">
        <v>1084</v>
      </c>
      <c r="G7160" s="283">
        <v>2</v>
      </c>
      <c r="H7160" s="283">
        <v>0</v>
      </c>
      <c r="I7160" s="283">
        <v>0</v>
      </c>
      <c r="J7160" s="284">
        <v>0</v>
      </c>
    </row>
    <row r="7161" spans="3:10" x14ac:dyDescent="0.25">
      <c r="C7161" s="300" t="s">
        <v>1063</v>
      </c>
      <c r="D7161" s="283" t="s">
        <v>1077</v>
      </c>
      <c r="E7161" s="283" t="s">
        <v>1075</v>
      </c>
      <c r="F7161" s="283" t="s">
        <v>1076</v>
      </c>
      <c r="G7161" s="283">
        <v>2</v>
      </c>
      <c r="H7161" s="283">
        <v>0</v>
      </c>
      <c r="I7161" s="283">
        <v>0</v>
      </c>
      <c r="J7161" s="284">
        <v>1</v>
      </c>
    </row>
    <row r="7162" spans="3:10" x14ac:dyDescent="0.25">
      <c r="C7162" s="300" t="s">
        <v>1061</v>
      </c>
      <c r="D7162" s="283" t="s">
        <v>1090</v>
      </c>
      <c r="E7162" s="283" t="s">
        <v>1075</v>
      </c>
      <c r="F7162" s="283" t="s">
        <v>524</v>
      </c>
      <c r="G7162" s="283">
        <v>1</v>
      </c>
      <c r="H7162" s="283">
        <v>0</v>
      </c>
      <c r="I7162" s="283">
        <v>0</v>
      </c>
      <c r="J7162" s="284">
        <v>0</v>
      </c>
    </row>
    <row r="7163" spans="3:10" x14ac:dyDescent="0.25">
      <c r="C7163" s="300" t="s">
        <v>1060</v>
      </c>
      <c r="D7163" s="283" t="s">
        <v>1077</v>
      </c>
      <c r="E7163" s="283" t="s">
        <v>1075</v>
      </c>
      <c r="F7163" s="283" t="s">
        <v>1075</v>
      </c>
      <c r="G7163" s="283">
        <v>3</v>
      </c>
      <c r="H7163" s="283">
        <v>0</v>
      </c>
      <c r="I7163" s="283">
        <v>1</v>
      </c>
      <c r="J7163" s="284">
        <v>1</v>
      </c>
    </row>
    <row r="7164" spans="3:10" x14ac:dyDescent="0.25">
      <c r="C7164" s="300" t="s">
        <v>1063</v>
      </c>
      <c r="D7164" s="283" t="s">
        <v>1077</v>
      </c>
      <c r="E7164" s="283" t="s">
        <v>1089</v>
      </c>
      <c r="F7164" s="283" t="s">
        <v>1075</v>
      </c>
      <c r="G7164" s="283">
        <v>2</v>
      </c>
      <c r="H7164" s="283">
        <v>0</v>
      </c>
      <c r="I7164" s="283">
        <v>0</v>
      </c>
      <c r="J7164" s="284">
        <v>0</v>
      </c>
    </row>
    <row r="7165" spans="3:10" x14ac:dyDescent="0.25">
      <c r="C7165" s="300" t="s">
        <v>1064</v>
      </c>
      <c r="D7165" s="283" t="s">
        <v>1079</v>
      </c>
      <c r="E7165" s="283" t="s">
        <v>1081</v>
      </c>
      <c r="F7165" s="283" t="s">
        <v>1089</v>
      </c>
      <c r="G7165" s="283">
        <v>3</v>
      </c>
      <c r="H7165" s="283">
        <v>0</v>
      </c>
      <c r="I7165" s="283">
        <v>0</v>
      </c>
      <c r="J7165" s="284">
        <v>2</v>
      </c>
    </row>
    <row r="7166" spans="3:10" x14ac:dyDescent="0.25">
      <c r="C7166" s="300" t="s">
        <v>1062</v>
      </c>
      <c r="D7166" s="283" t="s">
        <v>1074</v>
      </c>
      <c r="E7166" s="283" t="s">
        <v>1078</v>
      </c>
      <c r="F7166" s="283" t="s">
        <v>1099</v>
      </c>
      <c r="G7166" s="283">
        <v>2</v>
      </c>
      <c r="H7166" s="283">
        <v>0</v>
      </c>
      <c r="I7166" s="283">
        <v>1</v>
      </c>
      <c r="J7166" s="284">
        <v>6</v>
      </c>
    </row>
    <row r="7167" spans="3:10" x14ac:dyDescent="0.25">
      <c r="C7167" s="300" t="s">
        <v>1061</v>
      </c>
      <c r="D7167" s="283" t="s">
        <v>1087</v>
      </c>
      <c r="E7167" s="283" t="s">
        <v>1075</v>
      </c>
      <c r="F7167" s="283" t="s">
        <v>524</v>
      </c>
      <c r="G7167" s="283">
        <v>1</v>
      </c>
      <c r="H7167" s="283">
        <v>0</v>
      </c>
      <c r="I7167" s="283">
        <v>0</v>
      </c>
      <c r="J7167" s="284">
        <v>0</v>
      </c>
    </row>
    <row r="7168" spans="3:10" x14ac:dyDescent="0.25">
      <c r="C7168" s="300" t="s">
        <v>1063</v>
      </c>
      <c r="D7168" s="283" t="s">
        <v>1079</v>
      </c>
      <c r="E7168" s="283" t="s">
        <v>1083</v>
      </c>
      <c r="F7168" s="283" t="s">
        <v>1078</v>
      </c>
      <c r="G7168" s="283">
        <v>2</v>
      </c>
      <c r="H7168" s="283">
        <v>0</v>
      </c>
      <c r="I7168" s="283">
        <v>1</v>
      </c>
      <c r="J7168" s="284">
        <v>0</v>
      </c>
    </row>
    <row r="7169" spans="3:10" x14ac:dyDescent="0.25">
      <c r="C7169" s="300" t="s">
        <v>1063</v>
      </c>
      <c r="D7169" s="283" t="s">
        <v>1079</v>
      </c>
      <c r="E7169" s="283" t="s">
        <v>1076</v>
      </c>
      <c r="F7169" s="283" t="s">
        <v>1075</v>
      </c>
      <c r="G7169" s="283">
        <v>2</v>
      </c>
      <c r="H7169" s="283">
        <v>0</v>
      </c>
      <c r="I7169" s="283">
        <v>1</v>
      </c>
      <c r="J7169" s="284">
        <v>0</v>
      </c>
    </row>
    <row r="7170" spans="3:10" x14ac:dyDescent="0.25">
      <c r="C7170" s="300" t="s">
        <v>1065</v>
      </c>
      <c r="D7170" s="283" t="s">
        <v>1079</v>
      </c>
      <c r="E7170" s="283" t="s">
        <v>1083</v>
      </c>
      <c r="F7170" s="283" t="s">
        <v>1078</v>
      </c>
      <c r="G7170" s="283">
        <v>3</v>
      </c>
      <c r="H7170" s="283">
        <v>0</v>
      </c>
      <c r="I7170" s="283">
        <v>1</v>
      </c>
      <c r="J7170" s="284">
        <v>2</v>
      </c>
    </row>
    <row r="7171" spans="3:10" x14ac:dyDescent="0.25">
      <c r="C7171" s="300" t="s">
        <v>1060</v>
      </c>
      <c r="D7171" s="283" t="s">
        <v>1074</v>
      </c>
      <c r="E7171" s="283" t="s">
        <v>1076</v>
      </c>
      <c r="F7171" s="283" t="s">
        <v>1075</v>
      </c>
      <c r="G7171" s="283">
        <v>2</v>
      </c>
      <c r="H7171" s="283">
        <v>0</v>
      </c>
      <c r="I7171" s="283">
        <v>0</v>
      </c>
      <c r="J7171" s="284">
        <v>0</v>
      </c>
    </row>
    <row r="7172" spans="3:10" x14ac:dyDescent="0.25">
      <c r="C7172" s="300" t="s">
        <v>1065</v>
      </c>
      <c r="D7172" s="283" t="s">
        <v>1077</v>
      </c>
      <c r="E7172" s="283" t="s">
        <v>1076</v>
      </c>
      <c r="F7172" s="283" t="s">
        <v>1075</v>
      </c>
      <c r="G7172" s="283">
        <v>3</v>
      </c>
      <c r="H7172" s="283">
        <v>0</v>
      </c>
      <c r="I7172" s="283">
        <v>0</v>
      </c>
      <c r="J7172" s="284">
        <v>0</v>
      </c>
    </row>
    <row r="7173" spans="3:10" x14ac:dyDescent="0.25">
      <c r="C7173" s="300" t="s">
        <v>1064</v>
      </c>
      <c r="D7173" s="283" t="s">
        <v>1079</v>
      </c>
      <c r="E7173" s="283" t="s">
        <v>1083</v>
      </c>
      <c r="F7173" s="283" t="s">
        <v>1075</v>
      </c>
      <c r="G7173" s="283">
        <v>2</v>
      </c>
      <c r="H7173" s="283">
        <v>0</v>
      </c>
      <c r="I7173" s="283">
        <v>1</v>
      </c>
      <c r="J7173" s="284">
        <v>0</v>
      </c>
    </row>
    <row r="7174" spans="3:10" x14ac:dyDescent="0.25">
      <c r="C7174" s="300" t="s">
        <v>1060</v>
      </c>
      <c r="D7174" s="283" t="s">
        <v>1082</v>
      </c>
      <c r="E7174" s="283" t="s">
        <v>1075</v>
      </c>
      <c r="F7174" s="283" t="s">
        <v>1075</v>
      </c>
      <c r="G7174" s="283">
        <v>2</v>
      </c>
      <c r="H7174" s="283">
        <v>0</v>
      </c>
      <c r="I7174" s="283">
        <v>1</v>
      </c>
      <c r="J7174" s="284">
        <v>0</v>
      </c>
    </row>
    <row r="7175" spans="3:10" x14ac:dyDescent="0.25">
      <c r="C7175" s="300" t="s">
        <v>1060</v>
      </c>
      <c r="D7175" s="283" t="s">
        <v>1043</v>
      </c>
      <c r="E7175" s="283" t="s">
        <v>1076</v>
      </c>
      <c r="F7175" s="283" t="s">
        <v>1092</v>
      </c>
      <c r="G7175" s="283">
        <v>2</v>
      </c>
      <c r="H7175" s="283">
        <v>0</v>
      </c>
      <c r="I7175" s="283">
        <v>1</v>
      </c>
      <c r="J7175" s="284">
        <v>0</v>
      </c>
    </row>
    <row r="7176" spans="3:10" x14ac:dyDescent="0.25">
      <c r="C7176" s="300" t="s">
        <v>1061</v>
      </c>
      <c r="D7176" s="283" t="s">
        <v>1077</v>
      </c>
      <c r="E7176" s="283" t="s">
        <v>1075</v>
      </c>
      <c r="F7176" s="283" t="s">
        <v>1075</v>
      </c>
      <c r="G7176" s="283">
        <v>2</v>
      </c>
      <c r="H7176" s="283">
        <v>0</v>
      </c>
      <c r="I7176" s="283">
        <v>1</v>
      </c>
      <c r="J7176" s="284">
        <v>1</v>
      </c>
    </row>
    <row r="7177" spans="3:10" x14ac:dyDescent="0.25">
      <c r="C7177" s="300" t="s">
        <v>1062</v>
      </c>
      <c r="D7177" s="283" t="s">
        <v>1090</v>
      </c>
      <c r="E7177" s="283" t="s">
        <v>1083</v>
      </c>
      <c r="F7177" s="283" t="s">
        <v>524</v>
      </c>
      <c r="G7177" s="283">
        <v>1</v>
      </c>
      <c r="H7177" s="283">
        <v>0</v>
      </c>
      <c r="I7177" s="283">
        <v>0</v>
      </c>
      <c r="J7177" s="284">
        <v>1</v>
      </c>
    </row>
    <row r="7178" spans="3:10" x14ac:dyDescent="0.25">
      <c r="C7178" s="300" t="s">
        <v>1066</v>
      </c>
      <c r="D7178" s="283" t="s">
        <v>1087</v>
      </c>
      <c r="E7178" s="283" t="s">
        <v>1075</v>
      </c>
      <c r="F7178" s="283" t="s">
        <v>524</v>
      </c>
      <c r="G7178" s="283">
        <v>1</v>
      </c>
      <c r="H7178" s="283">
        <v>0</v>
      </c>
      <c r="I7178" s="283">
        <v>1</v>
      </c>
      <c r="J7178" s="284">
        <v>1</v>
      </c>
    </row>
    <row r="7179" spans="3:10" x14ac:dyDescent="0.25">
      <c r="C7179" s="300" t="s">
        <v>1066</v>
      </c>
      <c r="D7179" s="283" t="s">
        <v>1074</v>
      </c>
      <c r="E7179" s="283" t="s">
        <v>1075</v>
      </c>
      <c r="F7179" s="283" t="s">
        <v>1044</v>
      </c>
      <c r="G7179" s="283">
        <v>2</v>
      </c>
      <c r="H7179" s="283">
        <v>0</v>
      </c>
      <c r="I7179" s="283">
        <v>0</v>
      </c>
      <c r="J7179" s="284">
        <v>1</v>
      </c>
    </row>
    <row r="7180" spans="3:10" x14ac:dyDescent="0.25">
      <c r="C7180" s="300" t="s">
        <v>1066</v>
      </c>
      <c r="D7180" s="283" t="s">
        <v>1087</v>
      </c>
      <c r="E7180" s="283" t="s">
        <v>1076</v>
      </c>
      <c r="F7180" s="283" t="s">
        <v>524</v>
      </c>
      <c r="G7180" s="283">
        <v>1</v>
      </c>
      <c r="H7180" s="283">
        <v>0</v>
      </c>
      <c r="I7180" s="283">
        <v>1</v>
      </c>
      <c r="J7180" s="284">
        <v>0</v>
      </c>
    </row>
    <row r="7181" spans="3:10" x14ac:dyDescent="0.25">
      <c r="C7181" s="300" t="s">
        <v>1065</v>
      </c>
      <c r="D7181" s="283" t="s">
        <v>1077</v>
      </c>
      <c r="E7181" s="283" t="s">
        <v>1075</v>
      </c>
      <c r="F7181" s="283" t="s">
        <v>1076</v>
      </c>
      <c r="G7181" s="283">
        <v>2</v>
      </c>
      <c r="H7181" s="283">
        <v>0</v>
      </c>
      <c r="I7181" s="283">
        <v>0</v>
      </c>
      <c r="J7181" s="284">
        <v>0</v>
      </c>
    </row>
    <row r="7182" spans="3:10" x14ac:dyDescent="0.25">
      <c r="C7182" s="300" t="s">
        <v>1064</v>
      </c>
      <c r="D7182" s="283" t="s">
        <v>1077</v>
      </c>
      <c r="E7182" s="283" t="s">
        <v>1076</v>
      </c>
      <c r="F7182" s="283" t="s">
        <v>1075</v>
      </c>
      <c r="G7182" s="283">
        <v>3</v>
      </c>
      <c r="H7182" s="283">
        <v>0</v>
      </c>
      <c r="I7182" s="283">
        <v>1</v>
      </c>
      <c r="J7182" s="284">
        <v>0</v>
      </c>
    </row>
    <row r="7183" spans="3:10" x14ac:dyDescent="0.25">
      <c r="C7183" s="300" t="s">
        <v>1060</v>
      </c>
      <c r="D7183" s="283" t="s">
        <v>1082</v>
      </c>
      <c r="E7183" s="283" t="s">
        <v>1075</v>
      </c>
      <c r="F7183" s="283" t="s">
        <v>1075</v>
      </c>
      <c r="G7183" s="283">
        <v>2</v>
      </c>
      <c r="H7183" s="283">
        <v>0</v>
      </c>
      <c r="I7183" s="283">
        <v>0</v>
      </c>
      <c r="J7183" s="284">
        <v>0</v>
      </c>
    </row>
    <row r="7184" spans="3:10" x14ac:dyDescent="0.25">
      <c r="C7184" s="300" t="s">
        <v>1065</v>
      </c>
      <c r="D7184" s="283" t="s">
        <v>1077</v>
      </c>
      <c r="E7184" s="283" t="s">
        <v>1075</v>
      </c>
      <c r="F7184" s="283" t="s">
        <v>1075</v>
      </c>
      <c r="G7184" s="283">
        <v>2</v>
      </c>
      <c r="H7184" s="283">
        <v>0</v>
      </c>
      <c r="I7184" s="283">
        <v>0</v>
      </c>
      <c r="J7184" s="284">
        <v>0</v>
      </c>
    </row>
    <row r="7185" spans="3:10" x14ac:dyDescent="0.25">
      <c r="C7185" s="300" t="s">
        <v>1061</v>
      </c>
      <c r="D7185" s="283" t="s">
        <v>1077</v>
      </c>
      <c r="E7185" s="283" t="s">
        <v>1075</v>
      </c>
      <c r="F7185" s="283" t="s">
        <v>1075</v>
      </c>
      <c r="G7185" s="283">
        <v>3</v>
      </c>
      <c r="H7185" s="283">
        <v>0</v>
      </c>
      <c r="I7185" s="283">
        <v>0</v>
      </c>
      <c r="J7185" s="284">
        <v>1</v>
      </c>
    </row>
    <row r="7186" spans="3:10" x14ac:dyDescent="0.25">
      <c r="C7186" s="300" t="s">
        <v>1059</v>
      </c>
      <c r="D7186" s="283" t="s">
        <v>1043</v>
      </c>
      <c r="E7186" s="283" t="s">
        <v>1075</v>
      </c>
      <c r="F7186" s="283" t="s">
        <v>1092</v>
      </c>
      <c r="G7186" s="283">
        <v>2</v>
      </c>
      <c r="H7186" s="283">
        <v>0</v>
      </c>
      <c r="I7186" s="283">
        <v>1</v>
      </c>
      <c r="J7186" s="284">
        <v>0</v>
      </c>
    </row>
    <row r="7187" spans="3:10" x14ac:dyDescent="0.25">
      <c r="C7187" s="300" t="s">
        <v>1061</v>
      </c>
      <c r="D7187" s="283" t="s">
        <v>1079</v>
      </c>
      <c r="E7187" s="283" t="s">
        <v>1075</v>
      </c>
      <c r="F7187" s="283" t="s">
        <v>1044</v>
      </c>
      <c r="G7187" s="283">
        <v>2</v>
      </c>
      <c r="H7187" s="283">
        <v>0</v>
      </c>
      <c r="I7187" s="283">
        <v>0</v>
      </c>
      <c r="J7187" s="284">
        <v>1</v>
      </c>
    </row>
    <row r="7188" spans="3:10" x14ac:dyDescent="0.25">
      <c r="C7188" s="300" t="s">
        <v>1063</v>
      </c>
      <c r="D7188" s="283" t="s">
        <v>1074</v>
      </c>
      <c r="E7188" s="283" t="s">
        <v>1084</v>
      </c>
      <c r="F7188" s="283" t="s">
        <v>1044</v>
      </c>
      <c r="G7188" s="283">
        <v>2</v>
      </c>
      <c r="H7188" s="283">
        <v>0</v>
      </c>
      <c r="I7188" s="283">
        <v>0</v>
      </c>
      <c r="J7188" s="284">
        <v>0</v>
      </c>
    </row>
    <row r="7189" spans="3:10" x14ac:dyDescent="0.25">
      <c r="C7189" s="300" t="s">
        <v>1064</v>
      </c>
      <c r="D7189" s="283" t="s">
        <v>1043</v>
      </c>
      <c r="E7189" s="283" t="s">
        <v>1075</v>
      </c>
      <c r="F7189" s="283" t="s">
        <v>1092</v>
      </c>
      <c r="G7189" s="283">
        <v>2</v>
      </c>
      <c r="H7189" s="283">
        <v>0</v>
      </c>
      <c r="I7189" s="283">
        <v>0</v>
      </c>
      <c r="J7189" s="284">
        <v>1</v>
      </c>
    </row>
    <row r="7190" spans="3:10" x14ac:dyDescent="0.25">
      <c r="C7190" s="300" t="s">
        <v>1065</v>
      </c>
      <c r="D7190" s="283" t="s">
        <v>1082</v>
      </c>
      <c r="E7190" s="283" t="s">
        <v>1083</v>
      </c>
      <c r="F7190" s="283" t="s">
        <v>1089</v>
      </c>
      <c r="G7190" s="283">
        <v>2</v>
      </c>
      <c r="H7190" s="283">
        <v>0</v>
      </c>
      <c r="I7190" s="283">
        <v>0</v>
      </c>
      <c r="J7190" s="284">
        <v>0</v>
      </c>
    </row>
    <row r="7191" spans="3:10" x14ac:dyDescent="0.25">
      <c r="C7191" s="300" t="s">
        <v>1066</v>
      </c>
      <c r="D7191" s="283" t="s">
        <v>1079</v>
      </c>
      <c r="E7191" s="283" t="s">
        <v>1075</v>
      </c>
      <c r="F7191" s="283" t="s">
        <v>1075</v>
      </c>
      <c r="G7191" s="283">
        <v>2</v>
      </c>
      <c r="H7191" s="283">
        <v>0</v>
      </c>
      <c r="I7191" s="283">
        <v>0</v>
      </c>
      <c r="J7191" s="284">
        <v>0</v>
      </c>
    </row>
    <row r="7192" spans="3:10" x14ac:dyDescent="0.25">
      <c r="C7192" s="300" t="s">
        <v>1064</v>
      </c>
      <c r="D7192" s="283" t="s">
        <v>1077</v>
      </c>
      <c r="E7192" s="283" t="s">
        <v>1076</v>
      </c>
      <c r="F7192" s="283" t="s">
        <v>1044</v>
      </c>
      <c r="G7192" s="283">
        <v>2</v>
      </c>
      <c r="H7192" s="283">
        <v>0</v>
      </c>
      <c r="I7192" s="283">
        <v>1</v>
      </c>
      <c r="J7192" s="284">
        <v>0</v>
      </c>
    </row>
    <row r="7193" spans="3:10" x14ac:dyDescent="0.25">
      <c r="C7193" s="300" t="s">
        <v>1066</v>
      </c>
      <c r="D7193" s="283" t="s">
        <v>1079</v>
      </c>
      <c r="E7193" s="283" t="s">
        <v>1076</v>
      </c>
      <c r="F7193" s="283" t="s">
        <v>1109</v>
      </c>
      <c r="G7193" s="283">
        <v>2</v>
      </c>
      <c r="H7193" s="283">
        <v>0</v>
      </c>
      <c r="I7193" s="283">
        <v>0</v>
      </c>
      <c r="J7193" s="284">
        <v>0</v>
      </c>
    </row>
    <row r="7194" spans="3:10" x14ac:dyDescent="0.25">
      <c r="C7194" s="300" t="s">
        <v>1065</v>
      </c>
      <c r="D7194" s="283" t="s">
        <v>1077</v>
      </c>
      <c r="E7194" s="283" t="s">
        <v>1089</v>
      </c>
      <c r="F7194" s="283" t="s">
        <v>1089</v>
      </c>
      <c r="G7194" s="283">
        <v>3</v>
      </c>
      <c r="H7194" s="283">
        <v>0</v>
      </c>
      <c r="I7194" s="283">
        <v>1</v>
      </c>
      <c r="J7194" s="284">
        <v>1</v>
      </c>
    </row>
    <row r="7195" spans="3:10" x14ac:dyDescent="0.25">
      <c r="C7195" s="300" t="s">
        <v>1064</v>
      </c>
      <c r="D7195" s="283" t="s">
        <v>1087</v>
      </c>
      <c r="E7195" s="283" t="s">
        <v>1075</v>
      </c>
      <c r="F7195" s="283" t="s">
        <v>524</v>
      </c>
      <c r="G7195" s="283">
        <v>1</v>
      </c>
      <c r="H7195" s="283">
        <v>0</v>
      </c>
      <c r="I7195" s="283">
        <v>1</v>
      </c>
      <c r="J7195" s="284">
        <v>0</v>
      </c>
    </row>
    <row r="7196" spans="3:10" x14ac:dyDescent="0.25">
      <c r="C7196" s="300" t="s">
        <v>1062</v>
      </c>
      <c r="D7196" s="283" t="s">
        <v>1079</v>
      </c>
      <c r="E7196" s="283" t="s">
        <v>1075</v>
      </c>
      <c r="F7196" s="283" t="s">
        <v>1075</v>
      </c>
      <c r="G7196" s="283">
        <v>2</v>
      </c>
      <c r="H7196" s="283">
        <v>0</v>
      </c>
      <c r="I7196" s="283">
        <v>0</v>
      </c>
      <c r="J7196" s="284">
        <v>1</v>
      </c>
    </row>
    <row r="7197" spans="3:10" x14ac:dyDescent="0.25">
      <c r="C7197" s="300" t="s">
        <v>1065</v>
      </c>
      <c r="D7197" s="283" t="s">
        <v>1077</v>
      </c>
      <c r="E7197" s="283" t="s">
        <v>1075</v>
      </c>
      <c r="F7197" s="283" t="s">
        <v>1089</v>
      </c>
      <c r="G7197" s="283">
        <v>2</v>
      </c>
      <c r="H7197" s="283">
        <v>0</v>
      </c>
      <c r="I7197" s="283">
        <v>0</v>
      </c>
      <c r="J7197" s="284">
        <v>0</v>
      </c>
    </row>
    <row r="7198" spans="3:10" x14ac:dyDescent="0.25">
      <c r="C7198" s="300" t="s">
        <v>1061</v>
      </c>
      <c r="D7198" s="283" t="s">
        <v>1087</v>
      </c>
      <c r="E7198" s="283" t="s">
        <v>1084</v>
      </c>
      <c r="F7198" s="283" t="s">
        <v>524</v>
      </c>
      <c r="G7198" s="283">
        <v>1</v>
      </c>
      <c r="H7198" s="283">
        <v>0</v>
      </c>
      <c r="I7198" s="283">
        <v>0</v>
      </c>
      <c r="J7198" s="284">
        <v>0</v>
      </c>
    </row>
    <row r="7199" spans="3:10" x14ac:dyDescent="0.25">
      <c r="C7199" s="300" t="s">
        <v>1065</v>
      </c>
      <c r="D7199" s="283" t="s">
        <v>1074</v>
      </c>
      <c r="E7199" s="283" t="s">
        <v>1089</v>
      </c>
      <c r="F7199" s="283" t="s">
        <v>1075</v>
      </c>
      <c r="G7199" s="283">
        <v>2</v>
      </c>
      <c r="H7199" s="283">
        <v>0</v>
      </c>
      <c r="I7199" s="283">
        <v>0</v>
      </c>
      <c r="J7199" s="284">
        <v>1</v>
      </c>
    </row>
    <row r="7200" spans="3:10" x14ac:dyDescent="0.25">
      <c r="C7200" s="300" t="s">
        <v>1061</v>
      </c>
      <c r="D7200" s="283" t="s">
        <v>1087</v>
      </c>
      <c r="E7200" s="283" t="s">
        <v>1076</v>
      </c>
      <c r="F7200" s="283" t="s">
        <v>524</v>
      </c>
      <c r="G7200" s="283">
        <v>1</v>
      </c>
      <c r="H7200" s="283">
        <v>0</v>
      </c>
      <c r="I7200" s="283">
        <v>0</v>
      </c>
      <c r="J7200" s="284">
        <v>1</v>
      </c>
    </row>
    <row r="7201" spans="3:10" x14ac:dyDescent="0.25">
      <c r="C7201" s="300" t="s">
        <v>1058</v>
      </c>
      <c r="D7201" s="283" t="s">
        <v>1087</v>
      </c>
      <c r="E7201" s="283" t="s">
        <v>1075</v>
      </c>
      <c r="F7201" s="283" t="s">
        <v>524</v>
      </c>
      <c r="G7201" s="283">
        <v>1</v>
      </c>
      <c r="H7201" s="283">
        <v>0</v>
      </c>
      <c r="I7201" s="283">
        <v>0</v>
      </c>
      <c r="J7201" s="284">
        <v>0</v>
      </c>
    </row>
    <row r="7202" spans="3:10" x14ac:dyDescent="0.25">
      <c r="C7202" s="300" t="s">
        <v>1064</v>
      </c>
      <c r="D7202" s="283" t="s">
        <v>1077</v>
      </c>
      <c r="E7202" s="283" t="s">
        <v>1084</v>
      </c>
      <c r="F7202" s="283" t="s">
        <v>1088</v>
      </c>
      <c r="G7202" s="283">
        <v>2</v>
      </c>
      <c r="H7202" s="283">
        <v>0</v>
      </c>
      <c r="I7202" s="283">
        <v>0</v>
      </c>
      <c r="J7202" s="284">
        <v>0</v>
      </c>
    </row>
    <row r="7203" spans="3:10" x14ac:dyDescent="0.25">
      <c r="C7203" s="300" t="s">
        <v>1059</v>
      </c>
      <c r="D7203" s="283" t="s">
        <v>1096</v>
      </c>
      <c r="E7203" s="283" t="s">
        <v>1083</v>
      </c>
      <c r="F7203" s="283" t="s">
        <v>524</v>
      </c>
      <c r="G7203" s="283">
        <v>1</v>
      </c>
      <c r="H7203" s="283">
        <v>0</v>
      </c>
      <c r="I7203" s="283">
        <v>0</v>
      </c>
      <c r="J7203" s="284">
        <v>0</v>
      </c>
    </row>
    <row r="7204" spans="3:10" x14ac:dyDescent="0.25">
      <c r="C7204" s="300" t="s">
        <v>1068</v>
      </c>
      <c r="D7204" s="283" t="s">
        <v>1077</v>
      </c>
      <c r="E7204" s="283" t="s">
        <v>1076</v>
      </c>
      <c r="F7204" s="283" t="s">
        <v>1093</v>
      </c>
      <c r="G7204" s="283">
        <v>3</v>
      </c>
      <c r="H7204" s="283">
        <v>0</v>
      </c>
      <c r="I7204" s="283">
        <v>1</v>
      </c>
      <c r="J7204" s="284">
        <v>1</v>
      </c>
    </row>
    <row r="7205" spans="3:10" x14ac:dyDescent="0.25">
      <c r="C7205" s="300" t="s">
        <v>1065</v>
      </c>
      <c r="D7205" s="283" t="s">
        <v>1077</v>
      </c>
      <c r="E7205" s="283" t="s">
        <v>1075</v>
      </c>
      <c r="F7205" s="283" t="s">
        <v>1075</v>
      </c>
      <c r="G7205" s="283">
        <v>2</v>
      </c>
      <c r="H7205" s="283">
        <v>0</v>
      </c>
      <c r="I7205" s="283">
        <v>0</v>
      </c>
      <c r="J7205" s="284">
        <v>1</v>
      </c>
    </row>
    <row r="7206" spans="3:10" x14ac:dyDescent="0.25">
      <c r="C7206" s="300" t="s">
        <v>1066</v>
      </c>
      <c r="D7206" s="283" t="s">
        <v>1087</v>
      </c>
      <c r="E7206" s="283" t="s">
        <v>1084</v>
      </c>
      <c r="F7206" s="283" t="s">
        <v>524</v>
      </c>
      <c r="G7206" s="283">
        <v>1</v>
      </c>
      <c r="H7206" s="283">
        <v>0</v>
      </c>
      <c r="I7206" s="283">
        <v>1</v>
      </c>
      <c r="J7206" s="284">
        <v>0</v>
      </c>
    </row>
    <row r="7207" spans="3:10" x14ac:dyDescent="0.25">
      <c r="C7207" s="300" t="s">
        <v>1064</v>
      </c>
      <c r="D7207" s="283" t="s">
        <v>1043</v>
      </c>
      <c r="E7207" s="283" t="s">
        <v>1075</v>
      </c>
      <c r="F7207" s="283" t="s">
        <v>1092</v>
      </c>
      <c r="G7207" s="283">
        <v>2</v>
      </c>
      <c r="H7207" s="283">
        <v>0</v>
      </c>
      <c r="I7207" s="283">
        <v>1</v>
      </c>
      <c r="J7207" s="284">
        <v>0</v>
      </c>
    </row>
    <row r="7208" spans="3:10" x14ac:dyDescent="0.25">
      <c r="C7208" s="300" t="s">
        <v>1065</v>
      </c>
      <c r="D7208" s="283" t="s">
        <v>1043</v>
      </c>
      <c r="E7208" s="283" t="s">
        <v>1075</v>
      </c>
      <c r="F7208" s="283" t="s">
        <v>1092</v>
      </c>
      <c r="G7208" s="283">
        <v>2</v>
      </c>
      <c r="H7208" s="283">
        <v>0</v>
      </c>
      <c r="I7208" s="283">
        <v>1</v>
      </c>
      <c r="J7208" s="284">
        <v>0</v>
      </c>
    </row>
    <row r="7209" spans="3:10" x14ac:dyDescent="0.25">
      <c r="C7209" s="300" t="s">
        <v>1067</v>
      </c>
      <c r="D7209" s="283" t="s">
        <v>1082</v>
      </c>
      <c r="E7209" s="283" t="s">
        <v>1076</v>
      </c>
      <c r="F7209" s="283" t="s">
        <v>1075</v>
      </c>
      <c r="G7209" s="283">
        <v>2</v>
      </c>
      <c r="H7209" s="283">
        <v>0</v>
      </c>
      <c r="I7209" s="283">
        <v>0</v>
      </c>
      <c r="J7209" s="284">
        <v>0</v>
      </c>
    </row>
    <row r="7210" spans="3:10" x14ac:dyDescent="0.25">
      <c r="C7210" s="300" t="s">
        <v>1063</v>
      </c>
      <c r="D7210" s="283" t="s">
        <v>1087</v>
      </c>
      <c r="E7210" s="283" t="s">
        <v>1083</v>
      </c>
      <c r="F7210" s="283" t="s">
        <v>524</v>
      </c>
      <c r="G7210" s="283">
        <v>1</v>
      </c>
      <c r="H7210" s="283">
        <v>0</v>
      </c>
      <c r="I7210" s="283">
        <v>0</v>
      </c>
      <c r="J7210" s="284">
        <v>1</v>
      </c>
    </row>
    <row r="7211" spans="3:10" x14ac:dyDescent="0.25">
      <c r="C7211" s="300" t="s">
        <v>1063</v>
      </c>
      <c r="D7211" s="283" t="s">
        <v>1074</v>
      </c>
      <c r="E7211" s="283" t="s">
        <v>1075</v>
      </c>
      <c r="F7211" s="283" t="s">
        <v>1044</v>
      </c>
      <c r="G7211" s="283">
        <v>2</v>
      </c>
      <c r="H7211" s="283">
        <v>0</v>
      </c>
      <c r="I7211" s="283">
        <v>0</v>
      </c>
      <c r="J7211" s="284">
        <v>1</v>
      </c>
    </row>
    <row r="7212" spans="3:10" x14ac:dyDescent="0.25">
      <c r="C7212" s="300" t="s">
        <v>1065</v>
      </c>
      <c r="D7212" s="283" t="s">
        <v>1077</v>
      </c>
      <c r="E7212" s="283" t="s">
        <v>1086</v>
      </c>
      <c r="F7212" s="283" t="s">
        <v>1044</v>
      </c>
      <c r="G7212" s="283">
        <v>2</v>
      </c>
      <c r="H7212" s="283">
        <v>0</v>
      </c>
      <c r="I7212" s="283">
        <v>1</v>
      </c>
      <c r="J7212" s="284">
        <v>0</v>
      </c>
    </row>
    <row r="7213" spans="3:10" x14ac:dyDescent="0.25">
      <c r="C7213" s="300" t="s">
        <v>1062</v>
      </c>
      <c r="D7213" s="283" t="s">
        <v>1074</v>
      </c>
      <c r="E7213" s="283" t="s">
        <v>1075</v>
      </c>
      <c r="F7213" s="283" t="s">
        <v>1089</v>
      </c>
      <c r="G7213" s="283">
        <v>2</v>
      </c>
      <c r="H7213" s="283">
        <v>0</v>
      </c>
      <c r="I7213" s="283">
        <v>0</v>
      </c>
      <c r="J7213" s="284">
        <v>1</v>
      </c>
    </row>
    <row r="7214" spans="3:10" x14ac:dyDescent="0.25">
      <c r="C7214" s="300" t="s">
        <v>1067</v>
      </c>
      <c r="D7214" s="283" t="s">
        <v>1079</v>
      </c>
      <c r="E7214" s="283" t="s">
        <v>1044</v>
      </c>
      <c r="F7214" s="283" t="s">
        <v>1075</v>
      </c>
      <c r="G7214" s="283">
        <v>2</v>
      </c>
      <c r="H7214" s="283">
        <v>0</v>
      </c>
      <c r="I7214" s="283">
        <v>1</v>
      </c>
      <c r="J7214" s="284">
        <v>0</v>
      </c>
    </row>
    <row r="7215" spans="3:10" x14ac:dyDescent="0.25">
      <c r="C7215" s="300" t="s">
        <v>1062</v>
      </c>
      <c r="D7215" s="283" t="s">
        <v>1079</v>
      </c>
      <c r="E7215" s="283" t="s">
        <v>1100</v>
      </c>
      <c r="F7215" s="283" t="s">
        <v>1075</v>
      </c>
      <c r="G7215" s="283">
        <v>2</v>
      </c>
      <c r="H7215" s="283">
        <v>0</v>
      </c>
      <c r="I7215" s="283">
        <v>1</v>
      </c>
      <c r="J7215" s="284">
        <v>0</v>
      </c>
    </row>
    <row r="7216" spans="3:10" x14ac:dyDescent="0.25">
      <c r="C7216" s="300" t="s">
        <v>1063</v>
      </c>
      <c r="D7216" s="283" t="s">
        <v>1087</v>
      </c>
      <c r="E7216" s="283" t="s">
        <v>1075</v>
      </c>
      <c r="F7216" s="283" t="s">
        <v>524</v>
      </c>
      <c r="G7216" s="283">
        <v>1</v>
      </c>
      <c r="H7216" s="283">
        <v>0</v>
      </c>
      <c r="I7216" s="283">
        <v>0</v>
      </c>
      <c r="J7216" s="284">
        <v>0</v>
      </c>
    </row>
    <row r="7217" spans="3:10" x14ac:dyDescent="0.25">
      <c r="C7217" s="300" t="s">
        <v>1063</v>
      </c>
      <c r="D7217" s="283" t="s">
        <v>1106</v>
      </c>
      <c r="E7217" s="283" t="s">
        <v>1075</v>
      </c>
      <c r="F7217" s="283" t="s">
        <v>524</v>
      </c>
      <c r="G7217" s="283">
        <v>1</v>
      </c>
      <c r="H7217" s="283">
        <v>0</v>
      </c>
      <c r="I7217" s="283">
        <v>0</v>
      </c>
      <c r="J7217" s="284">
        <v>0</v>
      </c>
    </row>
    <row r="7218" spans="3:10" x14ac:dyDescent="0.25">
      <c r="C7218" s="300" t="s">
        <v>1060</v>
      </c>
      <c r="D7218" s="283" t="s">
        <v>1079</v>
      </c>
      <c r="E7218" s="283" t="s">
        <v>1084</v>
      </c>
      <c r="F7218" s="283" t="s">
        <v>1075</v>
      </c>
      <c r="G7218" s="283">
        <v>2</v>
      </c>
      <c r="H7218" s="283">
        <v>0</v>
      </c>
      <c r="I7218" s="283">
        <v>0</v>
      </c>
      <c r="J7218" s="284">
        <v>0</v>
      </c>
    </row>
    <row r="7219" spans="3:10" x14ac:dyDescent="0.25">
      <c r="C7219" s="300" t="s">
        <v>1060</v>
      </c>
      <c r="D7219" s="283" t="s">
        <v>1087</v>
      </c>
      <c r="E7219" s="283" t="s">
        <v>1093</v>
      </c>
      <c r="F7219" s="283" t="s">
        <v>524</v>
      </c>
      <c r="G7219" s="283">
        <v>1</v>
      </c>
      <c r="H7219" s="283">
        <v>0</v>
      </c>
      <c r="I7219" s="283">
        <v>0</v>
      </c>
      <c r="J7219" s="284">
        <v>1</v>
      </c>
    </row>
    <row r="7220" spans="3:10" x14ac:dyDescent="0.25">
      <c r="C7220" s="300" t="s">
        <v>1057</v>
      </c>
      <c r="D7220" s="283" t="s">
        <v>1074</v>
      </c>
      <c r="E7220" s="283" t="s">
        <v>1075</v>
      </c>
      <c r="F7220" s="283" t="s">
        <v>1075</v>
      </c>
      <c r="G7220" s="283">
        <v>2</v>
      </c>
      <c r="H7220" s="283">
        <v>0</v>
      </c>
      <c r="I7220" s="283">
        <v>0</v>
      </c>
      <c r="J7220" s="284">
        <v>1</v>
      </c>
    </row>
    <row r="7221" spans="3:10" x14ac:dyDescent="0.25">
      <c r="C7221" s="300" t="s">
        <v>1066</v>
      </c>
      <c r="D7221" s="283" t="s">
        <v>1079</v>
      </c>
      <c r="E7221" s="283" t="s">
        <v>1044</v>
      </c>
      <c r="F7221" s="283" t="s">
        <v>1075</v>
      </c>
      <c r="G7221" s="283">
        <v>2</v>
      </c>
      <c r="H7221" s="283">
        <v>0</v>
      </c>
      <c r="I7221" s="283">
        <v>0</v>
      </c>
      <c r="J7221" s="284">
        <v>1</v>
      </c>
    </row>
    <row r="7222" spans="3:10" x14ac:dyDescent="0.25">
      <c r="C7222" s="300" t="s">
        <v>1060</v>
      </c>
      <c r="D7222" s="283" t="s">
        <v>1043</v>
      </c>
      <c r="E7222" s="283" t="s">
        <v>1078</v>
      </c>
      <c r="F7222" s="283" t="s">
        <v>1092</v>
      </c>
      <c r="G7222" s="283">
        <v>2</v>
      </c>
      <c r="H7222" s="283">
        <v>0</v>
      </c>
      <c r="I7222" s="283">
        <v>1</v>
      </c>
      <c r="J7222" s="284">
        <v>1</v>
      </c>
    </row>
    <row r="7223" spans="3:10" x14ac:dyDescent="0.25">
      <c r="C7223" s="300" t="s">
        <v>1066</v>
      </c>
      <c r="D7223" s="283" t="s">
        <v>1077</v>
      </c>
      <c r="E7223" s="283" t="s">
        <v>1078</v>
      </c>
      <c r="F7223" s="283" t="s">
        <v>1075</v>
      </c>
      <c r="G7223" s="283">
        <v>3</v>
      </c>
      <c r="H7223" s="283">
        <v>0</v>
      </c>
      <c r="I7223" s="283">
        <v>0</v>
      </c>
      <c r="J7223" s="284">
        <v>0</v>
      </c>
    </row>
    <row r="7224" spans="3:10" x14ac:dyDescent="0.25">
      <c r="C7224" s="300" t="s">
        <v>1061</v>
      </c>
      <c r="D7224" s="283" t="s">
        <v>1087</v>
      </c>
      <c r="E7224" s="283" t="s">
        <v>1075</v>
      </c>
      <c r="F7224" s="283" t="s">
        <v>524</v>
      </c>
      <c r="G7224" s="283">
        <v>1</v>
      </c>
      <c r="H7224" s="283">
        <v>0</v>
      </c>
      <c r="I7224" s="283">
        <v>0</v>
      </c>
      <c r="J7224" s="284">
        <v>0</v>
      </c>
    </row>
    <row r="7225" spans="3:10" x14ac:dyDescent="0.25">
      <c r="C7225" s="300" t="s">
        <v>1060</v>
      </c>
      <c r="D7225" s="283" t="s">
        <v>1079</v>
      </c>
      <c r="E7225" s="283" t="s">
        <v>1086</v>
      </c>
      <c r="F7225" s="283" t="s">
        <v>1083</v>
      </c>
      <c r="G7225" s="283">
        <v>2</v>
      </c>
      <c r="H7225" s="283">
        <v>0</v>
      </c>
      <c r="I7225" s="283">
        <v>0</v>
      </c>
      <c r="J7225" s="284">
        <v>1</v>
      </c>
    </row>
    <row r="7226" spans="3:10" x14ac:dyDescent="0.25">
      <c r="C7226" s="300" t="s">
        <v>1068</v>
      </c>
      <c r="D7226" s="283" t="s">
        <v>1074</v>
      </c>
      <c r="E7226" s="283" t="s">
        <v>1089</v>
      </c>
      <c r="F7226" s="283" t="s">
        <v>1089</v>
      </c>
      <c r="G7226" s="283">
        <v>2</v>
      </c>
      <c r="H7226" s="283">
        <v>0</v>
      </c>
      <c r="I7226" s="283">
        <v>0</v>
      </c>
      <c r="J7226" s="284">
        <v>2</v>
      </c>
    </row>
    <row r="7227" spans="3:10" x14ac:dyDescent="0.25">
      <c r="C7227" s="300" t="s">
        <v>1061</v>
      </c>
      <c r="D7227" s="283" t="s">
        <v>1043</v>
      </c>
      <c r="E7227" s="283" t="s">
        <v>1075</v>
      </c>
      <c r="F7227" s="283" t="s">
        <v>1092</v>
      </c>
      <c r="G7227" s="283">
        <v>2</v>
      </c>
      <c r="H7227" s="283">
        <v>0</v>
      </c>
      <c r="I7227" s="283">
        <v>0</v>
      </c>
      <c r="J7227" s="284">
        <v>1</v>
      </c>
    </row>
    <row r="7228" spans="3:10" x14ac:dyDescent="0.25">
      <c r="C7228" s="300" t="s">
        <v>1066</v>
      </c>
      <c r="D7228" s="283" t="s">
        <v>1079</v>
      </c>
      <c r="E7228" s="283" t="s">
        <v>1075</v>
      </c>
      <c r="F7228" s="283" t="s">
        <v>1078</v>
      </c>
      <c r="G7228" s="283">
        <v>3</v>
      </c>
      <c r="H7228" s="283">
        <v>0</v>
      </c>
      <c r="I7228" s="283">
        <v>1</v>
      </c>
      <c r="J7228" s="284">
        <v>0</v>
      </c>
    </row>
    <row r="7229" spans="3:10" x14ac:dyDescent="0.25">
      <c r="C7229" s="300" t="s">
        <v>1066</v>
      </c>
      <c r="D7229" s="283" t="s">
        <v>1079</v>
      </c>
      <c r="E7229" s="283" t="s">
        <v>1075</v>
      </c>
      <c r="F7229" s="283" t="s">
        <v>1075</v>
      </c>
      <c r="G7229" s="283">
        <v>3</v>
      </c>
      <c r="H7229" s="283">
        <v>0</v>
      </c>
      <c r="I7229" s="283">
        <v>0</v>
      </c>
      <c r="J7229" s="284">
        <v>0</v>
      </c>
    </row>
    <row r="7230" spans="3:10" x14ac:dyDescent="0.25">
      <c r="C7230" s="300" t="s">
        <v>1066</v>
      </c>
      <c r="D7230" s="283" t="s">
        <v>1043</v>
      </c>
      <c r="E7230" s="283" t="s">
        <v>1075</v>
      </c>
      <c r="F7230" s="283" t="s">
        <v>1092</v>
      </c>
      <c r="G7230" s="283">
        <v>2</v>
      </c>
      <c r="H7230" s="283">
        <v>0</v>
      </c>
      <c r="I7230" s="283">
        <v>1</v>
      </c>
      <c r="J7230" s="284">
        <v>0</v>
      </c>
    </row>
    <row r="7231" spans="3:10" x14ac:dyDescent="0.25">
      <c r="C7231" s="300" t="s">
        <v>1062</v>
      </c>
      <c r="D7231" s="283" t="s">
        <v>1074</v>
      </c>
      <c r="E7231" s="283" t="s">
        <v>1075</v>
      </c>
      <c r="F7231" s="283" t="s">
        <v>1075</v>
      </c>
      <c r="G7231" s="283">
        <v>2</v>
      </c>
      <c r="H7231" s="283">
        <v>0</v>
      </c>
      <c r="I7231" s="283">
        <v>0</v>
      </c>
      <c r="J7231" s="284">
        <v>1</v>
      </c>
    </row>
    <row r="7232" spans="3:10" x14ac:dyDescent="0.25">
      <c r="C7232" s="300" t="s">
        <v>1065</v>
      </c>
      <c r="D7232" s="283" t="s">
        <v>1077</v>
      </c>
      <c r="E7232" s="283" t="s">
        <v>1089</v>
      </c>
      <c r="F7232" s="283" t="s">
        <v>1075</v>
      </c>
      <c r="G7232" s="283">
        <v>4</v>
      </c>
      <c r="H7232" s="283">
        <v>0</v>
      </c>
      <c r="I7232" s="283">
        <v>1</v>
      </c>
      <c r="J7232" s="284">
        <v>0</v>
      </c>
    </row>
    <row r="7233" spans="3:10" x14ac:dyDescent="0.25">
      <c r="C7233" s="300" t="s">
        <v>1067</v>
      </c>
      <c r="D7233" s="283" t="s">
        <v>1074</v>
      </c>
      <c r="E7233" s="283" t="s">
        <v>1076</v>
      </c>
      <c r="F7233" s="283" t="s">
        <v>1084</v>
      </c>
      <c r="G7233" s="283">
        <v>2</v>
      </c>
      <c r="H7233" s="283">
        <v>0</v>
      </c>
      <c r="I7233" s="283">
        <v>0</v>
      </c>
      <c r="J7233" s="284">
        <v>1</v>
      </c>
    </row>
    <row r="7234" spans="3:10" x14ac:dyDescent="0.25">
      <c r="C7234" s="300" t="s">
        <v>1065</v>
      </c>
      <c r="D7234" s="283" t="s">
        <v>1087</v>
      </c>
      <c r="E7234" s="283" t="s">
        <v>1089</v>
      </c>
      <c r="F7234" s="283" t="s">
        <v>524</v>
      </c>
      <c r="G7234" s="283">
        <v>1</v>
      </c>
      <c r="H7234" s="283">
        <v>0</v>
      </c>
      <c r="I7234" s="283">
        <v>1</v>
      </c>
      <c r="J7234" s="284">
        <v>0</v>
      </c>
    </row>
    <row r="7235" spans="3:10" x14ac:dyDescent="0.25">
      <c r="C7235" s="300" t="s">
        <v>1064</v>
      </c>
      <c r="D7235" s="283" t="s">
        <v>1077</v>
      </c>
      <c r="E7235" s="283" t="s">
        <v>1083</v>
      </c>
      <c r="F7235" s="283" t="s">
        <v>1075</v>
      </c>
      <c r="G7235" s="283">
        <v>2</v>
      </c>
      <c r="H7235" s="283">
        <v>0</v>
      </c>
      <c r="I7235" s="283">
        <v>0</v>
      </c>
      <c r="J7235" s="284">
        <v>1</v>
      </c>
    </row>
    <row r="7236" spans="3:10" x14ac:dyDescent="0.25">
      <c r="C7236" s="300" t="s">
        <v>1065</v>
      </c>
      <c r="D7236" s="283" t="s">
        <v>1079</v>
      </c>
      <c r="E7236" s="283" t="s">
        <v>1081</v>
      </c>
      <c r="F7236" s="283" t="s">
        <v>1075</v>
      </c>
      <c r="G7236" s="283">
        <v>2</v>
      </c>
      <c r="H7236" s="283">
        <v>0</v>
      </c>
      <c r="I7236" s="283">
        <v>0</v>
      </c>
      <c r="J7236" s="284">
        <v>0</v>
      </c>
    </row>
    <row r="7237" spans="3:10" x14ac:dyDescent="0.25">
      <c r="C7237" s="300" t="s">
        <v>1060</v>
      </c>
      <c r="D7237" s="283" t="s">
        <v>1077</v>
      </c>
      <c r="E7237" s="283" t="s">
        <v>1076</v>
      </c>
      <c r="F7237" s="283" t="s">
        <v>1084</v>
      </c>
      <c r="G7237" s="283">
        <v>3</v>
      </c>
      <c r="H7237" s="283">
        <v>0</v>
      </c>
      <c r="I7237" s="283">
        <v>0</v>
      </c>
      <c r="J7237" s="284">
        <v>0</v>
      </c>
    </row>
    <row r="7238" spans="3:10" x14ac:dyDescent="0.25">
      <c r="C7238" s="300" t="s">
        <v>1062</v>
      </c>
      <c r="D7238" s="283" t="s">
        <v>1077</v>
      </c>
      <c r="E7238" s="283" t="s">
        <v>1075</v>
      </c>
      <c r="F7238" s="283" t="s">
        <v>1089</v>
      </c>
      <c r="G7238" s="283">
        <v>2</v>
      </c>
      <c r="H7238" s="283">
        <v>0</v>
      </c>
      <c r="I7238" s="283">
        <v>0</v>
      </c>
      <c r="J7238" s="284">
        <v>0</v>
      </c>
    </row>
    <row r="7239" spans="3:10" x14ac:dyDescent="0.25">
      <c r="C7239" s="300" t="s">
        <v>1062</v>
      </c>
      <c r="D7239" s="283" t="s">
        <v>1090</v>
      </c>
      <c r="E7239" s="283" t="s">
        <v>1083</v>
      </c>
      <c r="F7239" s="283" t="s">
        <v>524</v>
      </c>
      <c r="G7239" s="283">
        <v>1</v>
      </c>
      <c r="H7239" s="283">
        <v>0</v>
      </c>
      <c r="I7239" s="283">
        <v>1</v>
      </c>
      <c r="J7239" s="284">
        <v>0</v>
      </c>
    </row>
    <row r="7240" spans="3:10" x14ac:dyDescent="0.25">
      <c r="C7240" s="300" t="s">
        <v>1068</v>
      </c>
      <c r="D7240" s="283" t="s">
        <v>1087</v>
      </c>
      <c r="E7240" s="283" t="s">
        <v>1075</v>
      </c>
      <c r="F7240" s="283" t="s">
        <v>524</v>
      </c>
      <c r="G7240" s="283">
        <v>1</v>
      </c>
      <c r="H7240" s="283">
        <v>0</v>
      </c>
      <c r="I7240" s="283">
        <v>0</v>
      </c>
      <c r="J7240" s="284">
        <v>0</v>
      </c>
    </row>
    <row r="7241" spans="3:10" x14ac:dyDescent="0.25">
      <c r="C7241" s="300" t="s">
        <v>1067</v>
      </c>
      <c r="D7241" s="283" t="s">
        <v>1077</v>
      </c>
      <c r="E7241" s="283" t="s">
        <v>1083</v>
      </c>
      <c r="F7241" s="283" t="s">
        <v>1089</v>
      </c>
      <c r="G7241" s="283">
        <v>2</v>
      </c>
      <c r="H7241" s="283">
        <v>0</v>
      </c>
      <c r="I7241" s="283">
        <v>1</v>
      </c>
      <c r="J7241" s="284">
        <v>1</v>
      </c>
    </row>
    <row r="7242" spans="3:10" x14ac:dyDescent="0.25">
      <c r="C7242" s="300" t="s">
        <v>1063</v>
      </c>
      <c r="D7242" s="283" t="s">
        <v>1087</v>
      </c>
      <c r="E7242" s="283" t="s">
        <v>1076</v>
      </c>
      <c r="F7242" s="283" t="s">
        <v>524</v>
      </c>
      <c r="G7242" s="283">
        <v>1</v>
      </c>
      <c r="H7242" s="283">
        <v>0</v>
      </c>
      <c r="I7242" s="283">
        <v>0</v>
      </c>
      <c r="J7242" s="284">
        <v>1</v>
      </c>
    </row>
    <row r="7243" spans="3:10" x14ac:dyDescent="0.25">
      <c r="C7243" s="300" t="s">
        <v>1068</v>
      </c>
      <c r="D7243" s="283" t="s">
        <v>1074</v>
      </c>
      <c r="E7243" s="283" t="s">
        <v>1084</v>
      </c>
      <c r="F7243" s="283" t="s">
        <v>1075</v>
      </c>
      <c r="G7243" s="283">
        <v>2</v>
      </c>
      <c r="H7243" s="283">
        <v>0</v>
      </c>
      <c r="I7243" s="283">
        <v>0</v>
      </c>
      <c r="J7243" s="284">
        <v>1</v>
      </c>
    </row>
    <row r="7244" spans="3:10" x14ac:dyDescent="0.25">
      <c r="C7244" s="300" t="s">
        <v>1057</v>
      </c>
      <c r="D7244" s="283" t="s">
        <v>1079</v>
      </c>
      <c r="E7244" s="283" t="s">
        <v>1076</v>
      </c>
      <c r="F7244" s="283" t="s">
        <v>1093</v>
      </c>
      <c r="G7244" s="283">
        <v>2</v>
      </c>
      <c r="H7244" s="283">
        <v>0</v>
      </c>
      <c r="I7244" s="283">
        <v>0</v>
      </c>
      <c r="J7244" s="284">
        <v>1</v>
      </c>
    </row>
    <row r="7245" spans="3:10" x14ac:dyDescent="0.25">
      <c r="C7245" s="300" t="s">
        <v>1057</v>
      </c>
      <c r="D7245" s="283" t="s">
        <v>1077</v>
      </c>
      <c r="E7245" s="283" t="s">
        <v>1075</v>
      </c>
      <c r="F7245" s="283" t="s">
        <v>1075</v>
      </c>
      <c r="G7245" s="283">
        <v>2</v>
      </c>
      <c r="H7245" s="283">
        <v>0</v>
      </c>
      <c r="I7245" s="283">
        <v>0</v>
      </c>
      <c r="J7245" s="284">
        <v>1</v>
      </c>
    </row>
    <row r="7246" spans="3:10" x14ac:dyDescent="0.25">
      <c r="C7246" s="300" t="s">
        <v>1064</v>
      </c>
      <c r="D7246" s="283" t="s">
        <v>1077</v>
      </c>
      <c r="E7246" s="283" t="s">
        <v>1075</v>
      </c>
      <c r="F7246" s="283" t="s">
        <v>1075</v>
      </c>
      <c r="G7246" s="283">
        <v>3</v>
      </c>
      <c r="H7246" s="283">
        <v>0</v>
      </c>
      <c r="I7246" s="283">
        <v>1</v>
      </c>
      <c r="J7246" s="284">
        <v>0</v>
      </c>
    </row>
    <row r="7247" spans="3:10" x14ac:dyDescent="0.25">
      <c r="C7247" s="300" t="s">
        <v>1062</v>
      </c>
      <c r="D7247" s="283" t="s">
        <v>1079</v>
      </c>
      <c r="E7247" s="283" t="s">
        <v>1088</v>
      </c>
      <c r="F7247" s="283" t="s">
        <v>1089</v>
      </c>
      <c r="G7247" s="283">
        <v>2</v>
      </c>
      <c r="H7247" s="283">
        <v>0</v>
      </c>
      <c r="I7247" s="283">
        <v>2</v>
      </c>
      <c r="J7247" s="284">
        <v>1</v>
      </c>
    </row>
    <row r="7248" spans="3:10" x14ac:dyDescent="0.25">
      <c r="C7248" s="300" t="s">
        <v>1066</v>
      </c>
      <c r="D7248" s="283" t="s">
        <v>1043</v>
      </c>
      <c r="E7248" s="283" t="s">
        <v>1075</v>
      </c>
      <c r="F7248" s="283" t="s">
        <v>1092</v>
      </c>
      <c r="G7248" s="283">
        <v>2</v>
      </c>
      <c r="H7248" s="283">
        <v>0</v>
      </c>
      <c r="I7248" s="283">
        <v>0</v>
      </c>
      <c r="J7248" s="284">
        <v>1</v>
      </c>
    </row>
    <row r="7249" spans="3:10" x14ac:dyDescent="0.25">
      <c r="C7249" s="300" t="s">
        <v>1060</v>
      </c>
      <c r="D7249" s="283" t="s">
        <v>1079</v>
      </c>
      <c r="E7249" s="283" t="s">
        <v>1076</v>
      </c>
      <c r="F7249" s="283" t="s">
        <v>1083</v>
      </c>
      <c r="G7249" s="283">
        <v>2</v>
      </c>
      <c r="H7249" s="283">
        <v>0</v>
      </c>
      <c r="I7249" s="283">
        <v>1</v>
      </c>
      <c r="J7249" s="284">
        <v>1</v>
      </c>
    </row>
    <row r="7250" spans="3:10" x14ac:dyDescent="0.25">
      <c r="C7250" s="300" t="s">
        <v>1064</v>
      </c>
      <c r="D7250" s="283" t="s">
        <v>1079</v>
      </c>
      <c r="E7250" s="283" t="s">
        <v>1075</v>
      </c>
      <c r="F7250" s="283" t="s">
        <v>1085</v>
      </c>
      <c r="G7250" s="283">
        <v>3</v>
      </c>
      <c r="H7250" s="283">
        <v>0</v>
      </c>
      <c r="I7250" s="283">
        <v>1</v>
      </c>
      <c r="J7250" s="284">
        <v>0</v>
      </c>
    </row>
    <row r="7251" spans="3:10" x14ac:dyDescent="0.25">
      <c r="C7251" s="300" t="s">
        <v>1064</v>
      </c>
      <c r="D7251" s="283" t="s">
        <v>1074</v>
      </c>
      <c r="E7251" s="283" t="s">
        <v>1076</v>
      </c>
      <c r="F7251" s="283" t="s">
        <v>1075</v>
      </c>
      <c r="G7251" s="283">
        <v>2</v>
      </c>
      <c r="H7251" s="283">
        <v>0</v>
      </c>
      <c r="I7251" s="283">
        <v>0</v>
      </c>
      <c r="J7251" s="284">
        <v>1</v>
      </c>
    </row>
    <row r="7252" spans="3:10" x14ac:dyDescent="0.25">
      <c r="C7252" s="300" t="s">
        <v>1065</v>
      </c>
      <c r="D7252" s="283" t="s">
        <v>1077</v>
      </c>
      <c r="E7252" s="283" t="s">
        <v>1075</v>
      </c>
      <c r="F7252" s="283" t="s">
        <v>1075</v>
      </c>
      <c r="G7252" s="283">
        <v>2</v>
      </c>
      <c r="H7252" s="283">
        <v>0</v>
      </c>
      <c r="I7252" s="283">
        <v>0</v>
      </c>
      <c r="J7252" s="284">
        <v>2</v>
      </c>
    </row>
    <row r="7253" spans="3:10" x14ac:dyDescent="0.25">
      <c r="C7253" s="300" t="s">
        <v>1068</v>
      </c>
      <c r="D7253" s="283" t="s">
        <v>1087</v>
      </c>
      <c r="E7253" s="283" t="s">
        <v>1076</v>
      </c>
      <c r="F7253" s="283" t="s">
        <v>524</v>
      </c>
      <c r="G7253" s="283">
        <v>1</v>
      </c>
      <c r="H7253" s="283">
        <v>0</v>
      </c>
      <c r="I7253" s="283">
        <v>1</v>
      </c>
      <c r="J7253" s="284">
        <v>0</v>
      </c>
    </row>
    <row r="7254" spans="3:10" x14ac:dyDescent="0.25">
      <c r="C7254" s="300" t="s">
        <v>1061</v>
      </c>
      <c r="D7254" s="283" t="s">
        <v>1087</v>
      </c>
      <c r="E7254" s="283" t="s">
        <v>1075</v>
      </c>
      <c r="F7254" s="283" t="s">
        <v>524</v>
      </c>
      <c r="G7254" s="283">
        <v>1</v>
      </c>
      <c r="H7254" s="283">
        <v>0</v>
      </c>
      <c r="I7254" s="283">
        <v>1</v>
      </c>
      <c r="J7254" s="284">
        <v>0</v>
      </c>
    </row>
    <row r="7255" spans="3:10" x14ac:dyDescent="0.25">
      <c r="C7255" s="300" t="s">
        <v>1064</v>
      </c>
      <c r="D7255" s="283" t="s">
        <v>1090</v>
      </c>
      <c r="E7255" s="283" t="s">
        <v>1083</v>
      </c>
      <c r="F7255" s="283" t="s">
        <v>524</v>
      </c>
      <c r="G7255" s="283">
        <v>1</v>
      </c>
      <c r="H7255" s="283">
        <v>0</v>
      </c>
      <c r="I7255" s="283">
        <v>0</v>
      </c>
      <c r="J7255" s="284">
        <v>0</v>
      </c>
    </row>
    <row r="7256" spans="3:10" x14ac:dyDescent="0.25">
      <c r="C7256" s="300" t="s">
        <v>1066</v>
      </c>
      <c r="D7256" s="283" t="s">
        <v>1090</v>
      </c>
      <c r="E7256" s="283" t="s">
        <v>1083</v>
      </c>
      <c r="F7256" s="283" t="s">
        <v>524</v>
      </c>
      <c r="G7256" s="283">
        <v>1</v>
      </c>
      <c r="H7256" s="283">
        <v>0</v>
      </c>
      <c r="I7256" s="283">
        <v>1</v>
      </c>
      <c r="J7256" s="284">
        <v>0</v>
      </c>
    </row>
    <row r="7257" spans="3:10" x14ac:dyDescent="0.25">
      <c r="C7257" s="300" t="s">
        <v>1058</v>
      </c>
      <c r="D7257" s="283" t="s">
        <v>1077</v>
      </c>
      <c r="E7257" s="283" t="s">
        <v>1075</v>
      </c>
      <c r="F7257" s="283" t="s">
        <v>1075</v>
      </c>
      <c r="G7257" s="283">
        <v>2</v>
      </c>
      <c r="H7257" s="283">
        <v>0</v>
      </c>
      <c r="I7257" s="283">
        <v>0</v>
      </c>
      <c r="J7257" s="284">
        <v>1</v>
      </c>
    </row>
    <row r="7258" spans="3:10" x14ac:dyDescent="0.25">
      <c r="C7258" s="300" t="s">
        <v>1060</v>
      </c>
      <c r="D7258" s="283" t="s">
        <v>1079</v>
      </c>
      <c r="E7258" s="283" t="s">
        <v>1089</v>
      </c>
      <c r="F7258" s="283" t="s">
        <v>1044</v>
      </c>
      <c r="G7258" s="283">
        <v>2</v>
      </c>
      <c r="H7258" s="283">
        <v>0</v>
      </c>
      <c r="I7258" s="283">
        <v>1</v>
      </c>
      <c r="J7258" s="284">
        <v>0</v>
      </c>
    </row>
    <row r="7259" spans="3:10" x14ac:dyDescent="0.25">
      <c r="C7259" s="300" t="s">
        <v>1065</v>
      </c>
      <c r="D7259" s="283" t="s">
        <v>1043</v>
      </c>
      <c r="E7259" s="283" t="s">
        <v>1075</v>
      </c>
      <c r="F7259" s="283" t="s">
        <v>1092</v>
      </c>
      <c r="G7259" s="283">
        <v>2</v>
      </c>
      <c r="H7259" s="283">
        <v>0</v>
      </c>
      <c r="I7259" s="283">
        <v>0</v>
      </c>
      <c r="J7259" s="284">
        <v>1</v>
      </c>
    </row>
    <row r="7260" spans="3:10" x14ac:dyDescent="0.25">
      <c r="C7260" s="300" t="s">
        <v>1068</v>
      </c>
      <c r="D7260" s="283" t="s">
        <v>1082</v>
      </c>
      <c r="E7260" s="283" t="s">
        <v>1075</v>
      </c>
      <c r="F7260" s="283" t="s">
        <v>1075</v>
      </c>
      <c r="G7260" s="283">
        <v>2</v>
      </c>
      <c r="H7260" s="283">
        <v>0</v>
      </c>
      <c r="I7260" s="283">
        <v>0</v>
      </c>
      <c r="J7260" s="284">
        <v>2</v>
      </c>
    </row>
    <row r="7261" spans="3:10" x14ac:dyDescent="0.25">
      <c r="C7261" s="300" t="s">
        <v>1064</v>
      </c>
      <c r="D7261" s="283" t="s">
        <v>1043</v>
      </c>
      <c r="E7261" s="283" t="s">
        <v>1075</v>
      </c>
      <c r="F7261" s="283" t="s">
        <v>1092</v>
      </c>
      <c r="G7261" s="283">
        <v>2</v>
      </c>
      <c r="H7261" s="283">
        <v>0</v>
      </c>
      <c r="I7261" s="283">
        <v>1</v>
      </c>
      <c r="J7261" s="284">
        <v>0</v>
      </c>
    </row>
    <row r="7262" spans="3:10" x14ac:dyDescent="0.25">
      <c r="C7262" s="300" t="s">
        <v>1063</v>
      </c>
      <c r="D7262" s="283" t="s">
        <v>1082</v>
      </c>
      <c r="E7262" s="283" t="s">
        <v>1086</v>
      </c>
      <c r="F7262" s="283" t="s">
        <v>1075</v>
      </c>
      <c r="G7262" s="283">
        <v>2</v>
      </c>
      <c r="H7262" s="283">
        <v>0</v>
      </c>
      <c r="I7262" s="283">
        <v>0</v>
      </c>
      <c r="J7262" s="284">
        <v>1</v>
      </c>
    </row>
    <row r="7263" spans="3:10" x14ac:dyDescent="0.25">
      <c r="C7263" s="300" t="s">
        <v>1066</v>
      </c>
      <c r="D7263" s="283" t="s">
        <v>1077</v>
      </c>
      <c r="E7263" s="283" t="s">
        <v>1081</v>
      </c>
      <c r="F7263" s="283" t="s">
        <v>1089</v>
      </c>
      <c r="G7263" s="283">
        <v>3</v>
      </c>
      <c r="H7263" s="283">
        <v>0</v>
      </c>
      <c r="I7263" s="283">
        <v>1</v>
      </c>
      <c r="J7263" s="284">
        <v>0</v>
      </c>
    </row>
    <row r="7264" spans="3:10" x14ac:dyDescent="0.25">
      <c r="C7264" s="300" t="s">
        <v>1061</v>
      </c>
      <c r="D7264" s="283" t="s">
        <v>1082</v>
      </c>
      <c r="E7264" s="283" t="s">
        <v>1075</v>
      </c>
      <c r="F7264" s="283" t="s">
        <v>1075</v>
      </c>
      <c r="G7264" s="283">
        <v>2</v>
      </c>
      <c r="H7264" s="283">
        <v>0</v>
      </c>
      <c r="I7264" s="283">
        <v>0</v>
      </c>
      <c r="J7264" s="284">
        <v>1</v>
      </c>
    </row>
    <row r="7265" spans="3:10" x14ac:dyDescent="0.25">
      <c r="C7265" s="300" t="s">
        <v>1063</v>
      </c>
      <c r="D7265" s="283" t="s">
        <v>1079</v>
      </c>
      <c r="E7265" s="283" t="s">
        <v>1075</v>
      </c>
      <c r="F7265" s="283" t="s">
        <v>1083</v>
      </c>
      <c r="G7265" s="283">
        <v>2</v>
      </c>
      <c r="H7265" s="283">
        <v>0</v>
      </c>
      <c r="I7265" s="283">
        <v>1</v>
      </c>
      <c r="J7265" s="284">
        <v>0</v>
      </c>
    </row>
    <row r="7266" spans="3:10" x14ac:dyDescent="0.25">
      <c r="C7266" s="300" t="s">
        <v>1062</v>
      </c>
      <c r="D7266" s="283" t="s">
        <v>1079</v>
      </c>
      <c r="E7266" s="283" t="s">
        <v>1075</v>
      </c>
      <c r="F7266" s="283" t="s">
        <v>1075</v>
      </c>
      <c r="G7266" s="283">
        <v>2</v>
      </c>
      <c r="H7266" s="283">
        <v>0</v>
      </c>
      <c r="I7266" s="283">
        <v>1</v>
      </c>
      <c r="J7266" s="284">
        <v>1</v>
      </c>
    </row>
    <row r="7267" spans="3:10" x14ac:dyDescent="0.25">
      <c r="C7267" s="300" t="s">
        <v>1059</v>
      </c>
      <c r="D7267" s="283" t="s">
        <v>1079</v>
      </c>
      <c r="E7267" s="283" t="s">
        <v>1089</v>
      </c>
      <c r="F7267" s="283" t="s">
        <v>1075</v>
      </c>
      <c r="G7267" s="283">
        <v>2</v>
      </c>
      <c r="H7267" s="283">
        <v>0</v>
      </c>
      <c r="I7267" s="283">
        <v>0</v>
      </c>
      <c r="J7267" s="284">
        <v>1</v>
      </c>
    </row>
    <row r="7268" spans="3:10" x14ac:dyDescent="0.25">
      <c r="C7268" s="300" t="s">
        <v>1060</v>
      </c>
      <c r="D7268" s="283" t="s">
        <v>1087</v>
      </c>
      <c r="E7268" s="283" t="s">
        <v>1075</v>
      </c>
      <c r="F7268" s="283" t="s">
        <v>524</v>
      </c>
      <c r="G7268" s="283">
        <v>1</v>
      </c>
      <c r="H7268" s="283">
        <v>0</v>
      </c>
      <c r="I7268" s="283">
        <v>0</v>
      </c>
      <c r="J7268" s="284">
        <v>0</v>
      </c>
    </row>
    <row r="7269" spans="3:10" x14ac:dyDescent="0.25">
      <c r="C7269" s="300" t="s">
        <v>1068</v>
      </c>
      <c r="D7269" s="283" t="s">
        <v>1087</v>
      </c>
      <c r="E7269" s="283" t="s">
        <v>1075</v>
      </c>
      <c r="F7269" s="283" t="s">
        <v>524</v>
      </c>
      <c r="G7269" s="283">
        <v>1</v>
      </c>
      <c r="H7269" s="283">
        <v>0</v>
      </c>
      <c r="I7269" s="283">
        <v>0</v>
      </c>
      <c r="J7269" s="284">
        <v>1</v>
      </c>
    </row>
    <row r="7270" spans="3:10" x14ac:dyDescent="0.25">
      <c r="C7270" s="300" t="s">
        <v>1063</v>
      </c>
      <c r="D7270" s="283" t="s">
        <v>1074</v>
      </c>
      <c r="E7270" s="283" t="s">
        <v>1075</v>
      </c>
      <c r="F7270" s="283" t="s">
        <v>1075</v>
      </c>
      <c r="G7270" s="283">
        <v>3</v>
      </c>
      <c r="H7270" s="283">
        <v>0</v>
      </c>
      <c r="I7270" s="283">
        <v>1</v>
      </c>
      <c r="J7270" s="284">
        <v>1</v>
      </c>
    </row>
    <row r="7271" spans="3:10" x14ac:dyDescent="0.25">
      <c r="C7271" s="300" t="s">
        <v>1065</v>
      </c>
      <c r="D7271" s="283" t="s">
        <v>1074</v>
      </c>
      <c r="E7271" s="283" t="s">
        <v>1084</v>
      </c>
      <c r="F7271" s="283" t="s">
        <v>1075</v>
      </c>
      <c r="G7271" s="283">
        <v>2</v>
      </c>
      <c r="H7271" s="283">
        <v>0</v>
      </c>
      <c r="I7271" s="283">
        <v>0</v>
      </c>
      <c r="J7271" s="284">
        <v>0</v>
      </c>
    </row>
    <row r="7272" spans="3:10" x14ac:dyDescent="0.25">
      <c r="C7272" s="300" t="s">
        <v>1065</v>
      </c>
      <c r="D7272" s="283" t="s">
        <v>1079</v>
      </c>
      <c r="E7272" s="283" t="s">
        <v>1044</v>
      </c>
      <c r="F7272" s="283" t="s">
        <v>1075</v>
      </c>
      <c r="G7272" s="283">
        <v>2</v>
      </c>
      <c r="H7272" s="283">
        <v>0</v>
      </c>
      <c r="I7272" s="283">
        <v>1</v>
      </c>
      <c r="J7272" s="284">
        <v>0</v>
      </c>
    </row>
    <row r="7273" spans="3:10" x14ac:dyDescent="0.25">
      <c r="C7273" s="300" t="s">
        <v>1060</v>
      </c>
      <c r="D7273" s="283" t="s">
        <v>1079</v>
      </c>
      <c r="E7273" s="283" t="s">
        <v>1076</v>
      </c>
      <c r="F7273" s="283" t="s">
        <v>1044</v>
      </c>
      <c r="G7273" s="283">
        <v>2</v>
      </c>
      <c r="H7273" s="283">
        <v>0</v>
      </c>
      <c r="I7273" s="283">
        <v>0</v>
      </c>
      <c r="J7273" s="284">
        <v>1</v>
      </c>
    </row>
    <row r="7274" spans="3:10" x14ac:dyDescent="0.25">
      <c r="C7274" s="300" t="s">
        <v>1066</v>
      </c>
      <c r="D7274" s="283" t="s">
        <v>1079</v>
      </c>
      <c r="E7274" s="283" t="s">
        <v>1075</v>
      </c>
      <c r="F7274" s="283" t="s">
        <v>1083</v>
      </c>
      <c r="G7274" s="283">
        <v>2</v>
      </c>
      <c r="H7274" s="283">
        <v>0</v>
      </c>
      <c r="I7274" s="283">
        <v>0</v>
      </c>
      <c r="J7274" s="284">
        <v>1</v>
      </c>
    </row>
    <row r="7275" spans="3:10" x14ac:dyDescent="0.25">
      <c r="C7275" s="300" t="s">
        <v>1061</v>
      </c>
      <c r="D7275" s="283" t="s">
        <v>1074</v>
      </c>
      <c r="E7275" s="283" t="s">
        <v>1083</v>
      </c>
      <c r="F7275" s="283" t="s">
        <v>1075</v>
      </c>
      <c r="G7275" s="283">
        <v>2</v>
      </c>
      <c r="H7275" s="283">
        <v>0</v>
      </c>
      <c r="I7275" s="283">
        <v>0</v>
      </c>
      <c r="J7275" s="284">
        <v>0</v>
      </c>
    </row>
    <row r="7276" spans="3:10" x14ac:dyDescent="0.25">
      <c r="C7276" s="300" t="s">
        <v>1064</v>
      </c>
      <c r="D7276" s="283" t="s">
        <v>1077</v>
      </c>
      <c r="E7276" s="283" t="s">
        <v>1089</v>
      </c>
      <c r="F7276" s="283" t="s">
        <v>1075</v>
      </c>
      <c r="G7276" s="283">
        <v>3</v>
      </c>
      <c r="H7276" s="283">
        <v>0</v>
      </c>
      <c r="I7276" s="283">
        <v>0</v>
      </c>
      <c r="J7276" s="284">
        <v>0</v>
      </c>
    </row>
    <row r="7277" spans="3:10" x14ac:dyDescent="0.25">
      <c r="C7277" s="300" t="s">
        <v>1064</v>
      </c>
      <c r="D7277" s="283" t="s">
        <v>1077</v>
      </c>
      <c r="E7277" s="283" t="s">
        <v>1083</v>
      </c>
      <c r="F7277" s="283" t="s">
        <v>1075</v>
      </c>
      <c r="G7277" s="283">
        <v>2</v>
      </c>
      <c r="H7277" s="283">
        <v>0</v>
      </c>
      <c r="I7277" s="283">
        <v>0</v>
      </c>
      <c r="J7277" s="284">
        <v>1</v>
      </c>
    </row>
    <row r="7278" spans="3:10" x14ac:dyDescent="0.25">
      <c r="C7278" s="300" t="s">
        <v>1068</v>
      </c>
      <c r="D7278" s="283" t="s">
        <v>1087</v>
      </c>
      <c r="E7278" s="283" t="s">
        <v>1075</v>
      </c>
      <c r="F7278" s="283" t="s">
        <v>524</v>
      </c>
      <c r="G7278" s="283">
        <v>1</v>
      </c>
      <c r="H7278" s="283">
        <v>0</v>
      </c>
      <c r="I7278" s="283">
        <v>1</v>
      </c>
      <c r="J7278" s="284">
        <v>0</v>
      </c>
    </row>
    <row r="7279" spans="3:10" x14ac:dyDescent="0.25">
      <c r="C7279" s="300" t="s">
        <v>1060</v>
      </c>
      <c r="D7279" s="283" t="s">
        <v>1079</v>
      </c>
      <c r="E7279" s="283" t="s">
        <v>1089</v>
      </c>
      <c r="F7279" s="283" t="s">
        <v>1078</v>
      </c>
      <c r="G7279" s="283">
        <v>2</v>
      </c>
      <c r="H7279" s="283">
        <v>0</v>
      </c>
      <c r="I7279" s="283">
        <v>0</v>
      </c>
      <c r="J7279" s="284">
        <v>1</v>
      </c>
    </row>
    <row r="7280" spans="3:10" x14ac:dyDescent="0.25">
      <c r="C7280" s="300" t="s">
        <v>1066</v>
      </c>
      <c r="D7280" s="283" t="s">
        <v>1079</v>
      </c>
      <c r="E7280" s="283" t="s">
        <v>1044</v>
      </c>
      <c r="F7280" s="283" t="s">
        <v>1089</v>
      </c>
      <c r="G7280" s="283">
        <v>2</v>
      </c>
      <c r="H7280" s="283">
        <v>0</v>
      </c>
      <c r="I7280" s="283">
        <v>0</v>
      </c>
      <c r="J7280" s="284">
        <v>1</v>
      </c>
    </row>
    <row r="7281" spans="3:10" x14ac:dyDescent="0.25">
      <c r="C7281" s="300" t="s">
        <v>1067</v>
      </c>
      <c r="D7281" s="283" t="s">
        <v>1079</v>
      </c>
      <c r="E7281" s="283" t="s">
        <v>1076</v>
      </c>
      <c r="F7281" s="283" t="s">
        <v>1075</v>
      </c>
      <c r="G7281" s="283">
        <v>2</v>
      </c>
      <c r="H7281" s="283">
        <v>0</v>
      </c>
      <c r="I7281" s="283">
        <v>0</v>
      </c>
      <c r="J7281" s="284">
        <v>1</v>
      </c>
    </row>
    <row r="7282" spans="3:10" x14ac:dyDescent="0.25">
      <c r="C7282" s="300" t="s">
        <v>1060</v>
      </c>
      <c r="D7282" s="283" t="s">
        <v>1043</v>
      </c>
      <c r="E7282" s="283" t="s">
        <v>1075</v>
      </c>
      <c r="F7282" s="283" t="s">
        <v>1092</v>
      </c>
      <c r="G7282" s="283">
        <v>2</v>
      </c>
      <c r="H7282" s="283">
        <v>0</v>
      </c>
      <c r="I7282" s="283">
        <v>0</v>
      </c>
      <c r="J7282" s="284">
        <v>1</v>
      </c>
    </row>
    <row r="7283" spans="3:10" x14ac:dyDescent="0.25">
      <c r="C7283" s="300" t="s">
        <v>1063</v>
      </c>
      <c r="D7283" s="283" t="s">
        <v>1079</v>
      </c>
      <c r="E7283" s="283" t="s">
        <v>1075</v>
      </c>
      <c r="F7283" s="283" t="s">
        <v>1083</v>
      </c>
      <c r="G7283" s="283">
        <v>3</v>
      </c>
      <c r="H7283" s="283">
        <v>0</v>
      </c>
      <c r="I7283" s="283">
        <v>0</v>
      </c>
      <c r="J7283" s="284">
        <v>1</v>
      </c>
    </row>
    <row r="7284" spans="3:10" x14ac:dyDescent="0.25">
      <c r="C7284" s="300" t="s">
        <v>1063</v>
      </c>
      <c r="D7284" s="283" t="s">
        <v>1079</v>
      </c>
      <c r="E7284" s="283" t="s">
        <v>1086</v>
      </c>
      <c r="F7284" s="283" t="s">
        <v>1083</v>
      </c>
      <c r="G7284" s="283">
        <v>2</v>
      </c>
      <c r="H7284" s="283">
        <v>0</v>
      </c>
      <c r="I7284" s="283">
        <v>1</v>
      </c>
      <c r="J7284" s="284">
        <v>0</v>
      </c>
    </row>
    <row r="7285" spans="3:10" x14ac:dyDescent="0.25">
      <c r="C7285" s="300" t="s">
        <v>1062</v>
      </c>
      <c r="D7285" s="283" t="s">
        <v>1074</v>
      </c>
      <c r="E7285" s="283" t="s">
        <v>1075</v>
      </c>
      <c r="F7285" s="283" t="s">
        <v>1083</v>
      </c>
      <c r="G7285" s="283">
        <v>2</v>
      </c>
      <c r="H7285" s="283">
        <v>0</v>
      </c>
      <c r="I7285" s="283">
        <v>0</v>
      </c>
      <c r="J7285" s="284">
        <v>1</v>
      </c>
    </row>
    <row r="7286" spans="3:10" x14ac:dyDescent="0.25">
      <c r="C7286" s="300" t="s">
        <v>1068</v>
      </c>
      <c r="D7286" s="283" t="s">
        <v>1087</v>
      </c>
      <c r="E7286" s="283" t="s">
        <v>1075</v>
      </c>
      <c r="F7286" s="283" t="s">
        <v>524</v>
      </c>
      <c r="G7286" s="283">
        <v>1</v>
      </c>
      <c r="H7286" s="283">
        <v>0</v>
      </c>
      <c r="I7286" s="283">
        <v>1</v>
      </c>
      <c r="J7286" s="284">
        <v>0</v>
      </c>
    </row>
    <row r="7287" spans="3:10" x14ac:dyDescent="0.25">
      <c r="C7287" s="300" t="s">
        <v>1060</v>
      </c>
      <c r="D7287" s="283" t="s">
        <v>1077</v>
      </c>
      <c r="E7287" s="283" t="s">
        <v>1075</v>
      </c>
      <c r="F7287" s="283" t="s">
        <v>1075</v>
      </c>
      <c r="G7287" s="283">
        <v>3</v>
      </c>
      <c r="H7287" s="283">
        <v>0</v>
      </c>
      <c r="I7287" s="283">
        <v>0</v>
      </c>
      <c r="J7287" s="284">
        <v>0</v>
      </c>
    </row>
    <row r="7288" spans="3:10" x14ac:dyDescent="0.25">
      <c r="C7288" s="300" t="s">
        <v>1060</v>
      </c>
      <c r="D7288" s="283" t="s">
        <v>1087</v>
      </c>
      <c r="E7288" s="283" t="s">
        <v>1076</v>
      </c>
      <c r="F7288" s="283" t="s">
        <v>524</v>
      </c>
      <c r="G7288" s="283">
        <v>1</v>
      </c>
      <c r="H7288" s="283">
        <v>0</v>
      </c>
      <c r="I7288" s="283">
        <v>1</v>
      </c>
      <c r="J7288" s="284">
        <v>0</v>
      </c>
    </row>
    <row r="7289" spans="3:10" x14ac:dyDescent="0.25">
      <c r="C7289" s="300" t="s">
        <v>1061</v>
      </c>
      <c r="D7289" s="283" t="s">
        <v>1043</v>
      </c>
      <c r="E7289" s="283" t="s">
        <v>1089</v>
      </c>
      <c r="F7289" s="283" t="s">
        <v>1092</v>
      </c>
      <c r="G7289" s="283">
        <v>2</v>
      </c>
      <c r="H7289" s="283">
        <v>0</v>
      </c>
      <c r="I7289" s="283">
        <v>0</v>
      </c>
      <c r="J7289" s="284">
        <v>0</v>
      </c>
    </row>
    <row r="7290" spans="3:10" x14ac:dyDescent="0.25">
      <c r="C7290" s="300" t="s">
        <v>1066</v>
      </c>
      <c r="D7290" s="283" t="s">
        <v>1082</v>
      </c>
      <c r="E7290" s="283" t="s">
        <v>1076</v>
      </c>
      <c r="F7290" s="283" t="s">
        <v>1075</v>
      </c>
      <c r="G7290" s="283">
        <v>2</v>
      </c>
      <c r="H7290" s="283">
        <v>0</v>
      </c>
      <c r="I7290" s="283">
        <v>0</v>
      </c>
      <c r="J7290" s="284">
        <v>0</v>
      </c>
    </row>
    <row r="7291" spans="3:10" x14ac:dyDescent="0.25">
      <c r="C7291" s="300" t="s">
        <v>1063</v>
      </c>
      <c r="D7291" s="283" t="s">
        <v>1077</v>
      </c>
      <c r="E7291" s="283" t="s">
        <v>1080</v>
      </c>
      <c r="F7291" s="283" t="s">
        <v>1076</v>
      </c>
      <c r="G7291" s="283">
        <v>2</v>
      </c>
      <c r="H7291" s="283">
        <v>0</v>
      </c>
      <c r="I7291" s="283">
        <v>0</v>
      </c>
      <c r="J7291" s="284">
        <v>1</v>
      </c>
    </row>
    <row r="7292" spans="3:10" x14ac:dyDescent="0.25">
      <c r="C7292" s="300" t="s">
        <v>1066</v>
      </c>
      <c r="D7292" s="283" t="s">
        <v>1043</v>
      </c>
      <c r="E7292" s="283" t="s">
        <v>1089</v>
      </c>
      <c r="F7292" s="283" t="s">
        <v>1092</v>
      </c>
      <c r="G7292" s="283">
        <v>2</v>
      </c>
      <c r="H7292" s="283">
        <v>0</v>
      </c>
      <c r="I7292" s="283">
        <v>1</v>
      </c>
      <c r="J7292" s="284">
        <v>0</v>
      </c>
    </row>
    <row r="7293" spans="3:10" x14ac:dyDescent="0.25">
      <c r="C7293" s="300" t="s">
        <v>1064</v>
      </c>
      <c r="D7293" s="283" t="s">
        <v>1077</v>
      </c>
      <c r="E7293" s="283" t="s">
        <v>1084</v>
      </c>
      <c r="F7293" s="283" t="s">
        <v>1076</v>
      </c>
      <c r="G7293" s="283">
        <v>4</v>
      </c>
      <c r="H7293" s="283">
        <v>0</v>
      </c>
      <c r="I7293" s="283">
        <v>0</v>
      </c>
      <c r="J7293" s="284">
        <v>0</v>
      </c>
    </row>
    <row r="7294" spans="3:10" x14ac:dyDescent="0.25">
      <c r="C7294" s="300" t="s">
        <v>1063</v>
      </c>
      <c r="D7294" s="283" t="s">
        <v>1074</v>
      </c>
      <c r="E7294" s="283" t="s">
        <v>1075</v>
      </c>
      <c r="F7294" s="283" t="s">
        <v>1078</v>
      </c>
      <c r="G7294" s="283">
        <v>2</v>
      </c>
      <c r="H7294" s="283">
        <v>0</v>
      </c>
      <c r="I7294" s="283">
        <v>1</v>
      </c>
      <c r="J7294" s="284">
        <v>0</v>
      </c>
    </row>
    <row r="7295" spans="3:10" x14ac:dyDescent="0.25">
      <c r="C7295" s="300" t="s">
        <v>1059</v>
      </c>
      <c r="D7295" s="283" t="s">
        <v>1079</v>
      </c>
      <c r="E7295" s="283" t="s">
        <v>1075</v>
      </c>
      <c r="F7295" s="283" t="s">
        <v>1076</v>
      </c>
      <c r="G7295" s="283">
        <v>2</v>
      </c>
      <c r="H7295" s="283">
        <v>0</v>
      </c>
      <c r="I7295" s="283">
        <v>1</v>
      </c>
      <c r="J7295" s="284">
        <v>0</v>
      </c>
    </row>
    <row r="7296" spans="3:10" x14ac:dyDescent="0.25">
      <c r="C7296" s="300" t="s">
        <v>1061</v>
      </c>
      <c r="D7296" s="283" t="s">
        <v>1043</v>
      </c>
      <c r="E7296" s="283" t="s">
        <v>1075</v>
      </c>
      <c r="F7296" s="283" t="s">
        <v>1092</v>
      </c>
      <c r="G7296" s="283">
        <v>2</v>
      </c>
      <c r="H7296" s="283">
        <v>0</v>
      </c>
      <c r="I7296" s="283">
        <v>1</v>
      </c>
      <c r="J7296" s="284">
        <v>0</v>
      </c>
    </row>
    <row r="7297" spans="3:10" x14ac:dyDescent="0.25">
      <c r="C7297" s="300" t="s">
        <v>1065</v>
      </c>
      <c r="D7297" s="283" t="s">
        <v>1077</v>
      </c>
      <c r="E7297" s="283" t="s">
        <v>1084</v>
      </c>
      <c r="F7297" s="283" t="s">
        <v>1078</v>
      </c>
      <c r="G7297" s="283">
        <v>2</v>
      </c>
      <c r="H7297" s="283">
        <v>0</v>
      </c>
      <c r="I7297" s="283">
        <v>0</v>
      </c>
      <c r="J7297" s="284">
        <v>0</v>
      </c>
    </row>
    <row r="7298" spans="3:10" x14ac:dyDescent="0.25">
      <c r="C7298" s="300" t="s">
        <v>1063</v>
      </c>
      <c r="D7298" s="283" t="s">
        <v>1043</v>
      </c>
      <c r="E7298" s="283" t="s">
        <v>1091</v>
      </c>
      <c r="F7298" s="283" t="s">
        <v>1092</v>
      </c>
      <c r="G7298" s="283">
        <v>3</v>
      </c>
      <c r="H7298" s="283">
        <v>0</v>
      </c>
      <c r="I7298" s="283">
        <v>0</v>
      </c>
      <c r="J7298" s="284">
        <v>0</v>
      </c>
    </row>
    <row r="7299" spans="3:10" x14ac:dyDescent="0.25">
      <c r="C7299" s="300" t="s">
        <v>1066</v>
      </c>
      <c r="D7299" s="283" t="s">
        <v>1087</v>
      </c>
      <c r="E7299" s="283" t="s">
        <v>1075</v>
      </c>
      <c r="F7299" s="283" t="s">
        <v>524</v>
      </c>
      <c r="G7299" s="283">
        <v>1</v>
      </c>
      <c r="H7299" s="283">
        <v>0</v>
      </c>
      <c r="I7299" s="283">
        <v>0</v>
      </c>
      <c r="J7299" s="284">
        <v>0</v>
      </c>
    </row>
    <row r="7300" spans="3:10" x14ac:dyDescent="0.25">
      <c r="C7300" s="300" t="s">
        <v>1058</v>
      </c>
      <c r="D7300" s="283" t="s">
        <v>1077</v>
      </c>
      <c r="E7300" s="283" t="s">
        <v>1075</v>
      </c>
      <c r="F7300" s="283" t="s">
        <v>1086</v>
      </c>
      <c r="G7300" s="283">
        <v>2</v>
      </c>
      <c r="H7300" s="283">
        <v>0</v>
      </c>
      <c r="I7300" s="283">
        <v>0</v>
      </c>
      <c r="J7300" s="284">
        <v>0</v>
      </c>
    </row>
    <row r="7301" spans="3:10" x14ac:dyDescent="0.25">
      <c r="C7301" s="300" t="s">
        <v>1063</v>
      </c>
      <c r="D7301" s="283" t="s">
        <v>1079</v>
      </c>
      <c r="E7301" s="283" t="s">
        <v>1075</v>
      </c>
      <c r="F7301" s="283" t="s">
        <v>1075</v>
      </c>
      <c r="G7301" s="283">
        <v>2</v>
      </c>
      <c r="H7301" s="283">
        <v>0</v>
      </c>
      <c r="I7301" s="283">
        <v>1</v>
      </c>
      <c r="J7301" s="284">
        <v>0</v>
      </c>
    </row>
    <row r="7302" spans="3:10" x14ac:dyDescent="0.25">
      <c r="C7302" s="300" t="s">
        <v>1067</v>
      </c>
      <c r="D7302" s="283" t="s">
        <v>1077</v>
      </c>
      <c r="E7302" s="283" t="s">
        <v>1076</v>
      </c>
      <c r="F7302" s="283" t="s">
        <v>1075</v>
      </c>
      <c r="G7302" s="283">
        <v>3</v>
      </c>
      <c r="H7302" s="283">
        <v>0</v>
      </c>
      <c r="I7302" s="283">
        <v>0</v>
      </c>
      <c r="J7302" s="284">
        <v>0</v>
      </c>
    </row>
    <row r="7303" spans="3:10" x14ac:dyDescent="0.25">
      <c r="C7303" s="300" t="s">
        <v>1059</v>
      </c>
      <c r="D7303" s="283" t="s">
        <v>1095</v>
      </c>
      <c r="E7303" s="283" t="s">
        <v>1083</v>
      </c>
      <c r="F7303" s="283" t="s">
        <v>524</v>
      </c>
      <c r="G7303" s="283">
        <v>1</v>
      </c>
      <c r="H7303" s="283">
        <v>0</v>
      </c>
      <c r="I7303" s="283">
        <v>0</v>
      </c>
      <c r="J7303" s="284">
        <v>1</v>
      </c>
    </row>
    <row r="7304" spans="3:10" x14ac:dyDescent="0.25">
      <c r="C7304" s="300" t="s">
        <v>1058</v>
      </c>
      <c r="D7304" s="283" t="s">
        <v>1079</v>
      </c>
      <c r="E7304" s="283" t="s">
        <v>1075</v>
      </c>
      <c r="F7304" s="283" t="s">
        <v>1080</v>
      </c>
      <c r="G7304" s="283">
        <v>2</v>
      </c>
      <c r="H7304" s="283">
        <v>0</v>
      </c>
      <c r="I7304" s="283">
        <v>0</v>
      </c>
      <c r="J7304" s="284">
        <v>0</v>
      </c>
    </row>
    <row r="7305" spans="3:10" x14ac:dyDescent="0.25">
      <c r="C7305" s="300" t="s">
        <v>1061</v>
      </c>
      <c r="D7305" s="283" t="s">
        <v>1079</v>
      </c>
      <c r="E7305" s="283" t="s">
        <v>1083</v>
      </c>
      <c r="F7305" s="283" t="s">
        <v>1075</v>
      </c>
      <c r="G7305" s="283">
        <v>2</v>
      </c>
      <c r="H7305" s="283">
        <v>0</v>
      </c>
      <c r="I7305" s="283">
        <v>0</v>
      </c>
      <c r="J7305" s="284">
        <v>0</v>
      </c>
    </row>
    <row r="7306" spans="3:10" x14ac:dyDescent="0.25">
      <c r="C7306" s="300" t="s">
        <v>1066</v>
      </c>
      <c r="D7306" s="283" t="s">
        <v>1079</v>
      </c>
      <c r="E7306" s="283" t="s">
        <v>1089</v>
      </c>
      <c r="F7306" s="283" t="s">
        <v>1075</v>
      </c>
      <c r="G7306" s="283">
        <v>2</v>
      </c>
      <c r="H7306" s="283">
        <v>0</v>
      </c>
      <c r="I7306" s="283">
        <v>0</v>
      </c>
      <c r="J7306" s="284">
        <v>2</v>
      </c>
    </row>
    <row r="7307" spans="3:10" x14ac:dyDescent="0.25">
      <c r="C7307" s="300" t="s">
        <v>1068</v>
      </c>
      <c r="D7307" s="283" t="s">
        <v>1087</v>
      </c>
      <c r="E7307" s="283" t="s">
        <v>1075</v>
      </c>
      <c r="F7307" s="283" t="s">
        <v>524</v>
      </c>
      <c r="G7307" s="283">
        <v>1</v>
      </c>
      <c r="H7307" s="283">
        <v>0</v>
      </c>
      <c r="I7307" s="283">
        <v>0</v>
      </c>
      <c r="J7307" s="284">
        <v>1</v>
      </c>
    </row>
    <row r="7308" spans="3:10" x14ac:dyDescent="0.25">
      <c r="C7308" s="300" t="s">
        <v>1062</v>
      </c>
      <c r="D7308" s="283" t="s">
        <v>1090</v>
      </c>
      <c r="E7308" s="283" t="s">
        <v>1083</v>
      </c>
      <c r="F7308" s="283" t="s">
        <v>524</v>
      </c>
      <c r="G7308" s="283">
        <v>1</v>
      </c>
      <c r="H7308" s="283">
        <v>0</v>
      </c>
      <c r="I7308" s="283">
        <v>1</v>
      </c>
      <c r="J7308" s="284">
        <v>0</v>
      </c>
    </row>
    <row r="7309" spans="3:10" x14ac:dyDescent="0.25">
      <c r="C7309" s="300" t="s">
        <v>1066</v>
      </c>
      <c r="D7309" s="283" t="s">
        <v>1087</v>
      </c>
      <c r="E7309" s="283" t="s">
        <v>1076</v>
      </c>
      <c r="F7309" s="283" t="s">
        <v>524</v>
      </c>
      <c r="G7309" s="283">
        <v>1</v>
      </c>
      <c r="H7309" s="283">
        <v>0</v>
      </c>
      <c r="I7309" s="283">
        <v>1</v>
      </c>
      <c r="J7309" s="284">
        <v>1</v>
      </c>
    </row>
    <row r="7310" spans="3:10" x14ac:dyDescent="0.25">
      <c r="C7310" s="300" t="s">
        <v>1057</v>
      </c>
      <c r="D7310" s="283" t="s">
        <v>1079</v>
      </c>
      <c r="E7310" s="283" t="s">
        <v>1075</v>
      </c>
      <c r="F7310" s="283" t="s">
        <v>1075</v>
      </c>
      <c r="G7310" s="283">
        <v>3</v>
      </c>
      <c r="H7310" s="283">
        <v>0</v>
      </c>
      <c r="I7310" s="283">
        <v>0</v>
      </c>
      <c r="J7310" s="284">
        <v>0</v>
      </c>
    </row>
    <row r="7311" spans="3:10" x14ac:dyDescent="0.25">
      <c r="C7311" s="300" t="s">
        <v>1061</v>
      </c>
      <c r="D7311" s="283" t="s">
        <v>1043</v>
      </c>
      <c r="E7311" s="283" t="s">
        <v>1084</v>
      </c>
      <c r="F7311" s="283" t="s">
        <v>1092</v>
      </c>
      <c r="G7311" s="283">
        <v>2</v>
      </c>
      <c r="H7311" s="283">
        <v>0</v>
      </c>
      <c r="I7311" s="283">
        <v>0</v>
      </c>
      <c r="J7311" s="284">
        <v>0</v>
      </c>
    </row>
    <row r="7312" spans="3:10" x14ac:dyDescent="0.25">
      <c r="C7312" s="300" t="s">
        <v>1065</v>
      </c>
      <c r="D7312" s="283" t="s">
        <v>1079</v>
      </c>
      <c r="E7312" s="283" t="s">
        <v>1083</v>
      </c>
      <c r="F7312" s="283" t="s">
        <v>1075</v>
      </c>
      <c r="G7312" s="283">
        <v>2</v>
      </c>
      <c r="H7312" s="283">
        <v>0</v>
      </c>
      <c r="I7312" s="283">
        <v>0</v>
      </c>
      <c r="J7312" s="284">
        <v>1</v>
      </c>
    </row>
    <row r="7313" spans="3:10" x14ac:dyDescent="0.25">
      <c r="C7313" s="300" t="s">
        <v>1065</v>
      </c>
      <c r="D7313" s="283" t="s">
        <v>1077</v>
      </c>
      <c r="E7313" s="283" t="s">
        <v>1075</v>
      </c>
      <c r="F7313" s="283" t="s">
        <v>1075</v>
      </c>
      <c r="G7313" s="283">
        <v>3</v>
      </c>
      <c r="H7313" s="283">
        <v>0</v>
      </c>
      <c r="I7313" s="283">
        <v>0</v>
      </c>
      <c r="J7313" s="284">
        <v>1</v>
      </c>
    </row>
    <row r="7314" spans="3:10" x14ac:dyDescent="0.25">
      <c r="C7314" s="300" t="s">
        <v>1062</v>
      </c>
      <c r="D7314" s="283" t="s">
        <v>1043</v>
      </c>
      <c r="E7314" s="283" t="s">
        <v>1089</v>
      </c>
      <c r="F7314" s="283" t="s">
        <v>1092</v>
      </c>
      <c r="G7314" s="283">
        <v>2</v>
      </c>
      <c r="H7314" s="283">
        <v>0</v>
      </c>
      <c r="I7314" s="283">
        <v>0</v>
      </c>
      <c r="J7314" s="284">
        <v>0</v>
      </c>
    </row>
    <row r="7315" spans="3:10" x14ac:dyDescent="0.25">
      <c r="C7315" s="300" t="s">
        <v>1063</v>
      </c>
      <c r="D7315" s="283" t="s">
        <v>1082</v>
      </c>
      <c r="E7315" s="283" t="s">
        <v>1078</v>
      </c>
      <c r="F7315" s="283" t="s">
        <v>1078</v>
      </c>
      <c r="G7315" s="283">
        <v>3</v>
      </c>
      <c r="H7315" s="283">
        <v>0</v>
      </c>
      <c r="I7315" s="283">
        <v>2</v>
      </c>
      <c r="J7315" s="284">
        <v>0</v>
      </c>
    </row>
    <row r="7316" spans="3:10" x14ac:dyDescent="0.25">
      <c r="C7316" s="300" t="s">
        <v>1066</v>
      </c>
      <c r="D7316" s="283" t="s">
        <v>1077</v>
      </c>
      <c r="E7316" s="283" t="s">
        <v>1076</v>
      </c>
      <c r="F7316" s="283" t="s">
        <v>1075</v>
      </c>
      <c r="G7316" s="283">
        <v>3</v>
      </c>
      <c r="H7316" s="283">
        <v>0</v>
      </c>
      <c r="I7316" s="283">
        <v>0</v>
      </c>
      <c r="J7316" s="284">
        <v>0</v>
      </c>
    </row>
    <row r="7317" spans="3:10" x14ac:dyDescent="0.25">
      <c r="C7317" s="300" t="s">
        <v>1061</v>
      </c>
      <c r="D7317" s="283" t="s">
        <v>1079</v>
      </c>
      <c r="E7317" s="283" t="s">
        <v>1076</v>
      </c>
      <c r="F7317" s="283" t="s">
        <v>1044</v>
      </c>
      <c r="G7317" s="283">
        <v>2</v>
      </c>
      <c r="H7317" s="283">
        <v>0</v>
      </c>
      <c r="I7317" s="283">
        <v>0</v>
      </c>
      <c r="J7317" s="284">
        <v>0</v>
      </c>
    </row>
    <row r="7318" spans="3:10" x14ac:dyDescent="0.25">
      <c r="C7318" s="300" t="s">
        <v>1064</v>
      </c>
      <c r="D7318" s="283" t="s">
        <v>1043</v>
      </c>
      <c r="E7318" s="283" t="s">
        <v>1076</v>
      </c>
      <c r="F7318" s="283" t="s">
        <v>1092</v>
      </c>
      <c r="G7318" s="283">
        <v>2</v>
      </c>
      <c r="H7318" s="283">
        <v>0</v>
      </c>
      <c r="I7318" s="283">
        <v>1</v>
      </c>
      <c r="J7318" s="284">
        <v>0</v>
      </c>
    </row>
    <row r="7319" spans="3:10" x14ac:dyDescent="0.25">
      <c r="C7319" s="300" t="s">
        <v>1065</v>
      </c>
      <c r="D7319" s="283" t="s">
        <v>1077</v>
      </c>
      <c r="E7319" s="283" t="s">
        <v>1084</v>
      </c>
      <c r="F7319" s="283" t="s">
        <v>1084</v>
      </c>
      <c r="G7319" s="283">
        <v>5</v>
      </c>
      <c r="H7319" s="283">
        <v>0</v>
      </c>
      <c r="I7319" s="283">
        <v>1</v>
      </c>
      <c r="J7319" s="284">
        <v>0</v>
      </c>
    </row>
    <row r="7320" spans="3:10" x14ac:dyDescent="0.25">
      <c r="C7320" s="300" t="s">
        <v>1063</v>
      </c>
      <c r="D7320" s="283" t="s">
        <v>1079</v>
      </c>
      <c r="E7320" s="283" t="s">
        <v>1089</v>
      </c>
      <c r="F7320" s="283" t="s">
        <v>1083</v>
      </c>
      <c r="G7320" s="283">
        <v>2</v>
      </c>
      <c r="H7320" s="283">
        <v>0</v>
      </c>
      <c r="I7320" s="283">
        <v>1</v>
      </c>
      <c r="J7320" s="284">
        <v>0</v>
      </c>
    </row>
    <row r="7321" spans="3:10" x14ac:dyDescent="0.25">
      <c r="C7321" s="300" t="s">
        <v>1068</v>
      </c>
      <c r="D7321" s="283" t="s">
        <v>1082</v>
      </c>
      <c r="E7321" s="283" t="s">
        <v>1044</v>
      </c>
      <c r="F7321" s="283" t="s">
        <v>1075</v>
      </c>
      <c r="G7321" s="283">
        <v>2</v>
      </c>
      <c r="H7321" s="283">
        <v>0</v>
      </c>
      <c r="I7321" s="283">
        <v>1</v>
      </c>
      <c r="J7321" s="284">
        <v>0</v>
      </c>
    </row>
    <row r="7322" spans="3:10" x14ac:dyDescent="0.25">
      <c r="C7322" s="300" t="s">
        <v>1065</v>
      </c>
      <c r="D7322" s="283" t="s">
        <v>1043</v>
      </c>
      <c r="E7322" s="283" t="s">
        <v>1084</v>
      </c>
      <c r="F7322" s="283" t="s">
        <v>1092</v>
      </c>
      <c r="G7322" s="283">
        <v>2</v>
      </c>
      <c r="H7322" s="283">
        <v>0</v>
      </c>
      <c r="I7322" s="283">
        <v>0</v>
      </c>
      <c r="J7322" s="284">
        <v>1</v>
      </c>
    </row>
    <row r="7323" spans="3:10" x14ac:dyDescent="0.25">
      <c r="C7323" s="300" t="s">
        <v>1067</v>
      </c>
      <c r="D7323" s="283" t="s">
        <v>1079</v>
      </c>
      <c r="E7323" s="283" t="s">
        <v>1075</v>
      </c>
      <c r="F7323" s="283" t="s">
        <v>1075</v>
      </c>
      <c r="G7323" s="283">
        <v>2</v>
      </c>
      <c r="H7323" s="283">
        <v>0</v>
      </c>
      <c r="I7323" s="283">
        <v>0</v>
      </c>
      <c r="J7323" s="284">
        <v>1</v>
      </c>
    </row>
    <row r="7324" spans="3:10" x14ac:dyDescent="0.25">
      <c r="C7324" s="300" t="s">
        <v>1064</v>
      </c>
      <c r="D7324" s="283" t="s">
        <v>1082</v>
      </c>
      <c r="E7324" s="283" t="s">
        <v>1075</v>
      </c>
      <c r="F7324" s="283" t="s">
        <v>1089</v>
      </c>
      <c r="G7324" s="283">
        <v>2</v>
      </c>
      <c r="H7324" s="283">
        <v>0</v>
      </c>
      <c r="I7324" s="283">
        <v>1</v>
      </c>
      <c r="J7324" s="284">
        <v>1</v>
      </c>
    </row>
    <row r="7325" spans="3:10" x14ac:dyDescent="0.25">
      <c r="C7325" s="300" t="s">
        <v>1062</v>
      </c>
      <c r="D7325" s="283" t="s">
        <v>1079</v>
      </c>
      <c r="E7325" s="283" t="s">
        <v>1075</v>
      </c>
      <c r="F7325" s="283" t="s">
        <v>1075</v>
      </c>
      <c r="G7325" s="283">
        <v>3</v>
      </c>
      <c r="H7325" s="283">
        <v>0</v>
      </c>
      <c r="I7325" s="283">
        <v>1</v>
      </c>
      <c r="J7325" s="284">
        <v>0</v>
      </c>
    </row>
    <row r="7326" spans="3:10" x14ac:dyDescent="0.25">
      <c r="C7326" s="300" t="s">
        <v>1068</v>
      </c>
      <c r="D7326" s="283" t="s">
        <v>1079</v>
      </c>
      <c r="E7326" s="283" t="s">
        <v>1075</v>
      </c>
      <c r="F7326" s="283" t="s">
        <v>1080</v>
      </c>
      <c r="G7326" s="283">
        <v>2</v>
      </c>
      <c r="H7326" s="283">
        <v>0</v>
      </c>
      <c r="I7326" s="283">
        <v>0</v>
      </c>
      <c r="J7326" s="284">
        <v>0</v>
      </c>
    </row>
    <row r="7327" spans="3:10" x14ac:dyDescent="0.25">
      <c r="C7327" s="300" t="s">
        <v>1062</v>
      </c>
      <c r="D7327" s="283" t="s">
        <v>1074</v>
      </c>
      <c r="E7327" s="283" t="s">
        <v>1075</v>
      </c>
      <c r="F7327" s="283" t="s">
        <v>1083</v>
      </c>
      <c r="G7327" s="283">
        <v>2</v>
      </c>
      <c r="H7327" s="283">
        <v>0</v>
      </c>
      <c r="I7327" s="283">
        <v>0</v>
      </c>
      <c r="J7327" s="284">
        <v>1</v>
      </c>
    </row>
    <row r="7328" spans="3:10" x14ac:dyDescent="0.25">
      <c r="C7328" s="300" t="s">
        <v>1067</v>
      </c>
      <c r="D7328" s="283" t="s">
        <v>1079</v>
      </c>
      <c r="E7328" s="283" t="s">
        <v>1075</v>
      </c>
      <c r="F7328" s="283" t="s">
        <v>1075</v>
      </c>
      <c r="G7328" s="283">
        <v>2</v>
      </c>
      <c r="H7328" s="283">
        <v>0</v>
      </c>
      <c r="I7328" s="283">
        <v>0</v>
      </c>
      <c r="J7328" s="284">
        <v>0</v>
      </c>
    </row>
    <row r="7329" spans="3:10" x14ac:dyDescent="0.25">
      <c r="C7329" s="300" t="s">
        <v>1065</v>
      </c>
      <c r="D7329" s="283" t="s">
        <v>1077</v>
      </c>
      <c r="E7329" s="283" t="s">
        <v>1089</v>
      </c>
      <c r="F7329" s="283" t="s">
        <v>1075</v>
      </c>
      <c r="G7329" s="283">
        <v>2</v>
      </c>
      <c r="H7329" s="283">
        <v>0</v>
      </c>
      <c r="I7329" s="283">
        <v>0</v>
      </c>
      <c r="J7329" s="284">
        <v>0</v>
      </c>
    </row>
    <row r="7330" spans="3:10" x14ac:dyDescent="0.25">
      <c r="C7330" s="300" t="s">
        <v>1062</v>
      </c>
      <c r="D7330" s="283" t="s">
        <v>1090</v>
      </c>
      <c r="E7330" s="283" t="s">
        <v>1075</v>
      </c>
      <c r="F7330" s="283" t="s">
        <v>524</v>
      </c>
      <c r="G7330" s="283">
        <v>1</v>
      </c>
      <c r="H7330" s="283">
        <v>0</v>
      </c>
      <c r="I7330" s="283">
        <v>0</v>
      </c>
      <c r="J7330" s="284">
        <v>1</v>
      </c>
    </row>
    <row r="7331" spans="3:10" x14ac:dyDescent="0.25">
      <c r="C7331" s="300" t="s">
        <v>1060</v>
      </c>
      <c r="D7331" s="283" t="s">
        <v>1079</v>
      </c>
      <c r="E7331" s="283" t="s">
        <v>1075</v>
      </c>
      <c r="F7331" s="283" t="s">
        <v>1093</v>
      </c>
      <c r="G7331" s="283">
        <v>2</v>
      </c>
      <c r="H7331" s="283">
        <v>0</v>
      </c>
      <c r="I7331" s="283">
        <v>1</v>
      </c>
      <c r="J7331" s="284">
        <v>0</v>
      </c>
    </row>
    <row r="7332" spans="3:10" x14ac:dyDescent="0.25">
      <c r="C7332" s="300" t="s">
        <v>1068</v>
      </c>
      <c r="D7332" s="283" t="s">
        <v>1074</v>
      </c>
      <c r="E7332" s="283" t="s">
        <v>1075</v>
      </c>
      <c r="F7332" s="283" t="s">
        <v>1089</v>
      </c>
      <c r="G7332" s="283">
        <v>2</v>
      </c>
      <c r="H7332" s="283">
        <v>0</v>
      </c>
      <c r="I7332" s="283">
        <v>0</v>
      </c>
      <c r="J7332" s="284">
        <v>1</v>
      </c>
    </row>
    <row r="7333" spans="3:10" x14ac:dyDescent="0.25">
      <c r="C7333" s="300" t="s">
        <v>1062</v>
      </c>
      <c r="D7333" s="283" t="s">
        <v>1074</v>
      </c>
      <c r="E7333" s="283" t="s">
        <v>1044</v>
      </c>
      <c r="F7333" s="283" t="s">
        <v>1084</v>
      </c>
      <c r="G7333" s="283">
        <v>2</v>
      </c>
      <c r="H7333" s="283">
        <v>0</v>
      </c>
      <c r="I7333" s="283">
        <v>0</v>
      </c>
      <c r="J7333" s="284">
        <v>1</v>
      </c>
    </row>
    <row r="7334" spans="3:10" x14ac:dyDescent="0.25">
      <c r="C7334" s="300" t="s">
        <v>1057</v>
      </c>
      <c r="D7334" s="283" t="s">
        <v>1087</v>
      </c>
      <c r="E7334" s="283" t="s">
        <v>1075</v>
      </c>
      <c r="F7334" s="283" t="s">
        <v>524</v>
      </c>
      <c r="G7334" s="283">
        <v>1</v>
      </c>
      <c r="H7334" s="283">
        <v>0</v>
      </c>
      <c r="I7334" s="283">
        <v>0</v>
      </c>
      <c r="J7334" s="284">
        <v>1</v>
      </c>
    </row>
    <row r="7335" spans="3:10" x14ac:dyDescent="0.25">
      <c r="C7335" s="300" t="s">
        <v>1063</v>
      </c>
      <c r="D7335" s="283" t="s">
        <v>1079</v>
      </c>
      <c r="E7335" s="283" t="s">
        <v>1076</v>
      </c>
      <c r="F7335" s="283" t="s">
        <v>1083</v>
      </c>
      <c r="G7335" s="283">
        <v>5</v>
      </c>
      <c r="H7335" s="283">
        <v>0</v>
      </c>
      <c r="I7335" s="283">
        <v>0</v>
      </c>
      <c r="J7335" s="284">
        <v>0</v>
      </c>
    </row>
    <row r="7336" spans="3:10" x14ac:dyDescent="0.25">
      <c r="C7336" s="300" t="s">
        <v>1061</v>
      </c>
      <c r="D7336" s="283" t="s">
        <v>1079</v>
      </c>
      <c r="E7336" s="283" t="s">
        <v>1075</v>
      </c>
      <c r="F7336" s="283" t="s">
        <v>1081</v>
      </c>
      <c r="G7336" s="283">
        <v>2</v>
      </c>
      <c r="H7336" s="283">
        <v>0</v>
      </c>
      <c r="I7336" s="283">
        <v>0</v>
      </c>
      <c r="J7336" s="284">
        <v>0</v>
      </c>
    </row>
    <row r="7337" spans="3:10" x14ac:dyDescent="0.25">
      <c r="C7337" s="300" t="s">
        <v>1058</v>
      </c>
      <c r="D7337" s="283" t="s">
        <v>1079</v>
      </c>
      <c r="E7337" s="283" t="s">
        <v>1075</v>
      </c>
      <c r="F7337" s="283" t="s">
        <v>1075</v>
      </c>
      <c r="G7337" s="283">
        <v>2</v>
      </c>
      <c r="H7337" s="283">
        <v>0</v>
      </c>
      <c r="I7337" s="283">
        <v>0</v>
      </c>
      <c r="J7337" s="284">
        <v>0</v>
      </c>
    </row>
    <row r="7338" spans="3:10" x14ac:dyDescent="0.25">
      <c r="C7338" s="300" t="s">
        <v>1066</v>
      </c>
      <c r="D7338" s="283" t="s">
        <v>1079</v>
      </c>
      <c r="E7338" s="283" t="s">
        <v>1044</v>
      </c>
      <c r="F7338" s="283" t="s">
        <v>1075</v>
      </c>
      <c r="G7338" s="283">
        <v>2</v>
      </c>
      <c r="H7338" s="283">
        <v>0</v>
      </c>
      <c r="I7338" s="283">
        <v>0</v>
      </c>
      <c r="J7338" s="284">
        <v>0</v>
      </c>
    </row>
    <row r="7339" spans="3:10" x14ac:dyDescent="0.25">
      <c r="C7339" s="300" t="s">
        <v>1061</v>
      </c>
      <c r="D7339" s="283" t="s">
        <v>1077</v>
      </c>
      <c r="E7339" s="283" t="s">
        <v>1075</v>
      </c>
      <c r="F7339" s="283" t="s">
        <v>1075</v>
      </c>
      <c r="G7339" s="283">
        <v>4</v>
      </c>
      <c r="H7339" s="283">
        <v>0</v>
      </c>
      <c r="I7339" s="283">
        <v>0</v>
      </c>
      <c r="J7339" s="284">
        <v>0</v>
      </c>
    </row>
    <row r="7340" spans="3:10" x14ac:dyDescent="0.25">
      <c r="C7340" s="300" t="s">
        <v>1060</v>
      </c>
      <c r="D7340" s="283" t="s">
        <v>1087</v>
      </c>
      <c r="E7340" s="283" t="s">
        <v>1075</v>
      </c>
      <c r="F7340" s="283" t="s">
        <v>524</v>
      </c>
      <c r="G7340" s="283">
        <v>1</v>
      </c>
      <c r="H7340" s="283">
        <v>0</v>
      </c>
      <c r="I7340" s="283">
        <v>0</v>
      </c>
      <c r="J7340" s="284">
        <v>0</v>
      </c>
    </row>
    <row r="7341" spans="3:10" x14ac:dyDescent="0.25">
      <c r="C7341" s="300" t="s">
        <v>1067</v>
      </c>
      <c r="D7341" s="283" t="s">
        <v>1043</v>
      </c>
      <c r="E7341" s="283" t="s">
        <v>1075</v>
      </c>
      <c r="F7341" s="283" t="s">
        <v>1092</v>
      </c>
      <c r="G7341" s="283">
        <v>2</v>
      </c>
      <c r="H7341" s="283">
        <v>0</v>
      </c>
      <c r="I7341" s="283">
        <v>0</v>
      </c>
      <c r="J7341" s="284">
        <v>0</v>
      </c>
    </row>
    <row r="7342" spans="3:10" x14ac:dyDescent="0.25">
      <c r="C7342" s="300" t="s">
        <v>1061</v>
      </c>
      <c r="D7342" s="283" t="s">
        <v>1095</v>
      </c>
      <c r="E7342" s="283" t="s">
        <v>1075</v>
      </c>
      <c r="F7342" s="283" t="s">
        <v>524</v>
      </c>
      <c r="G7342" s="283">
        <v>1</v>
      </c>
      <c r="H7342" s="283">
        <v>0</v>
      </c>
      <c r="I7342" s="283">
        <v>0</v>
      </c>
      <c r="J7342" s="284">
        <v>0</v>
      </c>
    </row>
    <row r="7343" spans="3:10" x14ac:dyDescent="0.25">
      <c r="C7343" s="300" t="s">
        <v>1064</v>
      </c>
      <c r="D7343" s="283" t="s">
        <v>1079</v>
      </c>
      <c r="E7343" s="283" t="s">
        <v>1076</v>
      </c>
      <c r="F7343" s="283" t="s">
        <v>1083</v>
      </c>
      <c r="G7343" s="283">
        <v>2</v>
      </c>
      <c r="H7343" s="283">
        <v>0</v>
      </c>
      <c r="I7343" s="283">
        <v>0</v>
      </c>
      <c r="J7343" s="284">
        <v>1</v>
      </c>
    </row>
    <row r="7344" spans="3:10" x14ac:dyDescent="0.25">
      <c r="C7344" s="300" t="s">
        <v>1064</v>
      </c>
      <c r="D7344" s="283" t="s">
        <v>1079</v>
      </c>
      <c r="E7344" s="283" t="s">
        <v>1089</v>
      </c>
      <c r="F7344" s="283" t="s">
        <v>1075</v>
      </c>
      <c r="G7344" s="283">
        <v>2</v>
      </c>
      <c r="H7344" s="283">
        <v>0</v>
      </c>
      <c r="I7344" s="283">
        <v>0</v>
      </c>
      <c r="J7344" s="284">
        <v>0</v>
      </c>
    </row>
    <row r="7345" spans="3:10" x14ac:dyDescent="0.25">
      <c r="C7345" s="300" t="s">
        <v>1065</v>
      </c>
      <c r="D7345" s="283" t="s">
        <v>1043</v>
      </c>
      <c r="E7345" s="283" t="s">
        <v>1075</v>
      </c>
      <c r="F7345" s="283" t="s">
        <v>1092</v>
      </c>
      <c r="G7345" s="283">
        <v>2</v>
      </c>
      <c r="H7345" s="283">
        <v>0</v>
      </c>
      <c r="I7345" s="283">
        <v>0</v>
      </c>
      <c r="J7345" s="284">
        <v>1</v>
      </c>
    </row>
    <row r="7346" spans="3:10" x14ac:dyDescent="0.25">
      <c r="C7346" s="300" t="s">
        <v>1066</v>
      </c>
      <c r="D7346" s="283" t="s">
        <v>1074</v>
      </c>
      <c r="E7346" s="283" t="s">
        <v>1089</v>
      </c>
      <c r="F7346" s="283" t="s">
        <v>1089</v>
      </c>
      <c r="G7346" s="283">
        <v>2</v>
      </c>
      <c r="H7346" s="283">
        <v>0</v>
      </c>
      <c r="I7346" s="283">
        <v>0</v>
      </c>
      <c r="J7346" s="284">
        <v>2</v>
      </c>
    </row>
    <row r="7347" spans="3:10" x14ac:dyDescent="0.25">
      <c r="C7347" s="300" t="s">
        <v>1061</v>
      </c>
      <c r="D7347" s="283" t="s">
        <v>1079</v>
      </c>
      <c r="E7347" s="283" t="s">
        <v>1083</v>
      </c>
      <c r="F7347" s="283" t="s">
        <v>1084</v>
      </c>
      <c r="G7347" s="283">
        <v>2</v>
      </c>
      <c r="H7347" s="283">
        <v>0</v>
      </c>
      <c r="I7347" s="283">
        <v>1</v>
      </c>
      <c r="J7347" s="284">
        <v>0</v>
      </c>
    </row>
    <row r="7348" spans="3:10" x14ac:dyDescent="0.25">
      <c r="C7348" s="300" t="s">
        <v>1065</v>
      </c>
      <c r="D7348" s="283" t="s">
        <v>1043</v>
      </c>
      <c r="E7348" s="283" t="s">
        <v>1076</v>
      </c>
      <c r="F7348" s="283" t="s">
        <v>1092</v>
      </c>
      <c r="G7348" s="283">
        <v>2</v>
      </c>
      <c r="H7348" s="283">
        <v>0</v>
      </c>
      <c r="I7348" s="283">
        <v>1</v>
      </c>
      <c r="J7348" s="284">
        <v>0</v>
      </c>
    </row>
    <row r="7349" spans="3:10" x14ac:dyDescent="0.25">
      <c r="C7349" s="300" t="s">
        <v>1063</v>
      </c>
      <c r="D7349" s="283" t="s">
        <v>1074</v>
      </c>
      <c r="E7349" s="283" t="s">
        <v>1044</v>
      </c>
      <c r="F7349" s="283" t="s">
        <v>1076</v>
      </c>
      <c r="G7349" s="283">
        <v>2</v>
      </c>
      <c r="H7349" s="283">
        <v>0</v>
      </c>
      <c r="I7349" s="283">
        <v>0</v>
      </c>
      <c r="J7349" s="284">
        <v>1</v>
      </c>
    </row>
    <row r="7350" spans="3:10" x14ac:dyDescent="0.25">
      <c r="C7350" s="300" t="s">
        <v>1067</v>
      </c>
      <c r="D7350" s="283" t="s">
        <v>1087</v>
      </c>
      <c r="E7350" s="283" t="s">
        <v>1075</v>
      </c>
      <c r="F7350" s="283" t="s">
        <v>524</v>
      </c>
      <c r="G7350" s="283">
        <v>1</v>
      </c>
      <c r="H7350" s="283">
        <v>0</v>
      </c>
      <c r="I7350" s="283">
        <v>0</v>
      </c>
      <c r="J7350" s="284">
        <v>1</v>
      </c>
    </row>
    <row r="7351" spans="3:10" x14ac:dyDescent="0.25">
      <c r="C7351" s="300" t="s">
        <v>1065</v>
      </c>
      <c r="D7351" s="283" t="s">
        <v>1074</v>
      </c>
      <c r="E7351" s="283" t="s">
        <v>1075</v>
      </c>
      <c r="F7351" s="283" t="s">
        <v>1083</v>
      </c>
      <c r="G7351" s="283">
        <v>2</v>
      </c>
      <c r="H7351" s="283">
        <v>0</v>
      </c>
      <c r="I7351" s="283">
        <v>0</v>
      </c>
      <c r="J7351" s="284">
        <v>0</v>
      </c>
    </row>
    <row r="7352" spans="3:10" x14ac:dyDescent="0.25">
      <c r="C7352" s="300" t="s">
        <v>1066</v>
      </c>
      <c r="D7352" s="283" t="s">
        <v>1074</v>
      </c>
      <c r="E7352" s="283" t="s">
        <v>1076</v>
      </c>
      <c r="F7352" s="283" t="s">
        <v>1078</v>
      </c>
      <c r="G7352" s="283">
        <v>2</v>
      </c>
      <c r="H7352" s="283">
        <v>0</v>
      </c>
      <c r="I7352" s="283">
        <v>0</v>
      </c>
      <c r="J7352" s="284">
        <v>0</v>
      </c>
    </row>
    <row r="7353" spans="3:10" x14ac:dyDescent="0.25">
      <c r="C7353" s="300" t="s">
        <v>1065</v>
      </c>
      <c r="D7353" s="283" t="s">
        <v>1077</v>
      </c>
      <c r="E7353" s="283" t="s">
        <v>1086</v>
      </c>
      <c r="F7353" s="283" t="s">
        <v>1075</v>
      </c>
      <c r="G7353" s="283">
        <v>3</v>
      </c>
      <c r="H7353" s="283">
        <v>0</v>
      </c>
      <c r="I7353" s="283">
        <v>0</v>
      </c>
      <c r="J7353" s="284">
        <v>2</v>
      </c>
    </row>
    <row r="7354" spans="3:10" x14ac:dyDescent="0.25">
      <c r="C7354" s="300" t="s">
        <v>1066</v>
      </c>
      <c r="D7354" s="283" t="s">
        <v>1079</v>
      </c>
      <c r="E7354" s="283" t="s">
        <v>1075</v>
      </c>
      <c r="F7354" s="283" t="s">
        <v>1083</v>
      </c>
      <c r="G7354" s="283">
        <v>2</v>
      </c>
      <c r="H7354" s="283">
        <v>0</v>
      </c>
      <c r="I7354" s="283">
        <v>0</v>
      </c>
      <c r="J7354" s="284">
        <v>1</v>
      </c>
    </row>
    <row r="7355" spans="3:10" x14ac:dyDescent="0.25">
      <c r="C7355" s="300" t="s">
        <v>1064</v>
      </c>
      <c r="D7355" s="283" t="s">
        <v>1077</v>
      </c>
      <c r="E7355" s="283" t="s">
        <v>1086</v>
      </c>
      <c r="F7355" s="283" t="s">
        <v>1089</v>
      </c>
      <c r="G7355" s="283">
        <v>2</v>
      </c>
      <c r="H7355" s="283">
        <v>0</v>
      </c>
      <c r="I7355" s="283">
        <v>0</v>
      </c>
      <c r="J7355" s="284">
        <v>0</v>
      </c>
    </row>
    <row r="7356" spans="3:10" x14ac:dyDescent="0.25">
      <c r="C7356" s="300" t="s">
        <v>1063</v>
      </c>
      <c r="D7356" s="283" t="s">
        <v>1090</v>
      </c>
      <c r="E7356" s="283" t="s">
        <v>1083</v>
      </c>
      <c r="F7356" s="283" t="s">
        <v>524</v>
      </c>
      <c r="G7356" s="283">
        <v>1</v>
      </c>
      <c r="H7356" s="283">
        <v>0</v>
      </c>
      <c r="I7356" s="283">
        <v>1</v>
      </c>
      <c r="J7356" s="284">
        <v>0</v>
      </c>
    </row>
    <row r="7357" spans="3:10" x14ac:dyDescent="0.25">
      <c r="C7357" s="300" t="s">
        <v>1060</v>
      </c>
      <c r="D7357" s="283" t="s">
        <v>1043</v>
      </c>
      <c r="E7357" s="283" t="s">
        <v>1044</v>
      </c>
      <c r="F7357" s="283" t="s">
        <v>1092</v>
      </c>
      <c r="G7357" s="283">
        <v>2</v>
      </c>
      <c r="H7357" s="283">
        <v>0</v>
      </c>
      <c r="I7357" s="283">
        <v>2</v>
      </c>
      <c r="J7357" s="284">
        <v>0</v>
      </c>
    </row>
    <row r="7358" spans="3:10" x14ac:dyDescent="0.25">
      <c r="C7358" s="300" t="s">
        <v>1063</v>
      </c>
      <c r="D7358" s="283" t="s">
        <v>1079</v>
      </c>
      <c r="E7358" s="283" t="s">
        <v>1086</v>
      </c>
      <c r="F7358" s="283" t="s">
        <v>1075</v>
      </c>
      <c r="G7358" s="283">
        <v>2</v>
      </c>
      <c r="H7358" s="283">
        <v>0</v>
      </c>
      <c r="I7358" s="283">
        <v>0</v>
      </c>
      <c r="J7358" s="284">
        <v>0</v>
      </c>
    </row>
    <row r="7359" spans="3:10" x14ac:dyDescent="0.25">
      <c r="C7359" s="300" t="s">
        <v>1068</v>
      </c>
      <c r="D7359" s="283" t="s">
        <v>1087</v>
      </c>
      <c r="E7359" s="283" t="s">
        <v>1075</v>
      </c>
      <c r="F7359" s="283" t="s">
        <v>524</v>
      </c>
      <c r="G7359" s="283">
        <v>1</v>
      </c>
      <c r="H7359" s="283">
        <v>0</v>
      </c>
      <c r="I7359" s="283">
        <v>2</v>
      </c>
      <c r="J7359" s="284">
        <v>0</v>
      </c>
    </row>
    <row r="7360" spans="3:10" x14ac:dyDescent="0.25">
      <c r="C7360" s="300" t="s">
        <v>1065</v>
      </c>
      <c r="D7360" s="283" t="s">
        <v>1079</v>
      </c>
      <c r="E7360" s="283" t="s">
        <v>1075</v>
      </c>
      <c r="F7360" s="283" t="s">
        <v>1078</v>
      </c>
      <c r="G7360" s="283">
        <v>2</v>
      </c>
      <c r="H7360" s="283">
        <v>0</v>
      </c>
      <c r="I7360" s="283">
        <v>0</v>
      </c>
      <c r="J7360" s="284">
        <v>0</v>
      </c>
    </row>
    <row r="7361" spans="3:10" x14ac:dyDescent="0.25">
      <c r="C7361" s="300" t="s">
        <v>1059</v>
      </c>
      <c r="D7361" s="283" t="s">
        <v>1087</v>
      </c>
      <c r="E7361" s="283" t="s">
        <v>1083</v>
      </c>
      <c r="F7361" s="283" t="s">
        <v>524</v>
      </c>
      <c r="G7361" s="283">
        <v>1</v>
      </c>
      <c r="H7361" s="283">
        <v>0</v>
      </c>
      <c r="I7361" s="283">
        <v>1</v>
      </c>
      <c r="J7361" s="284">
        <v>0</v>
      </c>
    </row>
    <row r="7362" spans="3:10" x14ac:dyDescent="0.25">
      <c r="C7362" s="300" t="s">
        <v>1067</v>
      </c>
      <c r="D7362" s="283" t="s">
        <v>1077</v>
      </c>
      <c r="E7362" s="283" t="s">
        <v>1075</v>
      </c>
      <c r="F7362" s="283" t="s">
        <v>1075</v>
      </c>
      <c r="G7362" s="283">
        <v>2</v>
      </c>
      <c r="H7362" s="283">
        <v>0</v>
      </c>
      <c r="I7362" s="283">
        <v>1</v>
      </c>
      <c r="J7362" s="284">
        <v>0</v>
      </c>
    </row>
    <row r="7363" spans="3:10" x14ac:dyDescent="0.25">
      <c r="C7363" s="300" t="s">
        <v>1066</v>
      </c>
      <c r="D7363" s="283" t="s">
        <v>1079</v>
      </c>
      <c r="E7363" s="283" t="s">
        <v>1075</v>
      </c>
      <c r="F7363" s="283" t="s">
        <v>1076</v>
      </c>
      <c r="G7363" s="283">
        <v>3</v>
      </c>
      <c r="H7363" s="283">
        <v>0</v>
      </c>
      <c r="I7363" s="283">
        <v>0</v>
      </c>
      <c r="J7363" s="284">
        <v>1</v>
      </c>
    </row>
    <row r="7364" spans="3:10" x14ac:dyDescent="0.25">
      <c r="C7364" s="300" t="s">
        <v>1060</v>
      </c>
      <c r="D7364" s="283" t="s">
        <v>1077</v>
      </c>
      <c r="E7364" s="283" t="s">
        <v>1080</v>
      </c>
      <c r="F7364" s="283" t="s">
        <v>1084</v>
      </c>
      <c r="G7364" s="283">
        <v>4</v>
      </c>
      <c r="H7364" s="283">
        <v>0</v>
      </c>
      <c r="I7364" s="283">
        <v>1</v>
      </c>
      <c r="J7364" s="284">
        <v>0</v>
      </c>
    </row>
    <row r="7365" spans="3:10" x14ac:dyDescent="0.25">
      <c r="C7365" s="300" t="s">
        <v>1064</v>
      </c>
      <c r="D7365" s="283" t="s">
        <v>1090</v>
      </c>
      <c r="E7365" s="283" t="s">
        <v>1075</v>
      </c>
      <c r="F7365" s="283" t="s">
        <v>524</v>
      </c>
      <c r="G7365" s="283">
        <v>1</v>
      </c>
      <c r="H7365" s="283">
        <v>0</v>
      </c>
      <c r="I7365" s="283">
        <v>0</v>
      </c>
      <c r="J7365" s="284">
        <v>1</v>
      </c>
    </row>
    <row r="7366" spans="3:10" x14ac:dyDescent="0.25">
      <c r="C7366" s="300" t="s">
        <v>1064</v>
      </c>
      <c r="D7366" s="283" t="s">
        <v>1090</v>
      </c>
      <c r="E7366" s="283" t="s">
        <v>1083</v>
      </c>
      <c r="F7366" s="283" t="s">
        <v>524</v>
      </c>
      <c r="G7366" s="283">
        <v>1</v>
      </c>
      <c r="H7366" s="283">
        <v>0</v>
      </c>
      <c r="I7366" s="283">
        <v>1</v>
      </c>
      <c r="J7366" s="284">
        <v>0</v>
      </c>
    </row>
    <row r="7367" spans="3:10" x14ac:dyDescent="0.25">
      <c r="C7367" s="300" t="s">
        <v>1068</v>
      </c>
      <c r="D7367" s="283" t="s">
        <v>1079</v>
      </c>
      <c r="E7367" s="283" t="s">
        <v>1094</v>
      </c>
      <c r="F7367" s="283" t="s">
        <v>1075</v>
      </c>
      <c r="G7367" s="283">
        <v>2</v>
      </c>
      <c r="H7367" s="283">
        <v>0</v>
      </c>
      <c r="I7367" s="283">
        <v>0</v>
      </c>
      <c r="J7367" s="284">
        <v>1</v>
      </c>
    </row>
    <row r="7368" spans="3:10" x14ac:dyDescent="0.25">
      <c r="C7368" s="300" t="s">
        <v>1060</v>
      </c>
      <c r="D7368" s="283" t="s">
        <v>1074</v>
      </c>
      <c r="E7368" s="283" t="s">
        <v>1076</v>
      </c>
      <c r="F7368" s="283" t="s">
        <v>1083</v>
      </c>
      <c r="G7368" s="283">
        <v>3</v>
      </c>
      <c r="H7368" s="283">
        <v>0</v>
      </c>
      <c r="I7368" s="283">
        <v>0</v>
      </c>
      <c r="J7368" s="284">
        <v>1</v>
      </c>
    </row>
    <row r="7369" spans="3:10" x14ac:dyDescent="0.25">
      <c r="C7369" s="300" t="s">
        <v>1065</v>
      </c>
      <c r="D7369" s="283" t="s">
        <v>1074</v>
      </c>
      <c r="E7369" s="283" t="s">
        <v>1089</v>
      </c>
      <c r="F7369" s="283" t="s">
        <v>1089</v>
      </c>
      <c r="G7369" s="283">
        <v>2</v>
      </c>
      <c r="H7369" s="283">
        <v>0</v>
      </c>
      <c r="I7369" s="283">
        <v>0</v>
      </c>
      <c r="J7369" s="284">
        <v>2</v>
      </c>
    </row>
    <row r="7370" spans="3:10" x14ac:dyDescent="0.25">
      <c r="C7370" s="300" t="s">
        <v>1060</v>
      </c>
      <c r="D7370" s="283" t="s">
        <v>1087</v>
      </c>
      <c r="E7370" s="283" t="s">
        <v>1083</v>
      </c>
      <c r="F7370" s="283" t="s">
        <v>524</v>
      </c>
      <c r="G7370" s="283">
        <v>1</v>
      </c>
      <c r="H7370" s="283">
        <v>0</v>
      </c>
      <c r="I7370" s="283">
        <v>1</v>
      </c>
      <c r="J7370" s="284">
        <v>0</v>
      </c>
    </row>
    <row r="7371" spans="3:10" x14ac:dyDescent="0.25">
      <c r="C7371" s="300" t="s">
        <v>1067</v>
      </c>
      <c r="D7371" s="283" t="s">
        <v>1090</v>
      </c>
      <c r="E7371" s="283" t="s">
        <v>1083</v>
      </c>
      <c r="F7371" s="283" t="s">
        <v>524</v>
      </c>
      <c r="G7371" s="283">
        <v>1</v>
      </c>
      <c r="H7371" s="283">
        <v>0</v>
      </c>
      <c r="I7371" s="283">
        <v>0</v>
      </c>
      <c r="J7371" s="284">
        <v>1</v>
      </c>
    </row>
    <row r="7372" spans="3:10" x14ac:dyDescent="0.25">
      <c r="C7372" s="300" t="s">
        <v>1058</v>
      </c>
      <c r="D7372" s="283" t="s">
        <v>1087</v>
      </c>
      <c r="E7372" s="283" t="s">
        <v>1075</v>
      </c>
      <c r="F7372" s="283" t="s">
        <v>524</v>
      </c>
      <c r="G7372" s="283">
        <v>1</v>
      </c>
      <c r="H7372" s="283">
        <v>0</v>
      </c>
      <c r="I7372" s="283">
        <v>2</v>
      </c>
      <c r="J7372" s="284">
        <v>0</v>
      </c>
    </row>
    <row r="7373" spans="3:10" x14ac:dyDescent="0.25">
      <c r="C7373" s="300" t="s">
        <v>1064</v>
      </c>
      <c r="D7373" s="283" t="s">
        <v>1077</v>
      </c>
      <c r="E7373" s="283" t="s">
        <v>1075</v>
      </c>
      <c r="F7373" s="283" t="s">
        <v>1075</v>
      </c>
      <c r="G7373" s="283">
        <v>2</v>
      </c>
      <c r="H7373" s="283">
        <v>0</v>
      </c>
      <c r="I7373" s="283">
        <v>0</v>
      </c>
      <c r="J7373" s="284">
        <v>0</v>
      </c>
    </row>
    <row r="7374" spans="3:10" x14ac:dyDescent="0.25">
      <c r="C7374" s="300" t="s">
        <v>1060</v>
      </c>
      <c r="D7374" s="283" t="s">
        <v>1082</v>
      </c>
      <c r="E7374" s="283" t="s">
        <v>1075</v>
      </c>
      <c r="F7374" s="283" t="s">
        <v>1076</v>
      </c>
      <c r="G7374" s="283">
        <v>3</v>
      </c>
      <c r="H7374" s="283">
        <v>0</v>
      </c>
      <c r="I7374" s="283">
        <v>1</v>
      </c>
      <c r="J7374" s="284">
        <v>2</v>
      </c>
    </row>
    <row r="7375" spans="3:10" x14ac:dyDescent="0.25">
      <c r="C7375" s="300" t="s">
        <v>1065</v>
      </c>
      <c r="D7375" s="283" t="s">
        <v>1077</v>
      </c>
      <c r="E7375" s="283" t="s">
        <v>1075</v>
      </c>
      <c r="F7375" s="283" t="s">
        <v>1075</v>
      </c>
      <c r="G7375" s="283">
        <v>2</v>
      </c>
      <c r="H7375" s="283">
        <v>0</v>
      </c>
      <c r="I7375" s="283">
        <v>0</v>
      </c>
      <c r="J7375" s="284">
        <v>1</v>
      </c>
    </row>
    <row r="7376" spans="3:10" x14ac:dyDescent="0.25">
      <c r="C7376" s="300" t="s">
        <v>1067</v>
      </c>
      <c r="D7376" s="283" t="s">
        <v>1079</v>
      </c>
      <c r="E7376" s="283" t="s">
        <v>1083</v>
      </c>
      <c r="F7376" s="283" t="s">
        <v>1089</v>
      </c>
      <c r="G7376" s="283">
        <v>2</v>
      </c>
      <c r="H7376" s="283">
        <v>0</v>
      </c>
      <c r="I7376" s="283">
        <v>0</v>
      </c>
      <c r="J7376" s="284">
        <v>1</v>
      </c>
    </row>
    <row r="7377" spans="3:10" x14ac:dyDescent="0.25">
      <c r="C7377" s="300" t="s">
        <v>1059</v>
      </c>
      <c r="D7377" s="283" t="s">
        <v>1079</v>
      </c>
      <c r="E7377" s="283" t="s">
        <v>1075</v>
      </c>
      <c r="F7377" s="283" t="s">
        <v>1075</v>
      </c>
      <c r="G7377" s="283">
        <v>2</v>
      </c>
      <c r="H7377" s="283">
        <v>0</v>
      </c>
      <c r="I7377" s="283">
        <v>1</v>
      </c>
      <c r="J7377" s="284">
        <v>0</v>
      </c>
    </row>
    <row r="7378" spans="3:10" x14ac:dyDescent="0.25">
      <c r="C7378" s="300" t="s">
        <v>1064</v>
      </c>
      <c r="D7378" s="283" t="s">
        <v>1082</v>
      </c>
      <c r="E7378" s="283" t="s">
        <v>1075</v>
      </c>
      <c r="F7378" s="283" t="s">
        <v>1075</v>
      </c>
      <c r="G7378" s="283">
        <v>2</v>
      </c>
      <c r="H7378" s="283">
        <v>0</v>
      </c>
      <c r="I7378" s="283">
        <v>0</v>
      </c>
      <c r="J7378" s="284">
        <v>2</v>
      </c>
    </row>
    <row r="7379" spans="3:10" x14ac:dyDescent="0.25">
      <c r="C7379" s="300" t="s">
        <v>1065</v>
      </c>
      <c r="D7379" s="283" t="s">
        <v>1077</v>
      </c>
      <c r="E7379" s="283" t="s">
        <v>1075</v>
      </c>
      <c r="F7379" s="283" t="s">
        <v>1075</v>
      </c>
      <c r="G7379" s="283">
        <v>2</v>
      </c>
      <c r="H7379" s="283">
        <v>0</v>
      </c>
      <c r="I7379" s="283">
        <v>0</v>
      </c>
      <c r="J7379" s="284">
        <v>0</v>
      </c>
    </row>
    <row r="7380" spans="3:10" x14ac:dyDescent="0.25">
      <c r="C7380" s="300" t="s">
        <v>1064</v>
      </c>
      <c r="D7380" s="283" t="s">
        <v>1043</v>
      </c>
      <c r="E7380" s="283" t="s">
        <v>1075</v>
      </c>
      <c r="F7380" s="283" t="s">
        <v>1092</v>
      </c>
      <c r="G7380" s="283">
        <v>2</v>
      </c>
      <c r="H7380" s="283">
        <v>0</v>
      </c>
      <c r="I7380" s="283">
        <v>0</v>
      </c>
      <c r="J7380" s="284">
        <v>0</v>
      </c>
    </row>
    <row r="7381" spans="3:10" x14ac:dyDescent="0.25">
      <c r="C7381" s="300" t="s">
        <v>1060</v>
      </c>
      <c r="D7381" s="283" t="s">
        <v>1079</v>
      </c>
      <c r="E7381" s="283" t="s">
        <v>1076</v>
      </c>
      <c r="F7381" s="283" t="s">
        <v>1089</v>
      </c>
      <c r="G7381" s="283">
        <v>2</v>
      </c>
      <c r="H7381" s="283">
        <v>0</v>
      </c>
      <c r="I7381" s="283">
        <v>0</v>
      </c>
      <c r="J7381" s="284">
        <v>2</v>
      </c>
    </row>
    <row r="7382" spans="3:10" x14ac:dyDescent="0.25">
      <c r="C7382" s="300" t="s">
        <v>1065</v>
      </c>
      <c r="D7382" s="283" t="s">
        <v>1077</v>
      </c>
      <c r="E7382" s="283" t="s">
        <v>1044</v>
      </c>
      <c r="F7382" s="283" t="s">
        <v>1075</v>
      </c>
      <c r="G7382" s="283">
        <v>2</v>
      </c>
      <c r="H7382" s="283">
        <v>0</v>
      </c>
      <c r="I7382" s="283">
        <v>1</v>
      </c>
      <c r="J7382" s="284">
        <v>0</v>
      </c>
    </row>
    <row r="7383" spans="3:10" x14ac:dyDescent="0.25">
      <c r="C7383" s="300" t="s">
        <v>1057</v>
      </c>
      <c r="D7383" s="283" t="s">
        <v>1079</v>
      </c>
      <c r="E7383" s="283" t="s">
        <v>1076</v>
      </c>
      <c r="F7383" s="283" t="s">
        <v>1078</v>
      </c>
      <c r="G7383" s="283">
        <v>2</v>
      </c>
      <c r="H7383" s="283">
        <v>0</v>
      </c>
      <c r="I7383" s="283">
        <v>1</v>
      </c>
      <c r="J7383" s="284">
        <v>0</v>
      </c>
    </row>
    <row r="7384" spans="3:10" x14ac:dyDescent="0.25">
      <c r="C7384" s="300" t="s">
        <v>1063</v>
      </c>
      <c r="D7384" s="283" t="s">
        <v>1074</v>
      </c>
      <c r="E7384" s="283" t="s">
        <v>1075</v>
      </c>
      <c r="F7384" s="283" t="s">
        <v>1075</v>
      </c>
      <c r="G7384" s="283">
        <v>2</v>
      </c>
      <c r="H7384" s="283">
        <v>0</v>
      </c>
      <c r="I7384" s="283">
        <v>1</v>
      </c>
      <c r="J7384" s="284">
        <v>1</v>
      </c>
    </row>
    <row r="7385" spans="3:10" x14ac:dyDescent="0.25">
      <c r="C7385" s="300" t="s">
        <v>1057</v>
      </c>
      <c r="D7385" s="283" t="s">
        <v>1106</v>
      </c>
      <c r="E7385" s="283" t="s">
        <v>1113</v>
      </c>
      <c r="F7385" s="283" t="s">
        <v>524</v>
      </c>
      <c r="G7385" s="283">
        <v>1</v>
      </c>
      <c r="H7385" s="283">
        <v>0</v>
      </c>
      <c r="I7385" s="283">
        <v>1</v>
      </c>
      <c r="J7385" s="284">
        <v>0</v>
      </c>
    </row>
    <row r="7386" spans="3:10" x14ac:dyDescent="0.25">
      <c r="C7386" s="300" t="s">
        <v>1058</v>
      </c>
      <c r="D7386" s="283" t="s">
        <v>1087</v>
      </c>
      <c r="E7386" s="283" t="s">
        <v>1076</v>
      </c>
      <c r="F7386" s="283" t="s">
        <v>524</v>
      </c>
      <c r="G7386" s="283">
        <v>1</v>
      </c>
      <c r="H7386" s="283">
        <v>0</v>
      </c>
      <c r="I7386" s="283">
        <v>1</v>
      </c>
      <c r="J7386" s="284">
        <v>0</v>
      </c>
    </row>
    <row r="7387" spans="3:10" x14ac:dyDescent="0.25">
      <c r="C7387" s="300" t="s">
        <v>1065</v>
      </c>
      <c r="D7387" s="283" t="s">
        <v>1079</v>
      </c>
      <c r="E7387" s="283" t="s">
        <v>1075</v>
      </c>
      <c r="F7387" s="283" t="s">
        <v>1084</v>
      </c>
      <c r="G7387" s="283">
        <v>2</v>
      </c>
      <c r="H7387" s="283">
        <v>0</v>
      </c>
      <c r="I7387" s="283">
        <v>0</v>
      </c>
      <c r="J7387" s="284">
        <v>0</v>
      </c>
    </row>
    <row r="7388" spans="3:10" x14ac:dyDescent="0.25">
      <c r="C7388" s="300" t="s">
        <v>1066</v>
      </c>
      <c r="D7388" s="283" t="s">
        <v>1077</v>
      </c>
      <c r="E7388" s="283" t="s">
        <v>1075</v>
      </c>
      <c r="F7388" s="283" t="s">
        <v>1075</v>
      </c>
      <c r="G7388" s="283">
        <v>2</v>
      </c>
      <c r="H7388" s="283">
        <v>0</v>
      </c>
      <c r="I7388" s="283">
        <v>0</v>
      </c>
      <c r="J7388" s="284">
        <v>0</v>
      </c>
    </row>
    <row r="7389" spans="3:10" x14ac:dyDescent="0.25">
      <c r="C7389" s="300" t="s">
        <v>1065</v>
      </c>
      <c r="D7389" s="283" t="s">
        <v>1077</v>
      </c>
      <c r="E7389" s="283" t="s">
        <v>1078</v>
      </c>
      <c r="F7389" s="283" t="s">
        <v>1075</v>
      </c>
      <c r="G7389" s="283">
        <v>3</v>
      </c>
      <c r="H7389" s="283">
        <v>0</v>
      </c>
      <c r="I7389" s="283">
        <v>0</v>
      </c>
      <c r="J7389" s="284">
        <v>1</v>
      </c>
    </row>
    <row r="7390" spans="3:10" x14ac:dyDescent="0.25">
      <c r="C7390" s="300" t="s">
        <v>1061</v>
      </c>
      <c r="D7390" s="283" t="s">
        <v>1077</v>
      </c>
      <c r="E7390" s="283" t="s">
        <v>1089</v>
      </c>
      <c r="F7390" s="283" t="s">
        <v>1075</v>
      </c>
      <c r="G7390" s="283">
        <v>3</v>
      </c>
      <c r="H7390" s="283">
        <v>0</v>
      </c>
      <c r="I7390" s="283">
        <v>1</v>
      </c>
      <c r="J7390" s="284">
        <v>0</v>
      </c>
    </row>
    <row r="7391" spans="3:10" x14ac:dyDescent="0.25">
      <c r="C7391" s="300" t="s">
        <v>1059</v>
      </c>
      <c r="D7391" s="283" t="s">
        <v>1077</v>
      </c>
      <c r="E7391" s="283" t="s">
        <v>1075</v>
      </c>
      <c r="F7391" s="283" t="s">
        <v>1075</v>
      </c>
      <c r="G7391" s="283">
        <v>2</v>
      </c>
      <c r="H7391" s="283">
        <v>0</v>
      </c>
      <c r="I7391" s="283">
        <v>0</v>
      </c>
      <c r="J7391" s="284">
        <v>0</v>
      </c>
    </row>
    <row r="7392" spans="3:10" x14ac:dyDescent="0.25">
      <c r="C7392" s="300" t="s">
        <v>1064</v>
      </c>
      <c r="D7392" s="283" t="s">
        <v>1074</v>
      </c>
      <c r="E7392" s="283" t="s">
        <v>1075</v>
      </c>
      <c r="F7392" s="283" t="s">
        <v>1075</v>
      </c>
      <c r="G7392" s="283">
        <v>2</v>
      </c>
      <c r="H7392" s="283">
        <v>0</v>
      </c>
      <c r="I7392" s="283">
        <v>0</v>
      </c>
      <c r="J7392" s="284">
        <v>0</v>
      </c>
    </row>
    <row r="7393" spans="3:10" x14ac:dyDescent="0.25">
      <c r="C7393" s="300" t="s">
        <v>1060</v>
      </c>
      <c r="D7393" s="283" t="s">
        <v>1079</v>
      </c>
      <c r="E7393" s="283" t="s">
        <v>1089</v>
      </c>
      <c r="F7393" s="283" t="s">
        <v>1093</v>
      </c>
      <c r="G7393" s="283">
        <v>2</v>
      </c>
      <c r="H7393" s="283">
        <v>0</v>
      </c>
      <c r="I7393" s="283">
        <v>0</v>
      </c>
      <c r="J7393" s="284">
        <v>0</v>
      </c>
    </row>
    <row r="7394" spans="3:10" x14ac:dyDescent="0.25">
      <c r="C7394" s="300" t="s">
        <v>1066</v>
      </c>
      <c r="D7394" s="283" t="s">
        <v>1074</v>
      </c>
      <c r="E7394" s="283" t="s">
        <v>1089</v>
      </c>
      <c r="F7394" s="283" t="s">
        <v>1075</v>
      </c>
      <c r="G7394" s="283">
        <v>2</v>
      </c>
      <c r="H7394" s="283">
        <v>0</v>
      </c>
      <c r="I7394" s="283">
        <v>0</v>
      </c>
      <c r="J7394" s="284">
        <v>0</v>
      </c>
    </row>
    <row r="7395" spans="3:10" x14ac:dyDescent="0.25">
      <c r="C7395" s="300" t="s">
        <v>1064</v>
      </c>
      <c r="D7395" s="283" t="s">
        <v>1079</v>
      </c>
      <c r="E7395" s="283" t="s">
        <v>1089</v>
      </c>
      <c r="F7395" s="283" t="s">
        <v>1089</v>
      </c>
      <c r="G7395" s="283">
        <v>2</v>
      </c>
      <c r="H7395" s="283">
        <v>0</v>
      </c>
      <c r="I7395" s="283">
        <v>0</v>
      </c>
      <c r="J7395" s="284">
        <v>1</v>
      </c>
    </row>
    <row r="7396" spans="3:10" x14ac:dyDescent="0.25">
      <c r="C7396" s="300" t="s">
        <v>1065</v>
      </c>
      <c r="D7396" s="283" t="s">
        <v>1077</v>
      </c>
      <c r="E7396" s="283" t="s">
        <v>1075</v>
      </c>
      <c r="F7396" s="283" t="s">
        <v>1075</v>
      </c>
      <c r="G7396" s="283">
        <v>2</v>
      </c>
      <c r="H7396" s="283">
        <v>0</v>
      </c>
      <c r="I7396" s="283">
        <v>0</v>
      </c>
      <c r="J7396" s="284">
        <v>0</v>
      </c>
    </row>
    <row r="7397" spans="3:10" x14ac:dyDescent="0.25">
      <c r="C7397" s="300" t="s">
        <v>1059</v>
      </c>
      <c r="D7397" s="283" t="s">
        <v>1079</v>
      </c>
      <c r="E7397" s="283" t="s">
        <v>1075</v>
      </c>
      <c r="F7397" s="283" t="s">
        <v>1075</v>
      </c>
      <c r="G7397" s="283">
        <v>2</v>
      </c>
      <c r="H7397" s="283">
        <v>0</v>
      </c>
      <c r="I7397" s="283">
        <v>0</v>
      </c>
      <c r="J7397" s="284">
        <v>0</v>
      </c>
    </row>
    <row r="7398" spans="3:10" x14ac:dyDescent="0.25">
      <c r="C7398" s="300" t="s">
        <v>1065</v>
      </c>
      <c r="D7398" s="283" t="s">
        <v>1074</v>
      </c>
      <c r="E7398" s="283" t="s">
        <v>1076</v>
      </c>
      <c r="F7398" s="283" t="s">
        <v>1083</v>
      </c>
      <c r="G7398" s="283">
        <v>2</v>
      </c>
      <c r="H7398" s="283">
        <v>0</v>
      </c>
      <c r="I7398" s="283">
        <v>1</v>
      </c>
      <c r="J7398" s="284">
        <v>0</v>
      </c>
    </row>
    <row r="7399" spans="3:10" x14ac:dyDescent="0.25">
      <c r="C7399" s="300" t="s">
        <v>1065</v>
      </c>
      <c r="D7399" s="283" t="s">
        <v>1079</v>
      </c>
      <c r="E7399" s="283" t="s">
        <v>1093</v>
      </c>
      <c r="F7399" s="283" t="s">
        <v>1078</v>
      </c>
      <c r="G7399" s="283">
        <v>2</v>
      </c>
      <c r="H7399" s="283">
        <v>0</v>
      </c>
      <c r="I7399" s="283">
        <v>0</v>
      </c>
      <c r="J7399" s="284">
        <v>0</v>
      </c>
    </row>
    <row r="7400" spans="3:10" x14ac:dyDescent="0.25">
      <c r="C7400" s="300" t="s">
        <v>1064</v>
      </c>
      <c r="D7400" s="283" t="s">
        <v>1077</v>
      </c>
      <c r="E7400" s="283" t="s">
        <v>1089</v>
      </c>
      <c r="F7400" s="283" t="s">
        <v>1075</v>
      </c>
      <c r="G7400" s="283">
        <v>3</v>
      </c>
      <c r="H7400" s="283">
        <v>0</v>
      </c>
      <c r="I7400" s="283">
        <v>1</v>
      </c>
      <c r="J7400" s="284">
        <v>0</v>
      </c>
    </row>
    <row r="7401" spans="3:10" x14ac:dyDescent="0.25">
      <c r="C7401" s="300" t="s">
        <v>1065</v>
      </c>
      <c r="D7401" s="283" t="s">
        <v>1074</v>
      </c>
      <c r="E7401" s="283" t="s">
        <v>1075</v>
      </c>
      <c r="F7401" s="283" t="s">
        <v>1080</v>
      </c>
      <c r="G7401" s="283">
        <v>2</v>
      </c>
      <c r="H7401" s="283">
        <v>0</v>
      </c>
      <c r="I7401" s="283">
        <v>0</v>
      </c>
      <c r="J7401" s="284">
        <v>0</v>
      </c>
    </row>
    <row r="7402" spans="3:10" x14ac:dyDescent="0.25">
      <c r="C7402" s="300" t="s">
        <v>1065</v>
      </c>
      <c r="D7402" s="283" t="s">
        <v>1077</v>
      </c>
      <c r="E7402" s="283" t="s">
        <v>1076</v>
      </c>
      <c r="F7402" s="283" t="s">
        <v>1075</v>
      </c>
      <c r="G7402" s="283">
        <v>2</v>
      </c>
      <c r="H7402" s="283">
        <v>0</v>
      </c>
      <c r="I7402" s="283">
        <v>0</v>
      </c>
      <c r="J7402" s="284">
        <v>0</v>
      </c>
    </row>
    <row r="7403" spans="3:10" x14ac:dyDescent="0.25">
      <c r="C7403" s="300" t="s">
        <v>1061</v>
      </c>
      <c r="D7403" s="283" t="s">
        <v>1074</v>
      </c>
      <c r="E7403" s="283" t="s">
        <v>1089</v>
      </c>
      <c r="F7403" s="283" t="s">
        <v>1081</v>
      </c>
      <c r="G7403" s="283">
        <v>2</v>
      </c>
      <c r="H7403" s="283">
        <v>0</v>
      </c>
      <c r="I7403" s="283">
        <v>0</v>
      </c>
      <c r="J7403" s="284">
        <v>1</v>
      </c>
    </row>
    <row r="7404" spans="3:10" x14ac:dyDescent="0.25">
      <c r="C7404" s="300" t="s">
        <v>1061</v>
      </c>
      <c r="D7404" s="283" t="s">
        <v>1087</v>
      </c>
      <c r="E7404" s="283" t="s">
        <v>1075</v>
      </c>
      <c r="F7404" s="283" t="s">
        <v>524</v>
      </c>
      <c r="G7404" s="283">
        <v>1</v>
      </c>
      <c r="H7404" s="283">
        <v>0</v>
      </c>
      <c r="I7404" s="283">
        <v>0</v>
      </c>
      <c r="J7404" s="284">
        <v>0</v>
      </c>
    </row>
    <row r="7405" spans="3:10" x14ac:dyDescent="0.25">
      <c r="C7405" s="300" t="s">
        <v>1061</v>
      </c>
      <c r="D7405" s="283" t="s">
        <v>1079</v>
      </c>
      <c r="E7405" s="283" t="s">
        <v>1076</v>
      </c>
      <c r="F7405" s="283" t="s">
        <v>1075</v>
      </c>
      <c r="G7405" s="283">
        <v>2</v>
      </c>
      <c r="H7405" s="283">
        <v>0</v>
      </c>
      <c r="I7405" s="283">
        <v>0</v>
      </c>
      <c r="J7405" s="284">
        <v>0</v>
      </c>
    </row>
    <row r="7406" spans="3:10" x14ac:dyDescent="0.25">
      <c r="C7406" s="300" t="s">
        <v>1061</v>
      </c>
      <c r="D7406" s="283" t="s">
        <v>1074</v>
      </c>
      <c r="E7406" s="283" t="s">
        <v>1075</v>
      </c>
      <c r="F7406" s="283" t="s">
        <v>1075</v>
      </c>
      <c r="G7406" s="283">
        <v>4</v>
      </c>
      <c r="H7406" s="283">
        <v>0</v>
      </c>
      <c r="I7406" s="283">
        <v>1</v>
      </c>
      <c r="J7406" s="284">
        <v>1</v>
      </c>
    </row>
    <row r="7407" spans="3:10" x14ac:dyDescent="0.25">
      <c r="C7407" s="300" t="s">
        <v>1065</v>
      </c>
      <c r="D7407" s="283" t="s">
        <v>1077</v>
      </c>
      <c r="E7407" s="283" t="s">
        <v>1083</v>
      </c>
      <c r="F7407" s="283" t="s">
        <v>1076</v>
      </c>
      <c r="G7407" s="283">
        <v>3</v>
      </c>
      <c r="H7407" s="283">
        <v>0</v>
      </c>
      <c r="I7407" s="283">
        <v>0</v>
      </c>
      <c r="J7407" s="284">
        <v>1</v>
      </c>
    </row>
    <row r="7408" spans="3:10" x14ac:dyDescent="0.25">
      <c r="C7408" s="300" t="s">
        <v>1063</v>
      </c>
      <c r="D7408" s="283" t="s">
        <v>1077</v>
      </c>
      <c r="E7408" s="283" t="s">
        <v>1100</v>
      </c>
      <c r="F7408" s="283" t="s">
        <v>1100</v>
      </c>
      <c r="G7408" s="283">
        <v>3</v>
      </c>
      <c r="H7408" s="283">
        <v>0</v>
      </c>
      <c r="I7408" s="283">
        <v>1</v>
      </c>
      <c r="J7408" s="284">
        <v>0</v>
      </c>
    </row>
    <row r="7409" spans="3:10" x14ac:dyDescent="0.25">
      <c r="C7409" s="300" t="s">
        <v>1061</v>
      </c>
      <c r="D7409" s="283" t="s">
        <v>1082</v>
      </c>
      <c r="E7409" s="283" t="s">
        <v>1075</v>
      </c>
      <c r="F7409" s="283" t="s">
        <v>1084</v>
      </c>
      <c r="G7409" s="283">
        <v>2</v>
      </c>
      <c r="H7409" s="283">
        <v>0</v>
      </c>
      <c r="I7409" s="283">
        <v>0</v>
      </c>
      <c r="J7409" s="284">
        <v>1</v>
      </c>
    </row>
    <row r="7410" spans="3:10" x14ac:dyDescent="0.25">
      <c r="C7410" s="300" t="s">
        <v>1064</v>
      </c>
      <c r="D7410" s="283" t="s">
        <v>1082</v>
      </c>
      <c r="E7410" s="283" t="s">
        <v>1076</v>
      </c>
      <c r="F7410" s="283" t="s">
        <v>1075</v>
      </c>
      <c r="G7410" s="283">
        <v>2</v>
      </c>
      <c r="H7410" s="283">
        <v>0</v>
      </c>
      <c r="I7410" s="283">
        <v>0</v>
      </c>
      <c r="J7410" s="284">
        <v>0</v>
      </c>
    </row>
    <row r="7411" spans="3:10" x14ac:dyDescent="0.25">
      <c r="C7411" s="300" t="s">
        <v>1060</v>
      </c>
      <c r="D7411" s="283" t="s">
        <v>1077</v>
      </c>
      <c r="E7411" s="283" t="s">
        <v>1089</v>
      </c>
      <c r="F7411" s="283" t="s">
        <v>1076</v>
      </c>
      <c r="G7411" s="283">
        <v>2</v>
      </c>
      <c r="H7411" s="283">
        <v>0</v>
      </c>
      <c r="I7411" s="283">
        <v>0</v>
      </c>
      <c r="J7411" s="284">
        <v>0</v>
      </c>
    </row>
    <row r="7412" spans="3:10" x14ac:dyDescent="0.25">
      <c r="C7412" s="300" t="s">
        <v>1067</v>
      </c>
      <c r="D7412" s="283" t="s">
        <v>1079</v>
      </c>
      <c r="E7412" s="283" t="s">
        <v>1089</v>
      </c>
      <c r="F7412" s="283" t="s">
        <v>1075</v>
      </c>
      <c r="G7412" s="283">
        <v>2</v>
      </c>
      <c r="H7412" s="283">
        <v>0</v>
      </c>
      <c r="I7412" s="283">
        <v>0</v>
      </c>
      <c r="J7412" s="284">
        <v>1</v>
      </c>
    </row>
    <row r="7413" spans="3:10" x14ac:dyDescent="0.25">
      <c r="C7413" s="300" t="s">
        <v>1062</v>
      </c>
      <c r="D7413" s="283" t="s">
        <v>1079</v>
      </c>
      <c r="E7413" s="283" t="s">
        <v>1078</v>
      </c>
      <c r="F7413" s="283" t="s">
        <v>1089</v>
      </c>
      <c r="G7413" s="283">
        <v>2</v>
      </c>
      <c r="H7413" s="283">
        <v>0</v>
      </c>
      <c r="I7413" s="283">
        <v>0</v>
      </c>
      <c r="J7413" s="284">
        <v>0</v>
      </c>
    </row>
    <row r="7414" spans="3:10" x14ac:dyDescent="0.25">
      <c r="C7414" s="300" t="s">
        <v>1063</v>
      </c>
      <c r="D7414" s="283" t="s">
        <v>1079</v>
      </c>
      <c r="E7414" s="283" t="s">
        <v>1085</v>
      </c>
      <c r="F7414" s="283" t="s">
        <v>1075</v>
      </c>
      <c r="G7414" s="283">
        <v>2</v>
      </c>
      <c r="H7414" s="283">
        <v>0</v>
      </c>
      <c r="I7414" s="283">
        <v>0</v>
      </c>
      <c r="J7414" s="284">
        <v>0</v>
      </c>
    </row>
    <row r="7415" spans="3:10" x14ac:dyDescent="0.25">
      <c r="C7415" s="300" t="s">
        <v>1062</v>
      </c>
      <c r="D7415" s="283" t="s">
        <v>1079</v>
      </c>
      <c r="E7415" s="283" t="s">
        <v>1093</v>
      </c>
      <c r="F7415" s="283" t="s">
        <v>1089</v>
      </c>
      <c r="G7415" s="283">
        <v>3</v>
      </c>
      <c r="H7415" s="283">
        <v>0</v>
      </c>
      <c r="I7415" s="283">
        <v>0</v>
      </c>
      <c r="J7415" s="284">
        <v>1</v>
      </c>
    </row>
    <row r="7416" spans="3:10" x14ac:dyDescent="0.25">
      <c r="C7416" s="300" t="s">
        <v>1065</v>
      </c>
      <c r="D7416" s="283" t="s">
        <v>1077</v>
      </c>
      <c r="E7416" s="283" t="s">
        <v>1075</v>
      </c>
      <c r="F7416" s="283" t="s">
        <v>1075</v>
      </c>
      <c r="G7416" s="283">
        <v>2</v>
      </c>
      <c r="H7416" s="283">
        <v>0</v>
      </c>
      <c r="I7416" s="283">
        <v>0</v>
      </c>
      <c r="J7416" s="284">
        <v>0</v>
      </c>
    </row>
    <row r="7417" spans="3:10" x14ac:dyDescent="0.25">
      <c r="C7417" s="300" t="s">
        <v>1064</v>
      </c>
      <c r="D7417" s="283" t="s">
        <v>1074</v>
      </c>
      <c r="E7417" s="283" t="s">
        <v>1084</v>
      </c>
      <c r="F7417" s="283" t="s">
        <v>1094</v>
      </c>
      <c r="G7417" s="283">
        <v>2</v>
      </c>
      <c r="H7417" s="283">
        <v>0</v>
      </c>
      <c r="I7417" s="283">
        <v>0</v>
      </c>
      <c r="J7417" s="284">
        <v>1</v>
      </c>
    </row>
    <row r="7418" spans="3:10" x14ac:dyDescent="0.25">
      <c r="C7418" s="300" t="s">
        <v>1063</v>
      </c>
      <c r="D7418" s="283" t="s">
        <v>1077</v>
      </c>
      <c r="E7418" s="283" t="s">
        <v>1075</v>
      </c>
      <c r="F7418" s="283" t="s">
        <v>1075</v>
      </c>
      <c r="G7418" s="283">
        <v>2</v>
      </c>
      <c r="H7418" s="283">
        <v>0</v>
      </c>
      <c r="I7418" s="283">
        <v>0</v>
      </c>
      <c r="J7418" s="284">
        <v>2</v>
      </c>
    </row>
    <row r="7419" spans="3:10" x14ac:dyDescent="0.25">
      <c r="C7419" s="300" t="s">
        <v>1064</v>
      </c>
      <c r="D7419" s="283" t="s">
        <v>1077</v>
      </c>
      <c r="E7419" s="283" t="s">
        <v>1075</v>
      </c>
      <c r="F7419" s="283" t="s">
        <v>1076</v>
      </c>
      <c r="G7419" s="283">
        <v>2</v>
      </c>
      <c r="H7419" s="283">
        <v>0</v>
      </c>
      <c r="I7419" s="283">
        <v>0</v>
      </c>
      <c r="J7419" s="284">
        <v>0</v>
      </c>
    </row>
    <row r="7420" spans="3:10" x14ac:dyDescent="0.25">
      <c r="C7420" s="300" t="s">
        <v>1061</v>
      </c>
      <c r="D7420" s="283" t="s">
        <v>1082</v>
      </c>
      <c r="E7420" s="283" t="s">
        <v>1089</v>
      </c>
      <c r="F7420" s="283" t="s">
        <v>1081</v>
      </c>
      <c r="G7420" s="283">
        <v>2</v>
      </c>
      <c r="H7420" s="283">
        <v>0</v>
      </c>
      <c r="I7420" s="283">
        <v>0</v>
      </c>
      <c r="J7420" s="284">
        <v>0</v>
      </c>
    </row>
    <row r="7421" spans="3:10" x14ac:dyDescent="0.25">
      <c r="C7421" s="300" t="s">
        <v>1061</v>
      </c>
      <c r="D7421" s="283" t="s">
        <v>1079</v>
      </c>
      <c r="E7421" s="283" t="s">
        <v>1044</v>
      </c>
      <c r="F7421" s="283" t="s">
        <v>1078</v>
      </c>
      <c r="G7421" s="283">
        <v>2</v>
      </c>
      <c r="H7421" s="283">
        <v>0</v>
      </c>
      <c r="I7421" s="283">
        <v>0</v>
      </c>
      <c r="J7421" s="284">
        <v>1</v>
      </c>
    </row>
    <row r="7422" spans="3:10" x14ac:dyDescent="0.25">
      <c r="C7422" s="300" t="s">
        <v>1063</v>
      </c>
      <c r="D7422" s="283" t="s">
        <v>1079</v>
      </c>
      <c r="E7422" s="283" t="s">
        <v>1086</v>
      </c>
      <c r="F7422" s="283" t="s">
        <v>1089</v>
      </c>
      <c r="G7422" s="283">
        <v>2</v>
      </c>
      <c r="H7422" s="283">
        <v>0</v>
      </c>
      <c r="I7422" s="283">
        <v>0</v>
      </c>
      <c r="J7422" s="284">
        <v>0</v>
      </c>
    </row>
    <row r="7423" spans="3:10" x14ac:dyDescent="0.25">
      <c r="C7423" s="300" t="s">
        <v>1067</v>
      </c>
      <c r="D7423" s="283" t="s">
        <v>1079</v>
      </c>
      <c r="E7423" s="283" t="s">
        <v>1078</v>
      </c>
      <c r="F7423" s="283" t="s">
        <v>1084</v>
      </c>
      <c r="G7423" s="283">
        <v>3</v>
      </c>
      <c r="H7423" s="283">
        <v>0</v>
      </c>
      <c r="I7423" s="283">
        <v>0</v>
      </c>
      <c r="J7423" s="284">
        <v>1</v>
      </c>
    </row>
    <row r="7424" spans="3:10" x14ac:dyDescent="0.25">
      <c r="C7424" s="300" t="s">
        <v>1067</v>
      </c>
      <c r="D7424" s="283" t="s">
        <v>1079</v>
      </c>
      <c r="E7424" s="283" t="s">
        <v>1075</v>
      </c>
      <c r="F7424" s="283" t="s">
        <v>1075</v>
      </c>
      <c r="G7424" s="283">
        <v>2</v>
      </c>
      <c r="H7424" s="283">
        <v>0</v>
      </c>
      <c r="I7424" s="283">
        <v>0</v>
      </c>
      <c r="J7424" s="284">
        <v>0</v>
      </c>
    </row>
    <row r="7425" spans="3:10" x14ac:dyDescent="0.25">
      <c r="C7425" s="300" t="s">
        <v>1066</v>
      </c>
      <c r="D7425" s="283" t="s">
        <v>1074</v>
      </c>
      <c r="E7425" s="283" t="s">
        <v>1075</v>
      </c>
      <c r="F7425" s="283" t="s">
        <v>1075</v>
      </c>
      <c r="G7425" s="283">
        <v>2</v>
      </c>
      <c r="H7425" s="283">
        <v>0</v>
      </c>
      <c r="I7425" s="283">
        <v>1</v>
      </c>
      <c r="J7425" s="284">
        <v>0</v>
      </c>
    </row>
    <row r="7426" spans="3:10" x14ac:dyDescent="0.25">
      <c r="C7426" s="300" t="s">
        <v>1057</v>
      </c>
      <c r="D7426" s="283" t="s">
        <v>1077</v>
      </c>
      <c r="E7426" s="283" t="s">
        <v>1081</v>
      </c>
      <c r="F7426" s="283" t="s">
        <v>1075</v>
      </c>
      <c r="G7426" s="283">
        <v>2</v>
      </c>
      <c r="H7426" s="283">
        <v>0</v>
      </c>
      <c r="I7426" s="283">
        <v>0</v>
      </c>
      <c r="J7426" s="284">
        <v>0</v>
      </c>
    </row>
    <row r="7427" spans="3:10" x14ac:dyDescent="0.25">
      <c r="C7427" s="300" t="s">
        <v>1064</v>
      </c>
      <c r="D7427" s="283" t="s">
        <v>1087</v>
      </c>
      <c r="E7427" s="283" t="s">
        <v>1089</v>
      </c>
      <c r="F7427" s="283" t="s">
        <v>524</v>
      </c>
      <c r="G7427" s="283">
        <v>2</v>
      </c>
      <c r="H7427" s="283">
        <v>0</v>
      </c>
      <c r="I7427" s="283">
        <v>0</v>
      </c>
      <c r="J7427" s="284">
        <v>0</v>
      </c>
    </row>
    <row r="7428" spans="3:10" x14ac:dyDescent="0.25">
      <c r="C7428" s="300" t="s">
        <v>1068</v>
      </c>
      <c r="D7428" s="283" t="s">
        <v>1087</v>
      </c>
      <c r="E7428" s="283" t="s">
        <v>1083</v>
      </c>
      <c r="F7428" s="283" t="s">
        <v>524</v>
      </c>
      <c r="G7428" s="283">
        <v>1</v>
      </c>
      <c r="H7428" s="283">
        <v>0</v>
      </c>
      <c r="I7428" s="283">
        <v>1</v>
      </c>
      <c r="J7428" s="284">
        <v>0</v>
      </c>
    </row>
    <row r="7429" spans="3:10" x14ac:dyDescent="0.25">
      <c r="C7429" s="300" t="s">
        <v>1065</v>
      </c>
      <c r="D7429" s="283" t="s">
        <v>1077</v>
      </c>
      <c r="E7429" s="283" t="s">
        <v>1084</v>
      </c>
      <c r="F7429" s="283" t="s">
        <v>1078</v>
      </c>
      <c r="G7429" s="283">
        <v>2</v>
      </c>
      <c r="H7429" s="283">
        <v>0</v>
      </c>
      <c r="I7429" s="283">
        <v>0</v>
      </c>
      <c r="J7429" s="284">
        <v>0</v>
      </c>
    </row>
    <row r="7430" spans="3:10" x14ac:dyDescent="0.25">
      <c r="C7430" s="300" t="s">
        <v>1064</v>
      </c>
      <c r="D7430" s="283" t="s">
        <v>1074</v>
      </c>
      <c r="E7430" s="283" t="s">
        <v>1083</v>
      </c>
      <c r="F7430" s="283" t="s">
        <v>1075</v>
      </c>
      <c r="G7430" s="283">
        <v>2</v>
      </c>
      <c r="H7430" s="283">
        <v>0</v>
      </c>
      <c r="I7430" s="283">
        <v>0</v>
      </c>
      <c r="J7430" s="284">
        <v>1</v>
      </c>
    </row>
    <row r="7431" spans="3:10" x14ac:dyDescent="0.25">
      <c r="C7431" s="300" t="s">
        <v>1066</v>
      </c>
      <c r="D7431" s="283" t="s">
        <v>1077</v>
      </c>
      <c r="E7431" s="283" t="s">
        <v>1075</v>
      </c>
      <c r="F7431" s="283" t="s">
        <v>1081</v>
      </c>
      <c r="G7431" s="283">
        <v>2</v>
      </c>
      <c r="H7431" s="283">
        <v>0</v>
      </c>
      <c r="I7431" s="283">
        <v>0</v>
      </c>
      <c r="J7431" s="284">
        <v>0</v>
      </c>
    </row>
    <row r="7432" spans="3:10" x14ac:dyDescent="0.25">
      <c r="C7432" s="300" t="s">
        <v>1061</v>
      </c>
      <c r="D7432" s="283" t="s">
        <v>1077</v>
      </c>
      <c r="E7432" s="283" t="s">
        <v>1084</v>
      </c>
      <c r="F7432" s="283" t="s">
        <v>1089</v>
      </c>
      <c r="G7432" s="283">
        <v>4</v>
      </c>
      <c r="H7432" s="283">
        <v>0</v>
      </c>
      <c r="I7432" s="283">
        <v>0</v>
      </c>
      <c r="J7432" s="284">
        <v>1</v>
      </c>
    </row>
    <row r="7433" spans="3:10" x14ac:dyDescent="0.25">
      <c r="C7433" s="300" t="s">
        <v>1064</v>
      </c>
      <c r="D7433" s="283" t="s">
        <v>1079</v>
      </c>
      <c r="E7433" s="283" t="s">
        <v>1075</v>
      </c>
      <c r="F7433" s="283" t="s">
        <v>1075</v>
      </c>
      <c r="G7433" s="283">
        <v>2</v>
      </c>
      <c r="H7433" s="283">
        <v>0</v>
      </c>
      <c r="I7433" s="283">
        <v>1</v>
      </c>
      <c r="J7433" s="284">
        <v>0</v>
      </c>
    </row>
    <row r="7434" spans="3:10" x14ac:dyDescent="0.25">
      <c r="C7434" s="300" t="s">
        <v>1061</v>
      </c>
      <c r="D7434" s="283" t="s">
        <v>1043</v>
      </c>
      <c r="E7434" s="283" t="s">
        <v>1075</v>
      </c>
      <c r="F7434" s="283" t="s">
        <v>1092</v>
      </c>
      <c r="G7434" s="283">
        <v>2</v>
      </c>
      <c r="H7434" s="283">
        <v>0</v>
      </c>
      <c r="I7434" s="283">
        <v>1</v>
      </c>
      <c r="J7434" s="284">
        <v>0</v>
      </c>
    </row>
    <row r="7435" spans="3:10" x14ac:dyDescent="0.25">
      <c r="C7435" s="300" t="s">
        <v>1063</v>
      </c>
      <c r="D7435" s="283" t="s">
        <v>1043</v>
      </c>
      <c r="E7435" s="283" t="s">
        <v>1076</v>
      </c>
      <c r="F7435" s="283" t="s">
        <v>1092</v>
      </c>
      <c r="G7435" s="283">
        <v>2</v>
      </c>
      <c r="H7435" s="283">
        <v>0</v>
      </c>
      <c r="I7435" s="283">
        <v>1</v>
      </c>
      <c r="J7435" s="284">
        <v>1</v>
      </c>
    </row>
    <row r="7436" spans="3:10" x14ac:dyDescent="0.25">
      <c r="C7436" s="300" t="s">
        <v>1064</v>
      </c>
      <c r="D7436" s="283" t="s">
        <v>1079</v>
      </c>
      <c r="E7436" s="283" t="s">
        <v>1075</v>
      </c>
      <c r="F7436" s="283" t="s">
        <v>1076</v>
      </c>
      <c r="G7436" s="283">
        <v>2</v>
      </c>
      <c r="H7436" s="283">
        <v>0</v>
      </c>
      <c r="I7436" s="283">
        <v>0</v>
      </c>
      <c r="J7436" s="284">
        <v>0</v>
      </c>
    </row>
    <row r="7437" spans="3:10" x14ac:dyDescent="0.25">
      <c r="C7437" s="300" t="s">
        <v>1065</v>
      </c>
      <c r="D7437" s="283" t="s">
        <v>1082</v>
      </c>
      <c r="E7437" s="283" t="s">
        <v>1078</v>
      </c>
      <c r="F7437" s="283" t="s">
        <v>1089</v>
      </c>
      <c r="G7437" s="283">
        <v>2</v>
      </c>
      <c r="H7437" s="283">
        <v>0</v>
      </c>
      <c r="I7437" s="283">
        <v>2</v>
      </c>
      <c r="J7437" s="284">
        <v>0</v>
      </c>
    </row>
    <row r="7438" spans="3:10" x14ac:dyDescent="0.25">
      <c r="C7438" s="300" t="s">
        <v>1063</v>
      </c>
      <c r="D7438" s="283" t="s">
        <v>1077</v>
      </c>
      <c r="E7438" s="283" t="s">
        <v>1075</v>
      </c>
      <c r="F7438" s="283" t="s">
        <v>1075</v>
      </c>
      <c r="G7438" s="283">
        <v>2</v>
      </c>
      <c r="H7438" s="283">
        <v>0</v>
      </c>
      <c r="I7438" s="283">
        <v>0</v>
      </c>
      <c r="J7438" s="284">
        <v>0</v>
      </c>
    </row>
    <row r="7439" spans="3:10" x14ac:dyDescent="0.25">
      <c r="C7439" s="300" t="s">
        <v>1058</v>
      </c>
      <c r="D7439" s="283" t="s">
        <v>1087</v>
      </c>
      <c r="E7439" s="283" t="s">
        <v>1075</v>
      </c>
      <c r="F7439" s="283" t="s">
        <v>524</v>
      </c>
      <c r="G7439" s="283">
        <v>1</v>
      </c>
      <c r="H7439" s="283">
        <v>0</v>
      </c>
      <c r="I7439" s="283">
        <v>0</v>
      </c>
      <c r="J7439" s="284">
        <v>1</v>
      </c>
    </row>
    <row r="7440" spans="3:10" x14ac:dyDescent="0.25">
      <c r="C7440" s="300" t="s">
        <v>1064</v>
      </c>
      <c r="D7440" s="283" t="s">
        <v>1077</v>
      </c>
      <c r="E7440" s="283" t="s">
        <v>1076</v>
      </c>
      <c r="F7440" s="283" t="s">
        <v>1089</v>
      </c>
      <c r="G7440" s="283">
        <v>2</v>
      </c>
      <c r="H7440" s="283">
        <v>0</v>
      </c>
      <c r="I7440" s="283">
        <v>0</v>
      </c>
      <c r="J7440" s="284">
        <v>1</v>
      </c>
    </row>
    <row r="7441" spans="3:10" x14ac:dyDescent="0.25">
      <c r="C7441" s="300" t="s">
        <v>1063</v>
      </c>
      <c r="D7441" s="283" t="s">
        <v>1074</v>
      </c>
      <c r="E7441" s="283" t="s">
        <v>1089</v>
      </c>
      <c r="F7441" s="283" t="s">
        <v>1075</v>
      </c>
      <c r="G7441" s="283">
        <v>2</v>
      </c>
      <c r="H7441" s="283">
        <v>0</v>
      </c>
      <c r="I7441" s="283">
        <v>0</v>
      </c>
      <c r="J7441" s="284">
        <v>1</v>
      </c>
    </row>
    <row r="7442" spans="3:10" x14ac:dyDescent="0.25">
      <c r="C7442" s="300" t="s">
        <v>1063</v>
      </c>
      <c r="D7442" s="283" t="s">
        <v>1074</v>
      </c>
      <c r="E7442" s="283" t="s">
        <v>1119</v>
      </c>
      <c r="F7442" s="283" t="s">
        <v>1075</v>
      </c>
      <c r="G7442" s="283">
        <v>2</v>
      </c>
      <c r="H7442" s="283">
        <v>0</v>
      </c>
      <c r="I7442" s="283">
        <v>0</v>
      </c>
      <c r="J7442" s="284">
        <v>2</v>
      </c>
    </row>
    <row r="7443" spans="3:10" x14ac:dyDescent="0.25">
      <c r="C7443" s="300" t="s">
        <v>1064</v>
      </c>
      <c r="D7443" s="283" t="s">
        <v>1074</v>
      </c>
      <c r="E7443" s="283" t="s">
        <v>1084</v>
      </c>
      <c r="F7443" s="283" t="s">
        <v>1044</v>
      </c>
      <c r="G7443" s="283">
        <v>2</v>
      </c>
      <c r="H7443" s="283">
        <v>0</v>
      </c>
      <c r="I7443" s="283">
        <v>1</v>
      </c>
      <c r="J7443" s="284">
        <v>1</v>
      </c>
    </row>
    <row r="7444" spans="3:10" x14ac:dyDescent="0.25">
      <c r="C7444" s="300" t="s">
        <v>1064</v>
      </c>
      <c r="D7444" s="283" t="s">
        <v>1074</v>
      </c>
      <c r="E7444" s="283" t="s">
        <v>1083</v>
      </c>
      <c r="F7444" s="283" t="s">
        <v>1075</v>
      </c>
      <c r="G7444" s="283">
        <v>2</v>
      </c>
      <c r="H7444" s="283">
        <v>0</v>
      </c>
      <c r="I7444" s="283">
        <v>0</v>
      </c>
      <c r="J7444" s="284">
        <v>0</v>
      </c>
    </row>
    <row r="7445" spans="3:10" x14ac:dyDescent="0.25">
      <c r="C7445" s="300" t="s">
        <v>1061</v>
      </c>
      <c r="D7445" s="283" t="s">
        <v>1082</v>
      </c>
      <c r="E7445" s="283" t="s">
        <v>1080</v>
      </c>
      <c r="F7445" s="283" t="s">
        <v>1084</v>
      </c>
      <c r="G7445" s="283">
        <v>2</v>
      </c>
      <c r="H7445" s="283">
        <v>0</v>
      </c>
      <c r="I7445" s="283">
        <v>1</v>
      </c>
      <c r="J7445" s="284">
        <v>0</v>
      </c>
    </row>
    <row r="7446" spans="3:10" x14ac:dyDescent="0.25">
      <c r="C7446" s="300" t="s">
        <v>1065</v>
      </c>
      <c r="D7446" s="283" t="s">
        <v>1079</v>
      </c>
      <c r="E7446" s="283" t="s">
        <v>1075</v>
      </c>
      <c r="F7446" s="283" t="s">
        <v>1078</v>
      </c>
      <c r="G7446" s="283">
        <v>2</v>
      </c>
      <c r="H7446" s="283">
        <v>0</v>
      </c>
      <c r="I7446" s="283">
        <v>0</v>
      </c>
      <c r="J7446" s="284">
        <v>1</v>
      </c>
    </row>
    <row r="7447" spans="3:10" x14ac:dyDescent="0.25">
      <c r="C7447" s="300" t="s">
        <v>1062</v>
      </c>
      <c r="D7447" s="283" t="s">
        <v>1074</v>
      </c>
      <c r="E7447" s="283" t="s">
        <v>1075</v>
      </c>
      <c r="F7447" s="283" t="s">
        <v>1075</v>
      </c>
      <c r="G7447" s="283">
        <v>2</v>
      </c>
      <c r="H7447" s="283">
        <v>0</v>
      </c>
      <c r="I7447" s="283">
        <v>1</v>
      </c>
      <c r="J7447" s="284">
        <v>0</v>
      </c>
    </row>
    <row r="7448" spans="3:10" x14ac:dyDescent="0.25">
      <c r="C7448" s="300" t="s">
        <v>1063</v>
      </c>
      <c r="D7448" s="283" t="s">
        <v>1043</v>
      </c>
      <c r="E7448" s="283" t="s">
        <v>1075</v>
      </c>
      <c r="F7448" s="283" t="s">
        <v>1092</v>
      </c>
      <c r="G7448" s="283">
        <v>2</v>
      </c>
      <c r="H7448" s="283">
        <v>0</v>
      </c>
      <c r="I7448" s="283">
        <v>0</v>
      </c>
      <c r="J7448" s="284">
        <v>1</v>
      </c>
    </row>
    <row r="7449" spans="3:10" x14ac:dyDescent="0.25">
      <c r="C7449" s="300" t="s">
        <v>1060</v>
      </c>
      <c r="D7449" s="283" t="s">
        <v>1077</v>
      </c>
      <c r="E7449" s="283" t="s">
        <v>1076</v>
      </c>
      <c r="F7449" s="283" t="s">
        <v>1076</v>
      </c>
      <c r="G7449" s="283">
        <v>2</v>
      </c>
      <c r="H7449" s="283">
        <v>0</v>
      </c>
      <c r="I7449" s="283">
        <v>0</v>
      </c>
      <c r="J7449" s="284">
        <v>0</v>
      </c>
    </row>
    <row r="7450" spans="3:10" x14ac:dyDescent="0.25">
      <c r="C7450" s="300" t="s">
        <v>1067</v>
      </c>
      <c r="D7450" s="283" t="s">
        <v>1079</v>
      </c>
      <c r="E7450" s="283" t="s">
        <v>1075</v>
      </c>
      <c r="F7450" s="283" t="s">
        <v>1089</v>
      </c>
      <c r="G7450" s="283">
        <v>2</v>
      </c>
      <c r="H7450" s="283">
        <v>0</v>
      </c>
      <c r="I7450" s="283">
        <v>0</v>
      </c>
      <c r="J7450" s="284">
        <v>0</v>
      </c>
    </row>
    <row r="7451" spans="3:10" x14ac:dyDescent="0.25">
      <c r="C7451" s="300" t="s">
        <v>1061</v>
      </c>
      <c r="D7451" s="283" t="s">
        <v>1090</v>
      </c>
      <c r="E7451" s="283" t="s">
        <v>1083</v>
      </c>
      <c r="F7451" s="283" t="s">
        <v>524</v>
      </c>
      <c r="G7451" s="283">
        <v>1</v>
      </c>
      <c r="H7451" s="283">
        <v>0</v>
      </c>
      <c r="I7451" s="283">
        <v>0</v>
      </c>
      <c r="J7451" s="284">
        <v>1</v>
      </c>
    </row>
    <row r="7452" spans="3:10" x14ac:dyDescent="0.25">
      <c r="C7452" s="300" t="s">
        <v>1062</v>
      </c>
      <c r="D7452" s="283" t="s">
        <v>1077</v>
      </c>
      <c r="E7452" s="283" t="s">
        <v>1075</v>
      </c>
      <c r="F7452" s="283" t="s">
        <v>1078</v>
      </c>
      <c r="G7452" s="283">
        <v>2</v>
      </c>
      <c r="H7452" s="283">
        <v>0</v>
      </c>
      <c r="I7452" s="283">
        <v>0</v>
      </c>
      <c r="J7452" s="284">
        <v>0</v>
      </c>
    </row>
    <row r="7453" spans="3:10" x14ac:dyDescent="0.25">
      <c r="C7453" s="300" t="s">
        <v>1065</v>
      </c>
      <c r="D7453" s="283" t="s">
        <v>1087</v>
      </c>
      <c r="E7453" s="283" t="s">
        <v>1088</v>
      </c>
      <c r="F7453" s="283" t="s">
        <v>524</v>
      </c>
      <c r="G7453" s="283">
        <v>1</v>
      </c>
      <c r="H7453" s="283">
        <v>0</v>
      </c>
      <c r="I7453" s="283">
        <v>0</v>
      </c>
      <c r="J7453" s="284">
        <v>0</v>
      </c>
    </row>
    <row r="7454" spans="3:10" x14ac:dyDescent="0.25">
      <c r="C7454" s="300" t="s">
        <v>1060</v>
      </c>
      <c r="D7454" s="283" t="s">
        <v>1077</v>
      </c>
      <c r="E7454" s="283" t="s">
        <v>1076</v>
      </c>
      <c r="F7454" s="283" t="s">
        <v>1084</v>
      </c>
      <c r="G7454" s="283">
        <v>3</v>
      </c>
      <c r="H7454" s="283">
        <v>0</v>
      </c>
      <c r="I7454" s="283">
        <v>0</v>
      </c>
      <c r="J7454" s="284">
        <v>1</v>
      </c>
    </row>
    <row r="7455" spans="3:10" x14ac:dyDescent="0.25">
      <c r="C7455" s="300" t="s">
        <v>1063</v>
      </c>
      <c r="D7455" s="283" t="s">
        <v>1079</v>
      </c>
      <c r="E7455" s="283" t="s">
        <v>1083</v>
      </c>
      <c r="F7455" s="283" t="s">
        <v>1075</v>
      </c>
      <c r="G7455" s="283">
        <v>2</v>
      </c>
      <c r="H7455" s="283">
        <v>0</v>
      </c>
      <c r="I7455" s="283">
        <v>0</v>
      </c>
      <c r="J7455" s="284">
        <v>0</v>
      </c>
    </row>
    <row r="7456" spans="3:10" x14ac:dyDescent="0.25">
      <c r="C7456" s="300" t="s">
        <v>1064</v>
      </c>
      <c r="D7456" s="283" t="s">
        <v>1077</v>
      </c>
      <c r="E7456" s="283" t="s">
        <v>1084</v>
      </c>
      <c r="F7456" s="283" t="s">
        <v>1076</v>
      </c>
      <c r="G7456" s="283">
        <v>3</v>
      </c>
      <c r="H7456" s="283">
        <v>0</v>
      </c>
      <c r="I7456" s="283">
        <v>0</v>
      </c>
      <c r="J7456" s="284">
        <v>1</v>
      </c>
    </row>
    <row r="7457" spans="3:10" x14ac:dyDescent="0.25">
      <c r="C7457" s="300" t="s">
        <v>1057</v>
      </c>
      <c r="D7457" s="283" t="s">
        <v>1087</v>
      </c>
      <c r="E7457" s="283" t="s">
        <v>1083</v>
      </c>
      <c r="F7457" s="283" t="s">
        <v>524</v>
      </c>
      <c r="G7457" s="283">
        <v>1</v>
      </c>
      <c r="H7457" s="283">
        <v>0</v>
      </c>
      <c r="I7457" s="283">
        <v>1</v>
      </c>
      <c r="J7457" s="284">
        <v>0</v>
      </c>
    </row>
    <row r="7458" spans="3:10" x14ac:dyDescent="0.25">
      <c r="C7458" s="300" t="s">
        <v>1068</v>
      </c>
      <c r="D7458" s="283" t="s">
        <v>1079</v>
      </c>
      <c r="E7458" s="283" t="s">
        <v>1075</v>
      </c>
      <c r="F7458" s="283" t="s">
        <v>1080</v>
      </c>
      <c r="G7458" s="283">
        <v>2</v>
      </c>
      <c r="H7458" s="283">
        <v>0</v>
      </c>
      <c r="I7458" s="283">
        <v>0</v>
      </c>
      <c r="J7458" s="284">
        <v>3</v>
      </c>
    </row>
    <row r="7459" spans="3:10" x14ac:dyDescent="0.25">
      <c r="C7459" s="300" t="s">
        <v>1060</v>
      </c>
      <c r="D7459" s="283" t="s">
        <v>1087</v>
      </c>
      <c r="E7459" s="283" t="s">
        <v>1075</v>
      </c>
      <c r="F7459" s="283" t="s">
        <v>524</v>
      </c>
      <c r="G7459" s="283">
        <v>1</v>
      </c>
      <c r="H7459" s="283">
        <v>0</v>
      </c>
      <c r="I7459" s="283">
        <v>0</v>
      </c>
      <c r="J7459" s="284">
        <v>0</v>
      </c>
    </row>
    <row r="7460" spans="3:10" x14ac:dyDescent="0.25">
      <c r="C7460" s="300" t="s">
        <v>1063</v>
      </c>
      <c r="D7460" s="283" t="s">
        <v>1079</v>
      </c>
      <c r="E7460" s="283" t="s">
        <v>1089</v>
      </c>
      <c r="F7460" s="283" t="s">
        <v>1075</v>
      </c>
      <c r="G7460" s="283">
        <v>2</v>
      </c>
      <c r="H7460" s="283">
        <v>0</v>
      </c>
      <c r="I7460" s="283">
        <v>0</v>
      </c>
      <c r="J7460" s="284">
        <v>0</v>
      </c>
    </row>
    <row r="7461" spans="3:10" x14ac:dyDescent="0.25">
      <c r="C7461" s="300" t="s">
        <v>1066</v>
      </c>
      <c r="D7461" s="283" t="s">
        <v>1074</v>
      </c>
      <c r="E7461" s="283" t="s">
        <v>1075</v>
      </c>
      <c r="F7461" s="283" t="s">
        <v>1083</v>
      </c>
      <c r="G7461" s="283">
        <v>2</v>
      </c>
      <c r="H7461" s="283">
        <v>0</v>
      </c>
      <c r="I7461" s="283">
        <v>0</v>
      </c>
      <c r="J7461" s="284">
        <v>2</v>
      </c>
    </row>
    <row r="7462" spans="3:10" x14ac:dyDescent="0.25">
      <c r="C7462" s="300" t="s">
        <v>1057</v>
      </c>
      <c r="D7462" s="283" t="s">
        <v>1079</v>
      </c>
      <c r="E7462" s="283" t="s">
        <v>1075</v>
      </c>
      <c r="F7462" s="283" t="s">
        <v>1075</v>
      </c>
      <c r="G7462" s="283">
        <v>3</v>
      </c>
      <c r="H7462" s="283">
        <v>0</v>
      </c>
      <c r="I7462" s="283">
        <v>0</v>
      </c>
      <c r="J7462" s="284">
        <v>0</v>
      </c>
    </row>
    <row r="7463" spans="3:10" x14ac:dyDescent="0.25">
      <c r="C7463" s="300" t="s">
        <v>1064</v>
      </c>
      <c r="D7463" s="283" t="s">
        <v>1077</v>
      </c>
      <c r="E7463" s="283" t="s">
        <v>1076</v>
      </c>
      <c r="F7463" s="283" t="s">
        <v>1078</v>
      </c>
      <c r="G7463" s="283">
        <v>4</v>
      </c>
      <c r="H7463" s="283">
        <v>0</v>
      </c>
      <c r="I7463" s="283">
        <v>0</v>
      </c>
      <c r="J7463" s="284">
        <v>0</v>
      </c>
    </row>
    <row r="7464" spans="3:10" x14ac:dyDescent="0.25">
      <c r="C7464" s="300" t="s">
        <v>1063</v>
      </c>
      <c r="D7464" s="283" t="s">
        <v>1079</v>
      </c>
      <c r="E7464" s="283" t="s">
        <v>1076</v>
      </c>
      <c r="F7464" s="283" t="s">
        <v>1075</v>
      </c>
      <c r="G7464" s="283">
        <v>2</v>
      </c>
      <c r="H7464" s="283">
        <v>0</v>
      </c>
      <c r="I7464" s="283">
        <v>1</v>
      </c>
      <c r="J7464" s="284">
        <v>0</v>
      </c>
    </row>
    <row r="7465" spans="3:10" x14ac:dyDescent="0.25">
      <c r="C7465" s="300" t="s">
        <v>1064</v>
      </c>
      <c r="D7465" s="283" t="s">
        <v>1043</v>
      </c>
      <c r="E7465" s="283" t="s">
        <v>1075</v>
      </c>
      <c r="F7465" s="283" t="s">
        <v>1092</v>
      </c>
      <c r="G7465" s="283">
        <v>2</v>
      </c>
      <c r="H7465" s="283">
        <v>0</v>
      </c>
      <c r="I7465" s="283">
        <v>0</v>
      </c>
      <c r="J7465" s="284">
        <v>1</v>
      </c>
    </row>
    <row r="7466" spans="3:10" x14ac:dyDescent="0.25">
      <c r="C7466" s="300" t="s">
        <v>1061</v>
      </c>
      <c r="D7466" s="283" t="s">
        <v>1079</v>
      </c>
      <c r="E7466" s="283" t="s">
        <v>1075</v>
      </c>
      <c r="F7466" s="283" t="s">
        <v>1083</v>
      </c>
      <c r="G7466" s="283">
        <v>2</v>
      </c>
      <c r="H7466" s="283">
        <v>0</v>
      </c>
      <c r="I7466" s="283">
        <v>1</v>
      </c>
      <c r="J7466" s="284">
        <v>0</v>
      </c>
    </row>
    <row r="7467" spans="3:10" x14ac:dyDescent="0.25">
      <c r="C7467" s="300" t="s">
        <v>1060</v>
      </c>
      <c r="D7467" s="283" t="s">
        <v>1079</v>
      </c>
      <c r="E7467" s="283" t="s">
        <v>1075</v>
      </c>
      <c r="F7467" s="283" t="s">
        <v>1075</v>
      </c>
      <c r="G7467" s="283">
        <v>3</v>
      </c>
      <c r="H7467" s="283">
        <v>0</v>
      </c>
      <c r="I7467" s="283">
        <v>0</v>
      </c>
      <c r="J7467" s="284">
        <v>0</v>
      </c>
    </row>
    <row r="7468" spans="3:10" x14ac:dyDescent="0.25">
      <c r="C7468" s="300" t="s">
        <v>1066</v>
      </c>
      <c r="D7468" s="283" t="s">
        <v>1087</v>
      </c>
      <c r="E7468" s="283" t="s">
        <v>1076</v>
      </c>
      <c r="F7468" s="283" t="s">
        <v>524</v>
      </c>
      <c r="G7468" s="283">
        <v>1</v>
      </c>
      <c r="H7468" s="283">
        <v>0</v>
      </c>
      <c r="I7468" s="283">
        <v>0</v>
      </c>
      <c r="J7468" s="284">
        <v>1</v>
      </c>
    </row>
    <row r="7469" spans="3:10" x14ac:dyDescent="0.25">
      <c r="C7469" s="300" t="s">
        <v>1066</v>
      </c>
      <c r="D7469" s="283" t="s">
        <v>1074</v>
      </c>
      <c r="E7469" s="283" t="s">
        <v>1078</v>
      </c>
      <c r="F7469" s="283" t="s">
        <v>1089</v>
      </c>
      <c r="G7469" s="283">
        <v>2</v>
      </c>
      <c r="H7469" s="283">
        <v>0</v>
      </c>
      <c r="I7469" s="283">
        <v>1</v>
      </c>
      <c r="J7469" s="284">
        <v>0</v>
      </c>
    </row>
    <row r="7470" spans="3:10" x14ac:dyDescent="0.25">
      <c r="C7470" s="300" t="s">
        <v>1066</v>
      </c>
      <c r="D7470" s="283" t="s">
        <v>1077</v>
      </c>
      <c r="E7470" s="283" t="s">
        <v>1078</v>
      </c>
      <c r="F7470" s="283" t="s">
        <v>1089</v>
      </c>
      <c r="G7470" s="283">
        <v>2</v>
      </c>
      <c r="H7470" s="283">
        <v>0</v>
      </c>
      <c r="I7470" s="283">
        <v>0</v>
      </c>
      <c r="J7470" s="284">
        <v>0</v>
      </c>
    </row>
    <row r="7471" spans="3:10" x14ac:dyDescent="0.25">
      <c r="C7471" s="300" t="s">
        <v>1065</v>
      </c>
      <c r="D7471" s="283" t="s">
        <v>1082</v>
      </c>
      <c r="E7471" s="283" t="s">
        <v>1075</v>
      </c>
      <c r="F7471" s="283" t="s">
        <v>1075</v>
      </c>
      <c r="G7471" s="283">
        <v>3</v>
      </c>
      <c r="H7471" s="283">
        <v>0</v>
      </c>
      <c r="I7471" s="283">
        <v>0</v>
      </c>
      <c r="J7471" s="284">
        <v>2</v>
      </c>
    </row>
    <row r="7472" spans="3:10" x14ac:dyDescent="0.25">
      <c r="C7472" s="300" t="s">
        <v>1064</v>
      </c>
      <c r="D7472" s="283" t="s">
        <v>1106</v>
      </c>
      <c r="E7472" s="283" t="s">
        <v>1093</v>
      </c>
      <c r="F7472" s="283" t="s">
        <v>524</v>
      </c>
      <c r="G7472" s="283">
        <v>1</v>
      </c>
      <c r="H7472" s="283">
        <v>0</v>
      </c>
      <c r="I7472" s="283">
        <v>1</v>
      </c>
      <c r="J7472" s="284">
        <v>0</v>
      </c>
    </row>
    <row r="7473" spans="3:10" x14ac:dyDescent="0.25">
      <c r="C7473" s="300" t="s">
        <v>1065</v>
      </c>
      <c r="D7473" s="283" t="s">
        <v>1079</v>
      </c>
      <c r="E7473" s="283" t="s">
        <v>1080</v>
      </c>
      <c r="F7473" s="283" t="s">
        <v>1100</v>
      </c>
      <c r="G7473" s="283">
        <v>2</v>
      </c>
      <c r="H7473" s="283">
        <v>0</v>
      </c>
      <c r="I7473" s="283">
        <v>1</v>
      </c>
      <c r="J7473" s="284">
        <v>0</v>
      </c>
    </row>
    <row r="7474" spans="3:10" x14ac:dyDescent="0.25">
      <c r="C7474" s="300" t="s">
        <v>1068</v>
      </c>
      <c r="D7474" s="283" t="s">
        <v>1087</v>
      </c>
      <c r="E7474" s="283" t="s">
        <v>1076</v>
      </c>
      <c r="F7474" s="283" t="s">
        <v>524</v>
      </c>
      <c r="G7474" s="283">
        <v>1</v>
      </c>
      <c r="H7474" s="283">
        <v>0</v>
      </c>
      <c r="I7474" s="283">
        <v>0</v>
      </c>
      <c r="J7474" s="284">
        <v>0</v>
      </c>
    </row>
    <row r="7475" spans="3:10" x14ac:dyDescent="0.25">
      <c r="C7475" s="300" t="s">
        <v>1066</v>
      </c>
      <c r="D7475" s="283" t="s">
        <v>1090</v>
      </c>
      <c r="E7475" s="283" t="s">
        <v>1089</v>
      </c>
      <c r="F7475" s="283" t="s">
        <v>524</v>
      </c>
      <c r="G7475" s="283">
        <v>1</v>
      </c>
      <c r="H7475" s="283">
        <v>0</v>
      </c>
      <c r="I7475" s="283">
        <v>0</v>
      </c>
      <c r="J7475" s="284">
        <v>0</v>
      </c>
    </row>
    <row r="7476" spans="3:10" x14ac:dyDescent="0.25">
      <c r="C7476" s="300" t="s">
        <v>1064</v>
      </c>
      <c r="D7476" s="283" t="s">
        <v>1077</v>
      </c>
      <c r="E7476" s="283" t="s">
        <v>1081</v>
      </c>
      <c r="F7476" s="283" t="s">
        <v>1075</v>
      </c>
      <c r="G7476" s="283">
        <v>2</v>
      </c>
      <c r="H7476" s="283">
        <v>0</v>
      </c>
      <c r="I7476" s="283">
        <v>0</v>
      </c>
      <c r="J7476" s="284">
        <v>0</v>
      </c>
    </row>
    <row r="7477" spans="3:10" x14ac:dyDescent="0.25">
      <c r="C7477" s="300" t="s">
        <v>1063</v>
      </c>
      <c r="D7477" s="283" t="s">
        <v>1043</v>
      </c>
      <c r="E7477" s="283" t="s">
        <v>1089</v>
      </c>
      <c r="F7477" s="283" t="s">
        <v>1092</v>
      </c>
      <c r="G7477" s="283">
        <v>2</v>
      </c>
      <c r="H7477" s="283">
        <v>0</v>
      </c>
      <c r="I7477" s="283">
        <v>1</v>
      </c>
      <c r="J7477" s="284">
        <v>1</v>
      </c>
    </row>
    <row r="7478" spans="3:10" x14ac:dyDescent="0.25">
      <c r="C7478" s="300" t="s">
        <v>1062</v>
      </c>
      <c r="D7478" s="283" t="s">
        <v>1090</v>
      </c>
      <c r="E7478" s="283" t="s">
        <v>1093</v>
      </c>
      <c r="F7478" s="283" t="s">
        <v>524</v>
      </c>
      <c r="G7478" s="283">
        <v>1</v>
      </c>
      <c r="H7478" s="283">
        <v>0</v>
      </c>
      <c r="I7478" s="283">
        <v>1</v>
      </c>
      <c r="J7478" s="284">
        <v>0</v>
      </c>
    </row>
    <row r="7479" spans="3:10" x14ac:dyDescent="0.25">
      <c r="C7479" s="300" t="s">
        <v>1065</v>
      </c>
      <c r="D7479" s="283" t="s">
        <v>1090</v>
      </c>
      <c r="E7479" s="283" t="s">
        <v>1083</v>
      </c>
      <c r="F7479" s="283" t="s">
        <v>524</v>
      </c>
      <c r="G7479" s="283">
        <v>1</v>
      </c>
      <c r="H7479" s="283">
        <v>0</v>
      </c>
      <c r="I7479" s="283">
        <v>0</v>
      </c>
      <c r="J7479" s="284">
        <v>0</v>
      </c>
    </row>
    <row r="7480" spans="3:10" x14ac:dyDescent="0.25">
      <c r="C7480" s="300" t="s">
        <v>1063</v>
      </c>
      <c r="D7480" s="283" t="s">
        <v>1087</v>
      </c>
      <c r="E7480" s="283" t="s">
        <v>1078</v>
      </c>
      <c r="F7480" s="283" t="s">
        <v>524</v>
      </c>
      <c r="G7480" s="283">
        <v>1</v>
      </c>
      <c r="H7480" s="283">
        <v>0</v>
      </c>
      <c r="I7480" s="283">
        <v>1</v>
      </c>
      <c r="J7480" s="284">
        <v>0</v>
      </c>
    </row>
    <row r="7481" spans="3:10" x14ac:dyDescent="0.25">
      <c r="C7481" s="300" t="s">
        <v>1064</v>
      </c>
      <c r="D7481" s="283" t="s">
        <v>1074</v>
      </c>
      <c r="E7481" s="283" t="s">
        <v>1084</v>
      </c>
      <c r="F7481" s="283" t="s">
        <v>1083</v>
      </c>
      <c r="G7481" s="283">
        <v>2</v>
      </c>
      <c r="H7481" s="283">
        <v>0</v>
      </c>
      <c r="I7481" s="283">
        <v>1</v>
      </c>
      <c r="J7481" s="284">
        <v>0</v>
      </c>
    </row>
    <row r="7482" spans="3:10" x14ac:dyDescent="0.25">
      <c r="C7482" s="300" t="s">
        <v>1061</v>
      </c>
      <c r="D7482" s="283" t="s">
        <v>1079</v>
      </c>
      <c r="E7482" s="283" t="s">
        <v>1086</v>
      </c>
      <c r="F7482" s="283" t="s">
        <v>1083</v>
      </c>
      <c r="G7482" s="283">
        <v>2</v>
      </c>
      <c r="H7482" s="283">
        <v>0</v>
      </c>
      <c r="I7482" s="283">
        <v>1</v>
      </c>
      <c r="J7482" s="284">
        <v>0</v>
      </c>
    </row>
    <row r="7483" spans="3:10" x14ac:dyDescent="0.25">
      <c r="C7483" s="300" t="s">
        <v>1061</v>
      </c>
      <c r="D7483" s="283" t="s">
        <v>1077</v>
      </c>
      <c r="E7483" s="283" t="s">
        <v>1089</v>
      </c>
      <c r="F7483" s="283" t="s">
        <v>1075</v>
      </c>
      <c r="G7483" s="283">
        <v>5</v>
      </c>
      <c r="H7483" s="283">
        <v>0</v>
      </c>
      <c r="I7483" s="283">
        <v>0</v>
      </c>
      <c r="J7483" s="284">
        <v>0</v>
      </c>
    </row>
    <row r="7484" spans="3:10" x14ac:dyDescent="0.25">
      <c r="C7484" s="300" t="s">
        <v>1062</v>
      </c>
      <c r="D7484" s="283" t="s">
        <v>1043</v>
      </c>
      <c r="E7484" s="283" t="s">
        <v>1075</v>
      </c>
      <c r="F7484" s="283" t="s">
        <v>1092</v>
      </c>
      <c r="G7484" s="283">
        <v>2</v>
      </c>
      <c r="H7484" s="283">
        <v>0</v>
      </c>
      <c r="I7484" s="283">
        <v>1</v>
      </c>
      <c r="J7484" s="284">
        <v>0</v>
      </c>
    </row>
    <row r="7485" spans="3:10" x14ac:dyDescent="0.25">
      <c r="C7485" s="300" t="s">
        <v>1066</v>
      </c>
      <c r="D7485" s="283" t="s">
        <v>1077</v>
      </c>
      <c r="E7485" s="283" t="s">
        <v>1076</v>
      </c>
      <c r="F7485" s="283" t="s">
        <v>1076</v>
      </c>
      <c r="G7485" s="283">
        <v>2</v>
      </c>
      <c r="H7485" s="283">
        <v>0</v>
      </c>
      <c r="I7485" s="283">
        <v>0</v>
      </c>
      <c r="J7485" s="284">
        <v>0</v>
      </c>
    </row>
    <row r="7486" spans="3:10" x14ac:dyDescent="0.25">
      <c r="C7486" s="300" t="s">
        <v>1060</v>
      </c>
      <c r="D7486" s="283" t="s">
        <v>1077</v>
      </c>
      <c r="E7486" s="283" t="s">
        <v>1075</v>
      </c>
      <c r="F7486" s="283" t="s">
        <v>1089</v>
      </c>
      <c r="G7486" s="283">
        <v>2</v>
      </c>
      <c r="H7486" s="283">
        <v>0</v>
      </c>
      <c r="I7486" s="283">
        <v>0</v>
      </c>
      <c r="J7486" s="284">
        <v>0</v>
      </c>
    </row>
    <row r="7487" spans="3:10" x14ac:dyDescent="0.25">
      <c r="C7487" s="300" t="s">
        <v>1061</v>
      </c>
      <c r="D7487" s="283" t="s">
        <v>1043</v>
      </c>
      <c r="E7487" s="283" t="s">
        <v>1075</v>
      </c>
      <c r="F7487" s="283" t="s">
        <v>1092</v>
      </c>
      <c r="G7487" s="283">
        <v>2</v>
      </c>
      <c r="H7487" s="283">
        <v>0</v>
      </c>
      <c r="I7487" s="283">
        <v>0</v>
      </c>
      <c r="J7487" s="284">
        <v>0</v>
      </c>
    </row>
    <row r="7488" spans="3:10" x14ac:dyDescent="0.25">
      <c r="C7488" s="300" t="s">
        <v>1064</v>
      </c>
      <c r="D7488" s="283" t="s">
        <v>1074</v>
      </c>
      <c r="E7488" s="283" t="s">
        <v>1075</v>
      </c>
      <c r="F7488" s="283" t="s">
        <v>1089</v>
      </c>
      <c r="G7488" s="283">
        <v>2</v>
      </c>
      <c r="H7488" s="283">
        <v>0</v>
      </c>
      <c r="I7488" s="283">
        <v>0</v>
      </c>
      <c r="J7488" s="284">
        <v>1</v>
      </c>
    </row>
    <row r="7489" spans="3:10" x14ac:dyDescent="0.25">
      <c r="C7489" s="300" t="s">
        <v>1066</v>
      </c>
      <c r="D7489" s="283" t="s">
        <v>1043</v>
      </c>
      <c r="E7489" s="283" t="s">
        <v>1089</v>
      </c>
      <c r="F7489" s="283" t="s">
        <v>1092</v>
      </c>
      <c r="G7489" s="283">
        <v>2</v>
      </c>
      <c r="H7489" s="283">
        <v>0</v>
      </c>
      <c r="I7489" s="283">
        <v>1</v>
      </c>
      <c r="J7489" s="284">
        <v>0</v>
      </c>
    </row>
    <row r="7490" spans="3:10" x14ac:dyDescent="0.25">
      <c r="C7490" s="300" t="s">
        <v>1060</v>
      </c>
      <c r="D7490" s="283" t="s">
        <v>1106</v>
      </c>
      <c r="E7490" s="283" t="s">
        <v>1085</v>
      </c>
      <c r="F7490" s="283" t="s">
        <v>524</v>
      </c>
      <c r="G7490" s="283">
        <v>1</v>
      </c>
      <c r="H7490" s="283">
        <v>0</v>
      </c>
      <c r="I7490" s="283">
        <v>0</v>
      </c>
      <c r="J7490" s="284">
        <v>0</v>
      </c>
    </row>
    <row r="7491" spans="3:10" x14ac:dyDescent="0.25">
      <c r="C7491" s="300" t="s">
        <v>1066</v>
      </c>
      <c r="D7491" s="283" t="s">
        <v>1043</v>
      </c>
      <c r="E7491" s="283" t="s">
        <v>1075</v>
      </c>
      <c r="F7491" s="283" t="s">
        <v>1092</v>
      </c>
      <c r="G7491" s="283">
        <v>2</v>
      </c>
      <c r="H7491" s="283">
        <v>0</v>
      </c>
      <c r="I7491" s="283">
        <v>0</v>
      </c>
      <c r="J7491" s="284">
        <v>1</v>
      </c>
    </row>
    <row r="7492" spans="3:10" x14ac:dyDescent="0.25">
      <c r="C7492" s="300" t="s">
        <v>1060</v>
      </c>
      <c r="D7492" s="283" t="s">
        <v>1106</v>
      </c>
      <c r="E7492" s="283" t="s">
        <v>1078</v>
      </c>
      <c r="F7492" s="283" t="s">
        <v>524</v>
      </c>
      <c r="G7492" s="283">
        <v>2</v>
      </c>
      <c r="H7492" s="283">
        <v>0</v>
      </c>
      <c r="I7492" s="283">
        <v>1</v>
      </c>
      <c r="J7492" s="284">
        <v>0</v>
      </c>
    </row>
    <row r="7493" spans="3:10" x14ac:dyDescent="0.25">
      <c r="C7493" s="300" t="s">
        <v>1062</v>
      </c>
      <c r="D7493" s="283" t="s">
        <v>1043</v>
      </c>
      <c r="E7493" s="283" t="s">
        <v>1099</v>
      </c>
      <c r="F7493" s="283" t="s">
        <v>1092</v>
      </c>
      <c r="G7493" s="283">
        <v>2</v>
      </c>
      <c r="H7493" s="283">
        <v>0</v>
      </c>
      <c r="I7493" s="283">
        <v>1</v>
      </c>
      <c r="J7493" s="284">
        <v>0</v>
      </c>
    </row>
    <row r="7494" spans="3:10" x14ac:dyDescent="0.25">
      <c r="C7494" s="300" t="s">
        <v>1059</v>
      </c>
      <c r="D7494" s="283" t="s">
        <v>1087</v>
      </c>
      <c r="E7494" s="283" t="s">
        <v>1080</v>
      </c>
      <c r="F7494" s="283" t="s">
        <v>524</v>
      </c>
      <c r="G7494" s="283">
        <v>1</v>
      </c>
      <c r="H7494" s="283">
        <v>0</v>
      </c>
      <c r="I7494" s="283">
        <v>0</v>
      </c>
      <c r="J7494" s="284">
        <v>0</v>
      </c>
    </row>
    <row r="7495" spans="3:10" x14ac:dyDescent="0.25">
      <c r="C7495" s="300" t="s">
        <v>1063</v>
      </c>
      <c r="D7495" s="283" t="s">
        <v>1079</v>
      </c>
      <c r="E7495" s="283" t="s">
        <v>1089</v>
      </c>
      <c r="F7495" s="283" t="s">
        <v>1075</v>
      </c>
      <c r="G7495" s="283">
        <v>2</v>
      </c>
      <c r="H7495" s="283">
        <v>0</v>
      </c>
      <c r="I7495" s="283">
        <v>0</v>
      </c>
      <c r="J7495" s="284">
        <v>1</v>
      </c>
    </row>
    <row r="7496" spans="3:10" x14ac:dyDescent="0.25">
      <c r="C7496" s="300" t="s">
        <v>1063</v>
      </c>
      <c r="D7496" s="283" t="s">
        <v>1079</v>
      </c>
      <c r="E7496" s="283" t="s">
        <v>1089</v>
      </c>
      <c r="F7496" s="283" t="s">
        <v>1075</v>
      </c>
      <c r="G7496" s="283">
        <v>2</v>
      </c>
      <c r="H7496" s="283">
        <v>0</v>
      </c>
      <c r="I7496" s="283">
        <v>0</v>
      </c>
      <c r="J7496" s="284">
        <v>0</v>
      </c>
    </row>
    <row r="7497" spans="3:10" x14ac:dyDescent="0.25">
      <c r="C7497" s="300" t="s">
        <v>1061</v>
      </c>
      <c r="D7497" s="283" t="s">
        <v>1077</v>
      </c>
      <c r="E7497" s="283" t="s">
        <v>1084</v>
      </c>
      <c r="F7497" s="283" t="s">
        <v>1100</v>
      </c>
      <c r="G7497" s="283">
        <v>2</v>
      </c>
      <c r="H7497" s="283">
        <v>0</v>
      </c>
      <c r="I7497" s="283">
        <v>1</v>
      </c>
      <c r="J7497" s="284">
        <v>0</v>
      </c>
    </row>
    <row r="7498" spans="3:10" x14ac:dyDescent="0.25">
      <c r="C7498" s="300" t="s">
        <v>1063</v>
      </c>
      <c r="D7498" s="283" t="s">
        <v>1079</v>
      </c>
      <c r="E7498" s="283" t="s">
        <v>1044</v>
      </c>
      <c r="F7498" s="283" t="s">
        <v>1075</v>
      </c>
      <c r="G7498" s="283">
        <v>2</v>
      </c>
      <c r="H7498" s="283">
        <v>0</v>
      </c>
      <c r="I7498" s="283">
        <v>0</v>
      </c>
      <c r="J7498" s="284">
        <v>1</v>
      </c>
    </row>
    <row r="7499" spans="3:10" x14ac:dyDescent="0.25">
      <c r="C7499" s="300" t="s">
        <v>1063</v>
      </c>
      <c r="D7499" s="283" t="s">
        <v>1074</v>
      </c>
      <c r="E7499" s="283" t="s">
        <v>1075</v>
      </c>
      <c r="F7499" s="283" t="s">
        <v>1075</v>
      </c>
      <c r="G7499" s="283">
        <v>2</v>
      </c>
      <c r="H7499" s="283">
        <v>0</v>
      </c>
      <c r="I7499" s="283">
        <v>0</v>
      </c>
      <c r="J7499" s="284">
        <v>3</v>
      </c>
    </row>
    <row r="7500" spans="3:10" x14ac:dyDescent="0.25">
      <c r="C7500" s="300" t="s">
        <v>1066</v>
      </c>
      <c r="D7500" s="283" t="s">
        <v>1043</v>
      </c>
      <c r="E7500" s="283" t="s">
        <v>1076</v>
      </c>
      <c r="F7500" s="283" t="s">
        <v>1092</v>
      </c>
      <c r="G7500" s="283">
        <v>2</v>
      </c>
      <c r="H7500" s="283">
        <v>0</v>
      </c>
      <c r="I7500" s="283">
        <v>0</v>
      </c>
      <c r="J7500" s="284">
        <v>1</v>
      </c>
    </row>
    <row r="7501" spans="3:10" x14ac:dyDescent="0.25">
      <c r="C7501" s="300" t="s">
        <v>1064</v>
      </c>
      <c r="D7501" s="283" t="s">
        <v>1043</v>
      </c>
      <c r="E7501" s="283" t="s">
        <v>1075</v>
      </c>
      <c r="F7501" s="283" t="s">
        <v>1092</v>
      </c>
      <c r="G7501" s="283">
        <v>2</v>
      </c>
      <c r="H7501" s="283">
        <v>0</v>
      </c>
      <c r="I7501" s="283">
        <v>0</v>
      </c>
      <c r="J7501" s="284">
        <v>1</v>
      </c>
    </row>
    <row r="7502" spans="3:10" x14ac:dyDescent="0.25">
      <c r="C7502" s="300" t="s">
        <v>1065</v>
      </c>
      <c r="D7502" s="283" t="s">
        <v>1043</v>
      </c>
      <c r="E7502" s="283" t="s">
        <v>1085</v>
      </c>
      <c r="F7502" s="283" t="s">
        <v>1092</v>
      </c>
      <c r="G7502" s="283">
        <v>2</v>
      </c>
      <c r="H7502" s="283">
        <v>0</v>
      </c>
      <c r="I7502" s="283">
        <v>1</v>
      </c>
      <c r="J7502" s="284">
        <v>0</v>
      </c>
    </row>
    <row r="7503" spans="3:10" x14ac:dyDescent="0.25">
      <c r="C7503" s="300" t="s">
        <v>1064</v>
      </c>
      <c r="D7503" s="283" t="s">
        <v>1077</v>
      </c>
      <c r="E7503" s="283" t="s">
        <v>1089</v>
      </c>
      <c r="F7503" s="283" t="s">
        <v>1075</v>
      </c>
      <c r="G7503" s="283">
        <v>2</v>
      </c>
      <c r="H7503" s="283">
        <v>0</v>
      </c>
      <c r="I7503" s="283">
        <v>0</v>
      </c>
      <c r="J7503" s="284">
        <v>0</v>
      </c>
    </row>
    <row r="7504" spans="3:10" x14ac:dyDescent="0.25">
      <c r="C7504" s="300" t="s">
        <v>1060</v>
      </c>
      <c r="D7504" s="283" t="s">
        <v>1077</v>
      </c>
      <c r="E7504" s="283" t="s">
        <v>1075</v>
      </c>
      <c r="F7504" s="283" t="s">
        <v>1078</v>
      </c>
      <c r="G7504" s="283">
        <v>2</v>
      </c>
      <c r="H7504" s="283">
        <v>0</v>
      </c>
      <c r="I7504" s="283">
        <v>0</v>
      </c>
      <c r="J7504" s="284">
        <v>0</v>
      </c>
    </row>
    <row r="7505" spans="3:10" x14ac:dyDescent="0.25">
      <c r="C7505" s="300" t="s">
        <v>1061</v>
      </c>
      <c r="D7505" s="283" t="s">
        <v>1087</v>
      </c>
      <c r="E7505" s="283" t="s">
        <v>1075</v>
      </c>
      <c r="F7505" s="283" t="s">
        <v>524</v>
      </c>
      <c r="G7505" s="283">
        <v>1</v>
      </c>
      <c r="H7505" s="283">
        <v>0</v>
      </c>
      <c r="I7505" s="283">
        <v>0</v>
      </c>
      <c r="J7505" s="284">
        <v>1</v>
      </c>
    </row>
    <row r="7506" spans="3:10" x14ac:dyDescent="0.25">
      <c r="C7506" s="300" t="s">
        <v>1068</v>
      </c>
      <c r="D7506" s="283" t="s">
        <v>1079</v>
      </c>
      <c r="E7506" s="283" t="s">
        <v>1089</v>
      </c>
      <c r="F7506" s="283" t="s">
        <v>1075</v>
      </c>
      <c r="G7506" s="283">
        <v>4</v>
      </c>
      <c r="H7506" s="283">
        <v>0</v>
      </c>
      <c r="I7506" s="283">
        <v>0</v>
      </c>
      <c r="J7506" s="284">
        <v>0</v>
      </c>
    </row>
    <row r="7507" spans="3:10" x14ac:dyDescent="0.25">
      <c r="C7507" s="300" t="s">
        <v>1066</v>
      </c>
      <c r="D7507" s="283" t="s">
        <v>1087</v>
      </c>
      <c r="E7507" s="283" t="s">
        <v>1075</v>
      </c>
      <c r="F7507" s="283" t="s">
        <v>524</v>
      </c>
      <c r="G7507" s="283">
        <v>1</v>
      </c>
      <c r="H7507" s="283">
        <v>0</v>
      </c>
      <c r="I7507" s="283">
        <v>0</v>
      </c>
      <c r="J7507" s="284">
        <v>3</v>
      </c>
    </row>
    <row r="7508" spans="3:10" x14ac:dyDescent="0.25">
      <c r="C7508" s="300" t="s">
        <v>1061</v>
      </c>
      <c r="D7508" s="283" t="s">
        <v>1087</v>
      </c>
      <c r="E7508" s="283" t="s">
        <v>1075</v>
      </c>
      <c r="F7508" s="283" t="s">
        <v>524</v>
      </c>
      <c r="G7508" s="283">
        <v>1</v>
      </c>
      <c r="H7508" s="283">
        <v>0</v>
      </c>
      <c r="I7508" s="283">
        <v>0</v>
      </c>
      <c r="J7508" s="284">
        <v>0</v>
      </c>
    </row>
    <row r="7509" spans="3:10" x14ac:dyDescent="0.25">
      <c r="C7509" s="300" t="s">
        <v>1061</v>
      </c>
      <c r="D7509" s="283" t="s">
        <v>1077</v>
      </c>
      <c r="E7509" s="283" t="s">
        <v>1075</v>
      </c>
      <c r="F7509" s="283" t="s">
        <v>1075</v>
      </c>
      <c r="G7509" s="283">
        <v>2</v>
      </c>
      <c r="H7509" s="283">
        <v>0</v>
      </c>
      <c r="I7509" s="283">
        <v>0</v>
      </c>
      <c r="J7509" s="284">
        <v>0</v>
      </c>
    </row>
    <row r="7510" spans="3:10" x14ac:dyDescent="0.25">
      <c r="C7510" s="300" t="s">
        <v>1065</v>
      </c>
      <c r="D7510" s="283" t="s">
        <v>1077</v>
      </c>
      <c r="E7510" s="283" t="s">
        <v>1075</v>
      </c>
      <c r="F7510" s="283" t="s">
        <v>1075</v>
      </c>
      <c r="G7510" s="283">
        <v>2</v>
      </c>
      <c r="H7510" s="283">
        <v>0</v>
      </c>
      <c r="I7510" s="283">
        <v>0</v>
      </c>
      <c r="J7510" s="284">
        <v>1</v>
      </c>
    </row>
    <row r="7511" spans="3:10" x14ac:dyDescent="0.25">
      <c r="C7511" s="300" t="s">
        <v>1065</v>
      </c>
      <c r="D7511" s="283" t="s">
        <v>1077</v>
      </c>
      <c r="E7511" s="283" t="s">
        <v>1084</v>
      </c>
      <c r="F7511" s="283" t="s">
        <v>1075</v>
      </c>
      <c r="G7511" s="283">
        <v>2</v>
      </c>
      <c r="H7511" s="283">
        <v>0</v>
      </c>
      <c r="I7511" s="283">
        <v>0</v>
      </c>
      <c r="J7511" s="284">
        <v>1</v>
      </c>
    </row>
    <row r="7512" spans="3:10" x14ac:dyDescent="0.25">
      <c r="C7512" s="300" t="s">
        <v>1062</v>
      </c>
      <c r="D7512" s="283" t="s">
        <v>1077</v>
      </c>
      <c r="E7512" s="283" t="s">
        <v>1075</v>
      </c>
      <c r="F7512" s="283" t="s">
        <v>1075</v>
      </c>
      <c r="G7512" s="283">
        <v>2</v>
      </c>
      <c r="H7512" s="283">
        <v>0</v>
      </c>
      <c r="I7512" s="283">
        <v>0</v>
      </c>
      <c r="J7512" s="284">
        <v>0</v>
      </c>
    </row>
    <row r="7513" spans="3:10" x14ac:dyDescent="0.25">
      <c r="C7513" s="300" t="s">
        <v>1061</v>
      </c>
      <c r="D7513" s="283" t="s">
        <v>1074</v>
      </c>
      <c r="E7513" s="283" t="s">
        <v>1080</v>
      </c>
      <c r="F7513" s="283" t="s">
        <v>1084</v>
      </c>
      <c r="G7513" s="283">
        <v>2</v>
      </c>
      <c r="H7513" s="283">
        <v>0</v>
      </c>
      <c r="I7513" s="283">
        <v>0</v>
      </c>
      <c r="J7513" s="284">
        <v>0</v>
      </c>
    </row>
    <row r="7514" spans="3:10" x14ac:dyDescent="0.25">
      <c r="C7514" s="300" t="s">
        <v>1066</v>
      </c>
      <c r="D7514" s="283" t="s">
        <v>1077</v>
      </c>
      <c r="E7514" s="283" t="s">
        <v>1075</v>
      </c>
      <c r="F7514" s="283" t="s">
        <v>1089</v>
      </c>
      <c r="G7514" s="283">
        <v>2</v>
      </c>
      <c r="H7514" s="283">
        <v>0</v>
      </c>
      <c r="I7514" s="283">
        <v>0</v>
      </c>
      <c r="J7514" s="284">
        <v>0</v>
      </c>
    </row>
    <row r="7515" spans="3:10" x14ac:dyDescent="0.25">
      <c r="C7515" s="300" t="s">
        <v>1062</v>
      </c>
      <c r="D7515" s="283" t="s">
        <v>1079</v>
      </c>
      <c r="E7515" s="283" t="s">
        <v>1075</v>
      </c>
      <c r="F7515" s="283" t="s">
        <v>1078</v>
      </c>
      <c r="G7515" s="283">
        <v>3</v>
      </c>
      <c r="H7515" s="283">
        <v>0</v>
      </c>
      <c r="I7515" s="283">
        <v>0</v>
      </c>
      <c r="J7515" s="284">
        <v>1</v>
      </c>
    </row>
    <row r="7516" spans="3:10" x14ac:dyDescent="0.25">
      <c r="C7516" s="300" t="s">
        <v>1065</v>
      </c>
      <c r="D7516" s="283" t="s">
        <v>1074</v>
      </c>
      <c r="E7516" s="283" t="s">
        <v>1075</v>
      </c>
      <c r="F7516" s="283" t="s">
        <v>1089</v>
      </c>
      <c r="G7516" s="283">
        <v>2</v>
      </c>
      <c r="H7516" s="283">
        <v>0</v>
      </c>
      <c r="I7516" s="283">
        <v>1</v>
      </c>
      <c r="J7516" s="284">
        <v>0</v>
      </c>
    </row>
    <row r="7517" spans="3:10" x14ac:dyDescent="0.25">
      <c r="C7517" s="300" t="s">
        <v>1062</v>
      </c>
      <c r="D7517" s="283" t="s">
        <v>1090</v>
      </c>
      <c r="E7517" s="283" t="s">
        <v>1044</v>
      </c>
      <c r="F7517" s="283" t="s">
        <v>524</v>
      </c>
      <c r="G7517" s="283">
        <v>1</v>
      </c>
      <c r="H7517" s="283">
        <v>0</v>
      </c>
      <c r="I7517" s="283">
        <v>1</v>
      </c>
      <c r="J7517" s="284">
        <v>0</v>
      </c>
    </row>
    <row r="7518" spans="3:10" x14ac:dyDescent="0.25">
      <c r="C7518" s="300" t="s">
        <v>1060</v>
      </c>
      <c r="D7518" s="283" t="s">
        <v>1077</v>
      </c>
      <c r="E7518" s="283" t="s">
        <v>1075</v>
      </c>
      <c r="F7518" s="283" t="s">
        <v>1075</v>
      </c>
      <c r="G7518" s="283">
        <v>6</v>
      </c>
      <c r="H7518" s="283">
        <v>0</v>
      </c>
      <c r="I7518" s="283">
        <v>1</v>
      </c>
      <c r="J7518" s="284">
        <v>0</v>
      </c>
    </row>
    <row r="7519" spans="3:10" x14ac:dyDescent="0.25">
      <c r="C7519" s="300" t="s">
        <v>1060</v>
      </c>
      <c r="D7519" s="283" t="s">
        <v>1079</v>
      </c>
      <c r="E7519" s="283" t="s">
        <v>1075</v>
      </c>
      <c r="F7519" s="283" t="s">
        <v>1094</v>
      </c>
      <c r="G7519" s="283">
        <v>2</v>
      </c>
      <c r="H7519" s="283">
        <v>0</v>
      </c>
      <c r="I7519" s="283">
        <v>0</v>
      </c>
      <c r="J7519" s="284">
        <v>0</v>
      </c>
    </row>
    <row r="7520" spans="3:10" x14ac:dyDescent="0.25">
      <c r="C7520" s="300" t="s">
        <v>1064</v>
      </c>
      <c r="D7520" s="283" t="s">
        <v>1077</v>
      </c>
      <c r="E7520" s="283" t="s">
        <v>1083</v>
      </c>
      <c r="F7520" s="283" t="s">
        <v>1075</v>
      </c>
      <c r="G7520" s="283">
        <v>2</v>
      </c>
      <c r="H7520" s="283">
        <v>0</v>
      </c>
      <c r="I7520" s="283">
        <v>0</v>
      </c>
      <c r="J7520" s="284">
        <v>0</v>
      </c>
    </row>
    <row r="7521" spans="3:10" x14ac:dyDescent="0.25">
      <c r="C7521" s="300" t="s">
        <v>1065</v>
      </c>
      <c r="D7521" s="283" t="s">
        <v>1087</v>
      </c>
      <c r="E7521" s="283" t="s">
        <v>1089</v>
      </c>
      <c r="F7521" s="283" t="s">
        <v>524</v>
      </c>
      <c r="G7521" s="283">
        <v>2</v>
      </c>
      <c r="H7521" s="283">
        <v>0</v>
      </c>
      <c r="I7521" s="283">
        <v>0</v>
      </c>
      <c r="J7521" s="284">
        <v>1</v>
      </c>
    </row>
    <row r="7522" spans="3:10" x14ac:dyDescent="0.25">
      <c r="C7522" s="300" t="s">
        <v>1062</v>
      </c>
      <c r="D7522" s="283" t="s">
        <v>1074</v>
      </c>
      <c r="E7522" s="283" t="s">
        <v>1075</v>
      </c>
      <c r="F7522" s="283" t="s">
        <v>1075</v>
      </c>
      <c r="G7522" s="283">
        <v>2</v>
      </c>
      <c r="H7522" s="283">
        <v>0</v>
      </c>
      <c r="I7522" s="283">
        <v>0</v>
      </c>
      <c r="J7522" s="284">
        <v>0</v>
      </c>
    </row>
    <row r="7523" spans="3:10" x14ac:dyDescent="0.25">
      <c r="C7523" s="300" t="s">
        <v>1063</v>
      </c>
      <c r="D7523" s="283" t="s">
        <v>1077</v>
      </c>
      <c r="E7523" s="283" t="s">
        <v>1076</v>
      </c>
      <c r="F7523" s="283" t="s">
        <v>1075</v>
      </c>
      <c r="G7523" s="283">
        <v>2</v>
      </c>
      <c r="H7523" s="283">
        <v>0</v>
      </c>
      <c r="I7523" s="283">
        <v>0</v>
      </c>
      <c r="J7523" s="284">
        <v>0</v>
      </c>
    </row>
    <row r="7524" spans="3:10" x14ac:dyDescent="0.25">
      <c r="C7524" s="300" t="s">
        <v>1060</v>
      </c>
      <c r="D7524" s="283" t="s">
        <v>1079</v>
      </c>
      <c r="E7524" s="283" t="s">
        <v>1075</v>
      </c>
      <c r="F7524" s="283" t="s">
        <v>1084</v>
      </c>
      <c r="G7524" s="283">
        <v>2</v>
      </c>
      <c r="H7524" s="283">
        <v>0</v>
      </c>
      <c r="I7524" s="283">
        <v>0</v>
      </c>
      <c r="J7524" s="284">
        <v>0</v>
      </c>
    </row>
    <row r="7525" spans="3:10" x14ac:dyDescent="0.25">
      <c r="C7525" s="300" t="s">
        <v>1063</v>
      </c>
      <c r="D7525" s="283" t="s">
        <v>1087</v>
      </c>
      <c r="E7525" s="283" t="s">
        <v>1075</v>
      </c>
      <c r="F7525" s="283" t="s">
        <v>524</v>
      </c>
      <c r="G7525" s="283">
        <v>1</v>
      </c>
      <c r="H7525" s="283">
        <v>0</v>
      </c>
      <c r="I7525" s="283">
        <v>0</v>
      </c>
      <c r="J7525" s="284">
        <v>0</v>
      </c>
    </row>
    <row r="7526" spans="3:10" x14ac:dyDescent="0.25">
      <c r="C7526" s="300" t="s">
        <v>1060</v>
      </c>
      <c r="D7526" s="283" t="s">
        <v>1079</v>
      </c>
      <c r="E7526" s="283" t="s">
        <v>1075</v>
      </c>
      <c r="F7526" s="283" t="s">
        <v>1084</v>
      </c>
      <c r="G7526" s="283">
        <v>2</v>
      </c>
      <c r="H7526" s="283">
        <v>0</v>
      </c>
      <c r="I7526" s="283">
        <v>0</v>
      </c>
      <c r="J7526" s="284">
        <v>0</v>
      </c>
    </row>
    <row r="7527" spans="3:10" x14ac:dyDescent="0.25">
      <c r="C7527" s="300" t="s">
        <v>1060</v>
      </c>
      <c r="D7527" s="283" t="s">
        <v>1043</v>
      </c>
      <c r="E7527" s="283" t="s">
        <v>1089</v>
      </c>
      <c r="F7527" s="283" t="s">
        <v>1092</v>
      </c>
      <c r="G7527" s="283">
        <v>2</v>
      </c>
      <c r="H7527" s="283">
        <v>0</v>
      </c>
      <c r="I7527" s="283">
        <v>0</v>
      </c>
      <c r="J7527" s="284">
        <v>0</v>
      </c>
    </row>
    <row r="7528" spans="3:10" x14ac:dyDescent="0.25">
      <c r="C7528" s="300" t="s">
        <v>1062</v>
      </c>
      <c r="D7528" s="283" t="s">
        <v>1077</v>
      </c>
      <c r="E7528" s="283" t="s">
        <v>1076</v>
      </c>
      <c r="F7528" s="283" t="s">
        <v>1075</v>
      </c>
      <c r="G7528" s="283">
        <v>2</v>
      </c>
      <c r="H7528" s="283">
        <v>0</v>
      </c>
      <c r="I7528" s="283">
        <v>0</v>
      </c>
      <c r="J7528" s="284">
        <v>0</v>
      </c>
    </row>
    <row r="7529" spans="3:10" x14ac:dyDescent="0.25">
      <c r="C7529" s="300" t="s">
        <v>1066</v>
      </c>
      <c r="D7529" s="283" t="s">
        <v>1077</v>
      </c>
      <c r="E7529" s="283" t="s">
        <v>1078</v>
      </c>
      <c r="F7529" s="283" t="s">
        <v>1075</v>
      </c>
      <c r="G7529" s="283">
        <v>2</v>
      </c>
      <c r="H7529" s="283">
        <v>0</v>
      </c>
      <c r="I7529" s="283">
        <v>0</v>
      </c>
      <c r="J7529" s="284">
        <v>0</v>
      </c>
    </row>
    <row r="7530" spans="3:10" x14ac:dyDescent="0.25">
      <c r="C7530" s="300" t="s">
        <v>1064</v>
      </c>
      <c r="D7530" s="283" t="s">
        <v>1087</v>
      </c>
      <c r="E7530" s="283" t="s">
        <v>1075</v>
      </c>
      <c r="F7530" s="283" t="s">
        <v>524</v>
      </c>
      <c r="G7530" s="283">
        <v>1</v>
      </c>
      <c r="H7530" s="283">
        <v>0</v>
      </c>
      <c r="I7530" s="283">
        <v>0</v>
      </c>
      <c r="J7530" s="284">
        <v>0</v>
      </c>
    </row>
    <row r="7531" spans="3:10" x14ac:dyDescent="0.25">
      <c r="C7531" s="300" t="s">
        <v>1059</v>
      </c>
      <c r="D7531" s="283" t="s">
        <v>1079</v>
      </c>
      <c r="E7531" s="283" t="s">
        <v>1075</v>
      </c>
      <c r="F7531" s="283" t="s">
        <v>1089</v>
      </c>
      <c r="G7531" s="283">
        <v>2</v>
      </c>
      <c r="H7531" s="283">
        <v>0</v>
      </c>
      <c r="I7531" s="283">
        <v>0</v>
      </c>
      <c r="J7531" s="284">
        <v>1</v>
      </c>
    </row>
    <row r="7532" spans="3:10" x14ac:dyDescent="0.25">
      <c r="C7532" s="300" t="s">
        <v>1062</v>
      </c>
      <c r="D7532" s="283" t="s">
        <v>1087</v>
      </c>
      <c r="E7532" s="283" t="s">
        <v>1075</v>
      </c>
      <c r="F7532" s="283" t="s">
        <v>524</v>
      </c>
      <c r="G7532" s="283">
        <v>1</v>
      </c>
      <c r="H7532" s="283">
        <v>0</v>
      </c>
      <c r="I7532" s="283">
        <v>0</v>
      </c>
      <c r="J7532" s="284">
        <v>0</v>
      </c>
    </row>
    <row r="7533" spans="3:10" x14ac:dyDescent="0.25">
      <c r="C7533" s="300" t="s">
        <v>1064</v>
      </c>
      <c r="D7533" s="283" t="s">
        <v>1077</v>
      </c>
      <c r="E7533" s="283" t="s">
        <v>1075</v>
      </c>
      <c r="F7533" s="283" t="s">
        <v>1075</v>
      </c>
      <c r="G7533" s="283">
        <v>3</v>
      </c>
      <c r="H7533" s="283">
        <v>0</v>
      </c>
      <c r="I7533" s="283">
        <v>0</v>
      </c>
      <c r="J7533" s="284">
        <v>0</v>
      </c>
    </row>
    <row r="7534" spans="3:10" x14ac:dyDescent="0.25">
      <c r="C7534" s="300" t="s">
        <v>1062</v>
      </c>
      <c r="D7534" s="283" t="s">
        <v>1077</v>
      </c>
      <c r="E7534" s="283" t="s">
        <v>1084</v>
      </c>
      <c r="F7534" s="283" t="s">
        <v>1075</v>
      </c>
      <c r="G7534" s="283">
        <v>2</v>
      </c>
      <c r="H7534" s="283">
        <v>0</v>
      </c>
      <c r="I7534" s="283">
        <v>0</v>
      </c>
      <c r="J7534" s="284">
        <v>0</v>
      </c>
    </row>
    <row r="7535" spans="3:10" x14ac:dyDescent="0.25">
      <c r="C7535" s="300" t="s">
        <v>1063</v>
      </c>
      <c r="D7535" s="283" t="s">
        <v>1106</v>
      </c>
      <c r="E7535" s="283" t="s">
        <v>1089</v>
      </c>
      <c r="F7535" s="283" t="s">
        <v>524</v>
      </c>
      <c r="G7535" s="283">
        <v>2</v>
      </c>
      <c r="H7535" s="283">
        <v>0</v>
      </c>
      <c r="I7535" s="283">
        <v>0</v>
      </c>
      <c r="J7535" s="284">
        <v>1</v>
      </c>
    </row>
    <row r="7536" spans="3:10" x14ac:dyDescent="0.25">
      <c r="C7536" s="300" t="s">
        <v>1061</v>
      </c>
      <c r="D7536" s="283" t="s">
        <v>1077</v>
      </c>
      <c r="E7536" s="283" t="s">
        <v>1075</v>
      </c>
      <c r="F7536" s="283" t="s">
        <v>1089</v>
      </c>
      <c r="G7536" s="283">
        <v>2</v>
      </c>
      <c r="H7536" s="283">
        <v>0</v>
      </c>
      <c r="I7536" s="283">
        <v>0</v>
      </c>
      <c r="J7536" s="284">
        <v>0</v>
      </c>
    </row>
    <row r="7537" spans="3:10" x14ac:dyDescent="0.25">
      <c r="C7537" s="300" t="s">
        <v>1062</v>
      </c>
      <c r="D7537" s="283" t="s">
        <v>1077</v>
      </c>
      <c r="E7537" s="283" t="s">
        <v>1075</v>
      </c>
      <c r="F7537" s="283" t="s">
        <v>1078</v>
      </c>
      <c r="G7537" s="283">
        <v>2</v>
      </c>
      <c r="H7537" s="283">
        <v>0</v>
      </c>
      <c r="I7537" s="283">
        <v>0</v>
      </c>
      <c r="J7537" s="284">
        <v>0</v>
      </c>
    </row>
    <row r="7538" spans="3:10" x14ac:dyDescent="0.25">
      <c r="C7538" s="300" t="s">
        <v>1067</v>
      </c>
      <c r="D7538" s="283" t="s">
        <v>1090</v>
      </c>
      <c r="E7538" s="283" t="s">
        <v>1093</v>
      </c>
      <c r="F7538" s="283" t="s">
        <v>524</v>
      </c>
      <c r="G7538" s="283">
        <v>1</v>
      </c>
      <c r="H7538" s="283">
        <v>0</v>
      </c>
      <c r="I7538" s="283">
        <v>0</v>
      </c>
      <c r="J7538" s="284">
        <v>0</v>
      </c>
    </row>
    <row r="7539" spans="3:10" x14ac:dyDescent="0.25">
      <c r="C7539" s="300" t="s">
        <v>1068</v>
      </c>
      <c r="D7539" s="283" t="s">
        <v>1079</v>
      </c>
      <c r="E7539" s="283" t="s">
        <v>1089</v>
      </c>
      <c r="F7539" s="283" t="s">
        <v>1075</v>
      </c>
      <c r="G7539" s="283">
        <v>4</v>
      </c>
      <c r="H7539" s="283">
        <v>0</v>
      </c>
      <c r="I7539" s="283">
        <v>0</v>
      </c>
      <c r="J7539" s="284">
        <v>0</v>
      </c>
    </row>
    <row r="7540" spans="3:10" x14ac:dyDescent="0.25">
      <c r="C7540" s="300" t="s">
        <v>1063</v>
      </c>
      <c r="D7540" s="283" t="s">
        <v>1087</v>
      </c>
      <c r="E7540" s="283" t="s">
        <v>1078</v>
      </c>
      <c r="F7540" s="283" t="s">
        <v>524</v>
      </c>
      <c r="G7540" s="283">
        <v>1</v>
      </c>
      <c r="H7540" s="283">
        <v>0</v>
      </c>
      <c r="I7540" s="283">
        <v>0</v>
      </c>
      <c r="J7540" s="284">
        <v>0</v>
      </c>
    </row>
    <row r="7541" spans="3:10" x14ac:dyDescent="0.25">
      <c r="C7541" s="300" t="s">
        <v>1068</v>
      </c>
      <c r="D7541" s="283" t="s">
        <v>1079</v>
      </c>
      <c r="E7541" s="283" t="s">
        <v>1075</v>
      </c>
      <c r="F7541" s="283" t="s">
        <v>524</v>
      </c>
      <c r="G7541" s="283">
        <v>1</v>
      </c>
      <c r="H7541" s="283">
        <v>0</v>
      </c>
      <c r="I7541" s="283">
        <v>0</v>
      </c>
      <c r="J7541" s="284">
        <v>0</v>
      </c>
    </row>
    <row r="7542" spans="3:10" x14ac:dyDescent="0.25">
      <c r="C7542" s="300" t="s">
        <v>1064</v>
      </c>
      <c r="D7542" s="283" t="s">
        <v>1077</v>
      </c>
      <c r="E7542" s="283" t="s">
        <v>1075</v>
      </c>
      <c r="F7542" s="283" t="s">
        <v>1078</v>
      </c>
      <c r="G7542" s="283">
        <v>2</v>
      </c>
      <c r="H7542" s="283">
        <v>0</v>
      </c>
      <c r="I7542" s="283">
        <v>0</v>
      </c>
      <c r="J7542" s="284">
        <v>0</v>
      </c>
    </row>
    <row r="7543" spans="3:10" x14ac:dyDescent="0.25">
      <c r="C7543" s="300" t="s">
        <v>1060</v>
      </c>
      <c r="D7543" s="283" t="s">
        <v>1087</v>
      </c>
      <c r="E7543" s="283" t="s">
        <v>1075</v>
      </c>
      <c r="F7543" s="283" t="s">
        <v>524</v>
      </c>
      <c r="G7543" s="283">
        <v>1</v>
      </c>
      <c r="H7543" s="283">
        <v>0</v>
      </c>
      <c r="I7543" s="283">
        <v>0</v>
      </c>
      <c r="J7543" s="284">
        <v>0</v>
      </c>
    </row>
    <row r="7544" spans="3:10" x14ac:dyDescent="0.25">
      <c r="C7544" s="300" t="s">
        <v>1060</v>
      </c>
      <c r="D7544" s="283" t="s">
        <v>1077</v>
      </c>
      <c r="E7544" s="283" t="s">
        <v>1084</v>
      </c>
      <c r="F7544" s="283" t="s">
        <v>1075</v>
      </c>
      <c r="G7544" s="283">
        <v>2</v>
      </c>
      <c r="H7544" s="283">
        <v>0</v>
      </c>
      <c r="I7544" s="283">
        <v>0</v>
      </c>
      <c r="J7544" s="284">
        <v>0</v>
      </c>
    </row>
    <row r="7545" spans="3:10" x14ac:dyDescent="0.25">
      <c r="C7545" s="300" t="s">
        <v>1064</v>
      </c>
      <c r="D7545" s="283" t="s">
        <v>1090</v>
      </c>
      <c r="E7545" s="283" t="s">
        <v>1075</v>
      </c>
      <c r="F7545" s="283" t="s">
        <v>524</v>
      </c>
      <c r="G7545" s="283">
        <v>2</v>
      </c>
      <c r="H7545" s="283">
        <v>0</v>
      </c>
      <c r="I7545" s="283">
        <v>0</v>
      </c>
      <c r="J7545" s="284">
        <v>0</v>
      </c>
    </row>
    <row r="7546" spans="3:10" x14ac:dyDescent="0.25">
      <c r="C7546" s="300" t="s">
        <v>1063</v>
      </c>
      <c r="D7546" s="283" t="s">
        <v>1082</v>
      </c>
      <c r="E7546" s="283" t="s">
        <v>1076</v>
      </c>
      <c r="F7546" s="283" t="s">
        <v>1075</v>
      </c>
      <c r="G7546" s="283">
        <v>2</v>
      </c>
      <c r="H7546" s="283">
        <v>0</v>
      </c>
      <c r="I7546" s="283">
        <v>0</v>
      </c>
      <c r="J7546" s="284">
        <v>0</v>
      </c>
    </row>
    <row r="7547" spans="3:10" x14ac:dyDescent="0.25">
      <c r="C7547" s="300" t="s">
        <v>1064</v>
      </c>
      <c r="D7547" s="283" t="s">
        <v>1087</v>
      </c>
      <c r="E7547" s="283" t="s">
        <v>1083</v>
      </c>
      <c r="F7547" s="283" t="s">
        <v>524</v>
      </c>
      <c r="G7547" s="283">
        <v>1</v>
      </c>
      <c r="H7547" s="283">
        <v>0</v>
      </c>
      <c r="I7547" s="283">
        <v>0</v>
      </c>
      <c r="J7547" s="284">
        <v>0</v>
      </c>
    </row>
    <row r="7548" spans="3:10" x14ac:dyDescent="0.25">
      <c r="C7548" s="196"/>
      <c r="D7548" s="197"/>
      <c r="E7548" s="197"/>
      <c r="F7548" s="197"/>
      <c r="G7548" s="197"/>
      <c r="H7548" s="197"/>
      <c r="I7548" s="197"/>
      <c r="J7548" s="19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09B77-3F17-4983-8C15-94ACDB09E5B5}">
  <sheetPr codeName="Sheet20">
    <tabColor rgb="FF99CCFF"/>
  </sheetPr>
  <dimension ref="A1:T263"/>
  <sheetViews>
    <sheetView showGridLines="0" zoomScaleNormal="100" workbookViewId="0"/>
  </sheetViews>
  <sheetFormatPr defaultRowHeight="11.5" x14ac:dyDescent="0.25"/>
  <cols>
    <col min="1" max="2" width="3.69921875" customWidth="1"/>
    <col min="3" max="3" width="25.09765625" customWidth="1"/>
    <col min="4" max="4" width="10.69921875" customWidth="1"/>
    <col min="5" max="17" width="13.69921875" customWidth="1"/>
    <col min="18" max="18" width="11.3984375" bestFit="1" customWidth="1"/>
    <col min="19" max="19" width="11.8984375" bestFit="1" customWidth="1"/>
    <col min="20" max="20" width="11.3984375" bestFit="1" customWidth="1"/>
  </cols>
  <sheetData>
    <row r="1" spans="1:8" x14ac:dyDescent="0.25">
      <c r="A1" s="1"/>
      <c r="C1" s="42" t="str">
        <f>'Fare optimisation'!$C$1</f>
        <v>Fare Optimisation Model for the 2025 Opal Review - Independent Pricing and Regulatory Tribunal of NSW</v>
      </c>
    </row>
    <row r="2" spans="1:8" x14ac:dyDescent="0.25">
      <c r="C2" s="42"/>
    </row>
    <row r="3" spans="1:8" x14ac:dyDescent="0.25">
      <c r="C3" s="42"/>
    </row>
    <row r="4" spans="1:8" ht="23" x14ac:dyDescent="0.5">
      <c r="C4" s="184" t="s">
        <v>1279</v>
      </c>
      <c r="E4" s="332"/>
    </row>
    <row r="7" spans="1:8" x14ac:dyDescent="0.25">
      <c r="C7" s="209" t="s">
        <v>225</v>
      </c>
      <c r="D7" s="209"/>
      <c r="E7" s="209"/>
      <c r="F7" s="209"/>
      <c r="G7" s="209"/>
      <c r="H7" s="234" t="s">
        <v>226</v>
      </c>
    </row>
    <row r="8" spans="1:8" x14ac:dyDescent="0.25">
      <c r="B8" s="186">
        <v>1</v>
      </c>
      <c r="C8" s="187" t="str">
        <f>"Table "&amp;B8&amp;" - Rail cost inputs ($'000, $2022-23)"</f>
        <v>Table 1 - Rail cost inputs ($'000, $2022-23)</v>
      </c>
      <c r="D8" s="187"/>
      <c r="E8" s="187"/>
      <c r="F8" s="187"/>
      <c r="G8" s="187"/>
      <c r="H8" s="187">
        <f>ROW(C15)</f>
        <v>15</v>
      </c>
    </row>
    <row r="9" spans="1:8" x14ac:dyDescent="0.25">
      <c r="B9" s="211">
        <f>B8+1</f>
        <v>2</v>
      </c>
      <c r="C9" s="11" t="str">
        <f>"Table "&amp;B9&amp;" - Bus cost inputs ($'000, $2022-23)"</f>
        <v>Table 2 - Bus cost inputs ($'000, $2022-23)</v>
      </c>
      <c r="D9" s="11"/>
      <c r="E9" s="11"/>
      <c r="F9" s="11"/>
      <c r="G9" s="11"/>
      <c r="H9" s="11">
        <f>ROW(C85)</f>
        <v>85</v>
      </c>
    </row>
    <row r="10" spans="1:8" x14ac:dyDescent="0.25">
      <c r="B10" s="211">
        <f>B9+1</f>
        <v>3</v>
      </c>
      <c r="C10" s="11" t="str">
        <f>"Table "&amp;B10&amp;" - Ferry cost inputs ($'000, $2022-23)"</f>
        <v>Table 3 - Ferry cost inputs ($'000, $2022-23)</v>
      </c>
      <c r="D10" s="11"/>
      <c r="E10" s="11"/>
      <c r="F10" s="11"/>
      <c r="G10" s="11"/>
      <c r="H10" s="11">
        <f>ROW(C149)</f>
        <v>149</v>
      </c>
    </row>
    <row r="11" spans="1:8" x14ac:dyDescent="0.25">
      <c r="B11" s="211">
        <f>B10+1</f>
        <v>4</v>
      </c>
      <c r="C11" s="11" t="str">
        <f>"Table "&amp;B11&amp;" - Light rail cost inputs ($'000, $2022-23)"</f>
        <v>Table 4 - Light rail cost inputs ($'000, $2022-23)</v>
      </c>
      <c r="D11" s="11"/>
      <c r="E11" s="11"/>
      <c r="F11" s="11"/>
      <c r="G11" s="11"/>
      <c r="H11" s="11">
        <f>ROW(C222)</f>
        <v>222</v>
      </c>
    </row>
    <row r="12" spans="1:8" x14ac:dyDescent="0.25">
      <c r="B12" s="211">
        <f>B11+1</f>
        <v>5</v>
      </c>
      <c r="C12" s="209" t="str">
        <f>"Table "&amp;B12&amp;" - PT vehicle ownership cost inputs &amp; other parameters ($'000, $2022-23)"</f>
        <v>Table 5 - PT vehicle ownership cost inputs &amp; other parameters ($'000, $2022-23)</v>
      </c>
      <c r="D12" s="209"/>
      <c r="E12" s="209"/>
      <c r="F12" s="209"/>
      <c r="G12" s="209"/>
      <c r="H12" s="209">
        <f>ROW(C223)</f>
        <v>223</v>
      </c>
    </row>
    <row r="15" spans="1:8" ht="15.5" x14ac:dyDescent="0.35">
      <c r="C15" s="43" t="str">
        <f>C8</f>
        <v>Table 1 - Rail cost inputs ($'000, $2022-23)</v>
      </c>
    </row>
    <row r="16" spans="1:8" x14ac:dyDescent="0.25">
      <c r="C16" s="188"/>
      <c r="D16" s="189"/>
      <c r="E16" s="189"/>
      <c r="F16" s="189"/>
      <c r="G16" s="189"/>
      <c r="H16" s="190"/>
    </row>
    <row r="17" spans="3:19" x14ac:dyDescent="0.25">
      <c r="C17" s="191"/>
      <c r="D17" s="192" t="s">
        <v>527</v>
      </c>
      <c r="E17" s="42" t="s">
        <v>528</v>
      </c>
      <c r="H17" s="195"/>
    </row>
    <row r="18" spans="3:19" x14ac:dyDescent="0.25">
      <c r="C18" s="294" t="s">
        <v>529</v>
      </c>
      <c r="D18" s="283">
        <v>340920</v>
      </c>
      <c r="E18" s="122" t="s">
        <v>546</v>
      </c>
      <c r="H18" s="195"/>
      <c r="J18" s="650" t="s">
        <v>1497</v>
      </c>
    </row>
    <row r="19" spans="3:19" x14ac:dyDescent="0.25">
      <c r="C19" s="294" t="s">
        <v>531</v>
      </c>
      <c r="D19" s="283">
        <v>67532</v>
      </c>
      <c r="E19" s="122" t="s">
        <v>530</v>
      </c>
      <c r="H19" s="195"/>
    </row>
    <row r="20" spans="3:19" x14ac:dyDescent="0.25">
      <c r="C20" s="294" t="s">
        <v>533</v>
      </c>
      <c r="D20" s="283">
        <v>368872</v>
      </c>
      <c r="E20" s="122" t="s">
        <v>534</v>
      </c>
      <c r="H20" s="195"/>
      <c r="J20" s="42" t="s">
        <v>1492</v>
      </c>
    </row>
    <row r="21" spans="3:19" x14ac:dyDescent="0.25">
      <c r="C21" s="294" t="s">
        <v>1515</v>
      </c>
      <c r="D21" s="283">
        <v>41863</v>
      </c>
      <c r="E21" s="122" t="s">
        <v>617</v>
      </c>
      <c r="H21" s="195"/>
      <c r="J21" s="188"/>
      <c r="K21" s="189"/>
      <c r="L21" s="189"/>
      <c r="M21" s="189"/>
      <c r="N21" s="189"/>
      <c r="O21" s="189"/>
      <c r="P21" s="189"/>
      <c r="Q21" s="189"/>
      <c r="R21" s="189"/>
      <c r="S21" s="190"/>
    </row>
    <row r="22" spans="3:19" x14ac:dyDescent="0.25">
      <c r="C22" s="294" t="s">
        <v>535</v>
      </c>
      <c r="D22" s="283">
        <v>692420.84394999989</v>
      </c>
      <c r="E22" s="122" t="s">
        <v>536</v>
      </c>
      <c r="H22" s="195"/>
      <c r="J22" s="191"/>
      <c r="K22" s="162" t="s">
        <v>1445</v>
      </c>
      <c r="L22" s="162" t="s">
        <v>1444</v>
      </c>
      <c r="R22" t="s">
        <v>1447</v>
      </c>
      <c r="S22" s="195"/>
    </row>
    <row r="23" spans="3:19" x14ac:dyDescent="0.25">
      <c r="C23" s="294" t="s">
        <v>537</v>
      </c>
      <c r="D23" s="283">
        <v>90263</v>
      </c>
      <c r="E23" s="122" t="s">
        <v>538</v>
      </c>
      <c r="H23" s="195"/>
      <c r="J23" s="191" t="s">
        <v>253</v>
      </c>
      <c r="K23" s="283">
        <v>51174.072986245243</v>
      </c>
      <c r="L23" s="672">
        <f>K23+S23</f>
        <v>61082.908319593247</v>
      </c>
      <c r="N23" s="673" t="s">
        <v>1442</v>
      </c>
      <c r="R23" s="194">
        <f>SUMIF('Trip inputs'!N16:N1849,"Sydney Trains",'Trip inputs'!P16:P1849)</f>
        <v>230979448</v>
      </c>
      <c r="S23" s="235">
        <f>$N$24*(R23/SUM($R$23:$R$26,$R$29,$R$34))</f>
        <v>9908.8353333480027</v>
      </c>
    </row>
    <row r="24" spans="3:19" x14ac:dyDescent="0.25">
      <c r="C24" s="294" t="s">
        <v>539</v>
      </c>
      <c r="D24" s="283">
        <v>179872.91011999999</v>
      </c>
      <c r="E24" s="122" t="s">
        <v>540</v>
      </c>
      <c r="H24" s="195"/>
      <c r="J24" s="191" t="s">
        <v>1436</v>
      </c>
      <c r="K24" s="283">
        <v>3988.7663990645906</v>
      </c>
      <c r="L24" s="672">
        <f>K24+S24</f>
        <v>4892.4977551132824</v>
      </c>
      <c r="N24" s="283">
        <v>21705.546999999999</v>
      </c>
      <c r="R24" s="194">
        <f>SUMIF('Trip inputs'!N16:N1849,"NSW TrainLink Intercity",'Trip inputs'!P16:P1849)</f>
        <v>21066388</v>
      </c>
      <c r="S24" s="235">
        <f>$N$24*(R24/SUM($R$23:$R$26,$R$29,$R$34))</f>
        <v>903.73135604869219</v>
      </c>
    </row>
    <row r="25" spans="3:19" x14ac:dyDescent="0.25">
      <c r="C25" s="294" t="s">
        <v>541</v>
      </c>
      <c r="D25" s="283">
        <v>72880</v>
      </c>
      <c r="E25" s="122" t="s">
        <v>542</v>
      </c>
      <c r="H25" s="195"/>
      <c r="J25" s="191" t="s">
        <v>650</v>
      </c>
      <c r="K25" s="283">
        <v>2895.1494722246834</v>
      </c>
      <c r="L25" s="672">
        <f>K25+S25</f>
        <v>3695.7814625030151</v>
      </c>
      <c r="R25" s="194">
        <f>SUMIF('Trip inputs'!N16:N1849,"North West Metro",'Trip inputs'!P16:P1849)</f>
        <v>18663095</v>
      </c>
      <c r="S25" s="235">
        <f>$N$24*(R25/SUM($R$23:$R$26,$R$29,$R$34))</f>
        <v>800.63199027833184</v>
      </c>
    </row>
    <row r="26" spans="3:19" x14ac:dyDescent="0.25">
      <c r="C26" s="294" t="s">
        <v>543</v>
      </c>
      <c r="D26" s="283">
        <v>31406</v>
      </c>
      <c r="E26" s="122" t="s">
        <v>544</v>
      </c>
      <c r="H26" s="195"/>
      <c r="J26" s="191" t="s">
        <v>186</v>
      </c>
      <c r="K26" s="283">
        <v>3982.2855760157372</v>
      </c>
      <c r="L26" s="672" t="s">
        <v>1433</v>
      </c>
      <c r="R26" s="194">
        <f>SUMIF('Trip inputs'!F16:F515,"Light rail",'Trip inputs'!H16:H515)</f>
        <v>30980051</v>
      </c>
      <c r="S26" s="235">
        <f>$N$24*(R26/SUM($R$23:$R$26,$R$29,$R$34))</f>
        <v>1329.0196449760463</v>
      </c>
    </row>
    <row r="27" spans="3:19" x14ac:dyDescent="0.25">
      <c r="C27" s="294" t="s">
        <v>1516</v>
      </c>
      <c r="D27" s="283">
        <v>183278.940750001</v>
      </c>
      <c r="E27" s="122" t="s">
        <v>1512</v>
      </c>
      <c r="H27" s="195"/>
      <c r="J27" s="647" t="s">
        <v>627</v>
      </c>
      <c r="K27" s="672"/>
      <c r="L27" s="672">
        <f>3982+S26</f>
        <v>5311.019644976046</v>
      </c>
      <c r="N27" s="162" t="s">
        <v>1434</v>
      </c>
      <c r="R27" s="194"/>
      <c r="S27" s="235"/>
    </row>
    <row r="28" spans="3:19" x14ac:dyDescent="0.25">
      <c r="C28" s="294" t="s">
        <v>1517</v>
      </c>
      <c r="D28" s="283">
        <v>131885</v>
      </c>
      <c r="E28" s="122" t="s">
        <v>1512</v>
      </c>
      <c r="H28" s="195"/>
      <c r="J28" s="647" t="s">
        <v>1315</v>
      </c>
      <c r="K28" s="672"/>
      <c r="L28" s="672">
        <f>K33*O28</f>
        <v>103.39100073195027</v>
      </c>
      <c r="N28" s="283">
        <v>829382</v>
      </c>
      <c r="O28" s="674">
        <f>N28/SUM($N$28:$N$30)</f>
        <v>0.19073755217282015</v>
      </c>
      <c r="R28" s="194"/>
      <c r="S28" s="235"/>
    </row>
    <row r="29" spans="3:19" x14ac:dyDescent="0.25">
      <c r="C29" s="294" t="s">
        <v>545</v>
      </c>
      <c r="D29" s="283">
        <v>390354</v>
      </c>
      <c r="E29" s="122" t="s">
        <v>544</v>
      </c>
      <c r="H29" s="195"/>
      <c r="J29" s="191" t="s">
        <v>695</v>
      </c>
      <c r="K29" s="283">
        <v>3978.3987877417649</v>
      </c>
      <c r="L29" s="672" t="s">
        <v>1433</v>
      </c>
      <c r="N29" s="283">
        <v>427907</v>
      </c>
      <c r="O29" s="674">
        <f>N29/SUM($N$28:$N$30)</f>
        <v>9.8408132486134198E-2</v>
      </c>
      <c r="R29" s="194">
        <f>SUMIF('Trip inputs'!F16:F515,"Ferry",'Trip inputs'!H16:H515)</f>
        <v>12774623</v>
      </c>
      <c r="S29" s="235">
        <f>$N$24*(R29/SUM($R$23:$R$26,$R$29,$R$34))</f>
        <v>548.02120642612351</v>
      </c>
    </row>
    <row r="30" spans="3:19" x14ac:dyDescent="0.25">
      <c r="C30" s="294" t="s">
        <v>1518</v>
      </c>
      <c r="D30" s="283">
        <v>52134</v>
      </c>
      <c r="E30" s="122" t="s">
        <v>532</v>
      </c>
      <c r="H30" s="195"/>
      <c r="J30" s="647" t="s">
        <v>627</v>
      </c>
      <c r="K30" s="283"/>
      <c r="L30" s="672">
        <f>3978+S29</f>
        <v>4526.0212064261232</v>
      </c>
      <c r="N30" s="283">
        <v>3091000</v>
      </c>
      <c r="O30" s="674">
        <f>N30/SUM($N$28:$N$30)</f>
        <v>0.7108543153410456</v>
      </c>
      <c r="R30" s="194"/>
      <c r="S30" s="235"/>
    </row>
    <row r="31" spans="3:19" x14ac:dyDescent="0.25">
      <c r="C31" s="294" t="s">
        <v>547</v>
      </c>
      <c r="D31" s="283">
        <v>-2316</v>
      </c>
      <c r="E31" s="122" t="s">
        <v>544</v>
      </c>
      <c r="H31" s="195"/>
      <c r="J31" s="647" t="s">
        <v>1437</v>
      </c>
      <c r="K31" s="283"/>
      <c r="L31" s="672">
        <v>0</v>
      </c>
      <c r="O31" s="674">
        <f>SUM(O28:O30)</f>
        <v>1</v>
      </c>
      <c r="R31" s="194"/>
      <c r="S31" s="235"/>
    </row>
    <row r="32" spans="3:19" x14ac:dyDescent="0.25">
      <c r="C32" s="294" t="s">
        <v>548</v>
      </c>
      <c r="D32" s="283">
        <v>468360</v>
      </c>
      <c r="E32" s="122" t="s">
        <v>544</v>
      </c>
      <c r="H32" s="195"/>
      <c r="J32" s="647" t="s">
        <v>628</v>
      </c>
      <c r="K32" s="283"/>
      <c r="L32" s="672">
        <f>K33*O29</f>
        <v>53.343010760067912</v>
      </c>
      <c r="R32" s="194"/>
      <c r="S32" s="235"/>
    </row>
    <row r="33" spans="3:20" x14ac:dyDescent="0.25">
      <c r="C33" s="294" t="s">
        <v>549</v>
      </c>
      <c r="D33" s="283">
        <v>178899</v>
      </c>
      <c r="E33" s="122" t="s">
        <v>544</v>
      </c>
      <c r="H33" s="195"/>
      <c r="J33" s="191" t="s">
        <v>1438</v>
      </c>
      <c r="K33" s="283">
        <v>542.05896822179807</v>
      </c>
      <c r="L33" s="672"/>
      <c r="R33" s="194"/>
      <c r="S33" s="235"/>
    </row>
    <row r="34" spans="3:20" x14ac:dyDescent="0.25">
      <c r="C34" s="294" t="s">
        <v>550</v>
      </c>
      <c r="D34" s="283">
        <v>16274</v>
      </c>
      <c r="E34" s="122" t="s">
        <v>544</v>
      </c>
      <c r="H34" s="195"/>
      <c r="J34" s="191" t="s">
        <v>694</v>
      </c>
      <c r="K34" s="286">
        <f>K38-SUM(K23:K26,K29,K33)</f>
        <v>26602.240500486179</v>
      </c>
      <c r="L34" s="672">
        <f>26602+K33*O30</f>
        <v>26987.324956729779</v>
      </c>
      <c r="N34" s="162" t="s">
        <v>1435</v>
      </c>
      <c r="R34" s="194">
        <f>SUMIF('Trip inputs'!F16:F515,"Bus",'Trip inputs'!H16:H515)</f>
        <v>191502545</v>
      </c>
      <c r="S34" s="235">
        <f>$N$24*(R34/SUM($R$23:$R$26,$R$29,$R$34))</f>
        <v>8215.3074689228015</v>
      </c>
    </row>
    <row r="35" spans="3:20" x14ac:dyDescent="0.25">
      <c r="C35" s="294" t="s">
        <v>551</v>
      </c>
      <c r="D35" s="283">
        <v>503.52703999999994</v>
      </c>
      <c r="E35" s="122" t="s">
        <v>544</v>
      </c>
      <c r="H35" s="195"/>
      <c r="J35" s="191" t="s">
        <v>1439</v>
      </c>
      <c r="K35" s="672"/>
      <c r="L35" s="672">
        <f>$L$34*O35</f>
        <v>1961.2432710747541</v>
      </c>
      <c r="N35" s="283">
        <v>14736000</v>
      </c>
      <c r="O35" s="674">
        <f>N35/SUM($N$35:$N$37)</f>
        <v>7.2672755607283063E-2</v>
      </c>
      <c r="S35" s="195"/>
      <c r="T35" s="194"/>
    </row>
    <row r="36" spans="3:20" x14ac:dyDescent="0.25">
      <c r="C36" s="294" t="s">
        <v>1519</v>
      </c>
      <c r="D36" s="283">
        <v>33548</v>
      </c>
      <c r="E36" s="122" t="s">
        <v>544</v>
      </c>
      <c r="H36" s="195"/>
      <c r="J36" s="191" t="s">
        <v>569</v>
      </c>
      <c r="K36" s="672"/>
      <c r="L36" s="672">
        <f>$L$34*O36</f>
        <v>11729.927690886425</v>
      </c>
      <c r="N36" s="283">
        <v>88134000</v>
      </c>
      <c r="O36" s="674">
        <f>N36/SUM($N$35:$N$37)</f>
        <v>0.43464580908606709</v>
      </c>
      <c r="S36" s="195"/>
      <c r="T36" s="194"/>
    </row>
    <row r="37" spans="3:20" x14ac:dyDescent="0.25">
      <c r="C37" s="294" t="s">
        <v>1520</v>
      </c>
      <c r="D37" s="283">
        <v>17559</v>
      </c>
      <c r="E37" s="122" t="s">
        <v>544</v>
      </c>
      <c r="H37" s="195"/>
      <c r="J37" s="191" t="s">
        <v>578</v>
      </c>
      <c r="K37" s="672"/>
      <c r="L37" s="672">
        <f>$L$34*O37+S34</f>
        <v>21511.461463691398</v>
      </c>
      <c r="N37" s="283">
        <f>188036000-N36</f>
        <v>99902000</v>
      </c>
      <c r="O37" s="674">
        <f>N37/SUM($N$35:$N$37)</f>
        <v>0.49268143530664982</v>
      </c>
      <c r="S37" s="195"/>
      <c r="T37" s="194"/>
    </row>
    <row r="38" spans="3:20" x14ac:dyDescent="0.25">
      <c r="C38" s="294" t="s">
        <v>552</v>
      </c>
      <c r="D38" s="283">
        <v>235092</v>
      </c>
      <c r="E38" s="122" t="s">
        <v>532</v>
      </c>
      <c r="H38" s="195"/>
      <c r="J38" s="191" t="s">
        <v>1440</v>
      </c>
      <c r="K38" s="283">
        <v>93162.972689999995</v>
      </c>
      <c r="L38" s="672">
        <f>SUM(L23:L32,L35:L37)-21705</f>
        <v>93162.5948257563</v>
      </c>
      <c r="O38" s="674">
        <f>SUM(O35:O37)</f>
        <v>1</v>
      </c>
      <c r="S38" s="195"/>
    </row>
    <row r="39" spans="3:20" x14ac:dyDescent="0.25">
      <c r="C39" s="294" t="s">
        <v>553</v>
      </c>
      <c r="D39" s="283">
        <v>54993</v>
      </c>
      <c r="E39" s="122" t="s">
        <v>532</v>
      </c>
      <c r="H39" s="195"/>
      <c r="J39" s="191"/>
      <c r="L39" s="194">
        <f>K38-L38</f>
        <v>0.37786424369551241</v>
      </c>
      <c r="S39" s="195"/>
    </row>
    <row r="40" spans="3:20" x14ac:dyDescent="0.25">
      <c r="C40" s="294" t="s">
        <v>554</v>
      </c>
      <c r="D40" s="283">
        <v>13779</v>
      </c>
      <c r="E40" s="122" t="s">
        <v>532</v>
      </c>
      <c r="H40" s="195"/>
      <c r="J40" s="191"/>
      <c r="S40" s="195"/>
    </row>
    <row r="41" spans="3:20" x14ac:dyDescent="0.25">
      <c r="C41" s="294" t="s">
        <v>555</v>
      </c>
      <c r="D41" s="283">
        <v>40114</v>
      </c>
      <c r="E41" s="122" t="s">
        <v>532</v>
      </c>
      <c r="H41" s="195"/>
      <c r="J41" s="675">
        <f>SUM(D25,D53,D75,D97,D110,D129,D166,D189,D212,D231,D241)</f>
        <v>126664.68650616305</v>
      </c>
      <c r="K41" s="224">
        <f>SUM('MC - public transport'!E122:O122)</f>
        <v>126664.68650616305</v>
      </c>
      <c r="L41" s="676">
        <f>J41-K41</f>
        <v>0</v>
      </c>
      <c r="M41" s="676" t="s">
        <v>1441</v>
      </c>
      <c r="N41" s="197"/>
      <c r="O41" s="197"/>
      <c r="P41" s="197"/>
      <c r="Q41" s="197"/>
      <c r="R41" s="197"/>
      <c r="S41" s="198"/>
    </row>
    <row r="42" spans="3:20" x14ac:dyDescent="0.25">
      <c r="C42" s="294" t="s">
        <v>556</v>
      </c>
      <c r="D42" s="283">
        <v>9700</v>
      </c>
      <c r="E42" s="122" t="s">
        <v>532</v>
      </c>
      <c r="H42" s="195"/>
      <c r="J42" s="194"/>
      <c r="K42" s="189"/>
      <c r="L42" s="189"/>
      <c r="M42" s="189"/>
      <c r="N42" s="189"/>
      <c r="O42" s="189"/>
    </row>
    <row r="43" spans="3:20" x14ac:dyDescent="0.25">
      <c r="C43" s="294" t="s">
        <v>557</v>
      </c>
      <c r="D43" s="283">
        <v>12541.155910000001</v>
      </c>
      <c r="E43" s="122" t="s">
        <v>532</v>
      </c>
      <c r="H43" s="195"/>
      <c r="J43" s="194"/>
    </row>
    <row r="44" spans="3:20" x14ac:dyDescent="0.25">
      <c r="C44" s="295" t="s">
        <v>559</v>
      </c>
      <c r="D44" s="296">
        <f>SUM(D18:D43)</f>
        <v>3722728.3777700011</v>
      </c>
      <c r="F44" s="215"/>
      <c r="H44" s="195"/>
      <c r="J44" s="194"/>
    </row>
    <row r="45" spans="3:20" x14ac:dyDescent="0.25">
      <c r="C45" s="295"/>
      <c r="D45" s="296"/>
      <c r="E45" s="296"/>
      <c r="F45" s="215"/>
      <c r="H45" s="195"/>
      <c r="J45" s="194"/>
    </row>
    <row r="46" spans="3:20" x14ac:dyDescent="0.25">
      <c r="C46" s="295"/>
      <c r="D46" s="192" t="s">
        <v>560</v>
      </c>
      <c r="E46" s="42" t="s">
        <v>528</v>
      </c>
      <c r="F46" s="215"/>
      <c r="H46" s="195"/>
      <c r="J46" s="194"/>
    </row>
    <row r="47" spans="3:20" x14ac:dyDescent="0.25">
      <c r="C47" s="294" t="s">
        <v>529</v>
      </c>
      <c r="D47" s="283">
        <v>153201.29999999999</v>
      </c>
      <c r="E47" s="122" t="s">
        <v>546</v>
      </c>
      <c r="F47" s="215"/>
      <c r="H47" s="195"/>
      <c r="J47" s="650" t="s">
        <v>1498</v>
      </c>
    </row>
    <row r="48" spans="3:20" x14ac:dyDescent="0.25">
      <c r="C48" s="294" t="s">
        <v>531</v>
      </c>
      <c r="D48" s="283">
        <v>15210.999999999998</v>
      </c>
      <c r="E48" s="122" t="s">
        <v>530</v>
      </c>
      <c r="F48" s="215"/>
      <c r="H48" s="195"/>
    </row>
    <row r="49" spans="3:8" x14ac:dyDescent="0.25">
      <c r="C49" s="294" t="s">
        <v>533</v>
      </c>
      <c r="D49" s="283">
        <v>137037.20000000001</v>
      </c>
      <c r="E49" s="122" t="s">
        <v>534</v>
      </c>
      <c r="F49" s="215"/>
      <c r="H49" s="195"/>
    </row>
    <row r="50" spans="3:8" x14ac:dyDescent="0.25">
      <c r="C50" s="294" t="s">
        <v>535</v>
      </c>
      <c r="D50" s="283">
        <v>140672.63406000001</v>
      </c>
      <c r="E50" s="122" t="s">
        <v>536</v>
      </c>
      <c r="F50" s="215"/>
      <c r="H50" s="195"/>
    </row>
    <row r="51" spans="3:8" x14ac:dyDescent="0.25">
      <c r="C51" s="294" t="s">
        <v>537</v>
      </c>
      <c r="D51" s="283">
        <v>17488.8</v>
      </c>
      <c r="E51" s="122" t="s">
        <v>538</v>
      </c>
      <c r="F51" s="215"/>
      <c r="H51" s="195"/>
    </row>
    <row r="52" spans="3:8" x14ac:dyDescent="0.25">
      <c r="C52" s="294" t="s">
        <v>539</v>
      </c>
      <c r="D52" s="283">
        <v>40903.838770000002</v>
      </c>
      <c r="E52" s="122" t="s">
        <v>540</v>
      </c>
      <c r="F52" s="215"/>
      <c r="H52" s="195"/>
    </row>
    <row r="53" spans="3:8" x14ac:dyDescent="0.25">
      <c r="C53" s="294" t="s">
        <v>541</v>
      </c>
      <c r="D53" s="286">
        <f>L24</f>
        <v>4892.4977551132824</v>
      </c>
      <c r="E53" s="122" t="s">
        <v>542</v>
      </c>
      <c r="F53" s="215"/>
      <c r="H53" s="646"/>
    </row>
    <row r="54" spans="3:8" x14ac:dyDescent="0.25">
      <c r="C54" s="294" t="s">
        <v>543</v>
      </c>
      <c r="D54" s="283">
        <v>0</v>
      </c>
      <c r="E54" s="122" t="s">
        <v>544</v>
      </c>
      <c r="F54" s="215"/>
      <c r="H54" s="195"/>
    </row>
    <row r="55" spans="3:8" x14ac:dyDescent="0.25">
      <c r="C55" s="294"/>
      <c r="D55" s="283"/>
      <c r="E55" s="122"/>
      <c r="F55" s="215"/>
      <c r="H55" s="195"/>
    </row>
    <row r="56" spans="3:8" x14ac:dyDescent="0.25">
      <c r="C56" s="294" t="s">
        <v>545</v>
      </c>
      <c r="D56" s="283">
        <v>105438.9</v>
      </c>
      <c r="E56" s="122" t="s">
        <v>544</v>
      </c>
      <c r="F56" s="215"/>
      <c r="H56" s="195"/>
    </row>
    <row r="57" spans="3:8" x14ac:dyDescent="0.25">
      <c r="C57" s="294" t="s">
        <v>1446</v>
      </c>
      <c r="D57" s="283">
        <v>101685.22717000009</v>
      </c>
      <c r="E57" s="122" t="s">
        <v>1511</v>
      </c>
      <c r="F57" s="215"/>
      <c r="H57" s="195"/>
    </row>
    <row r="58" spans="3:8" x14ac:dyDescent="0.25">
      <c r="C58" s="294" t="s">
        <v>547</v>
      </c>
      <c r="D58" s="283">
        <v>0</v>
      </c>
      <c r="E58" s="122" t="s">
        <v>544</v>
      </c>
      <c r="F58" s="215"/>
      <c r="H58" s="195"/>
    </row>
    <row r="59" spans="3:8" x14ac:dyDescent="0.25">
      <c r="C59" s="294" t="s">
        <v>548</v>
      </c>
      <c r="D59" s="283">
        <v>83351.099999999991</v>
      </c>
      <c r="E59" s="122" t="s">
        <v>544</v>
      </c>
      <c r="F59" s="215"/>
      <c r="H59" s="195"/>
    </row>
    <row r="60" spans="3:8" x14ac:dyDescent="0.25">
      <c r="C60" s="294" t="s">
        <v>549</v>
      </c>
      <c r="D60" s="283">
        <v>18139.099999999999</v>
      </c>
      <c r="E60" s="122" t="s">
        <v>544</v>
      </c>
      <c r="F60" s="215"/>
      <c r="H60" s="195"/>
    </row>
    <row r="61" spans="3:8" x14ac:dyDescent="0.25">
      <c r="C61" s="294" t="s">
        <v>550</v>
      </c>
      <c r="D61" s="283">
        <v>0</v>
      </c>
      <c r="E61" s="122" t="s">
        <v>544</v>
      </c>
      <c r="F61" s="215"/>
      <c r="H61" s="195"/>
    </row>
    <row r="62" spans="3:8" x14ac:dyDescent="0.25">
      <c r="C62" s="294" t="s">
        <v>551</v>
      </c>
      <c r="D62" s="283">
        <v>0</v>
      </c>
      <c r="E62" s="122" t="s">
        <v>544</v>
      </c>
      <c r="F62" s="215"/>
      <c r="H62" s="195"/>
    </row>
    <row r="63" spans="3:8" x14ac:dyDescent="0.25">
      <c r="C63" s="294" t="s">
        <v>552</v>
      </c>
      <c r="D63" s="283">
        <v>25470</v>
      </c>
      <c r="E63" s="122" t="s">
        <v>532</v>
      </c>
      <c r="F63" s="215"/>
      <c r="H63" s="195"/>
    </row>
    <row r="64" spans="3:8" x14ac:dyDescent="0.25">
      <c r="C64" s="294" t="s">
        <v>553</v>
      </c>
      <c r="D64" s="283">
        <v>15523.215371999999</v>
      </c>
      <c r="E64" s="122" t="s">
        <v>532</v>
      </c>
      <c r="F64" s="215"/>
      <c r="H64" s="195"/>
    </row>
    <row r="65" spans="3:10" x14ac:dyDescent="0.25">
      <c r="C65" s="294" t="s">
        <v>554</v>
      </c>
      <c r="D65" s="283">
        <v>0</v>
      </c>
      <c r="E65" s="122" t="s">
        <v>532</v>
      </c>
      <c r="F65" s="215"/>
      <c r="H65" s="195"/>
    </row>
    <row r="66" spans="3:10" x14ac:dyDescent="0.25">
      <c r="C66" s="294" t="s">
        <v>555</v>
      </c>
      <c r="D66" s="283">
        <v>1378.6494119999998</v>
      </c>
      <c r="E66" s="122" t="s">
        <v>532</v>
      </c>
      <c r="F66" s="215"/>
      <c r="H66" s="195"/>
    </row>
    <row r="67" spans="3:10" x14ac:dyDescent="0.25">
      <c r="C67" s="294" t="s">
        <v>556</v>
      </c>
      <c r="D67" s="283">
        <v>0</v>
      </c>
      <c r="E67" s="122" t="s">
        <v>544</v>
      </c>
      <c r="F67" s="215"/>
      <c r="H67" s="195"/>
    </row>
    <row r="68" spans="3:10" x14ac:dyDescent="0.25">
      <c r="C68" s="294" t="s">
        <v>557</v>
      </c>
      <c r="D68" s="283">
        <v>0</v>
      </c>
      <c r="E68" s="122" t="s">
        <v>558</v>
      </c>
      <c r="F68" s="215"/>
      <c r="H68" s="195"/>
    </row>
    <row r="69" spans="3:10" x14ac:dyDescent="0.25">
      <c r="C69" s="295" t="s">
        <v>559</v>
      </c>
      <c r="D69" s="296">
        <f>SUM(D47:D68)</f>
        <v>860393.46253911336</v>
      </c>
      <c r="E69" s="296"/>
      <c r="F69" s="215"/>
      <c r="H69" s="195"/>
    </row>
    <row r="70" spans="3:10" x14ac:dyDescent="0.25">
      <c r="C70" s="295"/>
      <c r="D70" s="296"/>
      <c r="E70" s="296"/>
      <c r="F70" s="215"/>
      <c r="H70" s="195"/>
    </row>
    <row r="71" spans="3:10" x14ac:dyDescent="0.25">
      <c r="C71" s="295"/>
      <c r="D71" s="296"/>
      <c r="E71" s="296"/>
      <c r="F71" s="215"/>
      <c r="H71" s="195"/>
    </row>
    <row r="72" spans="3:10" x14ac:dyDescent="0.25">
      <c r="C72" s="295"/>
      <c r="D72" s="192" t="s">
        <v>561</v>
      </c>
      <c r="E72" s="42" t="s">
        <v>528</v>
      </c>
      <c r="F72" s="215"/>
      <c r="H72" s="195"/>
    </row>
    <row r="73" spans="3:10" x14ac:dyDescent="0.25">
      <c r="C73" s="294" t="s">
        <v>562</v>
      </c>
      <c r="D73" s="283">
        <v>46706</v>
      </c>
      <c r="E73" s="122" t="s">
        <v>536</v>
      </c>
      <c r="F73" s="215"/>
      <c r="H73" s="195"/>
      <c r="J73" s="162" t="s">
        <v>1443</v>
      </c>
    </row>
    <row r="74" spans="3:10" x14ac:dyDescent="0.25">
      <c r="C74" s="294" t="s">
        <v>563</v>
      </c>
      <c r="D74" s="283">
        <v>152688</v>
      </c>
      <c r="E74" s="122" t="s">
        <v>536</v>
      </c>
      <c r="F74" s="215"/>
      <c r="H74" s="195"/>
    </row>
    <row r="75" spans="3:10" x14ac:dyDescent="0.25">
      <c r="C75" s="294" t="s">
        <v>541</v>
      </c>
      <c r="D75" s="286">
        <f>L25</f>
        <v>3695.7814625030151</v>
      </c>
      <c r="E75" s="122" t="s">
        <v>542</v>
      </c>
      <c r="F75" s="215"/>
      <c r="H75" s="195"/>
    </row>
    <row r="76" spans="3:10" x14ac:dyDescent="0.25">
      <c r="C76" s="294" t="s">
        <v>564</v>
      </c>
      <c r="D76" s="283">
        <v>212319</v>
      </c>
      <c r="E76" s="122" t="s">
        <v>544</v>
      </c>
      <c r="F76" s="215"/>
      <c r="H76" s="195"/>
    </row>
    <row r="77" spans="3:10" x14ac:dyDescent="0.25">
      <c r="C77" s="294" t="s">
        <v>565</v>
      </c>
      <c r="D77" s="283">
        <v>233071</v>
      </c>
      <c r="E77" s="122" t="s">
        <v>544</v>
      </c>
      <c r="F77" s="215"/>
      <c r="H77" s="195"/>
    </row>
    <row r="78" spans="3:10" x14ac:dyDescent="0.25">
      <c r="C78" s="294" t="s">
        <v>566</v>
      </c>
      <c r="D78" s="283">
        <v>128243</v>
      </c>
      <c r="E78" s="122" t="s">
        <v>544</v>
      </c>
      <c r="F78" s="215"/>
      <c r="H78" s="195"/>
    </row>
    <row r="79" spans="3:10" x14ac:dyDescent="0.25">
      <c r="C79" s="294" t="s">
        <v>567</v>
      </c>
      <c r="D79" s="283">
        <v>90887</v>
      </c>
      <c r="E79" s="122" t="s">
        <v>544</v>
      </c>
      <c r="F79" s="215"/>
      <c r="H79" s="195"/>
    </row>
    <row r="80" spans="3:10" x14ac:dyDescent="0.25">
      <c r="C80" s="294" t="s">
        <v>568</v>
      </c>
      <c r="D80" s="283">
        <v>109312</v>
      </c>
      <c r="E80" s="122" t="s">
        <v>546</v>
      </c>
      <c r="F80" s="215"/>
      <c r="H80" s="195"/>
    </row>
    <row r="81" spans="3:10" x14ac:dyDescent="0.25">
      <c r="C81" s="295" t="s">
        <v>559</v>
      </c>
      <c r="D81" s="296">
        <f>SUM(D73:D80)</f>
        <v>976921.78146250302</v>
      </c>
      <c r="E81" s="296"/>
      <c r="F81" s="215"/>
      <c r="H81" s="195"/>
    </row>
    <row r="82" spans="3:10" x14ac:dyDescent="0.25">
      <c r="C82" s="196"/>
      <c r="D82" s="197"/>
      <c r="E82" s="197"/>
      <c r="F82" s="197"/>
      <c r="G82" s="197"/>
      <c r="H82" s="198"/>
    </row>
    <row r="85" spans="3:10" ht="15.5" x14ac:dyDescent="0.35">
      <c r="C85" s="43" t="str">
        <f>C9</f>
        <v>Table 2 - Bus cost inputs ($'000, $2022-23)</v>
      </c>
    </row>
    <row r="86" spans="3:10" x14ac:dyDescent="0.25">
      <c r="C86" s="188"/>
      <c r="D86" s="189"/>
      <c r="E86" s="189"/>
      <c r="F86" s="189"/>
      <c r="G86" s="189"/>
      <c r="H86" s="190"/>
    </row>
    <row r="87" spans="3:10" x14ac:dyDescent="0.25">
      <c r="C87" s="191"/>
      <c r="D87" s="192" t="s">
        <v>569</v>
      </c>
      <c r="E87" s="42" t="s">
        <v>528</v>
      </c>
      <c r="H87" s="195"/>
    </row>
    <row r="88" spans="3:10" x14ac:dyDescent="0.25">
      <c r="C88" s="294" t="s">
        <v>570</v>
      </c>
      <c r="D88" s="283">
        <v>254352.03999999998</v>
      </c>
      <c r="E88" s="122" t="s">
        <v>536</v>
      </c>
      <c r="H88" s="195"/>
      <c r="J88" s="650" t="s">
        <v>1510</v>
      </c>
    </row>
    <row r="89" spans="3:10" x14ac:dyDescent="0.25">
      <c r="C89" s="294" t="s">
        <v>571</v>
      </c>
      <c r="D89" s="283">
        <v>28980.91</v>
      </c>
      <c r="E89" s="122" t="s">
        <v>534</v>
      </c>
      <c r="H89" s="195"/>
    </row>
    <row r="90" spans="3:10" x14ac:dyDescent="0.25">
      <c r="C90" s="294" t="s">
        <v>1508</v>
      </c>
      <c r="D90" s="283">
        <v>36091.300000000003</v>
      </c>
      <c r="E90" s="122" t="s">
        <v>532</v>
      </c>
      <c r="H90" s="195"/>
    </row>
    <row r="91" spans="3:10" x14ac:dyDescent="0.25">
      <c r="C91" s="294" t="s">
        <v>572</v>
      </c>
      <c r="D91" s="283">
        <v>56410.42</v>
      </c>
      <c r="E91" s="122" t="s">
        <v>538</v>
      </c>
      <c r="H91" s="195"/>
    </row>
    <row r="92" spans="3:10" x14ac:dyDescent="0.25">
      <c r="C92" s="294" t="s">
        <v>573</v>
      </c>
      <c r="D92" s="283">
        <v>7745.65</v>
      </c>
      <c r="E92" s="122" t="s">
        <v>538</v>
      </c>
      <c r="H92" s="195"/>
    </row>
    <row r="93" spans="3:10" x14ac:dyDescent="0.25">
      <c r="C93" s="294" t="s">
        <v>574</v>
      </c>
      <c r="D93" s="283">
        <v>28123.479999999996</v>
      </c>
      <c r="E93" s="122" t="s">
        <v>534</v>
      </c>
      <c r="H93" s="195"/>
    </row>
    <row r="94" spans="3:10" x14ac:dyDescent="0.25">
      <c r="C94" s="294" t="s">
        <v>575</v>
      </c>
      <c r="D94" s="283">
        <v>28071.61</v>
      </c>
      <c r="E94" s="122" t="s">
        <v>532</v>
      </c>
      <c r="H94" s="195"/>
    </row>
    <row r="95" spans="3:10" x14ac:dyDescent="0.25">
      <c r="C95" s="294" t="s">
        <v>576</v>
      </c>
      <c r="D95" s="283">
        <v>9295.6</v>
      </c>
      <c r="E95" s="122" t="s">
        <v>538</v>
      </c>
      <c r="H95" s="195"/>
    </row>
    <row r="96" spans="3:10" x14ac:dyDescent="0.25">
      <c r="C96" s="294" t="s">
        <v>577</v>
      </c>
      <c r="D96" s="283">
        <v>2748.74</v>
      </c>
      <c r="E96" s="122" t="s">
        <v>546</v>
      </c>
      <c r="H96" s="195"/>
    </row>
    <row r="97" spans="3:10" x14ac:dyDescent="0.25">
      <c r="C97" s="294" t="s">
        <v>541</v>
      </c>
      <c r="D97" s="286">
        <f>L36</f>
        <v>11729.927690886425</v>
      </c>
      <c r="E97" s="122" t="s">
        <v>542</v>
      </c>
      <c r="H97" s="646"/>
    </row>
    <row r="98" spans="3:10" x14ac:dyDescent="0.25">
      <c r="C98" s="295" t="s">
        <v>559</v>
      </c>
      <c r="D98" s="296">
        <f>SUM(D88:D97)</f>
        <v>463549.67769088631</v>
      </c>
      <c r="E98" s="215"/>
      <c r="H98" s="195"/>
    </row>
    <row r="99" spans="3:10" x14ac:dyDescent="0.25">
      <c r="C99" s="297"/>
      <c r="D99" s="286"/>
      <c r="E99" s="215"/>
      <c r="H99" s="195"/>
    </row>
    <row r="100" spans="3:10" x14ac:dyDescent="0.25">
      <c r="C100" s="297"/>
      <c r="D100" s="298" t="s">
        <v>578</v>
      </c>
      <c r="E100" s="42" t="s">
        <v>528</v>
      </c>
      <c r="H100" s="195"/>
    </row>
    <row r="101" spans="3:10" x14ac:dyDescent="0.25">
      <c r="C101" s="294" t="s">
        <v>579</v>
      </c>
      <c r="D101" s="283">
        <v>158447.59508</v>
      </c>
      <c r="E101" s="122" t="s">
        <v>532</v>
      </c>
      <c r="H101" s="195"/>
      <c r="J101" s="650" t="s">
        <v>1499</v>
      </c>
    </row>
    <row r="102" spans="3:10" x14ac:dyDescent="0.25">
      <c r="C102" s="294" t="s">
        <v>580</v>
      </c>
      <c r="D102" s="283">
        <v>487307.88</v>
      </c>
      <c r="E102" s="122" t="s">
        <v>536</v>
      </c>
      <c r="H102" s="195"/>
    </row>
    <row r="103" spans="3:10" x14ac:dyDescent="0.25">
      <c r="C103" s="294" t="s">
        <v>581</v>
      </c>
      <c r="D103" s="283">
        <v>36847.463000000003</v>
      </c>
      <c r="E103" s="122" t="s">
        <v>534</v>
      </c>
      <c r="H103" s="195"/>
    </row>
    <row r="104" spans="3:10" x14ac:dyDescent="0.25">
      <c r="C104" s="294" t="s">
        <v>582</v>
      </c>
      <c r="D104" s="283">
        <v>116967.16299999999</v>
      </c>
      <c r="E104" s="122" t="s">
        <v>538</v>
      </c>
      <c r="H104" s="195"/>
    </row>
    <row r="105" spans="3:10" x14ac:dyDescent="0.25">
      <c r="C105" s="294"/>
      <c r="D105" s="283"/>
      <c r="E105" s="122" t="s">
        <v>538</v>
      </c>
      <c r="H105" s="195"/>
    </row>
    <row r="106" spans="3:10" x14ac:dyDescent="0.25">
      <c r="C106" s="294"/>
      <c r="D106" s="283"/>
      <c r="E106" s="122" t="s">
        <v>534</v>
      </c>
      <c r="H106" s="195"/>
    </row>
    <row r="107" spans="3:10" x14ac:dyDescent="0.25">
      <c r="C107" s="294"/>
      <c r="D107" s="283"/>
      <c r="E107" s="122" t="s">
        <v>532</v>
      </c>
      <c r="H107" s="195"/>
    </row>
    <row r="108" spans="3:10" x14ac:dyDescent="0.25">
      <c r="C108" s="294"/>
      <c r="D108" s="283"/>
      <c r="E108" s="122" t="s">
        <v>538</v>
      </c>
      <c r="H108" s="195"/>
    </row>
    <row r="109" spans="3:10" x14ac:dyDescent="0.25">
      <c r="C109" s="294"/>
      <c r="D109" s="283"/>
      <c r="E109" s="122" t="s">
        <v>546</v>
      </c>
      <c r="H109" s="195"/>
    </row>
    <row r="110" spans="3:10" x14ac:dyDescent="0.25">
      <c r="C110" s="294" t="s">
        <v>541</v>
      </c>
      <c r="D110" s="286">
        <f>L37</f>
        <v>21511.461463691398</v>
      </c>
      <c r="E110" s="122" t="s">
        <v>542</v>
      </c>
      <c r="H110" s="646"/>
    </row>
    <row r="111" spans="3:10" x14ac:dyDescent="0.25">
      <c r="C111" s="294" t="s">
        <v>1312</v>
      </c>
      <c r="D111" s="283">
        <v>65154.585000000006</v>
      </c>
      <c r="E111" s="122" t="s">
        <v>544</v>
      </c>
      <c r="H111" s="195"/>
    </row>
    <row r="112" spans="3:10" x14ac:dyDescent="0.25">
      <c r="C112" s="294" t="s">
        <v>583</v>
      </c>
      <c r="D112" s="283">
        <v>14672.688099999998</v>
      </c>
      <c r="E112" s="122" t="s">
        <v>544</v>
      </c>
      <c r="H112" s="195"/>
    </row>
    <row r="113" spans="3:10" x14ac:dyDescent="0.25">
      <c r="C113" s="294" t="s">
        <v>584</v>
      </c>
      <c r="D113" s="283">
        <v>163.9241529</v>
      </c>
      <c r="E113" s="122" t="s">
        <v>544</v>
      </c>
      <c r="H113" s="195"/>
    </row>
    <row r="114" spans="3:10" x14ac:dyDescent="0.25">
      <c r="C114" s="294" t="s">
        <v>585</v>
      </c>
      <c r="D114" s="283">
        <v>180.47293286000001</v>
      </c>
      <c r="E114" s="122" t="s">
        <v>544</v>
      </c>
      <c r="H114" s="195"/>
    </row>
    <row r="115" spans="3:10" x14ac:dyDescent="0.25">
      <c r="C115" s="295" t="s">
        <v>559</v>
      </c>
      <c r="D115" s="296">
        <f>SUM(D101:D114)</f>
        <v>901253.23272945138</v>
      </c>
      <c r="E115" s="215"/>
      <c r="H115" s="195"/>
    </row>
    <row r="116" spans="3:10" x14ac:dyDescent="0.25">
      <c r="C116" s="297"/>
      <c r="D116" s="286"/>
      <c r="E116" s="215"/>
      <c r="H116" s="195"/>
    </row>
    <row r="117" spans="3:10" x14ac:dyDescent="0.25">
      <c r="C117" s="297"/>
      <c r="D117" s="298" t="s">
        <v>586</v>
      </c>
      <c r="E117" s="42" t="s">
        <v>528</v>
      </c>
      <c r="H117" s="195"/>
    </row>
    <row r="118" spans="3:10" x14ac:dyDescent="0.25">
      <c r="C118" s="294" t="s">
        <v>587</v>
      </c>
      <c r="D118" s="283">
        <v>61845.959999999992</v>
      </c>
      <c r="E118" s="122" t="s">
        <v>536</v>
      </c>
      <c r="H118" s="195"/>
      <c r="J118" s="650" t="s">
        <v>1500</v>
      </c>
    </row>
    <row r="119" spans="3:10" x14ac:dyDescent="0.25">
      <c r="C119" s="294" t="s">
        <v>588</v>
      </c>
      <c r="D119" s="283">
        <v>9648.19</v>
      </c>
      <c r="E119" s="122" t="s">
        <v>534</v>
      </c>
      <c r="H119" s="195"/>
    </row>
    <row r="120" spans="3:10" x14ac:dyDescent="0.25">
      <c r="C120" s="294" t="s">
        <v>589</v>
      </c>
      <c r="D120" s="283">
        <v>9045.8900000000012</v>
      </c>
      <c r="E120" s="122" t="s">
        <v>532</v>
      </c>
      <c r="H120" s="195"/>
    </row>
    <row r="121" spans="3:10" x14ac:dyDescent="0.25">
      <c r="C121" s="294" t="s">
        <v>590</v>
      </c>
      <c r="D121" s="283">
        <v>10276.56</v>
      </c>
      <c r="E121" s="122" t="s">
        <v>534</v>
      </c>
      <c r="H121" s="195"/>
    </row>
    <row r="122" spans="3:10" x14ac:dyDescent="0.25">
      <c r="C122" s="294" t="s">
        <v>591</v>
      </c>
      <c r="D122" s="283">
        <v>8771.6899999999987</v>
      </c>
      <c r="E122" s="122" t="s">
        <v>538</v>
      </c>
      <c r="H122" s="195"/>
    </row>
    <row r="123" spans="3:10" x14ac:dyDescent="0.25">
      <c r="C123" s="294" t="s">
        <v>592</v>
      </c>
      <c r="D123" s="283">
        <v>0</v>
      </c>
      <c r="E123" s="122" t="s">
        <v>538</v>
      </c>
      <c r="H123" s="195"/>
    </row>
    <row r="124" spans="3:10" x14ac:dyDescent="0.25">
      <c r="C124" s="294" t="s">
        <v>593</v>
      </c>
      <c r="D124" s="283">
        <v>20558.309999999998</v>
      </c>
      <c r="E124" s="122" t="s">
        <v>544</v>
      </c>
      <c r="H124" s="195"/>
    </row>
    <row r="125" spans="3:10" x14ac:dyDescent="0.25">
      <c r="C125" s="294" t="s">
        <v>575</v>
      </c>
      <c r="D125" s="283">
        <v>18225.989999999998</v>
      </c>
      <c r="E125" s="122" t="s">
        <v>544</v>
      </c>
      <c r="H125" s="195"/>
    </row>
    <row r="126" spans="3:10" x14ac:dyDescent="0.25">
      <c r="C126" s="294" t="s">
        <v>580</v>
      </c>
      <c r="D126" s="283">
        <v>43898.18</v>
      </c>
      <c r="E126" s="122" t="s">
        <v>532</v>
      </c>
      <c r="H126" s="195"/>
    </row>
    <row r="127" spans="3:10" x14ac:dyDescent="0.25">
      <c r="C127" s="294" t="s">
        <v>594</v>
      </c>
      <c r="D127" s="283">
        <v>3163.52</v>
      </c>
      <c r="E127" s="122" t="s">
        <v>534</v>
      </c>
      <c r="H127" s="195"/>
    </row>
    <row r="128" spans="3:10" x14ac:dyDescent="0.25">
      <c r="C128" s="294" t="s">
        <v>582</v>
      </c>
      <c r="D128" s="283">
        <v>8600.16</v>
      </c>
      <c r="E128" s="122" t="s">
        <v>538</v>
      </c>
      <c r="H128" s="195"/>
    </row>
    <row r="129" spans="3:8" x14ac:dyDescent="0.25">
      <c r="C129" s="294" t="s">
        <v>541</v>
      </c>
      <c r="D129" s="286">
        <f>L35</f>
        <v>1961.2432710747541</v>
      </c>
      <c r="E129" s="122" t="s">
        <v>542</v>
      </c>
      <c r="H129" s="646"/>
    </row>
    <row r="130" spans="3:8" x14ac:dyDescent="0.25">
      <c r="C130" s="294" t="s">
        <v>595</v>
      </c>
      <c r="D130" s="283">
        <v>612.41999999999996</v>
      </c>
      <c r="E130" s="122" t="s">
        <v>544</v>
      </c>
      <c r="H130" s="195"/>
    </row>
    <row r="131" spans="3:8" x14ac:dyDescent="0.25">
      <c r="C131" s="294" t="s">
        <v>596</v>
      </c>
      <c r="D131" s="283">
        <v>480.67</v>
      </c>
      <c r="E131" s="122" t="s">
        <v>544</v>
      </c>
      <c r="H131" s="195"/>
    </row>
    <row r="132" spans="3:8" x14ac:dyDescent="0.25">
      <c r="C132" s="294" t="s">
        <v>597</v>
      </c>
      <c r="D132" s="283">
        <v>2111.5700000000002</v>
      </c>
      <c r="E132" s="122" t="s">
        <v>544</v>
      </c>
      <c r="H132" s="195"/>
    </row>
    <row r="133" spans="3:8" x14ac:dyDescent="0.25">
      <c r="C133" s="294" t="s">
        <v>598</v>
      </c>
      <c r="D133" s="283">
        <v>5299.24</v>
      </c>
      <c r="E133" s="122" t="s">
        <v>544</v>
      </c>
      <c r="H133" s="195"/>
    </row>
    <row r="134" spans="3:8" x14ac:dyDescent="0.25">
      <c r="C134" s="294" t="s">
        <v>599</v>
      </c>
      <c r="D134" s="283">
        <v>0</v>
      </c>
      <c r="E134" s="122" t="s">
        <v>544</v>
      </c>
      <c r="H134" s="195"/>
    </row>
    <row r="135" spans="3:8" x14ac:dyDescent="0.25">
      <c r="C135" s="294" t="s">
        <v>600</v>
      </c>
      <c r="D135" s="283">
        <v>1477.27</v>
      </c>
      <c r="E135" s="122" t="s">
        <v>544</v>
      </c>
      <c r="H135" s="195"/>
    </row>
    <row r="136" spans="3:8" x14ac:dyDescent="0.25">
      <c r="C136" s="294" t="s">
        <v>601</v>
      </c>
      <c r="D136" s="283">
        <v>-132.36000000000001</v>
      </c>
      <c r="E136" s="122" t="s">
        <v>544</v>
      </c>
      <c r="H136" s="195"/>
    </row>
    <row r="137" spans="3:8" x14ac:dyDescent="0.25">
      <c r="C137" s="294" t="s">
        <v>585</v>
      </c>
      <c r="D137" s="283">
        <v>60</v>
      </c>
      <c r="E137" s="122" t="s">
        <v>544</v>
      </c>
      <c r="H137" s="195"/>
    </row>
    <row r="138" spans="3:8" x14ac:dyDescent="0.25">
      <c r="C138" s="294" t="s">
        <v>579</v>
      </c>
      <c r="D138" s="283">
        <v>5624.16</v>
      </c>
      <c r="E138" s="122" t="s">
        <v>544</v>
      </c>
      <c r="H138" s="195"/>
    </row>
    <row r="139" spans="3:8" x14ac:dyDescent="0.25">
      <c r="C139" s="294" t="s">
        <v>602</v>
      </c>
      <c r="D139" s="283">
        <v>-1093.0899999999999</v>
      </c>
      <c r="E139" s="122" t="s">
        <v>544</v>
      </c>
      <c r="H139" s="195"/>
    </row>
    <row r="140" spans="3:8" x14ac:dyDescent="0.25">
      <c r="C140" s="294" t="s">
        <v>603</v>
      </c>
      <c r="D140" s="283">
        <v>34179.67</v>
      </c>
      <c r="E140" s="122" t="s">
        <v>536</v>
      </c>
      <c r="H140" s="195"/>
    </row>
    <row r="141" spans="3:8" x14ac:dyDescent="0.25">
      <c r="C141" s="294" t="s">
        <v>604</v>
      </c>
      <c r="D141" s="283">
        <v>5323.4</v>
      </c>
      <c r="E141" s="122" t="s">
        <v>534</v>
      </c>
      <c r="H141" s="195"/>
    </row>
    <row r="142" spans="3:8" x14ac:dyDescent="0.25">
      <c r="C142" s="294" t="s">
        <v>605</v>
      </c>
      <c r="D142" s="283">
        <v>3873.9</v>
      </c>
      <c r="E142" s="122" t="s">
        <v>538</v>
      </c>
      <c r="H142" s="195"/>
    </row>
    <row r="143" spans="3:8" x14ac:dyDescent="0.25">
      <c r="C143" s="294" t="s">
        <v>606</v>
      </c>
      <c r="D143" s="283">
        <v>139.19999999999999</v>
      </c>
      <c r="E143" s="122" t="s">
        <v>544</v>
      </c>
      <c r="H143" s="195"/>
    </row>
    <row r="144" spans="3:8" x14ac:dyDescent="0.25">
      <c r="C144" s="294" t="s">
        <v>607</v>
      </c>
      <c r="D144" s="283">
        <v>228</v>
      </c>
      <c r="E144" s="122" t="s">
        <v>544</v>
      </c>
      <c r="H144" s="195"/>
    </row>
    <row r="145" spans="3:10" x14ac:dyDescent="0.25">
      <c r="C145" s="295" t="s">
        <v>559</v>
      </c>
      <c r="D145" s="296">
        <f>SUM(D118:D144)</f>
        <v>254179.74327107478</v>
      </c>
      <c r="E145" s="215"/>
      <c r="H145" s="195"/>
    </row>
    <row r="146" spans="3:10" x14ac:dyDescent="0.25">
      <c r="C146" s="196"/>
      <c r="D146" s="197"/>
      <c r="E146" s="197"/>
      <c r="F146" s="197"/>
      <c r="G146" s="197"/>
      <c r="H146" s="198"/>
    </row>
    <row r="149" spans="3:10" ht="15.5" x14ac:dyDescent="0.35">
      <c r="C149" s="43" t="str">
        <f>C10</f>
        <v>Table 3 - Ferry cost inputs ($'000, $2022-23)</v>
      </c>
    </row>
    <row r="150" spans="3:10" x14ac:dyDescent="0.25">
      <c r="C150" s="188"/>
      <c r="D150" s="189"/>
      <c r="E150" s="189"/>
      <c r="F150" s="189"/>
      <c r="G150" s="189"/>
      <c r="H150" s="190"/>
    </row>
    <row r="151" spans="3:10" x14ac:dyDescent="0.25">
      <c r="C151" s="191"/>
      <c r="D151" s="192" t="s">
        <v>608</v>
      </c>
      <c r="E151" s="42" t="s">
        <v>528</v>
      </c>
      <c r="H151" s="195"/>
    </row>
    <row r="152" spans="3:10" x14ac:dyDescent="0.25">
      <c r="C152" s="294" t="s">
        <v>609</v>
      </c>
      <c r="D152" s="283">
        <v>2402</v>
      </c>
      <c r="E152" s="122" t="s">
        <v>536</v>
      </c>
      <c r="H152" s="195"/>
      <c r="J152" s="650" t="s">
        <v>1501</v>
      </c>
    </row>
    <row r="153" spans="3:10" x14ac:dyDescent="0.25">
      <c r="C153" s="294" t="s">
        <v>610</v>
      </c>
      <c r="D153" s="283">
        <v>3672</v>
      </c>
      <c r="E153" s="122" t="s">
        <v>536</v>
      </c>
      <c r="H153" s="195"/>
    </row>
    <row r="154" spans="3:10" x14ac:dyDescent="0.25">
      <c r="C154" s="294" t="s">
        <v>1313</v>
      </c>
      <c r="D154" s="283" t="s">
        <v>611</v>
      </c>
      <c r="E154" s="122" t="s">
        <v>536</v>
      </c>
      <c r="H154" s="195"/>
    </row>
    <row r="155" spans="3:10" x14ac:dyDescent="0.25">
      <c r="C155" s="294" t="s">
        <v>1314</v>
      </c>
      <c r="D155" s="283" t="s">
        <v>611</v>
      </c>
      <c r="E155" s="122" t="s">
        <v>536</v>
      </c>
      <c r="H155" s="195"/>
    </row>
    <row r="156" spans="3:10" x14ac:dyDescent="0.25">
      <c r="C156" s="294" t="s">
        <v>612</v>
      </c>
      <c r="D156" s="283">
        <v>1420</v>
      </c>
      <c r="E156" s="122" t="s">
        <v>538</v>
      </c>
      <c r="H156" s="195"/>
    </row>
    <row r="157" spans="3:10" x14ac:dyDescent="0.25">
      <c r="C157" s="294" t="s">
        <v>613</v>
      </c>
      <c r="D157" s="283">
        <v>1159</v>
      </c>
      <c r="E157" s="122" t="s">
        <v>534</v>
      </c>
      <c r="H157" s="195"/>
    </row>
    <row r="158" spans="3:10" x14ac:dyDescent="0.25">
      <c r="C158" s="294" t="s">
        <v>614</v>
      </c>
      <c r="D158" s="283" t="s">
        <v>611</v>
      </c>
      <c r="E158" s="122" t="s">
        <v>530</v>
      </c>
      <c r="H158" s="195"/>
    </row>
    <row r="159" spans="3:10" x14ac:dyDescent="0.25">
      <c r="C159" s="294" t="s">
        <v>615</v>
      </c>
      <c r="D159" s="283">
        <v>42</v>
      </c>
      <c r="E159" s="122" t="s">
        <v>532</v>
      </c>
      <c r="H159" s="195"/>
    </row>
    <row r="160" spans="3:10" x14ac:dyDescent="0.25">
      <c r="C160" s="294" t="s">
        <v>616</v>
      </c>
      <c r="D160" s="283">
        <v>132</v>
      </c>
      <c r="E160" s="122" t="s">
        <v>617</v>
      </c>
      <c r="H160" s="195"/>
    </row>
    <row r="161" spans="3:10" x14ac:dyDescent="0.25">
      <c r="C161" s="294" t="s">
        <v>618</v>
      </c>
      <c r="D161" s="283">
        <v>72</v>
      </c>
      <c r="E161" s="122" t="s">
        <v>619</v>
      </c>
      <c r="H161" s="195"/>
    </row>
    <row r="162" spans="3:10" x14ac:dyDescent="0.25">
      <c r="C162" s="294" t="s">
        <v>620</v>
      </c>
      <c r="D162" s="283">
        <v>183</v>
      </c>
      <c r="E162" s="122" t="s">
        <v>532</v>
      </c>
      <c r="H162" s="195"/>
    </row>
    <row r="163" spans="3:10" x14ac:dyDescent="0.25">
      <c r="C163" s="294" t="s">
        <v>621</v>
      </c>
      <c r="D163" s="283">
        <v>3</v>
      </c>
      <c r="E163" s="122" t="s">
        <v>532</v>
      </c>
      <c r="H163" s="195"/>
    </row>
    <row r="164" spans="3:10" x14ac:dyDescent="0.25">
      <c r="C164" s="294" t="s">
        <v>622</v>
      </c>
      <c r="D164" s="283">
        <v>33</v>
      </c>
      <c r="E164" s="122" t="s">
        <v>532</v>
      </c>
      <c r="H164" s="195"/>
    </row>
    <row r="165" spans="3:10" x14ac:dyDescent="0.25">
      <c r="C165" s="294" t="s">
        <v>623</v>
      </c>
      <c r="D165" s="283">
        <v>257</v>
      </c>
      <c r="E165" s="122" t="s">
        <v>532</v>
      </c>
      <c r="H165" s="195"/>
    </row>
    <row r="166" spans="3:10" x14ac:dyDescent="0.25">
      <c r="C166" s="294" t="s">
        <v>541</v>
      </c>
      <c r="D166" s="286">
        <f>L31</f>
        <v>0</v>
      </c>
      <c r="E166" s="122" t="s">
        <v>542</v>
      </c>
      <c r="H166" s="646"/>
    </row>
    <row r="167" spans="3:10" x14ac:dyDescent="0.25">
      <c r="C167" s="294" t="s">
        <v>624</v>
      </c>
      <c r="D167" s="283">
        <v>57</v>
      </c>
      <c r="E167" s="122" t="s">
        <v>544</v>
      </c>
      <c r="H167" s="195"/>
    </row>
    <row r="168" spans="3:10" x14ac:dyDescent="0.25">
      <c r="C168" s="294" t="s">
        <v>625</v>
      </c>
      <c r="D168" s="283" t="s">
        <v>611</v>
      </c>
      <c r="E168" s="122" t="s">
        <v>532</v>
      </c>
      <c r="H168" s="195"/>
    </row>
    <row r="169" spans="3:10" x14ac:dyDescent="0.25">
      <c r="C169" s="294" t="s">
        <v>565</v>
      </c>
      <c r="D169" s="283">
        <v>1291</v>
      </c>
      <c r="E169" s="122" t="s">
        <v>544</v>
      </c>
      <c r="H169" s="195"/>
    </row>
    <row r="170" spans="3:10" x14ac:dyDescent="0.25">
      <c r="C170" s="294" t="s">
        <v>626</v>
      </c>
      <c r="D170" s="283" t="s">
        <v>611</v>
      </c>
      <c r="E170" s="122" t="s">
        <v>544</v>
      </c>
      <c r="H170" s="195"/>
    </row>
    <row r="171" spans="3:10" x14ac:dyDescent="0.25">
      <c r="C171" s="294"/>
      <c r="D171" s="283"/>
      <c r="E171" s="122" t="s">
        <v>544</v>
      </c>
      <c r="H171" s="195"/>
    </row>
    <row r="172" spans="3:10" x14ac:dyDescent="0.25">
      <c r="C172" s="295" t="s">
        <v>559</v>
      </c>
      <c r="D172" s="296">
        <f>SUM(D152:D171)</f>
        <v>10723</v>
      </c>
      <c r="E172" s="215"/>
      <c r="H172" s="195"/>
    </row>
    <row r="173" spans="3:10" x14ac:dyDescent="0.25">
      <c r="C173" s="297"/>
      <c r="D173" s="286"/>
      <c r="E173" s="215"/>
      <c r="H173" s="195"/>
    </row>
    <row r="174" spans="3:10" x14ac:dyDescent="0.25">
      <c r="C174" s="297"/>
      <c r="D174" s="298" t="s">
        <v>627</v>
      </c>
      <c r="E174" s="42" t="s">
        <v>528</v>
      </c>
      <c r="H174" s="195"/>
    </row>
    <row r="175" spans="3:10" x14ac:dyDescent="0.25">
      <c r="C175" s="294" t="s">
        <v>609</v>
      </c>
      <c r="D175" s="283">
        <v>85242</v>
      </c>
      <c r="E175" s="122" t="s">
        <v>536</v>
      </c>
      <c r="H175" s="195"/>
      <c r="J175" s="650" t="s">
        <v>1502</v>
      </c>
    </row>
    <row r="176" spans="3:10" x14ac:dyDescent="0.25">
      <c r="C176" s="294" t="s">
        <v>610</v>
      </c>
      <c r="D176" s="283" t="s">
        <v>611</v>
      </c>
      <c r="E176" s="122" t="s">
        <v>536</v>
      </c>
      <c r="H176" s="195"/>
    </row>
    <row r="177" spans="3:10" x14ac:dyDescent="0.25">
      <c r="C177" s="294" t="s">
        <v>1313</v>
      </c>
      <c r="D177" s="283">
        <v>15954</v>
      </c>
      <c r="E177" s="122" t="s">
        <v>536</v>
      </c>
      <c r="H177" s="195"/>
    </row>
    <row r="178" spans="3:10" x14ac:dyDescent="0.25">
      <c r="C178" s="294" t="s">
        <v>1314</v>
      </c>
      <c r="D178" s="283" t="s">
        <v>611</v>
      </c>
      <c r="E178" s="122" t="s">
        <v>536</v>
      </c>
      <c r="H178" s="195"/>
    </row>
    <row r="179" spans="3:10" x14ac:dyDescent="0.25">
      <c r="C179" s="294" t="s">
        <v>612</v>
      </c>
      <c r="D179" s="283">
        <v>13888</v>
      </c>
      <c r="E179" s="122" t="s">
        <v>538</v>
      </c>
      <c r="H179" s="195"/>
    </row>
    <row r="180" spans="3:10" x14ac:dyDescent="0.25">
      <c r="C180" s="294" t="s">
        <v>613</v>
      </c>
      <c r="D180" s="283">
        <v>25125</v>
      </c>
      <c r="E180" s="122" t="s">
        <v>534</v>
      </c>
      <c r="H180" s="195"/>
    </row>
    <row r="181" spans="3:10" x14ac:dyDescent="0.25">
      <c r="C181" s="294" t="s">
        <v>614</v>
      </c>
      <c r="D181" s="283">
        <v>587.90800000000002</v>
      </c>
      <c r="E181" s="122" t="s">
        <v>530</v>
      </c>
      <c r="H181" s="195"/>
      <c r="J181" s="162" t="s">
        <v>1509</v>
      </c>
    </row>
    <row r="182" spans="3:10" x14ac:dyDescent="0.25">
      <c r="C182" s="294" t="s">
        <v>615</v>
      </c>
      <c r="D182" s="283" t="s">
        <v>611</v>
      </c>
      <c r="E182" s="122" t="s">
        <v>532</v>
      </c>
      <c r="H182" s="195"/>
    </row>
    <row r="183" spans="3:10" x14ac:dyDescent="0.25">
      <c r="C183" s="294" t="s">
        <v>616</v>
      </c>
      <c r="D183" s="283">
        <v>1112</v>
      </c>
      <c r="E183" s="122" t="s">
        <v>617</v>
      </c>
      <c r="H183" s="195"/>
    </row>
    <row r="184" spans="3:10" x14ac:dyDescent="0.25">
      <c r="C184" s="294" t="s">
        <v>618</v>
      </c>
      <c r="D184" s="283" t="s">
        <v>611</v>
      </c>
      <c r="E184" s="122" t="s">
        <v>619</v>
      </c>
      <c r="H184" s="195"/>
    </row>
    <row r="185" spans="3:10" x14ac:dyDescent="0.25">
      <c r="C185" s="294" t="s">
        <v>620</v>
      </c>
      <c r="D185" s="283">
        <v>1674</v>
      </c>
      <c r="E185" s="122" t="s">
        <v>532</v>
      </c>
      <c r="H185" s="195"/>
    </row>
    <row r="186" spans="3:10" x14ac:dyDescent="0.25">
      <c r="C186" s="294" t="s">
        <v>621</v>
      </c>
      <c r="D186" s="283" t="s">
        <v>611</v>
      </c>
      <c r="E186" s="122" t="s">
        <v>532</v>
      </c>
      <c r="H186" s="195"/>
    </row>
    <row r="187" spans="3:10" x14ac:dyDescent="0.25">
      <c r="C187" s="294" t="s">
        <v>622</v>
      </c>
      <c r="D187" s="283" t="s">
        <v>611</v>
      </c>
      <c r="E187" s="122" t="s">
        <v>532</v>
      </c>
      <c r="H187" s="195"/>
    </row>
    <row r="188" spans="3:10" x14ac:dyDescent="0.25">
      <c r="C188" s="294" t="s">
        <v>623</v>
      </c>
      <c r="D188" s="283" t="s">
        <v>611</v>
      </c>
      <c r="E188" s="122" t="s">
        <v>532</v>
      </c>
      <c r="H188" s="195"/>
    </row>
    <row r="189" spans="3:10" x14ac:dyDescent="0.25">
      <c r="C189" s="294" t="s">
        <v>541</v>
      </c>
      <c r="D189" s="286">
        <f>L30</f>
        <v>4526.0212064261232</v>
      </c>
      <c r="E189" s="122" t="s">
        <v>542</v>
      </c>
      <c r="H189" s="646"/>
    </row>
    <row r="190" spans="3:10" x14ac:dyDescent="0.25">
      <c r="C190" s="294" t="s">
        <v>624</v>
      </c>
      <c r="D190" s="283" t="s">
        <v>611</v>
      </c>
      <c r="E190" s="122" t="s">
        <v>544</v>
      </c>
      <c r="H190" s="195"/>
    </row>
    <row r="191" spans="3:10" x14ac:dyDescent="0.25">
      <c r="C191" s="294" t="s">
        <v>625</v>
      </c>
      <c r="D191" s="283">
        <v>8880</v>
      </c>
      <c r="E191" s="122" t="s">
        <v>532</v>
      </c>
      <c r="H191" s="195"/>
    </row>
    <row r="192" spans="3:10" x14ac:dyDescent="0.25">
      <c r="C192" s="294" t="s">
        <v>565</v>
      </c>
      <c r="D192" s="283">
        <v>5878</v>
      </c>
      <c r="E192" s="122" t="s">
        <v>544</v>
      </c>
      <c r="H192" s="195"/>
    </row>
    <row r="193" spans="3:10" x14ac:dyDescent="0.25">
      <c r="C193" s="294" t="s">
        <v>626</v>
      </c>
      <c r="D193" s="283">
        <v>1357</v>
      </c>
      <c r="E193" s="122" t="s">
        <v>544</v>
      </c>
      <c r="H193" s="195"/>
    </row>
    <row r="194" spans="3:10" x14ac:dyDescent="0.25">
      <c r="C194" s="294"/>
      <c r="D194" s="283">
        <v>5092</v>
      </c>
      <c r="E194" s="122" t="s">
        <v>544</v>
      </c>
      <c r="H194" s="195"/>
    </row>
    <row r="195" spans="3:10" x14ac:dyDescent="0.25">
      <c r="C195" s="295" t="s">
        <v>559</v>
      </c>
      <c r="D195" s="296">
        <f>SUM(D175:D194)</f>
        <v>169315.92920642611</v>
      </c>
      <c r="E195" s="215"/>
      <c r="H195" s="195"/>
    </row>
    <row r="196" spans="3:10" x14ac:dyDescent="0.25">
      <c r="C196" s="297"/>
      <c r="D196" s="286"/>
      <c r="E196" s="215"/>
      <c r="H196" s="195"/>
    </row>
    <row r="197" spans="3:10" x14ac:dyDescent="0.25">
      <c r="C197" s="297"/>
      <c r="D197" s="298" t="s">
        <v>628</v>
      </c>
      <c r="E197" s="42" t="s">
        <v>528</v>
      </c>
      <c r="H197" s="195"/>
    </row>
    <row r="198" spans="3:10" x14ac:dyDescent="0.25">
      <c r="C198" s="294" t="s">
        <v>609</v>
      </c>
      <c r="D198" s="283">
        <v>1015.57</v>
      </c>
      <c r="E198" s="122" t="s">
        <v>536</v>
      </c>
      <c r="H198" s="195"/>
      <c r="J198" s="650" t="s">
        <v>1503</v>
      </c>
    </row>
    <row r="199" spans="3:10" x14ac:dyDescent="0.25">
      <c r="C199" s="294" t="s">
        <v>610</v>
      </c>
      <c r="D199" s="283">
        <v>0</v>
      </c>
      <c r="E199" s="122" t="s">
        <v>536</v>
      </c>
      <c r="H199" s="195"/>
    </row>
    <row r="200" spans="3:10" x14ac:dyDescent="0.25">
      <c r="C200" s="294" t="s">
        <v>1313</v>
      </c>
      <c r="D200" s="283">
        <v>0</v>
      </c>
      <c r="E200" s="122" t="s">
        <v>536</v>
      </c>
      <c r="H200" s="195"/>
    </row>
    <row r="201" spans="3:10" x14ac:dyDescent="0.25">
      <c r="C201" s="294" t="s">
        <v>1314</v>
      </c>
      <c r="D201" s="283">
        <v>0</v>
      </c>
      <c r="E201" s="122" t="s">
        <v>536</v>
      </c>
      <c r="H201" s="195"/>
    </row>
    <row r="202" spans="3:10" x14ac:dyDescent="0.25">
      <c r="C202" s="294" t="s">
        <v>612</v>
      </c>
      <c r="D202" s="283">
        <v>55.09</v>
      </c>
      <c r="E202" s="122" t="s">
        <v>538</v>
      </c>
      <c r="H202" s="195"/>
    </row>
    <row r="203" spans="3:10" x14ac:dyDescent="0.25">
      <c r="C203" s="294" t="s">
        <v>613</v>
      </c>
      <c r="D203" s="283">
        <v>601.39</v>
      </c>
      <c r="E203" s="122" t="s">
        <v>534</v>
      </c>
      <c r="H203" s="195"/>
    </row>
    <row r="204" spans="3:10" x14ac:dyDescent="0.25">
      <c r="C204" s="294" t="s">
        <v>614</v>
      </c>
      <c r="D204" s="283">
        <v>0</v>
      </c>
      <c r="E204" s="122" t="s">
        <v>530</v>
      </c>
      <c r="H204" s="195"/>
    </row>
    <row r="205" spans="3:10" x14ac:dyDescent="0.25">
      <c r="C205" s="294" t="s">
        <v>615</v>
      </c>
      <c r="D205" s="283">
        <v>0</v>
      </c>
      <c r="E205" s="122" t="s">
        <v>532</v>
      </c>
      <c r="H205" s="195"/>
    </row>
    <row r="206" spans="3:10" x14ac:dyDescent="0.25">
      <c r="C206" s="294" t="s">
        <v>616</v>
      </c>
      <c r="D206" s="283">
        <v>0</v>
      </c>
      <c r="E206" s="122" t="s">
        <v>617</v>
      </c>
      <c r="H206" s="195"/>
    </row>
    <row r="207" spans="3:10" x14ac:dyDescent="0.25">
      <c r="C207" s="294" t="s">
        <v>618</v>
      </c>
      <c r="D207" s="283">
        <v>0</v>
      </c>
      <c r="E207" s="122" t="s">
        <v>619</v>
      </c>
      <c r="H207" s="195"/>
    </row>
    <row r="208" spans="3:10" x14ac:dyDescent="0.25">
      <c r="C208" s="294" t="s">
        <v>620</v>
      </c>
      <c r="D208" s="283">
        <v>0</v>
      </c>
      <c r="E208" s="122" t="s">
        <v>532</v>
      </c>
      <c r="H208" s="195"/>
    </row>
    <row r="209" spans="3:8" x14ac:dyDescent="0.25">
      <c r="C209" s="294" t="s">
        <v>621</v>
      </c>
      <c r="D209" s="283">
        <v>0</v>
      </c>
      <c r="E209" s="122" t="s">
        <v>532</v>
      </c>
      <c r="H209" s="195"/>
    </row>
    <row r="210" spans="3:8" x14ac:dyDescent="0.25">
      <c r="C210" s="294" t="s">
        <v>622</v>
      </c>
      <c r="D210" s="283">
        <v>0</v>
      </c>
      <c r="E210" s="122" t="s">
        <v>532</v>
      </c>
      <c r="H210" s="195"/>
    </row>
    <row r="211" spans="3:8" x14ac:dyDescent="0.25">
      <c r="C211" s="294" t="s">
        <v>623</v>
      </c>
      <c r="D211" s="283">
        <v>0</v>
      </c>
      <c r="E211" s="122" t="s">
        <v>532</v>
      </c>
      <c r="H211" s="195"/>
    </row>
    <row r="212" spans="3:8" x14ac:dyDescent="0.25">
      <c r="C212" s="294" t="s">
        <v>541</v>
      </c>
      <c r="D212" s="286">
        <f>L32</f>
        <v>53.343010760067912</v>
      </c>
      <c r="E212" s="122" t="s">
        <v>542</v>
      </c>
      <c r="H212" s="195"/>
    </row>
    <row r="213" spans="3:8" x14ac:dyDescent="0.25">
      <c r="C213" s="294" t="s">
        <v>624</v>
      </c>
      <c r="D213" s="283">
        <v>0.01</v>
      </c>
      <c r="E213" s="122" t="s">
        <v>544</v>
      </c>
      <c r="H213" s="195"/>
    </row>
    <row r="214" spans="3:8" x14ac:dyDescent="0.25">
      <c r="C214" s="294" t="s">
        <v>625</v>
      </c>
      <c r="D214" s="283">
        <v>0</v>
      </c>
      <c r="E214" s="122" t="s">
        <v>532</v>
      </c>
      <c r="H214" s="195"/>
    </row>
    <row r="215" spans="3:8" x14ac:dyDescent="0.25">
      <c r="C215" s="294" t="s">
        <v>565</v>
      </c>
      <c r="D215" s="283">
        <v>0</v>
      </c>
      <c r="E215" s="122" t="s">
        <v>544</v>
      </c>
      <c r="H215" s="195"/>
    </row>
    <row r="216" spans="3:8" x14ac:dyDescent="0.25">
      <c r="C216" s="294" t="s">
        <v>626</v>
      </c>
      <c r="D216" s="283">
        <v>0</v>
      </c>
      <c r="E216" s="122" t="s">
        <v>544</v>
      </c>
      <c r="H216" s="195"/>
    </row>
    <row r="217" spans="3:8" x14ac:dyDescent="0.25">
      <c r="C217" s="294"/>
      <c r="D217" s="283"/>
      <c r="E217" s="122" t="s">
        <v>544</v>
      </c>
      <c r="H217" s="195"/>
    </row>
    <row r="218" spans="3:8" x14ac:dyDescent="0.25">
      <c r="C218" s="295" t="s">
        <v>559</v>
      </c>
      <c r="D218" s="296">
        <f>SUM(D198:D217)</f>
        <v>1725.4030107600681</v>
      </c>
      <c r="E218" s="215"/>
      <c r="H218" s="195"/>
    </row>
    <row r="219" spans="3:8" x14ac:dyDescent="0.25">
      <c r="C219" s="196"/>
      <c r="D219" s="197"/>
      <c r="E219" s="197"/>
      <c r="F219" s="197"/>
      <c r="G219" s="197"/>
      <c r="H219" s="198"/>
    </row>
    <row r="222" spans="3:8" ht="15.5" x14ac:dyDescent="0.35">
      <c r="C222" s="43" t="str">
        <f>C11</f>
        <v>Table 4 - Light rail cost inputs ($'000, $2022-23)</v>
      </c>
    </row>
    <row r="223" spans="3:8" x14ac:dyDescent="0.25">
      <c r="C223" s="188"/>
      <c r="D223" s="189"/>
      <c r="E223" s="189"/>
      <c r="F223" s="189"/>
      <c r="G223" s="189"/>
      <c r="H223" s="190"/>
    </row>
    <row r="224" spans="3:8" x14ac:dyDescent="0.25">
      <c r="C224" s="191"/>
      <c r="D224" s="192" t="s">
        <v>627</v>
      </c>
      <c r="E224" s="42" t="s">
        <v>528</v>
      </c>
      <c r="H224" s="195"/>
    </row>
    <row r="225" spans="3:10" x14ac:dyDescent="0.25">
      <c r="C225" s="294" t="s">
        <v>629</v>
      </c>
      <c r="D225" s="283"/>
      <c r="E225" s="122" t="s">
        <v>536</v>
      </c>
      <c r="H225" s="195"/>
      <c r="J225" s="650" t="s">
        <v>1504</v>
      </c>
    </row>
    <row r="226" spans="3:10" x14ac:dyDescent="0.25">
      <c r="C226" s="294" t="s">
        <v>630</v>
      </c>
      <c r="D226" s="283">
        <v>2353</v>
      </c>
      <c r="E226" s="122" t="s">
        <v>532</v>
      </c>
      <c r="H226" s="195"/>
    </row>
    <row r="227" spans="3:10" x14ac:dyDescent="0.25">
      <c r="C227" s="294" t="s">
        <v>631</v>
      </c>
      <c r="D227" s="283">
        <v>6334</v>
      </c>
      <c r="E227" s="122" t="s">
        <v>532</v>
      </c>
      <c r="H227" s="195"/>
    </row>
    <row r="228" spans="3:10" x14ac:dyDescent="0.25">
      <c r="C228" s="294" t="s">
        <v>632</v>
      </c>
      <c r="D228" s="283">
        <v>71459</v>
      </c>
      <c r="E228" s="122" t="s">
        <v>534</v>
      </c>
      <c r="H228" s="195"/>
    </row>
    <row r="229" spans="3:10" x14ac:dyDescent="0.25">
      <c r="C229" s="294" t="s">
        <v>633</v>
      </c>
      <c r="D229" s="283"/>
      <c r="E229" s="122" t="s">
        <v>538</v>
      </c>
      <c r="H229" s="195"/>
    </row>
    <row r="230" spans="3:10" x14ac:dyDescent="0.25">
      <c r="C230" s="294" t="s">
        <v>634</v>
      </c>
      <c r="D230" s="283"/>
      <c r="E230" s="122" t="s">
        <v>536</v>
      </c>
      <c r="H230" s="195"/>
    </row>
    <row r="231" spans="3:10" x14ac:dyDescent="0.25">
      <c r="C231" s="294" t="s">
        <v>541</v>
      </c>
      <c r="D231" s="286">
        <f>L27</f>
        <v>5311.019644976046</v>
      </c>
      <c r="E231" s="122" t="s">
        <v>542</v>
      </c>
      <c r="H231" s="195"/>
    </row>
    <row r="232" spans="3:10" x14ac:dyDescent="0.25">
      <c r="C232" s="295" t="s">
        <v>559</v>
      </c>
      <c r="D232" s="296">
        <f>SUM(D225:D231)</f>
        <v>85457.019644976041</v>
      </c>
      <c r="E232" s="215"/>
      <c r="H232" s="195"/>
    </row>
    <row r="233" spans="3:10" x14ac:dyDescent="0.25">
      <c r="C233" s="297"/>
      <c r="D233" s="286"/>
      <c r="E233" s="215"/>
      <c r="H233" s="195"/>
    </row>
    <row r="234" spans="3:10" x14ac:dyDescent="0.25">
      <c r="C234" s="297"/>
      <c r="D234" s="298" t="s">
        <v>1315</v>
      </c>
      <c r="E234" s="42" t="s">
        <v>528</v>
      </c>
      <c r="H234" s="195"/>
    </row>
    <row r="235" spans="3:10" x14ac:dyDescent="0.25">
      <c r="C235" s="294" t="s">
        <v>629</v>
      </c>
      <c r="D235" s="283">
        <v>2267.52</v>
      </c>
      <c r="E235" s="122" t="s">
        <v>536</v>
      </c>
      <c r="H235" s="195"/>
      <c r="J235" s="650" t="s">
        <v>1505</v>
      </c>
    </row>
    <row r="236" spans="3:10" x14ac:dyDescent="0.25">
      <c r="C236" s="294"/>
      <c r="D236" s="283"/>
      <c r="E236" s="122" t="s">
        <v>532</v>
      </c>
      <c r="H236" s="195"/>
    </row>
    <row r="237" spans="3:10" x14ac:dyDescent="0.25">
      <c r="C237" s="294"/>
      <c r="D237" s="283"/>
      <c r="E237" s="122" t="s">
        <v>532</v>
      </c>
      <c r="H237" s="195"/>
    </row>
    <row r="238" spans="3:10" x14ac:dyDescent="0.25">
      <c r="C238" s="294" t="s">
        <v>635</v>
      </c>
      <c r="D238" s="283">
        <v>2546.6</v>
      </c>
      <c r="E238" s="122" t="s">
        <v>534</v>
      </c>
      <c r="H238" s="195"/>
    </row>
    <row r="239" spans="3:10" x14ac:dyDescent="0.25">
      <c r="C239" s="294" t="s">
        <v>633</v>
      </c>
      <c r="D239" s="283">
        <v>139.27000000000001</v>
      </c>
      <c r="E239" s="122" t="s">
        <v>538</v>
      </c>
      <c r="H239" s="195"/>
    </row>
    <row r="240" spans="3:10" x14ac:dyDescent="0.25">
      <c r="C240" s="294" t="s">
        <v>634</v>
      </c>
      <c r="D240" s="283">
        <v>463.26</v>
      </c>
      <c r="E240" s="122" t="s">
        <v>536</v>
      </c>
      <c r="H240" s="195"/>
    </row>
    <row r="241" spans="3:11" x14ac:dyDescent="0.25">
      <c r="C241" s="294" t="s">
        <v>541</v>
      </c>
      <c r="D241" s="286">
        <f>L28</f>
        <v>103.39100073195027</v>
      </c>
      <c r="E241" s="122" t="s">
        <v>542</v>
      </c>
      <c r="H241" s="195"/>
    </row>
    <row r="242" spans="3:11" x14ac:dyDescent="0.25">
      <c r="C242" s="295" t="s">
        <v>559</v>
      </c>
      <c r="D242" s="296">
        <f>SUM(D235:D241)</f>
        <v>5520.0410007319506</v>
      </c>
      <c r="E242" s="215"/>
      <c r="H242" s="195"/>
    </row>
    <row r="243" spans="3:11" x14ac:dyDescent="0.25">
      <c r="C243" s="196"/>
      <c r="D243" s="197"/>
      <c r="E243" s="197"/>
      <c r="F243" s="197"/>
      <c r="G243" s="197"/>
      <c r="H243" s="198"/>
    </row>
    <row r="246" spans="3:11" ht="15.5" x14ac:dyDescent="0.35">
      <c r="C246" s="43" t="str">
        <f>C12</f>
        <v>Table 5 - PT vehicle ownership cost inputs &amp; other parameters ($'000, $2022-23)</v>
      </c>
      <c r="K246" t="s">
        <v>1420</v>
      </c>
    </row>
    <row r="247" spans="3:11" x14ac:dyDescent="0.25">
      <c r="C247" s="188"/>
      <c r="D247" s="189"/>
      <c r="E247" s="189"/>
      <c r="F247" s="189"/>
      <c r="G247" s="189"/>
      <c r="H247" s="190"/>
    </row>
    <row r="248" spans="3:11" ht="23" x14ac:dyDescent="0.25">
      <c r="C248" s="299" t="s">
        <v>636</v>
      </c>
      <c r="D248" s="202" t="s">
        <v>637</v>
      </c>
      <c r="E248" s="202" t="s">
        <v>638</v>
      </c>
      <c r="F248" s="202" t="s">
        <v>639</v>
      </c>
      <c r="G248" s="202" t="s">
        <v>640</v>
      </c>
      <c r="H248" s="195"/>
    </row>
    <row r="249" spans="3:11" x14ac:dyDescent="0.25">
      <c r="C249" s="294" t="s">
        <v>641</v>
      </c>
      <c r="D249" s="283">
        <v>626</v>
      </c>
      <c r="E249" s="283">
        <v>2539404</v>
      </c>
      <c r="F249" s="283">
        <v>125</v>
      </c>
      <c r="G249" s="283">
        <v>20</v>
      </c>
      <c r="H249" s="195"/>
      <c r="J249" s="650" t="s">
        <v>1506</v>
      </c>
    </row>
    <row r="250" spans="3:11" x14ac:dyDescent="0.25">
      <c r="C250" s="294" t="s">
        <v>642</v>
      </c>
      <c r="D250" s="283">
        <v>141</v>
      </c>
      <c r="E250" s="283">
        <v>601141</v>
      </c>
      <c r="F250" s="283">
        <v>125</v>
      </c>
      <c r="G250" s="283">
        <v>20</v>
      </c>
      <c r="H250" s="195"/>
      <c r="J250" s="162" t="s">
        <v>1421</v>
      </c>
    </row>
    <row r="251" spans="3:11" x14ac:dyDescent="0.25">
      <c r="C251" s="294" t="s">
        <v>643</v>
      </c>
      <c r="D251" s="283">
        <v>447</v>
      </c>
      <c r="E251" s="283">
        <v>1463946</v>
      </c>
      <c r="F251" s="283">
        <v>125</v>
      </c>
      <c r="G251" s="283">
        <v>20</v>
      </c>
      <c r="H251" s="195"/>
    </row>
    <row r="252" spans="3:11" x14ac:dyDescent="0.25">
      <c r="C252" s="294" t="s">
        <v>644</v>
      </c>
      <c r="D252" s="283">
        <v>160</v>
      </c>
      <c r="E252" s="283">
        <v>466631</v>
      </c>
      <c r="F252" s="283">
        <v>125</v>
      </c>
      <c r="G252" s="283">
        <v>20</v>
      </c>
      <c r="H252" s="195"/>
    </row>
    <row r="253" spans="3:11" x14ac:dyDescent="0.25">
      <c r="C253" s="294" t="s">
        <v>645</v>
      </c>
      <c r="D253" s="283">
        <v>220</v>
      </c>
      <c r="E253" s="283">
        <v>1063519</v>
      </c>
      <c r="F253" s="283">
        <v>125</v>
      </c>
      <c r="G253" s="283">
        <v>20</v>
      </c>
      <c r="H253" s="195"/>
    </row>
    <row r="254" spans="3:11" x14ac:dyDescent="0.25">
      <c r="C254" s="294" t="s">
        <v>646</v>
      </c>
      <c r="D254" s="283">
        <v>14</v>
      </c>
      <c r="E254" s="283">
        <v>99197</v>
      </c>
      <c r="F254" s="283">
        <v>73</v>
      </c>
      <c r="G254" s="283">
        <v>20</v>
      </c>
      <c r="H254" s="195"/>
    </row>
    <row r="255" spans="3:11" x14ac:dyDescent="0.25">
      <c r="C255" s="294" t="s">
        <v>647</v>
      </c>
      <c r="D255" s="283">
        <v>225</v>
      </c>
      <c r="E255" s="283">
        <v>455886</v>
      </c>
      <c r="F255" s="283">
        <v>125</v>
      </c>
      <c r="G255" s="283">
        <v>20</v>
      </c>
      <c r="H255" s="195"/>
    </row>
    <row r="256" spans="3:11" x14ac:dyDescent="0.25">
      <c r="C256" s="294" t="s">
        <v>648</v>
      </c>
      <c r="D256" s="283">
        <v>28</v>
      </c>
      <c r="E256" s="283">
        <v>173619</v>
      </c>
      <c r="F256" s="283">
        <v>95</v>
      </c>
      <c r="G256" s="283">
        <v>20</v>
      </c>
      <c r="H256" s="195"/>
    </row>
    <row r="257" spans="3:8" x14ac:dyDescent="0.25">
      <c r="C257" s="294" t="s">
        <v>649</v>
      </c>
      <c r="D257" s="283">
        <v>329</v>
      </c>
      <c r="E257" s="283">
        <v>1074727</v>
      </c>
      <c r="F257" s="283">
        <v>125</v>
      </c>
      <c r="G257" s="283">
        <v>20</v>
      </c>
      <c r="H257" s="195"/>
    </row>
    <row r="258" spans="3:8" x14ac:dyDescent="0.25">
      <c r="C258" s="294" t="s">
        <v>650</v>
      </c>
      <c r="D258" s="283">
        <v>270</v>
      </c>
      <c r="E258" s="283">
        <v>1863862</v>
      </c>
      <c r="F258" s="283">
        <v>183.33333333333334</v>
      </c>
      <c r="G258" s="283">
        <v>20</v>
      </c>
      <c r="H258" s="195"/>
    </row>
    <row r="259" spans="3:8" x14ac:dyDescent="0.25">
      <c r="C259" s="294" t="s">
        <v>651</v>
      </c>
      <c r="D259" s="283">
        <v>28</v>
      </c>
      <c r="E259" s="283">
        <v>470700</v>
      </c>
      <c r="F259" s="283">
        <v>400</v>
      </c>
      <c r="G259" s="283">
        <v>20</v>
      </c>
      <c r="H259" s="195"/>
    </row>
    <row r="260" spans="3:8" x14ac:dyDescent="0.25">
      <c r="C260" s="294" t="s">
        <v>652</v>
      </c>
      <c r="D260" s="283">
        <v>2</v>
      </c>
      <c r="E260" s="283">
        <v>15000</v>
      </c>
      <c r="F260" s="283">
        <v>199</v>
      </c>
      <c r="G260" s="283">
        <v>20</v>
      </c>
      <c r="H260" s="195"/>
    </row>
    <row r="261" spans="3:8" x14ac:dyDescent="0.25">
      <c r="C261" s="294" t="s">
        <v>184</v>
      </c>
      <c r="D261" s="283">
        <v>4981</v>
      </c>
      <c r="E261" s="283">
        <v>1600567</v>
      </c>
      <c r="F261" s="283">
        <v>60</v>
      </c>
      <c r="G261" s="283">
        <v>20</v>
      </c>
      <c r="H261" s="195"/>
    </row>
    <row r="262" spans="3:8" x14ac:dyDescent="0.25">
      <c r="C262" s="294" t="s">
        <v>653</v>
      </c>
      <c r="D262" s="283">
        <v>22</v>
      </c>
      <c r="E262" s="283">
        <v>757047</v>
      </c>
      <c r="F262" s="283">
        <v>271</v>
      </c>
      <c r="G262" s="283">
        <v>20</v>
      </c>
      <c r="H262" s="195"/>
    </row>
    <row r="263" spans="3:8" x14ac:dyDescent="0.25">
      <c r="C263" s="196"/>
      <c r="D263" s="197"/>
      <c r="E263" s="197"/>
      <c r="F263" s="197"/>
      <c r="G263" s="197"/>
      <c r="H263" s="198"/>
    </row>
  </sheetData>
  <hyperlinks>
    <hyperlink ref="N34" r:id="rId1" display="https://gov.stage.cds.transport.nsw.gov.au/data-and-research/passenger-travel/bus-patronage/bus-patronage-monthly-figures" xr:uid="{44AFA25A-FBFD-487A-AF01-3BF598190D56}"/>
  </hyperlinks>
  <pageMargins left="0.7" right="0.7" top="0.75" bottom="0.75" header="0.3" footer="0.3"/>
  <pageSetup paperSize="9"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9A29F-ADD1-4D8B-A033-225B45606176}">
  <sheetPr codeName="Sheet21">
    <tabColor rgb="FF99CCFF"/>
  </sheetPr>
  <dimension ref="A1:N34"/>
  <sheetViews>
    <sheetView showGridLines="0" zoomScaleNormal="100" workbookViewId="0"/>
  </sheetViews>
  <sheetFormatPr defaultRowHeight="11.5" x14ac:dyDescent="0.25"/>
  <cols>
    <col min="1" max="1" width="3.69921875" customWidth="1"/>
    <col min="2" max="2" width="11.09765625" customWidth="1"/>
    <col min="3" max="3" width="7.8984375" customWidth="1"/>
    <col min="4" max="4" width="9.09765625" customWidth="1"/>
    <col min="5" max="5" width="8.3984375" customWidth="1"/>
    <col min="6" max="6" width="7.8984375" customWidth="1"/>
    <col min="7" max="7" width="8.8984375" customWidth="1"/>
    <col min="8" max="8" width="9" customWidth="1"/>
    <col min="9" max="10" width="7.8984375" customWidth="1"/>
    <col min="11" max="11" width="9.3984375" customWidth="1"/>
    <col min="12" max="12" width="8.09765625" customWidth="1"/>
    <col min="13" max="13" width="7.69921875" customWidth="1"/>
    <col min="14" max="14" width="7.3984375" customWidth="1"/>
    <col min="15" max="15" width="4.59765625" customWidth="1"/>
    <col min="16" max="16" width="12" customWidth="1"/>
    <col min="17" max="20" width="7.8984375" customWidth="1"/>
    <col min="21" max="24" width="8.09765625" customWidth="1"/>
    <col min="25" max="27" width="7" customWidth="1"/>
    <col min="28" max="28" width="7.3984375" customWidth="1"/>
  </cols>
  <sheetData>
    <row r="1" spans="1:14" ht="13.5" thickBot="1" x14ac:dyDescent="0.35">
      <c r="C1" s="400"/>
    </row>
    <row r="2" spans="1:14" ht="21" thickBot="1" x14ac:dyDescent="0.5">
      <c r="B2" s="401"/>
      <c r="C2" s="402"/>
      <c r="D2" s="403"/>
      <c r="E2" s="403"/>
      <c r="F2" s="403"/>
      <c r="G2" s="404"/>
      <c r="H2" s="402" t="s">
        <v>1190</v>
      </c>
      <c r="I2" s="403"/>
      <c r="J2" s="403"/>
      <c r="K2" s="403"/>
      <c r="L2" s="403"/>
      <c r="M2" s="403"/>
      <c r="N2" s="405"/>
    </row>
    <row r="3" spans="1:14" ht="13.5" thickBot="1" x14ac:dyDescent="0.35">
      <c r="B3" s="406"/>
      <c r="C3" s="407"/>
      <c r="D3" s="408"/>
      <c r="E3" s="408"/>
      <c r="F3" s="408"/>
      <c r="G3" s="409" t="s">
        <v>1191</v>
      </c>
      <c r="H3" s="404"/>
      <c r="I3" s="408"/>
      <c r="J3" s="408"/>
      <c r="K3" s="408"/>
      <c r="L3" s="408"/>
      <c r="M3" s="408"/>
      <c r="N3" s="410"/>
    </row>
    <row r="4" spans="1:14" ht="24.75" customHeight="1" x14ac:dyDescent="0.35">
      <c r="B4" s="406" t="s">
        <v>1192</v>
      </c>
      <c r="C4" s="116"/>
      <c r="D4" s="411" t="s">
        <v>1193</v>
      </c>
      <c r="E4" s="412"/>
      <c r="F4" s="413"/>
      <c r="G4" s="680" t="s">
        <v>1194</v>
      </c>
      <c r="H4" s="681"/>
      <c r="I4" s="681"/>
      <c r="J4" s="682"/>
      <c r="K4" s="680" t="s">
        <v>1195</v>
      </c>
      <c r="L4" s="681"/>
      <c r="M4" s="681"/>
      <c r="N4" s="682"/>
    </row>
    <row r="5" spans="1:14" ht="13.5" x14ac:dyDescent="0.35">
      <c r="B5" s="406"/>
      <c r="C5" s="414"/>
      <c r="D5" s="415"/>
      <c r="E5" s="415"/>
      <c r="F5" s="416"/>
      <c r="H5" s="417" t="s">
        <v>1196</v>
      </c>
      <c r="I5" s="302"/>
      <c r="J5" s="302"/>
      <c r="K5" s="414"/>
      <c r="L5" s="418" t="s">
        <v>1197</v>
      </c>
      <c r="M5" s="419"/>
      <c r="N5" s="420"/>
    </row>
    <row r="6" spans="1:14" ht="14" thickBot="1" x14ac:dyDescent="0.4">
      <c r="B6" s="421" t="s">
        <v>1198</v>
      </c>
      <c r="C6" s="422" t="s">
        <v>1199</v>
      </c>
      <c r="D6" s="423" t="s">
        <v>1200</v>
      </c>
      <c r="E6" s="423" t="s">
        <v>1201</v>
      </c>
      <c r="F6" s="424" t="s">
        <v>1202</v>
      </c>
      <c r="G6" s="425" t="s">
        <v>1203</v>
      </c>
      <c r="H6" s="425" t="s">
        <v>1204</v>
      </c>
      <c r="I6" s="425" t="s">
        <v>1205</v>
      </c>
      <c r="J6" s="425" t="s">
        <v>1206</v>
      </c>
      <c r="K6" s="426" t="s">
        <v>1203</v>
      </c>
      <c r="L6" s="427" t="s">
        <v>1204</v>
      </c>
      <c r="M6" s="427" t="s">
        <v>1205</v>
      </c>
      <c r="N6" s="428" t="s">
        <v>1206</v>
      </c>
    </row>
    <row r="7" spans="1:14" x14ac:dyDescent="0.25">
      <c r="A7" s="429"/>
      <c r="B7" s="430" t="s">
        <v>1212</v>
      </c>
      <c r="C7" s="431">
        <v>108</v>
      </c>
      <c r="D7" s="432">
        <v>108.4</v>
      </c>
      <c r="E7" s="432">
        <v>108.2</v>
      </c>
      <c r="F7" s="433">
        <v>108.6</v>
      </c>
      <c r="G7" s="436"/>
      <c r="H7" s="437"/>
      <c r="I7" s="437"/>
      <c r="J7" s="437"/>
      <c r="K7" s="435"/>
      <c r="L7" s="435"/>
      <c r="M7" s="435"/>
      <c r="N7" s="434"/>
    </row>
    <row r="8" spans="1:14" x14ac:dyDescent="0.25">
      <c r="A8" s="429"/>
      <c r="B8" s="430" t="s">
        <v>1213</v>
      </c>
      <c r="C8" s="431">
        <v>109.4</v>
      </c>
      <c r="D8" s="432">
        <v>110</v>
      </c>
      <c r="E8" s="432">
        <v>110.5</v>
      </c>
      <c r="F8" s="433">
        <v>110.7</v>
      </c>
      <c r="G8" s="436">
        <f t="shared" ref="G8:I10" si="0">C8/C7-1</f>
        <v>1.2962962962963065E-2</v>
      </c>
      <c r="H8" s="437">
        <f t="shared" si="0"/>
        <v>1.4760147601476037E-2</v>
      </c>
      <c r="I8" s="437">
        <f t="shared" si="0"/>
        <v>2.1256931608133023E-2</v>
      </c>
      <c r="J8" s="437">
        <f>F8/F7-1</f>
        <v>1.9337016574585641E-2</v>
      </c>
      <c r="K8" s="435"/>
      <c r="L8" s="435"/>
      <c r="M8" s="435"/>
      <c r="N8" s="434">
        <f t="shared" ref="N8:N16" si="1">SUM(C8:F8)/SUM(C7:F7) -1</f>
        <v>1.7082179132040354E-2</v>
      </c>
    </row>
    <row r="9" spans="1:14" x14ac:dyDescent="0.25">
      <c r="A9" s="429"/>
      <c r="B9" s="430" t="s">
        <v>1214</v>
      </c>
      <c r="C9" s="431">
        <v>111.4</v>
      </c>
      <c r="D9" s="432">
        <v>112.1</v>
      </c>
      <c r="E9" s="432">
        <v>112.6</v>
      </c>
      <c r="F9" s="433">
        <v>113</v>
      </c>
      <c r="G9" s="436">
        <f t="shared" si="0"/>
        <v>1.8281535648994485E-2</v>
      </c>
      <c r="H9" s="437">
        <f t="shared" si="0"/>
        <v>1.9090909090909047E-2</v>
      </c>
      <c r="I9" s="437">
        <f t="shared" si="0"/>
        <v>1.9004524886877761E-2</v>
      </c>
      <c r="J9" s="437">
        <f>F9/F8-1</f>
        <v>2.0776874435411097E-2</v>
      </c>
      <c r="K9" s="435">
        <f t="shared" ref="K9:K16" si="2">(SUM(D8:F8)+C9)/(SUM(D7:F7)+C8)-1</f>
        <v>1.8407731247123804E-2</v>
      </c>
      <c r="L9" s="435">
        <f t="shared" ref="L9:L16" si="3">(SUM(C9:D9)+F8+E8)/(SUM(C8:D8)+F7+E7)-1</f>
        <v>1.9486474094452033E-2</v>
      </c>
      <c r="M9" s="435">
        <f t="shared" ref="M9:M16" si="4">(SUM(C9:E9)+F8)/(SUM(C8:E8)+F7)-1</f>
        <v>1.8928164196123198E-2</v>
      </c>
      <c r="N9" s="434">
        <f>SUM(C9:F9)/SUM(C8:F8) -1</f>
        <v>1.9291874716296009E-2</v>
      </c>
    </row>
    <row r="10" spans="1:14" x14ac:dyDescent="0.25">
      <c r="A10" s="429"/>
      <c r="B10" s="430" t="s">
        <v>1215</v>
      </c>
      <c r="C10" s="431">
        <v>113.5</v>
      </c>
      <c r="D10" s="432">
        <v>114.1</v>
      </c>
      <c r="E10" s="432">
        <v>114.1</v>
      </c>
      <c r="F10" s="433">
        <v>114.8</v>
      </c>
      <c r="G10" s="436">
        <f t="shared" si="0"/>
        <v>1.8850987432674993E-2</v>
      </c>
      <c r="H10" s="437">
        <f t="shared" si="0"/>
        <v>1.7841213202497874E-2</v>
      </c>
      <c r="I10" s="437">
        <f t="shared" si="0"/>
        <v>1.3321492007104752E-2</v>
      </c>
      <c r="J10" s="437">
        <f>F10/F9-1</f>
        <v>1.5929203539823078E-2</v>
      </c>
      <c r="K10" s="435">
        <f t="shared" si="2"/>
        <v>1.9430637144148166E-2</v>
      </c>
      <c r="L10" s="435">
        <f t="shared" si="3"/>
        <v>1.9114009444569424E-2</v>
      </c>
      <c r="M10" s="435">
        <f t="shared" si="4"/>
        <v>1.7681289167412739E-2</v>
      </c>
      <c r="N10" s="434">
        <f t="shared" si="1"/>
        <v>1.6477399242930346E-2</v>
      </c>
    </row>
    <row r="11" spans="1:14" x14ac:dyDescent="0.25">
      <c r="A11" s="429"/>
      <c r="B11" s="430" t="s">
        <v>1216</v>
      </c>
      <c r="C11" s="431">
        <v>115.4</v>
      </c>
      <c r="D11" s="432">
        <v>116.2</v>
      </c>
      <c r="E11" s="432">
        <v>116.6</v>
      </c>
      <c r="F11" s="433">
        <v>114.4</v>
      </c>
      <c r="G11" s="436">
        <f t="shared" ref="G11:G16" si="5">IF(C11="",".",C11/C10-1)</f>
        <v>1.6740088105726914E-2</v>
      </c>
      <c r="H11" s="437">
        <f t="shared" ref="H11:J16" si="6">IF(D11="",".",D11/D10-1)</f>
        <v>1.8404907975460238E-2</v>
      </c>
      <c r="I11" s="437">
        <f t="shared" si="6"/>
        <v>2.1910604732690686E-2</v>
      </c>
      <c r="J11" s="437">
        <f t="shared" si="6"/>
        <v>-3.4843205574912606E-3</v>
      </c>
      <c r="K11" s="435">
        <f t="shared" si="2"/>
        <v>1.5957446808510634E-2</v>
      </c>
      <c r="L11" s="435">
        <f t="shared" si="3"/>
        <v>1.6107678729037955E-2</v>
      </c>
      <c r="M11" s="435">
        <f t="shared" si="4"/>
        <v>1.8253793710138799E-2</v>
      </c>
      <c r="N11" s="434">
        <f t="shared" si="1"/>
        <v>1.3362541073384415E-2</v>
      </c>
    </row>
    <row r="12" spans="1:14" x14ac:dyDescent="0.25">
      <c r="A12" s="429"/>
      <c r="B12" s="430" t="s">
        <v>1217</v>
      </c>
      <c r="C12" s="431">
        <v>116.2</v>
      </c>
      <c r="D12" s="432">
        <v>117.2</v>
      </c>
      <c r="E12" s="432">
        <v>117.9</v>
      </c>
      <c r="F12" s="433">
        <v>118.8</v>
      </c>
      <c r="G12" s="436">
        <f t="shared" si="5"/>
        <v>6.9324090121316573E-3</v>
      </c>
      <c r="H12" s="437">
        <f t="shared" si="6"/>
        <v>8.6058519793459354E-3</v>
      </c>
      <c r="I12" s="437">
        <f t="shared" si="6"/>
        <v>1.1149228130360234E-2</v>
      </c>
      <c r="J12" s="437">
        <f t="shared" si="6"/>
        <v>3.8461538461538325E-2</v>
      </c>
      <c r="K12" s="435">
        <f t="shared" si="2"/>
        <v>1.0907504363001808E-2</v>
      </c>
      <c r="L12" s="435">
        <f t="shared" si="3"/>
        <v>8.4690553745927488E-3</v>
      </c>
      <c r="M12" s="435">
        <f t="shared" si="4"/>
        <v>5.8315334773217931E-3</v>
      </c>
      <c r="N12" s="434">
        <f t="shared" si="1"/>
        <v>1.6212710765239891E-2</v>
      </c>
    </row>
    <row r="13" spans="1:14" x14ac:dyDescent="0.25">
      <c r="A13" s="429"/>
      <c r="B13" s="430" t="s">
        <v>1218</v>
      </c>
      <c r="C13" s="431">
        <v>119.7</v>
      </c>
      <c r="D13" s="432">
        <v>121.3</v>
      </c>
      <c r="E13" s="432">
        <v>123.9</v>
      </c>
      <c r="F13" s="433">
        <v>126.1</v>
      </c>
      <c r="G13" s="436">
        <f t="shared" si="5"/>
        <v>3.0120481927710774E-2</v>
      </c>
      <c r="H13" s="437">
        <f t="shared" si="6"/>
        <v>3.4982935153583528E-2</v>
      </c>
      <c r="I13" s="437">
        <f t="shared" si="6"/>
        <v>5.0890585241730291E-2</v>
      </c>
      <c r="J13" s="437">
        <f t="shared" si="6"/>
        <v>6.1447811447811418E-2</v>
      </c>
      <c r="K13" s="435">
        <f t="shared" si="2"/>
        <v>2.2011221406991854E-2</v>
      </c>
      <c r="L13" s="435">
        <f t="shared" si="3"/>
        <v>2.8639104220499645E-2</v>
      </c>
      <c r="M13" s="435">
        <f t="shared" si="4"/>
        <v>3.8651492377066665E-2</v>
      </c>
      <c r="N13" s="434">
        <f t="shared" si="1"/>
        <v>4.4458625824292719E-2</v>
      </c>
    </row>
    <row r="14" spans="1:14" x14ac:dyDescent="0.25">
      <c r="A14" s="429"/>
      <c r="B14" s="430" t="s">
        <v>1219</v>
      </c>
      <c r="C14" s="431">
        <v>128.4</v>
      </c>
      <c r="D14" s="432">
        <v>130.80000000000001</v>
      </c>
      <c r="E14" s="432">
        <v>132.6</v>
      </c>
      <c r="F14" s="433">
        <v>133.69999999999999</v>
      </c>
      <c r="G14" s="436">
        <f t="shared" si="5"/>
        <v>7.268170426065157E-2</v>
      </c>
      <c r="H14" s="437">
        <f t="shared" si="6"/>
        <v>7.8318219291014124E-2</v>
      </c>
      <c r="I14" s="437">
        <f t="shared" si="6"/>
        <v>7.0217917675544639E-2</v>
      </c>
      <c r="J14" s="437">
        <f t="shared" si="6"/>
        <v>6.0269627279936566E-2</v>
      </c>
      <c r="K14" s="435">
        <f t="shared" si="2"/>
        <v>5.5109797297297147E-2</v>
      </c>
      <c r="L14" s="435">
        <f t="shared" si="3"/>
        <v>6.5940967134184625E-2</v>
      </c>
      <c r="M14" s="435">
        <f t="shared" si="4"/>
        <v>7.0704982427124419E-2</v>
      </c>
      <c r="N14" s="434">
        <f>SUM(C14:F14)/SUM(C13:F13) -1</f>
        <v>7.0264765784114003E-2</v>
      </c>
    </row>
    <row r="15" spans="1:14" x14ac:dyDescent="0.25">
      <c r="A15" s="429"/>
      <c r="B15" s="430" t="s">
        <v>1220</v>
      </c>
      <c r="C15" s="431">
        <v>135.30000000000001</v>
      </c>
      <c r="D15" s="432">
        <v>136.1</v>
      </c>
      <c r="E15" s="432">
        <v>137.4</v>
      </c>
      <c r="F15" s="433"/>
      <c r="G15" s="436">
        <f t="shared" si="5"/>
        <v>5.3738317757009435E-2</v>
      </c>
      <c r="H15" s="437">
        <f t="shared" si="6"/>
        <v>4.0519877675840865E-2</v>
      </c>
      <c r="I15" s="437">
        <f t="shared" si="6"/>
        <v>3.6199095022624528E-2</v>
      </c>
      <c r="J15" s="437" t="str">
        <f t="shared" si="6"/>
        <v>.</v>
      </c>
      <c r="K15" s="435">
        <f t="shared" si="2"/>
        <v>6.5439263558134897E-2</v>
      </c>
      <c r="L15" s="435">
        <f t="shared" si="3"/>
        <v>5.5970149253731005E-2</v>
      </c>
      <c r="M15" s="435">
        <f t="shared" si="4"/>
        <v>4.7499517281328174E-2</v>
      </c>
      <c r="N15" s="434">
        <f t="shared" si="1"/>
        <v>-0.22207421503330171</v>
      </c>
    </row>
    <row r="16" spans="1:14" ht="12" thickBot="1" x14ac:dyDescent="0.3">
      <c r="A16" s="429"/>
      <c r="B16" s="430" t="s">
        <v>1221</v>
      </c>
      <c r="C16" s="431"/>
      <c r="D16" s="432"/>
      <c r="E16" s="432"/>
      <c r="F16" s="433"/>
      <c r="G16" s="436" t="str">
        <f t="shared" si="5"/>
        <v>.</v>
      </c>
      <c r="H16" s="437" t="str">
        <f t="shared" si="6"/>
        <v>.</v>
      </c>
      <c r="I16" s="437" t="str">
        <f t="shared" si="6"/>
        <v>.</v>
      </c>
      <c r="J16" s="437" t="str">
        <f t="shared" si="6"/>
        <v>.</v>
      </c>
      <c r="K16" s="435">
        <f t="shared" si="2"/>
        <v>-0.48628850488354614</v>
      </c>
      <c r="L16" s="435">
        <f t="shared" si="3"/>
        <v>-0.74446717500464943</v>
      </c>
      <c r="M16" s="435">
        <f t="shared" si="4"/>
        <v>-1</v>
      </c>
      <c r="N16" s="434">
        <f t="shared" si="1"/>
        <v>-1</v>
      </c>
    </row>
    <row r="17" spans="2:14" ht="13.5" thickTop="1" x14ac:dyDescent="0.3">
      <c r="B17" s="438" t="s">
        <v>1207</v>
      </c>
      <c r="C17" s="439"/>
      <c r="D17" s="439"/>
      <c r="E17" s="439"/>
      <c r="F17" s="439"/>
      <c r="G17" s="439"/>
      <c r="H17" s="439"/>
      <c r="I17" s="440"/>
      <c r="J17" s="439"/>
      <c r="K17" s="438"/>
      <c r="L17" s="439"/>
      <c r="M17" s="439"/>
      <c r="N17" s="439"/>
    </row>
    <row r="18" spans="2:14" ht="13" x14ac:dyDescent="0.3">
      <c r="B18" s="441"/>
      <c r="C18" s="442"/>
      <c r="D18" s="441"/>
      <c r="E18" s="441"/>
      <c r="F18" s="441"/>
      <c r="G18" s="441"/>
      <c r="H18" s="441"/>
      <c r="I18" s="443"/>
      <c r="J18" s="441"/>
      <c r="K18" s="444"/>
      <c r="L18" s="441"/>
      <c r="M18" s="441"/>
      <c r="N18" s="441"/>
    </row>
    <row r="19" spans="2:14" x14ac:dyDescent="0.25">
      <c r="B19" s="162" t="s">
        <v>1232</v>
      </c>
      <c r="C19" s="162"/>
      <c r="D19" s="162"/>
      <c r="E19" s="162"/>
      <c r="F19" s="162"/>
      <c r="J19" s="1"/>
      <c r="K19" s="1"/>
      <c r="L19" s="1"/>
    </row>
    <row r="20" spans="2:14" ht="13" x14ac:dyDescent="0.35">
      <c r="B20" t="s">
        <v>1208</v>
      </c>
      <c r="C20" s="42"/>
      <c r="D20" s="42"/>
      <c r="E20" s="445"/>
    </row>
    <row r="21" spans="2:14" ht="13" x14ac:dyDescent="0.35">
      <c r="B21" s="42" t="s">
        <v>1209</v>
      </c>
      <c r="C21" s="42" t="s">
        <v>1210</v>
      </c>
      <c r="D21" s="42"/>
      <c r="E21" s="445"/>
    </row>
    <row r="22" spans="2:14" ht="13" x14ac:dyDescent="0.35">
      <c r="B22" s="42"/>
      <c r="E22" s="445"/>
    </row>
    <row r="23" spans="2:14" ht="13" x14ac:dyDescent="0.35">
      <c r="B23" s="42"/>
      <c r="C23" s="42"/>
      <c r="D23" s="42"/>
      <c r="E23" s="445"/>
    </row>
    <row r="24" spans="2:14" ht="13" x14ac:dyDescent="0.35">
      <c r="E24" s="445"/>
    </row>
    <row r="25" spans="2:14" ht="13" x14ac:dyDescent="0.35">
      <c r="E25" s="445"/>
    </row>
    <row r="26" spans="2:14" ht="13" x14ac:dyDescent="0.3">
      <c r="C26" s="400"/>
      <c r="F26" s="446"/>
    </row>
    <row r="27" spans="2:14" ht="13" x14ac:dyDescent="0.3">
      <c r="C27" s="400"/>
      <c r="F27" s="446"/>
      <c r="J27" t="s">
        <v>1211</v>
      </c>
    </row>
    <row r="28" spans="2:14" ht="13" x14ac:dyDescent="0.3">
      <c r="C28" s="400"/>
      <c r="F28" s="446"/>
    </row>
    <row r="29" spans="2:14" ht="13" x14ac:dyDescent="0.3">
      <c r="C29" s="400"/>
      <c r="F29" s="446"/>
    </row>
    <row r="30" spans="2:14" ht="13" x14ac:dyDescent="0.3">
      <c r="C30" s="400"/>
    </row>
    <row r="31" spans="2:14" ht="13" x14ac:dyDescent="0.3">
      <c r="C31" s="400"/>
    </row>
    <row r="32" spans="2:14" ht="13" x14ac:dyDescent="0.3">
      <c r="C32" s="400"/>
    </row>
    <row r="33" spans="3:3" ht="13" x14ac:dyDescent="0.3">
      <c r="C33" s="400"/>
    </row>
    <row r="34" spans="3:3" ht="13" x14ac:dyDescent="0.3">
      <c r="C34" s="400"/>
    </row>
  </sheetData>
  <mergeCells count="2">
    <mergeCell ref="G4:J4"/>
    <mergeCell ref="K4:N4"/>
  </mergeCells>
  <conditionalFormatting sqref="K7:M7 K8:N16">
    <cfRule type="expression" dxfId="0" priority="1">
      <formula>C7=0</formula>
    </cfRule>
  </conditionalFormatting>
  <pageMargins left="0.7" right="0.7" top="0.75" bottom="0.75" header="0.3" footer="0.3"/>
  <pageSetup paperSize="9" scale="93"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G31"/>
  <sheetViews>
    <sheetView workbookViewId="0"/>
  </sheetViews>
  <sheetFormatPr defaultColWidth="9.09765625" defaultRowHeight="11.5" x14ac:dyDescent="0.25"/>
  <cols>
    <col min="1" max="1" width="4.09765625" customWidth="1"/>
    <col min="2" max="2" width="57" customWidth="1"/>
    <col min="3" max="3" width="15.09765625" customWidth="1"/>
    <col min="4" max="5" width="13" customWidth="1"/>
    <col min="6" max="6" width="40.59765625" customWidth="1"/>
  </cols>
  <sheetData>
    <row r="2" spans="2:7" ht="20" x14ac:dyDescent="0.4">
      <c r="B2" s="26" t="s">
        <v>45</v>
      </c>
    </row>
    <row r="4" spans="2:7" ht="14" x14ac:dyDescent="0.3">
      <c r="B4" s="27" t="s">
        <v>46</v>
      </c>
      <c r="C4" s="28"/>
      <c r="D4" s="28"/>
      <c r="E4" s="28"/>
      <c r="F4" s="28"/>
    </row>
    <row r="5" spans="2:7" ht="14" x14ac:dyDescent="0.3">
      <c r="B5" s="27" t="s">
        <v>47</v>
      </c>
      <c r="C5" s="28"/>
      <c r="D5" s="28"/>
      <c r="E5" s="28"/>
      <c r="F5" s="28"/>
    </row>
    <row r="6" spans="2:7" ht="14" x14ac:dyDescent="0.3">
      <c r="B6" s="27"/>
      <c r="C6" s="28"/>
      <c r="D6" s="28"/>
      <c r="E6" s="28"/>
      <c r="F6" s="28"/>
    </row>
    <row r="7" spans="2:7" ht="14.25" customHeight="1" x14ac:dyDescent="0.25">
      <c r="B7" s="29" t="s">
        <v>48</v>
      </c>
      <c r="C7" s="29"/>
      <c r="D7" s="29"/>
      <c r="E7" s="29"/>
      <c r="F7" s="29"/>
    </row>
    <row r="9" spans="2:7" ht="13" x14ac:dyDescent="0.3">
      <c r="B9" s="30" t="s">
        <v>18</v>
      </c>
      <c r="C9" s="31" t="s">
        <v>19</v>
      </c>
      <c r="D9" s="30" t="s">
        <v>20</v>
      </c>
      <c r="E9" s="31" t="s">
        <v>21</v>
      </c>
      <c r="F9" s="30" t="s">
        <v>22</v>
      </c>
      <c r="G9" s="32"/>
    </row>
    <row r="10" spans="2:7" ht="23.5" x14ac:dyDescent="0.3">
      <c r="B10" s="33" t="s">
        <v>23</v>
      </c>
      <c r="C10" s="34"/>
      <c r="D10" s="33"/>
      <c r="E10" s="34"/>
      <c r="F10" s="33"/>
      <c r="G10" s="32"/>
    </row>
    <row r="11" spans="2:7" ht="12.5" x14ac:dyDescent="0.25">
      <c r="B11" s="35"/>
      <c r="C11" s="6"/>
      <c r="D11" s="35"/>
      <c r="E11" s="6"/>
      <c r="F11" s="35"/>
      <c r="G11" s="36"/>
    </row>
    <row r="12" spans="2:7" ht="12.5" x14ac:dyDescent="0.25">
      <c r="B12" s="35"/>
      <c r="C12" s="6"/>
      <c r="D12" s="35"/>
      <c r="E12" s="6"/>
      <c r="F12" s="35"/>
      <c r="G12" s="36"/>
    </row>
    <row r="13" spans="2:7" ht="12.5" x14ac:dyDescent="0.25">
      <c r="B13" s="35"/>
      <c r="C13" s="6"/>
      <c r="D13" s="35"/>
      <c r="E13" s="6"/>
      <c r="F13" s="35"/>
      <c r="G13" s="36"/>
    </row>
    <row r="14" spans="2:7" ht="12.5" x14ac:dyDescent="0.25">
      <c r="B14" s="35"/>
      <c r="C14" s="6"/>
      <c r="D14" s="35"/>
      <c r="E14" s="6"/>
      <c r="F14" s="35"/>
      <c r="G14" s="36"/>
    </row>
    <row r="15" spans="2:7" ht="12.5" x14ac:dyDescent="0.25">
      <c r="B15" s="37" t="s">
        <v>24</v>
      </c>
      <c r="C15" s="38"/>
      <c r="D15" s="39"/>
      <c r="E15" s="38"/>
      <c r="F15" s="39"/>
      <c r="G15" s="36"/>
    </row>
    <row r="16" spans="2:7" ht="12.5" x14ac:dyDescent="0.25">
      <c r="B16" s="35"/>
      <c r="C16" s="6"/>
      <c r="D16" s="35"/>
      <c r="E16" s="6"/>
      <c r="F16" s="35"/>
      <c r="G16" s="36"/>
    </row>
    <row r="17" spans="2:7" ht="12.5" x14ac:dyDescent="0.25">
      <c r="B17" s="35"/>
      <c r="C17" s="6"/>
      <c r="D17" s="35"/>
      <c r="E17" s="6"/>
      <c r="F17" s="35"/>
      <c r="G17" s="36"/>
    </row>
    <row r="18" spans="2:7" ht="12.5" x14ac:dyDescent="0.25">
      <c r="B18" s="35"/>
      <c r="C18" s="6"/>
      <c r="D18" s="35"/>
      <c r="E18" s="6"/>
      <c r="F18" s="35"/>
      <c r="G18" s="36"/>
    </row>
    <row r="19" spans="2:7" ht="12.5" x14ac:dyDescent="0.25">
      <c r="B19" s="40"/>
      <c r="C19" s="41"/>
      <c r="D19" s="40"/>
      <c r="E19" s="41"/>
      <c r="F19" s="40"/>
      <c r="G19" s="36"/>
    </row>
    <row r="20" spans="2:7" ht="12.5" x14ac:dyDescent="0.25">
      <c r="B20" s="33" t="s">
        <v>25</v>
      </c>
      <c r="C20" s="6"/>
      <c r="D20" s="35"/>
      <c r="E20" s="6"/>
      <c r="F20" s="35"/>
      <c r="G20" s="36"/>
    </row>
    <row r="21" spans="2:7" ht="12.5" x14ac:dyDescent="0.25">
      <c r="B21" s="35"/>
      <c r="C21" s="6"/>
      <c r="D21" s="35"/>
      <c r="E21" s="6"/>
      <c r="F21" s="35"/>
      <c r="G21" s="36"/>
    </row>
    <row r="22" spans="2:7" ht="12.5" x14ac:dyDescent="0.25">
      <c r="B22" s="35"/>
      <c r="C22" s="6"/>
      <c r="D22" s="35"/>
      <c r="E22" s="6"/>
      <c r="F22" s="35"/>
      <c r="G22" s="36"/>
    </row>
    <row r="23" spans="2:7" ht="12.5" x14ac:dyDescent="0.25">
      <c r="B23" s="35"/>
      <c r="C23" s="6"/>
      <c r="D23" s="35"/>
      <c r="E23" s="6"/>
      <c r="F23" s="35"/>
      <c r="G23" s="36"/>
    </row>
    <row r="24" spans="2:7" ht="12.5" x14ac:dyDescent="0.25">
      <c r="B24" s="35"/>
      <c r="C24" s="6"/>
      <c r="D24" s="35"/>
      <c r="E24" s="6"/>
      <c r="F24" s="35"/>
      <c r="G24" s="36"/>
    </row>
    <row r="25" spans="2:7" ht="12.5" x14ac:dyDescent="0.25">
      <c r="B25" s="37" t="s">
        <v>26</v>
      </c>
      <c r="C25" s="38"/>
      <c r="D25" s="39"/>
      <c r="E25" s="38"/>
      <c r="F25" s="39"/>
      <c r="G25" s="36"/>
    </row>
    <row r="26" spans="2:7" ht="12.5" x14ac:dyDescent="0.25">
      <c r="B26" s="35"/>
      <c r="C26" s="6"/>
      <c r="D26" s="35"/>
      <c r="E26" s="6"/>
      <c r="F26" s="35"/>
      <c r="G26" s="36"/>
    </row>
    <row r="27" spans="2:7" ht="12.5" x14ac:dyDescent="0.25">
      <c r="B27" s="35"/>
      <c r="C27" s="6"/>
      <c r="D27" s="35"/>
      <c r="E27" s="6"/>
      <c r="F27" s="35"/>
      <c r="G27" s="36"/>
    </row>
    <row r="28" spans="2:7" ht="12.5" x14ac:dyDescent="0.25">
      <c r="B28" s="35"/>
      <c r="C28" s="6"/>
      <c r="D28" s="35"/>
      <c r="E28" s="6"/>
      <c r="F28" s="35"/>
      <c r="G28" s="36"/>
    </row>
    <row r="29" spans="2:7" ht="12.5" x14ac:dyDescent="0.25">
      <c r="B29" s="40"/>
      <c r="C29" s="41"/>
      <c r="D29" s="40"/>
      <c r="E29" s="41"/>
      <c r="F29" s="40"/>
      <c r="G29" s="36"/>
    </row>
    <row r="30" spans="2:7" ht="12.5" x14ac:dyDescent="0.25">
      <c r="G30" s="36"/>
    </row>
    <row r="31" spans="2:7" x14ac:dyDescent="0.25">
      <c r="B31" s="42"/>
      <c r="C31" s="42"/>
      <c r="D31" s="42"/>
      <c r="E31" s="42"/>
    </row>
  </sheetData>
  <pageMargins left="0.7" right="0.7" top="0.75" bottom="0.75" header="0.3" footer="0.3"/>
  <pageSetup paperSize="9" orientation="landscape" horizontalDpi="200" verticalDpi="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5A02-D7DC-498F-BEA1-35D337F200E9}">
  <sheetPr codeName="Sheet10">
    <pageSetUpPr fitToPage="1"/>
  </sheetPr>
  <dimension ref="A1:AB132"/>
  <sheetViews>
    <sheetView showGridLines="0" workbookViewId="0"/>
  </sheetViews>
  <sheetFormatPr defaultColWidth="8.8984375" defaultRowHeight="11.5" x14ac:dyDescent="0.25"/>
  <cols>
    <col min="1" max="1" width="4.69921875" customWidth="1"/>
    <col min="2" max="2" width="3.3984375" customWidth="1"/>
    <col min="3" max="3" width="6.09765625" customWidth="1"/>
    <col min="4" max="4" width="26.09765625" customWidth="1"/>
    <col min="5" max="5" width="29.59765625" customWidth="1"/>
    <col min="6" max="6" width="45.09765625" customWidth="1"/>
    <col min="7" max="7" width="24.09765625" customWidth="1"/>
    <col min="8" max="8" width="14.09765625" customWidth="1"/>
    <col min="9" max="9" width="17" customWidth="1"/>
    <col min="10" max="10" width="27" customWidth="1"/>
    <col min="13" max="13" width="17.09765625" customWidth="1"/>
    <col min="21" max="26" width="10.8984375"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row>
    <row r="2" spans="1:28" ht="15.5" x14ac:dyDescent="0.35">
      <c r="A2" s="1"/>
      <c r="B2" s="4" t="s">
        <v>60</v>
      </c>
      <c r="C2" s="1"/>
      <c r="D2" s="1"/>
      <c r="E2" s="79" t="s">
        <v>1316</v>
      </c>
      <c r="F2" s="79"/>
      <c r="G2" s="79"/>
      <c r="H2" s="1"/>
      <c r="I2" s="1"/>
      <c r="J2" s="1"/>
      <c r="K2" s="1"/>
      <c r="L2" s="1"/>
      <c r="M2" s="1"/>
      <c r="N2" s="1"/>
      <c r="O2" s="1"/>
      <c r="P2" s="1"/>
      <c r="Q2" s="1"/>
      <c r="R2" s="1"/>
      <c r="S2" s="1"/>
      <c r="T2" s="1"/>
      <c r="U2" s="1"/>
      <c r="V2" s="1"/>
      <c r="W2" s="1"/>
      <c r="X2" s="1"/>
      <c r="Y2" s="1"/>
      <c r="Z2" s="1"/>
    </row>
    <row r="3" spans="1:28" ht="20.25" customHeight="1" x14ac:dyDescent="0.35">
      <c r="A3" s="1"/>
      <c r="B3" s="4" t="s">
        <v>28</v>
      </c>
      <c r="C3" s="1"/>
      <c r="D3" s="1"/>
      <c r="E3" s="79" t="s">
        <v>1317</v>
      </c>
      <c r="F3" s="79"/>
      <c r="G3" s="80"/>
      <c r="H3" s="1"/>
      <c r="I3" s="1"/>
      <c r="J3" s="1"/>
      <c r="K3" s="1"/>
      <c r="L3" s="1"/>
      <c r="M3" s="1"/>
      <c r="N3" s="1"/>
      <c r="O3" s="1"/>
      <c r="P3" s="1"/>
      <c r="Q3" s="1"/>
      <c r="R3" s="1"/>
      <c r="S3" s="1"/>
      <c r="T3" s="1"/>
      <c r="U3" s="1"/>
      <c r="V3" s="1"/>
      <c r="W3" s="1"/>
      <c r="X3" s="1"/>
      <c r="Y3" s="1"/>
      <c r="Z3" s="1"/>
    </row>
    <row r="4" spans="1:28" ht="18.75" customHeight="1" x14ac:dyDescent="0.35">
      <c r="A4" s="1"/>
      <c r="B4" s="4" t="s">
        <v>27</v>
      </c>
      <c r="C4" s="1"/>
      <c r="D4" s="1"/>
      <c r="E4" s="79"/>
      <c r="F4" s="79"/>
      <c r="G4" s="80"/>
      <c r="H4" s="1"/>
      <c r="I4" s="1"/>
      <c r="J4" s="1"/>
      <c r="K4" s="1"/>
      <c r="L4" s="1"/>
      <c r="M4" s="1"/>
      <c r="N4" s="1"/>
      <c r="O4" s="1"/>
      <c r="P4" s="1"/>
      <c r="Q4" s="1"/>
      <c r="R4" s="1"/>
      <c r="S4" s="1"/>
      <c r="T4" s="1"/>
      <c r="U4" s="1"/>
      <c r="V4" s="1"/>
      <c r="W4" s="1"/>
      <c r="X4" s="1"/>
      <c r="Y4" s="1"/>
      <c r="Z4" s="1"/>
    </row>
    <row r="5" spans="1:28" ht="15.5" x14ac:dyDescent="0.35">
      <c r="A5" s="1"/>
      <c r="B5" s="4"/>
      <c r="C5" s="1"/>
      <c r="D5" s="1"/>
      <c r="E5" s="79"/>
      <c r="F5" s="79"/>
      <c r="G5" s="80"/>
      <c r="H5" s="3"/>
      <c r="I5" s="3"/>
      <c r="J5" s="1"/>
      <c r="K5" s="1"/>
      <c r="L5" s="1"/>
      <c r="M5" s="1"/>
      <c r="N5" s="1"/>
      <c r="O5" s="1"/>
      <c r="P5" s="1"/>
      <c r="Q5" s="1"/>
      <c r="R5" s="1"/>
      <c r="S5" s="1"/>
      <c r="T5" s="1"/>
      <c r="U5" s="1"/>
      <c r="V5" s="1"/>
      <c r="W5" s="1"/>
      <c r="X5" s="1"/>
      <c r="Y5" s="1"/>
      <c r="Z5" s="1"/>
    </row>
    <row r="6" spans="1:28" ht="18" customHeight="1" x14ac:dyDescent="0.35">
      <c r="A6" s="1"/>
      <c r="B6" s="4"/>
      <c r="C6" s="1"/>
      <c r="D6" s="1"/>
      <c r="E6" s="79"/>
      <c r="F6" s="79"/>
      <c r="G6" s="80"/>
      <c r="H6" s="3"/>
      <c r="I6" s="3"/>
      <c r="J6" s="1"/>
      <c r="K6" s="1"/>
      <c r="L6" s="1"/>
      <c r="M6" s="1"/>
      <c r="N6" s="1"/>
      <c r="O6" s="1"/>
      <c r="P6" s="1"/>
      <c r="Q6" s="1"/>
      <c r="R6" s="1"/>
      <c r="S6" s="1"/>
      <c r="T6" s="1"/>
      <c r="U6" s="1"/>
      <c r="V6" s="1"/>
      <c r="W6" s="1"/>
      <c r="X6" s="1"/>
      <c r="Y6" s="1"/>
      <c r="Z6" s="1"/>
    </row>
    <row r="7" spans="1:28" ht="15.5" x14ac:dyDescent="0.35">
      <c r="A7" s="1"/>
      <c r="B7" s="4"/>
      <c r="C7" s="1"/>
      <c r="D7" s="1"/>
      <c r="E7" s="1"/>
      <c r="F7" s="1"/>
      <c r="G7" s="1"/>
      <c r="H7" s="3"/>
      <c r="I7" s="3"/>
      <c r="J7" s="1"/>
      <c r="K7" s="1"/>
      <c r="L7" s="1"/>
      <c r="M7" s="1"/>
      <c r="N7" s="1"/>
      <c r="O7" s="1"/>
      <c r="P7" s="1"/>
      <c r="Q7" s="1"/>
      <c r="R7" s="1"/>
      <c r="S7" s="1"/>
      <c r="T7" s="1"/>
      <c r="U7" s="1"/>
      <c r="V7" s="1"/>
      <c r="W7" s="1"/>
      <c r="X7" s="1"/>
      <c r="Y7" s="1"/>
      <c r="Z7" s="1"/>
    </row>
    <row r="8" spans="1:28" ht="15.5" x14ac:dyDescent="0.35">
      <c r="A8" s="1"/>
      <c r="B8" s="4" t="s">
        <v>30</v>
      </c>
      <c r="C8" s="1"/>
      <c r="D8" s="1"/>
      <c r="E8" s="79" t="s">
        <v>1318</v>
      </c>
      <c r="F8" s="79"/>
      <c r="G8" s="79"/>
      <c r="H8" s="1"/>
      <c r="I8" s="3"/>
      <c r="J8" s="1"/>
      <c r="K8" s="1"/>
      <c r="L8" s="1"/>
      <c r="M8" s="1"/>
      <c r="N8" s="1"/>
      <c r="O8" s="1"/>
      <c r="P8" s="1"/>
      <c r="Q8" s="1"/>
      <c r="R8" s="1"/>
      <c r="S8" s="1"/>
      <c r="T8" s="1"/>
      <c r="U8" s="1"/>
      <c r="V8" s="1"/>
      <c r="W8" s="1"/>
      <c r="X8" s="1"/>
      <c r="Y8" s="1"/>
      <c r="Z8" s="1"/>
    </row>
    <row r="9" spans="1:28" ht="31.5" customHeight="1" x14ac:dyDescent="0.35">
      <c r="A9" s="1"/>
      <c r="B9" s="4" t="s">
        <v>61</v>
      </c>
      <c r="C9" s="1"/>
      <c r="D9" s="1"/>
      <c r="E9" s="81"/>
      <c r="F9" s="80"/>
      <c r="G9" s="80"/>
      <c r="H9" s="1"/>
      <c r="I9" s="1"/>
      <c r="J9" s="10"/>
      <c r="K9" s="10"/>
      <c r="L9" s="10"/>
      <c r="M9" s="10"/>
      <c r="N9" s="10"/>
      <c r="O9" s="10"/>
      <c r="P9" s="10"/>
      <c r="Q9" s="10"/>
      <c r="R9" s="10"/>
      <c r="S9" s="10"/>
      <c r="T9" s="10"/>
      <c r="U9" s="10"/>
      <c r="V9" s="10"/>
      <c r="W9" s="10"/>
      <c r="X9" s="10"/>
      <c r="Y9" s="10"/>
      <c r="Z9" s="10"/>
      <c r="AA9" s="11"/>
      <c r="AB9" s="11"/>
    </row>
    <row r="10" spans="1:28" ht="27" customHeight="1" x14ac:dyDescent="0.35">
      <c r="A10" s="1"/>
      <c r="B10" s="4" t="s">
        <v>104</v>
      </c>
      <c r="C10" s="1"/>
      <c r="D10" s="1"/>
      <c r="E10" s="81" t="s">
        <v>115</v>
      </c>
      <c r="F10" s="1"/>
      <c r="G10" s="1"/>
      <c r="H10" s="10"/>
      <c r="I10" s="10"/>
      <c r="J10" s="10"/>
      <c r="K10" s="10"/>
      <c r="L10" s="10"/>
      <c r="M10" s="10"/>
      <c r="N10" s="10"/>
      <c r="O10" s="10"/>
      <c r="P10" s="10"/>
      <c r="Q10" s="10"/>
      <c r="R10" s="10"/>
      <c r="S10" s="10"/>
      <c r="T10" s="10"/>
      <c r="U10" s="10"/>
      <c r="V10" s="10"/>
      <c r="W10" s="10"/>
      <c r="X10" s="10"/>
      <c r="Y10" s="10"/>
      <c r="Z10" s="10"/>
      <c r="AA10" s="11"/>
      <c r="AB10" s="11"/>
    </row>
    <row r="11" spans="1:28" ht="27" customHeight="1" x14ac:dyDescent="0.25">
      <c r="A11" s="1"/>
      <c r="B11" s="82" t="s">
        <v>106</v>
      </c>
      <c r="C11" s="1"/>
      <c r="D11" s="1"/>
      <c r="E11" s="83"/>
      <c r="F11" s="1"/>
      <c r="G11" s="1"/>
      <c r="H11" s="10"/>
      <c r="I11" s="10"/>
      <c r="J11" s="10"/>
      <c r="K11" s="10"/>
      <c r="L11" s="10"/>
      <c r="M11" s="10"/>
      <c r="N11" s="10"/>
      <c r="O11" s="10"/>
      <c r="P11" s="10"/>
      <c r="Q11" s="10"/>
      <c r="R11" s="10"/>
      <c r="S11" s="10"/>
      <c r="T11" s="10"/>
      <c r="U11" s="10"/>
      <c r="V11" s="10"/>
      <c r="W11" s="10"/>
      <c r="X11" s="10"/>
      <c r="Y11" s="10"/>
      <c r="Z11" s="10"/>
      <c r="AA11" s="11"/>
      <c r="AB11" s="11"/>
    </row>
    <row r="12" spans="1:28" ht="18" customHeight="1" x14ac:dyDescent="0.25">
      <c r="A12" s="1"/>
      <c r="B12" s="13"/>
      <c r="C12" s="1"/>
      <c r="D12" s="1"/>
      <c r="E12" s="1"/>
      <c r="F12" s="1"/>
      <c r="G12" s="1"/>
      <c r="H12" s="10"/>
      <c r="I12" s="10"/>
      <c r="J12" s="10"/>
      <c r="K12" s="10"/>
      <c r="L12" s="10"/>
      <c r="M12" s="10"/>
      <c r="N12" s="10"/>
      <c r="O12" s="10"/>
      <c r="P12" s="10"/>
      <c r="Q12" s="10"/>
      <c r="R12" s="10"/>
      <c r="S12" s="10"/>
      <c r="T12" s="10"/>
      <c r="U12" s="10"/>
      <c r="V12" s="10"/>
      <c r="W12" s="10"/>
      <c r="X12" s="10"/>
      <c r="Y12" s="10"/>
      <c r="Z12" s="10"/>
      <c r="AA12" s="11"/>
      <c r="AB12" s="11"/>
    </row>
    <row r="13" spans="1:28" ht="15.5" x14ac:dyDescent="0.35">
      <c r="A13" s="1"/>
      <c r="B13" s="84" t="s">
        <v>73</v>
      </c>
      <c r="C13" s="49"/>
      <c r="D13" s="49"/>
      <c r="E13" s="49"/>
      <c r="F13" s="49"/>
      <c r="G13" s="49"/>
      <c r="H13" s="10"/>
      <c r="I13" s="10"/>
      <c r="J13" s="10"/>
      <c r="K13" s="10"/>
      <c r="L13" s="10"/>
      <c r="M13" s="10"/>
      <c r="N13" s="10"/>
      <c r="O13" s="10"/>
      <c r="P13" s="10"/>
      <c r="Q13" s="10"/>
      <c r="R13" s="10"/>
      <c r="S13" s="10"/>
      <c r="T13" s="10"/>
      <c r="U13" s="10"/>
      <c r="V13" s="10"/>
      <c r="W13" s="10"/>
      <c r="X13" s="10"/>
      <c r="Y13" s="10"/>
      <c r="Z13" s="10"/>
      <c r="AA13" s="11"/>
      <c r="AB13" s="11"/>
    </row>
    <row r="14" spans="1:28" s="86" customFormat="1" ht="12" thickBot="1" x14ac:dyDescent="0.3">
      <c r="A14" s="12"/>
      <c r="B14" s="85"/>
      <c r="C14" s="1"/>
      <c r="D14" s="1"/>
      <c r="E14" s="1"/>
      <c r="F14" s="1"/>
      <c r="G14" s="1"/>
      <c r="H14" s="10"/>
      <c r="I14" s="10"/>
      <c r="J14" s="10"/>
      <c r="K14" s="10"/>
      <c r="L14" s="12"/>
      <c r="M14" s="10"/>
      <c r="N14" s="10"/>
      <c r="O14" s="10"/>
      <c r="P14" s="10"/>
      <c r="Q14" s="10"/>
      <c r="R14" s="12"/>
      <c r="S14" s="12"/>
      <c r="T14" s="12"/>
      <c r="U14" s="12"/>
      <c r="V14" s="12"/>
      <c r="W14" s="12"/>
      <c r="X14" s="12"/>
      <c r="Y14" s="12"/>
      <c r="Z14" s="12"/>
    </row>
    <row r="15" spans="1:28" x14ac:dyDescent="0.25">
      <c r="A15" s="1"/>
      <c r="B15" s="87"/>
      <c r="C15" s="88"/>
      <c r="D15" s="88"/>
      <c r="E15" s="88"/>
      <c r="F15" s="88"/>
      <c r="G15" s="88"/>
      <c r="H15" s="10"/>
      <c r="I15" s="10"/>
      <c r="J15" s="10"/>
      <c r="K15" s="10"/>
      <c r="L15" s="10"/>
      <c r="M15" s="10"/>
      <c r="N15" s="10"/>
      <c r="O15" s="10"/>
      <c r="P15" s="10"/>
      <c r="Q15" s="10"/>
      <c r="R15" s="10"/>
      <c r="S15" s="10"/>
      <c r="T15" s="10"/>
      <c r="U15" s="10"/>
      <c r="V15" s="10"/>
      <c r="W15" s="10"/>
      <c r="X15" s="10"/>
      <c r="Y15" s="10"/>
      <c r="Z15" s="10"/>
      <c r="AA15" s="11"/>
      <c r="AB15" s="11"/>
    </row>
    <row r="16" spans="1:28" x14ac:dyDescent="0.25">
      <c r="A16" s="1"/>
      <c r="B16" s="89" t="s">
        <v>1340</v>
      </c>
      <c r="C16" s="90"/>
      <c r="D16" s="90"/>
      <c r="E16" s="90"/>
      <c r="F16" s="90"/>
      <c r="G16" s="90"/>
      <c r="H16" s="10"/>
      <c r="I16" s="10"/>
      <c r="J16" s="10"/>
      <c r="K16" s="10"/>
      <c r="L16" s="10"/>
      <c r="M16" s="10"/>
      <c r="N16" s="10"/>
      <c r="O16" s="10"/>
      <c r="P16" s="10"/>
      <c r="Q16" s="10"/>
      <c r="R16" s="10"/>
      <c r="S16" s="10"/>
      <c r="T16" s="10"/>
      <c r="U16" s="10"/>
      <c r="V16" s="10"/>
      <c r="W16" s="10"/>
      <c r="X16" s="10"/>
      <c r="Y16" s="10"/>
      <c r="Z16" s="10"/>
      <c r="AA16" s="11"/>
      <c r="AB16" s="11"/>
    </row>
    <row r="17" spans="1:28" x14ac:dyDescent="0.25">
      <c r="A17" s="1"/>
      <c r="B17" s="89"/>
      <c r="C17" s="90"/>
      <c r="D17" s="90"/>
      <c r="E17" s="90"/>
      <c r="F17" s="90"/>
      <c r="G17" s="90"/>
      <c r="H17" s="10"/>
      <c r="I17" s="10"/>
      <c r="J17" s="10"/>
      <c r="K17" s="10"/>
      <c r="L17" s="10"/>
      <c r="M17" s="10"/>
      <c r="N17" s="10"/>
      <c r="O17" s="10"/>
      <c r="P17" s="10"/>
      <c r="Q17" s="10"/>
      <c r="R17" s="10"/>
      <c r="S17" s="10"/>
      <c r="T17" s="10"/>
      <c r="U17" s="10"/>
      <c r="V17" s="10"/>
      <c r="W17" s="10"/>
      <c r="X17" s="10"/>
      <c r="Y17" s="10"/>
      <c r="Z17" s="10"/>
      <c r="AA17" s="11"/>
      <c r="AB17" s="11"/>
    </row>
    <row r="18" spans="1:28" ht="12" thickBot="1" x14ac:dyDescent="0.3">
      <c r="A18" s="1"/>
      <c r="B18" s="91"/>
      <c r="C18" s="91"/>
      <c r="D18" s="91"/>
      <c r="E18" s="91"/>
      <c r="F18" s="91"/>
      <c r="G18" s="91"/>
      <c r="H18" s="10"/>
      <c r="I18" s="10"/>
      <c r="J18" s="10"/>
      <c r="K18" s="10"/>
      <c r="L18" s="10"/>
      <c r="M18" s="10"/>
      <c r="N18" s="10"/>
      <c r="O18" s="10"/>
      <c r="P18" s="10"/>
      <c r="Q18" s="10"/>
      <c r="R18" s="10"/>
      <c r="S18" s="10"/>
      <c r="T18" s="10"/>
      <c r="U18" s="10"/>
      <c r="V18" s="10"/>
      <c r="W18" s="10"/>
      <c r="X18" s="10"/>
      <c r="Y18" s="10"/>
      <c r="Z18" s="10"/>
      <c r="AA18" s="11"/>
      <c r="AB18" s="11"/>
    </row>
    <row r="19" spans="1:28" x14ac:dyDescent="0.25">
      <c r="A19" s="1"/>
      <c r="B19" s="1"/>
      <c r="C19" s="1"/>
      <c r="D19" s="1"/>
      <c r="E19" s="1"/>
      <c r="F19" s="1"/>
      <c r="G19" s="1"/>
      <c r="H19" s="10"/>
      <c r="I19" s="10"/>
      <c r="J19" s="10"/>
      <c r="K19" s="10"/>
      <c r="L19" s="10"/>
      <c r="M19" s="10"/>
      <c r="N19" s="10"/>
      <c r="O19" s="10"/>
      <c r="P19" s="10"/>
      <c r="Q19" s="10"/>
      <c r="R19" s="10"/>
      <c r="S19" s="10"/>
      <c r="T19" s="10"/>
      <c r="U19" s="10"/>
      <c r="V19" s="10"/>
      <c r="W19" s="10"/>
      <c r="X19" s="10"/>
      <c r="Y19" s="10"/>
      <c r="Z19" s="10"/>
      <c r="AA19" s="11"/>
      <c r="AB19" s="11"/>
    </row>
    <row r="20" spans="1:28" x14ac:dyDescent="0.25">
      <c r="A20" s="1"/>
      <c r="B20" s="1"/>
      <c r="C20" s="1"/>
      <c r="D20" s="1"/>
      <c r="E20" s="1"/>
      <c r="F20" s="1"/>
      <c r="G20" s="1"/>
      <c r="H20" s="10"/>
      <c r="I20" s="10"/>
      <c r="J20" s="10"/>
      <c r="K20" s="10"/>
      <c r="L20" s="10"/>
      <c r="M20" s="10"/>
      <c r="N20" s="10"/>
      <c r="O20" s="10"/>
      <c r="P20" s="10"/>
      <c r="Q20" s="10"/>
      <c r="R20" s="10"/>
      <c r="S20" s="10"/>
      <c r="T20" s="10"/>
      <c r="U20" s="10"/>
      <c r="V20" s="10"/>
      <c r="W20" s="10"/>
      <c r="X20" s="10"/>
      <c r="Y20" s="10"/>
      <c r="Z20" s="10"/>
      <c r="AA20" s="11"/>
      <c r="AB20" s="11"/>
    </row>
    <row r="21" spans="1:28" ht="15.5" x14ac:dyDescent="0.35">
      <c r="A21" s="1"/>
      <c r="B21" s="84" t="s">
        <v>83</v>
      </c>
      <c r="C21" s="49"/>
      <c r="D21" s="49"/>
      <c r="E21" s="49"/>
      <c r="F21" s="49"/>
      <c r="G21" s="49"/>
      <c r="H21" s="10"/>
      <c r="I21" s="10"/>
      <c r="J21" s="10"/>
      <c r="K21" s="10"/>
      <c r="L21" s="10"/>
      <c r="M21" s="10"/>
      <c r="N21" s="10"/>
      <c r="O21" s="10"/>
      <c r="P21" s="10"/>
      <c r="Q21" s="10"/>
      <c r="R21" s="10"/>
      <c r="S21" s="10"/>
      <c r="T21" s="10"/>
      <c r="U21" s="10"/>
      <c r="V21" s="10"/>
      <c r="W21" s="10"/>
      <c r="X21" s="10"/>
      <c r="Y21" s="10"/>
      <c r="Z21" s="10"/>
      <c r="AA21" s="11"/>
      <c r="AB21" s="11"/>
    </row>
    <row r="22" spans="1:28" x14ac:dyDescent="0.25">
      <c r="A22" s="1"/>
      <c r="B22" s="85" t="s">
        <v>81</v>
      </c>
      <c r="C22" s="1"/>
      <c r="D22" s="1"/>
      <c r="E22" s="1"/>
      <c r="F22" s="1"/>
      <c r="G22" s="1"/>
      <c r="H22" s="10"/>
      <c r="I22" s="10"/>
      <c r="J22" s="10"/>
      <c r="K22" s="10"/>
      <c r="L22" s="10"/>
      <c r="M22" s="10"/>
      <c r="N22" s="10"/>
      <c r="O22" s="10"/>
      <c r="P22" s="10"/>
      <c r="Q22" s="10"/>
      <c r="R22" s="10"/>
      <c r="S22" s="10"/>
      <c r="T22" s="10"/>
      <c r="U22" s="10"/>
      <c r="V22" s="10"/>
      <c r="W22" s="10"/>
      <c r="X22" s="10"/>
      <c r="Y22" s="10"/>
      <c r="Z22" s="10"/>
      <c r="AA22" s="11"/>
      <c r="AB22" s="11"/>
    </row>
    <row r="23" spans="1:28" x14ac:dyDescent="0.25">
      <c r="A23" s="1"/>
      <c r="B23" s="1"/>
      <c r="C23" s="1"/>
      <c r="D23" s="1"/>
      <c r="E23" s="1"/>
      <c r="F23" s="1"/>
      <c r="G23" s="1"/>
      <c r="H23" s="10"/>
      <c r="I23" s="10"/>
      <c r="J23" s="10"/>
      <c r="K23" s="10"/>
      <c r="L23" s="10"/>
      <c r="M23" s="10"/>
      <c r="N23" s="10"/>
      <c r="O23" s="10"/>
      <c r="P23" s="10"/>
      <c r="Q23" s="10"/>
      <c r="R23" s="10"/>
      <c r="S23" s="10"/>
      <c r="T23" s="10"/>
      <c r="U23" s="10"/>
      <c r="V23" s="10"/>
      <c r="W23" s="10"/>
      <c r="X23" s="10"/>
      <c r="Y23" s="10"/>
      <c r="Z23" s="10"/>
      <c r="AA23" s="11"/>
      <c r="AB23" s="11"/>
    </row>
    <row r="24" spans="1:28" x14ac:dyDescent="0.25">
      <c r="A24" s="1"/>
      <c r="B24" s="13" t="s">
        <v>89</v>
      </c>
      <c r="C24" s="1"/>
      <c r="D24" s="1"/>
      <c r="F24" s="92"/>
      <c r="G24" s="1"/>
      <c r="H24" s="10"/>
      <c r="I24" s="10"/>
      <c r="J24" s="10"/>
      <c r="K24" s="10"/>
      <c r="L24" s="10"/>
      <c r="M24" s="10"/>
      <c r="N24" s="10"/>
      <c r="O24" s="10"/>
      <c r="P24" s="10"/>
      <c r="Q24" s="10"/>
      <c r="R24" s="10"/>
      <c r="S24" s="10"/>
      <c r="T24" s="10"/>
      <c r="U24" s="10"/>
      <c r="V24" s="10"/>
      <c r="W24" s="10"/>
      <c r="X24" s="10"/>
      <c r="Y24" s="10"/>
      <c r="Z24" s="10"/>
      <c r="AA24" s="11"/>
      <c r="AB24" s="11"/>
    </row>
    <row r="25" spans="1:28" x14ac:dyDescent="0.25">
      <c r="A25" s="1"/>
      <c r="B25" s="1"/>
      <c r="C25" s="1"/>
      <c r="D25" s="1"/>
      <c r="E25" s="1"/>
      <c r="F25" s="1"/>
      <c r="G25" s="1"/>
      <c r="H25" s="10"/>
      <c r="I25" s="10"/>
      <c r="J25" s="10"/>
      <c r="K25" s="10"/>
      <c r="L25" s="10"/>
      <c r="M25" s="10"/>
      <c r="N25" s="10"/>
      <c r="O25" s="10"/>
      <c r="P25" s="10"/>
      <c r="Q25" s="10"/>
      <c r="R25" s="10"/>
      <c r="S25" s="10"/>
      <c r="T25" s="10"/>
      <c r="U25" s="10"/>
      <c r="V25" s="10"/>
      <c r="W25" s="10"/>
      <c r="X25" s="10"/>
      <c r="Y25" s="10"/>
      <c r="Z25" s="10"/>
      <c r="AA25" s="11"/>
      <c r="AB25" s="11"/>
    </row>
    <row r="26" spans="1:28" ht="10.5" customHeight="1" x14ac:dyDescent="0.25">
      <c r="A26" s="1"/>
      <c r="B26" s="1"/>
      <c r="C26" s="1"/>
      <c r="D26" s="1"/>
      <c r="E26" s="1"/>
      <c r="F26" s="1"/>
      <c r="G26" s="1"/>
      <c r="H26" s="10"/>
      <c r="I26" s="10"/>
      <c r="J26" s="10"/>
      <c r="K26" s="10"/>
      <c r="L26" s="10"/>
      <c r="M26" s="10"/>
      <c r="N26" s="10"/>
      <c r="O26" s="10"/>
      <c r="P26" s="10"/>
      <c r="Q26" s="10"/>
      <c r="R26" s="10"/>
      <c r="S26" s="10"/>
      <c r="T26" s="10"/>
      <c r="U26" s="10"/>
      <c r="V26" s="10"/>
      <c r="W26" s="10"/>
      <c r="X26" s="10"/>
      <c r="Y26" s="10"/>
      <c r="Z26" s="10"/>
      <c r="AA26" s="11"/>
      <c r="AB26" s="11"/>
    </row>
    <row r="27" spans="1:28" x14ac:dyDescent="0.25">
      <c r="A27" s="1"/>
      <c r="B27" s="1"/>
      <c r="C27" s="1"/>
      <c r="D27" s="1"/>
      <c r="E27" s="1"/>
      <c r="F27" s="1"/>
      <c r="G27" s="1"/>
      <c r="H27" s="10"/>
      <c r="I27" s="10"/>
      <c r="J27" s="10"/>
      <c r="K27" s="10"/>
      <c r="L27" s="10"/>
      <c r="M27" s="10"/>
      <c r="N27" s="10"/>
      <c r="O27" s="10"/>
      <c r="P27" s="10"/>
      <c r="Q27" s="10"/>
      <c r="R27" s="10"/>
      <c r="S27" s="10"/>
      <c r="T27" s="10"/>
      <c r="U27" s="10"/>
      <c r="V27" s="10"/>
      <c r="W27" s="10"/>
      <c r="X27" s="10"/>
      <c r="Y27" s="10"/>
      <c r="Z27" s="10"/>
      <c r="AA27" s="11"/>
      <c r="AB27" s="11"/>
    </row>
    <row r="28" spans="1:28" x14ac:dyDescent="0.25">
      <c r="A28" s="1"/>
      <c r="B28" s="1"/>
      <c r="C28" s="1"/>
      <c r="D28" s="1"/>
      <c r="E28" s="1"/>
      <c r="F28" s="1"/>
      <c r="G28" s="1"/>
      <c r="H28" s="10"/>
      <c r="I28" s="10"/>
      <c r="J28" s="10"/>
      <c r="K28" s="10"/>
      <c r="L28" s="10"/>
      <c r="M28" s="10"/>
      <c r="N28" s="10"/>
      <c r="O28" s="10"/>
      <c r="P28" s="10"/>
      <c r="Q28" s="10"/>
      <c r="R28" s="10"/>
      <c r="S28" s="10"/>
      <c r="T28" s="10"/>
      <c r="U28" s="10"/>
      <c r="V28" s="10"/>
      <c r="W28" s="10"/>
      <c r="X28" s="10"/>
      <c r="Y28" s="10"/>
      <c r="Z28" s="10"/>
      <c r="AA28" s="11"/>
      <c r="AB28" s="11"/>
    </row>
    <row r="29" spans="1:28" x14ac:dyDescent="0.25">
      <c r="A29" s="1"/>
      <c r="B29" s="1"/>
      <c r="C29" s="1"/>
      <c r="D29" s="1"/>
      <c r="E29" s="1"/>
      <c r="F29" s="1"/>
      <c r="G29" s="1"/>
      <c r="H29" s="10"/>
      <c r="I29" s="10"/>
      <c r="J29" s="10"/>
      <c r="K29" s="10"/>
      <c r="L29" s="10"/>
      <c r="M29" s="10"/>
      <c r="N29" s="10"/>
      <c r="O29" s="10"/>
      <c r="P29" s="10"/>
      <c r="Q29" s="10"/>
      <c r="R29" s="10"/>
      <c r="S29" s="10"/>
      <c r="T29" s="10"/>
      <c r="U29" s="10"/>
      <c r="V29" s="10"/>
      <c r="W29" s="10"/>
      <c r="X29" s="10"/>
      <c r="Y29" s="10"/>
      <c r="Z29" s="10"/>
      <c r="AA29" s="11"/>
      <c r="AB29" s="11"/>
    </row>
    <row r="30" spans="1:28" x14ac:dyDescent="0.25">
      <c r="A30" s="1"/>
      <c r="B30" s="1"/>
      <c r="C30" s="1"/>
      <c r="D30" s="1"/>
      <c r="E30" s="1"/>
      <c r="F30" s="1"/>
      <c r="G30" s="1"/>
      <c r="H30" s="10"/>
      <c r="I30" s="10"/>
      <c r="J30" s="10"/>
      <c r="K30" s="10"/>
      <c r="L30" s="10"/>
      <c r="M30" s="10"/>
      <c r="N30" s="10"/>
      <c r="O30" s="10"/>
      <c r="P30" s="10"/>
      <c r="Q30" s="10"/>
      <c r="R30" s="10"/>
      <c r="S30" s="10"/>
      <c r="T30" s="10"/>
      <c r="U30" s="10"/>
      <c r="V30" s="10"/>
      <c r="W30" s="10"/>
      <c r="X30" s="10"/>
      <c r="Y30" s="10"/>
      <c r="Z30" s="10"/>
      <c r="AA30" s="11"/>
      <c r="AB30" s="11"/>
    </row>
    <row r="31" spans="1:28" x14ac:dyDescent="0.25">
      <c r="A31" s="1"/>
      <c r="B31" s="1"/>
      <c r="C31" s="1"/>
      <c r="D31" s="1"/>
      <c r="E31" s="1"/>
      <c r="F31" s="1"/>
      <c r="G31" s="1"/>
      <c r="H31" s="10"/>
      <c r="I31" s="10"/>
      <c r="J31" s="10"/>
      <c r="K31" s="10"/>
      <c r="L31" s="10"/>
      <c r="M31" s="10"/>
      <c r="N31" s="10"/>
      <c r="O31" s="10"/>
      <c r="P31" s="10"/>
      <c r="Q31" s="10"/>
      <c r="R31" s="10"/>
      <c r="S31" s="10"/>
      <c r="T31" s="10"/>
      <c r="U31" s="10"/>
      <c r="V31" s="10"/>
      <c r="W31" s="10"/>
      <c r="X31" s="10"/>
      <c r="Y31" s="10"/>
      <c r="Z31" s="10"/>
      <c r="AA31" s="11"/>
      <c r="AB31" s="11"/>
    </row>
    <row r="32" spans="1:28" x14ac:dyDescent="0.25">
      <c r="A32" s="1"/>
      <c r="B32" s="1"/>
      <c r="C32" s="1"/>
      <c r="D32" s="1"/>
      <c r="E32" s="1"/>
      <c r="F32" s="1"/>
      <c r="G32" s="1"/>
      <c r="H32" s="10"/>
      <c r="I32" s="10"/>
      <c r="J32" s="10"/>
      <c r="K32" s="10"/>
      <c r="L32" s="10"/>
      <c r="M32" s="10"/>
      <c r="N32" s="10"/>
      <c r="O32" s="10"/>
      <c r="P32" s="10"/>
      <c r="Q32" s="10"/>
      <c r="R32" s="10"/>
      <c r="S32" s="10"/>
      <c r="T32" s="10"/>
      <c r="U32" s="10"/>
      <c r="V32" s="10"/>
      <c r="W32" s="10"/>
      <c r="X32" s="10"/>
      <c r="Y32" s="10"/>
      <c r="Z32" s="10"/>
      <c r="AA32" s="11"/>
      <c r="AB32" s="11"/>
    </row>
    <row r="33" spans="1:28" x14ac:dyDescent="0.25">
      <c r="A33" s="1"/>
      <c r="B33" s="1"/>
      <c r="C33" s="1"/>
      <c r="D33" s="1"/>
      <c r="E33" s="79"/>
      <c r="F33" s="79"/>
      <c r="G33" s="79"/>
      <c r="H33" s="10"/>
      <c r="I33" s="10"/>
      <c r="J33" s="10"/>
      <c r="K33" s="10"/>
      <c r="L33" s="10"/>
      <c r="M33" s="10"/>
      <c r="N33" s="10"/>
      <c r="O33" s="10"/>
      <c r="P33" s="10"/>
      <c r="Q33" s="10"/>
      <c r="R33" s="10"/>
      <c r="S33" s="10"/>
      <c r="T33" s="10"/>
      <c r="U33" s="10"/>
      <c r="V33" s="10"/>
      <c r="W33" s="10"/>
      <c r="X33" s="10"/>
      <c r="Y33" s="10"/>
      <c r="Z33" s="10"/>
      <c r="AA33" s="11"/>
      <c r="AB33" s="11"/>
    </row>
    <row r="34" spans="1:28" x14ac:dyDescent="0.25">
      <c r="A34" s="1"/>
      <c r="B34" s="1"/>
      <c r="C34" s="1"/>
      <c r="D34" s="1"/>
      <c r="E34" s="1"/>
      <c r="F34" s="1"/>
      <c r="G34" s="1"/>
      <c r="H34" s="10"/>
      <c r="I34" s="10"/>
      <c r="J34" s="10"/>
      <c r="K34" s="10"/>
      <c r="L34" s="10"/>
      <c r="M34" s="10"/>
      <c r="N34" s="10"/>
      <c r="O34" s="10"/>
      <c r="P34" s="10"/>
      <c r="Q34" s="10"/>
      <c r="R34" s="10"/>
      <c r="S34" s="10"/>
      <c r="T34" s="10"/>
      <c r="U34" s="10"/>
      <c r="V34" s="10"/>
      <c r="W34" s="10"/>
      <c r="X34" s="10"/>
      <c r="Y34" s="10"/>
      <c r="Z34" s="10"/>
      <c r="AA34" s="11"/>
      <c r="AB34" s="11"/>
    </row>
    <row r="35" spans="1:28" x14ac:dyDescent="0.25">
      <c r="A35" s="1"/>
      <c r="B35" s="1"/>
      <c r="C35" s="1"/>
      <c r="D35" s="1"/>
      <c r="E35" s="1"/>
      <c r="F35" s="1"/>
      <c r="G35" s="1"/>
      <c r="H35" s="10"/>
      <c r="I35" s="10"/>
      <c r="J35" s="10"/>
      <c r="K35" s="10"/>
      <c r="L35" s="10"/>
      <c r="M35" s="10"/>
      <c r="N35" s="10"/>
      <c r="O35" s="10"/>
      <c r="P35" s="10"/>
      <c r="Q35" s="10"/>
      <c r="R35" s="10"/>
      <c r="S35" s="10"/>
      <c r="T35" s="10"/>
      <c r="U35" s="10"/>
      <c r="V35" s="10"/>
      <c r="W35" s="10"/>
      <c r="X35" s="10"/>
      <c r="Y35" s="10"/>
      <c r="Z35" s="10"/>
      <c r="AA35" s="11"/>
      <c r="AB35" s="11"/>
    </row>
    <row r="36" spans="1:28" x14ac:dyDescent="0.25">
      <c r="A36" s="1"/>
      <c r="B36" s="13" t="s">
        <v>82</v>
      </c>
      <c r="C36" s="1"/>
      <c r="D36" s="1"/>
      <c r="E36" s="1"/>
      <c r="F36" s="1"/>
      <c r="G36" s="1"/>
      <c r="H36" s="10"/>
      <c r="I36" s="10"/>
      <c r="J36" s="10"/>
      <c r="K36" s="10"/>
      <c r="L36" s="10"/>
      <c r="M36" s="10"/>
      <c r="N36" s="10"/>
      <c r="O36" s="10"/>
      <c r="P36" s="10"/>
      <c r="Q36" s="10"/>
      <c r="R36" s="10"/>
      <c r="S36" s="10"/>
      <c r="T36" s="10"/>
      <c r="U36" s="10"/>
      <c r="V36" s="10"/>
      <c r="W36" s="10"/>
      <c r="X36" s="10"/>
      <c r="Y36" s="10"/>
      <c r="Z36" s="10"/>
      <c r="AA36" s="11"/>
      <c r="AB36" s="11"/>
    </row>
    <row r="37" spans="1:28" ht="5.25" customHeight="1" x14ac:dyDescent="0.25">
      <c r="A37" s="1"/>
      <c r="B37" s="13"/>
      <c r="C37" s="1"/>
      <c r="D37" s="1"/>
      <c r="E37" s="1"/>
      <c r="F37" s="1"/>
      <c r="G37" s="1"/>
      <c r="H37" s="10"/>
      <c r="I37" s="10"/>
      <c r="J37" s="10"/>
      <c r="K37" s="10"/>
      <c r="L37" s="10"/>
      <c r="M37" s="10"/>
      <c r="N37" s="10"/>
      <c r="O37" s="10"/>
      <c r="P37" s="10"/>
      <c r="Q37" s="10"/>
      <c r="R37" s="10"/>
      <c r="S37" s="10"/>
      <c r="T37" s="10"/>
      <c r="U37" s="10"/>
      <c r="V37" s="10"/>
      <c r="W37" s="10"/>
      <c r="X37" s="10"/>
      <c r="Y37" s="10"/>
      <c r="Z37" s="10"/>
      <c r="AA37" s="11"/>
      <c r="AB37" s="11"/>
    </row>
    <row r="38" spans="1:28" x14ac:dyDescent="0.25">
      <c r="A38" s="1"/>
      <c r="B38" s="13"/>
      <c r="C38" s="13" t="s">
        <v>62</v>
      </c>
      <c r="D38" s="13"/>
      <c r="F38" s="102" t="s">
        <v>63</v>
      </c>
      <c r="G38" s="1"/>
      <c r="H38" s="10"/>
      <c r="I38" s="10"/>
      <c r="J38" s="10"/>
      <c r="K38" s="10"/>
      <c r="L38" s="10"/>
      <c r="M38" s="10"/>
      <c r="N38" s="10"/>
      <c r="O38" s="10"/>
      <c r="P38" s="10"/>
      <c r="Q38" s="10"/>
      <c r="R38" s="10"/>
      <c r="S38" s="10"/>
      <c r="T38" s="10"/>
      <c r="U38" s="10"/>
      <c r="V38" s="10"/>
      <c r="W38" s="10"/>
      <c r="X38" s="10"/>
      <c r="Y38" s="10"/>
      <c r="Z38" s="10"/>
      <c r="AA38" s="11"/>
      <c r="AB38" s="11"/>
    </row>
    <row r="39" spans="1:28" x14ac:dyDescent="0.25">
      <c r="A39" s="1"/>
      <c r="B39" s="1"/>
      <c r="C39" s="1"/>
      <c r="D39" s="1"/>
      <c r="E39" s="1"/>
      <c r="F39" s="1"/>
      <c r="G39" s="1"/>
      <c r="H39" s="10"/>
      <c r="I39" s="10"/>
      <c r="J39" s="10"/>
      <c r="K39" s="10"/>
      <c r="L39" s="10"/>
      <c r="M39" s="10"/>
      <c r="N39" s="10"/>
      <c r="O39" s="10"/>
      <c r="P39" s="10"/>
      <c r="Q39" s="10"/>
      <c r="R39" s="10"/>
      <c r="S39" s="10"/>
      <c r="T39" s="10"/>
      <c r="U39" s="10"/>
      <c r="V39" s="10"/>
      <c r="W39" s="10"/>
      <c r="X39" s="10"/>
      <c r="Y39" s="10"/>
      <c r="Z39" s="10"/>
      <c r="AA39" s="11"/>
      <c r="AB39" s="11"/>
    </row>
    <row r="40" spans="1:28" x14ac:dyDescent="0.25">
      <c r="A40" s="1"/>
      <c r="B40" s="1"/>
      <c r="C40" s="1"/>
      <c r="D40" s="1"/>
      <c r="F40" s="1"/>
      <c r="G40" s="1"/>
      <c r="H40" s="10"/>
      <c r="I40" s="10"/>
      <c r="J40" s="10"/>
      <c r="K40" s="10"/>
      <c r="L40" s="10"/>
      <c r="M40" s="10"/>
      <c r="N40" s="10"/>
      <c r="O40" s="10"/>
      <c r="P40" s="10"/>
      <c r="Q40" s="10"/>
      <c r="R40" s="10"/>
      <c r="S40" s="10"/>
      <c r="T40" s="10"/>
      <c r="U40" s="10"/>
      <c r="V40" s="10"/>
      <c r="W40" s="10"/>
      <c r="X40" s="10"/>
      <c r="Y40" s="10"/>
      <c r="Z40" s="10"/>
      <c r="AA40" s="11"/>
      <c r="AB40" s="11"/>
    </row>
    <row r="41" spans="1:28" x14ac:dyDescent="0.25">
      <c r="A41" s="1"/>
      <c r="B41" s="1"/>
      <c r="C41" s="1"/>
      <c r="D41" s="1"/>
      <c r="F41" s="1"/>
      <c r="G41" s="1"/>
      <c r="H41" s="10"/>
      <c r="I41" s="10"/>
      <c r="J41" s="10"/>
      <c r="K41" s="10"/>
      <c r="L41" s="10"/>
      <c r="M41" s="10"/>
      <c r="N41" s="10"/>
      <c r="O41" s="10"/>
      <c r="P41" s="10"/>
      <c r="Q41" s="10"/>
      <c r="R41" s="10"/>
      <c r="S41" s="10"/>
      <c r="T41" s="10"/>
      <c r="U41" s="10"/>
      <c r="V41" s="10"/>
      <c r="W41" s="10"/>
      <c r="X41" s="10"/>
      <c r="Y41" s="10"/>
      <c r="Z41" s="10"/>
      <c r="AA41" s="11"/>
      <c r="AB41" s="11"/>
    </row>
    <row r="42" spans="1:28" x14ac:dyDescent="0.25">
      <c r="A42" s="1"/>
      <c r="B42" s="1"/>
      <c r="C42" s="1"/>
      <c r="D42" s="1"/>
      <c r="F42" s="1"/>
      <c r="G42" s="1"/>
      <c r="H42" s="10"/>
      <c r="I42" s="10"/>
      <c r="J42" s="10"/>
      <c r="K42" s="10"/>
      <c r="L42" s="10"/>
      <c r="M42" s="10"/>
      <c r="N42" s="10"/>
      <c r="O42" s="10"/>
      <c r="P42" s="10"/>
      <c r="Q42" s="10"/>
      <c r="R42" s="10"/>
      <c r="S42" s="10"/>
      <c r="T42" s="10"/>
      <c r="U42" s="10"/>
      <c r="V42" s="10"/>
      <c r="W42" s="10"/>
      <c r="X42" s="10"/>
      <c r="Y42" s="10"/>
      <c r="Z42" s="10"/>
      <c r="AA42" s="11"/>
      <c r="AB42" s="11"/>
    </row>
    <row r="43" spans="1:28" x14ac:dyDescent="0.25">
      <c r="A43" s="1"/>
      <c r="B43" s="1"/>
      <c r="C43" s="1"/>
      <c r="D43" s="1"/>
      <c r="F43" s="1"/>
      <c r="G43" s="1"/>
      <c r="H43" s="10"/>
      <c r="I43" s="10"/>
      <c r="J43" s="10"/>
      <c r="K43" s="10"/>
      <c r="L43" s="10"/>
      <c r="M43" s="10"/>
      <c r="N43" s="10"/>
      <c r="O43" s="10"/>
      <c r="P43" s="10"/>
      <c r="Q43" s="10"/>
      <c r="R43" s="10"/>
      <c r="S43" s="10"/>
      <c r="T43" s="10"/>
      <c r="U43" s="10"/>
      <c r="V43" s="10"/>
      <c r="W43" s="10"/>
      <c r="X43" s="10"/>
      <c r="Y43" s="10"/>
      <c r="Z43" s="10"/>
      <c r="AA43" s="11"/>
      <c r="AB43" s="11"/>
    </row>
    <row r="44" spans="1:28" x14ac:dyDescent="0.25">
      <c r="A44" s="1"/>
      <c r="B44" s="1"/>
      <c r="C44" s="1"/>
      <c r="D44" s="1"/>
      <c r="F44" s="1"/>
      <c r="G44" s="1"/>
      <c r="H44" s="10"/>
      <c r="I44" s="10"/>
      <c r="J44" s="10"/>
      <c r="K44" s="10"/>
      <c r="L44" s="10"/>
      <c r="M44" s="10"/>
      <c r="N44" s="10"/>
      <c r="O44" s="10"/>
      <c r="P44" s="10"/>
      <c r="Q44" s="10"/>
      <c r="R44" s="10"/>
      <c r="S44" s="10"/>
      <c r="T44" s="10"/>
      <c r="U44" s="10"/>
      <c r="V44" s="10"/>
      <c r="W44" s="10"/>
      <c r="X44" s="10"/>
      <c r="Y44" s="10"/>
      <c r="Z44" s="10"/>
      <c r="AA44" s="11"/>
      <c r="AB44" s="11"/>
    </row>
    <row r="45" spans="1:28" x14ac:dyDescent="0.25">
      <c r="A45" s="1"/>
      <c r="B45" s="1"/>
      <c r="C45" s="1"/>
      <c r="D45" s="1"/>
      <c r="F45" s="1"/>
      <c r="G45" s="1"/>
      <c r="H45" s="10"/>
      <c r="I45" s="10"/>
      <c r="J45" s="10"/>
      <c r="K45" s="10"/>
      <c r="L45" s="10"/>
      <c r="M45" s="10"/>
      <c r="N45" s="10"/>
      <c r="O45" s="10"/>
      <c r="P45" s="10"/>
      <c r="Q45" s="10"/>
      <c r="R45" s="10"/>
      <c r="S45" s="10"/>
      <c r="T45" s="10"/>
      <c r="U45" s="10"/>
      <c r="V45" s="10"/>
      <c r="W45" s="10"/>
      <c r="X45" s="10"/>
      <c r="Y45" s="10"/>
      <c r="Z45" s="10"/>
      <c r="AA45" s="11"/>
      <c r="AB45" s="11"/>
    </row>
    <row r="46" spans="1:28" x14ac:dyDescent="0.25">
      <c r="A46" s="1"/>
      <c r="B46" s="1"/>
      <c r="C46" s="1"/>
      <c r="D46" s="1"/>
      <c r="E46" s="1"/>
      <c r="F46" s="1"/>
      <c r="G46" s="1"/>
      <c r="H46" s="10"/>
      <c r="I46" s="10"/>
      <c r="J46" s="10"/>
      <c r="K46" s="10"/>
      <c r="L46" s="10"/>
      <c r="M46" s="10"/>
      <c r="N46" s="10"/>
      <c r="O46" s="10"/>
      <c r="P46" s="10"/>
      <c r="Q46" s="10"/>
      <c r="R46" s="10"/>
      <c r="S46" s="10"/>
      <c r="T46" s="10"/>
      <c r="U46" s="10"/>
      <c r="V46" s="10"/>
      <c r="W46" s="10"/>
      <c r="X46" s="10"/>
      <c r="Y46" s="10"/>
      <c r="Z46" s="10"/>
      <c r="AA46" s="11"/>
      <c r="AB46" s="11"/>
    </row>
    <row r="47" spans="1:28" x14ac:dyDescent="0.25">
      <c r="A47" s="1"/>
      <c r="B47" s="1"/>
      <c r="C47" s="1"/>
      <c r="D47" s="1"/>
      <c r="E47" s="1"/>
      <c r="F47" s="1"/>
      <c r="G47" s="1"/>
      <c r="H47" s="10"/>
      <c r="I47" s="10"/>
      <c r="J47" s="10"/>
      <c r="K47" s="10"/>
      <c r="L47" s="10"/>
      <c r="M47" s="10"/>
      <c r="N47" s="10"/>
      <c r="O47" s="10"/>
      <c r="P47" s="10"/>
      <c r="Q47" s="10"/>
      <c r="R47" s="10"/>
      <c r="S47" s="10"/>
      <c r="T47" s="10"/>
      <c r="U47" s="10"/>
      <c r="V47" s="10"/>
      <c r="W47" s="10"/>
      <c r="X47" s="10"/>
      <c r="Y47" s="10"/>
      <c r="Z47" s="10"/>
      <c r="AA47" s="11"/>
      <c r="AB47" s="11"/>
    </row>
    <row r="48" spans="1:28" x14ac:dyDescent="0.25">
      <c r="A48" s="1"/>
      <c r="B48" s="1"/>
      <c r="C48" s="1"/>
      <c r="D48" s="1"/>
      <c r="E48" s="1"/>
      <c r="F48" s="1"/>
      <c r="G48" s="1"/>
      <c r="H48" s="10"/>
      <c r="I48" s="10"/>
      <c r="J48" s="10"/>
      <c r="K48" s="10"/>
      <c r="L48" s="10"/>
      <c r="M48" s="10"/>
      <c r="N48" s="10"/>
      <c r="O48" s="10"/>
      <c r="P48" s="10"/>
      <c r="Q48" s="10"/>
      <c r="R48" s="10"/>
      <c r="S48" s="10"/>
      <c r="T48" s="10"/>
      <c r="U48" s="10"/>
      <c r="V48" s="10"/>
      <c r="W48" s="10"/>
      <c r="X48" s="10"/>
      <c r="Y48" s="10"/>
      <c r="Z48" s="10"/>
      <c r="AA48" s="11"/>
      <c r="AB48" s="11"/>
    </row>
    <row r="49" spans="1:28" x14ac:dyDescent="0.25">
      <c r="A49" s="1"/>
      <c r="B49" s="1"/>
      <c r="C49" s="1"/>
      <c r="D49" s="1"/>
      <c r="E49" s="1"/>
      <c r="F49" s="1"/>
      <c r="G49" s="1"/>
      <c r="H49" s="10"/>
      <c r="I49" s="10"/>
      <c r="J49" s="10"/>
      <c r="K49" s="10"/>
      <c r="L49" s="10"/>
      <c r="M49" s="10"/>
      <c r="N49" s="10"/>
      <c r="O49" s="10"/>
      <c r="P49" s="10"/>
      <c r="Q49" s="10"/>
      <c r="R49" s="10"/>
      <c r="S49" s="10"/>
      <c r="T49" s="10"/>
      <c r="U49" s="10"/>
      <c r="V49" s="10"/>
      <c r="W49" s="10"/>
      <c r="X49" s="10"/>
      <c r="Y49" s="10"/>
      <c r="Z49" s="10"/>
      <c r="AA49" s="11"/>
      <c r="AB49" s="11"/>
    </row>
    <row r="50" spans="1:28" x14ac:dyDescent="0.25">
      <c r="A50" s="1"/>
      <c r="B50" s="1"/>
      <c r="C50" s="1"/>
      <c r="D50" s="1"/>
      <c r="E50" s="1"/>
      <c r="F50" s="1"/>
      <c r="G50" s="1"/>
      <c r="H50" s="10"/>
      <c r="I50" s="10"/>
      <c r="J50" s="10"/>
      <c r="K50" s="10"/>
      <c r="L50" s="10"/>
      <c r="M50" s="10"/>
      <c r="N50" s="10"/>
      <c r="O50" s="10"/>
      <c r="P50" s="10"/>
      <c r="Q50" s="10"/>
      <c r="R50" s="10"/>
      <c r="S50" s="10"/>
      <c r="T50" s="10"/>
      <c r="U50" s="10"/>
      <c r="V50" s="10"/>
      <c r="W50" s="10"/>
      <c r="X50" s="10"/>
      <c r="Y50" s="10"/>
      <c r="Z50" s="10"/>
      <c r="AA50" s="11"/>
      <c r="AB50" s="11"/>
    </row>
    <row r="51" spans="1:28" x14ac:dyDescent="0.25">
      <c r="A51" s="1"/>
      <c r="B51" s="1"/>
      <c r="C51" s="1"/>
      <c r="D51" s="1"/>
      <c r="E51" s="1"/>
      <c r="F51" s="1"/>
      <c r="G51" s="1"/>
      <c r="H51" s="10"/>
      <c r="I51" s="10"/>
      <c r="J51" s="10"/>
      <c r="K51" s="10"/>
      <c r="L51" s="10"/>
      <c r="M51" s="10"/>
      <c r="N51" s="10"/>
      <c r="O51" s="10"/>
      <c r="P51" s="10"/>
      <c r="Q51" s="10"/>
      <c r="R51" s="10"/>
      <c r="S51" s="10"/>
      <c r="T51" s="10"/>
      <c r="U51" s="10"/>
      <c r="V51" s="10"/>
      <c r="W51" s="10"/>
      <c r="X51" s="10"/>
      <c r="Y51" s="10"/>
      <c r="Z51" s="10"/>
      <c r="AA51" s="11"/>
      <c r="AB51" s="11"/>
    </row>
    <row r="52" spans="1:28" x14ac:dyDescent="0.25">
      <c r="A52" s="1"/>
      <c r="B52" s="1" t="s">
        <v>128</v>
      </c>
      <c r="C52" s="1"/>
      <c r="D52" s="1"/>
      <c r="E52" s="1"/>
      <c r="F52" s="1"/>
      <c r="G52" s="1"/>
      <c r="H52" s="10"/>
      <c r="I52" s="10"/>
      <c r="J52" s="10"/>
      <c r="K52" s="10"/>
      <c r="L52" s="10"/>
      <c r="M52" s="10"/>
      <c r="N52" s="10"/>
      <c r="O52" s="10"/>
      <c r="P52" s="10"/>
      <c r="Q52" s="10"/>
      <c r="R52" s="10"/>
      <c r="S52" s="10"/>
      <c r="T52" s="10"/>
      <c r="U52" s="10"/>
      <c r="V52" s="10"/>
      <c r="W52" s="10"/>
      <c r="X52" s="10"/>
      <c r="Y52" s="10"/>
      <c r="Z52" s="10"/>
      <c r="AA52" s="11"/>
      <c r="AB52" s="11"/>
    </row>
    <row r="53" spans="1:28" x14ac:dyDescent="0.25">
      <c r="A53" s="1"/>
      <c r="B53" s="1"/>
      <c r="C53" s="1"/>
      <c r="D53" s="1"/>
      <c r="E53" s="1"/>
      <c r="F53" s="1"/>
      <c r="G53" s="1"/>
      <c r="H53" s="10"/>
      <c r="I53" s="10"/>
      <c r="J53" s="10"/>
      <c r="K53" s="10"/>
      <c r="L53" s="10"/>
      <c r="M53" s="10"/>
      <c r="N53" s="10"/>
      <c r="O53" s="10"/>
      <c r="P53" s="10"/>
      <c r="Q53" s="10"/>
      <c r="R53" s="10"/>
      <c r="S53" s="10"/>
      <c r="T53" s="10"/>
      <c r="U53" s="10"/>
      <c r="V53" s="10"/>
      <c r="W53" s="10"/>
      <c r="X53" s="10"/>
      <c r="Y53" s="10"/>
      <c r="Z53" s="10"/>
      <c r="AA53" s="11"/>
      <c r="AB53" s="11"/>
    </row>
    <row r="54" spans="1:28" x14ac:dyDescent="0.25">
      <c r="A54" s="1"/>
      <c r="B54" s="1"/>
      <c r="C54" s="1"/>
      <c r="D54" s="1"/>
      <c r="E54" s="1"/>
      <c r="F54" s="1"/>
      <c r="G54" s="1"/>
      <c r="H54" s="10"/>
      <c r="I54" s="10"/>
      <c r="J54" s="10"/>
      <c r="K54" s="10"/>
      <c r="L54" s="10"/>
      <c r="M54" s="10"/>
      <c r="N54" s="10"/>
      <c r="O54" s="10"/>
      <c r="P54" s="10"/>
      <c r="Q54" s="10"/>
      <c r="R54" s="10"/>
      <c r="S54" s="10"/>
      <c r="T54" s="10"/>
      <c r="U54" s="10"/>
      <c r="V54" s="10"/>
      <c r="W54" s="10"/>
      <c r="X54" s="10"/>
      <c r="Y54" s="10"/>
      <c r="Z54" s="10"/>
      <c r="AA54" s="11"/>
      <c r="AB54" s="11"/>
    </row>
    <row r="55" spans="1:28" ht="12" thickBot="1" x14ac:dyDescent="0.3">
      <c r="A55" s="1"/>
      <c r="B55" s="13" t="s">
        <v>74</v>
      </c>
      <c r="C55" s="1"/>
      <c r="D55" s="1"/>
      <c r="E55" s="1"/>
      <c r="F55" s="1"/>
      <c r="G55" s="1"/>
      <c r="H55" s="10"/>
      <c r="I55" s="10"/>
      <c r="J55" s="10"/>
      <c r="K55" s="10"/>
      <c r="L55" s="10"/>
      <c r="M55" s="10"/>
      <c r="N55" s="10"/>
      <c r="O55" s="10"/>
      <c r="P55" s="10"/>
      <c r="Q55" s="10"/>
      <c r="R55" s="10"/>
      <c r="S55" s="10"/>
      <c r="T55" s="10"/>
      <c r="U55" s="10"/>
      <c r="V55" s="10"/>
      <c r="W55" s="10"/>
      <c r="X55" s="10"/>
      <c r="Y55" s="10"/>
      <c r="Z55" s="10"/>
      <c r="AA55" s="11"/>
      <c r="AB55" s="11"/>
    </row>
    <row r="56" spans="1:28" x14ac:dyDescent="0.25">
      <c r="A56" s="1"/>
      <c r="B56" s="87"/>
      <c r="C56" s="88"/>
      <c r="D56" s="88"/>
      <c r="E56" s="88"/>
      <c r="F56" s="88"/>
      <c r="G56" s="88"/>
      <c r="H56" s="10"/>
      <c r="I56" s="10"/>
      <c r="J56" s="10"/>
      <c r="K56" s="10"/>
      <c r="L56" s="1"/>
      <c r="M56" s="10"/>
      <c r="N56" s="10"/>
      <c r="O56" s="10"/>
      <c r="P56" s="10"/>
      <c r="Q56" s="10"/>
      <c r="R56" s="10"/>
      <c r="S56" s="10"/>
      <c r="T56" s="10"/>
      <c r="U56" s="10"/>
      <c r="V56" s="10"/>
      <c r="W56" s="10"/>
      <c r="X56" s="10"/>
      <c r="Y56" s="10"/>
      <c r="Z56" s="10"/>
      <c r="AA56" s="11"/>
      <c r="AB56" s="11"/>
    </row>
    <row r="57" spans="1:28" x14ac:dyDescent="0.25">
      <c r="A57" s="1"/>
      <c r="B57" s="13" t="s">
        <v>1333</v>
      </c>
      <c r="C57" s="1"/>
      <c r="D57" s="1"/>
      <c r="E57" s="1"/>
      <c r="F57" s="1"/>
      <c r="G57" s="1"/>
      <c r="H57" s="10"/>
      <c r="I57" s="10"/>
      <c r="J57" s="1"/>
      <c r="K57" s="10"/>
      <c r="L57" s="13"/>
      <c r="M57" s="10"/>
      <c r="N57" s="10"/>
      <c r="O57" s="10"/>
      <c r="P57" s="10"/>
      <c r="Q57" s="10"/>
      <c r="R57" s="10"/>
      <c r="S57" s="10"/>
      <c r="T57" s="10"/>
      <c r="U57" s="10"/>
      <c r="V57" s="10"/>
      <c r="W57" s="10"/>
      <c r="X57" s="10"/>
      <c r="Y57" s="10"/>
      <c r="Z57" s="10"/>
      <c r="AA57" s="11"/>
      <c r="AB57" s="11"/>
    </row>
    <row r="58" spans="1:28" x14ac:dyDescent="0.25">
      <c r="A58" s="1"/>
      <c r="B58" s="13"/>
      <c r="C58" s="1"/>
      <c r="D58" s="1"/>
      <c r="E58" s="1"/>
      <c r="F58" s="1"/>
      <c r="G58" s="1"/>
      <c r="H58" s="10"/>
      <c r="I58" s="10"/>
      <c r="J58" s="1"/>
      <c r="K58" s="10"/>
      <c r="L58" s="13"/>
      <c r="M58" s="10"/>
      <c r="N58" s="10"/>
      <c r="O58" s="10"/>
      <c r="P58" s="10"/>
      <c r="Q58" s="10"/>
      <c r="R58" s="10"/>
      <c r="S58" s="10"/>
      <c r="T58" s="10"/>
      <c r="U58" s="10"/>
      <c r="V58" s="10"/>
      <c r="W58" s="10"/>
      <c r="X58" s="10"/>
      <c r="Y58" s="10"/>
      <c r="Z58" s="10"/>
      <c r="AA58" s="11"/>
      <c r="AB58" s="11"/>
    </row>
    <row r="59" spans="1:28" x14ac:dyDescent="0.25">
      <c r="A59" s="1"/>
      <c r="B59" s="1" t="s">
        <v>1334</v>
      </c>
      <c r="C59" s="1"/>
      <c r="D59" s="1"/>
      <c r="E59" s="1"/>
      <c r="F59" s="1"/>
      <c r="G59" s="1"/>
      <c r="H59" s="10"/>
      <c r="I59" s="10"/>
      <c r="J59" s="1"/>
      <c r="K59" s="10"/>
      <c r="L59" s="13"/>
      <c r="M59" s="10"/>
      <c r="N59" s="10"/>
      <c r="O59" s="10"/>
      <c r="P59" s="10"/>
      <c r="Q59" s="10"/>
      <c r="R59" s="10"/>
      <c r="S59" s="10"/>
      <c r="T59" s="10"/>
      <c r="U59" s="10"/>
      <c r="V59" s="10"/>
      <c r="W59" s="10"/>
      <c r="X59" s="10"/>
      <c r="Y59" s="10"/>
      <c r="Z59" s="10"/>
      <c r="AA59" s="11"/>
      <c r="AB59" s="11"/>
    </row>
    <row r="60" spans="1:28" x14ac:dyDescent="0.25">
      <c r="A60" s="1"/>
      <c r="B60" s="1" t="s">
        <v>1339</v>
      </c>
      <c r="C60" s="1"/>
      <c r="D60" s="1"/>
      <c r="E60" s="1"/>
      <c r="F60" s="1"/>
      <c r="G60" s="1"/>
      <c r="H60" s="161" t="s">
        <v>1347</v>
      </c>
      <c r="I60" s="1"/>
      <c r="J60" s="1"/>
      <c r="K60" s="10"/>
      <c r="L60" s="13"/>
      <c r="M60" s="10"/>
      <c r="N60" s="10"/>
      <c r="O60" s="10"/>
      <c r="P60" s="10"/>
      <c r="Q60" s="10"/>
      <c r="R60" s="10"/>
      <c r="S60" s="10"/>
      <c r="T60" s="10"/>
      <c r="U60" s="10"/>
      <c r="V60" s="10"/>
      <c r="W60" s="10"/>
      <c r="X60" s="10"/>
      <c r="Y60" s="10"/>
      <c r="Z60" s="10"/>
      <c r="AA60" s="11"/>
      <c r="AB60" s="11"/>
    </row>
    <row r="61" spans="1:28" x14ac:dyDescent="0.25">
      <c r="A61" s="1"/>
      <c r="B61" s="1" t="s">
        <v>1321</v>
      </c>
      <c r="C61" s="1"/>
      <c r="D61" s="1"/>
      <c r="E61" s="1"/>
      <c r="F61" s="1"/>
      <c r="G61" s="1"/>
      <c r="H61" s="161" t="s">
        <v>1347</v>
      </c>
      <c r="I61" s="1"/>
      <c r="J61" s="1"/>
      <c r="K61" s="10"/>
      <c r="L61" s="13"/>
      <c r="M61" s="10"/>
      <c r="N61" s="10"/>
      <c r="O61" s="10"/>
      <c r="P61" s="10"/>
      <c r="Q61" s="10"/>
      <c r="R61" s="10"/>
      <c r="S61" s="10"/>
      <c r="T61" s="10"/>
      <c r="U61" s="10"/>
      <c r="V61" s="10"/>
      <c r="W61" s="10"/>
      <c r="X61" s="10"/>
      <c r="Y61" s="10"/>
      <c r="Z61" s="10"/>
      <c r="AA61" s="11"/>
      <c r="AB61" s="11"/>
    </row>
    <row r="62" spans="1:28" x14ac:dyDescent="0.25">
      <c r="A62" s="1"/>
      <c r="B62" s="1" t="s">
        <v>1322</v>
      </c>
      <c r="C62" s="1"/>
      <c r="D62" s="1"/>
      <c r="E62" s="1"/>
      <c r="F62" s="1"/>
      <c r="G62" s="1"/>
      <c r="H62" s="161" t="s">
        <v>1347</v>
      </c>
      <c r="I62" s="1"/>
      <c r="J62" s="1"/>
      <c r="K62" s="10"/>
      <c r="L62" s="13"/>
      <c r="M62" s="10"/>
      <c r="N62" s="10"/>
      <c r="O62" s="10"/>
      <c r="P62" s="10"/>
      <c r="Q62" s="10"/>
      <c r="R62" s="10"/>
      <c r="S62" s="10"/>
      <c r="T62" s="10"/>
      <c r="U62" s="10"/>
      <c r="V62" s="10"/>
      <c r="W62" s="10"/>
      <c r="X62" s="10"/>
      <c r="Y62" s="10"/>
      <c r="Z62" s="10"/>
      <c r="AA62" s="11"/>
      <c r="AB62" s="11"/>
    </row>
    <row r="63" spans="1:28" x14ac:dyDescent="0.25">
      <c r="A63" s="1"/>
      <c r="B63" s="1"/>
      <c r="C63" s="1"/>
      <c r="D63" s="1"/>
      <c r="E63" s="1"/>
      <c r="F63" s="1"/>
      <c r="G63" s="1"/>
      <c r="H63" s="10"/>
      <c r="I63" s="1"/>
      <c r="J63" s="1"/>
      <c r="K63" s="10"/>
      <c r="L63" s="13"/>
      <c r="M63" s="10"/>
      <c r="N63" s="10"/>
      <c r="O63" s="10"/>
      <c r="P63" s="10"/>
      <c r="Q63" s="10"/>
      <c r="R63" s="10"/>
      <c r="S63" s="10"/>
      <c r="T63" s="10"/>
      <c r="U63" s="10"/>
      <c r="V63" s="10"/>
      <c r="W63" s="10"/>
      <c r="X63" s="10"/>
      <c r="Y63" s="10"/>
      <c r="Z63" s="10"/>
      <c r="AA63" s="11"/>
      <c r="AB63" s="11"/>
    </row>
    <row r="64" spans="1:28" x14ac:dyDescent="0.25">
      <c r="A64" s="1"/>
      <c r="B64" s="1" t="s">
        <v>1335</v>
      </c>
      <c r="C64" s="1"/>
      <c r="D64" s="1"/>
      <c r="E64" s="1"/>
      <c r="F64" s="1"/>
      <c r="G64" s="1"/>
      <c r="H64" s="10"/>
      <c r="I64" s="1"/>
      <c r="J64" s="1"/>
      <c r="K64" s="10"/>
      <c r="L64" s="13"/>
      <c r="M64" s="10"/>
      <c r="N64" s="10"/>
      <c r="O64" s="10"/>
      <c r="P64" s="10"/>
      <c r="Q64" s="10"/>
      <c r="R64" s="10"/>
      <c r="S64" s="10"/>
      <c r="T64" s="10"/>
      <c r="U64" s="10"/>
      <c r="V64" s="10"/>
      <c r="W64" s="10"/>
      <c r="X64" s="10"/>
      <c r="Y64" s="10"/>
      <c r="Z64" s="10"/>
      <c r="AA64" s="11"/>
      <c r="AB64" s="11"/>
    </row>
    <row r="65" spans="1:28" x14ac:dyDescent="0.25">
      <c r="A65" s="1"/>
      <c r="B65" s="1" t="s">
        <v>1336</v>
      </c>
      <c r="C65" s="1"/>
      <c r="D65" s="1"/>
      <c r="E65" s="1"/>
      <c r="F65" s="1"/>
      <c r="G65" s="1"/>
      <c r="H65" s="161" t="s">
        <v>1347</v>
      </c>
      <c r="I65" s="1"/>
      <c r="J65" s="1"/>
      <c r="K65" s="10"/>
      <c r="L65" s="13"/>
      <c r="M65" s="10"/>
      <c r="N65" s="10"/>
      <c r="O65" s="10"/>
      <c r="P65" s="10"/>
      <c r="Q65" s="10"/>
      <c r="R65" s="10"/>
      <c r="S65" s="10"/>
      <c r="T65" s="10"/>
      <c r="U65" s="10"/>
      <c r="V65" s="10"/>
      <c r="W65" s="10"/>
      <c r="X65" s="10"/>
      <c r="Y65" s="10"/>
      <c r="Z65" s="10"/>
      <c r="AA65" s="11"/>
      <c r="AB65" s="11"/>
    </row>
    <row r="66" spans="1:28" x14ac:dyDescent="0.25">
      <c r="A66" s="1"/>
      <c r="B66" s="1"/>
      <c r="C66" s="1"/>
      <c r="D66" s="1"/>
      <c r="E66" s="1"/>
      <c r="F66" s="1"/>
      <c r="G66" s="1"/>
      <c r="H66" s="10"/>
      <c r="I66" s="1"/>
      <c r="J66" s="1"/>
      <c r="K66" s="10"/>
      <c r="L66" s="13"/>
      <c r="M66" s="10"/>
      <c r="N66" s="10"/>
      <c r="O66" s="10"/>
      <c r="P66" s="10"/>
      <c r="Q66" s="10"/>
      <c r="R66" s="10"/>
      <c r="S66" s="10"/>
      <c r="T66" s="10"/>
      <c r="U66" s="10"/>
      <c r="V66" s="10"/>
      <c r="W66" s="10"/>
      <c r="X66" s="10"/>
      <c r="Y66" s="10"/>
      <c r="Z66" s="10"/>
      <c r="AA66" s="11"/>
      <c r="AB66" s="11"/>
    </row>
    <row r="67" spans="1:28" x14ac:dyDescent="0.25">
      <c r="A67" s="1"/>
      <c r="B67" s="1"/>
      <c r="C67" s="1"/>
      <c r="D67" s="1"/>
      <c r="E67" s="1"/>
      <c r="F67" s="1"/>
      <c r="G67" s="1"/>
      <c r="H67" s="10"/>
      <c r="I67" s="1"/>
      <c r="J67" s="1"/>
      <c r="K67" s="10"/>
      <c r="L67" s="13"/>
      <c r="M67" s="10"/>
      <c r="N67" s="10"/>
      <c r="O67" s="10"/>
      <c r="P67" s="10"/>
      <c r="Q67" s="10"/>
      <c r="R67" s="10"/>
      <c r="S67" s="10"/>
      <c r="T67" s="10"/>
      <c r="U67" s="10"/>
      <c r="V67" s="10"/>
      <c r="W67" s="10"/>
      <c r="X67" s="10"/>
      <c r="Y67" s="10"/>
      <c r="Z67" s="10"/>
      <c r="AA67" s="11"/>
      <c r="AB67" s="11"/>
    </row>
    <row r="68" spans="1:28" x14ac:dyDescent="0.25">
      <c r="A68" s="1"/>
      <c r="B68" s="13" t="s">
        <v>1337</v>
      </c>
      <c r="C68" s="1"/>
      <c r="D68" s="1"/>
      <c r="E68" s="1"/>
      <c r="F68" s="1"/>
      <c r="G68" s="1"/>
      <c r="H68" s="10"/>
      <c r="I68" s="1"/>
      <c r="J68" s="1"/>
      <c r="K68" s="10"/>
      <c r="L68" s="13"/>
      <c r="M68" s="10"/>
      <c r="N68" s="10"/>
      <c r="O68" s="10"/>
      <c r="P68" s="10"/>
      <c r="Q68" s="10"/>
      <c r="R68" s="10"/>
      <c r="S68" s="10"/>
      <c r="T68" s="10"/>
      <c r="U68" s="10"/>
      <c r="V68" s="10"/>
      <c r="W68" s="10"/>
      <c r="X68" s="10"/>
      <c r="Y68" s="10"/>
      <c r="Z68" s="10"/>
      <c r="AA68" s="11"/>
      <c r="AB68" s="11"/>
    </row>
    <row r="69" spans="1:28" x14ac:dyDescent="0.25">
      <c r="A69" s="1"/>
      <c r="B69" s="1" t="s">
        <v>1341</v>
      </c>
      <c r="C69" s="1"/>
      <c r="D69" s="1"/>
      <c r="E69" s="1"/>
      <c r="F69" s="1"/>
      <c r="G69" s="1"/>
      <c r="H69" s="161" t="s">
        <v>1347</v>
      </c>
      <c r="I69" s="1"/>
      <c r="J69" s="1"/>
      <c r="K69" s="10"/>
      <c r="L69" s="13"/>
      <c r="M69" s="10"/>
      <c r="N69" s="10"/>
      <c r="O69" s="10"/>
      <c r="P69" s="10"/>
      <c r="Q69" s="10"/>
      <c r="R69" s="10"/>
      <c r="S69" s="10"/>
      <c r="T69" s="10"/>
      <c r="U69" s="10"/>
      <c r="V69" s="10"/>
      <c r="W69" s="10"/>
      <c r="X69" s="10"/>
      <c r="Y69" s="10"/>
      <c r="Z69" s="10"/>
      <c r="AA69" s="11"/>
      <c r="AB69" s="11"/>
    </row>
    <row r="70" spans="1:28" x14ac:dyDescent="0.25">
      <c r="A70" s="1"/>
      <c r="B70" s="1" t="s">
        <v>1338</v>
      </c>
      <c r="C70" s="1"/>
      <c r="D70" s="1"/>
      <c r="E70" s="1"/>
      <c r="F70" s="1"/>
      <c r="G70" s="1"/>
      <c r="H70" s="161" t="s">
        <v>1347</v>
      </c>
      <c r="I70" s="1"/>
      <c r="J70" s="1"/>
      <c r="K70" s="10"/>
      <c r="L70" s="13"/>
      <c r="M70" s="10"/>
      <c r="N70" s="10"/>
      <c r="O70" s="10"/>
      <c r="P70" s="10"/>
      <c r="Q70" s="10"/>
      <c r="R70" s="10"/>
      <c r="S70" s="10"/>
      <c r="T70" s="10"/>
      <c r="U70" s="10"/>
      <c r="V70" s="10"/>
      <c r="W70" s="10"/>
      <c r="X70" s="10"/>
      <c r="Y70" s="10"/>
      <c r="Z70" s="10"/>
      <c r="AA70" s="11"/>
      <c r="AB70" s="11"/>
    </row>
    <row r="71" spans="1:28" x14ac:dyDescent="0.25">
      <c r="A71" s="1"/>
      <c r="B71" s="1"/>
      <c r="C71" s="1"/>
      <c r="D71" s="1"/>
      <c r="E71" s="1"/>
      <c r="F71" s="1"/>
      <c r="G71" s="1"/>
      <c r="H71" s="10"/>
      <c r="I71" s="1"/>
      <c r="J71" s="1"/>
      <c r="K71" s="10"/>
      <c r="L71" s="13"/>
      <c r="M71" s="10"/>
      <c r="N71" s="10"/>
      <c r="O71" s="10"/>
      <c r="P71" s="10"/>
      <c r="Q71" s="10"/>
      <c r="R71" s="10"/>
      <c r="S71" s="10"/>
      <c r="T71" s="10"/>
      <c r="U71" s="10"/>
      <c r="V71" s="10"/>
      <c r="W71" s="10"/>
      <c r="X71" s="10"/>
      <c r="Y71" s="10"/>
      <c r="Z71" s="10"/>
      <c r="AA71" s="11"/>
      <c r="AB71" s="11"/>
    </row>
    <row r="72" spans="1:28" x14ac:dyDescent="0.25">
      <c r="A72" s="1"/>
      <c r="B72" s="1"/>
      <c r="C72" s="1"/>
      <c r="D72" s="1"/>
      <c r="E72" s="1"/>
      <c r="F72" s="1"/>
      <c r="G72" s="1"/>
      <c r="H72" s="10"/>
      <c r="I72" s="1"/>
      <c r="J72" s="1"/>
      <c r="K72" s="10"/>
      <c r="L72" s="13"/>
      <c r="M72" s="10"/>
      <c r="N72" s="10"/>
      <c r="O72" s="10"/>
      <c r="P72" s="10"/>
      <c r="Q72" s="10"/>
      <c r="R72" s="10"/>
      <c r="S72" s="10"/>
      <c r="T72" s="10"/>
      <c r="U72" s="10"/>
      <c r="V72" s="10"/>
      <c r="W72" s="10"/>
      <c r="X72" s="10"/>
      <c r="Y72" s="10"/>
      <c r="Z72" s="10"/>
      <c r="AA72" s="11"/>
      <c r="AB72" s="11"/>
    </row>
    <row r="73" spans="1:28" x14ac:dyDescent="0.25">
      <c r="A73" s="1"/>
      <c r="B73" s="13" t="s">
        <v>1342</v>
      </c>
      <c r="C73" s="1"/>
      <c r="D73" s="1"/>
      <c r="E73" s="1"/>
      <c r="F73" s="1"/>
      <c r="G73" s="1"/>
      <c r="H73" s="161" t="s">
        <v>1347</v>
      </c>
      <c r="I73" s="1"/>
      <c r="J73" s="1"/>
      <c r="K73" s="10"/>
      <c r="L73" s="13"/>
      <c r="M73" s="10"/>
      <c r="N73" s="10"/>
      <c r="O73" s="10"/>
      <c r="P73" s="10"/>
      <c r="Q73" s="10"/>
      <c r="R73" s="10"/>
      <c r="S73" s="10"/>
      <c r="T73" s="10"/>
      <c r="U73" s="10"/>
      <c r="V73" s="10"/>
      <c r="W73" s="10"/>
      <c r="X73" s="10"/>
      <c r="Y73" s="10"/>
      <c r="Z73" s="10"/>
      <c r="AA73" s="11"/>
      <c r="AB73" s="11"/>
    </row>
    <row r="74" spans="1:28" x14ac:dyDescent="0.25">
      <c r="A74" s="1"/>
      <c r="B74" s="1"/>
      <c r="C74" s="1"/>
      <c r="D74" s="1"/>
      <c r="E74" s="1"/>
      <c r="F74" s="1"/>
      <c r="G74" s="1"/>
      <c r="H74" s="10"/>
      <c r="I74" s="1"/>
      <c r="J74" s="1"/>
      <c r="K74" s="10"/>
      <c r="L74" s="13"/>
      <c r="M74" s="10"/>
      <c r="N74" s="10"/>
      <c r="O74" s="10"/>
      <c r="P74" s="10"/>
      <c r="Q74" s="10"/>
      <c r="R74" s="10"/>
      <c r="S74" s="10"/>
      <c r="T74" s="10"/>
      <c r="U74" s="10"/>
      <c r="V74" s="10"/>
      <c r="W74" s="10"/>
      <c r="X74" s="10"/>
      <c r="Y74" s="10"/>
      <c r="Z74" s="10"/>
      <c r="AA74" s="11"/>
      <c r="AB74" s="11"/>
    </row>
    <row r="75" spans="1:28" ht="12" thickBot="1" x14ac:dyDescent="0.3">
      <c r="A75" s="1"/>
      <c r="B75" s="91"/>
      <c r="C75" s="91"/>
      <c r="D75" s="91"/>
      <c r="E75" s="91"/>
      <c r="F75" s="91"/>
      <c r="G75" s="91"/>
      <c r="H75" s="10"/>
      <c r="I75" s="1"/>
      <c r="J75" s="1"/>
      <c r="K75" s="10"/>
      <c r="L75" s="13"/>
      <c r="M75" s="10"/>
      <c r="N75" s="10"/>
      <c r="O75" s="10"/>
      <c r="P75" s="10"/>
      <c r="Q75" s="10"/>
      <c r="R75" s="10"/>
      <c r="S75" s="10"/>
      <c r="T75" s="10"/>
      <c r="U75" s="10"/>
      <c r="V75" s="10"/>
      <c r="W75" s="10"/>
      <c r="X75" s="10"/>
      <c r="Y75" s="10"/>
      <c r="Z75" s="10"/>
      <c r="AA75" s="11"/>
      <c r="AB75" s="11"/>
    </row>
    <row r="76" spans="1:28" x14ac:dyDescent="0.25">
      <c r="A76" s="1"/>
      <c r="B76" s="1"/>
      <c r="C76" s="1"/>
      <c r="D76" s="1"/>
      <c r="E76" s="1"/>
      <c r="F76" s="1"/>
      <c r="G76" s="1"/>
      <c r="H76" s="10"/>
      <c r="I76" s="1"/>
      <c r="J76" s="1"/>
      <c r="K76" s="10"/>
      <c r="L76" s="13"/>
      <c r="M76" s="10"/>
      <c r="N76" s="10"/>
      <c r="O76" s="10"/>
      <c r="P76" s="10"/>
      <c r="Q76" s="10"/>
      <c r="R76" s="10"/>
      <c r="S76" s="10"/>
      <c r="T76" s="10"/>
      <c r="U76" s="10"/>
      <c r="V76" s="10"/>
      <c r="W76" s="10"/>
      <c r="X76" s="10"/>
      <c r="Y76" s="10"/>
      <c r="Z76" s="10"/>
      <c r="AA76" s="11"/>
      <c r="AB76" s="11"/>
    </row>
    <row r="77" spans="1:28" ht="15.5" x14ac:dyDescent="0.35">
      <c r="A77" s="1"/>
      <c r="B77" s="84" t="s">
        <v>112</v>
      </c>
      <c r="C77" s="49"/>
      <c r="D77" s="49"/>
      <c r="E77" s="49"/>
      <c r="F77" s="49"/>
      <c r="G77" s="49"/>
      <c r="H77" s="10"/>
      <c r="I77" s="1"/>
      <c r="J77" s="1"/>
      <c r="K77" s="10"/>
      <c r="L77" s="13"/>
      <c r="M77" s="10"/>
      <c r="N77" s="10"/>
      <c r="O77" s="10"/>
      <c r="P77" s="10"/>
      <c r="Q77" s="10"/>
      <c r="R77" s="10"/>
      <c r="S77" s="10"/>
      <c r="T77" s="10"/>
      <c r="U77" s="10"/>
      <c r="V77" s="10"/>
      <c r="W77" s="10"/>
      <c r="X77" s="10"/>
      <c r="Y77" s="10"/>
      <c r="Z77" s="10"/>
      <c r="AA77" s="11"/>
      <c r="AB77" s="11"/>
    </row>
    <row r="78" spans="1:28" x14ac:dyDescent="0.25">
      <c r="A78" s="1"/>
      <c r="B78" s="13"/>
      <c r="C78" s="13"/>
      <c r="D78" s="13"/>
      <c r="E78" s="13"/>
      <c r="F78" s="13"/>
      <c r="G78" s="13"/>
      <c r="H78" s="10"/>
      <c r="I78" s="1"/>
      <c r="J78" s="1"/>
      <c r="K78" s="10"/>
      <c r="L78" s="13"/>
      <c r="M78" s="10"/>
      <c r="N78" s="10"/>
      <c r="O78" s="10"/>
      <c r="P78" s="10"/>
      <c r="Q78" s="10"/>
      <c r="R78" s="10"/>
      <c r="S78" s="10"/>
      <c r="T78" s="10"/>
      <c r="U78" s="10"/>
      <c r="V78" s="10"/>
      <c r="W78" s="10"/>
      <c r="X78" s="10"/>
      <c r="Y78" s="10"/>
      <c r="Z78" s="10"/>
      <c r="AA78" s="11"/>
      <c r="AB78" s="11"/>
    </row>
    <row r="79" spans="1:28" x14ac:dyDescent="0.25">
      <c r="A79" s="1"/>
      <c r="B79" s="13" t="s">
        <v>113</v>
      </c>
      <c r="C79" s="1"/>
      <c r="D79" s="1"/>
      <c r="E79" s="1"/>
      <c r="F79" s="1"/>
      <c r="G79" s="1"/>
      <c r="H79" s="10"/>
      <c r="I79" s="1"/>
      <c r="J79" s="1"/>
      <c r="K79" s="10"/>
      <c r="L79" s="13"/>
      <c r="M79" s="10"/>
      <c r="N79" s="10"/>
      <c r="O79" s="10"/>
      <c r="P79" s="10"/>
      <c r="Q79" s="10"/>
      <c r="R79" s="10"/>
      <c r="S79" s="10"/>
      <c r="T79" s="10"/>
      <c r="U79" s="10"/>
      <c r="V79" s="10"/>
      <c r="W79" s="10"/>
      <c r="X79" s="10"/>
      <c r="Y79" s="10"/>
      <c r="Z79" s="10"/>
      <c r="AA79" s="11"/>
      <c r="AB79" s="11"/>
    </row>
    <row r="80" spans="1:28" x14ac:dyDescent="0.25">
      <c r="A80" s="1"/>
      <c r="B80" s="13"/>
      <c r="C80" s="1"/>
      <c r="D80" s="1"/>
      <c r="E80" s="1"/>
      <c r="F80" s="1"/>
      <c r="G80" s="1"/>
      <c r="H80" s="10"/>
      <c r="I80" s="1"/>
      <c r="J80" s="1"/>
      <c r="K80" s="10"/>
      <c r="L80" s="13"/>
      <c r="M80" s="10"/>
      <c r="N80" s="10"/>
      <c r="O80" s="10"/>
      <c r="P80" s="10"/>
      <c r="Q80" s="10"/>
      <c r="R80" s="10"/>
      <c r="S80" s="10"/>
      <c r="T80" s="10"/>
      <c r="U80" s="10"/>
      <c r="V80" s="10"/>
      <c r="W80" s="10"/>
      <c r="X80" s="10"/>
      <c r="Y80" s="10"/>
      <c r="Z80" s="10"/>
      <c r="AA80" s="11"/>
      <c r="AB80" s="11"/>
    </row>
    <row r="81" spans="1:28" ht="12" x14ac:dyDescent="0.3">
      <c r="A81" s="1"/>
      <c r="B81" s="1"/>
      <c r="C81" s="96" t="s">
        <v>71</v>
      </c>
      <c r="D81" s="1"/>
      <c r="E81" s="1"/>
      <c r="F81" s="1"/>
      <c r="G81" s="1"/>
      <c r="H81" s="10"/>
      <c r="I81" s="1"/>
      <c r="J81" s="1"/>
      <c r="K81" s="10"/>
      <c r="L81" s="13"/>
      <c r="M81" s="10"/>
      <c r="N81" s="10"/>
      <c r="O81" s="10"/>
      <c r="P81" s="10"/>
      <c r="Q81" s="10"/>
      <c r="R81" s="10"/>
      <c r="S81" s="10"/>
      <c r="T81" s="10"/>
      <c r="U81" s="10"/>
      <c r="V81" s="10"/>
      <c r="W81" s="10"/>
      <c r="X81" s="10"/>
      <c r="Y81" s="10"/>
      <c r="Z81" s="10"/>
      <c r="AA81" s="11"/>
      <c r="AB81" s="11"/>
    </row>
    <row r="82" spans="1:28" x14ac:dyDescent="0.25">
      <c r="A82" s="1"/>
      <c r="B82" s="1"/>
      <c r="C82" s="1"/>
      <c r="D82" s="1"/>
      <c r="E82" s="1"/>
      <c r="F82" s="1"/>
      <c r="G82" s="1"/>
      <c r="H82" s="10"/>
      <c r="I82" s="1"/>
      <c r="J82" s="1"/>
      <c r="K82" s="10"/>
      <c r="L82" s="13"/>
      <c r="M82" s="10"/>
      <c r="N82" s="10"/>
      <c r="O82" s="10"/>
      <c r="P82" s="10"/>
      <c r="Q82" s="10"/>
      <c r="R82" s="10"/>
      <c r="S82" s="10"/>
      <c r="T82" s="10"/>
      <c r="U82" s="10"/>
      <c r="V82" s="10"/>
      <c r="W82" s="10"/>
      <c r="X82" s="10"/>
      <c r="Y82" s="10"/>
      <c r="Z82" s="10"/>
      <c r="AA82" s="11"/>
      <c r="AB82" s="11"/>
    </row>
    <row r="83" spans="1:28" x14ac:dyDescent="0.25">
      <c r="A83" s="1"/>
      <c r="B83" s="1"/>
      <c r="C83" s="99" t="s">
        <v>69</v>
      </c>
      <c r="D83" s="1" t="s">
        <v>129</v>
      </c>
      <c r="E83" s="1"/>
      <c r="F83" s="1"/>
      <c r="G83" s="1"/>
      <c r="H83" s="10"/>
      <c r="I83" s="1"/>
      <c r="J83" s="1" t="s">
        <v>72</v>
      </c>
      <c r="K83" s="10"/>
      <c r="L83" s="13"/>
      <c r="M83" s="10"/>
      <c r="N83" s="10"/>
      <c r="O83" s="10"/>
      <c r="P83" s="10"/>
      <c r="Q83" s="10"/>
      <c r="R83" s="10"/>
      <c r="S83" s="10"/>
      <c r="T83" s="10"/>
      <c r="U83" s="10"/>
      <c r="V83" s="10"/>
      <c r="W83" s="10"/>
      <c r="X83" s="10"/>
      <c r="Y83" s="10"/>
      <c r="Z83" s="10"/>
      <c r="AA83" s="11"/>
      <c r="AB83" s="11"/>
    </row>
    <row r="84" spans="1:28" x14ac:dyDescent="0.25">
      <c r="A84" s="1"/>
      <c r="B84" s="1"/>
      <c r="C84" s="99" t="s">
        <v>69</v>
      </c>
      <c r="D84" s="1" t="s">
        <v>130</v>
      </c>
      <c r="E84" s="1"/>
      <c r="F84" s="1"/>
      <c r="G84" s="1"/>
      <c r="H84" s="10"/>
      <c r="I84" s="1"/>
      <c r="J84" s="97" t="s">
        <v>68</v>
      </c>
      <c r="K84" s="10"/>
      <c r="L84" s="13"/>
      <c r="M84" s="10"/>
      <c r="N84" s="10"/>
      <c r="O84" s="10"/>
      <c r="P84" s="10"/>
      <c r="Q84" s="10"/>
      <c r="R84" s="10"/>
      <c r="S84" s="10"/>
      <c r="T84" s="10"/>
      <c r="U84" s="10"/>
      <c r="V84" s="10"/>
      <c r="W84" s="10"/>
      <c r="X84" s="10"/>
      <c r="Y84" s="10"/>
      <c r="Z84" s="10"/>
      <c r="AA84" s="11"/>
      <c r="AB84" s="11"/>
    </row>
    <row r="85" spans="1:28" x14ac:dyDescent="0.25">
      <c r="A85" s="1"/>
      <c r="B85" s="1"/>
      <c r="C85" s="1"/>
      <c r="D85" s="1" t="s">
        <v>114</v>
      </c>
      <c r="E85" s="1"/>
      <c r="F85" s="1"/>
      <c r="G85" s="1"/>
      <c r="H85" s="10"/>
      <c r="I85" s="1"/>
      <c r="J85" s="98" t="s">
        <v>69</v>
      </c>
      <c r="K85" s="10"/>
      <c r="L85" s="13"/>
      <c r="M85" s="10"/>
      <c r="N85" s="10"/>
      <c r="O85" s="10"/>
      <c r="P85" s="10"/>
      <c r="Q85" s="10"/>
      <c r="R85" s="10"/>
      <c r="S85" s="10"/>
      <c r="T85" s="10"/>
      <c r="U85" s="10"/>
      <c r="V85" s="10"/>
      <c r="W85" s="10"/>
      <c r="X85" s="10"/>
      <c r="Y85" s="10"/>
      <c r="Z85" s="10"/>
      <c r="AA85" s="11"/>
      <c r="AB85" s="11"/>
    </row>
    <row r="86" spans="1:28" x14ac:dyDescent="0.25">
      <c r="A86" s="1"/>
      <c r="B86" s="1"/>
      <c r="C86" s="1"/>
      <c r="D86" s="1" t="s">
        <v>64</v>
      </c>
      <c r="E86" s="1"/>
      <c r="F86" s="1"/>
      <c r="G86" s="1"/>
      <c r="H86" s="10"/>
      <c r="I86" s="1"/>
      <c r="J86" s="100" t="s">
        <v>70</v>
      </c>
      <c r="K86" s="10"/>
      <c r="L86" s="13"/>
      <c r="M86" s="10"/>
      <c r="N86" s="10"/>
      <c r="O86" s="10"/>
      <c r="P86" s="10"/>
      <c r="Q86" s="10"/>
      <c r="R86" s="10"/>
      <c r="S86" s="10"/>
      <c r="T86" s="10"/>
      <c r="U86" s="10"/>
      <c r="V86" s="10"/>
      <c r="W86" s="10"/>
      <c r="X86" s="10"/>
      <c r="Y86" s="10"/>
      <c r="Z86" s="10"/>
      <c r="AA86" s="11"/>
      <c r="AB86" s="11"/>
    </row>
    <row r="87" spans="1:28" x14ac:dyDescent="0.25">
      <c r="A87" s="1"/>
      <c r="B87" s="1"/>
      <c r="C87" s="1"/>
      <c r="D87" s="1" t="s">
        <v>65</v>
      </c>
      <c r="E87" s="1"/>
      <c r="F87" s="1"/>
      <c r="G87" s="1"/>
      <c r="H87" s="10"/>
      <c r="I87" s="1"/>
      <c r="J87" s="1"/>
      <c r="K87" s="10"/>
      <c r="L87" s="13"/>
      <c r="M87" s="10"/>
      <c r="N87" s="10"/>
      <c r="O87" s="10"/>
      <c r="P87" s="10"/>
      <c r="Q87" s="10"/>
      <c r="R87" s="10"/>
      <c r="S87" s="10"/>
      <c r="T87" s="10"/>
      <c r="U87" s="10"/>
      <c r="V87" s="10"/>
      <c r="W87" s="10"/>
      <c r="X87" s="10"/>
      <c r="Y87" s="10"/>
      <c r="Z87" s="10"/>
      <c r="AA87" s="11"/>
      <c r="AB87" s="11"/>
    </row>
    <row r="88" spans="1:28" x14ac:dyDescent="0.25">
      <c r="A88" s="1"/>
      <c r="B88" s="1"/>
      <c r="C88" s="99" t="s">
        <v>69</v>
      </c>
      <c r="D88" s="1" t="s">
        <v>67</v>
      </c>
      <c r="E88" s="1"/>
      <c r="F88" s="1"/>
      <c r="G88" s="1"/>
      <c r="H88" s="10"/>
      <c r="I88" s="1"/>
      <c r="J88" s="97" t="s">
        <v>115</v>
      </c>
      <c r="K88" s="10"/>
      <c r="L88" s="13"/>
      <c r="M88" s="10"/>
      <c r="N88" s="10"/>
      <c r="O88" s="10"/>
      <c r="P88" s="10"/>
      <c r="Q88" s="10"/>
      <c r="R88" s="10"/>
      <c r="S88" s="10"/>
      <c r="T88" s="10"/>
      <c r="U88" s="10"/>
      <c r="V88" s="10"/>
      <c r="W88" s="10"/>
      <c r="X88" s="10"/>
      <c r="Y88" s="10"/>
      <c r="Z88" s="10"/>
      <c r="AA88" s="11"/>
      <c r="AB88" s="11"/>
    </row>
    <row r="89" spans="1:28" x14ac:dyDescent="0.25">
      <c r="A89" s="1"/>
      <c r="B89" s="1"/>
      <c r="C89" s="99" t="s">
        <v>69</v>
      </c>
      <c r="D89" s="1" t="s">
        <v>131</v>
      </c>
      <c r="E89" s="1"/>
      <c r="F89" s="1"/>
      <c r="G89" s="1"/>
      <c r="H89" s="10"/>
      <c r="I89" s="1"/>
      <c r="J89" s="98" t="s">
        <v>116</v>
      </c>
      <c r="K89" s="10"/>
      <c r="L89" s="13"/>
      <c r="M89" s="10"/>
      <c r="N89" s="10"/>
      <c r="O89" s="10"/>
      <c r="P89" s="10"/>
      <c r="Q89" s="10"/>
      <c r="R89" s="10"/>
      <c r="S89" s="10"/>
      <c r="T89" s="10"/>
      <c r="U89" s="10"/>
      <c r="V89" s="10"/>
      <c r="W89" s="10"/>
      <c r="X89" s="10"/>
      <c r="Y89" s="10"/>
      <c r="Z89" s="10"/>
      <c r="AA89" s="11"/>
      <c r="AB89" s="11"/>
    </row>
    <row r="90" spans="1:28" x14ac:dyDescent="0.25">
      <c r="A90" s="1"/>
      <c r="B90" s="1"/>
      <c r="C90" s="99" t="s">
        <v>69</v>
      </c>
      <c r="D90" s="1" t="s">
        <v>118</v>
      </c>
      <c r="E90" s="1"/>
      <c r="F90" s="1"/>
      <c r="G90" s="1"/>
      <c r="H90" s="10"/>
      <c r="I90" s="10"/>
      <c r="J90" s="98" t="s">
        <v>117</v>
      </c>
      <c r="K90" s="10"/>
      <c r="L90" s="10"/>
      <c r="M90" s="10"/>
      <c r="N90" s="10"/>
      <c r="O90" s="10"/>
      <c r="P90" s="10"/>
      <c r="Q90" s="10"/>
      <c r="R90" s="10"/>
      <c r="S90" s="10"/>
      <c r="T90" s="10"/>
      <c r="U90" s="10"/>
      <c r="V90" s="10"/>
      <c r="W90" s="10"/>
      <c r="X90" s="10"/>
      <c r="Y90" s="10"/>
      <c r="Z90" s="10"/>
      <c r="AA90" s="11"/>
      <c r="AB90" s="11"/>
    </row>
    <row r="91" spans="1:28" x14ac:dyDescent="0.25">
      <c r="A91" s="1"/>
      <c r="B91" s="1"/>
      <c r="C91" s="1"/>
      <c r="D91" s="1"/>
      <c r="E91" s="1"/>
      <c r="F91" s="1"/>
      <c r="G91" s="1"/>
      <c r="H91" s="10"/>
      <c r="I91" s="10"/>
      <c r="J91" s="100" t="s">
        <v>105</v>
      </c>
      <c r="K91" s="10"/>
      <c r="L91" s="10"/>
      <c r="M91" s="10"/>
      <c r="N91" s="10"/>
      <c r="O91" s="10"/>
      <c r="P91" s="10"/>
      <c r="Q91" s="10"/>
      <c r="R91" s="10"/>
      <c r="S91" s="10"/>
      <c r="T91" s="10"/>
      <c r="U91" s="10"/>
      <c r="V91" s="10"/>
      <c r="W91" s="10"/>
      <c r="X91" s="10"/>
      <c r="Y91" s="10"/>
      <c r="Z91" s="10"/>
      <c r="AA91" s="11"/>
      <c r="AB91" s="11"/>
    </row>
    <row r="92" spans="1:28" x14ac:dyDescent="0.25">
      <c r="A92" s="1"/>
      <c r="B92" s="1"/>
      <c r="C92" s="99" t="s">
        <v>69</v>
      </c>
      <c r="D92" s="1" t="s">
        <v>120</v>
      </c>
      <c r="F92" s="1"/>
      <c r="G92" s="1"/>
      <c r="H92" s="10"/>
      <c r="I92" s="10"/>
      <c r="J92" s="10"/>
      <c r="K92" s="10"/>
      <c r="L92" s="10"/>
      <c r="M92" s="10"/>
      <c r="N92" s="10"/>
      <c r="O92" s="10"/>
      <c r="P92" s="10"/>
      <c r="Q92" s="10"/>
      <c r="R92" s="10"/>
      <c r="S92" s="10"/>
      <c r="T92" s="10"/>
      <c r="U92" s="10"/>
      <c r="V92" s="10"/>
      <c r="W92" s="10"/>
      <c r="X92" s="10"/>
      <c r="Y92" s="10"/>
      <c r="Z92" s="10"/>
      <c r="AA92" s="11"/>
      <c r="AB92" s="11"/>
    </row>
    <row r="93" spans="1:28" x14ac:dyDescent="0.25">
      <c r="A93" s="1"/>
      <c r="B93" s="1"/>
      <c r="C93" s="1"/>
      <c r="D93" s="1"/>
      <c r="E93" s="1"/>
      <c r="F93" s="1"/>
      <c r="G93" s="1"/>
      <c r="H93" s="10"/>
      <c r="I93" s="10"/>
      <c r="J93" s="10"/>
      <c r="K93" s="10"/>
      <c r="L93" s="10"/>
      <c r="M93" s="10"/>
      <c r="N93" s="10"/>
      <c r="O93" s="10"/>
      <c r="P93" s="10"/>
      <c r="Q93" s="10"/>
      <c r="R93" s="10"/>
      <c r="S93" s="10"/>
      <c r="T93" s="10"/>
      <c r="U93" s="10"/>
      <c r="V93" s="10"/>
      <c r="W93" s="10"/>
      <c r="X93" s="10"/>
      <c r="Y93" s="10"/>
      <c r="Z93" s="10"/>
      <c r="AA93" s="11"/>
      <c r="AB93" s="11"/>
    </row>
    <row r="94" spans="1:28" x14ac:dyDescent="0.25">
      <c r="A94" s="1"/>
      <c r="B94" s="1"/>
      <c r="C94" s="1"/>
      <c r="D94" s="1"/>
      <c r="E94" s="1"/>
      <c r="F94" s="1"/>
      <c r="G94" s="1"/>
      <c r="H94" s="10"/>
      <c r="I94" s="10"/>
      <c r="J94" s="10"/>
      <c r="K94" s="10"/>
      <c r="L94" s="10"/>
      <c r="M94" s="10"/>
      <c r="N94" s="10"/>
      <c r="O94" s="10"/>
      <c r="P94" s="10"/>
      <c r="Q94" s="10"/>
      <c r="R94" s="10"/>
      <c r="S94" s="10"/>
      <c r="T94" s="10"/>
      <c r="U94" s="10"/>
      <c r="V94" s="10"/>
      <c r="W94" s="10"/>
      <c r="X94" s="10"/>
      <c r="Y94" s="10"/>
      <c r="Z94" s="10"/>
      <c r="AA94" s="11"/>
      <c r="AB94" s="11"/>
    </row>
    <row r="95" spans="1:28" x14ac:dyDescent="0.25">
      <c r="A95" s="1"/>
      <c r="B95" s="13" t="s">
        <v>132</v>
      </c>
      <c r="C95" s="1"/>
      <c r="D95" s="1"/>
      <c r="E95" s="1"/>
      <c r="F95" s="1"/>
      <c r="G95" s="1"/>
      <c r="H95" s="10"/>
      <c r="I95" s="10"/>
      <c r="J95" s="10"/>
      <c r="K95" s="10"/>
      <c r="L95" s="10"/>
      <c r="M95" s="10"/>
      <c r="N95" s="10"/>
      <c r="O95" s="10"/>
      <c r="P95" s="10"/>
      <c r="Q95" s="10"/>
      <c r="R95" s="10"/>
      <c r="S95" s="10"/>
      <c r="T95" s="10"/>
      <c r="U95" s="10"/>
      <c r="V95" s="10"/>
      <c r="W95" s="10"/>
      <c r="X95" s="10"/>
      <c r="Y95" s="10"/>
      <c r="Z95" s="10"/>
      <c r="AA95" s="11"/>
      <c r="AB95" s="11"/>
    </row>
    <row r="96" spans="1:28" x14ac:dyDescent="0.25">
      <c r="A96" s="1"/>
      <c r="B96" s="1"/>
      <c r="C96" s="1"/>
      <c r="D96" s="1"/>
      <c r="E96" s="1"/>
      <c r="F96" s="1"/>
      <c r="G96" s="1"/>
      <c r="H96" s="10"/>
      <c r="I96" s="10"/>
      <c r="J96" s="10"/>
      <c r="K96" s="10"/>
      <c r="L96" s="10"/>
      <c r="M96" s="10"/>
      <c r="N96" s="10"/>
      <c r="O96" s="10"/>
      <c r="P96" s="10"/>
      <c r="Q96" s="10"/>
      <c r="R96" s="10"/>
      <c r="S96" s="10"/>
      <c r="T96" s="10"/>
      <c r="U96" s="10"/>
      <c r="V96" s="10"/>
      <c r="W96" s="10"/>
      <c r="X96" s="10"/>
      <c r="Y96" s="10"/>
      <c r="Z96" s="10"/>
      <c r="AA96" s="11"/>
      <c r="AB96" s="11"/>
    </row>
    <row r="97" spans="1:28" x14ac:dyDescent="0.25">
      <c r="A97" s="1"/>
      <c r="B97" s="1"/>
      <c r="C97" s="99" t="s">
        <v>69</v>
      </c>
      <c r="D97" s="1" t="s">
        <v>133</v>
      </c>
      <c r="E97" s="1"/>
      <c r="F97" s="1"/>
      <c r="G97" s="1"/>
      <c r="H97" s="10"/>
      <c r="I97" s="10"/>
      <c r="J97" s="10"/>
      <c r="K97" s="10"/>
      <c r="L97" s="10"/>
      <c r="M97" s="10"/>
      <c r="N97" s="10"/>
      <c r="O97" s="10"/>
      <c r="P97" s="10"/>
      <c r="Q97" s="10"/>
      <c r="R97" s="10"/>
      <c r="S97" s="10"/>
      <c r="T97" s="10"/>
      <c r="U97" s="10"/>
      <c r="V97" s="10"/>
      <c r="W97" s="10"/>
      <c r="X97" s="10"/>
      <c r="Y97" s="10"/>
      <c r="Z97" s="10"/>
      <c r="AA97" s="11"/>
      <c r="AB97" s="11"/>
    </row>
    <row r="98" spans="1:28" x14ac:dyDescent="0.25">
      <c r="A98" s="1"/>
      <c r="B98" s="1"/>
      <c r="C98" s="99" t="s">
        <v>69</v>
      </c>
      <c r="D98" s="1" t="s">
        <v>134</v>
      </c>
      <c r="E98" s="1"/>
      <c r="F98" s="1"/>
      <c r="G98" s="1"/>
      <c r="H98" s="10"/>
      <c r="I98" s="10"/>
      <c r="J98" s="10"/>
      <c r="K98" s="10"/>
      <c r="L98" s="10"/>
      <c r="M98" s="10"/>
      <c r="N98" s="10"/>
      <c r="O98" s="10"/>
      <c r="P98" s="10"/>
      <c r="Q98" s="10"/>
      <c r="R98" s="10"/>
      <c r="S98" s="10"/>
      <c r="T98" s="10"/>
      <c r="U98" s="10"/>
      <c r="V98" s="10"/>
      <c r="W98" s="10"/>
      <c r="X98" s="10"/>
      <c r="Y98" s="10"/>
      <c r="Z98" s="10"/>
      <c r="AA98" s="11"/>
      <c r="AB98" s="11"/>
    </row>
    <row r="99" spans="1:28" x14ac:dyDescent="0.25">
      <c r="A99" s="1"/>
      <c r="B99" s="1"/>
      <c r="C99" s="99" t="s">
        <v>69</v>
      </c>
      <c r="D99" s="1" t="s">
        <v>135</v>
      </c>
      <c r="E99" s="1"/>
      <c r="F99" s="1"/>
      <c r="G99" s="1"/>
      <c r="H99" s="10"/>
      <c r="I99" s="10"/>
      <c r="J99" s="10"/>
      <c r="K99" s="10"/>
      <c r="L99" s="10"/>
      <c r="M99" s="10"/>
      <c r="N99" s="10"/>
      <c r="O99" s="10"/>
      <c r="P99" s="10"/>
      <c r="Q99" s="10"/>
      <c r="R99" s="10"/>
      <c r="S99" s="10"/>
      <c r="T99" s="10"/>
      <c r="U99" s="10"/>
      <c r="V99" s="10"/>
      <c r="W99" s="10"/>
      <c r="X99" s="10"/>
      <c r="Y99" s="10"/>
      <c r="Z99" s="10"/>
      <c r="AA99" s="11"/>
      <c r="AB99" s="11"/>
    </row>
    <row r="100" spans="1:28" x14ac:dyDescent="0.25">
      <c r="A100" s="1"/>
      <c r="B100" s="1"/>
      <c r="C100" s="99" t="s">
        <v>69</v>
      </c>
      <c r="D100" s="1" t="s">
        <v>136</v>
      </c>
      <c r="E100" s="1"/>
      <c r="F100" s="1"/>
      <c r="G100" s="1"/>
      <c r="H100" s="10"/>
      <c r="I100" s="10"/>
      <c r="J100" s="10"/>
      <c r="K100" s="10"/>
      <c r="L100" s="10"/>
      <c r="M100" s="10"/>
      <c r="N100" s="10"/>
      <c r="O100" s="10"/>
      <c r="P100" s="10"/>
      <c r="Q100" s="10"/>
      <c r="R100" s="10"/>
      <c r="S100" s="10"/>
      <c r="T100" s="10"/>
      <c r="U100" s="10"/>
      <c r="V100" s="10"/>
      <c r="W100" s="10"/>
      <c r="X100" s="10"/>
      <c r="Y100" s="10"/>
      <c r="Z100" s="10"/>
      <c r="AA100" s="11"/>
      <c r="AB100" s="11"/>
    </row>
    <row r="101" spans="1:28" x14ac:dyDescent="0.25">
      <c r="A101" s="1"/>
      <c r="B101" s="1"/>
      <c r="C101" s="99" t="s">
        <v>69</v>
      </c>
      <c r="D101" s="1" t="s">
        <v>137</v>
      </c>
      <c r="E101" s="1"/>
      <c r="F101" s="1"/>
      <c r="G101" s="1"/>
      <c r="H101" s="10"/>
      <c r="I101" s="10"/>
      <c r="J101" s="10"/>
      <c r="K101" s="10"/>
      <c r="L101" s="10"/>
      <c r="M101" s="10"/>
      <c r="N101" s="10"/>
      <c r="O101" s="10"/>
      <c r="P101" s="10"/>
      <c r="Q101" s="10"/>
      <c r="R101" s="10"/>
      <c r="S101" s="10"/>
      <c r="T101" s="10"/>
      <c r="U101" s="10"/>
      <c r="V101" s="10"/>
      <c r="W101" s="10"/>
      <c r="X101" s="10"/>
      <c r="Y101" s="10"/>
      <c r="Z101" s="10"/>
      <c r="AA101" s="11"/>
      <c r="AB101" s="11"/>
    </row>
    <row r="102" spans="1:28" x14ac:dyDescent="0.25">
      <c r="A102" s="1"/>
      <c r="B102" s="1"/>
      <c r="C102" s="1"/>
      <c r="D102" s="1"/>
      <c r="E102" s="1"/>
      <c r="F102" s="1"/>
      <c r="G102" s="1"/>
      <c r="H102" s="10"/>
      <c r="I102" s="10"/>
      <c r="J102" s="10"/>
      <c r="K102" s="10"/>
      <c r="L102" s="10"/>
      <c r="M102" s="10"/>
      <c r="N102" s="10"/>
      <c r="O102" s="10"/>
      <c r="P102" s="10"/>
      <c r="Q102" s="10"/>
      <c r="R102" s="10"/>
      <c r="S102" s="10"/>
      <c r="T102" s="10"/>
      <c r="U102" s="10"/>
      <c r="V102" s="10"/>
      <c r="W102" s="10"/>
      <c r="X102" s="10"/>
      <c r="Y102" s="10"/>
      <c r="Z102" s="10"/>
      <c r="AA102" s="11"/>
      <c r="AB102" s="11"/>
    </row>
    <row r="103" spans="1:28" x14ac:dyDescent="0.25">
      <c r="A103" s="1"/>
      <c r="H103" s="10"/>
      <c r="I103" s="10"/>
      <c r="J103" s="10"/>
      <c r="K103" s="10"/>
      <c r="L103" s="10"/>
      <c r="M103" s="10"/>
      <c r="N103" s="10"/>
      <c r="O103" s="10"/>
      <c r="P103" s="10"/>
      <c r="Q103" s="10"/>
      <c r="R103" s="10"/>
      <c r="S103" s="10"/>
      <c r="T103" s="10"/>
      <c r="U103" s="10"/>
      <c r="V103" s="10"/>
      <c r="W103" s="10"/>
      <c r="X103" s="10"/>
      <c r="Y103" s="10"/>
      <c r="Z103" s="10"/>
      <c r="AA103" s="11"/>
      <c r="AB103" s="11"/>
    </row>
    <row r="104" spans="1:28" ht="15.5" x14ac:dyDescent="0.35">
      <c r="A104" s="1"/>
      <c r="B104" s="84" t="s">
        <v>126</v>
      </c>
      <c r="C104" s="49"/>
      <c r="D104" s="49"/>
      <c r="E104" s="49"/>
      <c r="F104" s="49"/>
      <c r="G104" s="49"/>
      <c r="H104" s="1"/>
      <c r="I104" s="1"/>
      <c r="J104" s="1"/>
      <c r="K104" s="1"/>
      <c r="L104" s="1"/>
      <c r="M104" s="1"/>
      <c r="N104" s="1"/>
      <c r="O104" s="1"/>
      <c r="P104" s="1"/>
      <c r="Q104" s="1"/>
      <c r="R104" s="1"/>
      <c r="S104" s="1"/>
      <c r="T104" s="1"/>
      <c r="U104" s="1"/>
      <c r="V104" s="1"/>
      <c r="W104" s="1"/>
      <c r="X104" s="1"/>
      <c r="Y104" s="1"/>
      <c r="Z104" s="1"/>
    </row>
    <row r="105" spans="1:28" x14ac:dyDescent="0.25">
      <c r="A105" s="1"/>
      <c r="B105" s="13"/>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8" x14ac:dyDescent="0.25">
      <c r="A106" s="1"/>
      <c r="B106" s="1" t="s">
        <v>169</v>
      </c>
      <c r="C106" s="1"/>
      <c r="D106" s="1"/>
      <c r="E106" s="1"/>
      <c r="G106" s="1"/>
      <c r="H106" s="1"/>
      <c r="I106" s="1"/>
      <c r="J106" s="1"/>
      <c r="K106" s="1"/>
      <c r="L106" s="1"/>
      <c r="M106" s="1"/>
      <c r="N106" s="1"/>
      <c r="O106" s="1"/>
      <c r="P106" s="1"/>
      <c r="Q106" s="1"/>
      <c r="R106" s="1"/>
      <c r="S106" s="1"/>
      <c r="T106" s="1"/>
      <c r="U106" s="1"/>
      <c r="V106" s="1"/>
      <c r="W106" s="1"/>
      <c r="X106" s="1"/>
      <c r="Y106" s="1"/>
      <c r="Z106" s="1"/>
    </row>
    <row r="107" spans="1:28" x14ac:dyDescent="0.25">
      <c r="A107" s="1"/>
      <c r="B107" s="1" t="s">
        <v>127</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8" ht="15.5" x14ac:dyDescent="0.35">
      <c r="A110" s="1"/>
      <c r="B110" s="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8" ht="18.649999999999999"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8" ht="18.649999999999999" customHeight="1" x14ac:dyDescent="0.25">
      <c r="A112" s="1"/>
      <c r="B112" s="1"/>
      <c r="C112" s="1"/>
      <c r="D112" s="1"/>
      <c r="E112" s="103"/>
      <c r="F112" s="13"/>
      <c r="G112" s="1"/>
      <c r="H112" s="1"/>
      <c r="I112" s="1"/>
      <c r="J112" s="1"/>
      <c r="K112" s="1"/>
      <c r="L112" s="1"/>
      <c r="M112" s="1"/>
      <c r="N112" s="1"/>
      <c r="O112" s="1"/>
      <c r="P112" s="1"/>
      <c r="Q112" s="1"/>
      <c r="R112" s="1"/>
      <c r="S112" s="1"/>
      <c r="T112" s="1"/>
      <c r="U112" s="1"/>
      <c r="V112" s="1"/>
      <c r="W112" s="1"/>
      <c r="X112" s="1"/>
      <c r="Y112" s="1"/>
      <c r="Z112" s="1"/>
    </row>
    <row r="113" spans="1:26" ht="18.649999999999999"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sheetData>
  <dataValidations count="5">
    <dataValidation type="list" allowBlank="1" showInputMessage="1" showErrorMessage="1" sqref="C93:C94 C102 C96 C91" xr:uid="{8E0E95B9-2E47-47FA-B0A1-BC428B9D3F96}">
      <formula1>$J$74:$J$76</formula1>
    </dataValidation>
    <dataValidation type="list" allowBlank="1" showInputMessage="1" showErrorMessage="1" sqref="E113" xr:uid="{961C31A5-4DF5-42EB-93F4-7A8F9A090BE9}">
      <formula1>$J$60:$J$89</formula1>
    </dataValidation>
    <dataValidation type="list" allowBlank="1" showInputMessage="1" showErrorMessage="1" sqref="C88:C90 C92 C84" xr:uid="{59B61887-7934-4334-B272-3ABBDEC22870}">
      <formula1>No</formula1>
    </dataValidation>
    <dataValidation type="list" allowBlank="1" showInputMessage="1" showErrorMessage="1" sqref="C83 C97:C101" xr:uid="{4AED11B8-0E41-46FB-A04F-256A85763B6A}">
      <formula1>$J$84:$J$86</formula1>
    </dataValidation>
    <dataValidation type="list" allowBlank="1" showInputMessage="1" showErrorMessage="1" sqref="E10" xr:uid="{C17FED90-D0C3-40FE-BAC1-B4D56A0960BF}">
      <formula1>$J$88:$J$91</formula1>
    </dataValidation>
  </dataValidations>
  <pageMargins left="0.7" right="0.7" top="0.75" bottom="0.75" header="0.3" footer="0.3"/>
  <pageSetup scale="75"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xdr:col>
                    <xdr:colOff>203200</xdr:colOff>
                    <xdr:row>38</xdr:row>
                    <xdr:rowOff>69850</xdr:rowOff>
                  </from>
                  <to>
                    <xdr:col>3</xdr:col>
                    <xdr:colOff>1403350</xdr:colOff>
                    <xdr:row>40</xdr:row>
                    <xdr:rowOff>69850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xdr:col>
                    <xdr:colOff>203200</xdr:colOff>
                    <xdr:row>44</xdr:row>
                    <xdr:rowOff>146050</xdr:rowOff>
                  </from>
                  <to>
                    <xdr:col>3</xdr:col>
                    <xdr:colOff>1403350</xdr:colOff>
                    <xdr:row>46</xdr:row>
                    <xdr:rowOff>146050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1860550</xdr:colOff>
                    <xdr:row>38</xdr:row>
                    <xdr:rowOff>114300</xdr:rowOff>
                  </from>
                  <to>
                    <xdr:col>5</xdr:col>
                    <xdr:colOff>1136650</xdr:colOff>
                    <xdr:row>40</xdr:row>
                    <xdr:rowOff>114300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4</xdr:col>
                    <xdr:colOff>1879600</xdr:colOff>
                    <xdr:row>44</xdr:row>
                    <xdr:rowOff>146050</xdr:rowOff>
                  </from>
                  <to>
                    <xdr:col>5</xdr:col>
                    <xdr:colOff>1193800</xdr:colOff>
                    <xdr:row>46</xdr:row>
                    <xdr:rowOff>146050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2</xdr:col>
                    <xdr:colOff>0</xdr:colOff>
                    <xdr:row>24</xdr:row>
                    <xdr:rowOff>0</xdr:rowOff>
                  </from>
                  <to>
                    <xdr:col>4</xdr:col>
                    <xdr:colOff>127000</xdr:colOff>
                    <xdr:row>26</xdr:row>
                    <xdr:rowOff>31750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2</xdr:col>
                    <xdr:colOff>0</xdr:colOff>
                    <xdr:row>28</xdr:row>
                    <xdr:rowOff>0</xdr:rowOff>
                  </from>
                  <to>
                    <xdr:col>4</xdr:col>
                    <xdr:colOff>69850</xdr:colOff>
                    <xdr:row>30</xdr:row>
                    <xdr:rowOff>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0</xdr:colOff>
                    <xdr:row>30</xdr:row>
                    <xdr:rowOff>0</xdr:rowOff>
                  </from>
                  <to>
                    <xdr:col>4</xdr:col>
                    <xdr:colOff>69850</xdr:colOff>
                    <xdr:row>32</xdr:row>
                    <xdr:rowOff>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2</xdr:col>
                    <xdr:colOff>0</xdr:colOff>
                    <xdr:row>26</xdr:row>
                    <xdr:rowOff>12700</xdr:rowOff>
                  </from>
                  <to>
                    <xdr:col>4</xdr:col>
                    <xdr:colOff>146050</xdr:colOff>
                    <xdr:row>28</xdr:row>
                    <xdr:rowOff>12700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2</xdr:col>
                    <xdr:colOff>0</xdr:colOff>
                    <xdr:row>32</xdr:row>
                    <xdr:rowOff>0</xdr:rowOff>
                  </from>
                  <to>
                    <xdr:col>3</xdr:col>
                    <xdr:colOff>1022350</xdr:colOff>
                    <xdr:row>34</xdr:row>
                    <xdr:rowOff>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304800</xdr:colOff>
                    <xdr:row>40</xdr:row>
                    <xdr:rowOff>50800</xdr:rowOff>
                  </from>
                  <to>
                    <xdr:col>4</xdr:col>
                    <xdr:colOff>869950</xdr:colOff>
                    <xdr:row>42</xdr:row>
                    <xdr:rowOff>31750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2</xdr:col>
                    <xdr:colOff>298450</xdr:colOff>
                    <xdr:row>42</xdr:row>
                    <xdr:rowOff>31750</xdr:rowOff>
                  </from>
                  <to>
                    <xdr:col>4</xdr:col>
                    <xdr:colOff>723900</xdr:colOff>
                    <xdr:row>44</xdr:row>
                    <xdr:rowOff>50800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5</xdr:col>
                    <xdr:colOff>298450</xdr:colOff>
                    <xdr:row>42</xdr:row>
                    <xdr:rowOff>31750</xdr:rowOff>
                  </from>
                  <to>
                    <xdr:col>6</xdr:col>
                    <xdr:colOff>641350</xdr:colOff>
                    <xdr:row>43</xdr:row>
                    <xdr:rowOff>146050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5</xdr:col>
                    <xdr:colOff>298450</xdr:colOff>
                    <xdr:row>40</xdr:row>
                    <xdr:rowOff>50800</xdr:rowOff>
                  </from>
                  <to>
                    <xdr:col>5</xdr:col>
                    <xdr:colOff>2508250</xdr:colOff>
                    <xdr:row>41</xdr:row>
                    <xdr:rowOff>127000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2</xdr:col>
                    <xdr:colOff>304800</xdr:colOff>
                    <xdr:row>46</xdr:row>
                    <xdr:rowOff>69850</xdr:rowOff>
                  </from>
                  <to>
                    <xdr:col>4</xdr:col>
                    <xdr:colOff>717550</xdr:colOff>
                    <xdr:row>48</xdr:row>
                    <xdr:rowOff>69850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2</xdr:col>
                    <xdr:colOff>304800</xdr:colOff>
                    <xdr:row>48</xdr:row>
                    <xdr:rowOff>31750</xdr:rowOff>
                  </from>
                  <to>
                    <xdr:col>4</xdr:col>
                    <xdr:colOff>1098550</xdr:colOff>
                    <xdr:row>51</xdr:row>
                    <xdr:rowOff>69850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5</xdr:col>
                    <xdr:colOff>298450</xdr:colOff>
                    <xdr:row>46</xdr:row>
                    <xdr:rowOff>38100</xdr:rowOff>
                  </from>
                  <to>
                    <xdr:col>5</xdr:col>
                    <xdr:colOff>2794000</xdr:colOff>
                    <xdr:row>48</xdr:row>
                    <xdr:rowOff>76200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5</xdr:col>
                    <xdr:colOff>298450</xdr:colOff>
                    <xdr:row>48</xdr:row>
                    <xdr:rowOff>31750</xdr:rowOff>
                  </from>
                  <to>
                    <xdr:col>6</xdr:col>
                    <xdr:colOff>831850</xdr:colOff>
                    <xdr:row>50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4CB6571C-4675-49E1-A726-6DD817A4344F}">
          <x14:formula1>
            <xm:f>'Building block QA scope'!$J$68:$J$70</xm:f>
          </x14:formula1>
          <xm:sqref>E11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9644F-03C2-4A26-884D-AEAF3154D647}">
  <sheetPr>
    <pageSetUpPr fitToPage="1"/>
  </sheetPr>
  <dimension ref="A1:AB128"/>
  <sheetViews>
    <sheetView showGridLines="0" topLeftCell="E48" workbookViewId="0">
      <selection activeCell="H70" sqref="H70"/>
    </sheetView>
  </sheetViews>
  <sheetFormatPr defaultColWidth="8.8984375" defaultRowHeight="11.5" x14ac:dyDescent="0.25"/>
  <cols>
    <col min="1" max="1" width="4.69921875" customWidth="1"/>
    <col min="2" max="2" width="3.3984375" customWidth="1"/>
    <col min="3" max="3" width="6.09765625" customWidth="1"/>
    <col min="4" max="4" width="26.09765625" customWidth="1"/>
    <col min="5" max="5" width="29.59765625" customWidth="1"/>
    <col min="6" max="6" width="45.09765625" customWidth="1"/>
    <col min="7" max="7" width="24.09765625" customWidth="1"/>
    <col min="8" max="8" width="14.09765625" customWidth="1"/>
    <col min="9" max="9" width="17" customWidth="1"/>
    <col min="10" max="10" width="27" customWidth="1"/>
    <col min="13" max="13" width="17.09765625" customWidth="1"/>
    <col min="21" max="26" width="10.8984375" customWidth="1"/>
  </cols>
  <sheetData>
    <row r="1" spans="1:28" x14ac:dyDescent="0.25">
      <c r="A1" s="1"/>
      <c r="B1" s="1"/>
      <c r="C1" s="1"/>
      <c r="D1" s="1"/>
      <c r="E1" s="1"/>
      <c r="F1" s="1"/>
      <c r="G1" s="1"/>
      <c r="H1" s="1"/>
      <c r="I1" s="1"/>
      <c r="J1" s="1"/>
      <c r="K1" s="1"/>
      <c r="L1" s="1"/>
      <c r="M1" s="1"/>
      <c r="N1" s="1"/>
      <c r="O1" s="1"/>
      <c r="P1" s="1"/>
      <c r="Q1" s="1"/>
      <c r="R1" s="1"/>
      <c r="S1" s="1"/>
      <c r="T1" s="1"/>
      <c r="U1" s="1"/>
      <c r="V1" s="1"/>
      <c r="W1" s="1"/>
      <c r="X1" s="1"/>
      <c r="Y1" s="1"/>
      <c r="Z1" s="1"/>
    </row>
    <row r="2" spans="1:28" ht="15.5" x14ac:dyDescent="0.35">
      <c r="A2" s="1"/>
      <c r="B2" s="4" t="s">
        <v>60</v>
      </c>
      <c r="C2" s="1"/>
      <c r="D2" s="1"/>
      <c r="E2" s="79" t="s">
        <v>1316</v>
      </c>
      <c r="F2" s="79"/>
      <c r="G2" s="79"/>
      <c r="H2" s="1"/>
      <c r="I2" s="1"/>
      <c r="J2" s="1"/>
      <c r="K2" s="1"/>
      <c r="L2" s="1"/>
      <c r="M2" s="1"/>
      <c r="N2" s="1"/>
      <c r="O2" s="1"/>
      <c r="P2" s="1"/>
      <c r="Q2" s="1"/>
      <c r="R2" s="1"/>
      <c r="S2" s="1"/>
      <c r="T2" s="1"/>
      <c r="U2" s="1"/>
      <c r="V2" s="1"/>
      <c r="W2" s="1"/>
      <c r="X2" s="1"/>
      <c r="Y2" s="1"/>
      <c r="Z2" s="1"/>
    </row>
    <row r="3" spans="1:28" ht="20.25" customHeight="1" x14ac:dyDescent="0.35">
      <c r="A3" s="1"/>
      <c r="B3" s="4" t="s">
        <v>28</v>
      </c>
      <c r="C3" s="1"/>
      <c r="D3" s="1"/>
      <c r="E3" s="79" t="s">
        <v>1317</v>
      </c>
      <c r="F3" s="79"/>
      <c r="G3" s="80"/>
      <c r="H3" s="1"/>
      <c r="I3" s="1"/>
      <c r="J3" s="1"/>
      <c r="K3" s="1"/>
      <c r="L3" s="1"/>
      <c r="M3" s="1"/>
      <c r="N3" s="1"/>
      <c r="O3" s="1"/>
      <c r="P3" s="1"/>
      <c r="Q3" s="1"/>
      <c r="R3" s="1"/>
      <c r="S3" s="1"/>
      <c r="T3" s="1"/>
      <c r="U3" s="1"/>
      <c r="V3" s="1"/>
      <c r="W3" s="1"/>
      <c r="X3" s="1"/>
      <c r="Y3" s="1"/>
      <c r="Z3" s="1"/>
    </row>
    <row r="4" spans="1:28" ht="18.75" customHeight="1" x14ac:dyDescent="0.35">
      <c r="A4" s="1"/>
      <c r="B4" s="4" t="s">
        <v>27</v>
      </c>
      <c r="C4" s="1"/>
      <c r="D4" s="1"/>
      <c r="E4" s="79"/>
      <c r="F4" s="79"/>
      <c r="G4" s="80"/>
      <c r="H4" s="1"/>
      <c r="I4" s="1"/>
      <c r="J4" s="1"/>
      <c r="K4" s="1"/>
      <c r="L4" s="1"/>
      <c r="M4" s="1"/>
      <c r="N4" s="1"/>
      <c r="O4" s="1"/>
      <c r="P4" s="1"/>
      <c r="Q4" s="1"/>
      <c r="R4" s="1"/>
      <c r="S4" s="1"/>
      <c r="T4" s="1"/>
      <c r="U4" s="1"/>
      <c r="V4" s="1"/>
      <c r="W4" s="1"/>
      <c r="X4" s="1"/>
      <c r="Y4" s="1"/>
      <c r="Z4" s="1"/>
    </row>
    <row r="5" spans="1:28" ht="15.5" x14ac:dyDescent="0.35">
      <c r="A5" s="1"/>
      <c r="B5" s="4"/>
      <c r="C5" s="1"/>
      <c r="D5" s="1"/>
      <c r="E5" s="79"/>
      <c r="F5" s="79"/>
      <c r="G5" s="80"/>
      <c r="H5" s="3"/>
      <c r="I5" s="3"/>
      <c r="J5" s="1"/>
      <c r="K5" s="1"/>
      <c r="L5" s="1"/>
      <c r="M5" s="1"/>
      <c r="N5" s="1"/>
      <c r="O5" s="1"/>
      <c r="P5" s="1"/>
      <c r="Q5" s="1"/>
      <c r="R5" s="1"/>
      <c r="S5" s="1"/>
      <c r="T5" s="1"/>
      <c r="U5" s="1"/>
      <c r="V5" s="1"/>
      <c r="W5" s="1"/>
      <c r="X5" s="1"/>
      <c r="Y5" s="1"/>
      <c r="Z5" s="1"/>
    </row>
    <row r="6" spans="1:28" ht="18" customHeight="1" x14ac:dyDescent="0.35">
      <c r="A6" s="1"/>
      <c r="B6" s="4"/>
      <c r="C6" s="1"/>
      <c r="D6" s="1"/>
      <c r="E6" s="79"/>
      <c r="F6" s="79"/>
      <c r="G6" s="80"/>
      <c r="H6" s="3"/>
      <c r="I6" s="3"/>
      <c r="J6" s="1"/>
      <c r="K6" s="1"/>
      <c r="L6" s="1"/>
      <c r="M6" s="1"/>
      <c r="N6" s="1"/>
      <c r="O6" s="1"/>
      <c r="P6" s="1"/>
      <c r="Q6" s="1"/>
      <c r="R6" s="1"/>
      <c r="S6" s="1"/>
      <c r="T6" s="1"/>
      <c r="U6" s="1"/>
      <c r="V6" s="1"/>
      <c r="W6" s="1"/>
      <c r="X6" s="1"/>
      <c r="Y6" s="1"/>
      <c r="Z6" s="1"/>
    </row>
    <row r="7" spans="1:28" ht="15.5" x14ac:dyDescent="0.35">
      <c r="A7" s="1"/>
      <c r="B7" s="4"/>
      <c r="C7" s="1"/>
      <c r="D7" s="1"/>
      <c r="E7" s="1"/>
      <c r="F7" s="1"/>
      <c r="G7" s="1"/>
      <c r="H7" s="3"/>
      <c r="I7" s="3"/>
      <c r="J7" s="1"/>
      <c r="K7" s="1"/>
      <c r="L7" s="1"/>
      <c r="M7" s="1"/>
      <c r="N7" s="1"/>
      <c r="O7" s="1"/>
      <c r="P7" s="1"/>
      <c r="Q7" s="1"/>
      <c r="R7" s="1"/>
      <c r="S7" s="1"/>
      <c r="T7" s="1"/>
      <c r="U7" s="1"/>
      <c r="V7" s="1"/>
      <c r="W7" s="1"/>
      <c r="X7" s="1"/>
      <c r="Y7" s="1"/>
      <c r="Z7" s="1"/>
    </row>
    <row r="8" spans="1:28" ht="15.5" x14ac:dyDescent="0.35">
      <c r="A8" s="1"/>
      <c r="B8" s="4" t="s">
        <v>30</v>
      </c>
      <c r="C8" s="1"/>
      <c r="D8" s="1"/>
      <c r="E8" s="79" t="s">
        <v>1318</v>
      </c>
      <c r="F8" s="79"/>
      <c r="G8" s="79"/>
      <c r="H8" s="1"/>
      <c r="I8" s="3"/>
      <c r="J8" s="1"/>
      <c r="K8" s="1"/>
      <c r="L8" s="1"/>
      <c r="M8" s="1"/>
      <c r="N8" s="1"/>
      <c r="O8" s="1"/>
      <c r="P8" s="1"/>
      <c r="Q8" s="1"/>
      <c r="R8" s="1"/>
      <c r="S8" s="1"/>
      <c r="T8" s="1"/>
      <c r="U8" s="1"/>
      <c r="V8" s="1"/>
      <c r="W8" s="1"/>
      <c r="X8" s="1"/>
      <c r="Y8" s="1"/>
      <c r="Z8" s="1"/>
    </row>
    <row r="9" spans="1:28" ht="31.5" customHeight="1" x14ac:dyDescent="0.35">
      <c r="A9" s="1"/>
      <c r="B9" s="4" t="s">
        <v>61</v>
      </c>
      <c r="C9" s="1"/>
      <c r="D9" s="1"/>
      <c r="E9" s="81"/>
      <c r="F9" s="80"/>
      <c r="G9" s="80"/>
      <c r="H9" s="1"/>
      <c r="I9" s="1"/>
      <c r="J9" s="10"/>
      <c r="K9" s="10"/>
      <c r="L9" s="10"/>
      <c r="M9" s="10"/>
      <c r="N9" s="10"/>
      <c r="O9" s="10"/>
      <c r="P9" s="10"/>
      <c r="Q9" s="10"/>
      <c r="R9" s="10"/>
      <c r="S9" s="10"/>
      <c r="T9" s="10"/>
      <c r="U9" s="10"/>
      <c r="V9" s="10"/>
      <c r="W9" s="10"/>
      <c r="X9" s="10"/>
      <c r="Y9" s="10"/>
      <c r="Z9" s="10"/>
      <c r="AA9" s="11"/>
      <c r="AB9" s="11"/>
    </row>
    <row r="10" spans="1:28" ht="27" customHeight="1" x14ac:dyDescent="0.35">
      <c r="A10" s="1"/>
      <c r="B10" s="4" t="s">
        <v>104</v>
      </c>
      <c r="C10" s="1"/>
      <c r="D10" s="1"/>
      <c r="E10" s="81" t="s">
        <v>115</v>
      </c>
      <c r="F10" s="1"/>
      <c r="G10" s="1"/>
      <c r="H10" s="10"/>
      <c r="I10" s="10"/>
      <c r="J10" s="10"/>
      <c r="K10" s="10"/>
      <c r="L10" s="10"/>
      <c r="M10" s="10"/>
      <c r="N10" s="10"/>
      <c r="O10" s="10"/>
      <c r="P10" s="10"/>
      <c r="Q10" s="10"/>
      <c r="R10" s="10"/>
      <c r="S10" s="10"/>
      <c r="T10" s="10"/>
      <c r="U10" s="10"/>
      <c r="V10" s="10"/>
      <c r="W10" s="10"/>
      <c r="X10" s="10"/>
      <c r="Y10" s="10"/>
      <c r="Z10" s="10"/>
      <c r="AA10" s="11"/>
      <c r="AB10" s="11"/>
    </row>
    <row r="11" spans="1:28" ht="27" customHeight="1" x14ac:dyDescent="0.25">
      <c r="A11" s="1"/>
      <c r="B11" s="82" t="s">
        <v>106</v>
      </c>
      <c r="C11" s="1"/>
      <c r="D11" s="1"/>
      <c r="E11" s="83"/>
      <c r="F11" s="1"/>
      <c r="G11" s="1"/>
      <c r="H11" s="10"/>
      <c r="I11" s="10"/>
      <c r="J11" s="10"/>
      <c r="K11" s="10"/>
      <c r="L11" s="10"/>
      <c r="M11" s="10"/>
      <c r="N11" s="10"/>
      <c r="O11" s="10"/>
      <c r="P11" s="10"/>
      <c r="Q11" s="10"/>
      <c r="R11" s="10"/>
      <c r="S11" s="10"/>
      <c r="T11" s="10"/>
      <c r="U11" s="10"/>
      <c r="V11" s="10"/>
      <c r="W11" s="10"/>
      <c r="X11" s="10"/>
      <c r="Y11" s="10"/>
      <c r="Z11" s="10"/>
      <c r="AA11" s="11"/>
      <c r="AB11" s="11"/>
    </row>
    <row r="12" spans="1:28" ht="18" customHeight="1" x14ac:dyDescent="0.25">
      <c r="A12" s="1"/>
      <c r="B12" s="13"/>
      <c r="C12" s="1"/>
      <c r="D12" s="1"/>
      <c r="E12" s="1"/>
      <c r="F12" s="1"/>
      <c r="G12" s="1"/>
      <c r="H12" s="10"/>
      <c r="I12" s="10"/>
      <c r="J12" s="10"/>
      <c r="K12" s="10"/>
      <c r="L12" s="10"/>
      <c r="M12" s="10"/>
      <c r="N12" s="10"/>
      <c r="O12" s="10"/>
      <c r="P12" s="10"/>
      <c r="Q12" s="10"/>
      <c r="R12" s="10"/>
      <c r="S12" s="10"/>
      <c r="T12" s="10"/>
      <c r="U12" s="10"/>
      <c r="V12" s="10"/>
      <c r="W12" s="10"/>
      <c r="X12" s="10"/>
      <c r="Y12" s="10"/>
      <c r="Z12" s="10"/>
      <c r="AA12" s="11"/>
      <c r="AB12" s="11"/>
    </row>
    <row r="13" spans="1:28" ht="15.5" x14ac:dyDescent="0.35">
      <c r="A13" s="1"/>
      <c r="B13" s="84" t="s">
        <v>73</v>
      </c>
      <c r="C13" s="49"/>
      <c r="D13" s="49"/>
      <c r="E13" s="49"/>
      <c r="F13" s="49"/>
      <c r="G13" s="49"/>
      <c r="H13" s="10"/>
      <c r="I13" s="10"/>
      <c r="J13" s="10"/>
      <c r="K13" s="10"/>
      <c r="L13" s="10"/>
      <c r="M13" s="10"/>
      <c r="N13" s="10"/>
      <c r="O13" s="10"/>
      <c r="P13" s="10"/>
      <c r="Q13" s="10"/>
      <c r="R13" s="10"/>
      <c r="S13" s="10"/>
      <c r="T13" s="10"/>
      <c r="U13" s="10"/>
      <c r="V13" s="10"/>
      <c r="W13" s="10"/>
      <c r="X13" s="10"/>
      <c r="Y13" s="10"/>
      <c r="Z13" s="10"/>
      <c r="AA13" s="11"/>
      <c r="AB13" s="11"/>
    </row>
    <row r="14" spans="1:28" s="86" customFormat="1" ht="12" thickBot="1" x14ac:dyDescent="0.3">
      <c r="A14" s="12"/>
      <c r="B14" s="85"/>
      <c r="C14" s="1"/>
      <c r="D14" s="1"/>
      <c r="E14" s="1"/>
      <c r="F14" s="1"/>
      <c r="G14" s="1"/>
      <c r="H14" s="10"/>
      <c r="I14" s="10"/>
      <c r="J14" s="10"/>
      <c r="K14" s="10"/>
      <c r="L14" s="12"/>
      <c r="M14" s="10"/>
      <c r="N14" s="10"/>
      <c r="O14" s="10"/>
      <c r="P14" s="10"/>
      <c r="Q14" s="10"/>
      <c r="R14" s="12"/>
      <c r="S14" s="12"/>
      <c r="T14" s="12"/>
      <c r="U14" s="12"/>
      <c r="V14" s="12"/>
      <c r="W14" s="12"/>
      <c r="X14" s="12"/>
      <c r="Y14" s="12"/>
      <c r="Z14" s="12"/>
    </row>
    <row r="15" spans="1:28" x14ac:dyDescent="0.25">
      <c r="A15" s="1"/>
      <c r="B15" s="87"/>
      <c r="C15" s="88"/>
      <c r="D15" s="88"/>
      <c r="E15" s="88"/>
      <c r="F15" s="88"/>
      <c r="G15" s="88"/>
      <c r="H15" s="10"/>
      <c r="I15" s="10"/>
      <c r="J15" s="10"/>
      <c r="K15" s="10"/>
      <c r="L15" s="10"/>
      <c r="M15" s="10"/>
      <c r="N15" s="10"/>
      <c r="O15" s="10"/>
      <c r="P15" s="10"/>
      <c r="Q15" s="10"/>
      <c r="R15" s="10"/>
      <c r="S15" s="10"/>
      <c r="T15" s="10"/>
      <c r="U15" s="10"/>
      <c r="V15" s="10"/>
      <c r="W15" s="10"/>
      <c r="X15" s="10"/>
      <c r="Y15" s="10"/>
      <c r="Z15" s="10"/>
      <c r="AA15" s="11"/>
      <c r="AB15" s="11"/>
    </row>
    <row r="16" spans="1:28" x14ac:dyDescent="0.25">
      <c r="A16" s="1"/>
      <c r="B16" s="89" t="s">
        <v>1340</v>
      </c>
      <c r="C16" s="90"/>
      <c r="D16" s="90"/>
      <c r="E16" s="90"/>
      <c r="F16" s="90"/>
      <c r="G16" s="90"/>
      <c r="H16" s="10"/>
      <c r="I16" s="10"/>
      <c r="J16" s="10"/>
      <c r="K16" s="10"/>
      <c r="L16" s="10"/>
      <c r="M16" s="10"/>
      <c r="N16" s="10"/>
      <c r="O16" s="10"/>
      <c r="P16" s="10"/>
      <c r="Q16" s="10"/>
      <c r="R16" s="10"/>
      <c r="S16" s="10"/>
      <c r="T16" s="10"/>
      <c r="U16" s="10"/>
      <c r="V16" s="10"/>
      <c r="W16" s="10"/>
      <c r="X16" s="10"/>
      <c r="Y16" s="10"/>
      <c r="Z16" s="10"/>
      <c r="AA16" s="11"/>
      <c r="AB16" s="11"/>
    </row>
    <row r="17" spans="1:28" x14ac:dyDescent="0.25">
      <c r="A17" s="1"/>
      <c r="B17" s="89"/>
      <c r="C17" s="90"/>
      <c r="D17" s="90"/>
      <c r="E17" s="90"/>
      <c r="F17" s="90"/>
      <c r="G17" s="90"/>
      <c r="H17" s="10"/>
      <c r="I17" s="10"/>
      <c r="J17" s="10"/>
      <c r="K17" s="10"/>
      <c r="L17" s="10"/>
      <c r="M17" s="10"/>
      <c r="N17" s="10"/>
      <c r="O17" s="10"/>
      <c r="P17" s="10"/>
      <c r="Q17" s="10"/>
      <c r="R17" s="10"/>
      <c r="S17" s="10"/>
      <c r="T17" s="10"/>
      <c r="U17" s="10"/>
      <c r="V17" s="10"/>
      <c r="W17" s="10"/>
      <c r="X17" s="10"/>
      <c r="Y17" s="10"/>
      <c r="Z17" s="10"/>
      <c r="AA17" s="11"/>
      <c r="AB17" s="11"/>
    </row>
    <row r="18" spans="1:28" ht="12" thickBot="1" x14ac:dyDescent="0.3">
      <c r="A18" s="1"/>
      <c r="B18" s="91"/>
      <c r="C18" s="91"/>
      <c r="D18" s="91"/>
      <c r="E18" s="91"/>
      <c r="F18" s="91"/>
      <c r="G18" s="91"/>
      <c r="H18" s="10"/>
      <c r="I18" s="10"/>
      <c r="J18" s="10"/>
      <c r="K18" s="10"/>
      <c r="L18" s="10"/>
      <c r="M18" s="10"/>
      <c r="N18" s="10"/>
      <c r="O18" s="10"/>
      <c r="P18" s="10"/>
      <c r="Q18" s="10"/>
      <c r="R18" s="10"/>
      <c r="S18" s="10"/>
      <c r="T18" s="10"/>
      <c r="U18" s="10"/>
      <c r="V18" s="10"/>
      <c r="W18" s="10"/>
      <c r="X18" s="10"/>
      <c r="Y18" s="10"/>
      <c r="Z18" s="10"/>
      <c r="AA18" s="11"/>
      <c r="AB18" s="11"/>
    </row>
    <row r="19" spans="1:28" x14ac:dyDescent="0.25">
      <c r="A19" s="1"/>
      <c r="B19" s="1"/>
      <c r="C19" s="1"/>
      <c r="D19" s="1"/>
      <c r="E19" s="1"/>
      <c r="F19" s="1"/>
      <c r="G19" s="1"/>
      <c r="H19" s="10"/>
      <c r="I19" s="10"/>
      <c r="J19" s="10"/>
      <c r="K19" s="10"/>
      <c r="L19" s="10"/>
      <c r="M19" s="10"/>
      <c r="N19" s="10"/>
      <c r="O19" s="10"/>
      <c r="P19" s="10"/>
      <c r="Q19" s="10"/>
      <c r="R19" s="10"/>
      <c r="S19" s="10"/>
      <c r="T19" s="10"/>
      <c r="U19" s="10"/>
      <c r="V19" s="10"/>
      <c r="W19" s="10"/>
      <c r="X19" s="10"/>
      <c r="Y19" s="10"/>
      <c r="Z19" s="10"/>
      <c r="AA19" s="11"/>
      <c r="AB19" s="11"/>
    </row>
    <row r="20" spans="1:28" x14ac:dyDescent="0.25">
      <c r="A20" s="1"/>
      <c r="B20" s="1"/>
      <c r="C20" s="1"/>
      <c r="D20" s="1"/>
      <c r="E20" s="1"/>
      <c r="F20" s="1"/>
      <c r="G20" s="1"/>
      <c r="H20" s="10"/>
      <c r="I20" s="10"/>
      <c r="J20" s="10"/>
      <c r="K20" s="10"/>
      <c r="L20" s="10"/>
      <c r="M20" s="10"/>
      <c r="N20" s="10"/>
      <c r="O20" s="10"/>
      <c r="P20" s="10"/>
      <c r="Q20" s="10"/>
      <c r="R20" s="10"/>
      <c r="S20" s="10"/>
      <c r="T20" s="10"/>
      <c r="U20" s="10"/>
      <c r="V20" s="10"/>
      <c r="W20" s="10"/>
      <c r="X20" s="10"/>
      <c r="Y20" s="10"/>
      <c r="Z20" s="10"/>
      <c r="AA20" s="11"/>
      <c r="AB20" s="11"/>
    </row>
    <row r="21" spans="1:28" ht="15.5" x14ac:dyDescent="0.35">
      <c r="A21" s="1"/>
      <c r="B21" s="84" t="s">
        <v>83</v>
      </c>
      <c r="C21" s="49"/>
      <c r="D21" s="49"/>
      <c r="E21" s="49"/>
      <c r="F21" s="49"/>
      <c r="G21" s="49"/>
      <c r="H21" s="10"/>
      <c r="I21" s="10"/>
      <c r="J21" s="10"/>
      <c r="K21" s="10"/>
      <c r="L21" s="10"/>
      <c r="M21" s="10"/>
      <c r="N21" s="10"/>
      <c r="O21" s="10"/>
      <c r="P21" s="10"/>
      <c r="Q21" s="10"/>
      <c r="R21" s="10"/>
      <c r="S21" s="10"/>
      <c r="T21" s="10"/>
      <c r="U21" s="10"/>
      <c r="V21" s="10"/>
      <c r="W21" s="10"/>
      <c r="X21" s="10"/>
      <c r="Y21" s="10"/>
      <c r="Z21" s="10"/>
      <c r="AA21" s="11"/>
      <c r="AB21" s="11"/>
    </row>
    <row r="22" spans="1:28" x14ac:dyDescent="0.25">
      <c r="A22" s="1"/>
      <c r="B22" s="85" t="s">
        <v>81</v>
      </c>
      <c r="C22" s="1"/>
      <c r="D22" s="1"/>
      <c r="E22" s="1"/>
      <c r="F22" s="1"/>
      <c r="G22" s="1"/>
      <c r="H22" s="10"/>
      <c r="I22" s="10"/>
      <c r="J22" s="10"/>
      <c r="K22" s="10"/>
      <c r="L22" s="10"/>
      <c r="M22" s="10"/>
      <c r="N22" s="10"/>
      <c r="O22" s="10"/>
      <c r="P22" s="10"/>
      <c r="Q22" s="10"/>
      <c r="R22" s="10"/>
      <c r="S22" s="10"/>
      <c r="T22" s="10"/>
      <c r="U22" s="10"/>
      <c r="V22" s="10"/>
      <c r="W22" s="10"/>
      <c r="X22" s="10"/>
      <c r="Y22" s="10"/>
      <c r="Z22" s="10"/>
      <c r="AA22" s="11"/>
      <c r="AB22" s="11"/>
    </row>
    <row r="23" spans="1:28" x14ac:dyDescent="0.25">
      <c r="A23" s="1"/>
      <c r="B23" s="1"/>
      <c r="C23" s="1"/>
      <c r="D23" s="1"/>
      <c r="E23" s="1"/>
      <c r="F23" s="1"/>
      <c r="G23" s="1"/>
      <c r="H23" s="10"/>
      <c r="I23" s="10"/>
      <c r="J23" s="10"/>
      <c r="K23" s="10"/>
      <c r="L23" s="10"/>
      <c r="M23" s="10"/>
      <c r="N23" s="10"/>
      <c r="O23" s="10"/>
      <c r="P23" s="10"/>
      <c r="Q23" s="10"/>
      <c r="R23" s="10"/>
      <c r="S23" s="10"/>
      <c r="T23" s="10"/>
      <c r="U23" s="10"/>
      <c r="V23" s="10"/>
      <c r="W23" s="10"/>
      <c r="X23" s="10"/>
      <c r="Y23" s="10"/>
      <c r="Z23" s="10"/>
      <c r="AA23" s="11"/>
      <c r="AB23" s="11"/>
    </row>
    <row r="24" spans="1:28" x14ac:dyDescent="0.25">
      <c r="A24" s="1"/>
      <c r="B24" s="13" t="s">
        <v>89</v>
      </c>
      <c r="C24" s="1"/>
      <c r="D24" s="1"/>
      <c r="F24" s="92"/>
      <c r="G24" s="1"/>
      <c r="H24" s="10"/>
      <c r="I24" s="10"/>
      <c r="J24" s="10"/>
      <c r="K24" s="10"/>
      <c r="L24" s="10"/>
      <c r="M24" s="10"/>
      <c r="N24" s="10"/>
      <c r="O24" s="10"/>
      <c r="P24" s="10"/>
      <c r="Q24" s="10"/>
      <c r="R24" s="10"/>
      <c r="S24" s="10"/>
      <c r="T24" s="10"/>
      <c r="U24" s="10"/>
      <c r="V24" s="10"/>
      <c r="W24" s="10"/>
      <c r="X24" s="10"/>
      <c r="Y24" s="10"/>
      <c r="Z24" s="10"/>
      <c r="AA24" s="11"/>
      <c r="AB24" s="11"/>
    </row>
    <row r="25" spans="1:28" x14ac:dyDescent="0.25">
      <c r="A25" s="1"/>
      <c r="B25" s="1"/>
      <c r="C25" s="1"/>
      <c r="D25" s="1"/>
      <c r="E25" s="1"/>
      <c r="F25" s="1"/>
      <c r="G25" s="1"/>
      <c r="H25" s="10"/>
      <c r="I25" s="10"/>
      <c r="J25" s="10"/>
      <c r="K25" s="10"/>
      <c r="L25" s="10"/>
      <c r="M25" s="10"/>
      <c r="N25" s="10"/>
      <c r="O25" s="10"/>
      <c r="P25" s="10"/>
      <c r="Q25" s="10"/>
      <c r="R25" s="10"/>
      <c r="S25" s="10"/>
      <c r="T25" s="10"/>
      <c r="U25" s="10"/>
      <c r="V25" s="10"/>
      <c r="W25" s="10"/>
      <c r="X25" s="10"/>
      <c r="Y25" s="10"/>
      <c r="Z25" s="10"/>
      <c r="AA25" s="11"/>
      <c r="AB25" s="11"/>
    </row>
    <row r="26" spans="1:28" ht="10.5" customHeight="1" x14ac:dyDescent="0.25">
      <c r="A26" s="1"/>
      <c r="B26" s="1"/>
      <c r="C26" s="1"/>
      <c r="D26" s="1"/>
      <c r="E26" s="1"/>
      <c r="F26" s="1"/>
      <c r="G26" s="1"/>
      <c r="H26" s="10"/>
      <c r="I26" s="10"/>
      <c r="J26" s="10"/>
      <c r="K26" s="10"/>
      <c r="L26" s="10"/>
      <c r="M26" s="10"/>
      <c r="N26" s="10"/>
      <c r="O26" s="10"/>
      <c r="P26" s="10"/>
      <c r="Q26" s="10"/>
      <c r="R26" s="10"/>
      <c r="S26" s="10"/>
      <c r="T26" s="10"/>
      <c r="U26" s="10"/>
      <c r="V26" s="10"/>
      <c r="W26" s="10"/>
      <c r="X26" s="10"/>
      <c r="Y26" s="10"/>
      <c r="Z26" s="10"/>
      <c r="AA26" s="11"/>
      <c r="AB26" s="11"/>
    </row>
    <row r="27" spans="1:28" x14ac:dyDescent="0.25">
      <c r="A27" s="1"/>
      <c r="B27" s="1"/>
      <c r="C27" s="1"/>
      <c r="D27" s="1"/>
      <c r="E27" s="1"/>
      <c r="F27" s="1"/>
      <c r="G27" s="1"/>
      <c r="H27" s="10"/>
      <c r="I27" s="10"/>
      <c r="J27" s="10"/>
      <c r="K27" s="10"/>
      <c r="L27" s="10"/>
      <c r="M27" s="10"/>
      <c r="N27" s="10"/>
      <c r="O27" s="10"/>
      <c r="P27" s="10"/>
      <c r="Q27" s="10"/>
      <c r="R27" s="10"/>
      <c r="S27" s="10"/>
      <c r="T27" s="10"/>
      <c r="U27" s="10"/>
      <c r="V27" s="10"/>
      <c r="W27" s="10"/>
      <c r="X27" s="10"/>
      <c r="Y27" s="10"/>
      <c r="Z27" s="10"/>
      <c r="AA27" s="11"/>
      <c r="AB27" s="11"/>
    </row>
    <row r="28" spans="1:28" x14ac:dyDescent="0.25">
      <c r="A28" s="1"/>
      <c r="B28" s="1"/>
      <c r="C28" s="1"/>
      <c r="D28" s="1"/>
      <c r="E28" s="1"/>
      <c r="F28" s="1"/>
      <c r="G28" s="1"/>
      <c r="H28" s="10"/>
      <c r="I28" s="10"/>
      <c r="J28" s="10"/>
      <c r="K28" s="10"/>
      <c r="L28" s="10"/>
      <c r="M28" s="10"/>
      <c r="N28" s="10"/>
      <c r="O28" s="10"/>
      <c r="P28" s="10"/>
      <c r="Q28" s="10"/>
      <c r="R28" s="10"/>
      <c r="S28" s="10"/>
      <c r="T28" s="10"/>
      <c r="U28" s="10"/>
      <c r="V28" s="10"/>
      <c r="W28" s="10"/>
      <c r="X28" s="10"/>
      <c r="Y28" s="10"/>
      <c r="Z28" s="10"/>
      <c r="AA28" s="11"/>
      <c r="AB28" s="11"/>
    </row>
    <row r="29" spans="1:28" x14ac:dyDescent="0.25">
      <c r="A29" s="1"/>
      <c r="B29" s="1"/>
      <c r="C29" s="1"/>
      <c r="D29" s="1"/>
      <c r="E29" s="1"/>
      <c r="F29" s="1"/>
      <c r="G29" s="1"/>
      <c r="H29" s="10"/>
      <c r="I29" s="10"/>
      <c r="J29" s="10"/>
      <c r="K29" s="10"/>
      <c r="L29" s="10"/>
      <c r="M29" s="10"/>
      <c r="N29" s="10"/>
      <c r="O29" s="10"/>
      <c r="P29" s="10"/>
      <c r="Q29" s="10"/>
      <c r="R29" s="10"/>
      <c r="S29" s="10"/>
      <c r="T29" s="10"/>
      <c r="U29" s="10"/>
      <c r="V29" s="10"/>
      <c r="W29" s="10"/>
      <c r="X29" s="10"/>
      <c r="Y29" s="10"/>
      <c r="Z29" s="10"/>
      <c r="AA29" s="11"/>
      <c r="AB29" s="11"/>
    </row>
    <row r="30" spans="1:28" x14ac:dyDescent="0.25">
      <c r="A30" s="1"/>
      <c r="B30" s="1"/>
      <c r="C30" s="1"/>
      <c r="D30" s="1"/>
      <c r="E30" s="1"/>
      <c r="F30" s="1"/>
      <c r="G30" s="1"/>
      <c r="H30" s="10"/>
      <c r="I30" s="10"/>
      <c r="J30" s="10"/>
      <c r="K30" s="10"/>
      <c r="L30" s="10"/>
      <c r="M30" s="10"/>
      <c r="N30" s="10"/>
      <c r="O30" s="10"/>
      <c r="P30" s="10"/>
      <c r="Q30" s="10"/>
      <c r="R30" s="10"/>
      <c r="S30" s="10"/>
      <c r="T30" s="10"/>
      <c r="U30" s="10"/>
      <c r="V30" s="10"/>
      <c r="W30" s="10"/>
      <c r="X30" s="10"/>
      <c r="Y30" s="10"/>
      <c r="Z30" s="10"/>
      <c r="AA30" s="11"/>
      <c r="AB30" s="11"/>
    </row>
    <row r="31" spans="1:28" x14ac:dyDescent="0.25">
      <c r="A31" s="1"/>
      <c r="B31" s="1"/>
      <c r="C31" s="1"/>
      <c r="D31" s="1"/>
      <c r="E31" s="1"/>
      <c r="F31" s="1"/>
      <c r="G31" s="1"/>
      <c r="H31" s="10"/>
      <c r="I31" s="10"/>
      <c r="J31" s="10"/>
      <c r="K31" s="10"/>
      <c r="L31" s="10"/>
      <c r="M31" s="10"/>
      <c r="N31" s="10"/>
      <c r="O31" s="10"/>
      <c r="P31" s="10"/>
      <c r="Q31" s="10"/>
      <c r="R31" s="10"/>
      <c r="S31" s="10"/>
      <c r="T31" s="10"/>
      <c r="U31" s="10"/>
      <c r="V31" s="10"/>
      <c r="W31" s="10"/>
      <c r="X31" s="10"/>
      <c r="Y31" s="10"/>
      <c r="Z31" s="10"/>
      <c r="AA31" s="11"/>
      <c r="AB31" s="11"/>
    </row>
    <row r="32" spans="1:28" x14ac:dyDescent="0.25">
      <c r="A32" s="1"/>
      <c r="B32" s="1"/>
      <c r="C32" s="1"/>
      <c r="D32" s="1"/>
      <c r="E32" s="1"/>
      <c r="F32" s="1"/>
      <c r="G32" s="1"/>
      <c r="H32" s="10"/>
      <c r="I32" s="10"/>
      <c r="J32" s="10"/>
      <c r="K32" s="10"/>
      <c r="L32" s="10"/>
      <c r="M32" s="10"/>
      <c r="N32" s="10"/>
      <c r="O32" s="10"/>
      <c r="P32" s="10"/>
      <c r="Q32" s="10"/>
      <c r="R32" s="10"/>
      <c r="S32" s="10"/>
      <c r="T32" s="10"/>
      <c r="U32" s="10"/>
      <c r="V32" s="10"/>
      <c r="W32" s="10"/>
      <c r="X32" s="10"/>
      <c r="Y32" s="10"/>
      <c r="Z32" s="10"/>
      <c r="AA32" s="11"/>
      <c r="AB32" s="11"/>
    </row>
    <row r="33" spans="1:28" x14ac:dyDescent="0.25">
      <c r="A33" s="1"/>
      <c r="B33" s="1"/>
      <c r="C33" s="1"/>
      <c r="D33" s="1"/>
      <c r="E33" s="79"/>
      <c r="F33" s="79"/>
      <c r="G33" s="79"/>
      <c r="H33" s="10"/>
      <c r="I33" s="10"/>
      <c r="J33" s="10"/>
      <c r="K33" s="10"/>
      <c r="L33" s="10"/>
      <c r="M33" s="10"/>
      <c r="N33" s="10"/>
      <c r="O33" s="10"/>
      <c r="P33" s="10"/>
      <c r="Q33" s="10"/>
      <c r="R33" s="10"/>
      <c r="S33" s="10"/>
      <c r="T33" s="10"/>
      <c r="U33" s="10"/>
      <c r="V33" s="10"/>
      <c r="W33" s="10"/>
      <c r="X33" s="10"/>
      <c r="Y33" s="10"/>
      <c r="Z33" s="10"/>
      <c r="AA33" s="11"/>
      <c r="AB33" s="11"/>
    </row>
    <row r="34" spans="1:28" x14ac:dyDescent="0.25">
      <c r="A34" s="1"/>
      <c r="B34" s="1"/>
      <c r="C34" s="1"/>
      <c r="D34" s="1"/>
      <c r="E34" s="1"/>
      <c r="F34" s="1"/>
      <c r="G34" s="1"/>
      <c r="H34" s="10"/>
      <c r="I34" s="10"/>
      <c r="J34" s="10"/>
      <c r="K34" s="10"/>
      <c r="L34" s="10"/>
      <c r="M34" s="10"/>
      <c r="N34" s="10"/>
      <c r="O34" s="10"/>
      <c r="P34" s="10"/>
      <c r="Q34" s="10"/>
      <c r="R34" s="10"/>
      <c r="S34" s="10"/>
      <c r="T34" s="10"/>
      <c r="U34" s="10"/>
      <c r="V34" s="10"/>
      <c r="W34" s="10"/>
      <c r="X34" s="10"/>
      <c r="Y34" s="10"/>
      <c r="Z34" s="10"/>
      <c r="AA34" s="11"/>
      <c r="AB34" s="11"/>
    </row>
    <row r="35" spans="1:28" x14ac:dyDescent="0.25">
      <c r="A35" s="1"/>
      <c r="B35" s="1"/>
      <c r="C35" s="1"/>
      <c r="D35" s="1"/>
      <c r="E35" s="1"/>
      <c r="F35" s="1"/>
      <c r="G35" s="1"/>
      <c r="H35" s="10"/>
      <c r="I35" s="10"/>
      <c r="J35" s="10"/>
      <c r="K35" s="10"/>
      <c r="L35" s="10"/>
      <c r="M35" s="10"/>
      <c r="N35" s="10"/>
      <c r="O35" s="10"/>
      <c r="P35" s="10"/>
      <c r="Q35" s="10"/>
      <c r="R35" s="10"/>
      <c r="S35" s="10"/>
      <c r="T35" s="10"/>
      <c r="U35" s="10"/>
      <c r="V35" s="10"/>
      <c r="W35" s="10"/>
      <c r="X35" s="10"/>
      <c r="Y35" s="10"/>
      <c r="Z35" s="10"/>
      <c r="AA35" s="11"/>
      <c r="AB35" s="11"/>
    </row>
    <row r="36" spans="1:28" x14ac:dyDescent="0.25">
      <c r="A36" s="1"/>
      <c r="B36" s="13" t="s">
        <v>82</v>
      </c>
      <c r="C36" s="1"/>
      <c r="D36" s="1"/>
      <c r="E36" s="1"/>
      <c r="F36" s="1"/>
      <c r="G36" s="1"/>
      <c r="H36" s="10"/>
      <c r="I36" s="10"/>
      <c r="J36" s="10"/>
      <c r="K36" s="10"/>
      <c r="L36" s="10"/>
      <c r="M36" s="10"/>
      <c r="N36" s="10"/>
      <c r="O36" s="10"/>
      <c r="P36" s="10"/>
      <c r="Q36" s="10"/>
      <c r="R36" s="10"/>
      <c r="S36" s="10"/>
      <c r="T36" s="10"/>
      <c r="U36" s="10"/>
      <c r="V36" s="10"/>
      <c r="W36" s="10"/>
      <c r="X36" s="10"/>
      <c r="Y36" s="10"/>
      <c r="Z36" s="10"/>
      <c r="AA36" s="11"/>
      <c r="AB36" s="11"/>
    </row>
    <row r="37" spans="1:28" ht="5.25" customHeight="1" x14ac:dyDescent="0.25">
      <c r="A37" s="1"/>
      <c r="B37" s="13"/>
      <c r="C37" s="1"/>
      <c r="D37" s="1"/>
      <c r="E37" s="1"/>
      <c r="F37" s="1"/>
      <c r="G37" s="1"/>
      <c r="H37" s="10"/>
      <c r="I37" s="10"/>
      <c r="J37" s="10"/>
      <c r="K37" s="10"/>
      <c r="L37" s="10"/>
      <c r="M37" s="10"/>
      <c r="N37" s="10"/>
      <c r="O37" s="10"/>
      <c r="P37" s="10"/>
      <c r="Q37" s="10"/>
      <c r="R37" s="10"/>
      <c r="S37" s="10"/>
      <c r="T37" s="10"/>
      <c r="U37" s="10"/>
      <c r="V37" s="10"/>
      <c r="W37" s="10"/>
      <c r="X37" s="10"/>
      <c r="Y37" s="10"/>
      <c r="Z37" s="10"/>
      <c r="AA37" s="11"/>
      <c r="AB37" s="11"/>
    </row>
    <row r="38" spans="1:28" x14ac:dyDescent="0.25">
      <c r="A38" s="1"/>
      <c r="B38" s="13"/>
      <c r="C38" s="13" t="s">
        <v>62</v>
      </c>
      <c r="D38" s="13"/>
      <c r="F38" s="102" t="s">
        <v>63</v>
      </c>
      <c r="G38" s="1"/>
      <c r="H38" s="10"/>
      <c r="I38" s="10"/>
      <c r="J38" s="10"/>
      <c r="K38" s="10"/>
      <c r="L38" s="10"/>
      <c r="M38" s="10"/>
      <c r="N38" s="10"/>
      <c r="O38" s="10"/>
      <c r="P38" s="10"/>
      <c r="Q38" s="10"/>
      <c r="R38" s="10"/>
      <c r="S38" s="10"/>
      <c r="T38" s="10"/>
      <c r="U38" s="10"/>
      <c r="V38" s="10"/>
      <c r="W38" s="10"/>
      <c r="X38" s="10"/>
      <c r="Y38" s="10"/>
      <c r="Z38" s="10"/>
      <c r="AA38" s="11"/>
      <c r="AB38" s="11"/>
    </row>
    <row r="39" spans="1:28" x14ac:dyDescent="0.25">
      <c r="A39" s="1"/>
      <c r="B39" s="1"/>
      <c r="C39" s="1"/>
      <c r="D39" s="1"/>
      <c r="E39" s="1"/>
      <c r="F39" s="1"/>
      <c r="G39" s="1"/>
      <c r="H39" s="10"/>
      <c r="I39" s="10"/>
      <c r="J39" s="10"/>
      <c r="K39" s="10"/>
      <c r="L39" s="10"/>
      <c r="M39" s="10"/>
      <c r="N39" s="10"/>
      <c r="O39" s="10"/>
      <c r="P39" s="10"/>
      <c r="Q39" s="10"/>
      <c r="R39" s="10"/>
      <c r="S39" s="10"/>
      <c r="T39" s="10"/>
      <c r="U39" s="10"/>
      <c r="V39" s="10"/>
      <c r="W39" s="10"/>
      <c r="X39" s="10"/>
      <c r="Y39" s="10"/>
      <c r="Z39" s="10"/>
      <c r="AA39" s="11"/>
      <c r="AB39" s="11"/>
    </row>
    <row r="40" spans="1:28" x14ac:dyDescent="0.25">
      <c r="A40" s="1"/>
      <c r="B40" s="1"/>
      <c r="C40" s="1"/>
      <c r="D40" s="1"/>
      <c r="F40" s="1"/>
      <c r="G40" s="1"/>
      <c r="H40" s="10"/>
      <c r="I40" s="10"/>
      <c r="J40" s="10"/>
      <c r="K40" s="10"/>
      <c r="L40" s="10"/>
      <c r="M40" s="10"/>
      <c r="N40" s="10"/>
      <c r="O40" s="10"/>
      <c r="P40" s="10"/>
      <c r="Q40" s="10"/>
      <c r="R40" s="10"/>
      <c r="S40" s="10"/>
      <c r="T40" s="10"/>
      <c r="U40" s="10"/>
      <c r="V40" s="10"/>
      <c r="W40" s="10"/>
      <c r="X40" s="10"/>
      <c r="Y40" s="10"/>
      <c r="Z40" s="10"/>
      <c r="AA40" s="11"/>
      <c r="AB40" s="11"/>
    </row>
    <row r="41" spans="1:28" x14ac:dyDescent="0.25">
      <c r="A41" s="1"/>
      <c r="B41" s="1"/>
      <c r="C41" s="1"/>
      <c r="D41" s="1"/>
      <c r="F41" s="1"/>
      <c r="G41" s="1"/>
      <c r="H41" s="10"/>
      <c r="I41" s="10"/>
      <c r="J41" s="10"/>
      <c r="K41" s="10"/>
      <c r="L41" s="10"/>
      <c r="M41" s="10"/>
      <c r="N41" s="10"/>
      <c r="O41" s="10"/>
      <c r="P41" s="10"/>
      <c r="Q41" s="10"/>
      <c r="R41" s="10"/>
      <c r="S41" s="10"/>
      <c r="T41" s="10"/>
      <c r="U41" s="10"/>
      <c r="V41" s="10"/>
      <c r="W41" s="10"/>
      <c r="X41" s="10"/>
      <c r="Y41" s="10"/>
      <c r="Z41" s="10"/>
      <c r="AA41" s="11"/>
      <c r="AB41" s="11"/>
    </row>
    <row r="42" spans="1:28" x14ac:dyDescent="0.25">
      <c r="A42" s="1"/>
      <c r="B42" s="1"/>
      <c r="C42" s="1"/>
      <c r="D42" s="1"/>
      <c r="F42" s="1"/>
      <c r="G42" s="1"/>
      <c r="H42" s="10"/>
      <c r="I42" s="10"/>
      <c r="J42" s="10"/>
      <c r="K42" s="10"/>
      <c r="L42" s="10"/>
      <c r="M42" s="10"/>
      <c r="N42" s="10"/>
      <c r="O42" s="10"/>
      <c r="P42" s="10"/>
      <c r="Q42" s="10"/>
      <c r="R42" s="10"/>
      <c r="S42" s="10"/>
      <c r="T42" s="10"/>
      <c r="U42" s="10"/>
      <c r="V42" s="10"/>
      <c r="W42" s="10"/>
      <c r="X42" s="10"/>
      <c r="Y42" s="10"/>
      <c r="Z42" s="10"/>
      <c r="AA42" s="11"/>
      <c r="AB42" s="11"/>
    </row>
    <row r="43" spans="1:28" x14ac:dyDescent="0.25">
      <c r="A43" s="1"/>
      <c r="B43" s="1"/>
      <c r="C43" s="1"/>
      <c r="D43" s="1"/>
      <c r="F43" s="1"/>
      <c r="G43" s="1"/>
      <c r="H43" s="10"/>
      <c r="I43" s="10"/>
      <c r="J43" s="10"/>
      <c r="K43" s="10"/>
      <c r="L43" s="10"/>
      <c r="M43" s="10"/>
      <c r="N43" s="10"/>
      <c r="O43" s="10"/>
      <c r="P43" s="10"/>
      <c r="Q43" s="10"/>
      <c r="R43" s="10"/>
      <c r="S43" s="10"/>
      <c r="T43" s="10"/>
      <c r="U43" s="10"/>
      <c r="V43" s="10"/>
      <c r="W43" s="10"/>
      <c r="X43" s="10"/>
      <c r="Y43" s="10"/>
      <c r="Z43" s="10"/>
      <c r="AA43" s="11"/>
      <c r="AB43" s="11"/>
    </row>
    <row r="44" spans="1:28" x14ac:dyDescent="0.25">
      <c r="A44" s="1"/>
      <c r="B44" s="1"/>
      <c r="C44" s="1"/>
      <c r="D44" s="1"/>
      <c r="F44" s="1"/>
      <c r="G44" s="1"/>
      <c r="H44" s="10"/>
      <c r="I44" s="10"/>
      <c r="J44" s="10"/>
      <c r="K44" s="10"/>
      <c r="L44" s="10"/>
      <c r="M44" s="10"/>
      <c r="N44" s="10"/>
      <c r="O44" s="10"/>
      <c r="P44" s="10"/>
      <c r="Q44" s="10"/>
      <c r="R44" s="10"/>
      <c r="S44" s="10"/>
      <c r="T44" s="10"/>
      <c r="U44" s="10"/>
      <c r="V44" s="10"/>
      <c r="W44" s="10"/>
      <c r="X44" s="10"/>
      <c r="Y44" s="10"/>
      <c r="Z44" s="10"/>
      <c r="AA44" s="11"/>
      <c r="AB44" s="11"/>
    </row>
    <row r="45" spans="1:28" x14ac:dyDescent="0.25">
      <c r="A45" s="1"/>
      <c r="B45" s="1"/>
      <c r="C45" s="1"/>
      <c r="D45" s="1"/>
      <c r="F45" s="1"/>
      <c r="G45" s="1"/>
      <c r="H45" s="10"/>
      <c r="I45" s="10"/>
      <c r="J45" s="10"/>
      <c r="K45" s="10"/>
      <c r="L45" s="10"/>
      <c r="M45" s="10"/>
      <c r="N45" s="10"/>
      <c r="O45" s="10"/>
      <c r="P45" s="10"/>
      <c r="Q45" s="10"/>
      <c r="R45" s="10"/>
      <c r="S45" s="10"/>
      <c r="T45" s="10"/>
      <c r="U45" s="10"/>
      <c r="V45" s="10"/>
      <c r="W45" s="10"/>
      <c r="X45" s="10"/>
      <c r="Y45" s="10"/>
      <c r="Z45" s="10"/>
      <c r="AA45" s="11"/>
      <c r="AB45" s="11"/>
    </row>
    <row r="46" spans="1:28" x14ac:dyDescent="0.25">
      <c r="A46" s="1"/>
      <c r="B46" s="1"/>
      <c r="C46" s="1"/>
      <c r="D46" s="1"/>
      <c r="E46" s="1"/>
      <c r="F46" s="1"/>
      <c r="G46" s="1"/>
      <c r="H46" s="10"/>
      <c r="I46" s="10"/>
      <c r="J46" s="10"/>
      <c r="K46" s="10"/>
      <c r="L46" s="10"/>
      <c r="M46" s="10"/>
      <c r="N46" s="10"/>
      <c r="O46" s="10"/>
      <c r="P46" s="10"/>
      <c r="Q46" s="10"/>
      <c r="R46" s="10"/>
      <c r="S46" s="10"/>
      <c r="T46" s="10"/>
      <c r="U46" s="10"/>
      <c r="V46" s="10"/>
      <c r="W46" s="10"/>
      <c r="X46" s="10"/>
      <c r="Y46" s="10"/>
      <c r="Z46" s="10"/>
      <c r="AA46" s="11"/>
      <c r="AB46" s="11"/>
    </row>
    <row r="47" spans="1:28" x14ac:dyDescent="0.25">
      <c r="A47" s="1"/>
      <c r="B47" s="1"/>
      <c r="C47" s="1"/>
      <c r="D47" s="1"/>
      <c r="E47" s="1"/>
      <c r="F47" s="1"/>
      <c r="G47" s="1"/>
      <c r="H47" s="10"/>
      <c r="I47" s="10"/>
      <c r="J47" s="10"/>
      <c r="K47" s="10"/>
      <c r="L47" s="10"/>
      <c r="M47" s="10"/>
      <c r="N47" s="10"/>
      <c r="O47" s="10"/>
      <c r="P47" s="10"/>
      <c r="Q47" s="10"/>
      <c r="R47" s="10"/>
      <c r="S47" s="10"/>
      <c r="T47" s="10"/>
      <c r="U47" s="10"/>
      <c r="V47" s="10"/>
      <c r="W47" s="10"/>
      <c r="X47" s="10"/>
      <c r="Y47" s="10"/>
      <c r="Z47" s="10"/>
      <c r="AA47" s="11"/>
      <c r="AB47" s="11"/>
    </row>
    <row r="48" spans="1:28" x14ac:dyDescent="0.25">
      <c r="A48" s="1"/>
      <c r="B48" s="1"/>
      <c r="C48" s="1"/>
      <c r="D48" s="1"/>
      <c r="E48" s="1"/>
      <c r="F48" s="1"/>
      <c r="G48" s="1"/>
      <c r="H48" s="10"/>
      <c r="I48" s="10"/>
      <c r="J48" s="10"/>
      <c r="K48" s="10"/>
      <c r="L48" s="10"/>
      <c r="M48" s="10"/>
      <c r="N48" s="10"/>
      <c r="O48" s="10"/>
      <c r="P48" s="10"/>
      <c r="Q48" s="10"/>
      <c r="R48" s="10"/>
      <c r="S48" s="10"/>
      <c r="T48" s="10"/>
      <c r="U48" s="10"/>
      <c r="V48" s="10"/>
      <c r="W48" s="10"/>
      <c r="X48" s="10"/>
      <c r="Y48" s="10"/>
      <c r="Z48" s="10"/>
      <c r="AA48" s="11"/>
      <c r="AB48" s="11"/>
    </row>
    <row r="49" spans="1:28" x14ac:dyDescent="0.25">
      <c r="A49" s="1"/>
      <c r="B49" s="1"/>
      <c r="C49" s="1"/>
      <c r="D49" s="1"/>
      <c r="E49" s="1"/>
      <c r="F49" s="1"/>
      <c r="G49" s="1"/>
      <c r="H49" s="10"/>
      <c r="I49" s="10"/>
      <c r="J49" s="10"/>
      <c r="K49" s="10"/>
      <c r="L49" s="10"/>
      <c r="M49" s="10"/>
      <c r="N49" s="10"/>
      <c r="O49" s="10"/>
      <c r="P49" s="10"/>
      <c r="Q49" s="10"/>
      <c r="R49" s="10"/>
      <c r="S49" s="10"/>
      <c r="T49" s="10"/>
      <c r="U49" s="10"/>
      <c r="V49" s="10"/>
      <c r="W49" s="10"/>
      <c r="X49" s="10"/>
      <c r="Y49" s="10"/>
      <c r="Z49" s="10"/>
      <c r="AA49" s="11"/>
      <c r="AB49" s="11"/>
    </row>
    <row r="50" spans="1:28" x14ac:dyDescent="0.25">
      <c r="A50" s="1"/>
      <c r="B50" s="1"/>
      <c r="C50" s="1"/>
      <c r="D50" s="1"/>
      <c r="E50" s="1"/>
      <c r="F50" s="1"/>
      <c r="G50" s="1"/>
      <c r="H50" s="10"/>
      <c r="I50" s="10"/>
      <c r="J50" s="10"/>
      <c r="K50" s="10"/>
      <c r="L50" s="10"/>
      <c r="M50" s="10"/>
      <c r="N50" s="10"/>
      <c r="O50" s="10"/>
      <c r="P50" s="10"/>
      <c r="Q50" s="10"/>
      <c r="R50" s="10"/>
      <c r="S50" s="10"/>
      <c r="T50" s="10"/>
      <c r="U50" s="10"/>
      <c r="V50" s="10"/>
      <c r="W50" s="10"/>
      <c r="X50" s="10"/>
      <c r="Y50" s="10"/>
      <c r="Z50" s="10"/>
      <c r="AA50" s="11"/>
      <c r="AB50" s="11"/>
    </row>
    <row r="51" spans="1:28" x14ac:dyDescent="0.25">
      <c r="A51" s="1"/>
      <c r="B51" s="1"/>
      <c r="C51" s="1"/>
      <c r="D51" s="1"/>
      <c r="E51" s="1"/>
      <c r="F51" s="1"/>
      <c r="G51" s="1"/>
      <c r="H51" s="10"/>
      <c r="I51" s="10"/>
      <c r="J51" s="10"/>
      <c r="K51" s="10"/>
      <c r="L51" s="10"/>
      <c r="M51" s="10"/>
      <c r="N51" s="10"/>
      <c r="O51" s="10"/>
      <c r="P51" s="10"/>
      <c r="Q51" s="10"/>
      <c r="R51" s="10"/>
      <c r="S51" s="10"/>
      <c r="T51" s="10"/>
      <c r="U51" s="10"/>
      <c r="V51" s="10"/>
      <c r="W51" s="10"/>
      <c r="X51" s="10"/>
      <c r="Y51" s="10"/>
      <c r="Z51" s="10"/>
      <c r="AA51" s="11"/>
      <c r="AB51" s="11"/>
    </row>
    <row r="52" spans="1:28" x14ac:dyDescent="0.25">
      <c r="A52" s="1"/>
      <c r="B52" s="1" t="s">
        <v>128</v>
      </c>
      <c r="C52" s="1"/>
      <c r="D52" s="1"/>
      <c r="E52" s="1"/>
      <c r="F52" s="1"/>
      <c r="G52" s="1"/>
      <c r="H52" s="10"/>
      <c r="I52" s="10"/>
      <c r="J52" s="10"/>
      <c r="K52" s="10"/>
      <c r="L52" s="10"/>
      <c r="M52" s="10"/>
      <c r="N52" s="10"/>
      <c r="O52" s="10"/>
      <c r="P52" s="10"/>
      <c r="Q52" s="10"/>
      <c r="R52" s="10"/>
      <c r="S52" s="10"/>
      <c r="T52" s="10"/>
      <c r="U52" s="10"/>
      <c r="V52" s="10"/>
      <c r="W52" s="10"/>
      <c r="X52" s="10"/>
      <c r="Y52" s="10"/>
      <c r="Z52" s="10"/>
      <c r="AA52" s="11"/>
      <c r="AB52" s="11"/>
    </row>
    <row r="53" spans="1:28" x14ac:dyDescent="0.25">
      <c r="A53" s="1"/>
      <c r="B53" s="1"/>
      <c r="C53" s="1"/>
      <c r="D53" s="1"/>
      <c r="E53" s="1"/>
      <c r="F53" s="1"/>
      <c r="G53" s="1"/>
      <c r="H53" s="10"/>
      <c r="I53" s="10"/>
      <c r="J53" s="10"/>
      <c r="K53" s="10"/>
      <c r="L53" s="10"/>
      <c r="M53" s="10"/>
      <c r="N53" s="10"/>
      <c r="O53" s="10"/>
      <c r="P53" s="10"/>
      <c r="Q53" s="10"/>
      <c r="R53" s="10"/>
      <c r="S53" s="10"/>
      <c r="T53" s="10"/>
      <c r="U53" s="10"/>
      <c r="V53" s="10"/>
      <c r="W53" s="10"/>
      <c r="X53" s="10"/>
      <c r="Y53" s="10"/>
      <c r="Z53" s="10"/>
      <c r="AA53" s="11"/>
      <c r="AB53" s="11"/>
    </row>
    <row r="54" spans="1:28" x14ac:dyDescent="0.25">
      <c r="A54" s="1"/>
      <c r="B54" s="1"/>
      <c r="C54" s="1"/>
      <c r="D54" s="1"/>
      <c r="E54" s="1"/>
      <c r="F54" s="1"/>
      <c r="G54" s="1"/>
      <c r="H54" s="10"/>
      <c r="I54" s="10"/>
      <c r="J54" s="10"/>
      <c r="K54" s="10"/>
      <c r="L54" s="10"/>
      <c r="M54" s="10"/>
      <c r="N54" s="10"/>
      <c r="O54" s="10"/>
      <c r="P54" s="10"/>
      <c r="Q54" s="10"/>
      <c r="R54" s="10"/>
      <c r="S54" s="10"/>
      <c r="T54" s="10"/>
      <c r="U54" s="10"/>
      <c r="V54" s="10"/>
      <c r="W54" s="10"/>
      <c r="X54" s="10"/>
      <c r="Y54" s="10"/>
      <c r="Z54" s="10"/>
      <c r="AA54" s="11"/>
      <c r="AB54" s="11"/>
    </row>
    <row r="55" spans="1:28" ht="12" thickBot="1" x14ac:dyDescent="0.3">
      <c r="A55" s="1"/>
      <c r="B55" s="13" t="s">
        <v>74</v>
      </c>
      <c r="C55" s="1"/>
      <c r="D55" s="1"/>
      <c r="E55" s="1"/>
      <c r="F55" s="1"/>
      <c r="G55" s="1"/>
      <c r="H55" s="10"/>
      <c r="I55" s="10"/>
      <c r="J55" s="10"/>
      <c r="K55" s="10"/>
      <c r="L55" s="10"/>
      <c r="M55" s="10"/>
      <c r="N55" s="10"/>
      <c r="O55" s="10"/>
      <c r="P55" s="10"/>
      <c r="Q55" s="10"/>
      <c r="R55" s="10"/>
      <c r="S55" s="10"/>
      <c r="T55" s="10"/>
      <c r="U55" s="10"/>
      <c r="V55" s="10"/>
      <c r="W55" s="10"/>
      <c r="X55" s="10"/>
      <c r="Y55" s="10"/>
      <c r="Z55" s="10"/>
      <c r="AA55" s="11"/>
      <c r="AB55" s="11"/>
    </row>
    <row r="56" spans="1:28" x14ac:dyDescent="0.25">
      <c r="A56" s="1"/>
      <c r="B56" s="87"/>
      <c r="C56" s="88"/>
      <c r="D56" s="88"/>
      <c r="E56" s="88"/>
      <c r="F56" s="88"/>
      <c r="G56" s="88"/>
      <c r="H56" s="10"/>
      <c r="I56" s="10"/>
      <c r="J56" s="10"/>
      <c r="K56" s="10"/>
      <c r="L56" s="1"/>
      <c r="M56" s="10"/>
      <c r="N56" s="10"/>
      <c r="O56" s="10"/>
      <c r="P56" s="10"/>
      <c r="Q56" s="10"/>
      <c r="R56" s="10"/>
      <c r="S56" s="10"/>
      <c r="T56" s="10"/>
      <c r="U56" s="10"/>
      <c r="V56" s="10"/>
      <c r="W56" s="10"/>
      <c r="X56" s="10"/>
      <c r="Y56" s="10"/>
      <c r="Z56" s="10"/>
      <c r="AA56" s="11"/>
      <c r="AB56" s="11"/>
    </row>
    <row r="57" spans="1:28" x14ac:dyDescent="0.25">
      <c r="A57" s="1"/>
      <c r="B57" s="42" t="s">
        <v>1523</v>
      </c>
      <c r="I57" s="10"/>
      <c r="J57" s="1"/>
      <c r="K57" s="10"/>
      <c r="L57" s="13"/>
      <c r="M57" s="10"/>
      <c r="N57" s="10"/>
      <c r="O57" s="10"/>
      <c r="P57" s="10"/>
      <c r="Q57" s="10"/>
      <c r="R57" s="10"/>
      <c r="S57" s="10"/>
      <c r="T57" s="10"/>
      <c r="U57" s="10"/>
      <c r="V57" s="10"/>
      <c r="W57" s="10"/>
      <c r="X57" s="10"/>
      <c r="Y57" s="10"/>
      <c r="Z57" s="10"/>
      <c r="AA57" s="11"/>
      <c r="AB57" s="11"/>
    </row>
    <row r="58" spans="1:28" x14ac:dyDescent="0.25">
      <c r="A58" s="1"/>
      <c r="I58" s="10"/>
      <c r="J58" s="1"/>
      <c r="K58" s="10"/>
      <c r="L58" s="13"/>
      <c r="M58" s="10"/>
      <c r="N58" s="10"/>
      <c r="O58" s="10"/>
      <c r="P58" s="10"/>
      <c r="Q58" s="10"/>
      <c r="R58" s="10"/>
      <c r="S58" s="10"/>
      <c r="T58" s="10"/>
      <c r="U58" s="10"/>
      <c r="V58" s="10"/>
      <c r="W58" s="10"/>
      <c r="X58" s="10"/>
      <c r="Y58" s="10"/>
      <c r="Z58" s="10"/>
      <c r="AA58" s="11"/>
      <c r="AB58" s="11"/>
    </row>
    <row r="59" spans="1:28" x14ac:dyDescent="0.25">
      <c r="A59" s="1"/>
      <c r="B59" t="s">
        <v>1521</v>
      </c>
      <c r="H59" s="161" t="s">
        <v>1530</v>
      </c>
      <c r="I59" s="10"/>
      <c r="J59" s="1"/>
      <c r="K59" s="10"/>
      <c r="L59" s="13"/>
      <c r="M59" s="10"/>
      <c r="N59" s="10"/>
      <c r="O59" s="10"/>
      <c r="P59" s="10"/>
      <c r="Q59" s="10"/>
      <c r="R59" s="10"/>
      <c r="S59" s="10"/>
      <c r="T59" s="10"/>
      <c r="U59" s="10"/>
      <c r="V59" s="10"/>
      <c r="W59" s="10"/>
      <c r="X59" s="10"/>
      <c r="Y59" s="10"/>
      <c r="Z59" s="10"/>
      <c r="AA59" s="11"/>
      <c r="AB59" s="11"/>
    </row>
    <row r="60" spans="1:28" x14ac:dyDescent="0.25">
      <c r="A60" s="1"/>
      <c r="B60" s="162" t="s">
        <v>1522</v>
      </c>
      <c r="C60" s="162"/>
      <c r="D60" s="162"/>
      <c r="I60" s="1"/>
      <c r="J60" s="1"/>
      <c r="K60" s="10"/>
      <c r="L60" s="13"/>
      <c r="M60" s="10"/>
      <c r="N60" s="10"/>
      <c r="O60" s="10"/>
      <c r="P60" s="10"/>
      <c r="Q60" s="10"/>
      <c r="R60" s="10"/>
      <c r="S60" s="10"/>
      <c r="T60" s="10"/>
      <c r="U60" s="10"/>
      <c r="V60" s="10"/>
      <c r="W60" s="10"/>
      <c r="X60" s="10"/>
      <c r="Y60" s="10"/>
      <c r="Z60" s="10"/>
      <c r="AA60" s="11"/>
      <c r="AB60" s="11"/>
    </row>
    <row r="61" spans="1:28" x14ac:dyDescent="0.25">
      <c r="A61" s="1"/>
      <c r="I61" s="1"/>
      <c r="J61" s="1"/>
      <c r="K61" s="10"/>
      <c r="L61" s="13"/>
      <c r="M61" s="10"/>
      <c r="N61" s="10"/>
      <c r="O61" s="10"/>
      <c r="P61" s="10"/>
      <c r="Q61" s="10"/>
      <c r="R61" s="10"/>
      <c r="S61" s="10"/>
      <c r="T61" s="10"/>
      <c r="U61" s="10"/>
      <c r="V61" s="10"/>
      <c r="W61" s="10"/>
      <c r="X61" s="10"/>
      <c r="Y61" s="10"/>
      <c r="Z61" s="10"/>
      <c r="AA61" s="11"/>
      <c r="AB61" s="11"/>
    </row>
    <row r="62" spans="1:28" x14ac:dyDescent="0.25">
      <c r="A62" s="1"/>
      <c r="B62" t="s">
        <v>1528</v>
      </c>
      <c r="H62" s="161" t="s">
        <v>1530</v>
      </c>
      <c r="I62" s="1"/>
      <c r="J62" s="1"/>
      <c r="K62" s="10"/>
      <c r="L62" s="13"/>
      <c r="M62" s="10"/>
      <c r="N62" s="10"/>
      <c r="O62" s="10"/>
      <c r="P62" s="10"/>
      <c r="Q62" s="10"/>
      <c r="R62" s="10"/>
      <c r="S62" s="10"/>
      <c r="T62" s="10"/>
      <c r="U62" s="10"/>
      <c r="V62" s="10"/>
      <c r="W62" s="10"/>
      <c r="X62" s="10"/>
      <c r="Y62" s="10"/>
      <c r="Z62" s="10"/>
      <c r="AA62" s="11"/>
      <c r="AB62" s="11"/>
    </row>
    <row r="63" spans="1:28" x14ac:dyDescent="0.25">
      <c r="A63" s="1"/>
      <c r="B63" s="162" t="s">
        <v>1529</v>
      </c>
      <c r="C63" s="162"/>
      <c r="D63" s="162"/>
      <c r="I63" s="1"/>
      <c r="J63" s="1"/>
      <c r="K63" s="10"/>
      <c r="L63" s="13"/>
      <c r="M63" s="10"/>
      <c r="N63" s="10"/>
      <c r="O63" s="10"/>
      <c r="P63" s="10"/>
      <c r="Q63" s="10"/>
      <c r="R63" s="10"/>
      <c r="S63" s="10"/>
      <c r="T63" s="10"/>
      <c r="U63" s="10"/>
      <c r="V63" s="10"/>
      <c r="W63" s="10"/>
      <c r="X63" s="10"/>
      <c r="Y63" s="10"/>
      <c r="Z63" s="10"/>
      <c r="AA63" s="11"/>
      <c r="AB63" s="11"/>
    </row>
    <row r="64" spans="1:28" x14ac:dyDescent="0.25">
      <c r="A64" s="1"/>
      <c r="I64" s="1"/>
      <c r="J64" s="1"/>
      <c r="K64" s="10"/>
      <c r="L64" s="13"/>
      <c r="M64" s="10"/>
      <c r="N64" s="10"/>
      <c r="O64" s="10"/>
      <c r="P64" s="10"/>
      <c r="Q64" s="10"/>
      <c r="R64" s="10"/>
      <c r="S64" s="10"/>
      <c r="T64" s="10"/>
      <c r="U64" s="10"/>
      <c r="V64" s="10"/>
      <c r="W64" s="10"/>
      <c r="X64" s="10"/>
      <c r="Y64" s="10"/>
      <c r="Z64" s="10"/>
      <c r="AA64" s="11"/>
      <c r="AB64" s="11"/>
    </row>
    <row r="65" spans="1:28" x14ac:dyDescent="0.25">
      <c r="A65" s="1"/>
      <c r="B65" t="s">
        <v>1524</v>
      </c>
      <c r="H65" s="161" t="s">
        <v>1530</v>
      </c>
      <c r="I65" s="1"/>
      <c r="J65" s="1"/>
      <c r="K65" s="10"/>
      <c r="L65" s="13"/>
      <c r="M65" s="10"/>
      <c r="N65" s="10"/>
      <c r="O65" s="10"/>
      <c r="P65" s="10"/>
      <c r="Q65" s="10"/>
      <c r="R65" s="10"/>
      <c r="S65" s="10"/>
      <c r="T65" s="10"/>
      <c r="U65" s="10"/>
      <c r="V65" s="10"/>
      <c r="W65" s="10"/>
      <c r="X65" s="10"/>
      <c r="Y65" s="10"/>
      <c r="Z65" s="10"/>
      <c r="AA65" s="11"/>
      <c r="AB65" s="11"/>
    </row>
    <row r="66" spans="1:28" x14ac:dyDescent="0.25">
      <c r="A66" s="1"/>
      <c r="B66" t="s">
        <v>1525</v>
      </c>
      <c r="I66" s="1"/>
      <c r="J66" s="1"/>
      <c r="K66" s="10"/>
      <c r="L66" s="13"/>
      <c r="M66" s="10"/>
      <c r="N66" s="10"/>
      <c r="O66" s="10"/>
      <c r="P66" s="10"/>
      <c r="Q66" s="10"/>
      <c r="R66" s="10"/>
      <c r="S66" s="10"/>
      <c r="T66" s="10"/>
      <c r="U66" s="10"/>
      <c r="V66" s="10"/>
      <c r="W66" s="10"/>
      <c r="X66" s="10"/>
      <c r="Y66" s="10"/>
      <c r="Z66" s="10"/>
      <c r="AA66" s="11"/>
      <c r="AB66" s="11"/>
    </row>
    <row r="67" spans="1:28" x14ac:dyDescent="0.25">
      <c r="A67" s="1"/>
      <c r="I67" s="1"/>
      <c r="J67" s="1"/>
      <c r="K67" s="10"/>
      <c r="L67" s="13"/>
      <c r="M67" s="10"/>
      <c r="N67" s="10"/>
      <c r="O67" s="10"/>
      <c r="P67" s="10"/>
      <c r="Q67" s="10"/>
      <c r="R67" s="10"/>
      <c r="S67" s="10"/>
      <c r="T67" s="10"/>
      <c r="U67" s="10"/>
      <c r="V67" s="10"/>
      <c r="W67" s="10"/>
      <c r="X67" s="10"/>
      <c r="Y67" s="10"/>
      <c r="Z67" s="10"/>
      <c r="AA67" s="11"/>
      <c r="AB67" s="11"/>
    </row>
    <row r="68" spans="1:28" x14ac:dyDescent="0.25">
      <c r="A68" s="1"/>
      <c r="B68" t="s">
        <v>1526</v>
      </c>
      <c r="H68" s="161" t="s">
        <v>1530</v>
      </c>
      <c r="I68" s="1"/>
      <c r="J68" s="1"/>
      <c r="K68" s="10"/>
      <c r="L68" s="13"/>
      <c r="M68" s="10"/>
      <c r="N68" s="10"/>
      <c r="O68" s="10"/>
      <c r="P68" s="10"/>
      <c r="Q68" s="10"/>
      <c r="R68" s="10"/>
      <c r="S68" s="10"/>
      <c r="T68" s="10"/>
      <c r="U68" s="10"/>
      <c r="V68" s="10"/>
      <c r="W68" s="10"/>
      <c r="X68" s="10"/>
      <c r="Y68" s="10"/>
      <c r="Z68" s="10"/>
      <c r="AA68" s="11"/>
      <c r="AB68" s="11"/>
    </row>
    <row r="69" spans="1:28" x14ac:dyDescent="0.25">
      <c r="A69" s="1"/>
      <c r="B69" t="s">
        <v>1527</v>
      </c>
      <c r="I69" s="1"/>
      <c r="J69" s="1"/>
      <c r="K69" s="10"/>
      <c r="L69" s="13"/>
      <c r="M69" s="10"/>
      <c r="N69" s="10"/>
      <c r="O69" s="10"/>
      <c r="P69" s="10"/>
      <c r="Q69" s="10"/>
      <c r="R69" s="10"/>
      <c r="S69" s="10"/>
      <c r="T69" s="10"/>
      <c r="U69" s="10"/>
      <c r="V69" s="10"/>
      <c r="W69" s="10"/>
      <c r="X69" s="10"/>
      <c r="Y69" s="10"/>
      <c r="Z69" s="10"/>
      <c r="AA69" s="11"/>
      <c r="AB69" s="11"/>
    </row>
    <row r="70" spans="1:28" x14ac:dyDescent="0.25">
      <c r="A70" s="1"/>
      <c r="I70" s="1"/>
      <c r="J70" s="1"/>
      <c r="K70" s="10"/>
      <c r="L70" s="13"/>
      <c r="M70" s="10"/>
      <c r="N70" s="10"/>
      <c r="O70" s="10"/>
      <c r="P70" s="10"/>
      <c r="Q70" s="10"/>
      <c r="R70" s="10"/>
      <c r="S70" s="10"/>
      <c r="T70" s="10"/>
      <c r="U70" s="10"/>
      <c r="V70" s="10"/>
      <c r="W70" s="10"/>
      <c r="X70" s="10"/>
      <c r="Y70" s="10"/>
      <c r="Z70" s="10"/>
      <c r="AA70" s="11"/>
      <c r="AB70" s="11"/>
    </row>
    <row r="71" spans="1:28" ht="12" thickBot="1" x14ac:dyDescent="0.3">
      <c r="A71" s="1"/>
      <c r="B71" s="91"/>
      <c r="C71" s="91"/>
      <c r="D71" s="91"/>
      <c r="E71" s="91"/>
      <c r="F71" s="91"/>
      <c r="G71" s="91"/>
      <c r="H71" s="10"/>
      <c r="I71" s="1"/>
      <c r="J71" s="1"/>
      <c r="K71" s="10"/>
      <c r="L71" s="13"/>
      <c r="M71" s="10"/>
      <c r="N71" s="10"/>
      <c r="O71" s="10"/>
      <c r="P71" s="10"/>
      <c r="Q71" s="10"/>
      <c r="R71" s="10"/>
      <c r="S71" s="10"/>
      <c r="T71" s="10"/>
      <c r="U71" s="10"/>
      <c r="V71" s="10"/>
      <c r="W71" s="10"/>
      <c r="X71" s="10"/>
      <c r="Y71" s="10"/>
      <c r="Z71" s="10"/>
      <c r="AA71" s="11"/>
      <c r="AB71" s="11"/>
    </row>
    <row r="72" spans="1:28" x14ac:dyDescent="0.25">
      <c r="A72" s="1"/>
      <c r="B72" s="1"/>
      <c r="C72" s="1"/>
      <c r="D72" s="1"/>
      <c r="E72" s="1"/>
      <c r="F72" s="1"/>
      <c r="G72" s="1"/>
      <c r="H72" s="10"/>
      <c r="I72" s="1"/>
      <c r="J72" s="1"/>
      <c r="K72" s="10"/>
      <c r="L72" s="13"/>
      <c r="M72" s="10"/>
      <c r="N72" s="10"/>
      <c r="O72" s="10"/>
      <c r="P72" s="10"/>
      <c r="Q72" s="10"/>
      <c r="R72" s="10"/>
      <c r="S72" s="10"/>
      <c r="T72" s="10"/>
      <c r="U72" s="10"/>
      <c r="V72" s="10"/>
      <c r="W72" s="10"/>
      <c r="X72" s="10"/>
      <c r="Y72" s="10"/>
      <c r="Z72" s="10"/>
      <c r="AA72" s="11"/>
      <c r="AB72" s="11"/>
    </row>
    <row r="73" spans="1:28" ht="15.5" x14ac:dyDescent="0.35">
      <c r="A73" s="1"/>
      <c r="B73" s="84" t="s">
        <v>112</v>
      </c>
      <c r="C73" s="49"/>
      <c r="D73" s="49"/>
      <c r="E73" s="49"/>
      <c r="F73" s="49"/>
      <c r="G73" s="49"/>
      <c r="H73" s="10"/>
      <c r="I73" s="1"/>
      <c r="J73" s="1"/>
      <c r="K73" s="10"/>
      <c r="L73" s="13"/>
      <c r="M73" s="10"/>
      <c r="N73" s="10"/>
      <c r="O73" s="10"/>
      <c r="P73" s="10"/>
      <c r="Q73" s="10"/>
      <c r="R73" s="10"/>
      <c r="S73" s="10"/>
      <c r="T73" s="10"/>
      <c r="U73" s="10"/>
      <c r="V73" s="10"/>
      <c r="W73" s="10"/>
      <c r="X73" s="10"/>
      <c r="Y73" s="10"/>
      <c r="Z73" s="10"/>
      <c r="AA73" s="11"/>
      <c r="AB73" s="11"/>
    </row>
    <row r="74" spans="1:28" x14ac:dyDescent="0.25">
      <c r="A74" s="1"/>
      <c r="B74" s="13"/>
      <c r="C74" s="13"/>
      <c r="D74" s="13"/>
      <c r="E74" s="13"/>
      <c r="F74" s="13"/>
      <c r="G74" s="13"/>
      <c r="H74" s="10"/>
      <c r="I74" s="1"/>
      <c r="J74" s="1"/>
      <c r="K74" s="10"/>
      <c r="L74" s="13"/>
      <c r="M74" s="10"/>
      <c r="N74" s="10"/>
      <c r="O74" s="10"/>
      <c r="P74" s="10"/>
      <c r="Q74" s="10"/>
      <c r="R74" s="10"/>
      <c r="S74" s="10"/>
      <c r="T74" s="10"/>
      <c r="U74" s="10"/>
      <c r="V74" s="10"/>
      <c r="W74" s="10"/>
      <c r="X74" s="10"/>
      <c r="Y74" s="10"/>
      <c r="Z74" s="10"/>
      <c r="AA74" s="11"/>
      <c r="AB74" s="11"/>
    </row>
    <row r="75" spans="1:28" x14ac:dyDescent="0.25">
      <c r="A75" s="1"/>
      <c r="B75" s="13" t="s">
        <v>113</v>
      </c>
      <c r="C75" s="1"/>
      <c r="D75" s="1"/>
      <c r="E75" s="1"/>
      <c r="F75" s="1"/>
      <c r="G75" s="1"/>
      <c r="H75" s="10"/>
      <c r="I75" s="1"/>
      <c r="J75" s="1"/>
      <c r="K75" s="10"/>
      <c r="L75" s="13"/>
      <c r="M75" s="10"/>
      <c r="N75" s="10"/>
      <c r="O75" s="10"/>
      <c r="P75" s="10"/>
      <c r="Q75" s="10"/>
      <c r="R75" s="10"/>
      <c r="S75" s="10"/>
      <c r="T75" s="10"/>
      <c r="U75" s="10"/>
      <c r="V75" s="10"/>
      <c r="W75" s="10"/>
      <c r="X75" s="10"/>
      <c r="Y75" s="10"/>
      <c r="Z75" s="10"/>
      <c r="AA75" s="11"/>
      <c r="AB75" s="11"/>
    </row>
    <row r="76" spans="1:28" x14ac:dyDescent="0.25">
      <c r="A76" s="1"/>
      <c r="B76" s="13"/>
      <c r="C76" s="1"/>
      <c r="D76" s="1"/>
      <c r="E76" s="1"/>
      <c r="F76" s="1"/>
      <c r="G76" s="1"/>
      <c r="H76" s="10"/>
      <c r="I76" s="1"/>
      <c r="J76" s="1"/>
      <c r="K76" s="10"/>
      <c r="L76" s="13"/>
      <c r="M76" s="10"/>
      <c r="N76" s="10"/>
      <c r="O76" s="10"/>
      <c r="P76" s="10"/>
      <c r="Q76" s="10"/>
      <c r="R76" s="10"/>
      <c r="S76" s="10"/>
      <c r="T76" s="10"/>
      <c r="U76" s="10"/>
      <c r="V76" s="10"/>
      <c r="W76" s="10"/>
      <c r="X76" s="10"/>
      <c r="Y76" s="10"/>
      <c r="Z76" s="10"/>
      <c r="AA76" s="11"/>
      <c r="AB76" s="11"/>
    </row>
    <row r="77" spans="1:28" ht="12" x14ac:dyDescent="0.3">
      <c r="A77" s="1"/>
      <c r="B77" s="1"/>
      <c r="C77" s="96" t="s">
        <v>71</v>
      </c>
      <c r="D77" s="1"/>
      <c r="E77" s="1"/>
      <c r="F77" s="1"/>
      <c r="G77" s="1"/>
      <c r="H77" s="10"/>
      <c r="I77" s="1"/>
      <c r="J77" s="1"/>
      <c r="K77" s="10"/>
      <c r="L77" s="13"/>
      <c r="M77" s="10"/>
      <c r="N77" s="10"/>
      <c r="O77" s="10"/>
      <c r="P77" s="10"/>
      <c r="Q77" s="10"/>
      <c r="R77" s="10"/>
      <c r="S77" s="10"/>
      <c r="T77" s="10"/>
      <c r="U77" s="10"/>
      <c r="V77" s="10"/>
      <c r="W77" s="10"/>
      <c r="X77" s="10"/>
      <c r="Y77" s="10"/>
      <c r="Z77" s="10"/>
      <c r="AA77" s="11"/>
      <c r="AB77" s="11"/>
    </row>
    <row r="78" spans="1:28" x14ac:dyDescent="0.25">
      <c r="A78" s="1"/>
      <c r="B78" s="1"/>
      <c r="C78" s="1"/>
      <c r="D78" s="1"/>
      <c r="E78" s="1"/>
      <c r="F78" s="1"/>
      <c r="G78" s="1"/>
      <c r="H78" s="10"/>
      <c r="I78" s="1"/>
      <c r="J78" s="1"/>
      <c r="K78" s="10"/>
      <c r="L78" s="13"/>
      <c r="M78" s="10"/>
      <c r="N78" s="10"/>
      <c r="O78" s="10"/>
      <c r="P78" s="10"/>
      <c r="Q78" s="10"/>
      <c r="R78" s="10"/>
      <c r="S78" s="10"/>
      <c r="T78" s="10"/>
      <c r="U78" s="10"/>
      <c r="V78" s="10"/>
      <c r="W78" s="10"/>
      <c r="X78" s="10"/>
      <c r="Y78" s="10"/>
      <c r="Z78" s="10"/>
      <c r="AA78" s="11"/>
      <c r="AB78" s="11"/>
    </row>
    <row r="79" spans="1:28" x14ac:dyDescent="0.25">
      <c r="A79" s="1"/>
      <c r="B79" s="1"/>
      <c r="C79" s="99" t="s">
        <v>68</v>
      </c>
      <c r="D79" s="1" t="s">
        <v>129</v>
      </c>
      <c r="E79" s="1"/>
      <c r="F79" s="1"/>
      <c r="G79" s="1"/>
      <c r="H79" s="10"/>
      <c r="I79" s="1"/>
      <c r="J79" s="1" t="s">
        <v>72</v>
      </c>
      <c r="K79" s="10"/>
      <c r="L79" s="13"/>
      <c r="M79" s="10"/>
      <c r="N79" s="10"/>
      <c r="O79" s="10"/>
      <c r="P79" s="10"/>
      <c r="Q79" s="10"/>
      <c r="R79" s="10"/>
      <c r="S79" s="10"/>
      <c r="T79" s="10"/>
      <c r="U79" s="10"/>
      <c r="V79" s="10"/>
      <c r="W79" s="10"/>
      <c r="X79" s="10"/>
      <c r="Y79" s="10"/>
      <c r="Z79" s="10"/>
      <c r="AA79" s="11"/>
      <c r="AB79" s="11"/>
    </row>
    <row r="80" spans="1:28" x14ac:dyDescent="0.25">
      <c r="A80" s="1"/>
      <c r="B80" s="1"/>
      <c r="C80" s="99" t="s">
        <v>68</v>
      </c>
      <c r="D80" s="1" t="s">
        <v>130</v>
      </c>
      <c r="E80" s="1"/>
      <c r="F80" s="1"/>
      <c r="G80" s="1"/>
      <c r="H80" s="10"/>
      <c r="I80" s="1"/>
      <c r="J80" s="97" t="s">
        <v>68</v>
      </c>
      <c r="K80" s="10"/>
      <c r="L80" s="13"/>
      <c r="M80" s="10"/>
      <c r="N80" s="10"/>
      <c r="O80" s="10"/>
      <c r="P80" s="10"/>
      <c r="Q80" s="10"/>
      <c r="R80" s="10"/>
      <c r="S80" s="10"/>
      <c r="T80" s="10"/>
      <c r="U80" s="10"/>
      <c r="V80" s="10"/>
      <c r="W80" s="10"/>
      <c r="X80" s="10"/>
      <c r="Y80" s="10"/>
      <c r="Z80" s="10"/>
      <c r="AA80" s="11"/>
      <c r="AB80" s="11"/>
    </row>
    <row r="81" spans="1:28" x14ac:dyDescent="0.25">
      <c r="A81" s="1"/>
      <c r="B81" s="1"/>
      <c r="C81" s="1"/>
      <c r="D81" s="1" t="s">
        <v>114</v>
      </c>
      <c r="E81" s="1"/>
      <c r="F81" s="1"/>
      <c r="G81" s="1"/>
      <c r="H81" s="10"/>
      <c r="I81" s="1"/>
      <c r="J81" s="98" t="s">
        <v>69</v>
      </c>
      <c r="K81" s="10"/>
      <c r="L81" s="13"/>
      <c r="M81" s="10"/>
      <c r="N81" s="10"/>
      <c r="O81" s="10"/>
      <c r="P81" s="10"/>
      <c r="Q81" s="10"/>
      <c r="R81" s="10"/>
      <c r="S81" s="10"/>
      <c r="T81" s="10"/>
      <c r="U81" s="10"/>
      <c r="V81" s="10"/>
      <c r="W81" s="10"/>
      <c r="X81" s="10"/>
      <c r="Y81" s="10"/>
      <c r="Z81" s="10"/>
      <c r="AA81" s="11"/>
      <c r="AB81" s="11"/>
    </row>
    <row r="82" spans="1:28" x14ac:dyDescent="0.25">
      <c r="A82" s="1"/>
      <c r="B82" s="1"/>
      <c r="C82" s="1"/>
      <c r="D82" s="1" t="s">
        <v>64</v>
      </c>
      <c r="E82" s="1"/>
      <c r="F82" s="1"/>
      <c r="G82" s="1"/>
      <c r="H82" s="10"/>
      <c r="I82" s="1"/>
      <c r="J82" s="100" t="s">
        <v>70</v>
      </c>
      <c r="K82" s="10"/>
      <c r="L82" s="13"/>
      <c r="M82" s="10"/>
      <c r="N82" s="10"/>
      <c r="O82" s="10"/>
      <c r="P82" s="10"/>
      <c r="Q82" s="10"/>
      <c r="R82" s="10"/>
      <c r="S82" s="10"/>
      <c r="T82" s="10"/>
      <c r="U82" s="10"/>
      <c r="V82" s="10"/>
      <c r="W82" s="10"/>
      <c r="X82" s="10"/>
      <c r="Y82" s="10"/>
      <c r="Z82" s="10"/>
      <c r="AA82" s="11"/>
      <c r="AB82" s="11"/>
    </row>
    <row r="83" spans="1:28" x14ac:dyDescent="0.25">
      <c r="A83" s="1"/>
      <c r="B83" s="1"/>
      <c r="C83" s="1"/>
      <c r="D83" s="1" t="s">
        <v>65</v>
      </c>
      <c r="E83" s="1"/>
      <c r="F83" s="1"/>
      <c r="G83" s="1"/>
      <c r="H83" s="10"/>
      <c r="I83" s="1"/>
      <c r="J83" s="1"/>
      <c r="K83" s="10"/>
      <c r="L83" s="13"/>
      <c r="M83" s="10"/>
      <c r="N83" s="10"/>
      <c r="O83" s="10"/>
      <c r="P83" s="10"/>
      <c r="Q83" s="10"/>
      <c r="R83" s="10"/>
      <c r="S83" s="10"/>
      <c r="T83" s="10"/>
      <c r="U83" s="10"/>
      <c r="V83" s="10"/>
      <c r="W83" s="10"/>
      <c r="X83" s="10"/>
      <c r="Y83" s="10"/>
      <c r="Z83" s="10"/>
      <c r="AA83" s="11"/>
      <c r="AB83" s="11"/>
    </row>
    <row r="84" spans="1:28" x14ac:dyDescent="0.25">
      <c r="A84" s="1"/>
      <c r="B84" s="1"/>
      <c r="C84" s="99" t="s">
        <v>68</v>
      </c>
      <c r="D84" s="1" t="s">
        <v>67</v>
      </c>
      <c r="E84" s="1"/>
      <c r="F84" s="1"/>
      <c r="G84" s="1"/>
      <c r="H84" s="10"/>
      <c r="I84" s="1"/>
      <c r="J84" s="97" t="s">
        <v>115</v>
      </c>
      <c r="K84" s="10"/>
      <c r="L84" s="13"/>
      <c r="M84" s="10"/>
      <c r="N84" s="10"/>
      <c r="O84" s="10"/>
      <c r="P84" s="10"/>
      <c r="Q84" s="10"/>
      <c r="R84" s="10"/>
      <c r="S84" s="10"/>
      <c r="T84" s="10"/>
      <c r="U84" s="10"/>
      <c r="V84" s="10"/>
      <c r="W84" s="10"/>
      <c r="X84" s="10"/>
      <c r="Y84" s="10"/>
      <c r="Z84" s="10"/>
      <c r="AA84" s="11"/>
      <c r="AB84" s="11"/>
    </row>
    <row r="85" spans="1:28" x14ac:dyDescent="0.25">
      <c r="A85" s="1"/>
      <c r="B85" s="1"/>
      <c r="C85" s="99" t="s">
        <v>68</v>
      </c>
      <c r="D85" s="1" t="s">
        <v>131</v>
      </c>
      <c r="E85" s="1"/>
      <c r="F85" s="1"/>
      <c r="G85" s="1"/>
      <c r="H85" s="10"/>
      <c r="I85" s="1"/>
      <c r="J85" s="98" t="s">
        <v>116</v>
      </c>
      <c r="K85" s="10"/>
      <c r="L85" s="13"/>
      <c r="M85" s="10"/>
      <c r="N85" s="10"/>
      <c r="O85" s="10"/>
      <c r="P85" s="10"/>
      <c r="Q85" s="10"/>
      <c r="R85" s="10"/>
      <c r="S85" s="10"/>
      <c r="T85" s="10"/>
      <c r="U85" s="10"/>
      <c r="V85" s="10"/>
      <c r="W85" s="10"/>
      <c r="X85" s="10"/>
      <c r="Y85" s="10"/>
      <c r="Z85" s="10"/>
      <c r="AA85" s="11"/>
      <c r="AB85" s="11"/>
    </row>
    <row r="86" spans="1:28" x14ac:dyDescent="0.25">
      <c r="A86" s="1"/>
      <c r="B86" s="1"/>
      <c r="C86" s="99" t="s">
        <v>68</v>
      </c>
      <c r="D86" s="1" t="s">
        <v>118</v>
      </c>
      <c r="E86" s="1"/>
      <c r="F86" s="1"/>
      <c r="G86" s="1"/>
      <c r="H86" s="10"/>
      <c r="I86" s="10"/>
      <c r="J86" s="98" t="s">
        <v>117</v>
      </c>
      <c r="K86" s="10"/>
      <c r="L86" s="10"/>
      <c r="M86" s="10"/>
      <c r="N86" s="10"/>
      <c r="O86" s="10"/>
      <c r="P86" s="10"/>
      <c r="Q86" s="10"/>
      <c r="R86" s="10"/>
      <c r="S86" s="10"/>
      <c r="T86" s="10"/>
      <c r="U86" s="10"/>
      <c r="V86" s="10"/>
      <c r="W86" s="10"/>
      <c r="X86" s="10"/>
      <c r="Y86" s="10"/>
      <c r="Z86" s="10"/>
      <c r="AA86" s="11"/>
      <c r="AB86" s="11"/>
    </row>
    <row r="87" spans="1:28" x14ac:dyDescent="0.25">
      <c r="A87" s="1"/>
      <c r="B87" s="1"/>
      <c r="C87" s="1"/>
      <c r="D87" s="1"/>
      <c r="E87" s="1"/>
      <c r="F87" s="1"/>
      <c r="G87" s="1"/>
      <c r="H87" s="10"/>
      <c r="I87" s="10"/>
      <c r="J87" s="100" t="s">
        <v>105</v>
      </c>
      <c r="K87" s="10"/>
      <c r="L87" s="10"/>
      <c r="M87" s="10"/>
      <c r="N87" s="10"/>
      <c r="O87" s="10"/>
      <c r="P87" s="10"/>
      <c r="Q87" s="10"/>
      <c r="R87" s="10"/>
      <c r="S87" s="10"/>
      <c r="T87" s="10"/>
      <c r="U87" s="10"/>
      <c r="V87" s="10"/>
      <c r="W87" s="10"/>
      <c r="X87" s="10"/>
      <c r="Y87" s="10"/>
      <c r="Z87" s="10"/>
      <c r="AA87" s="11"/>
      <c r="AB87" s="11"/>
    </row>
    <row r="88" spans="1:28" x14ac:dyDescent="0.25">
      <c r="A88" s="1"/>
      <c r="B88" s="1"/>
      <c r="C88" s="99" t="s">
        <v>69</v>
      </c>
      <c r="D88" s="1" t="s">
        <v>120</v>
      </c>
      <c r="F88" s="1"/>
      <c r="G88" s="1"/>
      <c r="H88" s="10"/>
      <c r="I88" s="10"/>
      <c r="J88" s="10"/>
      <c r="K88" s="10"/>
      <c r="L88" s="10"/>
      <c r="M88" s="10"/>
      <c r="N88" s="10"/>
      <c r="O88" s="10"/>
      <c r="P88" s="10"/>
      <c r="Q88" s="10"/>
      <c r="R88" s="10"/>
      <c r="S88" s="10"/>
      <c r="T88" s="10"/>
      <c r="U88" s="10"/>
      <c r="V88" s="10"/>
      <c r="W88" s="10"/>
      <c r="X88" s="10"/>
      <c r="Y88" s="10"/>
      <c r="Z88" s="10"/>
      <c r="AA88" s="11"/>
      <c r="AB88" s="11"/>
    </row>
    <row r="89" spans="1:28" x14ac:dyDescent="0.25">
      <c r="A89" s="1"/>
      <c r="B89" s="1"/>
      <c r="C89" s="1"/>
      <c r="D89" s="1"/>
      <c r="E89" s="1"/>
      <c r="F89" s="1"/>
      <c r="G89" s="1"/>
      <c r="H89" s="10"/>
      <c r="I89" s="10"/>
      <c r="J89" s="10"/>
      <c r="K89" s="10"/>
      <c r="L89" s="10"/>
      <c r="M89" s="10"/>
      <c r="N89" s="10"/>
      <c r="O89" s="10"/>
      <c r="P89" s="10"/>
      <c r="Q89" s="10"/>
      <c r="R89" s="10"/>
      <c r="S89" s="10"/>
      <c r="T89" s="10"/>
      <c r="U89" s="10"/>
      <c r="V89" s="10"/>
      <c r="W89" s="10"/>
      <c r="X89" s="10"/>
      <c r="Y89" s="10"/>
      <c r="Z89" s="10"/>
      <c r="AA89" s="11"/>
      <c r="AB89" s="11"/>
    </row>
    <row r="90" spans="1:28" x14ac:dyDescent="0.25">
      <c r="A90" s="1"/>
      <c r="B90" s="1"/>
      <c r="C90" s="1"/>
      <c r="D90" s="1"/>
      <c r="E90" s="1"/>
      <c r="F90" s="1"/>
      <c r="G90" s="1"/>
      <c r="H90" s="10"/>
      <c r="I90" s="10"/>
      <c r="J90" s="10"/>
      <c r="K90" s="10"/>
      <c r="L90" s="10"/>
      <c r="M90" s="10"/>
      <c r="N90" s="10"/>
      <c r="O90" s="10"/>
      <c r="P90" s="10"/>
      <c r="Q90" s="10"/>
      <c r="R90" s="10"/>
      <c r="S90" s="10"/>
      <c r="T90" s="10"/>
      <c r="U90" s="10"/>
      <c r="V90" s="10"/>
      <c r="W90" s="10"/>
      <c r="X90" s="10"/>
      <c r="Y90" s="10"/>
      <c r="Z90" s="10"/>
      <c r="AA90" s="11"/>
      <c r="AB90" s="11"/>
    </row>
    <row r="91" spans="1:28" x14ac:dyDescent="0.25">
      <c r="A91" s="1"/>
      <c r="B91" s="13" t="s">
        <v>132</v>
      </c>
      <c r="C91" s="1"/>
      <c r="D91" s="1"/>
      <c r="E91" s="1"/>
      <c r="F91" s="1"/>
      <c r="G91" s="1"/>
      <c r="H91" s="10"/>
      <c r="I91" s="10"/>
      <c r="J91" s="10"/>
      <c r="K91" s="10"/>
      <c r="L91" s="10"/>
      <c r="M91" s="10"/>
      <c r="N91" s="10"/>
      <c r="O91" s="10"/>
      <c r="P91" s="10"/>
      <c r="Q91" s="10"/>
      <c r="R91" s="10"/>
      <c r="S91" s="10"/>
      <c r="T91" s="10"/>
      <c r="U91" s="10"/>
      <c r="V91" s="10"/>
      <c r="W91" s="10"/>
      <c r="X91" s="10"/>
      <c r="Y91" s="10"/>
      <c r="Z91" s="10"/>
      <c r="AA91" s="11"/>
      <c r="AB91" s="11"/>
    </row>
    <row r="92" spans="1:28" x14ac:dyDescent="0.25">
      <c r="A92" s="1"/>
      <c r="B92" s="1"/>
      <c r="C92" s="1"/>
      <c r="D92" s="1"/>
      <c r="E92" s="1"/>
      <c r="F92" s="1"/>
      <c r="G92" s="1"/>
      <c r="H92" s="10"/>
      <c r="I92" s="10"/>
      <c r="J92" s="10"/>
      <c r="K92" s="10"/>
      <c r="L92" s="10"/>
      <c r="M92" s="10"/>
      <c r="N92" s="10"/>
      <c r="O92" s="10"/>
      <c r="P92" s="10"/>
      <c r="Q92" s="10"/>
      <c r="R92" s="10"/>
      <c r="S92" s="10"/>
      <c r="T92" s="10"/>
      <c r="U92" s="10"/>
      <c r="V92" s="10"/>
      <c r="W92" s="10"/>
      <c r="X92" s="10"/>
      <c r="Y92" s="10"/>
      <c r="Z92" s="10"/>
      <c r="AA92" s="11"/>
      <c r="AB92" s="11"/>
    </row>
    <row r="93" spans="1:28" x14ac:dyDescent="0.25">
      <c r="A93" s="1"/>
      <c r="B93" s="1"/>
      <c r="C93" s="99" t="s">
        <v>69</v>
      </c>
      <c r="D93" s="1" t="s">
        <v>133</v>
      </c>
      <c r="E93" s="1"/>
      <c r="F93" s="1"/>
      <c r="G93" s="1"/>
      <c r="H93" s="10"/>
      <c r="I93" s="10"/>
      <c r="J93" s="10"/>
      <c r="K93" s="10"/>
      <c r="L93" s="10"/>
      <c r="M93" s="10"/>
      <c r="N93" s="10"/>
      <c r="O93" s="10"/>
      <c r="P93" s="10"/>
      <c r="Q93" s="10"/>
      <c r="R93" s="10"/>
      <c r="S93" s="10"/>
      <c r="T93" s="10"/>
      <c r="U93" s="10"/>
      <c r="V93" s="10"/>
      <c r="W93" s="10"/>
      <c r="X93" s="10"/>
      <c r="Y93" s="10"/>
      <c r="Z93" s="10"/>
      <c r="AA93" s="11"/>
      <c r="AB93" s="11"/>
    </row>
    <row r="94" spans="1:28" x14ac:dyDescent="0.25">
      <c r="A94" s="1"/>
      <c r="B94" s="1"/>
      <c r="C94" s="99" t="s">
        <v>69</v>
      </c>
      <c r="D94" s="1" t="s">
        <v>134</v>
      </c>
      <c r="E94" s="1"/>
      <c r="F94" s="1"/>
      <c r="G94" s="1"/>
      <c r="H94" s="10"/>
      <c r="I94" s="10"/>
      <c r="J94" s="10"/>
      <c r="K94" s="10"/>
      <c r="L94" s="10"/>
      <c r="M94" s="10"/>
      <c r="N94" s="10"/>
      <c r="O94" s="10"/>
      <c r="P94" s="10"/>
      <c r="Q94" s="10"/>
      <c r="R94" s="10"/>
      <c r="S94" s="10"/>
      <c r="T94" s="10"/>
      <c r="U94" s="10"/>
      <c r="V94" s="10"/>
      <c r="W94" s="10"/>
      <c r="X94" s="10"/>
      <c r="Y94" s="10"/>
      <c r="Z94" s="10"/>
      <c r="AA94" s="11"/>
      <c r="AB94" s="11"/>
    </row>
    <row r="95" spans="1:28" x14ac:dyDescent="0.25">
      <c r="A95" s="1"/>
      <c r="B95" s="1"/>
      <c r="C95" s="99" t="s">
        <v>69</v>
      </c>
      <c r="D95" s="1" t="s">
        <v>135</v>
      </c>
      <c r="E95" s="1"/>
      <c r="F95" s="1"/>
      <c r="G95" s="1"/>
      <c r="H95" s="10"/>
      <c r="I95" s="10"/>
      <c r="J95" s="10"/>
      <c r="K95" s="10"/>
      <c r="L95" s="10"/>
      <c r="M95" s="10"/>
      <c r="N95" s="10"/>
      <c r="O95" s="10"/>
      <c r="P95" s="10"/>
      <c r="Q95" s="10"/>
      <c r="R95" s="10"/>
      <c r="S95" s="10"/>
      <c r="T95" s="10"/>
      <c r="U95" s="10"/>
      <c r="V95" s="10"/>
      <c r="W95" s="10"/>
      <c r="X95" s="10"/>
      <c r="Y95" s="10"/>
      <c r="Z95" s="10"/>
      <c r="AA95" s="11"/>
      <c r="AB95" s="11"/>
    </row>
    <row r="96" spans="1:28" x14ac:dyDescent="0.25">
      <c r="A96" s="1"/>
      <c r="B96" s="1"/>
      <c r="C96" s="99" t="s">
        <v>69</v>
      </c>
      <c r="D96" s="1" t="s">
        <v>136</v>
      </c>
      <c r="E96" s="1"/>
      <c r="F96" s="1"/>
      <c r="G96" s="1"/>
      <c r="H96" s="10"/>
      <c r="I96" s="10"/>
      <c r="J96" s="10"/>
      <c r="K96" s="10"/>
      <c r="L96" s="10"/>
      <c r="M96" s="10"/>
      <c r="N96" s="10"/>
      <c r="O96" s="10"/>
      <c r="P96" s="10"/>
      <c r="Q96" s="10"/>
      <c r="R96" s="10"/>
      <c r="S96" s="10"/>
      <c r="T96" s="10"/>
      <c r="U96" s="10"/>
      <c r="V96" s="10"/>
      <c r="W96" s="10"/>
      <c r="X96" s="10"/>
      <c r="Y96" s="10"/>
      <c r="Z96" s="10"/>
      <c r="AA96" s="11"/>
      <c r="AB96" s="11"/>
    </row>
    <row r="97" spans="1:28" x14ac:dyDescent="0.25">
      <c r="A97" s="1"/>
      <c r="B97" s="1"/>
      <c r="C97" s="99" t="s">
        <v>69</v>
      </c>
      <c r="D97" s="1" t="s">
        <v>137</v>
      </c>
      <c r="E97" s="1"/>
      <c r="F97" s="1"/>
      <c r="G97" s="1"/>
      <c r="H97" s="10"/>
      <c r="I97" s="10"/>
      <c r="J97" s="10"/>
      <c r="K97" s="10"/>
      <c r="L97" s="10"/>
      <c r="M97" s="10"/>
      <c r="N97" s="10"/>
      <c r="O97" s="10"/>
      <c r="P97" s="10"/>
      <c r="Q97" s="10"/>
      <c r="R97" s="10"/>
      <c r="S97" s="10"/>
      <c r="T97" s="10"/>
      <c r="U97" s="10"/>
      <c r="V97" s="10"/>
      <c r="W97" s="10"/>
      <c r="X97" s="10"/>
      <c r="Y97" s="10"/>
      <c r="Z97" s="10"/>
      <c r="AA97" s="11"/>
      <c r="AB97" s="11"/>
    </row>
    <row r="98" spans="1:28" x14ac:dyDescent="0.25">
      <c r="A98" s="1"/>
      <c r="B98" s="1"/>
      <c r="C98" s="1"/>
      <c r="D98" s="1"/>
      <c r="E98" s="1"/>
      <c r="F98" s="1"/>
      <c r="G98" s="1"/>
      <c r="H98" s="10"/>
      <c r="I98" s="10"/>
      <c r="J98" s="10"/>
      <c r="K98" s="10"/>
      <c r="L98" s="10"/>
      <c r="M98" s="10"/>
      <c r="N98" s="10"/>
      <c r="O98" s="10"/>
      <c r="P98" s="10"/>
      <c r="Q98" s="10"/>
      <c r="R98" s="10"/>
      <c r="S98" s="10"/>
      <c r="T98" s="10"/>
      <c r="U98" s="10"/>
      <c r="V98" s="10"/>
      <c r="W98" s="10"/>
      <c r="X98" s="10"/>
      <c r="Y98" s="10"/>
      <c r="Z98" s="10"/>
      <c r="AA98" s="11"/>
      <c r="AB98" s="11"/>
    </row>
    <row r="99" spans="1:28" x14ac:dyDescent="0.25">
      <c r="A99" s="1"/>
      <c r="H99" s="10"/>
      <c r="I99" s="10"/>
      <c r="J99" s="10"/>
      <c r="K99" s="10"/>
      <c r="L99" s="10"/>
      <c r="M99" s="10"/>
      <c r="N99" s="10"/>
      <c r="O99" s="10"/>
      <c r="P99" s="10"/>
      <c r="Q99" s="10"/>
      <c r="R99" s="10"/>
      <c r="S99" s="10"/>
      <c r="T99" s="10"/>
      <c r="U99" s="10"/>
      <c r="V99" s="10"/>
      <c r="W99" s="10"/>
      <c r="X99" s="10"/>
      <c r="Y99" s="10"/>
      <c r="Z99" s="10"/>
      <c r="AA99" s="11"/>
      <c r="AB99" s="11"/>
    </row>
    <row r="100" spans="1:28" ht="15.5" x14ac:dyDescent="0.35">
      <c r="A100" s="1"/>
      <c r="B100" s="84" t="s">
        <v>126</v>
      </c>
      <c r="C100" s="49"/>
      <c r="D100" s="49"/>
      <c r="E100" s="49"/>
      <c r="F100" s="49"/>
      <c r="G100" s="49"/>
      <c r="H100" s="1"/>
      <c r="I100" s="1"/>
      <c r="J100" s="1"/>
      <c r="K100" s="1"/>
      <c r="L100" s="1"/>
      <c r="M100" s="1"/>
      <c r="N100" s="1"/>
      <c r="O100" s="1"/>
      <c r="P100" s="1"/>
      <c r="Q100" s="1"/>
      <c r="R100" s="1"/>
      <c r="S100" s="1"/>
      <c r="T100" s="1"/>
      <c r="U100" s="1"/>
      <c r="V100" s="1"/>
      <c r="W100" s="1"/>
      <c r="X100" s="1"/>
      <c r="Y100" s="1"/>
      <c r="Z100" s="1"/>
    </row>
    <row r="101" spans="1:28" x14ac:dyDescent="0.25">
      <c r="A101" s="1"/>
      <c r="B101" s="13"/>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8" x14ac:dyDescent="0.25">
      <c r="A102" s="1"/>
      <c r="B102" s="1" t="s">
        <v>169</v>
      </c>
      <c r="C102" s="1"/>
      <c r="D102" s="1"/>
      <c r="E102" s="1"/>
      <c r="G102" s="1"/>
      <c r="H102" s="1"/>
      <c r="I102" s="1"/>
      <c r="J102" s="1"/>
      <c r="K102" s="1"/>
      <c r="L102" s="1"/>
      <c r="M102" s="1"/>
      <c r="N102" s="1"/>
      <c r="O102" s="1"/>
      <c r="P102" s="1"/>
      <c r="Q102" s="1"/>
      <c r="R102" s="1"/>
      <c r="S102" s="1"/>
      <c r="T102" s="1"/>
      <c r="U102" s="1"/>
      <c r="V102" s="1"/>
      <c r="W102" s="1"/>
      <c r="X102" s="1"/>
      <c r="Y102" s="1"/>
      <c r="Z102" s="1"/>
    </row>
    <row r="103" spans="1:28" x14ac:dyDescent="0.25">
      <c r="A103" s="1"/>
      <c r="B103" s="1" t="s">
        <v>127</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8" ht="15.5" x14ac:dyDescent="0.35">
      <c r="A106" s="1"/>
      <c r="B106" s="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8" ht="18.649999999999999"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8" ht="18.649999999999999" customHeight="1" x14ac:dyDescent="0.25">
      <c r="A108" s="1"/>
      <c r="B108" s="1"/>
      <c r="C108" s="1"/>
      <c r="D108" s="1"/>
      <c r="E108" s="103"/>
      <c r="F108" s="13"/>
      <c r="G108" s="1"/>
      <c r="H108" s="1"/>
      <c r="I108" s="1"/>
      <c r="J108" s="1"/>
      <c r="K108" s="1"/>
      <c r="L108" s="1"/>
      <c r="M108" s="1"/>
      <c r="N108" s="1"/>
      <c r="O108" s="1"/>
      <c r="P108" s="1"/>
      <c r="Q108" s="1"/>
      <c r="R108" s="1"/>
      <c r="S108" s="1"/>
      <c r="T108" s="1"/>
      <c r="U108" s="1"/>
      <c r="V108" s="1"/>
      <c r="W108" s="1"/>
      <c r="X108" s="1"/>
      <c r="Y108" s="1"/>
      <c r="Z108" s="1"/>
    </row>
    <row r="109" spans="1:28" ht="18.649999999999999"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sheetData>
  <dataValidations disablePrompts="1" count="5">
    <dataValidation type="list" allowBlank="1" showInputMessage="1" showErrorMessage="1" sqref="E10" xr:uid="{9369B506-DF26-4063-B3D1-8860F44E5820}">
      <formula1>$J$84:$J$87</formula1>
    </dataValidation>
    <dataValidation type="list" allowBlank="1" showInputMessage="1" showErrorMessage="1" sqref="C79 C93:C97" xr:uid="{E84C7089-0F5F-4D75-9A6C-D959CB40BD27}">
      <formula1>$J$80:$J$82</formula1>
    </dataValidation>
    <dataValidation type="list" allowBlank="1" showInputMessage="1" showErrorMessage="1" sqref="C84:C86 C88 C80" xr:uid="{8D4AE93C-1686-420F-B46D-4A6E5C8D9239}">
      <formula1>No</formula1>
    </dataValidation>
    <dataValidation type="list" allowBlank="1" showInputMessage="1" showErrorMessage="1" sqref="E109" xr:uid="{3C03B69F-B762-4FFA-ACC6-73EE8F70CEF4}">
      <formula1>$J$60:$J$85</formula1>
    </dataValidation>
    <dataValidation type="list" allowBlank="1" showInputMessage="1" showErrorMessage="1" sqref="C89:C90 C98 C92 C87" xr:uid="{DC06F80D-DABD-44A9-B163-3238C837053F}">
      <formula1>$J$71:$J$72</formula1>
    </dataValidation>
  </dataValidations>
  <pageMargins left="0.7" right="0.7" top="0.75" bottom="0.75" header="0.3" footer="0.3"/>
  <pageSetup scale="75"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1</xdr:col>
                    <xdr:colOff>203200</xdr:colOff>
                    <xdr:row>38</xdr:row>
                    <xdr:rowOff>69850</xdr:rowOff>
                  </from>
                  <to>
                    <xdr:col>3</xdr:col>
                    <xdr:colOff>1403350</xdr:colOff>
                    <xdr:row>40</xdr:row>
                    <xdr:rowOff>69850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1</xdr:col>
                    <xdr:colOff>203200</xdr:colOff>
                    <xdr:row>44</xdr:row>
                    <xdr:rowOff>146050</xdr:rowOff>
                  </from>
                  <to>
                    <xdr:col>3</xdr:col>
                    <xdr:colOff>1403350</xdr:colOff>
                    <xdr:row>47</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4</xdr:col>
                    <xdr:colOff>1860550</xdr:colOff>
                    <xdr:row>38</xdr:row>
                    <xdr:rowOff>114300</xdr:rowOff>
                  </from>
                  <to>
                    <xdr:col>5</xdr:col>
                    <xdr:colOff>1136650</xdr:colOff>
                    <xdr:row>40</xdr:row>
                    <xdr:rowOff>114300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4</xdr:col>
                    <xdr:colOff>1879600</xdr:colOff>
                    <xdr:row>44</xdr:row>
                    <xdr:rowOff>146050</xdr:rowOff>
                  </from>
                  <to>
                    <xdr:col>5</xdr:col>
                    <xdr:colOff>1193800</xdr:colOff>
                    <xdr:row>47</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0</xdr:colOff>
                    <xdr:row>24</xdr:row>
                    <xdr:rowOff>0</xdr:rowOff>
                  </from>
                  <to>
                    <xdr:col>4</xdr:col>
                    <xdr:colOff>127000</xdr:colOff>
                    <xdr:row>26</xdr:row>
                    <xdr:rowOff>31750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0</xdr:colOff>
                    <xdr:row>28</xdr:row>
                    <xdr:rowOff>0</xdr:rowOff>
                  </from>
                  <to>
                    <xdr:col>4</xdr:col>
                    <xdr:colOff>69850</xdr:colOff>
                    <xdr:row>30</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0</xdr:colOff>
                    <xdr:row>30</xdr:row>
                    <xdr:rowOff>0</xdr:rowOff>
                  </from>
                  <to>
                    <xdr:col>4</xdr:col>
                    <xdr:colOff>69850</xdr:colOff>
                    <xdr:row>32</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0</xdr:colOff>
                    <xdr:row>26</xdr:row>
                    <xdr:rowOff>12700</xdr:rowOff>
                  </from>
                  <to>
                    <xdr:col>4</xdr:col>
                    <xdr:colOff>146050</xdr:colOff>
                    <xdr:row>28</xdr:row>
                    <xdr:rowOff>12700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0</xdr:colOff>
                    <xdr:row>32</xdr:row>
                    <xdr:rowOff>0</xdr:rowOff>
                  </from>
                  <to>
                    <xdr:col>3</xdr:col>
                    <xdr:colOff>1022350</xdr:colOff>
                    <xdr:row>34</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304800</xdr:colOff>
                    <xdr:row>40</xdr:row>
                    <xdr:rowOff>50800</xdr:rowOff>
                  </from>
                  <to>
                    <xdr:col>4</xdr:col>
                    <xdr:colOff>869950</xdr:colOff>
                    <xdr:row>42</xdr:row>
                    <xdr:rowOff>31750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298450</xdr:colOff>
                    <xdr:row>42</xdr:row>
                    <xdr:rowOff>31750</xdr:rowOff>
                  </from>
                  <to>
                    <xdr:col>4</xdr:col>
                    <xdr:colOff>723900</xdr:colOff>
                    <xdr:row>44</xdr:row>
                    <xdr:rowOff>50800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5</xdr:col>
                    <xdr:colOff>298450</xdr:colOff>
                    <xdr:row>42</xdr:row>
                    <xdr:rowOff>31750</xdr:rowOff>
                  </from>
                  <to>
                    <xdr:col>6</xdr:col>
                    <xdr:colOff>641350</xdr:colOff>
                    <xdr:row>44</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5</xdr:col>
                    <xdr:colOff>298450</xdr:colOff>
                    <xdr:row>40</xdr:row>
                    <xdr:rowOff>50800</xdr:rowOff>
                  </from>
                  <to>
                    <xdr:col>5</xdr:col>
                    <xdr:colOff>2508250</xdr:colOff>
                    <xdr:row>41</xdr:row>
                    <xdr:rowOff>127000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304800</xdr:colOff>
                    <xdr:row>46</xdr:row>
                    <xdr:rowOff>69850</xdr:rowOff>
                  </from>
                  <to>
                    <xdr:col>4</xdr:col>
                    <xdr:colOff>717550</xdr:colOff>
                    <xdr:row>48</xdr:row>
                    <xdr:rowOff>69850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304800</xdr:colOff>
                    <xdr:row>48</xdr:row>
                    <xdr:rowOff>31750</xdr:rowOff>
                  </from>
                  <to>
                    <xdr:col>4</xdr:col>
                    <xdr:colOff>1098550</xdr:colOff>
                    <xdr:row>51</xdr:row>
                    <xdr:rowOff>69850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5</xdr:col>
                    <xdr:colOff>298450</xdr:colOff>
                    <xdr:row>46</xdr:row>
                    <xdr:rowOff>38100</xdr:rowOff>
                  </from>
                  <to>
                    <xdr:col>5</xdr:col>
                    <xdr:colOff>2794000</xdr:colOff>
                    <xdr:row>48</xdr:row>
                    <xdr:rowOff>76200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298450</xdr:colOff>
                    <xdr:row>48</xdr:row>
                    <xdr:rowOff>31750</xdr:rowOff>
                  </from>
                  <to>
                    <xdr:col>6</xdr:col>
                    <xdr:colOff>831850</xdr:colOff>
                    <xdr:row>50</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E7067401-596D-404B-95BB-185D19B4C370}">
          <x14:formula1>
            <xm:f>'Building block QA scope'!$J$68:$J$70</xm:f>
          </x14:formula1>
          <xm:sqref>E11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77FC5-F796-4339-BDE6-8FC01D312D35}">
  <sheetPr codeName="Sheet11"/>
  <dimension ref="A1:AF54"/>
  <sheetViews>
    <sheetView showGridLines="0" workbookViewId="0"/>
  </sheetViews>
  <sheetFormatPr defaultColWidth="9.09765625" defaultRowHeight="11.5" x14ac:dyDescent="0.25"/>
  <cols>
    <col min="1" max="1" width="3" customWidth="1"/>
    <col min="2" max="2" width="6.09765625" customWidth="1"/>
    <col min="3" max="3" width="12.3984375" customWidth="1"/>
    <col min="4" max="4" width="12.09765625" customWidth="1"/>
    <col min="5" max="5" width="36.09765625" customWidth="1"/>
    <col min="6" max="6" width="21.59765625" customWidth="1"/>
    <col min="7" max="7" width="25" customWidth="1"/>
    <col min="8" max="8" width="17.09765625" customWidth="1"/>
    <col min="9" max="9" width="26" customWidth="1"/>
    <col min="10" max="10" width="10" customWidth="1"/>
    <col min="11" max="11" width="11.09765625" customWidth="1"/>
    <col min="12" max="12" width="14.09765625" customWidth="1"/>
    <col min="13" max="13" width="31.3984375" customWidth="1"/>
    <col min="14" max="14" width="27" customWidth="1"/>
    <col min="17" max="17" width="17.09765625" customWidth="1"/>
  </cols>
  <sheetData>
    <row r="1" spans="1:32" ht="14" x14ac:dyDescent="0.3">
      <c r="A1" s="1"/>
      <c r="B1" s="1"/>
      <c r="C1" s="1"/>
      <c r="D1" s="1"/>
      <c r="E1" s="3"/>
      <c r="F1" s="3"/>
      <c r="G1" s="3"/>
      <c r="H1" s="3"/>
      <c r="I1" s="3"/>
      <c r="J1" s="1"/>
      <c r="K1" s="1"/>
      <c r="L1" s="1"/>
      <c r="M1" s="1"/>
      <c r="N1" s="1"/>
      <c r="O1" s="1"/>
      <c r="P1" s="1"/>
      <c r="Q1" s="1"/>
      <c r="R1" s="1"/>
      <c r="S1" s="1"/>
      <c r="T1" s="1"/>
      <c r="U1" s="1"/>
      <c r="V1" s="1"/>
      <c r="W1" s="1"/>
      <c r="X1" s="1"/>
      <c r="Y1" s="1"/>
    </row>
    <row r="2" spans="1:32" ht="20.25" customHeight="1" x14ac:dyDescent="0.35">
      <c r="A2" s="1"/>
      <c r="B2" s="8" t="s">
        <v>33</v>
      </c>
      <c r="C2" s="104"/>
      <c r="D2" s="104"/>
      <c r="E2" s="104"/>
      <c r="F2" s="104"/>
      <c r="G2" s="1"/>
      <c r="H2" s="1"/>
      <c r="I2" s="1"/>
      <c r="J2" s="1"/>
      <c r="K2" s="10"/>
      <c r="L2" s="10"/>
      <c r="M2" s="10"/>
      <c r="N2" s="10"/>
      <c r="O2" s="10"/>
      <c r="P2" s="10"/>
      <c r="Q2" s="10"/>
      <c r="R2" s="10"/>
      <c r="S2" s="10"/>
      <c r="T2" s="10"/>
      <c r="U2" s="10"/>
      <c r="V2" s="10"/>
      <c r="W2" s="10"/>
      <c r="X2" s="10"/>
      <c r="Y2" s="10"/>
      <c r="Z2" s="11"/>
      <c r="AA2" s="11"/>
      <c r="AB2" s="11"/>
      <c r="AC2" s="11"/>
      <c r="AD2" s="11"/>
      <c r="AE2" s="11"/>
      <c r="AF2" s="11"/>
    </row>
    <row r="3" spans="1:32" ht="70" x14ac:dyDescent="0.25">
      <c r="A3" s="1"/>
      <c r="B3" s="105" t="s">
        <v>15</v>
      </c>
      <c r="C3" s="105" t="s">
        <v>34</v>
      </c>
      <c r="D3" s="105" t="s">
        <v>138</v>
      </c>
      <c r="E3" s="105" t="s">
        <v>35</v>
      </c>
      <c r="F3" s="105" t="s">
        <v>16</v>
      </c>
      <c r="G3" s="105" t="s">
        <v>36</v>
      </c>
      <c r="H3" s="105" t="s">
        <v>37</v>
      </c>
      <c r="I3" s="105" t="s">
        <v>139</v>
      </c>
      <c r="J3" s="105" t="s">
        <v>17</v>
      </c>
      <c r="K3" s="1"/>
      <c r="L3" s="10"/>
      <c r="M3" s="13"/>
      <c r="N3" s="14"/>
      <c r="O3" s="14"/>
      <c r="P3" s="14"/>
      <c r="Q3" s="10"/>
      <c r="R3" s="15"/>
      <c r="S3" s="10"/>
      <c r="T3" s="10"/>
      <c r="U3" s="10"/>
      <c r="V3" s="10"/>
      <c r="W3" s="10"/>
      <c r="X3" s="10"/>
      <c r="Y3" s="10"/>
      <c r="Z3" s="11"/>
      <c r="AA3" s="11"/>
      <c r="AB3" s="11"/>
      <c r="AC3" s="11"/>
      <c r="AD3" s="11"/>
      <c r="AE3" s="11"/>
      <c r="AF3" s="11"/>
    </row>
    <row r="4" spans="1:32" ht="61.5" customHeight="1" thickBot="1" x14ac:dyDescent="0.3">
      <c r="A4" s="1"/>
      <c r="B4" s="106"/>
      <c r="C4" s="106" t="s">
        <v>38</v>
      </c>
      <c r="D4" s="106" t="s">
        <v>170</v>
      </c>
      <c r="E4" s="106"/>
      <c r="F4" s="106" t="s">
        <v>39</v>
      </c>
      <c r="G4" s="106" t="s">
        <v>140</v>
      </c>
      <c r="H4" s="106" t="s">
        <v>141</v>
      </c>
      <c r="I4" s="106" t="s">
        <v>40</v>
      </c>
      <c r="J4" s="106"/>
      <c r="K4" s="1"/>
      <c r="L4" s="10"/>
      <c r="M4" s="16" t="s">
        <v>41</v>
      </c>
      <c r="N4" s="16" t="s">
        <v>42</v>
      </c>
      <c r="O4" s="1"/>
      <c r="P4" s="14"/>
      <c r="Q4" s="10"/>
      <c r="R4" s="15"/>
      <c r="S4" s="10"/>
      <c r="T4" s="10"/>
      <c r="U4" s="10"/>
      <c r="V4" s="10"/>
      <c r="W4" s="10"/>
      <c r="X4" s="10"/>
      <c r="Y4" s="10"/>
      <c r="Z4" s="11"/>
      <c r="AA4" s="11"/>
      <c r="AB4" s="11"/>
      <c r="AC4" s="11"/>
      <c r="AD4" s="11"/>
      <c r="AE4" s="11"/>
      <c r="AF4" s="11"/>
    </row>
    <row r="5" spans="1:32" ht="46" x14ac:dyDescent="0.25">
      <c r="A5" s="1"/>
      <c r="B5" s="17">
        <v>1</v>
      </c>
      <c r="C5" s="18"/>
      <c r="D5" s="19"/>
      <c r="E5" s="19" t="s">
        <v>1378</v>
      </c>
      <c r="F5" s="21" t="s">
        <v>142</v>
      </c>
      <c r="G5" s="618" t="s">
        <v>1343</v>
      </c>
      <c r="H5" s="19"/>
      <c r="I5" s="19" t="s">
        <v>1402</v>
      </c>
      <c r="J5" s="19" t="s">
        <v>1416</v>
      </c>
      <c r="K5" s="10"/>
      <c r="L5" s="10"/>
      <c r="M5" s="107" t="s">
        <v>142</v>
      </c>
      <c r="N5" s="90" t="s">
        <v>143</v>
      </c>
      <c r="O5" s="1"/>
      <c r="P5" s="10"/>
      <c r="Q5" s="10"/>
      <c r="R5" s="10"/>
      <c r="S5" s="10"/>
      <c r="T5" s="10"/>
      <c r="U5" s="10"/>
      <c r="V5" s="10"/>
      <c r="W5" s="10"/>
      <c r="X5" s="10"/>
      <c r="Y5" s="10"/>
      <c r="Z5" s="11"/>
      <c r="AA5" s="11"/>
      <c r="AB5" s="11"/>
      <c r="AC5" s="11"/>
      <c r="AD5" s="11"/>
      <c r="AE5" s="11"/>
      <c r="AF5" s="11"/>
    </row>
    <row r="6" spans="1:32" ht="46" x14ac:dyDescent="0.25">
      <c r="A6" s="1"/>
      <c r="B6" s="17">
        <f>B5+1</f>
        <v>2</v>
      </c>
      <c r="C6" s="20"/>
      <c r="D6" s="21"/>
      <c r="E6" s="21" t="s">
        <v>1391</v>
      </c>
      <c r="F6" s="21" t="s">
        <v>142</v>
      </c>
      <c r="G6" s="623" t="s">
        <v>1344</v>
      </c>
      <c r="H6" s="21"/>
      <c r="I6" s="21" t="s">
        <v>1407</v>
      </c>
      <c r="J6" s="21" t="s">
        <v>1416</v>
      </c>
      <c r="K6" s="10"/>
      <c r="L6" s="10"/>
      <c r="M6" s="108" t="s">
        <v>144</v>
      </c>
      <c r="N6" s="90" t="s">
        <v>145</v>
      </c>
      <c r="O6" s="1"/>
      <c r="P6" s="14"/>
      <c r="Q6" s="10"/>
      <c r="R6" s="10"/>
      <c r="S6" s="10"/>
      <c r="T6" s="10"/>
      <c r="U6" s="10"/>
      <c r="V6" s="10"/>
      <c r="W6" s="10"/>
      <c r="X6" s="10"/>
      <c r="Y6" s="10"/>
      <c r="Z6" s="11"/>
      <c r="AA6" s="11"/>
      <c r="AB6" s="11"/>
      <c r="AC6" s="11"/>
      <c r="AD6" s="11"/>
      <c r="AE6" s="11"/>
      <c r="AF6" s="11"/>
    </row>
    <row r="7" spans="1:32" ht="46" x14ac:dyDescent="0.25">
      <c r="A7" s="1"/>
      <c r="B7" s="17"/>
      <c r="C7" s="20"/>
      <c r="D7" s="21"/>
      <c r="E7" s="21" t="s">
        <v>1392</v>
      </c>
      <c r="F7" s="21" t="s">
        <v>144</v>
      </c>
      <c r="G7" s="623"/>
      <c r="H7" s="21"/>
      <c r="I7" s="21" t="s">
        <v>1394</v>
      </c>
      <c r="J7" s="21" t="s">
        <v>1416</v>
      </c>
      <c r="K7" s="10"/>
      <c r="L7" s="10"/>
      <c r="M7" s="108"/>
      <c r="N7" s="90"/>
      <c r="O7" s="1"/>
      <c r="P7" s="14"/>
      <c r="Q7" s="10"/>
      <c r="R7" s="10"/>
      <c r="S7" s="10"/>
      <c r="T7" s="10"/>
      <c r="U7" s="10"/>
      <c r="V7" s="10"/>
      <c r="W7" s="10"/>
      <c r="X7" s="10"/>
      <c r="Y7" s="10"/>
      <c r="Z7" s="11"/>
      <c r="AA7" s="11"/>
      <c r="AB7" s="11"/>
      <c r="AC7" s="11"/>
      <c r="AD7" s="11"/>
      <c r="AE7" s="11"/>
      <c r="AF7" s="11"/>
    </row>
    <row r="8" spans="1:32" ht="80.5" x14ac:dyDescent="0.25">
      <c r="A8" s="1"/>
      <c r="B8" s="17">
        <f>B6+1</f>
        <v>3</v>
      </c>
      <c r="C8" s="20"/>
      <c r="D8" s="21"/>
      <c r="E8" s="21" t="s">
        <v>1377</v>
      </c>
      <c r="F8" s="21" t="s">
        <v>144</v>
      </c>
      <c r="G8" s="623" t="s">
        <v>1345</v>
      </c>
      <c r="H8" s="21"/>
      <c r="I8" s="21" t="s">
        <v>1395</v>
      </c>
      <c r="J8" s="21" t="s">
        <v>1416</v>
      </c>
      <c r="K8" s="10"/>
      <c r="L8" s="10"/>
      <c r="M8" s="109"/>
      <c r="O8" s="1"/>
      <c r="P8" s="14"/>
      <c r="Q8" s="10"/>
      <c r="R8" s="10"/>
      <c r="S8" s="10"/>
      <c r="T8" s="10"/>
      <c r="U8" s="10"/>
      <c r="V8" s="10"/>
      <c r="W8" s="10"/>
      <c r="X8" s="10"/>
      <c r="Y8" s="10"/>
      <c r="Z8" s="11"/>
      <c r="AA8" s="11"/>
      <c r="AB8" s="11"/>
      <c r="AC8" s="11"/>
      <c r="AD8" s="11"/>
      <c r="AE8" s="11"/>
      <c r="AF8" s="11"/>
    </row>
    <row r="9" spans="1:32" ht="80.5" x14ac:dyDescent="0.25">
      <c r="A9" s="1"/>
      <c r="B9" s="17">
        <f t="shared" ref="B9:B37" si="0">B8+1</f>
        <v>4</v>
      </c>
      <c r="C9" s="20"/>
      <c r="D9" s="21"/>
      <c r="E9" s="21" t="s">
        <v>1379</v>
      </c>
      <c r="F9" s="21" t="s">
        <v>144</v>
      </c>
      <c r="G9" s="623" t="s">
        <v>1346</v>
      </c>
      <c r="H9" s="21"/>
      <c r="I9" s="21" t="s">
        <v>1408</v>
      </c>
      <c r="J9" s="21" t="s">
        <v>1416</v>
      </c>
      <c r="K9" s="10"/>
      <c r="L9" s="10"/>
      <c r="M9" s="108"/>
      <c r="N9" s="90"/>
      <c r="O9" s="1"/>
      <c r="P9" s="14"/>
      <c r="Q9" s="10"/>
      <c r="R9" s="10"/>
      <c r="S9" s="10"/>
      <c r="T9" s="10"/>
      <c r="U9" s="10"/>
      <c r="V9" s="10"/>
      <c r="W9" s="10"/>
      <c r="X9" s="10"/>
      <c r="Y9" s="10"/>
      <c r="Z9" s="11"/>
      <c r="AA9" s="11"/>
      <c r="AB9" s="11"/>
      <c r="AC9" s="11"/>
      <c r="AD9" s="11"/>
      <c r="AE9" s="11"/>
      <c r="AF9" s="11"/>
    </row>
    <row r="10" spans="1:32" ht="92" x14ac:dyDescent="0.25">
      <c r="A10" s="1"/>
      <c r="B10" s="17">
        <f t="shared" si="0"/>
        <v>5</v>
      </c>
      <c r="C10" s="20"/>
      <c r="D10" s="21"/>
      <c r="E10" s="21" t="s">
        <v>1380</v>
      </c>
      <c r="F10" s="21" t="s">
        <v>144</v>
      </c>
      <c r="G10" s="623" t="s">
        <v>1353</v>
      </c>
      <c r="H10" s="21"/>
      <c r="I10" s="21" t="s">
        <v>1409</v>
      </c>
      <c r="J10" s="21" t="s">
        <v>1416</v>
      </c>
      <c r="K10" s="10"/>
      <c r="L10" s="10"/>
      <c r="M10" s="108"/>
      <c r="N10" s="90"/>
      <c r="O10" s="1"/>
      <c r="P10" s="10"/>
      <c r="Q10" s="10"/>
      <c r="R10" s="10"/>
      <c r="S10" s="10"/>
      <c r="T10" s="10"/>
      <c r="U10" s="10"/>
      <c r="V10" s="10"/>
      <c r="W10" s="10"/>
      <c r="X10" s="10"/>
      <c r="Y10" s="10"/>
      <c r="Z10" s="11"/>
      <c r="AA10" s="11"/>
      <c r="AB10" s="11"/>
      <c r="AC10" s="11"/>
      <c r="AD10" s="11"/>
      <c r="AE10" s="11"/>
      <c r="AF10" s="11"/>
    </row>
    <row r="11" spans="1:32" ht="92" x14ac:dyDescent="0.25">
      <c r="A11" s="1"/>
      <c r="B11" s="17">
        <f t="shared" si="0"/>
        <v>6</v>
      </c>
      <c r="C11" s="20"/>
      <c r="D11" s="21"/>
      <c r="E11" s="21" t="s">
        <v>1381</v>
      </c>
      <c r="F11" s="21" t="s">
        <v>144</v>
      </c>
      <c r="G11" s="624" t="s">
        <v>1354</v>
      </c>
      <c r="H11" s="21"/>
      <c r="I11" s="21" t="s">
        <v>1410</v>
      </c>
      <c r="J11" s="21" t="s">
        <v>1416</v>
      </c>
      <c r="K11" s="10"/>
      <c r="L11" s="10"/>
      <c r="M11" s="98"/>
      <c r="N11" s="90"/>
      <c r="O11" s="1"/>
      <c r="P11" s="14"/>
      <c r="Q11" s="10"/>
      <c r="R11" s="10"/>
      <c r="S11" s="10"/>
      <c r="T11" s="10"/>
      <c r="U11" s="10"/>
      <c r="V11" s="10"/>
      <c r="W11" s="10"/>
      <c r="X11" s="10"/>
      <c r="Y11" s="10"/>
      <c r="Z11" s="11"/>
      <c r="AA11" s="11"/>
      <c r="AB11" s="11"/>
      <c r="AC11" s="11"/>
      <c r="AD11" s="11"/>
      <c r="AE11" s="11"/>
      <c r="AF11" s="11"/>
    </row>
    <row r="12" spans="1:32" ht="23" x14ac:dyDescent="0.25">
      <c r="A12" s="1"/>
      <c r="B12" s="17">
        <f t="shared" si="0"/>
        <v>7</v>
      </c>
      <c r="C12" s="20"/>
      <c r="D12" s="21"/>
      <c r="E12" s="21" t="s">
        <v>1350</v>
      </c>
      <c r="F12" s="21" t="s">
        <v>144</v>
      </c>
      <c r="G12" s="624" t="s">
        <v>1348</v>
      </c>
      <c r="H12" s="21"/>
      <c r="I12" s="21" t="s">
        <v>1393</v>
      </c>
      <c r="J12" s="21" t="s">
        <v>1416</v>
      </c>
      <c r="K12" s="10"/>
      <c r="L12" s="10"/>
      <c r="M12" s="108"/>
      <c r="N12" s="90"/>
      <c r="O12" s="1"/>
      <c r="P12" s="10"/>
      <c r="Q12" s="10"/>
      <c r="R12" s="10"/>
      <c r="S12" s="10"/>
      <c r="T12" s="10"/>
      <c r="U12" s="10"/>
      <c r="V12" s="10"/>
      <c r="W12" s="10"/>
      <c r="X12" s="10"/>
      <c r="Y12" s="10"/>
      <c r="Z12" s="11"/>
      <c r="AA12" s="11"/>
      <c r="AB12" s="11"/>
      <c r="AC12" s="11"/>
      <c r="AD12" s="11"/>
      <c r="AE12" s="11"/>
      <c r="AF12" s="11"/>
    </row>
    <row r="13" spans="1:32" ht="23" x14ac:dyDescent="0.25">
      <c r="A13" s="1"/>
      <c r="B13" s="17">
        <f t="shared" si="0"/>
        <v>8</v>
      </c>
      <c r="C13" s="20"/>
      <c r="D13" s="21"/>
      <c r="E13" s="21" t="s">
        <v>1359</v>
      </c>
      <c r="F13" s="21" t="s">
        <v>144</v>
      </c>
      <c r="G13" s="624" t="s">
        <v>1360</v>
      </c>
      <c r="H13" s="21"/>
      <c r="I13" s="21" t="s">
        <v>1396</v>
      </c>
      <c r="J13" s="21" t="s">
        <v>1416</v>
      </c>
      <c r="K13" s="10"/>
      <c r="L13" s="10"/>
      <c r="M13" s="108"/>
      <c r="N13" s="90"/>
      <c r="O13" s="1"/>
      <c r="P13" s="10"/>
      <c r="Q13" s="10"/>
      <c r="R13" s="10"/>
      <c r="S13" s="10"/>
      <c r="T13" s="10"/>
      <c r="U13" s="10"/>
      <c r="V13" s="10"/>
      <c r="W13" s="10"/>
      <c r="X13" s="10"/>
      <c r="Y13" s="10"/>
      <c r="Z13" s="11"/>
      <c r="AA13" s="11"/>
      <c r="AB13" s="11"/>
      <c r="AC13" s="11"/>
      <c r="AD13" s="11"/>
      <c r="AE13" s="11"/>
      <c r="AF13" s="11"/>
    </row>
    <row r="14" spans="1:32" ht="23" x14ac:dyDescent="0.25">
      <c r="A14" s="1"/>
      <c r="B14" s="17">
        <f t="shared" si="0"/>
        <v>9</v>
      </c>
      <c r="C14" s="20"/>
      <c r="D14" s="21"/>
      <c r="E14" s="21" t="s">
        <v>1382</v>
      </c>
      <c r="F14" s="21" t="s">
        <v>144</v>
      </c>
      <c r="G14" s="623" t="s">
        <v>1349</v>
      </c>
      <c r="H14" s="21"/>
      <c r="I14" s="21" t="s">
        <v>1398</v>
      </c>
      <c r="J14" s="21" t="s">
        <v>1416</v>
      </c>
      <c r="K14" s="10"/>
      <c r="L14" s="10"/>
      <c r="M14" s="108"/>
      <c r="N14" s="90"/>
      <c r="O14" s="1"/>
      <c r="P14" s="10"/>
      <c r="Q14" s="10"/>
      <c r="R14" s="10"/>
      <c r="S14" s="10"/>
      <c r="T14" s="10"/>
      <c r="U14" s="10"/>
      <c r="V14" s="10"/>
      <c r="W14" s="10"/>
      <c r="X14" s="10"/>
      <c r="Y14" s="10"/>
      <c r="Z14" s="11"/>
      <c r="AA14" s="11"/>
      <c r="AB14" s="11"/>
      <c r="AC14" s="11"/>
      <c r="AD14" s="11"/>
      <c r="AE14" s="11"/>
      <c r="AF14" s="11"/>
    </row>
    <row r="15" spans="1:32" ht="80.5" x14ac:dyDescent="0.25">
      <c r="A15" s="1"/>
      <c r="B15" s="17">
        <f t="shared" si="0"/>
        <v>10</v>
      </c>
      <c r="C15" s="20"/>
      <c r="D15" s="21"/>
      <c r="E15" s="21" t="s">
        <v>1383</v>
      </c>
      <c r="F15" s="21" t="s">
        <v>144</v>
      </c>
      <c r="G15" s="21" t="s">
        <v>1349</v>
      </c>
      <c r="H15" s="21"/>
      <c r="I15" s="21" t="s">
        <v>1399</v>
      </c>
      <c r="J15" s="21" t="s">
        <v>1416</v>
      </c>
      <c r="K15" s="10"/>
      <c r="L15" s="10"/>
      <c r="M15" s="22"/>
      <c r="N15" s="90"/>
      <c r="O15" s="1"/>
      <c r="P15" s="10"/>
      <c r="Q15" s="10"/>
      <c r="R15" s="10"/>
      <c r="S15" s="10"/>
      <c r="T15" s="10"/>
      <c r="U15" s="10"/>
      <c r="V15" s="10"/>
      <c r="W15" s="10"/>
      <c r="X15" s="10"/>
      <c r="Y15" s="10"/>
      <c r="Z15" s="11"/>
      <c r="AA15" s="11"/>
      <c r="AB15" s="11"/>
      <c r="AC15" s="11"/>
      <c r="AD15" s="11"/>
      <c r="AE15" s="11"/>
      <c r="AF15" s="11"/>
    </row>
    <row r="16" spans="1:32" ht="23" x14ac:dyDescent="0.25">
      <c r="A16" s="1"/>
      <c r="B16" s="17">
        <f t="shared" si="0"/>
        <v>11</v>
      </c>
      <c r="C16" s="20"/>
      <c r="D16" s="21"/>
      <c r="E16" s="21" t="s">
        <v>1351</v>
      </c>
      <c r="F16" s="21" t="s">
        <v>144</v>
      </c>
      <c r="G16" s="623" t="s">
        <v>1352</v>
      </c>
      <c r="H16" s="21"/>
      <c r="I16" s="21" t="s">
        <v>1393</v>
      </c>
      <c r="J16" s="21" t="s">
        <v>1416</v>
      </c>
      <c r="K16" s="10"/>
      <c r="L16" s="10"/>
      <c r="M16" s="1"/>
      <c r="N16" s="1"/>
      <c r="O16" s="1"/>
      <c r="P16" s="10"/>
      <c r="Q16" s="10"/>
      <c r="R16" s="10"/>
      <c r="S16" s="10"/>
      <c r="T16" s="10"/>
      <c r="U16" s="10"/>
      <c r="V16" s="10"/>
      <c r="W16" s="10"/>
      <c r="X16" s="10"/>
      <c r="Y16" s="10"/>
      <c r="Z16" s="11"/>
      <c r="AA16" s="11"/>
      <c r="AB16" s="11"/>
      <c r="AC16" s="11"/>
      <c r="AD16" s="11"/>
      <c r="AE16" s="11"/>
      <c r="AF16" s="11"/>
    </row>
    <row r="17" spans="1:32" ht="69" x14ac:dyDescent="0.25">
      <c r="A17" s="1"/>
      <c r="B17" s="17">
        <f t="shared" si="0"/>
        <v>12</v>
      </c>
      <c r="C17" s="20"/>
      <c r="D17" s="21"/>
      <c r="E17" s="21" t="s">
        <v>1366</v>
      </c>
      <c r="F17" s="21" t="s">
        <v>142</v>
      </c>
      <c r="G17" s="624" t="s">
        <v>1362</v>
      </c>
      <c r="H17" s="21"/>
      <c r="I17" s="21" t="s">
        <v>1393</v>
      </c>
      <c r="J17" s="21" t="s">
        <v>1416</v>
      </c>
      <c r="K17" s="10"/>
      <c r="L17" s="10"/>
      <c r="M17" s="10"/>
      <c r="N17" s="10"/>
      <c r="O17" s="10"/>
      <c r="P17" s="10"/>
      <c r="Q17" s="10"/>
      <c r="R17" s="10"/>
      <c r="S17" s="10"/>
      <c r="T17" s="10"/>
      <c r="U17" s="10"/>
      <c r="V17" s="10"/>
      <c r="W17" s="10"/>
      <c r="X17" s="10"/>
      <c r="Y17" s="10"/>
      <c r="Z17" s="11"/>
      <c r="AA17" s="11"/>
      <c r="AB17" s="11"/>
      <c r="AC17" s="11"/>
      <c r="AD17" s="11"/>
      <c r="AE17" s="11"/>
      <c r="AF17" s="11"/>
    </row>
    <row r="18" spans="1:32" ht="34.5" x14ac:dyDescent="0.25">
      <c r="A18" s="1"/>
      <c r="B18" s="17">
        <f t="shared" si="0"/>
        <v>13</v>
      </c>
      <c r="C18" s="20"/>
      <c r="D18" s="21"/>
      <c r="E18" s="21" t="s">
        <v>1363</v>
      </c>
      <c r="F18" s="21" t="s">
        <v>144</v>
      </c>
      <c r="G18" s="623" t="s">
        <v>1364</v>
      </c>
      <c r="H18" s="21"/>
      <c r="I18" s="21" t="s">
        <v>1395</v>
      </c>
      <c r="J18" s="21" t="s">
        <v>1416</v>
      </c>
      <c r="K18" s="10"/>
      <c r="L18" s="10"/>
      <c r="M18" s="10"/>
      <c r="N18" s="10"/>
      <c r="O18" s="10"/>
      <c r="P18" s="10"/>
      <c r="Q18" s="10"/>
      <c r="R18" s="10"/>
      <c r="S18" s="10"/>
      <c r="T18" s="10"/>
      <c r="U18" s="10"/>
      <c r="V18" s="10"/>
      <c r="W18" s="10"/>
      <c r="X18" s="10"/>
      <c r="Y18" s="10"/>
      <c r="Z18" s="11"/>
      <c r="AA18" s="11"/>
      <c r="AB18" s="11"/>
      <c r="AC18" s="11"/>
      <c r="AD18" s="11"/>
      <c r="AE18" s="11"/>
      <c r="AF18" s="11"/>
    </row>
    <row r="19" spans="1:32" ht="46" x14ac:dyDescent="0.25">
      <c r="A19" s="1"/>
      <c r="B19" s="17">
        <f t="shared" si="0"/>
        <v>14</v>
      </c>
      <c r="C19" s="20"/>
      <c r="D19" s="21"/>
      <c r="E19" s="21" t="s">
        <v>1361</v>
      </c>
      <c r="F19" s="21" t="s">
        <v>144</v>
      </c>
      <c r="G19" s="623" t="s">
        <v>1365</v>
      </c>
      <c r="H19" s="21"/>
      <c r="I19" s="21" t="s">
        <v>1401</v>
      </c>
      <c r="J19" s="21" t="s">
        <v>1416</v>
      </c>
      <c r="K19" s="10"/>
      <c r="L19" s="10"/>
      <c r="M19" s="10"/>
      <c r="N19" s="10"/>
      <c r="O19" s="10"/>
      <c r="P19" s="10"/>
      <c r="Q19" s="10"/>
      <c r="R19" s="10"/>
      <c r="S19" s="10"/>
      <c r="T19" s="10"/>
      <c r="U19" s="10"/>
      <c r="V19" s="10"/>
      <c r="W19" s="10"/>
      <c r="X19" s="10"/>
      <c r="Y19" s="10"/>
      <c r="Z19" s="11"/>
      <c r="AA19" s="11"/>
      <c r="AB19" s="11"/>
      <c r="AC19" s="11"/>
      <c r="AD19" s="11"/>
      <c r="AE19" s="11"/>
      <c r="AF19" s="11"/>
    </row>
    <row r="20" spans="1:32" ht="80.5" x14ac:dyDescent="0.25">
      <c r="A20" s="1"/>
      <c r="B20" s="17">
        <f t="shared" si="0"/>
        <v>15</v>
      </c>
      <c r="C20" s="20"/>
      <c r="D20" s="21"/>
      <c r="E20" s="21" t="s">
        <v>1386</v>
      </c>
      <c r="F20" s="21" t="s">
        <v>142</v>
      </c>
      <c r="G20" s="624" t="s">
        <v>1388</v>
      </c>
      <c r="H20" s="21"/>
      <c r="I20" s="21" t="s">
        <v>1412</v>
      </c>
      <c r="J20" s="21" t="s">
        <v>1416</v>
      </c>
      <c r="K20" s="10"/>
      <c r="L20" s="10"/>
      <c r="M20" s="10"/>
      <c r="N20" s="10"/>
      <c r="O20" s="10"/>
      <c r="P20" s="10"/>
      <c r="Q20" s="10"/>
      <c r="R20" s="10"/>
      <c r="S20" s="10"/>
      <c r="T20" s="10"/>
      <c r="U20" s="10"/>
      <c r="V20" s="10"/>
      <c r="W20" s="10"/>
      <c r="X20" s="10"/>
      <c r="Y20" s="10"/>
      <c r="Z20" s="11"/>
      <c r="AA20" s="11"/>
      <c r="AB20" s="11"/>
      <c r="AC20" s="11"/>
      <c r="AD20" s="11"/>
      <c r="AE20" s="11"/>
      <c r="AF20" s="11"/>
    </row>
    <row r="21" spans="1:32" ht="92" x14ac:dyDescent="0.25">
      <c r="A21" s="1"/>
      <c r="B21" s="17">
        <f t="shared" si="0"/>
        <v>16</v>
      </c>
      <c r="C21" s="20"/>
      <c r="D21" s="21"/>
      <c r="E21" s="21" t="s">
        <v>1387</v>
      </c>
      <c r="F21" s="21" t="s">
        <v>142</v>
      </c>
      <c r="G21" s="624" t="s">
        <v>1388</v>
      </c>
      <c r="H21" s="21"/>
      <c r="I21" s="21" t="s">
        <v>1403</v>
      </c>
      <c r="J21" s="21" t="s">
        <v>1416</v>
      </c>
      <c r="K21" s="10"/>
      <c r="L21" s="10"/>
      <c r="M21" s="10"/>
      <c r="N21" s="10"/>
      <c r="O21" s="10"/>
      <c r="P21" s="10"/>
      <c r="Q21" s="10"/>
      <c r="R21" s="10"/>
      <c r="S21" s="10"/>
      <c r="T21" s="10"/>
      <c r="U21" s="10"/>
      <c r="V21" s="10"/>
      <c r="W21" s="10"/>
      <c r="X21" s="10"/>
      <c r="Y21" s="10"/>
      <c r="Z21" s="11"/>
      <c r="AA21" s="11"/>
      <c r="AB21" s="11"/>
      <c r="AC21" s="11"/>
      <c r="AD21" s="11"/>
      <c r="AE21" s="11"/>
      <c r="AF21" s="11"/>
    </row>
    <row r="22" spans="1:32" ht="23" x14ac:dyDescent="0.25">
      <c r="A22" s="1"/>
      <c r="B22" s="17">
        <f t="shared" si="0"/>
        <v>17</v>
      </c>
      <c r="C22" s="20"/>
      <c r="D22" s="21"/>
      <c r="E22" s="21" t="s">
        <v>1367</v>
      </c>
      <c r="F22" s="21" t="s">
        <v>144</v>
      </c>
      <c r="G22" s="624" t="s">
        <v>1368</v>
      </c>
      <c r="H22" s="21"/>
      <c r="I22" s="21" t="s">
        <v>1393</v>
      </c>
      <c r="J22" s="21" t="s">
        <v>1416</v>
      </c>
      <c r="K22" s="10"/>
      <c r="L22" s="10"/>
      <c r="M22" s="10"/>
      <c r="N22" s="10"/>
      <c r="O22" s="10"/>
      <c r="P22" s="10"/>
      <c r="Q22" s="10"/>
      <c r="R22" s="10"/>
      <c r="S22" s="10"/>
      <c r="T22" s="10"/>
      <c r="U22" s="10"/>
      <c r="V22" s="10"/>
      <c r="W22" s="10"/>
      <c r="X22" s="10"/>
      <c r="Y22" s="10"/>
      <c r="Z22" s="11"/>
      <c r="AA22" s="11"/>
      <c r="AB22" s="11"/>
      <c r="AC22" s="11"/>
      <c r="AD22" s="11"/>
      <c r="AE22" s="11"/>
      <c r="AF22" s="11"/>
    </row>
    <row r="23" spans="1:32" ht="57.5" x14ac:dyDescent="0.25">
      <c r="A23" s="1"/>
      <c r="B23" s="17">
        <f t="shared" si="0"/>
        <v>18</v>
      </c>
      <c r="C23" s="20"/>
      <c r="D23" s="21"/>
      <c r="E23" s="21" t="s">
        <v>1355</v>
      </c>
      <c r="F23" s="21" t="s">
        <v>144</v>
      </c>
      <c r="G23" s="623" t="s">
        <v>1356</v>
      </c>
      <c r="H23" s="21"/>
      <c r="I23" s="21" t="s">
        <v>1414</v>
      </c>
      <c r="J23" s="21" t="s">
        <v>1416</v>
      </c>
      <c r="K23" s="10"/>
      <c r="L23" s="10"/>
      <c r="M23" s="1"/>
      <c r="N23" s="1"/>
      <c r="O23" s="1"/>
      <c r="P23" s="10"/>
      <c r="Q23" s="10"/>
      <c r="R23" s="10"/>
      <c r="S23" s="10"/>
      <c r="T23" s="10"/>
      <c r="U23" s="10"/>
      <c r="V23" s="10"/>
      <c r="W23" s="10"/>
      <c r="X23" s="10"/>
      <c r="Y23" s="10"/>
      <c r="Z23" s="11"/>
      <c r="AA23" s="11"/>
      <c r="AB23" s="11"/>
      <c r="AC23" s="11"/>
      <c r="AD23" s="11"/>
      <c r="AE23" s="11"/>
      <c r="AF23" s="11"/>
    </row>
    <row r="24" spans="1:32" ht="57.5" x14ac:dyDescent="0.25">
      <c r="A24" s="1"/>
      <c r="B24" s="17">
        <f t="shared" si="0"/>
        <v>19</v>
      </c>
      <c r="C24" s="20"/>
      <c r="D24" s="21"/>
      <c r="E24" s="21" t="s">
        <v>1384</v>
      </c>
      <c r="F24" s="21" t="s">
        <v>144</v>
      </c>
      <c r="G24" s="623" t="s">
        <v>1357</v>
      </c>
      <c r="H24" s="21"/>
      <c r="I24" s="21" t="s">
        <v>1393</v>
      </c>
      <c r="J24" s="21" t="s">
        <v>1416</v>
      </c>
      <c r="K24" s="10"/>
      <c r="L24" s="10"/>
      <c r="M24" s="10"/>
      <c r="N24" s="10"/>
      <c r="O24" s="10"/>
      <c r="P24" s="10"/>
      <c r="Q24" s="10"/>
      <c r="R24" s="10"/>
      <c r="S24" s="10"/>
      <c r="T24" s="10"/>
      <c r="U24" s="10"/>
      <c r="V24" s="10"/>
      <c r="W24" s="10"/>
      <c r="X24" s="10"/>
      <c r="Y24" s="10"/>
      <c r="Z24" s="11"/>
      <c r="AA24" s="11"/>
      <c r="AB24" s="11"/>
      <c r="AC24" s="11"/>
      <c r="AD24" s="11"/>
      <c r="AE24" s="11"/>
      <c r="AF24" s="11"/>
    </row>
    <row r="25" spans="1:32" ht="23" x14ac:dyDescent="0.25">
      <c r="A25" s="1"/>
      <c r="B25" s="17">
        <f t="shared" si="0"/>
        <v>20</v>
      </c>
      <c r="C25" s="20"/>
      <c r="D25" s="21"/>
      <c r="E25" s="21" t="s">
        <v>1369</v>
      </c>
      <c r="F25" s="21" t="s">
        <v>144</v>
      </c>
      <c r="G25" s="623" t="s">
        <v>1370</v>
      </c>
      <c r="H25" s="21"/>
      <c r="I25" s="21" t="s">
        <v>1393</v>
      </c>
      <c r="J25" s="21" t="s">
        <v>1416</v>
      </c>
      <c r="K25" s="10"/>
      <c r="L25" s="10"/>
      <c r="M25" s="10"/>
      <c r="N25" s="10"/>
      <c r="O25" s="10"/>
      <c r="P25" s="10"/>
      <c r="Q25" s="10"/>
      <c r="R25" s="10"/>
      <c r="S25" s="10"/>
      <c r="T25" s="10"/>
      <c r="U25" s="10"/>
      <c r="V25" s="10"/>
      <c r="W25" s="10"/>
      <c r="X25" s="10"/>
      <c r="Y25" s="10"/>
      <c r="Z25" s="11"/>
      <c r="AA25" s="11"/>
      <c r="AB25" s="11"/>
      <c r="AC25" s="11"/>
      <c r="AD25" s="11"/>
      <c r="AE25" s="11"/>
      <c r="AF25" s="11"/>
    </row>
    <row r="26" spans="1:32" ht="57.5" x14ac:dyDescent="0.25">
      <c r="A26" s="1"/>
      <c r="B26" s="17">
        <f t="shared" si="0"/>
        <v>21</v>
      </c>
      <c r="C26" s="20"/>
      <c r="D26" s="21"/>
      <c r="E26" s="21" t="s">
        <v>1385</v>
      </c>
      <c r="F26" s="21" t="s">
        <v>144</v>
      </c>
      <c r="G26" s="623" t="s">
        <v>1358</v>
      </c>
      <c r="H26" s="21"/>
      <c r="I26" s="21" t="s">
        <v>1404</v>
      </c>
      <c r="J26" s="21" t="s">
        <v>1416</v>
      </c>
      <c r="K26" s="10"/>
      <c r="L26" s="10"/>
      <c r="M26" s="10"/>
      <c r="N26" s="10"/>
      <c r="O26" s="10"/>
      <c r="P26" s="10"/>
      <c r="Q26" s="10"/>
      <c r="R26" s="10"/>
      <c r="S26" s="10"/>
      <c r="T26" s="10"/>
      <c r="U26" s="10"/>
      <c r="V26" s="10"/>
      <c r="W26" s="10"/>
      <c r="X26" s="10"/>
      <c r="Y26" s="10"/>
      <c r="Z26" s="11"/>
      <c r="AA26" s="11"/>
      <c r="AB26" s="11"/>
      <c r="AC26" s="11"/>
      <c r="AD26" s="11"/>
      <c r="AE26" s="11"/>
      <c r="AF26" s="11"/>
    </row>
    <row r="27" spans="1:32" ht="23" x14ac:dyDescent="0.25">
      <c r="A27" s="1"/>
      <c r="B27" s="17">
        <f t="shared" si="0"/>
        <v>22</v>
      </c>
      <c r="C27" s="20"/>
      <c r="D27" s="21"/>
      <c r="E27" s="21" t="s">
        <v>1371</v>
      </c>
      <c r="F27" s="21" t="s">
        <v>144</v>
      </c>
      <c r="G27" s="624" t="s">
        <v>1372</v>
      </c>
      <c r="H27" s="21"/>
      <c r="I27" s="21" t="s">
        <v>1393</v>
      </c>
      <c r="J27" s="21" t="s">
        <v>1416</v>
      </c>
      <c r="K27" s="10"/>
      <c r="L27" s="10"/>
      <c r="M27" s="10"/>
      <c r="N27" s="10"/>
      <c r="O27" s="10"/>
      <c r="P27" s="10"/>
      <c r="Q27" s="10"/>
      <c r="R27" s="10"/>
      <c r="S27" s="10"/>
      <c r="T27" s="10"/>
      <c r="U27" s="10"/>
      <c r="V27" s="10"/>
      <c r="W27" s="10"/>
      <c r="X27" s="10"/>
      <c r="Y27" s="10"/>
      <c r="Z27" s="11"/>
      <c r="AA27" s="11"/>
      <c r="AB27" s="11"/>
      <c r="AC27" s="11"/>
      <c r="AD27" s="11"/>
      <c r="AE27" s="11"/>
      <c r="AF27" s="11"/>
    </row>
    <row r="28" spans="1:32" ht="23" x14ac:dyDescent="0.25">
      <c r="A28" s="1"/>
      <c r="B28" s="17">
        <f t="shared" si="0"/>
        <v>23</v>
      </c>
      <c r="C28" s="20"/>
      <c r="D28" s="21"/>
      <c r="E28" s="21" t="s">
        <v>1374</v>
      </c>
      <c r="F28" s="21" t="s">
        <v>144</v>
      </c>
      <c r="G28" s="624" t="s">
        <v>1373</v>
      </c>
      <c r="H28" s="21"/>
      <c r="I28" s="21" t="s">
        <v>1415</v>
      </c>
      <c r="J28" s="21" t="s">
        <v>1416</v>
      </c>
      <c r="K28" s="10"/>
      <c r="L28" s="10"/>
      <c r="M28" s="10"/>
      <c r="N28" s="10"/>
      <c r="O28" s="10"/>
      <c r="P28" s="10"/>
      <c r="Q28" s="10"/>
      <c r="R28" s="10"/>
      <c r="S28" s="10"/>
      <c r="T28" s="10"/>
      <c r="U28" s="10"/>
      <c r="V28" s="10"/>
      <c r="W28" s="10"/>
      <c r="X28" s="10"/>
      <c r="Y28" s="10"/>
      <c r="Z28" s="11"/>
      <c r="AA28" s="11"/>
      <c r="AB28" s="11"/>
      <c r="AC28" s="11"/>
      <c r="AD28" s="11"/>
      <c r="AE28" s="11"/>
      <c r="AF28" s="11"/>
    </row>
    <row r="29" spans="1:32" ht="103.5" x14ac:dyDescent="0.25">
      <c r="A29" s="1"/>
      <c r="B29" s="17">
        <f t="shared" si="0"/>
        <v>24</v>
      </c>
      <c r="C29" s="20"/>
      <c r="D29" s="21"/>
      <c r="E29" s="21" t="s">
        <v>1376</v>
      </c>
      <c r="F29" s="21" t="s">
        <v>144</v>
      </c>
      <c r="G29" s="623" t="s">
        <v>1375</v>
      </c>
      <c r="H29" s="21"/>
      <c r="I29" s="21" t="s">
        <v>1395</v>
      </c>
      <c r="J29" s="21" t="s">
        <v>1416</v>
      </c>
      <c r="K29" s="10"/>
      <c r="L29" s="10"/>
      <c r="M29" s="10"/>
      <c r="N29" s="10"/>
      <c r="O29" s="10"/>
      <c r="P29" s="10"/>
      <c r="Q29" s="10"/>
      <c r="R29" s="10"/>
      <c r="S29" s="10"/>
      <c r="T29" s="10"/>
      <c r="U29" s="10"/>
      <c r="V29" s="10"/>
      <c r="W29" s="10"/>
      <c r="X29" s="10"/>
      <c r="Y29" s="10"/>
      <c r="Z29" s="11"/>
      <c r="AA29" s="11"/>
      <c r="AB29" s="11"/>
      <c r="AC29" s="11"/>
      <c r="AD29" s="11"/>
      <c r="AE29" s="11"/>
      <c r="AF29" s="11"/>
    </row>
    <row r="30" spans="1:32" ht="23" x14ac:dyDescent="0.25">
      <c r="A30" s="1"/>
      <c r="B30" s="17">
        <f t="shared" si="0"/>
        <v>25</v>
      </c>
      <c r="C30" s="20"/>
      <c r="D30" s="21"/>
      <c r="E30" s="21" t="s">
        <v>1390</v>
      </c>
      <c r="F30" s="21" t="s">
        <v>144</v>
      </c>
      <c r="G30" s="623" t="s">
        <v>1389</v>
      </c>
      <c r="H30" s="21"/>
      <c r="I30" s="21" t="s">
        <v>1393</v>
      </c>
      <c r="J30" s="21" t="s">
        <v>1416</v>
      </c>
      <c r="K30" s="10"/>
      <c r="L30" s="10"/>
      <c r="M30" s="10"/>
      <c r="N30" s="10"/>
      <c r="O30" s="10"/>
      <c r="P30" s="10"/>
      <c r="Q30" s="10"/>
      <c r="R30" s="10"/>
      <c r="S30" s="10"/>
      <c r="T30" s="10"/>
      <c r="U30" s="10"/>
      <c r="V30" s="10"/>
      <c r="W30" s="10"/>
      <c r="X30" s="10"/>
      <c r="Y30" s="10"/>
      <c r="Z30" s="11"/>
      <c r="AA30" s="11"/>
      <c r="AB30" s="11"/>
      <c r="AC30" s="11"/>
      <c r="AD30" s="11"/>
      <c r="AE30" s="11"/>
      <c r="AF30" s="11"/>
    </row>
    <row r="31" spans="1:32" x14ac:dyDescent="0.25">
      <c r="A31" s="1"/>
      <c r="B31" s="17">
        <f t="shared" si="0"/>
        <v>26</v>
      </c>
      <c r="C31" s="20"/>
      <c r="D31" s="21"/>
      <c r="E31" s="21"/>
      <c r="F31" s="21"/>
      <c r="G31" s="21"/>
      <c r="H31" s="21"/>
      <c r="I31" s="21"/>
      <c r="J31" s="21"/>
      <c r="K31" s="10"/>
      <c r="L31" s="10"/>
      <c r="M31" s="10"/>
      <c r="N31" s="10"/>
      <c r="O31" s="10"/>
      <c r="P31" s="10"/>
      <c r="Q31" s="10"/>
      <c r="R31" s="10"/>
      <c r="S31" s="10"/>
      <c r="T31" s="10"/>
      <c r="U31" s="10"/>
      <c r="V31" s="10"/>
      <c r="W31" s="10"/>
      <c r="X31" s="10"/>
      <c r="Y31" s="10"/>
      <c r="Z31" s="11"/>
      <c r="AA31" s="11"/>
      <c r="AB31" s="11"/>
      <c r="AC31" s="11"/>
      <c r="AD31" s="11"/>
      <c r="AE31" s="11"/>
      <c r="AF31" s="11"/>
    </row>
    <row r="32" spans="1:32" x14ac:dyDescent="0.25">
      <c r="A32" s="1"/>
      <c r="B32" s="17">
        <f t="shared" si="0"/>
        <v>27</v>
      </c>
      <c r="C32" s="20"/>
      <c r="D32" s="21"/>
      <c r="E32" s="21"/>
      <c r="F32" s="21"/>
      <c r="G32" s="21"/>
      <c r="H32" s="21"/>
      <c r="I32" s="21"/>
      <c r="J32" s="21"/>
      <c r="K32" s="10"/>
      <c r="L32" s="10"/>
      <c r="M32" s="10"/>
      <c r="N32" s="10"/>
      <c r="O32" s="10"/>
      <c r="P32" s="10"/>
      <c r="Q32" s="10"/>
      <c r="R32" s="10"/>
      <c r="S32" s="10"/>
      <c r="T32" s="10"/>
      <c r="U32" s="10"/>
      <c r="V32" s="10"/>
      <c r="W32" s="10"/>
      <c r="X32" s="10"/>
      <c r="Y32" s="10"/>
      <c r="Z32" s="11"/>
      <c r="AA32" s="11"/>
      <c r="AB32" s="11"/>
      <c r="AC32" s="11"/>
      <c r="AD32" s="11"/>
      <c r="AE32" s="11"/>
      <c r="AF32" s="11"/>
    </row>
    <row r="33" spans="1:32" x14ac:dyDescent="0.25">
      <c r="A33" s="1"/>
      <c r="B33" s="17">
        <f t="shared" si="0"/>
        <v>28</v>
      </c>
      <c r="C33" s="20"/>
      <c r="D33" s="21"/>
      <c r="E33" s="21"/>
      <c r="F33" s="21"/>
      <c r="G33" s="21"/>
      <c r="H33" s="21"/>
      <c r="I33" s="21"/>
      <c r="J33" s="21"/>
      <c r="K33" s="10"/>
      <c r="L33" s="10"/>
      <c r="M33" s="10"/>
      <c r="N33" s="10"/>
      <c r="O33" s="10"/>
      <c r="P33" s="10"/>
      <c r="Q33" s="10"/>
      <c r="R33" s="10"/>
      <c r="S33" s="10"/>
      <c r="T33" s="10"/>
      <c r="U33" s="10"/>
      <c r="V33" s="10"/>
      <c r="W33" s="10"/>
      <c r="X33" s="10"/>
      <c r="Y33" s="10"/>
      <c r="Z33" s="11"/>
      <c r="AA33" s="11"/>
      <c r="AB33" s="11"/>
      <c r="AC33" s="11"/>
      <c r="AD33" s="11"/>
      <c r="AE33" s="11"/>
      <c r="AF33" s="11"/>
    </row>
    <row r="34" spans="1:32" x14ac:dyDescent="0.25">
      <c r="A34" s="1"/>
      <c r="B34" s="17">
        <f t="shared" si="0"/>
        <v>29</v>
      </c>
      <c r="C34" s="20"/>
      <c r="D34" s="21"/>
      <c r="E34" s="21"/>
      <c r="F34" s="21"/>
      <c r="G34" s="21"/>
      <c r="H34" s="21"/>
      <c r="I34" s="21"/>
      <c r="J34" s="21"/>
      <c r="K34" s="10"/>
      <c r="L34" s="10"/>
      <c r="M34" s="1"/>
      <c r="N34" s="1"/>
      <c r="O34" s="15"/>
      <c r="P34" s="10"/>
      <c r="Q34" s="10"/>
      <c r="R34" s="10"/>
      <c r="S34" s="10"/>
      <c r="T34" s="10"/>
      <c r="U34" s="10"/>
      <c r="V34" s="10"/>
      <c r="W34" s="10"/>
      <c r="X34" s="10"/>
      <c r="Y34" s="10"/>
      <c r="Z34" s="11"/>
      <c r="AA34" s="11"/>
      <c r="AB34" s="11"/>
      <c r="AC34" s="11"/>
      <c r="AD34" s="11"/>
      <c r="AE34" s="11"/>
      <c r="AF34" s="11"/>
    </row>
    <row r="35" spans="1:32" x14ac:dyDescent="0.25">
      <c r="A35" s="1"/>
      <c r="B35" s="17">
        <f t="shared" si="0"/>
        <v>30</v>
      </c>
      <c r="C35" s="20"/>
      <c r="D35" s="21"/>
      <c r="E35" s="21"/>
      <c r="F35" s="21"/>
      <c r="G35" s="21"/>
      <c r="H35" s="21"/>
      <c r="I35" s="21"/>
      <c r="J35" s="21"/>
      <c r="K35" s="10"/>
      <c r="L35" s="10"/>
      <c r="M35" s="1"/>
      <c r="N35" s="1"/>
      <c r="O35" s="10"/>
      <c r="P35" s="10"/>
      <c r="Q35" s="10"/>
      <c r="R35" s="10"/>
      <c r="S35" s="10"/>
      <c r="T35" s="10"/>
      <c r="U35" s="10"/>
      <c r="V35" s="10"/>
      <c r="W35" s="10"/>
      <c r="X35" s="10"/>
      <c r="Y35" s="10"/>
      <c r="Z35" s="11"/>
      <c r="AA35" s="11"/>
      <c r="AB35" s="11"/>
      <c r="AC35" s="11"/>
      <c r="AD35" s="11"/>
      <c r="AE35" s="11"/>
      <c r="AF35" s="11"/>
    </row>
    <row r="36" spans="1:32" x14ac:dyDescent="0.25">
      <c r="A36" s="1"/>
      <c r="B36" s="17">
        <f t="shared" si="0"/>
        <v>31</v>
      </c>
      <c r="C36" s="20"/>
      <c r="D36" s="21"/>
      <c r="E36" s="21"/>
      <c r="F36" s="21"/>
      <c r="G36" s="21"/>
      <c r="H36" s="21"/>
      <c r="I36" s="21"/>
      <c r="J36" s="21"/>
      <c r="K36" s="10"/>
      <c r="L36" s="10"/>
      <c r="M36" s="1"/>
      <c r="N36" s="1"/>
      <c r="O36" s="15"/>
      <c r="P36" s="10"/>
      <c r="Q36" s="10"/>
      <c r="R36" s="10"/>
      <c r="S36" s="10"/>
      <c r="T36" s="10"/>
      <c r="U36" s="10"/>
      <c r="V36" s="10"/>
      <c r="W36" s="10"/>
      <c r="X36" s="10"/>
      <c r="Y36" s="10"/>
      <c r="Z36" s="11"/>
      <c r="AA36" s="11"/>
      <c r="AB36" s="11"/>
      <c r="AC36" s="11"/>
      <c r="AD36" s="11"/>
      <c r="AE36" s="11"/>
      <c r="AF36" s="11"/>
    </row>
    <row r="37" spans="1:32" ht="12" thickBot="1" x14ac:dyDescent="0.3">
      <c r="A37" s="2"/>
      <c r="B37" s="629">
        <f t="shared" si="0"/>
        <v>32</v>
      </c>
      <c r="C37" s="23"/>
      <c r="D37" s="24"/>
      <c r="E37" s="24"/>
      <c r="F37" s="24"/>
      <c r="G37" s="24"/>
      <c r="H37" s="24"/>
      <c r="I37" s="24"/>
      <c r="J37" s="24"/>
      <c r="K37" s="10"/>
      <c r="L37" s="10"/>
      <c r="M37" s="1"/>
      <c r="N37" s="1"/>
      <c r="O37" s="15"/>
      <c r="P37" s="10"/>
      <c r="Q37" s="10"/>
      <c r="R37" s="10"/>
      <c r="S37" s="10"/>
      <c r="T37" s="10"/>
      <c r="U37" s="10"/>
      <c r="V37" s="10"/>
      <c r="W37" s="10"/>
      <c r="X37" s="10"/>
      <c r="Y37" s="10"/>
      <c r="Z37" s="11"/>
      <c r="AA37" s="11"/>
      <c r="AB37" s="11"/>
      <c r="AC37" s="11"/>
      <c r="AD37" s="11"/>
      <c r="AE37" s="11"/>
      <c r="AF37" s="11"/>
    </row>
    <row r="38" spans="1:32" x14ac:dyDescent="0.25">
      <c r="A38" s="1"/>
      <c r="B38" s="1" t="s">
        <v>43</v>
      </c>
      <c r="C38" s="1"/>
      <c r="D38" s="1"/>
      <c r="E38" s="1"/>
      <c r="F38" s="1"/>
      <c r="G38" s="1"/>
      <c r="H38" s="1"/>
      <c r="I38" s="1"/>
      <c r="J38" s="1"/>
      <c r="K38" s="10"/>
      <c r="L38" s="10"/>
      <c r="M38" s="1"/>
      <c r="N38" s="1"/>
      <c r="O38" s="15"/>
      <c r="P38" s="10"/>
      <c r="Q38" s="10"/>
      <c r="R38" s="10"/>
      <c r="S38" s="10"/>
      <c r="T38" s="10"/>
      <c r="U38" s="10"/>
      <c r="V38" s="10"/>
      <c r="W38" s="10"/>
      <c r="X38" s="10"/>
      <c r="Y38" s="10"/>
      <c r="Z38" s="11"/>
      <c r="AA38" s="11"/>
      <c r="AB38" s="11"/>
      <c r="AC38" s="11"/>
      <c r="AD38" s="11"/>
      <c r="AE38" s="11"/>
      <c r="AF38" s="11"/>
    </row>
    <row r="39" spans="1:32" x14ac:dyDescent="0.25">
      <c r="A39" s="1"/>
      <c r="B39" s="1" t="s">
        <v>44</v>
      </c>
      <c r="C39" s="1"/>
      <c r="D39" s="1"/>
      <c r="E39" s="1"/>
      <c r="F39" s="1"/>
      <c r="G39" s="1"/>
      <c r="H39" s="1"/>
      <c r="I39" s="1"/>
      <c r="J39" s="1"/>
      <c r="K39" s="10"/>
      <c r="L39" s="10"/>
      <c r="M39" s="1"/>
      <c r="N39" s="1"/>
      <c r="O39" s="10"/>
      <c r="P39" s="10"/>
      <c r="Q39" s="10"/>
      <c r="R39" s="10"/>
      <c r="S39" s="10"/>
      <c r="T39" s="10"/>
      <c r="U39" s="10"/>
      <c r="V39" s="10"/>
      <c r="W39" s="10"/>
      <c r="X39" s="10"/>
      <c r="Y39" s="10"/>
      <c r="Z39" s="11"/>
      <c r="AA39" s="11"/>
      <c r="AB39" s="11"/>
      <c r="AC39" s="11"/>
      <c r="AD39" s="11"/>
      <c r="AE39" s="11"/>
      <c r="AF39" s="11"/>
    </row>
    <row r="40" spans="1:32" x14ac:dyDescent="0.25">
      <c r="A40" s="1"/>
      <c r="B40" s="1"/>
      <c r="C40" s="1"/>
      <c r="D40" s="1"/>
      <c r="E40" s="1"/>
      <c r="F40" s="1"/>
      <c r="G40" s="1"/>
      <c r="H40" s="1"/>
      <c r="I40" s="1"/>
      <c r="J40" s="1"/>
      <c r="K40" s="1"/>
      <c r="L40" s="1"/>
      <c r="M40" s="1"/>
      <c r="N40" s="1"/>
      <c r="O40" s="15"/>
      <c r="P40" s="1"/>
      <c r="Q40" s="1"/>
      <c r="R40" s="1"/>
      <c r="S40" s="1"/>
      <c r="T40" s="1"/>
      <c r="U40" s="1"/>
      <c r="V40" s="1"/>
      <c r="W40" s="1"/>
      <c r="X40" s="1"/>
      <c r="Y40" s="1"/>
    </row>
    <row r="41" spans="1:32" x14ac:dyDescent="0.25">
      <c r="A41" s="1"/>
      <c r="B41" s="1"/>
      <c r="C41" s="1"/>
      <c r="D41" s="1"/>
      <c r="E41" s="1"/>
      <c r="F41" s="1"/>
      <c r="G41" s="1"/>
      <c r="H41" s="1"/>
      <c r="I41" s="1"/>
      <c r="J41" s="1"/>
      <c r="K41" s="1"/>
      <c r="L41" s="1"/>
      <c r="M41" s="1"/>
      <c r="N41" s="1"/>
      <c r="O41" s="10"/>
      <c r="P41" s="1"/>
      <c r="Q41" s="1"/>
      <c r="R41" s="1"/>
      <c r="S41" s="1"/>
      <c r="T41" s="1"/>
      <c r="U41" s="1"/>
      <c r="V41" s="1"/>
      <c r="W41" s="1"/>
      <c r="X41" s="1"/>
      <c r="Y41" s="1"/>
    </row>
    <row r="42" spans="1:32" ht="14" x14ac:dyDescent="0.3">
      <c r="A42" s="1"/>
      <c r="B42" s="8"/>
      <c r="C42" s="1"/>
      <c r="D42" s="1"/>
      <c r="E42" s="1"/>
      <c r="F42" s="1"/>
      <c r="G42" s="1"/>
      <c r="H42" s="1"/>
      <c r="I42" s="1"/>
      <c r="J42" s="1"/>
      <c r="K42" s="1"/>
      <c r="L42" s="1"/>
      <c r="M42" s="1"/>
      <c r="N42" s="1"/>
      <c r="O42" s="10"/>
      <c r="P42" s="1"/>
      <c r="Q42" s="1"/>
      <c r="R42" s="1"/>
      <c r="S42" s="1"/>
      <c r="T42" s="1"/>
      <c r="U42" s="1"/>
      <c r="V42" s="1"/>
      <c r="W42" s="1"/>
      <c r="X42" s="1"/>
      <c r="Y42" s="1"/>
    </row>
    <row r="43" spans="1:32" x14ac:dyDescent="0.25">
      <c r="A43" s="1"/>
      <c r="B43" s="9"/>
      <c r="C43" s="1"/>
      <c r="D43" s="1"/>
      <c r="E43" s="1"/>
      <c r="F43" s="1"/>
      <c r="G43" s="1"/>
      <c r="H43" s="1"/>
      <c r="I43" s="1"/>
      <c r="J43" s="1"/>
      <c r="K43" s="1"/>
      <c r="L43" s="1"/>
      <c r="M43" s="1"/>
      <c r="N43" s="1"/>
      <c r="O43" s="10"/>
      <c r="P43" s="1"/>
      <c r="Q43" s="1"/>
      <c r="R43" s="1"/>
      <c r="S43" s="1"/>
      <c r="T43" s="1"/>
      <c r="U43" s="1"/>
      <c r="V43" s="1"/>
      <c r="W43" s="1"/>
      <c r="X43" s="1"/>
      <c r="Y43" s="1"/>
    </row>
    <row r="44" spans="1:32" x14ac:dyDescent="0.25">
      <c r="A44" s="1"/>
      <c r="B44" s="1"/>
      <c r="C44" s="1"/>
      <c r="D44" s="1"/>
      <c r="E44" s="1"/>
      <c r="F44" s="1"/>
      <c r="G44" s="1"/>
      <c r="H44" s="1"/>
      <c r="I44" s="1"/>
      <c r="J44" s="1"/>
      <c r="K44" s="1"/>
      <c r="L44" s="1"/>
      <c r="M44" s="1"/>
      <c r="N44" s="1"/>
      <c r="O44" s="10"/>
      <c r="P44" s="1"/>
      <c r="Q44" s="1"/>
      <c r="R44" s="1"/>
      <c r="S44" s="1"/>
      <c r="T44" s="1"/>
      <c r="U44" s="1"/>
      <c r="V44" s="1"/>
      <c r="W44" s="1"/>
      <c r="X44" s="1"/>
      <c r="Y44" s="1"/>
    </row>
    <row r="45" spans="1:32" x14ac:dyDescent="0.25">
      <c r="A45" s="1"/>
      <c r="B45" s="1"/>
      <c r="C45" s="1"/>
      <c r="D45" s="1"/>
      <c r="E45" s="1"/>
      <c r="F45" s="1"/>
      <c r="G45" s="1"/>
      <c r="H45" s="1"/>
      <c r="I45" s="1"/>
      <c r="J45" s="1"/>
      <c r="K45" s="1"/>
      <c r="L45" s="1"/>
      <c r="M45" s="10"/>
      <c r="N45" s="25"/>
      <c r="O45" s="10"/>
      <c r="P45" s="1"/>
      <c r="Q45" s="1"/>
      <c r="R45" s="1"/>
      <c r="S45" s="1"/>
      <c r="T45" s="1"/>
      <c r="U45" s="1"/>
      <c r="V45" s="1"/>
      <c r="W45" s="1"/>
      <c r="X45" s="1"/>
      <c r="Y45" s="1"/>
    </row>
    <row r="46" spans="1:3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sheetData>
  <conditionalFormatting sqref="F5:F37">
    <cfRule type="cellIs" dxfId="17" priority="1" operator="equal">
      <formula>$M$6</formula>
    </cfRule>
    <cfRule type="cellIs" dxfId="16" priority="2" operator="equal">
      <formula>$M$5</formula>
    </cfRule>
  </conditionalFormatting>
  <dataValidations count="4">
    <dataValidation type="list" showInputMessage="1" showErrorMessage="1" sqref="F5" xr:uid="{FA475FF0-29EE-458A-BEC9-E55EBDE45B9C}">
      <formula1>$M$5:$M$8</formula1>
    </dataValidation>
    <dataValidation type="list" allowBlank="1" showInputMessage="1" showErrorMessage="1" sqref="F32:F37" xr:uid="{EA5AE9AD-AB2F-439B-AD42-5B0E0D657C97}">
      <formula1>$M$5:$M$15</formula1>
    </dataValidation>
    <dataValidation type="list" allowBlank="1" showInputMessage="1" showErrorMessage="1" sqref="F5:F31" xr:uid="{EE795BAA-D3C0-48BA-BEA8-3A644E623216}">
      <formula1>$M$5:$M$9</formula1>
    </dataValidation>
    <dataValidation type="list" showInputMessage="1" showErrorMessage="1" sqref="F6:F31" xr:uid="{AABDDC4A-524B-4C16-A88C-DFE3DC9C9025}">
      <formula1>$M$5:$M$9</formula1>
    </dataValidation>
  </dataValidations>
  <pageMargins left="0.7" right="0.7" top="0.75" bottom="0.75" header="0.3" footer="0.3"/>
  <pageSetup paperSize="9" scale="86" orientation="landscape" horizontalDpi="200"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FC500-A550-4AA7-9633-360CE0D85631}">
  <dimension ref="A1:AF54"/>
  <sheetViews>
    <sheetView showGridLines="0" workbookViewId="0">
      <selection activeCell="E10" sqref="E10"/>
    </sheetView>
  </sheetViews>
  <sheetFormatPr defaultColWidth="9.09765625" defaultRowHeight="11.5" x14ac:dyDescent="0.25"/>
  <cols>
    <col min="1" max="1" width="3" customWidth="1"/>
    <col min="2" max="2" width="6.09765625" customWidth="1"/>
    <col min="3" max="3" width="12.3984375" customWidth="1"/>
    <col min="4" max="4" width="12.09765625" customWidth="1"/>
    <col min="5" max="5" width="36.09765625" customWidth="1"/>
    <col min="6" max="6" width="21.59765625" customWidth="1"/>
    <col min="7" max="7" width="25" customWidth="1"/>
    <col min="8" max="8" width="17.09765625" customWidth="1"/>
    <col min="9" max="9" width="26" customWidth="1"/>
    <col min="10" max="10" width="10" customWidth="1"/>
    <col min="11" max="11" width="11.09765625" customWidth="1"/>
    <col min="12" max="12" width="14.09765625" customWidth="1"/>
    <col min="13" max="13" width="31.3984375" customWidth="1"/>
    <col min="14" max="14" width="27" customWidth="1"/>
    <col min="17" max="17" width="17.09765625" customWidth="1"/>
  </cols>
  <sheetData>
    <row r="1" spans="1:32" ht="14" x14ac:dyDescent="0.3">
      <c r="A1" s="1"/>
      <c r="B1" s="1"/>
      <c r="C1" s="1"/>
      <c r="D1" s="1"/>
      <c r="E1" s="3"/>
      <c r="F1" s="3"/>
      <c r="G1" s="3"/>
      <c r="H1" s="3"/>
      <c r="I1" s="3"/>
      <c r="J1" s="1"/>
      <c r="K1" s="1"/>
      <c r="L1" s="1"/>
      <c r="M1" s="1"/>
      <c r="N1" s="1"/>
      <c r="O1" s="1"/>
      <c r="P1" s="1"/>
      <c r="Q1" s="1"/>
      <c r="R1" s="1"/>
      <c r="S1" s="1"/>
      <c r="T1" s="1"/>
      <c r="U1" s="1"/>
      <c r="V1" s="1"/>
      <c r="W1" s="1"/>
      <c r="X1" s="1"/>
      <c r="Y1" s="1"/>
    </row>
    <row r="2" spans="1:32" ht="20.25" customHeight="1" x14ac:dyDescent="0.35">
      <c r="A2" s="1"/>
      <c r="B2" s="8" t="s">
        <v>33</v>
      </c>
      <c r="C2" s="104"/>
      <c r="D2" s="104"/>
      <c r="E2" s="104"/>
      <c r="F2" s="104"/>
      <c r="G2" s="1"/>
      <c r="H2" s="1"/>
      <c r="I2" s="1"/>
      <c r="J2" s="1"/>
      <c r="K2" s="10"/>
      <c r="L2" s="10"/>
      <c r="M2" s="10"/>
      <c r="N2" s="10"/>
      <c r="O2" s="10"/>
      <c r="P2" s="10"/>
      <c r="Q2" s="10"/>
      <c r="R2" s="10"/>
      <c r="S2" s="10"/>
      <c r="T2" s="10"/>
      <c r="U2" s="10"/>
      <c r="V2" s="10"/>
      <c r="W2" s="10"/>
      <c r="X2" s="10"/>
      <c r="Y2" s="10"/>
      <c r="Z2" s="11"/>
      <c r="AA2" s="11"/>
      <c r="AB2" s="11"/>
      <c r="AC2" s="11"/>
      <c r="AD2" s="11"/>
      <c r="AE2" s="11"/>
      <c r="AF2" s="11"/>
    </row>
    <row r="3" spans="1:32" ht="70" x14ac:dyDescent="0.25">
      <c r="A3" s="1"/>
      <c r="B3" s="105" t="s">
        <v>15</v>
      </c>
      <c r="C3" s="105" t="s">
        <v>34</v>
      </c>
      <c r="D3" s="105" t="s">
        <v>138</v>
      </c>
      <c r="E3" s="105" t="s">
        <v>35</v>
      </c>
      <c r="F3" s="105" t="s">
        <v>16</v>
      </c>
      <c r="G3" s="105" t="s">
        <v>36</v>
      </c>
      <c r="H3" s="105" t="s">
        <v>37</v>
      </c>
      <c r="I3" s="105" t="s">
        <v>139</v>
      </c>
      <c r="J3" s="105" t="s">
        <v>17</v>
      </c>
      <c r="K3" s="1"/>
      <c r="L3" s="10"/>
      <c r="M3" s="13"/>
      <c r="N3" s="14"/>
      <c r="O3" s="14"/>
      <c r="P3" s="14"/>
      <c r="Q3" s="10"/>
      <c r="R3" s="15"/>
      <c r="S3" s="10"/>
      <c r="T3" s="10"/>
      <c r="U3" s="10"/>
      <c r="V3" s="10"/>
      <c r="W3" s="10"/>
      <c r="X3" s="10"/>
      <c r="Y3" s="10"/>
      <c r="Z3" s="11"/>
      <c r="AA3" s="11"/>
      <c r="AB3" s="11"/>
      <c r="AC3" s="11"/>
      <c r="AD3" s="11"/>
      <c r="AE3" s="11"/>
      <c r="AF3" s="11"/>
    </row>
    <row r="4" spans="1:32" ht="61.5" customHeight="1" thickBot="1" x14ac:dyDescent="0.3">
      <c r="A4" s="1"/>
      <c r="B4" s="106"/>
      <c r="C4" s="106" t="s">
        <v>38</v>
      </c>
      <c r="D4" s="106" t="s">
        <v>170</v>
      </c>
      <c r="E4" s="106"/>
      <c r="F4" s="106" t="s">
        <v>39</v>
      </c>
      <c r="G4" s="106" t="s">
        <v>140</v>
      </c>
      <c r="H4" s="106" t="s">
        <v>141</v>
      </c>
      <c r="I4" s="106" t="s">
        <v>40</v>
      </c>
      <c r="J4" s="106"/>
      <c r="K4" s="1"/>
      <c r="L4" s="10"/>
      <c r="M4" s="16" t="s">
        <v>41</v>
      </c>
      <c r="N4" s="16" t="s">
        <v>42</v>
      </c>
      <c r="O4" s="1"/>
      <c r="P4" s="14"/>
      <c r="Q4" s="10"/>
      <c r="R4" s="15"/>
      <c r="S4" s="10"/>
      <c r="T4" s="10"/>
      <c r="U4" s="10"/>
      <c r="V4" s="10"/>
      <c r="W4" s="10"/>
      <c r="X4" s="10"/>
      <c r="Y4" s="10"/>
      <c r="Z4" s="11"/>
      <c r="AA4" s="11"/>
      <c r="AB4" s="11"/>
      <c r="AC4" s="11"/>
      <c r="AD4" s="11"/>
      <c r="AE4" s="11"/>
      <c r="AF4" s="11"/>
    </row>
    <row r="5" spans="1:32" x14ac:dyDescent="0.25">
      <c r="A5" s="1"/>
      <c r="B5" s="17">
        <v>1</v>
      </c>
      <c r="C5" s="18"/>
      <c r="D5" s="19"/>
      <c r="E5" s="19" t="s">
        <v>1531</v>
      </c>
      <c r="F5" s="21"/>
      <c r="G5" s="618"/>
      <c r="H5" s="19"/>
      <c r="I5" s="19"/>
      <c r="J5" s="19"/>
      <c r="K5" s="10"/>
      <c r="L5" s="10"/>
      <c r="M5" s="107" t="s">
        <v>142</v>
      </c>
      <c r="N5" s="90" t="s">
        <v>143</v>
      </c>
      <c r="O5" s="1"/>
      <c r="P5" s="10"/>
      <c r="Q5" s="10"/>
      <c r="R5" s="10"/>
      <c r="S5" s="10"/>
      <c r="T5" s="10"/>
      <c r="U5" s="10"/>
      <c r="V5" s="10"/>
      <c r="W5" s="10"/>
      <c r="X5" s="10"/>
      <c r="Y5" s="10"/>
      <c r="Z5" s="11"/>
      <c r="AA5" s="11"/>
      <c r="AB5" s="11"/>
      <c r="AC5" s="11"/>
      <c r="AD5" s="11"/>
      <c r="AE5" s="11"/>
      <c r="AF5" s="11"/>
    </row>
    <row r="6" spans="1:32" x14ac:dyDescent="0.25">
      <c r="A6" s="1"/>
      <c r="B6" s="17">
        <f>B5+1</f>
        <v>2</v>
      </c>
      <c r="C6" s="20"/>
      <c r="D6" s="21"/>
      <c r="E6" s="21"/>
      <c r="F6" s="21"/>
      <c r="G6" s="623"/>
      <c r="H6" s="21"/>
      <c r="I6" s="21"/>
      <c r="J6" s="21"/>
      <c r="K6" s="10"/>
      <c r="L6" s="10"/>
      <c r="M6" s="108" t="s">
        <v>144</v>
      </c>
      <c r="N6" s="90" t="s">
        <v>145</v>
      </c>
      <c r="O6" s="1"/>
      <c r="P6" s="14"/>
      <c r="Q6" s="10"/>
      <c r="R6" s="10"/>
      <c r="S6" s="10"/>
      <c r="T6" s="10"/>
      <c r="U6" s="10"/>
      <c r="V6" s="10"/>
      <c r="W6" s="10"/>
      <c r="X6" s="10"/>
      <c r="Y6" s="10"/>
      <c r="Z6" s="11"/>
      <c r="AA6" s="11"/>
      <c r="AB6" s="11"/>
      <c r="AC6" s="11"/>
      <c r="AD6" s="11"/>
      <c r="AE6" s="11"/>
      <c r="AF6" s="11"/>
    </row>
    <row r="7" spans="1:32" x14ac:dyDescent="0.25">
      <c r="A7" s="1"/>
      <c r="B7" s="17"/>
      <c r="C7" s="20"/>
      <c r="D7" s="21"/>
      <c r="E7" s="21"/>
      <c r="F7" s="21"/>
      <c r="G7" s="623"/>
      <c r="H7" s="21"/>
      <c r="I7" s="21"/>
      <c r="J7" s="21"/>
      <c r="K7" s="10"/>
      <c r="L7" s="10"/>
      <c r="M7" s="108"/>
      <c r="N7" s="90"/>
      <c r="O7" s="1"/>
      <c r="P7" s="14"/>
      <c r="Q7" s="10"/>
      <c r="R7" s="10"/>
      <c r="S7" s="10"/>
      <c r="T7" s="10"/>
      <c r="U7" s="10"/>
      <c r="V7" s="10"/>
      <c r="W7" s="10"/>
      <c r="X7" s="10"/>
      <c r="Y7" s="10"/>
      <c r="Z7" s="11"/>
      <c r="AA7" s="11"/>
      <c r="AB7" s="11"/>
      <c r="AC7" s="11"/>
      <c r="AD7" s="11"/>
      <c r="AE7" s="11"/>
      <c r="AF7" s="11"/>
    </row>
    <row r="8" spans="1:32" x14ac:dyDescent="0.25">
      <c r="A8" s="1"/>
      <c r="B8" s="17">
        <f>B6+1</f>
        <v>3</v>
      </c>
      <c r="C8" s="20"/>
      <c r="D8" s="21"/>
      <c r="E8" s="21"/>
      <c r="F8" s="21"/>
      <c r="G8" s="623"/>
      <c r="H8" s="21"/>
      <c r="I8" s="21"/>
      <c r="J8" s="21"/>
      <c r="K8" s="10"/>
      <c r="L8" s="10"/>
      <c r="M8" s="109"/>
      <c r="O8" s="1"/>
      <c r="P8" s="14"/>
      <c r="Q8" s="10"/>
      <c r="R8" s="10"/>
      <c r="S8" s="10"/>
      <c r="T8" s="10"/>
      <c r="U8" s="10"/>
      <c r="V8" s="10"/>
      <c r="W8" s="10"/>
      <c r="X8" s="10"/>
      <c r="Y8" s="10"/>
      <c r="Z8" s="11"/>
      <c r="AA8" s="11"/>
      <c r="AB8" s="11"/>
      <c r="AC8" s="11"/>
      <c r="AD8" s="11"/>
      <c r="AE8" s="11"/>
      <c r="AF8" s="11"/>
    </row>
    <row r="9" spans="1:32" x14ac:dyDescent="0.25">
      <c r="A9" s="1"/>
      <c r="B9" s="17">
        <f t="shared" ref="B9:B37" si="0">B8+1</f>
        <v>4</v>
      </c>
      <c r="C9" s="20"/>
      <c r="D9" s="21"/>
      <c r="E9" s="21"/>
      <c r="F9" s="21"/>
      <c r="G9" s="623"/>
      <c r="H9" s="21"/>
      <c r="I9" s="21"/>
      <c r="J9" s="21"/>
      <c r="K9" s="10"/>
      <c r="L9" s="10"/>
      <c r="M9" s="108"/>
      <c r="N9" s="90"/>
      <c r="O9" s="1"/>
      <c r="P9" s="14"/>
      <c r="Q9" s="10"/>
      <c r="R9" s="10"/>
      <c r="S9" s="10"/>
      <c r="T9" s="10"/>
      <c r="U9" s="10"/>
      <c r="V9" s="10"/>
      <c r="W9" s="10"/>
      <c r="X9" s="10"/>
      <c r="Y9" s="10"/>
      <c r="Z9" s="11"/>
      <c r="AA9" s="11"/>
      <c r="AB9" s="11"/>
      <c r="AC9" s="11"/>
      <c r="AD9" s="11"/>
      <c r="AE9" s="11"/>
      <c r="AF9" s="11"/>
    </row>
    <row r="10" spans="1:32" x14ac:dyDescent="0.25">
      <c r="A10" s="1"/>
      <c r="B10" s="17">
        <f t="shared" si="0"/>
        <v>5</v>
      </c>
      <c r="C10" s="20"/>
      <c r="D10" s="21"/>
      <c r="E10" s="21"/>
      <c r="F10" s="21"/>
      <c r="G10" s="623"/>
      <c r="H10" s="21"/>
      <c r="I10" s="21"/>
      <c r="J10" s="21"/>
      <c r="K10" s="10"/>
      <c r="L10" s="10"/>
      <c r="M10" s="108"/>
      <c r="N10" s="90"/>
      <c r="O10" s="1"/>
      <c r="P10" s="10"/>
      <c r="Q10" s="10"/>
      <c r="R10" s="10"/>
      <c r="S10" s="10"/>
      <c r="T10" s="10"/>
      <c r="U10" s="10"/>
      <c r="V10" s="10"/>
      <c r="W10" s="10"/>
      <c r="X10" s="10"/>
      <c r="Y10" s="10"/>
      <c r="Z10" s="11"/>
      <c r="AA10" s="11"/>
      <c r="AB10" s="11"/>
      <c r="AC10" s="11"/>
      <c r="AD10" s="11"/>
      <c r="AE10" s="11"/>
      <c r="AF10" s="11"/>
    </row>
    <row r="11" spans="1:32" x14ac:dyDescent="0.25">
      <c r="A11" s="1"/>
      <c r="B11" s="17">
        <f t="shared" si="0"/>
        <v>6</v>
      </c>
      <c r="C11" s="20"/>
      <c r="D11" s="21"/>
      <c r="E11" s="21"/>
      <c r="F11" s="21"/>
      <c r="G11" s="624"/>
      <c r="H11" s="21"/>
      <c r="I11" s="21"/>
      <c r="J11" s="21"/>
      <c r="K11" s="10"/>
      <c r="L11" s="10"/>
      <c r="M11" s="98"/>
      <c r="N11" s="90"/>
      <c r="O11" s="1"/>
      <c r="P11" s="14"/>
      <c r="Q11" s="10"/>
      <c r="R11" s="10"/>
      <c r="S11" s="10"/>
      <c r="T11" s="10"/>
      <c r="U11" s="10"/>
      <c r="V11" s="10"/>
      <c r="W11" s="10"/>
      <c r="X11" s="10"/>
      <c r="Y11" s="10"/>
      <c r="Z11" s="11"/>
      <c r="AA11" s="11"/>
      <c r="AB11" s="11"/>
      <c r="AC11" s="11"/>
      <c r="AD11" s="11"/>
      <c r="AE11" s="11"/>
      <c r="AF11" s="11"/>
    </row>
    <row r="12" spans="1:32" x14ac:dyDescent="0.25">
      <c r="A12" s="1"/>
      <c r="B12" s="17">
        <f t="shared" si="0"/>
        <v>7</v>
      </c>
      <c r="C12" s="20"/>
      <c r="D12" s="21"/>
      <c r="E12" s="21"/>
      <c r="F12" s="21"/>
      <c r="G12" s="624"/>
      <c r="H12" s="21"/>
      <c r="I12" s="21"/>
      <c r="J12" s="21"/>
      <c r="K12" s="10"/>
      <c r="L12" s="10"/>
      <c r="M12" s="108"/>
      <c r="N12" s="90"/>
      <c r="O12" s="1"/>
      <c r="P12" s="10"/>
      <c r="Q12" s="10"/>
      <c r="R12" s="10"/>
      <c r="S12" s="10"/>
      <c r="T12" s="10"/>
      <c r="U12" s="10"/>
      <c r="V12" s="10"/>
      <c r="W12" s="10"/>
      <c r="X12" s="10"/>
      <c r="Y12" s="10"/>
      <c r="Z12" s="11"/>
      <c r="AA12" s="11"/>
      <c r="AB12" s="11"/>
      <c r="AC12" s="11"/>
      <c r="AD12" s="11"/>
      <c r="AE12" s="11"/>
      <c r="AF12" s="11"/>
    </row>
    <row r="13" spans="1:32" x14ac:dyDescent="0.25">
      <c r="A13" s="1"/>
      <c r="B13" s="17">
        <f t="shared" si="0"/>
        <v>8</v>
      </c>
      <c r="C13" s="20"/>
      <c r="D13" s="21"/>
      <c r="E13" s="21"/>
      <c r="F13" s="21"/>
      <c r="G13" s="624"/>
      <c r="H13" s="21"/>
      <c r="I13" s="21"/>
      <c r="J13" s="21"/>
      <c r="K13" s="10"/>
      <c r="L13" s="10"/>
      <c r="M13" s="108"/>
      <c r="N13" s="90"/>
      <c r="O13" s="1"/>
      <c r="P13" s="10"/>
      <c r="Q13" s="10"/>
      <c r="R13" s="10"/>
      <c r="S13" s="10"/>
      <c r="T13" s="10"/>
      <c r="U13" s="10"/>
      <c r="V13" s="10"/>
      <c r="W13" s="10"/>
      <c r="X13" s="10"/>
      <c r="Y13" s="10"/>
      <c r="Z13" s="11"/>
      <c r="AA13" s="11"/>
      <c r="AB13" s="11"/>
      <c r="AC13" s="11"/>
      <c r="AD13" s="11"/>
      <c r="AE13" s="11"/>
      <c r="AF13" s="11"/>
    </row>
    <row r="14" spans="1:32" x14ac:dyDescent="0.25">
      <c r="A14" s="1"/>
      <c r="B14" s="17">
        <f t="shared" si="0"/>
        <v>9</v>
      </c>
      <c r="C14" s="20"/>
      <c r="D14" s="21"/>
      <c r="E14" s="21"/>
      <c r="F14" s="21"/>
      <c r="G14" s="623"/>
      <c r="H14" s="21"/>
      <c r="I14" s="21"/>
      <c r="J14" s="21"/>
      <c r="K14" s="10"/>
      <c r="L14" s="10"/>
      <c r="M14" s="108"/>
      <c r="N14" s="90"/>
      <c r="O14" s="1"/>
      <c r="P14" s="10"/>
      <c r="Q14" s="10"/>
      <c r="R14" s="10"/>
      <c r="S14" s="10"/>
      <c r="T14" s="10"/>
      <c r="U14" s="10"/>
      <c r="V14" s="10"/>
      <c r="W14" s="10"/>
      <c r="X14" s="10"/>
      <c r="Y14" s="10"/>
      <c r="Z14" s="11"/>
      <c r="AA14" s="11"/>
      <c r="AB14" s="11"/>
      <c r="AC14" s="11"/>
      <c r="AD14" s="11"/>
      <c r="AE14" s="11"/>
      <c r="AF14" s="11"/>
    </row>
    <row r="15" spans="1:32" x14ac:dyDescent="0.25">
      <c r="A15" s="1"/>
      <c r="B15" s="17">
        <f t="shared" si="0"/>
        <v>10</v>
      </c>
      <c r="C15" s="20"/>
      <c r="D15" s="21"/>
      <c r="E15" s="21"/>
      <c r="F15" s="21"/>
      <c r="G15" s="21"/>
      <c r="H15" s="21"/>
      <c r="I15" s="21"/>
      <c r="J15" s="21"/>
      <c r="K15" s="10"/>
      <c r="L15" s="10"/>
      <c r="M15" s="22"/>
      <c r="N15" s="90"/>
      <c r="O15" s="1"/>
      <c r="P15" s="10"/>
      <c r="Q15" s="10"/>
      <c r="R15" s="10"/>
      <c r="S15" s="10"/>
      <c r="T15" s="10"/>
      <c r="U15" s="10"/>
      <c r="V15" s="10"/>
      <c r="W15" s="10"/>
      <c r="X15" s="10"/>
      <c r="Y15" s="10"/>
      <c r="Z15" s="11"/>
      <c r="AA15" s="11"/>
      <c r="AB15" s="11"/>
      <c r="AC15" s="11"/>
      <c r="AD15" s="11"/>
      <c r="AE15" s="11"/>
      <c r="AF15" s="11"/>
    </row>
    <row r="16" spans="1:32" x14ac:dyDescent="0.25">
      <c r="A16" s="1"/>
      <c r="B16" s="17">
        <f t="shared" si="0"/>
        <v>11</v>
      </c>
      <c r="C16" s="20"/>
      <c r="D16" s="21"/>
      <c r="E16" s="21"/>
      <c r="F16" s="21"/>
      <c r="G16" s="623"/>
      <c r="H16" s="21"/>
      <c r="I16" s="21"/>
      <c r="J16" s="21"/>
      <c r="K16" s="10"/>
      <c r="L16" s="10"/>
      <c r="M16" s="1"/>
      <c r="N16" s="1"/>
      <c r="O16" s="1"/>
      <c r="P16" s="10"/>
      <c r="Q16" s="10"/>
      <c r="R16" s="10"/>
      <c r="S16" s="10"/>
      <c r="T16" s="10"/>
      <c r="U16" s="10"/>
      <c r="V16" s="10"/>
      <c r="W16" s="10"/>
      <c r="X16" s="10"/>
      <c r="Y16" s="10"/>
      <c r="Z16" s="11"/>
      <c r="AA16" s="11"/>
      <c r="AB16" s="11"/>
      <c r="AC16" s="11"/>
      <c r="AD16" s="11"/>
      <c r="AE16" s="11"/>
      <c r="AF16" s="11"/>
    </row>
    <row r="17" spans="1:32" x14ac:dyDescent="0.25">
      <c r="A17" s="1"/>
      <c r="B17" s="17">
        <f t="shared" si="0"/>
        <v>12</v>
      </c>
      <c r="C17" s="20"/>
      <c r="D17" s="21"/>
      <c r="E17" s="21"/>
      <c r="F17" s="21"/>
      <c r="G17" s="624"/>
      <c r="H17" s="21"/>
      <c r="I17" s="21"/>
      <c r="J17" s="21"/>
      <c r="K17" s="10"/>
      <c r="L17" s="10"/>
      <c r="M17" s="10"/>
      <c r="N17" s="10"/>
      <c r="O17" s="10"/>
      <c r="P17" s="10"/>
      <c r="Q17" s="10"/>
      <c r="R17" s="10"/>
      <c r="S17" s="10"/>
      <c r="T17" s="10"/>
      <c r="U17" s="10"/>
      <c r="V17" s="10"/>
      <c r="W17" s="10"/>
      <c r="X17" s="10"/>
      <c r="Y17" s="10"/>
      <c r="Z17" s="11"/>
      <c r="AA17" s="11"/>
      <c r="AB17" s="11"/>
      <c r="AC17" s="11"/>
      <c r="AD17" s="11"/>
      <c r="AE17" s="11"/>
      <c r="AF17" s="11"/>
    </row>
    <row r="18" spans="1:32" x14ac:dyDescent="0.25">
      <c r="A18" s="1"/>
      <c r="B18" s="17">
        <f t="shared" si="0"/>
        <v>13</v>
      </c>
      <c r="C18" s="20"/>
      <c r="D18" s="21"/>
      <c r="E18" s="21"/>
      <c r="F18" s="21"/>
      <c r="G18" s="623"/>
      <c r="H18" s="21"/>
      <c r="I18" s="21"/>
      <c r="J18" s="21"/>
      <c r="K18" s="10"/>
      <c r="L18" s="10"/>
      <c r="M18" s="10"/>
      <c r="N18" s="10"/>
      <c r="O18" s="10"/>
      <c r="P18" s="10"/>
      <c r="Q18" s="10"/>
      <c r="R18" s="10"/>
      <c r="S18" s="10"/>
      <c r="T18" s="10"/>
      <c r="U18" s="10"/>
      <c r="V18" s="10"/>
      <c r="W18" s="10"/>
      <c r="X18" s="10"/>
      <c r="Y18" s="10"/>
      <c r="Z18" s="11"/>
      <c r="AA18" s="11"/>
      <c r="AB18" s="11"/>
      <c r="AC18" s="11"/>
      <c r="AD18" s="11"/>
      <c r="AE18" s="11"/>
      <c r="AF18" s="11"/>
    </row>
    <row r="19" spans="1:32" x14ac:dyDescent="0.25">
      <c r="A19" s="1"/>
      <c r="B19" s="17">
        <f t="shared" si="0"/>
        <v>14</v>
      </c>
      <c r="C19" s="20"/>
      <c r="D19" s="21"/>
      <c r="E19" s="21"/>
      <c r="F19" s="21"/>
      <c r="G19" s="623"/>
      <c r="H19" s="21"/>
      <c r="I19" s="21"/>
      <c r="J19" s="21"/>
      <c r="K19" s="10"/>
      <c r="L19" s="10"/>
      <c r="M19" s="10"/>
      <c r="N19" s="10"/>
      <c r="O19" s="10"/>
      <c r="P19" s="10"/>
      <c r="Q19" s="10"/>
      <c r="R19" s="10"/>
      <c r="S19" s="10"/>
      <c r="T19" s="10"/>
      <c r="U19" s="10"/>
      <c r="V19" s="10"/>
      <c r="W19" s="10"/>
      <c r="X19" s="10"/>
      <c r="Y19" s="10"/>
      <c r="Z19" s="11"/>
      <c r="AA19" s="11"/>
      <c r="AB19" s="11"/>
      <c r="AC19" s="11"/>
      <c r="AD19" s="11"/>
      <c r="AE19" s="11"/>
      <c r="AF19" s="11"/>
    </row>
    <row r="20" spans="1:32" x14ac:dyDescent="0.25">
      <c r="A20" s="1"/>
      <c r="B20" s="17">
        <f t="shared" si="0"/>
        <v>15</v>
      </c>
      <c r="C20" s="20"/>
      <c r="D20" s="21"/>
      <c r="E20" s="21"/>
      <c r="F20" s="21"/>
      <c r="G20" s="624"/>
      <c r="H20" s="21"/>
      <c r="I20" s="21"/>
      <c r="J20" s="21"/>
      <c r="K20" s="10"/>
      <c r="L20" s="10"/>
      <c r="M20" s="10"/>
      <c r="N20" s="10"/>
      <c r="O20" s="10"/>
      <c r="P20" s="10"/>
      <c r="Q20" s="10"/>
      <c r="R20" s="10"/>
      <c r="S20" s="10"/>
      <c r="T20" s="10"/>
      <c r="U20" s="10"/>
      <c r="V20" s="10"/>
      <c r="W20" s="10"/>
      <c r="X20" s="10"/>
      <c r="Y20" s="10"/>
      <c r="Z20" s="11"/>
      <c r="AA20" s="11"/>
      <c r="AB20" s="11"/>
      <c r="AC20" s="11"/>
      <c r="AD20" s="11"/>
      <c r="AE20" s="11"/>
      <c r="AF20" s="11"/>
    </row>
    <row r="21" spans="1:32" x14ac:dyDescent="0.25">
      <c r="A21" s="1"/>
      <c r="B21" s="17">
        <f t="shared" si="0"/>
        <v>16</v>
      </c>
      <c r="C21" s="20"/>
      <c r="D21" s="21"/>
      <c r="E21" s="21"/>
      <c r="F21" s="21"/>
      <c r="G21" s="624"/>
      <c r="H21" s="21"/>
      <c r="I21" s="21"/>
      <c r="J21" s="21"/>
      <c r="K21" s="10"/>
      <c r="L21" s="10"/>
      <c r="M21" s="10"/>
      <c r="N21" s="10"/>
      <c r="O21" s="10"/>
      <c r="P21" s="10"/>
      <c r="Q21" s="10"/>
      <c r="R21" s="10"/>
      <c r="S21" s="10"/>
      <c r="T21" s="10"/>
      <c r="U21" s="10"/>
      <c r="V21" s="10"/>
      <c r="W21" s="10"/>
      <c r="X21" s="10"/>
      <c r="Y21" s="10"/>
      <c r="Z21" s="11"/>
      <c r="AA21" s="11"/>
      <c r="AB21" s="11"/>
      <c r="AC21" s="11"/>
      <c r="AD21" s="11"/>
      <c r="AE21" s="11"/>
      <c r="AF21" s="11"/>
    </row>
    <row r="22" spans="1:32" x14ac:dyDescent="0.25">
      <c r="A22" s="1"/>
      <c r="B22" s="17">
        <f t="shared" si="0"/>
        <v>17</v>
      </c>
      <c r="C22" s="20"/>
      <c r="D22" s="21"/>
      <c r="E22" s="21"/>
      <c r="F22" s="21"/>
      <c r="G22" s="624"/>
      <c r="H22" s="21"/>
      <c r="I22" s="21"/>
      <c r="J22" s="21"/>
      <c r="K22" s="10"/>
      <c r="L22" s="10"/>
      <c r="M22" s="10"/>
      <c r="N22" s="10"/>
      <c r="O22" s="10"/>
      <c r="P22" s="10"/>
      <c r="Q22" s="10"/>
      <c r="R22" s="10"/>
      <c r="S22" s="10"/>
      <c r="T22" s="10"/>
      <c r="U22" s="10"/>
      <c r="V22" s="10"/>
      <c r="W22" s="10"/>
      <c r="X22" s="10"/>
      <c r="Y22" s="10"/>
      <c r="Z22" s="11"/>
      <c r="AA22" s="11"/>
      <c r="AB22" s="11"/>
      <c r="AC22" s="11"/>
      <c r="AD22" s="11"/>
      <c r="AE22" s="11"/>
      <c r="AF22" s="11"/>
    </row>
    <row r="23" spans="1:32" x14ac:dyDescent="0.25">
      <c r="A23" s="1"/>
      <c r="B23" s="17">
        <f t="shared" si="0"/>
        <v>18</v>
      </c>
      <c r="C23" s="20"/>
      <c r="D23" s="21"/>
      <c r="E23" s="21"/>
      <c r="F23" s="21"/>
      <c r="G23" s="623"/>
      <c r="H23" s="21"/>
      <c r="I23" s="21"/>
      <c r="J23" s="21"/>
      <c r="K23" s="10"/>
      <c r="L23" s="10"/>
      <c r="M23" s="1"/>
      <c r="N23" s="1"/>
      <c r="O23" s="1"/>
      <c r="P23" s="10"/>
      <c r="Q23" s="10"/>
      <c r="R23" s="10"/>
      <c r="S23" s="10"/>
      <c r="T23" s="10"/>
      <c r="U23" s="10"/>
      <c r="V23" s="10"/>
      <c r="W23" s="10"/>
      <c r="X23" s="10"/>
      <c r="Y23" s="10"/>
      <c r="Z23" s="11"/>
      <c r="AA23" s="11"/>
      <c r="AB23" s="11"/>
      <c r="AC23" s="11"/>
      <c r="AD23" s="11"/>
      <c r="AE23" s="11"/>
      <c r="AF23" s="11"/>
    </row>
    <row r="24" spans="1:32" x14ac:dyDescent="0.25">
      <c r="A24" s="1"/>
      <c r="B24" s="17">
        <f t="shared" si="0"/>
        <v>19</v>
      </c>
      <c r="C24" s="20"/>
      <c r="D24" s="21"/>
      <c r="E24" s="21"/>
      <c r="F24" s="21"/>
      <c r="G24" s="623"/>
      <c r="H24" s="21"/>
      <c r="I24" s="21"/>
      <c r="J24" s="21"/>
      <c r="K24" s="10"/>
      <c r="L24" s="10"/>
      <c r="M24" s="10"/>
      <c r="N24" s="10"/>
      <c r="O24" s="10"/>
      <c r="P24" s="10"/>
      <c r="Q24" s="10"/>
      <c r="R24" s="10"/>
      <c r="S24" s="10"/>
      <c r="T24" s="10"/>
      <c r="U24" s="10"/>
      <c r="V24" s="10"/>
      <c r="W24" s="10"/>
      <c r="X24" s="10"/>
      <c r="Y24" s="10"/>
      <c r="Z24" s="11"/>
      <c r="AA24" s="11"/>
      <c r="AB24" s="11"/>
      <c r="AC24" s="11"/>
      <c r="AD24" s="11"/>
      <c r="AE24" s="11"/>
      <c r="AF24" s="11"/>
    </row>
    <row r="25" spans="1:32" x14ac:dyDescent="0.25">
      <c r="A25" s="1"/>
      <c r="B25" s="17">
        <f t="shared" si="0"/>
        <v>20</v>
      </c>
      <c r="C25" s="20"/>
      <c r="D25" s="21"/>
      <c r="E25" s="21"/>
      <c r="F25" s="21"/>
      <c r="G25" s="623"/>
      <c r="H25" s="21"/>
      <c r="I25" s="21"/>
      <c r="J25" s="21"/>
      <c r="K25" s="10"/>
      <c r="L25" s="10"/>
      <c r="M25" s="10"/>
      <c r="N25" s="10"/>
      <c r="O25" s="10"/>
      <c r="P25" s="10"/>
      <c r="Q25" s="10"/>
      <c r="R25" s="10"/>
      <c r="S25" s="10"/>
      <c r="T25" s="10"/>
      <c r="U25" s="10"/>
      <c r="V25" s="10"/>
      <c r="W25" s="10"/>
      <c r="X25" s="10"/>
      <c r="Y25" s="10"/>
      <c r="Z25" s="11"/>
      <c r="AA25" s="11"/>
      <c r="AB25" s="11"/>
      <c r="AC25" s="11"/>
      <c r="AD25" s="11"/>
      <c r="AE25" s="11"/>
      <c r="AF25" s="11"/>
    </row>
    <row r="26" spans="1:32" x14ac:dyDescent="0.25">
      <c r="A26" s="1"/>
      <c r="B26" s="17">
        <f t="shared" si="0"/>
        <v>21</v>
      </c>
      <c r="C26" s="20"/>
      <c r="D26" s="21"/>
      <c r="E26" s="21"/>
      <c r="F26" s="21"/>
      <c r="G26" s="623"/>
      <c r="H26" s="21"/>
      <c r="I26" s="21"/>
      <c r="J26" s="21"/>
      <c r="K26" s="10"/>
      <c r="L26" s="10"/>
      <c r="M26" s="10"/>
      <c r="N26" s="10"/>
      <c r="O26" s="10"/>
      <c r="P26" s="10"/>
      <c r="Q26" s="10"/>
      <c r="R26" s="10"/>
      <c r="S26" s="10"/>
      <c r="T26" s="10"/>
      <c r="U26" s="10"/>
      <c r="V26" s="10"/>
      <c r="W26" s="10"/>
      <c r="X26" s="10"/>
      <c r="Y26" s="10"/>
      <c r="Z26" s="11"/>
      <c r="AA26" s="11"/>
      <c r="AB26" s="11"/>
      <c r="AC26" s="11"/>
      <c r="AD26" s="11"/>
      <c r="AE26" s="11"/>
      <c r="AF26" s="11"/>
    </row>
    <row r="27" spans="1:32" x14ac:dyDescent="0.25">
      <c r="A27" s="1"/>
      <c r="B27" s="17">
        <f t="shared" si="0"/>
        <v>22</v>
      </c>
      <c r="C27" s="20"/>
      <c r="D27" s="21"/>
      <c r="E27" s="21"/>
      <c r="F27" s="21"/>
      <c r="G27" s="624"/>
      <c r="H27" s="21"/>
      <c r="I27" s="21"/>
      <c r="J27" s="21"/>
      <c r="K27" s="10"/>
      <c r="L27" s="10"/>
      <c r="M27" s="10"/>
      <c r="N27" s="10"/>
      <c r="O27" s="10"/>
      <c r="P27" s="10"/>
      <c r="Q27" s="10"/>
      <c r="R27" s="10"/>
      <c r="S27" s="10"/>
      <c r="T27" s="10"/>
      <c r="U27" s="10"/>
      <c r="V27" s="10"/>
      <c r="W27" s="10"/>
      <c r="X27" s="10"/>
      <c r="Y27" s="10"/>
      <c r="Z27" s="11"/>
      <c r="AA27" s="11"/>
      <c r="AB27" s="11"/>
      <c r="AC27" s="11"/>
      <c r="AD27" s="11"/>
      <c r="AE27" s="11"/>
      <c r="AF27" s="11"/>
    </row>
    <row r="28" spans="1:32" x14ac:dyDescent="0.25">
      <c r="A28" s="1"/>
      <c r="B28" s="17">
        <f t="shared" si="0"/>
        <v>23</v>
      </c>
      <c r="C28" s="20"/>
      <c r="D28" s="21"/>
      <c r="E28" s="21"/>
      <c r="F28" s="21"/>
      <c r="G28" s="624"/>
      <c r="H28" s="21"/>
      <c r="I28" s="21"/>
      <c r="J28" s="21"/>
      <c r="K28" s="10"/>
      <c r="L28" s="10"/>
      <c r="M28" s="10"/>
      <c r="N28" s="10"/>
      <c r="O28" s="10"/>
      <c r="P28" s="10"/>
      <c r="Q28" s="10"/>
      <c r="R28" s="10"/>
      <c r="S28" s="10"/>
      <c r="T28" s="10"/>
      <c r="U28" s="10"/>
      <c r="V28" s="10"/>
      <c r="W28" s="10"/>
      <c r="X28" s="10"/>
      <c r="Y28" s="10"/>
      <c r="Z28" s="11"/>
      <c r="AA28" s="11"/>
      <c r="AB28" s="11"/>
      <c r="AC28" s="11"/>
      <c r="AD28" s="11"/>
      <c r="AE28" s="11"/>
      <c r="AF28" s="11"/>
    </row>
    <row r="29" spans="1:32" x14ac:dyDescent="0.25">
      <c r="A29" s="1"/>
      <c r="B29" s="17">
        <f t="shared" si="0"/>
        <v>24</v>
      </c>
      <c r="C29" s="20"/>
      <c r="D29" s="21"/>
      <c r="E29" s="21"/>
      <c r="F29" s="21"/>
      <c r="G29" s="623"/>
      <c r="H29" s="21"/>
      <c r="I29" s="21"/>
      <c r="J29" s="21"/>
      <c r="K29" s="10"/>
      <c r="L29" s="10"/>
      <c r="M29" s="10"/>
      <c r="N29" s="10"/>
      <c r="O29" s="10"/>
      <c r="P29" s="10"/>
      <c r="Q29" s="10"/>
      <c r="R29" s="10"/>
      <c r="S29" s="10"/>
      <c r="T29" s="10"/>
      <c r="U29" s="10"/>
      <c r="V29" s="10"/>
      <c r="W29" s="10"/>
      <c r="X29" s="10"/>
      <c r="Y29" s="10"/>
      <c r="Z29" s="11"/>
      <c r="AA29" s="11"/>
      <c r="AB29" s="11"/>
      <c r="AC29" s="11"/>
      <c r="AD29" s="11"/>
      <c r="AE29" s="11"/>
      <c r="AF29" s="11"/>
    </row>
    <row r="30" spans="1:32" x14ac:dyDescent="0.25">
      <c r="A30" s="1"/>
      <c r="B30" s="17">
        <f t="shared" si="0"/>
        <v>25</v>
      </c>
      <c r="C30" s="20"/>
      <c r="D30" s="21"/>
      <c r="E30" s="21"/>
      <c r="F30" s="21"/>
      <c r="G30" s="623"/>
      <c r="H30" s="21"/>
      <c r="I30" s="21"/>
      <c r="J30" s="21"/>
      <c r="K30" s="10"/>
      <c r="L30" s="10"/>
      <c r="M30" s="10"/>
      <c r="N30" s="10"/>
      <c r="O30" s="10"/>
      <c r="P30" s="10"/>
      <c r="Q30" s="10"/>
      <c r="R30" s="10"/>
      <c r="S30" s="10"/>
      <c r="T30" s="10"/>
      <c r="U30" s="10"/>
      <c r="V30" s="10"/>
      <c r="W30" s="10"/>
      <c r="X30" s="10"/>
      <c r="Y30" s="10"/>
      <c r="Z30" s="11"/>
      <c r="AA30" s="11"/>
      <c r="AB30" s="11"/>
      <c r="AC30" s="11"/>
      <c r="AD30" s="11"/>
      <c r="AE30" s="11"/>
      <c r="AF30" s="11"/>
    </row>
    <row r="31" spans="1:32" x14ac:dyDescent="0.25">
      <c r="A31" s="1"/>
      <c r="B31" s="17">
        <f t="shared" si="0"/>
        <v>26</v>
      </c>
      <c r="C31" s="20"/>
      <c r="D31" s="21"/>
      <c r="E31" s="21"/>
      <c r="F31" s="21"/>
      <c r="G31" s="21"/>
      <c r="H31" s="21"/>
      <c r="I31" s="21"/>
      <c r="J31" s="21"/>
      <c r="K31" s="10"/>
      <c r="L31" s="10"/>
      <c r="M31" s="10"/>
      <c r="N31" s="10"/>
      <c r="O31" s="10"/>
      <c r="P31" s="10"/>
      <c r="Q31" s="10"/>
      <c r="R31" s="10"/>
      <c r="S31" s="10"/>
      <c r="T31" s="10"/>
      <c r="U31" s="10"/>
      <c r="V31" s="10"/>
      <c r="W31" s="10"/>
      <c r="X31" s="10"/>
      <c r="Y31" s="10"/>
      <c r="Z31" s="11"/>
      <c r="AA31" s="11"/>
      <c r="AB31" s="11"/>
      <c r="AC31" s="11"/>
      <c r="AD31" s="11"/>
      <c r="AE31" s="11"/>
      <c r="AF31" s="11"/>
    </row>
    <row r="32" spans="1:32" x14ac:dyDescent="0.25">
      <c r="A32" s="1"/>
      <c r="B32" s="17">
        <f t="shared" si="0"/>
        <v>27</v>
      </c>
      <c r="C32" s="20"/>
      <c r="D32" s="21"/>
      <c r="E32" s="21"/>
      <c r="F32" s="21"/>
      <c r="G32" s="21"/>
      <c r="H32" s="21"/>
      <c r="I32" s="21"/>
      <c r="J32" s="21"/>
      <c r="K32" s="10"/>
      <c r="L32" s="10"/>
      <c r="M32" s="10"/>
      <c r="N32" s="10"/>
      <c r="O32" s="10"/>
      <c r="P32" s="10"/>
      <c r="Q32" s="10"/>
      <c r="R32" s="10"/>
      <c r="S32" s="10"/>
      <c r="T32" s="10"/>
      <c r="U32" s="10"/>
      <c r="V32" s="10"/>
      <c r="W32" s="10"/>
      <c r="X32" s="10"/>
      <c r="Y32" s="10"/>
      <c r="Z32" s="11"/>
      <c r="AA32" s="11"/>
      <c r="AB32" s="11"/>
      <c r="AC32" s="11"/>
      <c r="AD32" s="11"/>
      <c r="AE32" s="11"/>
      <c r="AF32" s="11"/>
    </row>
    <row r="33" spans="1:32" x14ac:dyDescent="0.25">
      <c r="A33" s="1"/>
      <c r="B33" s="17">
        <f t="shared" si="0"/>
        <v>28</v>
      </c>
      <c r="C33" s="20"/>
      <c r="D33" s="21"/>
      <c r="E33" s="21"/>
      <c r="F33" s="21"/>
      <c r="G33" s="21"/>
      <c r="H33" s="21"/>
      <c r="I33" s="21"/>
      <c r="J33" s="21"/>
      <c r="K33" s="10"/>
      <c r="L33" s="10"/>
      <c r="M33" s="10"/>
      <c r="N33" s="10"/>
      <c r="O33" s="10"/>
      <c r="P33" s="10"/>
      <c r="Q33" s="10"/>
      <c r="R33" s="10"/>
      <c r="S33" s="10"/>
      <c r="T33" s="10"/>
      <c r="U33" s="10"/>
      <c r="V33" s="10"/>
      <c r="W33" s="10"/>
      <c r="X33" s="10"/>
      <c r="Y33" s="10"/>
      <c r="Z33" s="11"/>
      <c r="AA33" s="11"/>
      <c r="AB33" s="11"/>
      <c r="AC33" s="11"/>
      <c r="AD33" s="11"/>
      <c r="AE33" s="11"/>
      <c r="AF33" s="11"/>
    </row>
    <row r="34" spans="1:32" x14ac:dyDescent="0.25">
      <c r="A34" s="1"/>
      <c r="B34" s="17">
        <f t="shared" si="0"/>
        <v>29</v>
      </c>
      <c r="C34" s="20"/>
      <c r="D34" s="21"/>
      <c r="E34" s="21"/>
      <c r="F34" s="21"/>
      <c r="G34" s="21"/>
      <c r="H34" s="21"/>
      <c r="I34" s="21"/>
      <c r="J34" s="21"/>
      <c r="K34" s="10"/>
      <c r="L34" s="10"/>
      <c r="M34" s="1"/>
      <c r="N34" s="1"/>
      <c r="O34" s="15"/>
      <c r="P34" s="10"/>
      <c r="Q34" s="10"/>
      <c r="R34" s="10"/>
      <c r="S34" s="10"/>
      <c r="T34" s="10"/>
      <c r="U34" s="10"/>
      <c r="V34" s="10"/>
      <c r="W34" s="10"/>
      <c r="X34" s="10"/>
      <c r="Y34" s="10"/>
      <c r="Z34" s="11"/>
      <c r="AA34" s="11"/>
      <c r="AB34" s="11"/>
      <c r="AC34" s="11"/>
      <c r="AD34" s="11"/>
      <c r="AE34" s="11"/>
      <c r="AF34" s="11"/>
    </row>
    <row r="35" spans="1:32" x14ac:dyDescent="0.25">
      <c r="A35" s="1"/>
      <c r="B35" s="17">
        <f t="shared" si="0"/>
        <v>30</v>
      </c>
      <c r="C35" s="20"/>
      <c r="D35" s="21"/>
      <c r="E35" s="21"/>
      <c r="F35" s="21"/>
      <c r="G35" s="21"/>
      <c r="H35" s="21"/>
      <c r="I35" s="21"/>
      <c r="J35" s="21"/>
      <c r="K35" s="10"/>
      <c r="L35" s="10"/>
      <c r="M35" s="1"/>
      <c r="N35" s="1"/>
      <c r="O35" s="10"/>
      <c r="P35" s="10"/>
      <c r="Q35" s="10"/>
      <c r="R35" s="10"/>
      <c r="S35" s="10"/>
      <c r="T35" s="10"/>
      <c r="U35" s="10"/>
      <c r="V35" s="10"/>
      <c r="W35" s="10"/>
      <c r="X35" s="10"/>
      <c r="Y35" s="10"/>
      <c r="Z35" s="11"/>
      <c r="AA35" s="11"/>
      <c r="AB35" s="11"/>
      <c r="AC35" s="11"/>
      <c r="AD35" s="11"/>
      <c r="AE35" s="11"/>
      <c r="AF35" s="11"/>
    </row>
    <row r="36" spans="1:32" x14ac:dyDescent="0.25">
      <c r="A36" s="1"/>
      <c r="B36" s="17">
        <f t="shared" si="0"/>
        <v>31</v>
      </c>
      <c r="C36" s="20"/>
      <c r="D36" s="21"/>
      <c r="E36" s="21"/>
      <c r="F36" s="21"/>
      <c r="G36" s="21"/>
      <c r="H36" s="21"/>
      <c r="I36" s="21"/>
      <c r="J36" s="21"/>
      <c r="K36" s="10"/>
      <c r="L36" s="10"/>
      <c r="M36" s="1"/>
      <c r="N36" s="1"/>
      <c r="O36" s="15"/>
      <c r="P36" s="10"/>
      <c r="Q36" s="10"/>
      <c r="R36" s="10"/>
      <c r="S36" s="10"/>
      <c r="T36" s="10"/>
      <c r="U36" s="10"/>
      <c r="V36" s="10"/>
      <c r="W36" s="10"/>
      <c r="X36" s="10"/>
      <c r="Y36" s="10"/>
      <c r="Z36" s="11"/>
      <c r="AA36" s="11"/>
      <c r="AB36" s="11"/>
      <c r="AC36" s="11"/>
      <c r="AD36" s="11"/>
      <c r="AE36" s="11"/>
      <c r="AF36" s="11"/>
    </row>
    <row r="37" spans="1:32" ht="12" thickBot="1" x14ac:dyDescent="0.3">
      <c r="A37" s="2"/>
      <c r="B37" s="629">
        <f t="shared" si="0"/>
        <v>32</v>
      </c>
      <c r="C37" s="23"/>
      <c r="D37" s="24"/>
      <c r="E37" s="24"/>
      <c r="F37" s="24"/>
      <c r="G37" s="24"/>
      <c r="H37" s="24"/>
      <c r="I37" s="24"/>
      <c r="J37" s="24"/>
      <c r="K37" s="10"/>
      <c r="L37" s="10"/>
      <c r="M37" s="1"/>
      <c r="N37" s="1"/>
      <c r="O37" s="15"/>
      <c r="P37" s="10"/>
      <c r="Q37" s="10"/>
      <c r="R37" s="10"/>
      <c r="S37" s="10"/>
      <c r="T37" s="10"/>
      <c r="U37" s="10"/>
      <c r="V37" s="10"/>
      <c r="W37" s="10"/>
      <c r="X37" s="10"/>
      <c r="Y37" s="10"/>
      <c r="Z37" s="11"/>
      <c r="AA37" s="11"/>
      <c r="AB37" s="11"/>
      <c r="AC37" s="11"/>
      <c r="AD37" s="11"/>
      <c r="AE37" s="11"/>
      <c r="AF37" s="11"/>
    </row>
    <row r="38" spans="1:32" x14ac:dyDescent="0.25">
      <c r="A38" s="1"/>
      <c r="B38" s="1" t="s">
        <v>43</v>
      </c>
      <c r="C38" s="1"/>
      <c r="D38" s="1"/>
      <c r="E38" s="1"/>
      <c r="F38" s="1"/>
      <c r="G38" s="1"/>
      <c r="H38" s="1"/>
      <c r="I38" s="1"/>
      <c r="J38" s="1"/>
      <c r="K38" s="10"/>
      <c r="L38" s="10"/>
      <c r="M38" s="1"/>
      <c r="N38" s="1"/>
      <c r="O38" s="15"/>
      <c r="P38" s="10"/>
      <c r="Q38" s="10"/>
      <c r="R38" s="10"/>
      <c r="S38" s="10"/>
      <c r="T38" s="10"/>
      <c r="U38" s="10"/>
      <c r="V38" s="10"/>
      <c r="W38" s="10"/>
      <c r="X38" s="10"/>
      <c r="Y38" s="10"/>
      <c r="Z38" s="11"/>
      <c r="AA38" s="11"/>
      <c r="AB38" s="11"/>
      <c r="AC38" s="11"/>
      <c r="AD38" s="11"/>
      <c r="AE38" s="11"/>
      <c r="AF38" s="11"/>
    </row>
    <row r="39" spans="1:32" x14ac:dyDescent="0.25">
      <c r="A39" s="1"/>
      <c r="B39" s="1" t="s">
        <v>44</v>
      </c>
      <c r="C39" s="1"/>
      <c r="D39" s="1"/>
      <c r="E39" s="1"/>
      <c r="F39" s="1"/>
      <c r="G39" s="1"/>
      <c r="H39" s="1"/>
      <c r="I39" s="1"/>
      <c r="J39" s="1"/>
      <c r="K39" s="10"/>
      <c r="L39" s="10"/>
      <c r="M39" s="1"/>
      <c r="N39" s="1"/>
      <c r="O39" s="10"/>
      <c r="P39" s="10"/>
      <c r="Q39" s="10"/>
      <c r="R39" s="10"/>
      <c r="S39" s="10"/>
      <c r="T39" s="10"/>
      <c r="U39" s="10"/>
      <c r="V39" s="10"/>
      <c r="W39" s="10"/>
      <c r="X39" s="10"/>
      <c r="Y39" s="10"/>
      <c r="Z39" s="11"/>
      <c r="AA39" s="11"/>
      <c r="AB39" s="11"/>
      <c r="AC39" s="11"/>
      <c r="AD39" s="11"/>
      <c r="AE39" s="11"/>
      <c r="AF39" s="11"/>
    </row>
    <row r="40" spans="1:32" x14ac:dyDescent="0.25">
      <c r="A40" s="1"/>
      <c r="B40" s="1"/>
      <c r="C40" s="1"/>
      <c r="D40" s="1"/>
      <c r="E40" s="1"/>
      <c r="F40" s="1"/>
      <c r="G40" s="1"/>
      <c r="H40" s="1"/>
      <c r="I40" s="1"/>
      <c r="J40" s="1"/>
      <c r="K40" s="1"/>
      <c r="L40" s="1"/>
      <c r="M40" s="1"/>
      <c r="N40" s="1"/>
      <c r="O40" s="15"/>
      <c r="P40" s="1"/>
      <c r="Q40" s="1"/>
      <c r="R40" s="1"/>
      <c r="S40" s="1"/>
      <c r="T40" s="1"/>
      <c r="U40" s="1"/>
      <c r="V40" s="1"/>
      <c r="W40" s="1"/>
      <c r="X40" s="1"/>
      <c r="Y40" s="1"/>
    </row>
    <row r="41" spans="1:32" x14ac:dyDescent="0.25">
      <c r="A41" s="1"/>
      <c r="B41" s="1"/>
      <c r="C41" s="1"/>
      <c r="D41" s="1"/>
      <c r="E41" s="1"/>
      <c r="F41" s="1"/>
      <c r="G41" s="1"/>
      <c r="H41" s="1"/>
      <c r="I41" s="1"/>
      <c r="J41" s="1"/>
      <c r="K41" s="1"/>
      <c r="L41" s="1"/>
      <c r="M41" s="1"/>
      <c r="N41" s="1"/>
      <c r="O41" s="10"/>
      <c r="P41" s="1"/>
      <c r="Q41" s="1"/>
      <c r="R41" s="1"/>
      <c r="S41" s="1"/>
      <c r="T41" s="1"/>
      <c r="U41" s="1"/>
      <c r="V41" s="1"/>
      <c r="W41" s="1"/>
      <c r="X41" s="1"/>
      <c r="Y41" s="1"/>
    </row>
    <row r="42" spans="1:32" ht="14" x14ac:dyDescent="0.3">
      <c r="A42" s="1"/>
      <c r="B42" s="8"/>
      <c r="C42" s="1"/>
      <c r="D42" s="1"/>
      <c r="E42" s="1"/>
      <c r="F42" s="1"/>
      <c r="G42" s="1"/>
      <c r="H42" s="1"/>
      <c r="I42" s="1"/>
      <c r="J42" s="1"/>
      <c r="K42" s="1"/>
      <c r="L42" s="1"/>
      <c r="M42" s="1"/>
      <c r="N42" s="1"/>
      <c r="O42" s="10"/>
      <c r="P42" s="1"/>
      <c r="Q42" s="1"/>
      <c r="R42" s="1"/>
      <c r="S42" s="1"/>
      <c r="T42" s="1"/>
      <c r="U42" s="1"/>
      <c r="V42" s="1"/>
      <c r="W42" s="1"/>
      <c r="X42" s="1"/>
      <c r="Y42" s="1"/>
    </row>
    <row r="43" spans="1:32" x14ac:dyDescent="0.25">
      <c r="A43" s="1"/>
      <c r="B43" s="9"/>
      <c r="C43" s="1"/>
      <c r="D43" s="1"/>
      <c r="E43" s="1"/>
      <c r="F43" s="1"/>
      <c r="G43" s="1"/>
      <c r="H43" s="1"/>
      <c r="I43" s="1"/>
      <c r="J43" s="1"/>
      <c r="K43" s="1"/>
      <c r="L43" s="1"/>
      <c r="M43" s="1"/>
      <c r="N43" s="1"/>
      <c r="O43" s="10"/>
      <c r="P43" s="1"/>
      <c r="Q43" s="1"/>
      <c r="R43" s="1"/>
      <c r="S43" s="1"/>
      <c r="T43" s="1"/>
      <c r="U43" s="1"/>
      <c r="V43" s="1"/>
      <c r="W43" s="1"/>
      <c r="X43" s="1"/>
      <c r="Y43" s="1"/>
    </row>
    <row r="44" spans="1:32" x14ac:dyDescent="0.25">
      <c r="A44" s="1"/>
      <c r="B44" s="1"/>
      <c r="C44" s="1"/>
      <c r="D44" s="1"/>
      <c r="E44" s="1"/>
      <c r="F44" s="1"/>
      <c r="G44" s="1"/>
      <c r="H44" s="1"/>
      <c r="I44" s="1"/>
      <c r="J44" s="1"/>
      <c r="K44" s="1"/>
      <c r="L44" s="1"/>
      <c r="M44" s="1"/>
      <c r="N44" s="1"/>
      <c r="O44" s="10"/>
      <c r="P44" s="1"/>
      <c r="Q44" s="1"/>
      <c r="R44" s="1"/>
      <c r="S44" s="1"/>
      <c r="T44" s="1"/>
      <c r="U44" s="1"/>
      <c r="V44" s="1"/>
      <c r="W44" s="1"/>
      <c r="X44" s="1"/>
      <c r="Y44" s="1"/>
    </row>
    <row r="45" spans="1:32" x14ac:dyDescent="0.25">
      <c r="A45" s="1"/>
      <c r="B45" s="1"/>
      <c r="C45" s="1"/>
      <c r="D45" s="1"/>
      <c r="E45" s="1"/>
      <c r="F45" s="1"/>
      <c r="G45" s="1"/>
      <c r="H45" s="1"/>
      <c r="I45" s="1"/>
      <c r="J45" s="1"/>
      <c r="K45" s="1"/>
      <c r="L45" s="1"/>
      <c r="M45" s="10"/>
      <c r="N45" s="25"/>
      <c r="O45" s="10"/>
      <c r="P45" s="1"/>
      <c r="Q45" s="1"/>
      <c r="R45" s="1"/>
      <c r="S45" s="1"/>
      <c r="T45" s="1"/>
      <c r="U45" s="1"/>
      <c r="V45" s="1"/>
      <c r="W45" s="1"/>
      <c r="X45" s="1"/>
      <c r="Y45" s="1"/>
    </row>
    <row r="46" spans="1:32"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2"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2"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sheetData>
  <conditionalFormatting sqref="F5:F37">
    <cfRule type="cellIs" dxfId="15" priority="1" operator="equal">
      <formula>$M$6</formula>
    </cfRule>
    <cfRule type="cellIs" dxfId="14" priority="2" operator="equal">
      <formula>$M$5</formula>
    </cfRule>
  </conditionalFormatting>
  <dataValidations count="4">
    <dataValidation type="list" showInputMessage="1" showErrorMessage="1" sqref="F6:F31" xr:uid="{79F2BAB1-7E8E-4198-ADE3-7B84555AEFFD}">
      <formula1>$M$5:$M$9</formula1>
    </dataValidation>
    <dataValidation type="list" allowBlank="1" showInputMessage="1" showErrorMessage="1" sqref="F5:F31" xr:uid="{717259CB-EB05-4313-B323-38098E5CCB76}">
      <formula1>$M$5:$M$9</formula1>
    </dataValidation>
    <dataValidation type="list" allowBlank="1" showInputMessage="1" showErrorMessage="1" sqref="F32:F37" xr:uid="{208E5829-36C4-44AA-BBC2-EBA4F060E662}">
      <formula1>$M$5:$M$15</formula1>
    </dataValidation>
    <dataValidation type="list" showInputMessage="1" showErrorMessage="1" sqref="F5" xr:uid="{7FCDB47D-8F4B-4742-A877-F33712A4E480}">
      <formula1>$M$5:$M$8</formula1>
    </dataValidation>
  </dataValidations>
  <pageMargins left="0.7" right="0.7" top="0.75" bottom="0.75" header="0.3" footer="0.3"/>
  <pageSetup paperSize="9" scale="86" orientation="landscape" horizontalDpi="200"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3:I84"/>
  <sheetViews>
    <sheetView showGridLines="0" tabSelected="1" workbookViewId="0"/>
  </sheetViews>
  <sheetFormatPr defaultColWidth="9.09765625" defaultRowHeight="11.5" x14ac:dyDescent="0.25"/>
  <cols>
    <col min="1" max="1" width="3.69921875" customWidth="1"/>
    <col min="2" max="2" width="5" customWidth="1"/>
    <col min="3" max="3" width="7.09765625" customWidth="1"/>
    <col min="4" max="4" width="139.69921875" customWidth="1"/>
    <col min="5" max="5" width="23.8984375" customWidth="1"/>
  </cols>
  <sheetData>
    <row r="3" spans="2:9" ht="15.5" x14ac:dyDescent="0.35">
      <c r="B3" s="43" t="s">
        <v>224</v>
      </c>
      <c r="C3" s="43"/>
      <c r="D3" s="44"/>
    </row>
    <row r="4" spans="2:9" ht="15.75" customHeight="1" x14ac:dyDescent="0.25">
      <c r="B4" s="45"/>
      <c r="C4" s="45"/>
      <c r="D4" s="45"/>
      <c r="E4" s="46"/>
      <c r="F4" s="46"/>
      <c r="G4" s="46"/>
      <c r="H4" s="46"/>
      <c r="I4" s="46"/>
    </row>
    <row r="5" spans="2:9" ht="15.75" customHeight="1" x14ac:dyDescent="0.25">
      <c r="B5" s="45"/>
      <c r="C5" s="45"/>
      <c r="D5" s="45"/>
      <c r="E5" s="46"/>
      <c r="F5" s="46"/>
      <c r="G5" s="46"/>
      <c r="H5" s="46"/>
      <c r="I5" s="46"/>
    </row>
    <row r="6" spans="2:9" x14ac:dyDescent="0.25">
      <c r="B6" s="42" t="s">
        <v>49</v>
      </c>
      <c r="C6" s="42"/>
      <c r="D6" s="47" t="s">
        <v>1283</v>
      </c>
      <c r="E6" s="46"/>
      <c r="F6" s="46"/>
      <c r="G6" s="46"/>
      <c r="H6" s="46"/>
      <c r="I6" s="46"/>
    </row>
    <row r="7" spans="2:9" x14ac:dyDescent="0.25">
      <c r="B7" t="s">
        <v>50</v>
      </c>
      <c r="D7" s="565" t="s">
        <v>1284</v>
      </c>
      <c r="E7" s="46"/>
      <c r="F7" s="46"/>
      <c r="G7" s="46"/>
      <c r="H7" s="46"/>
      <c r="I7" s="46"/>
    </row>
    <row r="9" spans="2:9" ht="15.75" customHeight="1" x14ac:dyDescent="0.25">
      <c r="B9" s="45"/>
      <c r="C9" s="45"/>
      <c r="D9" s="45"/>
      <c r="E9" s="46"/>
      <c r="F9" s="46"/>
      <c r="G9" s="46"/>
      <c r="H9" s="46"/>
      <c r="I9" s="46"/>
    </row>
    <row r="10" spans="2:9" ht="14" x14ac:dyDescent="0.3">
      <c r="B10" s="48" t="s">
        <v>51</v>
      </c>
      <c r="C10" s="48"/>
      <c r="D10" s="49"/>
    </row>
    <row r="12" spans="2:9" ht="11.5" customHeight="1" x14ac:dyDescent="0.25">
      <c r="B12" t="s">
        <v>1455</v>
      </c>
    </row>
    <row r="13" spans="2:9" ht="11.5" customHeight="1" x14ac:dyDescent="0.25">
      <c r="B13" s="50"/>
      <c r="C13" s="50"/>
      <c r="D13" s="46"/>
      <c r="E13" s="46"/>
      <c r="F13" s="46"/>
      <c r="G13" s="46"/>
      <c r="H13" s="46"/>
      <c r="I13" s="46"/>
    </row>
    <row r="14" spans="2:9" ht="11.5" customHeight="1" x14ac:dyDescent="0.25">
      <c r="B14" s="50"/>
      <c r="C14" s="50"/>
      <c r="D14" s="46"/>
      <c r="E14" s="46"/>
      <c r="F14" s="46"/>
      <c r="G14" s="46"/>
      <c r="H14" s="46"/>
      <c r="I14" s="46"/>
    </row>
    <row r="15" spans="2:9" ht="15" customHeight="1" x14ac:dyDescent="0.3">
      <c r="B15" s="48" t="s">
        <v>1454</v>
      </c>
      <c r="C15" s="48"/>
      <c r="D15" s="51"/>
      <c r="E15" s="46"/>
      <c r="F15" s="46"/>
      <c r="G15" s="46"/>
      <c r="H15" s="46"/>
      <c r="I15" s="46"/>
    </row>
    <row r="16" spans="2:9" ht="11.5" customHeight="1" x14ac:dyDescent="0.25">
      <c r="B16" s="50"/>
      <c r="C16" s="50"/>
      <c r="D16" s="46"/>
      <c r="E16" s="46"/>
      <c r="F16" s="46"/>
      <c r="G16" s="46"/>
      <c r="H16" s="46"/>
      <c r="I16" s="46"/>
    </row>
    <row r="17" spans="2:9" ht="11.5" customHeight="1" x14ac:dyDescent="0.25">
      <c r="B17" s="46" t="s">
        <v>1459</v>
      </c>
      <c r="C17" s="50"/>
      <c r="D17" s="46"/>
      <c r="E17" s="46"/>
      <c r="F17" s="46"/>
      <c r="G17" s="46"/>
      <c r="H17" s="46"/>
      <c r="I17" s="46"/>
    </row>
    <row r="18" spans="2:9" ht="11.5" customHeight="1" x14ac:dyDescent="0.25">
      <c r="B18" s="46"/>
      <c r="C18" s="50"/>
      <c r="D18" s="46"/>
      <c r="E18" s="46"/>
      <c r="F18" s="46"/>
      <c r="G18" s="46"/>
      <c r="H18" s="46"/>
      <c r="I18" s="46"/>
    </row>
    <row r="19" spans="2:9" ht="11.5" customHeight="1" x14ac:dyDescent="0.25">
      <c r="B19" s="653" t="s">
        <v>1449</v>
      </c>
      <c r="C19" s="46" t="s">
        <v>1450</v>
      </c>
      <c r="D19" s="46"/>
      <c r="E19" s="46"/>
      <c r="F19" s="46"/>
      <c r="G19" s="46"/>
      <c r="H19" s="46"/>
      <c r="I19" s="46"/>
    </row>
    <row r="20" spans="2:9" ht="11.5" customHeight="1" x14ac:dyDescent="0.25">
      <c r="B20" s="653" t="s">
        <v>1433</v>
      </c>
      <c r="C20" s="46" t="s">
        <v>1451</v>
      </c>
      <c r="D20" s="46"/>
      <c r="E20" s="46"/>
      <c r="F20" s="46"/>
      <c r="G20" s="46"/>
      <c r="H20" s="46"/>
      <c r="I20" s="46"/>
    </row>
    <row r="21" spans="2:9" ht="11.5" customHeight="1" x14ac:dyDescent="0.25">
      <c r="B21" s="653" t="s">
        <v>1433</v>
      </c>
      <c r="C21" s="46" t="s">
        <v>1467</v>
      </c>
      <c r="D21" s="46"/>
      <c r="E21" s="46"/>
      <c r="F21" s="46"/>
      <c r="G21" s="46"/>
      <c r="H21" s="46"/>
      <c r="I21" s="46"/>
    </row>
    <row r="22" spans="2:9" ht="11.5" customHeight="1" x14ac:dyDescent="0.25">
      <c r="B22" s="653" t="s">
        <v>1433</v>
      </c>
      <c r="C22" s="46" t="s">
        <v>1452</v>
      </c>
      <c r="D22" s="46"/>
      <c r="E22" s="46"/>
      <c r="F22" s="46"/>
      <c r="G22" s="46"/>
      <c r="H22" s="46"/>
      <c r="I22" s="46"/>
    </row>
    <row r="23" spans="2:9" ht="11.5" customHeight="1" x14ac:dyDescent="0.25">
      <c r="B23" s="653" t="s">
        <v>1433</v>
      </c>
      <c r="C23" s="46" t="s">
        <v>1453</v>
      </c>
      <c r="D23" s="46"/>
      <c r="E23" s="46"/>
      <c r="F23" s="46"/>
      <c r="G23" s="46"/>
      <c r="H23" s="46"/>
      <c r="I23" s="46"/>
    </row>
    <row r="24" spans="2:9" ht="11.5" customHeight="1" x14ac:dyDescent="0.25">
      <c r="B24" s="46"/>
      <c r="C24" s="46"/>
      <c r="D24" s="46"/>
      <c r="E24" s="46"/>
      <c r="F24" s="46"/>
      <c r="G24" s="46"/>
      <c r="H24" s="46"/>
      <c r="I24" s="46"/>
    </row>
    <row r="25" spans="2:9" ht="11.5" customHeight="1" x14ac:dyDescent="0.25">
      <c r="B25" s="46" t="s">
        <v>1456</v>
      </c>
      <c r="C25" s="46"/>
      <c r="D25" s="46"/>
      <c r="E25" s="46"/>
      <c r="F25" s="46"/>
      <c r="G25" s="46"/>
      <c r="H25" s="46"/>
      <c r="I25" s="46"/>
    </row>
    <row r="26" spans="2:9" ht="11.5" customHeight="1" x14ac:dyDescent="0.25">
      <c r="B26" s="46" t="s">
        <v>1487</v>
      </c>
      <c r="C26" s="46"/>
      <c r="D26" s="46"/>
      <c r="E26" s="46"/>
      <c r="F26" s="46"/>
      <c r="G26" s="46"/>
      <c r="H26" s="46"/>
      <c r="I26" s="46"/>
    </row>
    <row r="27" spans="2:9" ht="11.5" customHeight="1" x14ac:dyDescent="0.25">
      <c r="B27" s="46"/>
      <c r="C27" s="46"/>
      <c r="D27" s="46"/>
      <c r="E27" s="46"/>
      <c r="F27" s="46"/>
      <c r="G27" s="46"/>
      <c r="H27" s="46"/>
      <c r="I27" s="46"/>
    </row>
    <row r="28" spans="2:9" ht="11.5" customHeight="1" x14ac:dyDescent="0.25">
      <c r="B28" s="46" t="s">
        <v>1457</v>
      </c>
      <c r="C28" s="46"/>
      <c r="D28" s="46"/>
      <c r="E28" s="46"/>
      <c r="F28" s="46"/>
      <c r="G28" s="46"/>
      <c r="H28" s="46"/>
      <c r="I28" s="46"/>
    </row>
    <row r="29" spans="2:9" ht="11.5" customHeight="1" x14ac:dyDescent="0.25">
      <c r="B29" s="654" t="s">
        <v>1458</v>
      </c>
      <c r="C29" s="46"/>
      <c r="D29" s="46"/>
      <c r="E29" s="46"/>
      <c r="F29" s="46"/>
      <c r="G29" s="46"/>
      <c r="H29" s="46"/>
      <c r="I29" s="46"/>
    </row>
    <row r="30" spans="2:9" ht="11.5" customHeight="1" x14ac:dyDescent="0.25">
      <c r="B30" s="46"/>
      <c r="C30" s="46"/>
      <c r="D30" s="46"/>
      <c r="E30" s="46"/>
      <c r="F30" s="46"/>
      <c r="G30" s="46"/>
      <c r="H30" s="46"/>
      <c r="I30" s="46"/>
    </row>
    <row r="31" spans="2:9" ht="11.5" customHeight="1" x14ac:dyDescent="0.25">
      <c r="B31" s="50"/>
      <c r="C31" s="50"/>
      <c r="D31" s="46"/>
      <c r="E31" s="46"/>
      <c r="F31" s="46"/>
      <c r="G31" s="46"/>
      <c r="H31" s="46"/>
      <c r="I31" s="46"/>
    </row>
    <row r="32" spans="2:9" ht="14" x14ac:dyDescent="0.3">
      <c r="B32" s="48" t="s">
        <v>1460</v>
      </c>
      <c r="C32" s="48"/>
      <c r="D32" s="51"/>
    </row>
    <row r="33" spans="2:9" ht="11.5" customHeight="1" x14ac:dyDescent="0.25">
      <c r="B33" s="7"/>
    </row>
    <row r="34" spans="2:9" ht="11.5" customHeight="1" x14ac:dyDescent="0.25">
      <c r="B34" s="46" t="s">
        <v>1484</v>
      </c>
      <c r="C34" s="50"/>
      <c r="D34" s="46"/>
      <c r="E34" s="46"/>
      <c r="F34" s="46"/>
      <c r="G34" s="46"/>
      <c r="H34" s="46"/>
      <c r="I34" s="46"/>
    </row>
    <row r="35" spans="2:9" ht="11.5" customHeight="1" x14ac:dyDescent="0.25">
      <c r="B35" s="46"/>
      <c r="C35" s="50"/>
      <c r="D35" s="46"/>
      <c r="E35" s="46"/>
      <c r="F35" s="46"/>
      <c r="G35" s="46"/>
      <c r="H35" s="46"/>
      <c r="I35" s="46"/>
    </row>
    <row r="36" spans="2:9" ht="11.5" customHeight="1" x14ac:dyDescent="0.25">
      <c r="B36" s="655" t="s">
        <v>1478</v>
      </c>
      <c r="C36" s="656"/>
      <c r="D36" s="655"/>
      <c r="E36" s="46"/>
      <c r="F36" s="46"/>
      <c r="G36" s="46"/>
      <c r="H36" s="46"/>
      <c r="I36" s="46"/>
    </row>
    <row r="37" spans="2:9" ht="11.5" customHeight="1" x14ac:dyDescent="0.25">
      <c r="B37" s="46"/>
      <c r="C37" s="50"/>
      <c r="D37" s="46"/>
      <c r="E37" s="46"/>
      <c r="F37" s="46"/>
      <c r="G37" s="46"/>
      <c r="H37" s="46"/>
      <c r="I37" s="46"/>
    </row>
    <row r="38" spans="2:9" ht="11.5" customHeight="1" x14ac:dyDescent="0.25">
      <c r="B38" s="46" t="s">
        <v>1463</v>
      </c>
      <c r="C38" s="50"/>
      <c r="D38" s="46"/>
      <c r="E38" s="46"/>
      <c r="F38" s="46"/>
      <c r="G38" s="46"/>
      <c r="H38" s="46"/>
      <c r="I38" s="46"/>
    </row>
    <row r="39" spans="2:9" ht="11.5" customHeight="1" x14ac:dyDescent="0.25">
      <c r="B39" s="46"/>
      <c r="C39" s="50"/>
      <c r="D39" s="46"/>
      <c r="E39" s="46"/>
      <c r="F39" s="46"/>
      <c r="G39" s="46"/>
      <c r="H39" s="46"/>
      <c r="I39" s="46"/>
    </row>
    <row r="40" spans="2:9" ht="11.5" customHeight="1" x14ac:dyDescent="0.25">
      <c r="B40" s="46" t="s">
        <v>1461</v>
      </c>
      <c r="C40" s="50"/>
      <c r="D40" s="46"/>
      <c r="E40" s="46"/>
      <c r="F40" s="46"/>
      <c r="G40" s="46"/>
      <c r="H40" s="46"/>
      <c r="I40" s="46"/>
    </row>
    <row r="41" spans="2:9" ht="11.5" customHeight="1" x14ac:dyDescent="0.25">
      <c r="B41" s="46" t="s">
        <v>1462</v>
      </c>
      <c r="C41" s="50"/>
      <c r="D41" s="46"/>
      <c r="E41" s="46"/>
      <c r="F41" s="46"/>
      <c r="G41" s="46"/>
      <c r="H41" s="46"/>
      <c r="I41" s="46"/>
    </row>
    <row r="42" spans="2:9" ht="11.5" customHeight="1" x14ac:dyDescent="0.25">
      <c r="B42" s="46"/>
      <c r="C42" s="50"/>
      <c r="D42" s="46"/>
      <c r="E42" s="46"/>
      <c r="F42" s="46"/>
      <c r="G42" s="46"/>
      <c r="H42" s="46"/>
      <c r="I42" s="46"/>
    </row>
    <row r="43" spans="2:9" ht="11.5" customHeight="1" x14ac:dyDescent="0.25">
      <c r="B43" s="659" t="s">
        <v>1477</v>
      </c>
      <c r="C43" s="658"/>
      <c r="D43" s="657"/>
      <c r="E43" s="46"/>
      <c r="F43" s="46"/>
      <c r="G43" s="46"/>
      <c r="H43" s="46"/>
      <c r="I43" s="46"/>
    </row>
    <row r="44" spans="2:9" ht="11.5" customHeight="1" x14ac:dyDescent="0.25">
      <c r="B44" s="46"/>
      <c r="C44" s="50"/>
      <c r="D44" s="46"/>
      <c r="E44" s="46"/>
      <c r="F44" s="46"/>
      <c r="G44" s="46"/>
      <c r="H44" s="46"/>
      <c r="I44" s="46"/>
    </row>
    <row r="45" spans="2:9" ht="11.5" customHeight="1" x14ac:dyDescent="0.25">
      <c r="B45" s="46" t="s">
        <v>1481</v>
      </c>
      <c r="C45" s="50"/>
      <c r="D45" s="46"/>
      <c r="E45" s="46"/>
      <c r="F45" s="46"/>
      <c r="G45" s="46"/>
      <c r="H45" s="46"/>
      <c r="I45" s="46"/>
    </row>
    <row r="46" spans="2:9" ht="11.5" customHeight="1" x14ac:dyDescent="0.25">
      <c r="B46" s="662" t="s">
        <v>1480</v>
      </c>
      <c r="C46" s="663"/>
      <c r="D46" s="89"/>
      <c r="E46" s="46"/>
      <c r="F46" s="46"/>
      <c r="G46" s="46"/>
      <c r="H46" s="46"/>
      <c r="I46" s="46"/>
    </row>
    <row r="47" spans="2:9" ht="11.5" customHeight="1" x14ac:dyDescent="0.25">
      <c r="B47" s="46"/>
      <c r="C47" s="50"/>
      <c r="D47" s="46"/>
      <c r="E47" s="46"/>
      <c r="F47" s="46"/>
      <c r="G47" s="46"/>
      <c r="H47" s="46"/>
      <c r="I47" s="46"/>
    </row>
    <row r="48" spans="2:9" ht="11.5" customHeight="1" x14ac:dyDescent="0.25">
      <c r="B48" s="46" t="s">
        <v>1464</v>
      </c>
      <c r="C48" s="50"/>
      <c r="D48" s="46"/>
      <c r="E48" s="46"/>
      <c r="F48" s="46"/>
      <c r="G48" s="46"/>
      <c r="H48" s="46"/>
      <c r="I48" s="46"/>
    </row>
    <row r="49" spans="2:9" ht="11.5" customHeight="1" x14ac:dyDescent="0.25">
      <c r="B49" s="46"/>
      <c r="C49" s="50"/>
      <c r="D49" s="46"/>
      <c r="E49" s="46"/>
      <c r="F49" s="46"/>
      <c r="G49" s="46"/>
      <c r="H49" s="46"/>
      <c r="I49" s="46"/>
    </row>
    <row r="50" spans="2:9" ht="11.5" customHeight="1" x14ac:dyDescent="0.25">
      <c r="B50" s="46" t="s">
        <v>1433</v>
      </c>
      <c r="C50" s="46" t="s">
        <v>1488</v>
      </c>
      <c r="D50" s="46"/>
      <c r="E50" s="46"/>
      <c r="F50" s="46"/>
      <c r="G50" s="46"/>
      <c r="H50" s="46"/>
      <c r="I50" s="46"/>
    </row>
    <row r="51" spans="2:9" ht="11.5" customHeight="1" x14ac:dyDescent="0.25">
      <c r="B51" s="46"/>
      <c r="C51" s="46" t="s">
        <v>1465</v>
      </c>
      <c r="D51" s="46"/>
      <c r="E51" s="46"/>
      <c r="F51" s="46"/>
      <c r="G51" s="46"/>
      <c r="H51" s="46"/>
      <c r="I51" s="46"/>
    </row>
    <row r="52" spans="2:9" ht="11.5" customHeight="1" x14ac:dyDescent="0.25">
      <c r="B52" s="46" t="s">
        <v>1433</v>
      </c>
      <c r="C52" s="46" t="s">
        <v>1466</v>
      </c>
      <c r="D52" s="46"/>
      <c r="E52" s="46"/>
      <c r="F52" s="46"/>
      <c r="G52" s="46"/>
      <c r="H52" s="46"/>
      <c r="I52" s="46"/>
    </row>
    <row r="53" spans="2:9" ht="11.5" customHeight="1" x14ac:dyDescent="0.25">
      <c r="B53" s="46" t="s">
        <v>1433</v>
      </c>
      <c r="C53" s="46" t="s">
        <v>1507</v>
      </c>
      <c r="D53" s="46"/>
      <c r="E53" s="46"/>
      <c r="F53" s="46"/>
      <c r="G53" s="46"/>
      <c r="H53" s="46"/>
      <c r="I53" s="46"/>
    </row>
    <row r="54" spans="2:9" ht="11.5" customHeight="1" x14ac:dyDescent="0.25">
      <c r="B54" s="46"/>
      <c r="C54" s="46" t="s">
        <v>1489</v>
      </c>
      <c r="D54" s="46"/>
      <c r="E54" s="46"/>
      <c r="F54" s="46"/>
      <c r="G54" s="46"/>
      <c r="H54" s="46"/>
      <c r="I54" s="46"/>
    </row>
    <row r="55" spans="2:9" ht="11.5" customHeight="1" x14ac:dyDescent="0.25">
      <c r="B55" s="46" t="s">
        <v>1433</v>
      </c>
      <c r="C55" s="46" t="s">
        <v>1468</v>
      </c>
      <c r="D55" s="46"/>
      <c r="E55" s="46"/>
      <c r="F55" s="46"/>
      <c r="G55" s="46"/>
      <c r="H55" s="46"/>
      <c r="I55" s="46"/>
    </row>
    <row r="56" spans="2:9" ht="11.5" customHeight="1" x14ac:dyDescent="0.25">
      <c r="B56" s="46"/>
      <c r="C56" s="46" t="s">
        <v>1469</v>
      </c>
      <c r="D56" s="46"/>
      <c r="E56" s="46"/>
      <c r="F56" s="46"/>
      <c r="G56" s="46"/>
      <c r="H56" s="46"/>
      <c r="I56" s="46"/>
    </row>
    <row r="57" spans="2:9" ht="11.5" customHeight="1" x14ac:dyDescent="0.25">
      <c r="B57" s="46"/>
      <c r="C57" s="46" t="s">
        <v>1470</v>
      </c>
      <c r="D57" s="46"/>
      <c r="E57" s="46"/>
      <c r="F57" s="46"/>
      <c r="G57" s="46"/>
      <c r="H57" s="46"/>
      <c r="I57" s="46"/>
    </row>
    <row r="58" spans="2:9" ht="11.5" customHeight="1" x14ac:dyDescent="0.25">
      <c r="B58" s="653" t="s">
        <v>1433</v>
      </c>
      <c r="C58" s="46" t="s">
        <v>1490</v>
      </c>
      <c r="D58" s="46"/>
      <c r="E58" s="46"/>
      <c r="F58" s="46"/>
      <c r="G58" s="46"/>
      <c r="H58" s="46"/>
      <c r="I58" s="46"/>
    </row>
    <row r="59" spans="2:9" ht="11.5" customHeight="1" x14ac:dyDescent="0.25">
      <c r="B59" s="653"/>
      <c r="C59" s="46" t="s">
        <v>1475</v>
      </c>
      <c r="D59" s="46"/>
      <c r="E59" s="46"/>
      <c r="F59" s="46"/>
      <c r="G59" s="46"/>
      <c r="H59" s="46"/>
      <c r="I59" s="46"/>
    </row>
    <row r="60" spans="2:9" ht="11.5" customHeight="1" x14ac:dyDescent="0.25">
      <c r="B60" s="653" t="s">
        <v>1433</v>
      </c>
      <c r="C60" s="46" t="s">
        <v>1491</v>
      </c>
      <c r="D60" s="46"/>
      <c r="E60" s="46"/>
      <c r="F60" s="46"/>
      <c r="G60" s="46"/>
      <c r="H60" s="46"/>
      <c r="I60" s="46"/>
    </row>
    <row r="61" spans="2:9" ht="11.5" customHeight="1" x14ac:dyDescent="0.25">
      <c r="B61" s="653"/>
      <c r="C61" s="46"/>
      <c r="D61" s="46"/>
      <c r="E61" s="46"/>
      <c r="F61" s="46"/>
      <c r="G61" s="46"/>
      <c r="H61" s="46"/>
      <c r="I61" s="46"/>
    </row>
    <row r="62" spans="2:9" ht="11.5" customHeight="1" x14ac:dyDescent="0.25">
      <c r="B62" s="661" t="s">
        <v>1476</v>
      </c>
      <c r="C62" s="660"/>
      <c r="D62" s="660"/>
      <c r="E62" s="46"/>
      <c r="F62" s="46"/>
      <c r="G62" s="46"/>
      <c r="H62" s="46"/>
      <c r="I62" s="46"/>
    </row>
    <row r="63" spans="2:9" ht="11.5" customHeight="1" x14ac:dyDescent="0.25">
      <c r="B63" s="653"/>
      <c r="C63" s="46"/>
      <c r="D63" s="46"/>
      <c r="E63" s="46"/>
      <c r="F63" s="46"/>
      <c r="G63" s="46"/>
      <c r="H63" s="46"/>
      <c r="I63" s="46"/>
    </row>
    <row r="64" spans="2:9" ht="11.5" customHeight="1" x14ac:dyDescent="0.25">
      <c r="B64" s="653" t="s">
        <v>1479</v>
      </c>
      <c r="C64" s="46"/>
      <c r="D64" s="46"/>
      <c r="E64" s="46"/>
      <c r="F64" s="46"/>
      <c r="G64" s="46"/>
      <c r="H64" s="46"/>
      <c r="I64" s="46"/>
    </row>
    <row r="65" spans="2:9" ht="11.5" customHeight="1" x14ac:dyDescent="0.25">
      <c r="B65" s="653"/>
      <c r="C65" s="46"/>
      <c r="D65" s="46"/>
      <c r="E65" s="46"/>
      <c r="F65" s="46"/>
      <c r="G65" s="46"/>
      <c r="H65" s="46"/>
      <c r="I65" s="46"/>
    </row>
    <row r="66" spans="2:9" ht="11.5" customHeight="1" x14ac:dyDescent="0.25">
      <c r="B66" s="653" t="s">
        <v>1482</v>
      </c>
      <c r="C66" s="46"/>
      <c r="D66" s="46"/>
      <c r="E66" s="46"/>
      <c r="F66" s="46"/>
      <c r="G66" s="46"/>
      <c r="H66" s="46"/>
      <c r="I66" s="46"/>
    </row>
    <row r="67" spans="2:9" ht="11.5" customHeight="1" x14ac:dyDescent="0.25">
      <c r="B67" s="653" t="s">
        <v>1483</v>
      </c>
      <c r="C67" s="46"/>
      <c r="D67" s="46"/>
      <c r="E67" s="46"/>
      <c r="F67" s="46"/>
      <c r="G67" s="46"/>
      <c r="H67" s="46"/>
      <c r="I67" s="46"/>
    </row>
    <row r="68" spans="2:9" ht="11.5" customHeight="1" x14ac:dyDescent="0.25">
      <c r="B68" s="653"/>
      <c r="C68" s="46"/>
      <c r="D68" s="46"/>
      <c r="E68" s="46"/>
      <c r="F68" s="46"/>
      <c r="G68" s="46"/>
      <c r="H68" s="46"/>
      <c r="I68" s="46"/>
    </row>
    <row r="69" spans="2:9" ht="11.5" customHeight="1" x14ac:dyDescent="0.25">
      <c r="B69" s="653"/>
      <c r="C69" s="46"/>
      <c r="D69" s="46"/>
      <c r="E69" s="46"/>
      <c r="F69" s="46"/>
      <c r="G69" s="46"/>
      <c r="H69" s="46"/>
      <c r="I69" s="46"/>
    </row>
    <row r="70" spans="2:9" ht="11.5" customHeight="1" x14ac:dyDescent="0.25">
      <c r="B70" s="46"/>
      <c r="C70" s="50"/>
      <c r="D70" s="46"/>
      <c r="E70" s="46"/>
      <c r="F70" s="46"/>
      <c r="G70" s="46"/>
      <c r="H70" s="46"/>
      <c r="I70" s="46"/>
    </row>
    <row r="71" spans="2:9" ht="15" customHeight="1" x14ac:dyDescent="0.3">
      <c r="B71" s="48" t="s">
        <v>52</v>
      </c>
      <c r="C71" s="48"/>
      <c r="D71" s="51"/>
      <c r="E71" s="46"/>
      <c r="F71" s="46"/>
      <c r="G71" s="46"/>
      <c r="H71" s="46"/>
      <c r="I71" s="46"/>
    </row>
    <row r="72" spans="2:9" ht="15" customHeight="1" x14ac:dyDescent="0.25">
      <c r="B72" s="7" t="s">
        <v>53</v>
      </c>
      <c r="C72" s="7"/>
      <c r="D72" s="46"/>
      <c r="E72" s="46"/>
      <c r="F72" s="46"/>
      <c r="G72" s="46"/>
      <c r="H72" s="46"/>
      <c r="I72" s="46"/>
    </row>
    <row r="73" spans="2:9" ht="15" customHeight="1" x14ac:dyDescent="0.25">
      <c r="B73" s="52" t="s">
        <v>54</v>
      </c>
      <c r="C73" s="52"/>
      <c r="D73" s="52"/>
      <c r="E73" s="46"/>
      <c r="F73" s="46"/>
      <c r="G73" s="46"/>
      <c r="H73" s="46"/>
      <c r="I73" s="46"/>
    </row>
    <row r="74" spans="2:9" ht="15" customHeight="1" x14ac:dyDescent="0.25">
      <c r="B74" s="5" t="s">
        <v>55</v>
      </c>
      <c r="C74" s="53"/>
      <c r="D74" s="53"/>
      <c r="E74" s="46"/>
      <c r="F74" s="46"/>
      <c r="G74" s="46"/>
      <c r="H74" s="46"/>
      <c r="I74" s="46"/>
    </row>
    <row r="75" spans="2:9" ht="15" customHeight="1" x14ac:dyDescent="0.25">
      <c r="B75" s="664" t="s">
        <v>1485</v>
      </c>
      <c r="C75" s="665"/>
      <c r="D75" s="665"/>
      <c r="E75" s="46"/>
      <c r="F75" s="46"/>
      <c r="G75" s="46"/>
      <c r="H75" s="46"/>
      <c r="I75" s="46"/>
    </row>
    <row r="76" spans="2:9" ht="15" customHeight="1" x14ac:dyDescent="0.25">
      <c r="B76" s="666" t="s">
        <v>1486</v>
      </c>
      <c r="C76" s="667"/>
      <c r="D76" s="667"/>
      <c r="E76" s="46"/>
      <c r="F76" s="46"/>
      <c r="G76" s="46"/>
      <c r="H76" s="46"/>
      <c r="I76" s="46"/>
    </row>
    <row r="77" spans="2:9" ht="15" customHeight="1" x14ac:dyDescent="0.3">
      <c r="B77" s="7"/>
      <c r="C77" s="7"/>
      <c r="D77" s="7" t="s">
        <v>56</v>
      </c>
      <c r="E77" s="46"/>
      <c r="F77" s="46"/>
      <c r="G77" s="46"/>
      <c r="H77" s="46"/>
      <c r="I77" s="46"/>
    </row>
    <row r="78" spans="2:9" ht="15" customHeight="1" x14ac:dyDescent="0.25">
      <c r="B78" s="67" t="s">
        <v>57</v>
      </c>
      <c r="C78" s="54"/>
      <c r="D78" s="54"/>
      <c r="E78" s="46"/>
      <c r="F78" s="46"/>
      <c r="G78" s="46"/>
      <c r="H78" s="46"/>
      <c r="I78" s="46"/>
    </row>
    <row r="79" spans="2:9" ht="15" customHeight="1" x14ac:dyDescent="0.25">
      <c r="B79" s="55" t="s">
        <v>0</v>
      </c>
      <c r="C79" s="55"/>
      <c r="D79" s="55"/>
      <c r="E79" s="46"/>
      <c r="F79" s="46"/>
      <c r="G79" s="46"/>
      <c r="H79" s="46"/>
      <c r="I79" s="46"/>
    </row>
    <row r="80" spans="2:9" ht="15" customHeight="1" x14ac:dyDescent="0.25">
      <c r="B80" s="56" t="s">
        <v>58</v>
      </c>
      <c r="C80" s="56"/>
      <c r="D80" s="57"/>
      <c r="E80" s="46"/>
      <c r="F80" s="46"/>
      <c r="G80" s="46"/>
      <c r="H80" s="46"/>
      <c r="I80" s="46"/>
    </row>
    <row r="81" spans="1:9" ht="15" customHeight="1" x14ac:dyDescent="0.25">
      <c r="B81" s="58" t="s">
        <v>59</v>
      </c>
      <c r="C81" s="58"/>
      <c r="D81" s="59"/>
      <c r="E81" s="46"/>
      <c r="F81" s="46"/>
      <c r="G81" s="46"/>
      <c r="H81" s="46"/>
      <c r="I81" s="46"/>
    </row>
    <row r="82" spans="1:9" ht="15" customHeight="1" x14ac:dyDescent="0.25">
      <c r="A82" s="68"/>
      <c r="B82" s="60" t="s">
        <v>92</v>
      </c>
      <c r="C82" s="61"/>
      <c r="D82" s="61"/>
      <c r="E82" s="46"/>
      <c r="F82" s="46"/>
      <c r="G82" s="46"/>
      <c r="H82" s="46"/>
      <c r="I82" s="46"/>
    </row>
    <row r="83" spans="1:9" ht="15" customHeight="1" x14ac:dyDescent="0.25">
      <c r="B83" s="50"/>
      <c r="C83" s="50"/>
      <c r="D83" s="46"/>
      <c r="E83" s="46"/>
      <c r="F83" s="46"/>
      <c r="G83" s="46"/>
      <c r="H83" s="46"/>
      <c r="I83" s="46"/>
    </row>
    <row r="84" spans="1:9" x14ac:dyDescent="0.25">
      <c r="B84" s="50"/>
      <c r="C84" s="50"/>
      <c r="D84" s="46"/>
      <c r="E84" s="46"/>
      <c r="F84" s="46"/>
      <c r="G84" s="46"/>
      <c r="H84" s="46"/>
      <c r="I84" s="46"/>
    </row>
  </sheetData>
  <hyperlinks>
    <hyperlink ref="D7" r:id="rId1" xr:uid="{A05FC622-C40C-44E6-A4CA-9A22295F135F}"/>
  </hyperlinks>
  <pageMargins left="0.7" right="0.7" top="0.75" bottom="0.75" header="0.3" footer="0.3"/>
  <pageSetup paperSize="9" scale="94" orientation="landscape" horizontalDpi="200" verticalDpi="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63B-413F-4897-A2A2-738A3D378410}">
  <sheetPr codeName="Sheet1">
    <tabColor rgb="FF012D76"/>
  </sheetPr>
  <dimension ref="B1:T122"/>
  <sheetViews>
    <sheetView showGridLines="0" zoomScaleNormal="100" workbookViewId="0"/>
  </sheetViews>
  <sheetFormatPr defaultRowHeight="11.5" x14ac:dyDescent="0.25"/>
  <cols>
    <col min="1" max="2" width="3.69921875" customWidth="1"/>
    <col min="3" max="4" width="10.69921875" customWidth="1"/>
    <col min="5" max="8" width="12.69921875" customWidth="1"/>
    <col min="9" max="12" width="10.69921875" customWidth="1"/>
    <col min="13" max="16" width="20.69921875" customWidth="1"/>
    <col min="17" max="20" width="15.69921875" customWidth="1"/>
  </cols>
  <sheetData>
    <row r="1" spans="2:14" x14ac:dyDescent="0.25">
      <c r="C1" s="42" t="str">
        <f>'Scenario Analysis'!C1</f>
        <v>Fare Optimisation Model for the 2025 Opal Review - Independent Pricing and Regulatory Tribunal of NSW</v>
      </c>
    </row>
    <row r="4" spans="2:14" ht="23" x14ac:dyDescent="0.5">
      <c r="C4" s="184" t="s">
        <v>1248</v>
      </c>
      <c r="D4" s="184"/>
      <c r="E4" s="184"/>
    </row>
    <row r="7" spans="2:14" x14ac:dyDescent="0.25">
      <c r="C7" s="11" t="s">
        <v>225</v>
      </c>
      <c r="D7" s="11"/>
      <c r="E7" s="11"/>
      <c r="F7" s="11"/>
      <c r="G7" s="11"/>
      <c r="H7" s="11"/>
      <c r="I7" s="11"/>
      <c r="J7" s="11"/>
      <c r="K7" s="185" t="s">
        <v>226</v>
      </c>
    </row>
    <row r="8" spans="2:14" x14ac:dyDescent="0.25">
      <c r="B8" s="186">
        <v>1</v>
      </c>
      <c r="C8" s="187" t="str">
        <f>"Table "&amp;B8&amp;" - Constraints and CPI"</f>
        <v>Table 1 - Constraints and CPI</v>
      </c>
      <c r="D8" s="187"/>
      <c r="E8" s="187"/>
      <c r="F8" s="187"/>
      <c r="G8" s="187"/>
      <c r="H8" s="187"/>
      <c r="I8" s="187"/>
      <c r="J8" s="187"/>
      <c r="K8" s="187">
        <f>ROW(C17)</f>
        <v>17</v>
      </c>
    </row>
    <row r="9" spans="2:14" x14ac:dyDescent="0.25">
      <c r="B9" s="211" t="str">
        <f>2&amp;"."&amp;1</f>
        <v>2.1</v>
      </c>
      <c r="C9" s="11" t="str">
        <f>"Table "&amp;B9&amp;" - Train Services"</f>
        <v>Table 2.1 - Train Services</v>
      </c>
      <c r="D9" s="11"/>
      <c r="E9" s="11"/>
      <c r="F9" s="11"/>
      <c r="G9" s="11"/>
      <c r="H9" s="11"/>
      <c r="I9" s="11"/>
      <c r="J9" s="11"/>
      <c r="K9" s="11">
        <f>ROW(C43)</f>
        <v>43</v>
      </c>
    </row>
    <row r="10" spans="2:14" x14ac:dyDescent="0.25">
      <c r="B10" s="211" t="str">
        <f>LEFT(B9,1)&amp;"."&amp;2</f>
        <v>2.2</v>
      </c>
      <c r="C10" s="11" t="str">
        <f>"Table "&amp;B10&amp;" - Light Rail Services"</f>
        <v>Table 2.2 - Light Rail Services</v>
      </c>
      <c r="D10" s="11"/>
      <c r="E10" s="11"/>
      <c r="F10" s="11"/>
      <c r="G10" s="11"/>
      <c r="H10" s="11"/>
      <c r="I10" s="11"/>
      <c r="J10" s="11"/>
      <c r="K10" s="11">
        <f>ROW(C52)</f>
        <v>52</v>
      </c>
    </row>
    <row r="11" spans="2:14" x14ac:dyDescent="0.25">
      <c r="B11" s="211" t="str">
        <f>LEFT(B10,1)&amp;"."&amp;3</f>
        <v>2.3</v>
      </c>
      <c r="C11" s="11" t="str">
        <f>"Table "&amp;B11&amp;" - Bus Services"</f>
        <v>Table 2.3 - Bus Services</v>
      </c>
      <c r="D11" s="11"/>
      <c r="E11" s="11"/>
      <c r="F11" s="11"/>
      <c r="G11" s="11"/>
      <c r="H11" s="11"/>
      <c r="I11" s="11"/>
      <c r="J11" s="11"/>
      <c r="K11" s="11">
        <f>ROW(C62)</f>
        <v>62</v>
      </c>
    </row>
    <row r="12" spans="2:14" x14ac:dyDescent="0.25">
      <c r="B12" s="211" t="str">
        <f>LEFT(B11,1)&amp;"."&amp;4</f>
        <v>2.4</v>
      </c>
      <c r="C12" s="11" t="str">
        <f>"Table "&amp;B12&amp;" - Ferry Services"</f>
        <v>Table 2.4 - Ferry Services</v>
      </c>
      <c r="D12" s="11"/>
      <c r="E12" s="11"/>
      <c r="F12" s="11"/>
      <c r="G12" s="11"/>
      <c r="H12" s="11"/>
      <c r="I12" s="11"/>
      <c r="J12" s="11"/>
      <c r="K12" s="11">
        <f>ROW(C70)</f>
        <v>70</v>
      </c>
    </row>
    <row r="13" spans="2:14" x14ac:dyDescent="0.25">
      <c r="B13" s="211" t="str">
        <f>LEFT(B12,1)&amp;"."&amp;5</f>
        <v>2.5</v>
      </c>
      <c r="C13" s="209" t="str">
        <f>"Table "&amp;B13&amp;" - New Castle Ferry Services"</f>
        <v>Table 2.5 - New Castle Ferry Services</v>
      </c>
      <c r="D13" s="209"/>
      <c r="E13" s="209"/>
      <c r="F13" s="209"/>
      <c r="G13" s="209"/>
      <c r="H13" s="209"/>
      <c r="I13" s="209"/>
      <c r="J13" s="209"/>
      <c r="K13" s="209">
        <f>ROW(C76)</f>
        <v>76</v>
      </c>
    </row>
    <row r="14" spans="2:14" x14ac:dyDescent="0.25">
      <c r="B14" s="211"/>
    </row>
    <row r="15" spans="2:14" x14ac:dyDescent="0.25">
      <c r="B15" s="211"/>
    </row>
    <row r="16" spans="2:14" x14ac:dyDescent="0.25">
      <c r="B16" s="211"/>
      <c r="N16" s="332"/>
    </row>
    <row r="17" spans="2:14" ht="15.5" x14ac:dyDescent="0.35">
      <c r="B17" s="211"/>
      <c r="C17" s="43" t="str">
        <f>C8</f>
        <v>Table 1 - Constraints and CPI</v>
      </c>
      <c r="L17" s="332" t="s">
        <v>1138</v>
      </c>
      <c r="M17" s="332" t="s">
        <v>1138</v>
      </c>
    </row>
    <row r="18" spans="2:14" x14ac:dyDescent="0.25">
      <c r="B18" s="211"/>
      <c r="C18" s="188"/>
      <c r="D18" s="189"/>
      <c r="E18" s="189"/>
      <c r="F18" s="189"/>
      <c r="G18" s="189"/>
      <c r="H18" s="189"/>
      <c r="I18" s="189"/>
      <c r="J18" s="189"/>
      <c r="K18" s="190"/>
      <c r="L18" s="505"/>
      <c r="M18" s="567" t="s">
        <v>1249</v>
      </c>
      <c r="N18" s="190"/>
    </row>
    <row r="19" spans="2:14" x14ac:dyDescent="0.25">
      <c r="B19" s="211"/>
      <c r="C19" s="220" t="s">
        <v>1250</v>
      </c>
      <c r="K19" s="506" t="s">
        <v>1251</v>
      </c>
      <c r="L19" s="335">
        <f>MATCH(K19,$M$21:$M$22,0)</f>
        <v>2</v>
      </c>
      <c r="M19" s="348" t="s">
        <v>1252</v>
      </c>
      <c r="N19" s="195"/>
    </row>
    <row r="20" spans="2:14" x14ac:dyDescent="0.25">
      <c r="B20" s="211"/>
      <c r="C20" s="220"/>
      <c r="K20" s="195"/>
      <c r="L20" s="109"/>
      <c r="M20" s="568" t="s">
        <v>1253</v>
      </c>
      <c r="N20" s="198"/>
    </row>
    <row r="21" spans="2:14" x14ac:dyDescent="0.25">
      <c r="B21" s="211"/>
      <c r="C21" s="220" t="s">
        <v>1254</v>
      </c>
      <c r="K21" s="506" t="s">
        <v>1249</v>
      </c>
      <c r="L21" s="335">
        <f>MATCH(K21,$M$18:$M$20,0)</f>
        <v>1</v>
      </c>
      <c r="M21" s="567" t="s">
        <v>68</v>
      </c>
      <c r="N21" s="190"/>
    </row>
    <row r="22" spans="2:14" x14ac:dyDescent="0.25">
      <c r="B22" s="211"/>
      <c r="C22" s="220"/>
      <c r="K22" s="195"/>
      <c r="L22" s="109"/>
      <c r="M22" s="568" t="s">
        <v>1251</v>
      </c>
      <c r="N22" s="198"/>
    </row>
    <row r="23" spans="2:14" x14ac:dyDescent="0.25">
      <c r="B23" s="211"/>
      <c r="C23" s="220" t="s">
        <v>1255</v>
      </c>
      <c r="K23" s="389">
        <v>0</v>
      </c>
      <c r="L23" s="109"/>
      <c r="M23" s="569" t="s">
        <v>1319</v>
      </c>
      <c r="N23" s="190"/>
    </row>
    <row r="24" spans="2:14" x14ac:dyDescent="0.25">
      <c r="B24" s="211"/>
      <c r="C24" s="220"/>
      <c r="K24" s="195"/>
      <c r="L24" s="109"/>
      <c r="M24" s="570" t="s">
        <v>1320</v>
      </c>
      <c r="N24" s="198"/>
    </row>
    <row r="25" spans="2:14" x14ac:dyDescent="0.25">
      <c r="B25" s="211"/>
      <c r="C25" s="220" t="s">
        <v>1256</v>
      </c>
      <c r="K25" s="506" t="s">
        <v>1252</v>
      </c>
      <c r="L25" s="335">
        <f>MATCH(K25,$M$18:$M$20,0)</f>
        <v>2</v>
      </c>
    </row>
    <row r="26" spans="2:14" x14ac:dyDescent="0.25">
      <c r="B26" s="211"/>
      <c r="C26" s="220"/>
      <c r="K26" s="195"/>
      <c r="L26" s="109"/>
    </row>
    <row r="27" spans="2:14" x14ac:dyDescent="0.25">
      <c r="B27" s="211"/>
      <c r="C27" s="220" t="s">
        <v>1269</v>
      </c>
      <c r="K27" s="389">
        <v>0.11</v>
      </c>
      <c r="L27" s="109"/>
    </row>
    <row r="28" spans="2:14" x14ac:dyDescent="0.25">
      <c r="B28" s="211"/>
      <c r="C28" s="220"/>
      <c r="K28" s="195"/>
      <c r="L28" s="109"/>
    </row>
    <row r="29" spans="2:14" x14ac:dyDescent="0.25">
      <c r="B29" s="211"/>
      <c r="C29" s="220" t="s">
        <v>1329</v>
      </c>
      <c r="K29" s="626" t="s">
        <v>1319</v>
      </c>
      <c r="L29" s="335">
        <f>MATCH(K29,$M$23:$M$24,0)</f>
        <v>1</v>
      </c>
    </row>
    <row r="30" spans="2:14" x14ac:dyDescent="0.25">
      <c r="B30" s="211"/>
      <c r="C30" s="220"/>
      <c r="L30" s="335"/>
    </row>
    <row r="31" spans="2:14" x14ac:dyDescent="0.25">
      <c r="B31" s="211"/>
      <c r="C31" s="220" t="s">
        <v>1418</v>
      </c>
      <c r="K31" s="208">
        <v>0.03</v>
      </c>
      <c r="L31" s="507"/>
    </row>
    <row r="32" spans="2:14" x14ac:dyDescent="0.25">
      <c r="B32" s="211"/>
      <c r="C32" s="191"/>
      <c r="K32" s="195"/>
    </row>
    <row r="33" spans="2:20" x14ac:dyDescent="0.25">
      <c r="B33" s="211"/>
      <c r="C33" s="220" t="s">
        <v>1175</v>
      </c>
      <c r="E33" s="503">
        <v>45352</v>
      </c>
      <c r="F33" s="447">
        <f>CPI!E15</f>
        <v>137.4</v>
      </c>
      <c r="K33" s="195"/>
    </row>
    <row r="34" spans="2:20" x14ac:dyDescent="0.25">
      <c r="B34" s="211"/>
      <c r="C34" s="191"/>
      <c r="E34" s="503">
        <v>44621</v>
      </c>
      <c r="F34" s="447">
        <f>CPI!E13</f>
        <v>123.9</v>
      </c>
      <c r="K34" s="195"/>
    </row>
    <row r="35" spans="2:20" x14ac:dyDescent="0.25">
      <c r="B35" s="211"/>
      <c r="C35" s="191"/>
      <c r="K35" s="195"/>
    </row>
    <row r="36" spans="2:20" x14ac:dyDescent="0.25">
      <c r="B36" s="211"/>
      <c r="C36" s="220" t="s">
        <v>1176</v>
      </c>
      <c r="F36" s="677">
        <f>ROUND(F33/F34,3)</f>
        <v>1.109</v>
      </c>
      <c r="K36" s="195"/>
    </row>
    <row r="37" spans="2:20" x14ac:dyDescent="0.25">
      <c r="B37" s="211"/>
      <c r="C37" s="196"/>
      <c r="D37" s="197"/>
      <c r="E37" s="197"/>
      <c r="F37" s="197"/>
      <c r="G37" s="197"/>
      <c r="H37" s="197"/>
      <c r="I37" s="197"/>
      <c r="J37" s="197"/>
      <c r="K37" s="198"/>
    </row>
    <row r="39" spans="2:20" x14ac:dyDescent="0.25">
      <c r="F39" s="571" t="s">
        <v>1257</v>
      </c>
      <c r="G39" s="571" t="s">
        <v>1258</v>
      </c>
      <c r="H39" s="571" t="s">
        <v>1259</v>
      </c>
    </row>
    <row r="41" spans="2:20" ht="15.5" x14ac:dyDescent="0.35">
      <c r="C41" s="43" t="s">
        <v>1326</v>
      </c>
      <c r="J41" s="43" t="s">
        <v>1324</v>
      </c>
      <c r="R41" s="43" t="s">
        <v>1325</v>
      </c>
    </row>
    <row r="42" spans="2:20" ht="15.5" x14ac:dyDescent="0.35">
      <c r="C42" s="43"/>
      <c r="F42" s="164"/>
      <c r="J42" s="43"/>
      <c r="Q42" s="43"/>
      <c r="R42" s="162" t="s">
        <v>1432</v>
      </c>
    </row>
    <row r="43" spans="2:20" x14ac:dyDescent="0.25">
      <c r="C43" s="42" t="s">
        <v>1147</v>
      </c>
      <c r="J43" s="42" t="s">
        <v>1147</v>
      </c>
      <c r="M43" s="192" t="s">
        <v>1260</v>
      </c>
      <c r="N43" s="192" t="s">
        <v>1261</v>
      </c>
      <c r="O43" s="192" t="s">
        <v>1262</v>
      </c>
      <c r="P43" s="192" t="s">
        <v>1400</v>
      </c>
      <c r="R43" s="192">
        <v>2014</v>
      </c>
      <c r="S43" s="192">
        <v>2019</v>
      </c>
      <c r="T43" s="192">
        <v>2021</v>
      </c>
    </row>
    <row r="44" spans="2:20" x14ac:dyDescent="0.25">
      <c r="C44" s="31" t="s">
        <v>1125</v>
      </c>
      <c r="D44" s="31"/>
      <c r="E44" s="331" t="s">
        <v>1263</v>
      </c>
      <c r="F44" s="331" t="s">
        <v>1264</v>
      </c>
      <c r="G44" s="331" t="s">
        <v>1265</v>
      </c>
      <c r="H44" s="331" t="s">
        <v>1266</v>
      </c>
      <c r="J44" s="31" t="s">
        <v>1125</v>
      </c>
      <c r="K44" s="31"/>
      <c r="L44" s="31"/>
      <c r="M44" s="31"/>
      <c r="N44" s="331"/>
      <c r="O44" s="331"/>
      <c r="P44" s="331"/>
      <c r="R44" s="331"/>
      <c r="S44" s="331"/>
      <c r="T44" s="331"/>
    </row>
    <row r="45" spans="2:20" x14ac:dyDescent="0.25">
      <c r="B45" s="344"/>
      <c r="C45" t="s">
        <v>1127</v>
      </c>
      <c r="E45" s="164" cm="1">
        <f t="array" ref="E45">ROUND(IF($L$19=1,$M45,IF($M45&lt;_xlfn.IFS($L$21=1,$N45,$L$21=2,$O45,$L$21=3,$P45)*(1+$K$23),_xlfn.IFS($L$21=1,$N45,$L$21=2,$O45,$L$21=3,$P45)*(1+$K$23),IF($M45&gt;_xlfn.IFS($L$25=1,$N45,$L$25=2,$O45,$L$25=3,$P45)*(1+$K$27),_xlfn.IFS($L$25=1,$N45,$L$25=2,$O45,$L$25=3,$P45)*(1+$K$27),$M45))),2)+$K$31</f>
        <v>4.17</v>
      </c>
      <c r="F45" s="201" t="str">
        <f>TEXT($E45,"0.00")&amp;F$39</f>
        <v>4.17 x CPI₁</v>
      </c>
      <c r="G45" s="163" t="str">
        <f t="shared" ref="G45:H49" si="0">TEXT($E45,"0.00")&amp;G$39</f>
        <v>4.17 x CPI₂</v>
      </c>
      <c r="H45" s="163" t="str">
        <f t="shared" si="0"/>
        <v>4.17 x CPI₃</v>
      </c>
      <c r="J45" t="s">
        <v>1127</v>
      </c>
      <c r="M45" s="164">
        <f>'Scenario Analysis'!H111*$F$36</f>
        <v>3.4137205043464447</v>
      </c>
      <c r="N45" s="508">
        <f>'General inputs'!AH30</f>
        <v>4.1399999999999997</v>
      </c>
      <c r="O45" s="508">
        <f>'General inputs'!Z30</f>
        <v>3.82</v>
      </c>
      <c r="P45" s="508">
        <f>MAX(R45:T45)</f>
        <v>3.9519878894112024</v>
      </c>
      <c r="R45" s="330">
        <v>3.9108159392789363</v>
      </c>
      <c r="S45" s="330">
        <v>3.9519878894112024</v>
      </c>
      <c r="T45" s="330">
        <v>3.877585010409438</v>
      </c>
    </row>
    <row r="46" spans="2:20" x14ac:dyDescent="0.25">
      <c r="B46" s="344"/>
      <c r="C46" t="s">
        <v>1130</v>
      </c>
      <c r="E46" s="164" cm="1">
        <f t="array" ref="E46">ROUND(IF($L$19=1,$M46,IF($M46&lt;_xlfn.IFS($L$21=1,$N46,$L$21=2,$O46,$L$21=3,$P46)*(1+$K$23),_xlfn.IFS($L$21=1,$N46,$L$21=2,$O46,$L$21=3,$P46)*(1+$K$23),IF($M46&gt;_xlfn.IFS($L$25=1,$N46,$L$25=2,$O46,$L$25=3,$P46)*(1+$K$27),_xlfn.IFS($L$25=1,$N46,$L$25=2,$O46,$L$25=3,$P46)*(1+$K$27),$M46))),2)+$K$31</f>
        <v>5.3</v>
      </c>
      <c r="F46" s="163" t="str">
        <f>TEXT($E46,"0.00")&amp;F$39</f>
        <v>5.30 x CPI₁</v>
      </c>
      <c r="G46" s="163" t="str">
        <f t="shared" si="0"/>
        <v>5.30 x CPI₂</v>
      </c>
      <c r="H46" s="163" t="str">
        <f t="shared" si="0"/>
        <v>5.30 x CPI₃</v>
      </c>
      <c r="J46" t="s">
        <v>1130</v>
      </c>
      <c r="M46" s="164">
        <f>'Scenario Analysis'!H112*$F$36</f>
        <v>6.7982376327587755</v>
      </c>
      <c r="N46" s="508">
        <f>'General inputs'!AH31</f>
        <v>5.09</v>
      </c>
      <c r="O46" s="508">
        <f>'General inputs'!Z31</f>
        <v>4.75</v>
      </c>
      <c r="P46" s="508">
        <f>MAX(R46:T46)</f>
        <v>4.9044060234244293</v>
      </c>
      <c r="R46" s="330">
        <v>4.8588925306192845</v>
      </c>
      <c r="S46" s="330">
        <v>4.9044060234244293</v>
      </c>
      <c r="T46" s="330">
        <v>4.8204950266018969</v>
      </c>
    </row>
    <row r="47" spans="2:20" x14ac:dyDescent="0.25">
      <c r="B47" s="344"/>
      <c r="C47" t="s">
        <v>1128</v>
      </c>
      <c r="E47" s="164" cm="1">
        <f t="array" ref="E47">ROUND(IF($L$19=1,$M47,IF($M47&lt;_xlfn.IFS($L$21=1,$N47,$L$21=2,$O47,$L$21=3,$P47)*(1+$K$23),_xlfn.IFS($L$21=1,$N47,$L$21=2,$O47,$L$21=3,$P47)*(1+$K$23),IF($M47&gt;_xlfn.IFS($L$25=1,$N47,$L$25=2,$O47,$L$25=3,$P47)*(1+$K$27),_xlfn.IFS($L$25=1,$N47,$L$25=2,$O47,$L$25=3,$P47)*(1+$K$27),$M47))),2)+$K$31</f>
        <v>6.09</v>
      </c>
      <c r="F47" s="163" t="str">
        <f>TEXT($E47,"0.00")&amp;F$39</f>
        <v>6.09 x CPI₁</v>
      </c>
      <c r="G47" s="163" t="str">
        <f t="shared" si="0"/>
        <v>6.09 x CPI₂</v>
      </c>
      <c r="H47" s="163" t="str">
        <f t="shared" si="0"/>
        <v>6.09 x CPI₃</v>
      </c>
      <c r="J47" t="s">
        <v>1128</v>
      </c>
      <c r="M47" s="164">
        <f>'Scenario Analysis'!H113*$F$36</f>
        <v>11.028884043274189</v>
      </c>
      <c r="N47" s="508">
        <f>'General inputs'!AH32</f>
        <v>5.94</v>
      </c>
      <c r="O47" s="508">
        <f>'General inputs'!Z32</f>
        <v>5.46</v>
      </c>
      <c r="P47" s="508">
        <f>MAX(R47:T47)</f>
        <v>5.6378774599633497</v>
      </c>
      <c r="R47" s="330">
        <v>5.5699499741245466</v>
      </c>
      <c r="S47" s="330">
        <v>5.6378774599633497</v>
      </c>
      <c r="T47" s="330">
        <v>5.540920656951192</v>
      </c>
    </row>
    <row r="48" spans="2:20" x14ac:dyDescent="0.25">
      <c r="B48" s="344"/>
      <c r="C48" t="s">
        <v>1129</v>
      </c>
      <c r="E48" s="164" cm="1">
        <f t="array" ref="E48">ROUND(IF($L$19=1,$M48,IF($M48&lt;_xlfn.IFS($L$21=1,$N48,$L$21=2,$O48,$L$21=3,$P48)*(1+$K$23),_xlfn.IFS($L$21=1,$N48,$L$21=2,$O48,$L$21=3,$P48)*(1+$K$23),IF($M48&gt;_xlfn.IFS($L$25=1,$N48,$L$25=2,$O48,$L$25=3,$P48)*(1+$K$27),_xlfn.IFS($L$25=1,$N48,$L$25=2,$O48,$L$25=3,$P48)*(1+$K$27),$M48))),2)+$K$31</f>
        <v>8.129999999999999</v>
      </c>
      <c r="F48" s="163" t="str">
        <f>TEXT($E48,"0.00")&amp;F$39</f>
        <v>8.13 x CPI₁</v>
      </c>
      <c r="G48" s="163" t="str">
        <f t="shared" si="0"/>
        <v>8.13 x CPI₂</v>
      </c>
      <c r="H48" s="163" t="str">
        <f t="shared" si="0"/>
        <v>8.13 x CPI₃</v>
      </c>
      <c r="J48" t="s">
        <v>1129</v>
      </c>
      <c r="M48" s="164">
        <f>'Scenario Analysis'!H114*$F$36</f>
        <v>18.644047582201935</v>
      </c>
      <c r="N48" s="508">
        <f>'General inputs'!AH33</f>
        <v>7.82</v>
      </c>
      <c r="O48" s="508">
        <f>'General inputs'!Z33</f>
        <v>7.3</v>
      </c>
      <c r="P48" s="508">
        <f>MAX(R48:T48)</f>
        <v>7.5427137279898009</v>
      </c>
      <c r="R48" s="330">
        <v>7.4661031568052429</v>
      </c>
      <c r="S48" s="330">
        <v>7.5427137279898009</v>
      </c>
      <c r="T48" s="330">
        <v>7.4055517002081892</v>
      </c>
    </row>
    <row r="49" spans="2:20" x14ac:dyDescent="0.25">
      <c r="B49" s="344"/>
      <c r="C49" s="197" t="s">
        <v>1131</v>
      </c>
      <c r="D49" s="197"/>
      <c r="E49" s="225" cm="1">
        <f t="array" ref="E49">ROUND(IF($L$19=1,$M49,IF($M49&lt;_xlfn.IFS($L$21=1,$N49,$L$21=2,$O49,$L$21=3,$P49)*(1+$K$23),_xlfn.IFS($L$21=1,$N49,$L$21=2,$O49,$L$21=3,$P49)*(1+$K$23),IF($M49&gt;_xlfn.IFS($L$25=1,$N49,$L$25=2,$O49,$L$25=3,$P49)*(1+$K$27),_xlfn.IFS($L$25=1,$N49,$L$25=2,$O49,$L$25=3,$P49)*(1+$K$27),$M49))),2)+$K$31</f>
        <v>10.45</v>
      </c>
      <c r="F49" s="509" t="str">
        <f>TEXT($E49,"0.00")&amp;F$39</f>
        <v>10.45 x CPI₁</v>
      </c>
      <c r="G49" s="509" t="str">
        <f t="shared" si="0"/>
        <v>10.45 x CPI₂</v>
      </c>
      <c r="H49" s="509" t="str">
        <f t="shared" si="0"/>
        <v>10.45 x CPI₃</v>
      </c>
      <c r="J49" s="197" t="s">
        <v>1131</v>
      </c>
      <c r="K49" s="197"/>
      <c r="L49" s="197"/>
      <c r="M49" s="225">
        <f>'Scenario Analysis'!H115*$F$36</f>
        <v>23.720823274820432</v>
      </c>
      <c r="N49" s="510">
        <f>'General inputs'!AH34</f>
        <v>10.08</v>
      </c>
      <c r="O49" s="510">
        <f>'General inputs'!Z34</f>
        <v>9.39</v>
      </c>
      <c r="P49" s="510">
        <f>MAX(R49:T49)</f>
        <v>9.6993386981117027</v>
      </c>
      <c r="R49" s="315">
        <v>8.8882180438157654</v>
      </c>
      <c r="S49" s="315">
        <v>9.6993386981117027</v>
      </c>
      <c r="T49" s="315">
        <v>9.5244506130002318</v>
      </c>
    </row>
    <row r="50" spans="2:20" x14ac:dyDescent="0.25">
      <c r="N50" s="1"/>
      <c r="O50" s="1"/>
    </row>
    <row r="51" spans="2:20" x14ac:dyDescent="0.25">
      <c r="N51" s="1"/>
      <c r="O51" s="1"/>
    </row>
    <row r="52" spans="2:20" x14ac:dyDescent="0.25">
      <c r="C52" s="42" t="s">
        <v>1149</v>
      </c>
      <c r="J52" s="42" t="s">
        <v>1149</v>
      </c>
      <c r="N52" s="1"/>
      <c r="O52" s="1"/>
    </row>
    <row r="53" spans="2:20" x14ac:dyDescent="0.25">
      <c r="C53" s="31" t="s">
        <v>1125</v>
      </c>
      <c r="D53" s="31"/>
      <c r="E53" s="331" t="s">
        <v>1263</v>
      </c>
      <c r="F53" s="331" t="s">
        <v>1264</v>
      </c>
      <c r="G53" s="331" t="s">
        <v>1265</v>
      </c>
      <c r="H53" s="331" t="s">
        <v>1266</v>
      </c>
      <c r="J53" s="31" t="s">
        <v>1125</v>
      </c>
      <c r="K53" s="31"/>
      <c r="L53" s="31"/>
      <c r="M53" s="31"/>
      <c r="N53" s="515"/>
      <c r="O53" s="515"/>
      <c r="P53" s="331"/>
      <c r="R53" s="331"/>
      <c r="S53" s="331"/>
      <c r="T53" s="331"/>
    </row>
    <row r="54" spans="2:20" x14ac:dyDescent="0.25">
      <c r="B54" s="333"/>
      <c r="C54" t="s">
        <v>1134</v>
      </c>
      <c r="E54" s="164" cm="1">
        <f t="array" ref="E54">IF($L$29=1,E64,ROUND(IF($L$19=1,$M54,IF($M54&lt;_xlfn.IFS($L$21=1,$N54,$L$21=2,$O54,$L$21=3,$P54)*(1+$K$23),_xlfn.IFS($L$21=1,$N54,$L$21=2,$O54,$L$21=3,$P54)*(1+$K$23),IF($M54&gt;_xlfn.IFS($L$25=1,$N54,$L$25=2,$O54,$L$25=3,$P54)*(1+$K$27),_xlfn.IFS($L$25=1,$N54,$L$25=2,$O54,$L$25=3,$P54)*(1+$K$27),$M54))),2))</f>
        <v>3.02</v>
      </c>
      <c r="F54" s="163" t="str">
        <f t="shared" ref="F54:H59" si="1">TEXT($E54,"0.00")&amp;F$39</f>
        <v>3.02 x CPI₁</v>
      </c>
      <c r="G54" s="163" t="str">
        <f t="shared" si="1"/>
        <v>3.02 x CPI₂</v>
      </c>
      <c r="H54" s="163" t="str">
        <f t="shared" si="1"/>
        <v>3.02 x CPI₃</v>
      </c>
      <c r="J54" t="s">
        <v>1134</v>
      </c>
      <c r="M54" s="164">
        <f>'Scenario Analysis'!H120*$F$36</f>
        <v>0.7805056859584445</v>
      </c>
      <c r="N54" s="508">
        <f>'General inputs'!AH39</f>
        <v>3.02</v>
      </c>
      <c r="O54" s="508">
        <f>'General inputs'!Z39</f>
        <v>2.91</v>
      </c>
      <c r="P54" s="508">
        <f>MAX(R54:T54)</f>
        <v>3.3902382604672683</v>
      </c>
      <c r="R54" s="330">
        <v>2.4887010522684148</v>
      </c>
      <c r="S54" s="330">
        <v>2.4522030117122147</v>
      </c>
      <c r="T54" s="330">
        <v>3.3902382604672683</v>
      </c>
    </row>
    <row r="55" spans="2:20" x14ac:dyDescent="0.25">
      <c r="B55" s="333"/>
      <c r="C55" t="s">
        <v>1135</v>
      </c>
      <c r="E55" s="164" cm="1">
        <f t="array" ref="E55">IF($L$29=1,E65,ROUND(IF($L$19=1,$M55,IF($M55&lt;_xlfn.IFS($L$21=1,$N55,$L$21=2,$O55,$L$21=3,$P55)*(1+$K$23),_xlfn.IFS($L$21=1,$N55,$L$21=2,$O55,$L$21=3,$P55)*(1+$K$23),IF($M55&gt;_xlfn.IFS($L$25=1,$N55,$L$25=2,$O55,$L$25=3,$P55)*(1+$K$27),_xlfn.IFS($L$25=1,$N55,$L$25=2,$O55,$L$25=3,$P55)*(1+$K$27),$M55))),2))</f>
        <v>4.4000000000000004</v>
      </c>
      <c r="F55" s="163" t="str">
        <f t="shared" si="1"/>
        <v>4.40 x CPI₁</v>
      </c>
      <c r="G55" s="163" t="str">
        <f t="shared" si="1"/>
        <v>4.40 x CPI₂</v>
      </c>
      <c r="H55" s="163" t="str">
        <f t="shared" si="1"/>
        <v>4.40 x CPI₃</v>
      </c>
      <c r="J55" t="s">
        <v>1135</v>
      </c>
      <c r="M55" s="164">
        <f>'Scenario Analysis'!H121*$F$36</f>
        <v>5.4369300120707384</v>
      </c>
      <c r="N55" s="508">
        <f>'General inputs'!AH40</f>
        <v>4.33</v>
      </c>
      <c r="O55" s="508">
        <f>'General inputs'!Z40</f>
        <v>3.96</v>
      </c>
      <c r="P55" s="508">
        <f>MAX(R55:T55)</f>
        <v>4.1478350871140242</v>
      </c>
      <c r="R55" s="330">
        <v>4.1478350871140242</v>
      </c>
      <c r="S55" s="330">
        <v>4.0833559078957853</v>
      </c>
      <c r="T55" s="330">
        <v>4.0153134397409209</v>
      </c>
    </row>
    <row r="56" spans="2:20" x14ac:dyDescent="0.25">
      <c r="B56" s="333"/>
      <c r="C56" t="s">
        <v>1136</v>
      </c>
      <c r="E56" s="164" cm="1">
        <f t="array" ref="E56">IF($L$29=1,E66,ROUND(IF($L$19=1,$M56,IF($M56&lt;_xlfn.IFS($L$21=1,$N56,$L$21=2,$O56,$L$21=3,$P56)*(1+$K$23),_xlfn.IFS($L$21=1,$N56,$L$21=2,$O56,$L$21=3,$P56)*(1+$K$23),IF($M56&gt;_xlfn.IFS($L$25=1,$N56,$L$25=2,$O56,$L$25=3,$P56)*(1+$K$27),_xlfn.IFS($L$25=1,$N56,$L$25=2,$O56,$L$25=3,$P56)*(1+$K$27),$M56))),2))</f>
        <v>5.65</v>
      </c>
      <c r="F56" s="163" t="str">
        <f t="shared" si="1"/>
        <v>5.65 x CPI₁</v>
      </c>
      <c r="G56" s="163" t="str">
        <f t="shared" si="1"/>
        <v>5.65 x CPI₂</v>
      </c>
      <c r="H56" s="163" t="str">
        <f t="shared" si="1"/>
        <v>5.65 x CPI₃</v>
      </c>
      <c r="J56" t="s">
        <v>1136</v>
      </c>
      <c r="M56" s="164">
        <f>'Scenario Analysis'!H122*$F$36</f>
        <v>15.331831705059365</v>
      </c>
      <c r="N56" s="508">
        <f>'General inputs'!AH41</f>
        <v>5.65</v>
      </c>
      <c r="O56" s="508">
        <f>'General inputs'!Z41</f>
        <v>5.09</v>
      </c>
      <c r="P56" s="508">
        <f>MAX(R56:T56)</f>
        <v>5.3329308262894592</v>
      </c>
      <c r="R56" s="330">
        <v>5.3329308262894592</v>
      </c>
      <c r="S56" s="330">
        <v>5.2547207393833162</v>
      </c>
      <c r="T56" s="330">
        <v>5.1595188526486231</v>
      </c>
    </row>
    <row r="57" spans="2:20" ht="12" thickBot="1" x14ac:dyDescent="0.3">
      <c r="B57" s="333"/>
      <c r="C57" t="s">
        <v>1128</v>
      </c>
      <c r="E57" s="165" cm="1">
        <f t="array" ref="E57">IF($L$29=1,E67,ROUND(IF($L$19=1,$M57,IF($M57&lt;_xlfn.IFS($L$21=1,$N57,$L$21=2,$O57,$L$21=3,$P57)*(1+$K$23),_xlfn.IFS($L$21=1,$N57,$L$21=2,$O57,$L$21=3,$P57)*(1+$K$23),IF($M57&gt;_xlfn.IFS($L$25=1,$N57,$L$25=2,$O57,$L$25=3,$P57)*(1+$K$27),_xlfn.IFS($L$25=1,$N57,$L$25=2,$O57,$L$25=3,$P57)*(1+$K$27),$M57))),2))</f>
        <v>6.03</v>
      </c>
      <c r="F57" s="163" t="str">
        <f t="shared" si="1"/>
        <v>6.03 x CPI₁</v>
      </c>
      <c r="G57" s="163" t="str">
        <f t="shared" si="1"/>
        <v>6.03 x CPI₂</v>
      </c>
      <c r="H57" s="163" t="str">
        <f t="shared" si="1"/>
        <v>6.03 x CPI₃</v>
      </c>
      <c r="J57" t="s">
        <v>1128</v>
      </c>
      <c r="M57" s="164">
        <f>'Scenario Analysis'!H123*$F$36</f>
        <v>31.047263805688356</v>
      </c>
      <c r="N57" s="508">
        <f>'General inputs'!AH42</f>
        <v>6.03</v>
      </c>
      <c r="O57" s="511">
        <f>O56*N57/N56</f>
        <v>5.4323362831858404</v>
      </c>
      <c r="P57" s="511">
        <f>P56*N57/N56</f>
        <v>5.6916058199160071</v>
      </c>
      <c r="S57" s="511"/>
      <c r="T57" s="511"/>
    </row>
    <row r="58" spans="2:20" ht="12" thickTop="1" x14ac:dyDescent="0.25">
      <c r="B58" s="333"/>
      <c r="C58" t="s">
        <v>1129</v>
      </c>
      <c r="E58" s="166" cm="1">
        <f t="array" ref="E58">IF($L$29=1,E48-$K$31,ROUND(IF($L$19=1,$M58,IF($M58&lt;_xlfn.IFS($L$21=1,$N58,$L$21=2,$O58,$L$21=3,$P58)*(1+$K$23),_xlfn.IFS($L$21=1,$N58,$L$21=2,$O58,$L$21=3,$P58)*(1+$K$23),IF($M58&gt;_xlfn.IFS($L$25=1,$N58,$L$25=2,$O58,$L$25=3,$P58)*(1+$K$27),_xlfn.IFS($L$25=1,$N58,$L$25=2,$O58,$L$25=3,$P58)*(1+$K$27),$M58))),2))</f>
        <v>8.1</v>
      </c>
      <c r="F58" s="163" t="str">
        <f t="shared" si="1"/>
        <v>8.10 x CPI₁</v>
      </c>
      <c r="G58" s="163" t="str">
        <f t="shared" si="1"/>
        <v>8.10 x CPI₂</v>
      </c>
      <c r="H58" s="163" t="str">
        <f t="shared" si="1"/>
        <v>8.10 x CPI₃</v>
      </c>
      <c r="J58" t="s">
        <v>1129</v>
      </c>
      <c r="M58" s="164">
        <f>'Scenario Analysis'!H124*$F$36</f>
        <v>57.23965064007001</v>
      </c>
      <c r="N58" s="508">
        <f>'General inputs'!AH43</f>
        <v>7.82</v>
      </c>
      <c r="O58" s="511">
        <f>O57*N58/N57</f>
        <v>7.0449203539822998</v>
      </c>
      <c r="P58" s="511">
        <f>P57*N58/N57</f>
        <v>7.3811538162094816</v>
      </c>
      <c r="S58" s="511"/>
      <c r="T58" s="511"/>
    </row>
    <row r="59" spans="2:20" x14ac:dyDescent="0.25">
      <c r="B59" s="333"/>
      <c r="C59" s="197" t="s">
        <v>1131</v>
      </c>
      <c r="D59" s="197"/>
      <c r="E59" s="225" cm="1">
        <f t="array" ref="E59">IF($L$29=1,E49-$K$31,ROUND(IF($L$19=1,$M59,IF($M59&lt;_xlfn.IFS($L$21=1,$N59,$L$21=2,$O59,$L$21=3,$P59)*(1+$K$23),_xlfn.IFS($L$21=1,$N59,$L$21=2,$O59,$L$21=3,$P59)*(1+$K$23),IF($M59&gt;_xlfn.IFS($L$25=1,$N59,$L$25=2,$O59,$L$25=3,$P59)*(1+$K$27),_xlfn.IFS($L$25=1,$N59,$L$25=2,$O59,$L$25=3,$P59)*(1+$K$27),$M59))),2))</f>
        <v>10.42</v>
      </c>
      <c r="F59" s="509" t="str">
        <f t="shared" si="1"/>
        <v>10.42 x CPI₁</v>
      </c>
      <c r="G59" s="509" t="str">
        <f t="shared" si="1"/>
        <v>10.42 x CPI₂</v>
      </c>
      <c r="H59" s="509" t="str">
        <f t="shared" si="1"/>
        <v>10.42 x CPI₃</v>
      </c>
      <c r="J59" s="197" t="s">
        <v>1131</v>
      </c>
      <c r="K59" s="197"/>
      <c r="L59" s="197"/>
      <c r="M59" s="225">
        <f>'Scenario Analysis'!H125*$F$36</f>
        <v>74.701241862991111</v>
      </c>
      <c r="N59" s="510">
        <f>'General inputs'!AH44</f>
        <v>10.08</v>
      </c>
      <c r="O59" s="448">
        <f>O58*N59/N58</f>
        <v>9.0809203539823002</v>
      </c>
      <c r="P59" s="448">
        <f>P58*N59/N58</f>
        <v>9.5143261467252636</v>
      </c>
      <c r="R59" s="448"/>
      <c r="S59" s="448"/>
      <c r="T59" s="448"/>
    </row>
    <row r="60" spans="2:20" x14ac:dyDescent="0.25">
      <c r="N60" s="1"/>
      <c r="O60" s="1"/>
    </row>
    <row r="61" spans="2:20" x14ac:dyDescent="0.25">
      <c r="N61" s="1"/>
      <c r="O61" s="1"/>
    </row>
    <row r="62" spans="2:20" x14ac:dyDescent="0.25">
      <c r="C62" s="42" t="s">
        <v>1151</v>
      </c>
      <c r="H62" s="163"/>
      <c r="J62" s="42" t="s">
        <v>1151</v>
      </c>
      <c r="N62" s="516"/>
      <c r="O62" s="516"/>
      <c r="P62" s="163"/>
      <c r="R62" s="163"/>
      <c r="S62" s="163"/>
      <c r="T62" s="163"/>
    </row>
    <row r="63" spans="2:20" x14ac:dyDescent="0.25">
      <c r="C63" s="31" t="s">
        <v>1125</v>
      </c>
      <c r="D63" s="31"/>
      <c r="E63" s="331" t="s">
        <v>1263</v>
      </c>
      <c r="F63" s="331" t="s">
        <v>1264</v>
      </c>
      <c r="G63" s="331" t="s">
        <v>1265</v>
      </c>
      <c r="H63" s="331" t="s">
        <v>1266</v>
      </c>
      <c r="J63" s="31" t="s">
        <v>1125</v>
      </c>
      <c r="K63" s="31"/>
      <c r="L63" s="31"/>
      <c r="M63" s="31"/>
      <c r="N63" s="515"/>
      <c r="O63" s="515"/>
      <c r="P63" s="331"/>
      <c r="R63" s="331"/>
      <c r="S63" s="331"/>
      <c r="T63" s="331"/>
    </row>
    <row r="64" spans="2:20" x14ac:dyDescent="0.25">
      <c r="B64" s="333"/>
      <c r="C64" t="s">
        <v>1134</v>
      </c>
      <c r="E64" s="226" cm="1">
        <f t="array" ref="E64">ROUND(IF($L$19=1,$M64,IF($M64&lt;_xlfn.IFS($L$21=1,$N64,$L$21=2,$O64,$L$21=3,$P64)*(1+$K$23),_xlfn.IFS($L$21=1,$N64,$L$21=2,$O64,$L$21=3,$P64)*(1+$K$23),IF($M64&gt;_xlfn.IFS($L$25=1,$N64,$L$25=2,$O64,$L$25=3,$P64)*(1+$K$27),_xlfn.IFS($L$25=1,$N64,$L$25=2,$O64,$L$25=3,$P64)*(1+$K$27),$M64))),2)</f>
        <v>3.02</v>
      </c>
      <c r="F64" s="163" t="str">
        <f t="shared" ref="F64:H67" si="2">TEXT($E64,"0.00")&amp;F$39</f>
        <v>3.02 x CPI₁</v>
      </c>
      <c r="G64" s="163" t="str">
        <f t="shared" si="2"/>
        <v>3.02 x CPI₂</v>
      </c>
      <c r="H64" s="163" t="str">
        <f t="shared" si="2"/>
        <v>3.02 x CPI₃</v>
      </c>
      <c r="J64" t="s">
        <v>1134</v>
      </c>
      <c r="M64" s="164">
        <f>'Scenario Analysis'!H130*$F$36</f>
        <v>1.4756226806602486</v>
      </c>
      <c r="N64" s="508">
        <f>'General inputs'!AH49</f>
        <v>3.02</v>
      </c>
      <c r="O64" s="508">
        <f>'General inputs'!Z49</f>
        <v>2.91</v>
      </c>
      <c r="P64" s="508">
        <f>MAX(R64:T64)</f>
        <v>3.3902382604672683</v>
      </c>
      <c r="R64" s="330">
        <v>2.4887010522684148</v>
      </c>
      <c r="S64" s="330">
        <v>2.4522030117122147</v>
      </c>
      <c r="T64" s="330">
        <v>3.3902382604672683</v>
      </c>
    </row>
    <row r="65" spans="2:20" x14ac:dyDescent="0.25">
      <c r="B65" s="333"/>
      <c r="C65" t="s">
        <v>1135</v>
      </c>
      <c r="E65" s="164" cm="1">
        <f t="array" ref="E65">ROUND(IF($L$19=1,$M65,IF($M65&lt;_xlfn.IFS($L$21=1,$N65,$L$21=2,$O65,$L$21=3,$P65)*(1+$K$23),_xlfn.IFS($L$21=1,$N65,$L$21=2,$O65,$L$21=3,$P65)*(1+$K$23),IF($M65&gt;_xlfn.IFS($L$25=1,$N65,$L$25=2,$O65,$L$25=3,$P65)*(1+$K$27),_xlfn.IFS($L$25=1,$N65,$L$25=2,$O65,$L$25=3,$P65)*(1+$K$27),$M65))),2)</f>
        <v>4.4000000000000004</v>
      </c>
      <c r="F65" s="163" t="str">
        <f t="shared" si="2"/>
        <v>4.40 x CPI₁</v>
      </c>
      <c r="G65" s="163" t="str">
        <f t="shared" si="2"/>
        <v>4.40 x CPI₂</v>
      </c>
      <c r="H65" s="163" t="str">
        <f t="shared" si="2"/>
        <v>4.40 x CPI₃</v>
      </c>
      <c r="J65" t="s">
        <v>1135</v>
      </c>
      <c r="M65" s="164">
        <f>'Scenario Analysis'!H131*$F$36</f>
        <v>5.9085664325900469</v>
      </c>
      <c r="N65" s="508">
        <f>'General inputs'!AH50</f>
        <v>4.33</v>
      </c>
      <c r="O65" s="508">
        <f>'General inputs'!Z50</f>
        <v>3.96</v>
      </c>
      <c r="P65" s="508">
        <f>MAX(R65:T65)</f>
        <v>4.1478350871140242</v>
      </c>
      <c r="R65" s="330">
        <v>4.1478350871140242</v>
      </c>
      <c r="S65" s="330">
        <v>4.0833559078957853</v>
      </c>
      <c r="T65" s="330">
        <v>4.0153134397409209</v>
      </c>
    </row>
    <row r="66" spans="2:20" x14ac:dyDescent="0.25">
      <c r="B66" s="333"/>
      <c r="C66" t="s">
        <v>1136</v>
      </c>
      <c r="E66" s="164" cm="1">
        <f t="array" ref="E66">ROUND(IF($L$19=1,$M66,IF($M66&lt;_xlfn.IFS($L$21=1,$N66,$L$21=2,$O66,$L$21=3,$P66)*(1+$K$23),_xlfn.IFS($L$21=1,$N66,$L$21=2,$O66,$L$21=3,$P66)*(1+$K$23),IF($M66&gt;_xlfn.IFS($L$25=1,$N66,$L$25=2,$O66,$L$25=3,$P66)*(1+$K$27),_xlfn.IFS($L$25=1,$N66,$L$25=2,$O66,$L$25=3,$P66)*(1+$K$27),$M66))),2)</f>
        <v>5.65</v>
      </c>
      <c r="F66" s="163" t="str">
        <f t="shared" si="2"/>
        <v>5.65 x CPI₁</v>
      </c>
      <c r="G66" s="163" t="str">
        <f t="shared" si="2"/>
        <v>5.65 x CPI₂</v>
      </c>
      <c r="H66" s="163" t="str">
        <f t="shared" si="2"/>
        <v>5.65 x CPI₃</v>
      </c>
      <c r="J66" t="s">
        <v>1136</v>
      </c>
      <c r="M66" s="164">
        <f>'Scenario Analysis'!H132*$F$36</f>
        <v>15.328571905440867</v>
      </c>
      <c r="N66" s="508">
        <f>'General inputs'!AH51</f>
        <v>5.65</v>
      </c>
      <c r="O66" s="508">
        <f>'General inputs'!Z51</f>
        <v>5.09</v>
      </c>
      <c r="P66" s="508">
        <f>MAX(R66:T66)</f>
        <v>5.3329308262894592</v>
      </c>
      <c r="R66" s="330">
        <v>5.3329308262894592</v>
      </c>
      <c r="S66" s="330">
        <v>5.2547207393833162</v>
      </c>
      <c r="T66" s="330">
        <v>5.1595188526486231</v>
      </c>
    </row>
    <row r="67" spans="2:20" x14ac:dyDescent="0.25">
      <c r="B67" s="333"/>
      <c r="C67" s="197" t="s">
        <v>1137</v>
      </c>
      <c r="D67" s="197"/>
      <c r="E67" s="225" cm="1">
        <f t="array" ref="E67">ROUND(IF($L$19=1,$M67,IF($M67&lt;_xlfn.IFS($L$21=1,$N67,$L$21=2,$O67,$L$21=3,$P67)*(1+$K$23),_xlfn.IFS($L$21=1,$N67,$L$21=2,$O67,$L$21=3,$P67)*(1+$K$23),IF($M67&gt;_xlfn.IFS($L$25=1,$N67,$L$25=2,$O67,$L$25=3,$P67)*(1+$K$27),_xlfn.IFS($L$25=1,$N67,$L$25=2,$O67,$L$25=3,$P67)*(1+$K$27),$M67))),2)</f>
        <v>6.03</v>
      </c>
      <c r="F67" s="509" t="str">
        <f t="shared" si="2"/>
        <v>6.03 x CPI₁</v>
      </c>
      <c r="G67" s="509" t="str">
        <f t="shared" si="2"/>
        <v>6.03 x CPI₂</v>
      </c>
      <c r="H67" s="509" t="str">
        <f t="shared" si="2"/>
        <v>6.03 x CPI₃</v>
      </c>
      <c r="J67" s="197" t="s">
        <v>1137</v>
      </c>
      <c r="K67" s="197"/>
      <c r="L67" s="197"/>
      <c r="M67" s="225">
        <f>'Scenario Analysis'!H133*$F$36</f>
        <v>21.977987533335561</v>
      </c>
      <c r="N67" s="510">
        <f>'General inputs'!AH52</f>
        <v>6.03</v>
      </c>
      <c r="O67" s="448">
        <f>O66*N67/N66</f>
        <v>5.4323362831858404</v>
      </c>
      <c r="P67" s="448">
        <f>P66*N67/N66</f>
        <v>5.6916058199160071</v>
      </c>
      <c r="R67" s="448"/>
      <c r="S67" s="448"/>
      <c r="T67" s="448"/>
    </row>
    <row r="68" spans="2:20" x14ac:dyDescent="0.25">
      <c r="N68" s="1"/>
      <c r="O68" s="1"/>
    </row>
    <row r="69" spans="2:20" x14ac:dyDescent="0.25">
      <c r="N69" s="1"/>
      <c r="O69" s="1"/>
    </row>
    <row r="70" spans="2:20" x14ac:dyDescent="0.25">
      <c r="C70" s="42" t="s">
        <v>1150</v>
      </c>
      <c r="J70" s="42" t="s">
        <v>1150</v>
      </c>
      <c r="N70" s="1"/>
      <c r="O70" s="1"/>
    </row>
    <row r="71" spans="2:20" x14ac:dyDescent="0.25">
      <c r="C71" s="31" t="s">
        <v>1125</v>
      </c>
      <c r="D71" s="31"/>
      <c r="E71" s="331" t="s">
        <v>1263</v>
      </c>
      <c r="F71" s="331" t="s">
        <v>1264</v>
      </c>
      <c r="G71" s="331" t="s">
        <v>1265</v>
      </c>
      <c r="H71" s="331" t="s">
        <v>1266</v>
      </c>
      <c r="J71" s="31" t="s">
        <v>1125</v>
      </c>
      <c r="K71" s="31"/>
      <c r="L71" s="31"/>
      <c r="M71" s="31"/>
      <c r="N71" s="515"/>
      <c r="O71" s="515"/>
      <c r="P71" s="331"/>
      <c r="R71" s="331"/>
      <c r="S71" s="331"/>
      <c r="T71" s="331"/>
    </row>
    <row r="72" spans="2:20" x14ac:dyDescent="0.25">
      <c r="B72" s="333"/>
      <c r="C72" t="s">
        <v>1132</v>
      </c>
      <c r="E72" s="164" cm="1">
        <f t="array" ref="E72">ROUND(IF($L$19=1,$M72,IF($M72&lt;_xlfn.IFS($L$21=1,$N72,$L$21=2,$O72,$L$21=3,$P72)*(1+$K$23),_xlfn.IFS($L$21=1,$N72,$L$21=2,$O72,$L$21=3,$P72)*(1+$K$23),IF($M72&gt;_xlfn.IFS($L$25=1,$N72,$L$25=2,$O72,$L$25=3,$P72)*(1+$K$27),_xlfn.IFS($L$25=1,$N72,$L$25=2,$O72,$L$25=3,$P72)*(1+$K$27),$M72))),2)</f>
        <v>7.19</v>
      </c>
      <c r="F72" s="163" t="str">
        <f t="shared" ref="F72:H73" si="3">TEXT($E72,"0.00")&amp;F$39</f>
        <v>7.19 x CPI₁</v>
      </c>
      <c r="G72" s="163" t="str">
        <f t="shared" si="3"/>
        <v>7.19 x CPI₂</v>
      </c>
      <c r="H72" s="238" t="str">
        <f t="shared" si="3"/>
        <v>7.19 x CPI₃</v>
      </c>
      <c r="J72" t="s">
        <v>1132</v>
      </c>
      <c r="M72" s="164">
        <f>'Scenario Analysis'!H138*$F$36</f>
        <v>8.0949781618933034</v>
      </c>
      <c r="N72" s="508">
        <f>'General inputs'!AH57</f>
        <v>6.97</v>
      </c>
      <c r="O72" s="508">
        <f>'General inputs'!Z57</f>
        <v>6.48</v>
      </c>
      <c r="P72" s="508">
        <f>MAX(R72:T72)</f>
        <v>6.7982949565771653</v>
      </c>
      <c r="R72" s="330">
        <v>6.6365361393824385</v>
      </c>
      <c r="S72" s="330">
        <v>6.7982949565771653</v>
      </c>
      <c r="T72" s="330">
        <v>6.5791811242192928</v>
      </c>
    </row>
    <row r="73" spans="2:20" x14ac:dyDescent="0.25">
      <c r="B73" s="333"/>
      <c r="C73" s="197" t="s">
        <v>1133</v>
      </c>
      <c r="D73" s="197"/>
      <c r="E73" s="225" cm="1">
        <f t="array" ref="E73">ROUND(IF($L$19=1,$M73,IF($M73&lt;_xlfn.IFS($L$21=1,$N73,$L$21=2,$O73,$L$21=3,$P73)*(1+$K$23),_xlfn.IFS($L$21=1,$N73,$L$21=2,$O73,$L$21=3,$P73)*(1+$K$23),IF($M73&gt;_xlfn.IFS($L$25=1,$N73,$L$25=2,$O73,$L$25=3,$P73)*(1+$K$27),_xlfn.IFS($L$25=1,$N73,$L$25=2,$O73,$L$25=3,$P73)*(1+$K$27),$M73))),2)</f>
        <v>9</v>
      </c>
      <c r="F73" s="509" t="str">
        <f t="shared" si="3"/>
        <v>9.00 x CPI₁</v>
      </c>
      <c r="G73" s="509" t="str">
        <f t="shared" si="3"/>
        <v>9.00 x CPI₂</v>
      </c>
      <c r="H73" s="509" t="str">
        <f t="shared" si="3"/>
        <v>9.00 x CPI₃</v>
      </c>
      <c r="J73" s="197" t="s">
        <v>1133</v>
      </c>
      <c r="K73" s="197"/>
      <c r="L73" s="197"/>
      <c r="M73" s="225">
        <f>'Scenario Analysis'!H139*$F$36</f>
        <v>16.286651513504754</v>
      </c>
      <c r="N73" s="510">
        <f>'General inputs'!AH58</f>
        <v>8.66</v>
      </c>
      <c r="O73" s="510">
        <f>'General inputs'!Z58</f>
        <v>8.11</v>
      </c>
      <c r="P73" s="510">
        <f>MAX(R73:T73)</f>
        <v>8.3747111783921611</v>
      </c>
      <c r="R73" s="315">
        <v>8.2956701742280483</v>
      </c>
      <c r="S73" s="315">
        <v>8.3747111783921611</v>
      </c>
      <c r="T73" s="315">
        <v>7.869145302325582</v>
      </c>
    </row>
    <row r="74" spans="2:20" x14ac:dyDescent="0.25">
      <c r="N74" s="1"/>
      <c r="O74" s="1"/>
    </row>
    <row r="75" spans="2:20" x14ac:dyDescent="0.25">
      <c r="N75" s="1"/>
      <c r="O75" s="1"/>
    </row>
    <row r="76" spans="2:20" x14ac:dyDescent="0.25">
      <c r="C76" s="42" t="s">
        <v>1148</v>
      </c>
      <c r="J76" s="42" t="s">
        <v>1148</v>
      </c>
      <c r="N76" s="1"/>
      <c r="O76" s="1"/>
    </row>
    <row r="77" spans="2:20" x14ac:dyDescent="0.25">
      <c r="C77" s="31" t="s">
        <v>1125</v>
      </c>
      <c r="D77" s="31"/>
      <c r="E77" s="331" t="s">
        <v>1263</v>
      </c>
      <c r="F77" s="331" t="s">
        <v>1264</v>
      </c>
      <c r="G77" s="331" t="s">
        <v>1265</v>
      </c>
      <c r="H77" s="331" t="s">
        <v>1266</v>
      </c>
      <c r="J77" s="31" t="s">
        <v>1125</v>
      </c>
      <c r="K77" s="31"/>
      <c r="L77" s="31"/>
      <c r="M77" s="31"/>
      <c r="N77" s="515"/>
      <c r="O77" s="515"/>
      <c r="P77" s="331"/>
      <c r="R77" s="331"/>
      <c r="S77" s="331"/>
      <c r="T77" s="331"/>
    </row>
    <row r="78" spans="2:20" x14ac:dyDescent="0.25">
      <c r="B78" s="333"/>
      <c r="C78" s="345"/>
      <c r="D78" s="345"/>
      <c r="E78" s="225" cm="1">
        <f t="array" ref="E78">ROUND(IF($L$19=1,$M78,IF($M78&lt;_xlfn.IFS($L$21=1,$N78,$L$21=2,$O78,$L$21=3,$P78)*(1+$K$23),_xlfn.IFS($L$21=1,$N78,$L$21=2,$O78,$L$21=3,$P78)*(1+$K$23),IF($M78&gt;_xlfn.IFS($L$25=1,$N78,$L$25=2,$O78,$L$25=3,$P78)*(1+$K$27),_xlfn.IFS($L$25=1,$N78,$L$25=2,$O78,$L$25=3,$P78)*(1+$K$27),$M78))),2)</f>
        <v>3.02</v>
      </c>
      <c r="F78" s="512" t="str">
        <f>TEXT($E78,"0.00")&amp;F$39</f>
        <v>3.02 x CPI₁</v>
      </c>
      <c r="G78" s="512" t="str">
        <f>TEXT($E78,"0.00")&amp;G$39</f>
        <v>3.02 x CPI₂</v>
      </c>
      <c r="H78" s="512" t="str">
        <f>TEXT($E78,"0.00")&amp;H$39</f>
        <v>3.02 x CPI₃</v>
      </c>
      <c r="J78" s="345" t="s">
        <v>1132</v>
      </c>
      <c r="K78" s="345"/>
      <c r="L78" s="345"/>
      <c r="M78" s="346">
        <f>'Scenario Analysis'!H144*$F$36</f>
        <v>1.7236766661955087</v>
      </c>
      <c r="N78" s="513">
        <f>N64</f>
        <v>3.02</v>
      </c>
      <c r="O78" s="513">
        <f>O64</f>
        <v>2.91</v>
      </c>
      <c r="P78" s="513">
        <f>MAX(R78:T78)</f>
        <v>3.3902382604672683</v>
      </c>
      <c r="R78" s="513">
        <f>R64</f>
        <v>2.4887010522684148</v>
      </c>
      <c r="S78" s="513">
        <f>S64</f>
        <v>2.4522030117122147</v>
      </c>
      <c r="T78" s="513">
        <f>T64</f>
        <v>3.3902382604672683</v>
      </c>
    </row>
    <row r="79" spans="2:20" x14ac:dyDescent="0.25">
      <c r="B79" s="333"/>
    </row>
    <row r="83" spans="3:16" x14ac:dyDescent="0.25">
      <c r="C83" t="s">
        <v>1267</v>
      </c>
      <c r="E83" s="514">
        <v>0.1</v>
      </c>
      <c r="G83" s="162" t="s">
        <v>1323</v>
      </c>
    </row>
    <row r="84" spans="3:16" ht="15.5" x14ac:dyDescent="0.35">
      <c r="J84" s="43"/>
    </row>
    <row r="85" spans="3:16" ht="15.5" x14ac:dyDescent="0.35">
      <c r="C85" s="43" t="s">
        <v>1268</v>
      </c>
      <c r="J85" s="43" t="s">
        <v>1431</v>
      </c>
    </row>
    <row r="86" spans="3:16" ht="15.5" x14ac:dyDescent="0.35">
      <c r="C86" s="43"/>
    </row>
    <row r="87" spans="3:16" x14ac:dyDescent="0.25">
      <c r="C87" s="42" t="s">
        <v>1147</v>
      </c>
      <c r="J87" s="42" t="s">
        <v>1147</v>
      </c>
      <c r="P87" s="42"/>
    </row>
    <row r="88" spans="3:16" x14ac:dyDescent="0.25">
      <c r="C88" s="31" t="s">
        <v>1125</v>
      </c>
      <c r="D88" s="31"/>
      <c r="E88" s="331" t="s">
        <v>1263</v>
      </c>
      <c r="F88" s="331" t="s">
        <v>1264</v>
      </c>
      <c r="G88" s="331" t="s">
        <v>1265</v>
      </c>
      <c r="H88" s="331" t="s">
        <v>1266</v>
      </c>
      <c r="J88" s="31" t="s">
        <v>1125</v>
      </c>
      <c r="K88" s="31"/>
      <c r="L88" s="331" t="s">
        <v>1263</v>
      </c>
      <c r="M88" s="331" t="s">
        <v>1327</v>
      </c>
      <c r="N88" s="331" t="s">
        <v>1328</v>
      </c>
      <c r="O88" s="331" t="s">
        <v>1261</v>
      </c>
      <c r="P88" s="331" t="s">
        <v>1328</v>
      </c>
    </row>
    <row r="89" spans="3:16" x14ac:dyDescent="0.25">
      <c r="C89" t="s">
        <v>1127</v>
      </c>
      <c r="E89" s="164">
        <f>E45*(1+$E$83)</f>
        <v>4.5870000000000006</v>
      </c>
      <c r="F89" s="201" t="str">
        <f>TEXT($E89,"0.00")&amp;F$39</f>
        <v>4.59 x CPI₁</v>
      </c>
      <c r="G89" s="163" t="str">
        <f t="shared" ref="G89:H93" si="4">TEXT($E89,"0.00")&amp;G$39</f>
        <v>4.59 x CPI₂</v>
      </c>
      <c r="H89" s="163" t="str">
        <f t="shared" si="4"/>
        <v>4.59 x CPI₃</v>
      </c>
      <c r="J89" t="s">
        <v>1127</v>
      </c>
      <c r="L89" s="164">
        <f>E45</f>
        <v>4.17</v>
      </c>
      <c r="M89" s="201">
        <f>O45</f>
        <v>3.82</v>
      </c>
      <c r="N89" s="573">
        <f>L89/M89-1</f>
        <v>9.1623036649214784E-2</v>
      </c>
      <c r="O89" s="201">
        <f>N45</f>
        <v>4.1399999999999997</v>
      </c>
      <c r="P89" s="573">
        <f>L89/O89-1</f>
        <v>7.2463768115942351E-3</v>
      </c>
    </row>
    <row r="90" spans="3:16" x14ac:dyDescent="0.25">
      <c r="C90" t="s">
        <v>1130</v>
      </c>
      <c r="E90" s="164">
        <f>E46*(1+$E$83)</f>
        <v>5.83</v>
      </c>
      <c r="F90" s="163" t="str">
        <f>TEXT($E90,"0.00")&amp;F$39</f>
        <v>5.83 x CPI₁</v>
      </c>
      <c r="G90" s="163" t="str">
        <f t="shared" si="4"/>
        <v>5.83 x CPI₂</v>
      </c>
      <c r="H90" s="163" t="str">
        <f t="shared" si="4"/>
        <v>5.83 x CPI₃</v>
      </c>
      <c r="J90" t="s">
        <v>1130</v>
      </c>
      <c r="L90" s="164">
        <f>E46</f>
        <v>5.3</v>
      </c>
      <c r="M90" s="201">
        <f>O46</f>
        <v>4.75</v>
      </c>
      <c r="N90" s="573">
        <f>L90/M90-1</f>
        <v>0.11578947368421044</v>
      </c>
      <c r="O90" s="163">
        <f>N46</f>
        <v>5.09</v>
      </c>
      <c r="P90" s="573">
        <f>L90/O90-1</f>
        <v>4.1257367387033339E-2</v>
      </c>
    </row>
    <row r="91" spans="3:16" x14ac:dyDescent="0.25">
      <c r="C91" t="s">
        <v>1128</v>
      </c>
      <c r="E91" s="164">
        <f>E47*(1+$E$83)</f>
        <v>6.6990000000000007</v>
      </c>
      <c r="F91" s="163" t="str">
        <f>TEXT($E91,"0.00")&amp;F$39</f>
        <v>6.70 x CPI₁</v>
      </c>
      <c r="G91" s="163" t="str">
        <f t="shared" si="4"/>
        <v>6.70 x CPI₂</v>
      </c>
      <c r="H91" s="163" t="str">
        <f t="shared" si="4"/>
        <v>6.70 x CPI₃</v>
      </c>
      <c r="J91" t="s">
        <v>1128</v>
      </c>
      <c r="L91" s="164">
        <f>E47</f>
        <v>6.09</v>
      </c>
      <c r="M91" s="201">
        <f>O47</f>
        <v>5.46</v>
      </c>
      <c r="N91" s="573">
        <f>L91/M91-1</f>
        <v>0.11538461538461542</v>
      </c>
      <c r="O91" s="163">
        <f>N47</f>
        <v>5.94</v>
      </c>
      <c r="P91" s="573">
        <f>L91/O91-1</f>
        <v>2.5252525252525082E-2</v>
      </c>
    </row>
    <row r="92" spans="3:16" x14ac:dyDescent="0.25">
      <c r="C92" t="s">
        <v>1129</v>
      </c>
      <c r="E92" s="164">
        <f>E48*(1+$E$83)</f>
        <v>8.9429999999999996</v>
      </c>
      <c r="F92" s="163" t="str">
        <f>TEXT($E92,"0.00")&amp;F$39</f>
        <v>8.94 x CPI₁</v>
      </c>
      <c r="G92" s="163" t="str">
        <f t="shared" si="4"/>
        <v>8.94 x CPI₂</v>
      </c>
      <c r="H92" s="163" t="str">
        <f t="shared" si="4"/>
        <v>8.94 x CPI₃</v>
      </c>
      <c r="J92" t="s">
        <v>1129</v>
      </c>
      <c r="L92" s="164">
        <f>E48</f>
        <v>8.129999999999999</v>
      </c>
      <c r="M92" s="201">
        <f>O48</f>
        <v>7.3</v>
      </c>
      <c r="N92" s="573">
        <f>L92/M92-1</f>
        <v>0.11369863013698622</v>
      </c>
      <c r="O92" s="163">
        <f>N48</f>
        <v>7.82</v>
      </c>
      <c r="P92" s="573">
        <f>L92/O92-1</f>
        <v>3.9641943734015195E-2</v>
      </c>
    </row>
    <row r="93" spans="3:16" x14ac:dyDescent="0.25">
      <c r="C93" s="197" t="s">
        <v>1131</v>
      </c>
      <c r="D93" s="197"/>
      <c r="E93" s="225">
        <f>E49*(1+$E$83)</f>
        <v>11.495000000000001</v>
      </c>
      <c r="F93" s="509" t="str">
        <f>TEXT($E93,"0.00")&amp;F$39</f>
        <v>11.50 x CPI₁</v>
      </c>
      <c r="G93" s="509" t="str">
        <f t="shared" si="4"/>
        <v>11.50 x CPI₂</v>
      </c>
      <c r="H93" s="509" t="str">
        <f t="shared" si="4"/>
        <v>11.50 x CPI₃</v>
      </c>
      <c r="J93" s="197" t="s">
        <v>1131</v>
      </c>
      <c r="K93" s="197"/>
      <c r="L93" s="225">
        <f>E49</f>
        <v>10.45</v>
      </c>
      <c r="M93" s="579">
        <f>O49</f>
        <v>9.39</v>
      </c>
      <c r="N93" s="574">
        <f>L93/M93-1</f>
        <v>0.11288604898828525</v>
      </c>
      <c r="O93" s="579">
        <f>N49</f>
        <v>10.08</v>
      </c>
      <c r="P93" s="574">
        <f>L93/O93-1</f>
        <v>3.6706349206349076E-2</v>
      </c>
    </row>
    <row r="94" spans="3:16" x14ac:dyDescent="0.25">
      <c r="L94" s="183"/>
      <c r="P94" s="572"/>
    </row>
    <row r="95" spans="3:16" x14ac:dyDescent="0.25">
      <c r="L95" s="183"/>
      <c r="P95" s="572"/>
    </row>
    <row r="96" spans="3:16" x14ac:dyDescent="0.25">
      <c r="C96" s="42" t="s">
        <v>1149</v>
      </c>
      <c r="J96" s="42" t="s">
        <v>1149</v>
      </c>
      <c r="P96" s="42"/>
    </row>
    <row r="97" spans="3:16" x14ac:dyDescent="0.25">
      <c r="C97" s="31" t="s">
        <v>1125</v>
      </c>
      <c r="D97" s="31"/>
      <c r="E97" s="331" t="s">
        <v>1263</v>
      </c>
      <c r="F97" s="331" t="s">
        <v>1264</v>
      </c>
      <c r="G97" s="331" t="s">
        <v>1265</v>
      </c>
      <c r="H97" s="331" t="s">
        <v>1266</v>
      </c>
      <c r="J97" s="31" t="s">
        <v>1125</v>
      </c>
      <c r="K97" s="31"/>
      <c r="L97" s="331" t="s">
        <v>1263</v>
      </c>
      <c r="M97" s="331"/>
      <c r="N97" s="331"/>
      <c r="O97" s="331"/>
      <c r="P97" s="331"/>
    </row>
    <row r="98" spans="3:16" x14ac:dyDescent="0.25">
      <c r="C98" t="s">
        <v>1134</v>
      </c>
      <c r="E98" s="164">
        <f t="shared" ref="E98:E103" si="5">E54*(1+$E$83)</f>
        <v>3.3220000000000005</v>
      </c>
      <c r="F98" s="163" t="str">
        <f t="shared" ref="F98:H103" si="6">TEXT($E98,"0.00")&amp;F$39</f>
        <v>3.32 x CPI₁</v>
      </c>
      <c r="G98" s="163" t="str">
        <f t="shared" si="6"/>
        <v>3.32 x CPI₂</v>
      </c>
      <c r="H98" s="163" t="str">
        <f t="shared" si="6"/>
        <v>3.32 x CPI₃</v>
      </c>
      <c r="J98" s="189" t="s">
        <v>1134</v>
      </c>
      <c r="K98" s="189"/>
      <c r="L98" s="226">
        <f t="shared" ref="L98:L103" si="7">E54</f>
        <v>3.02</v>
      </c>
      <c r="M98" s="201">
        <f t="shared" ref="M98:M103" si="8">O54</f>
        <v>2.91</v>
      </c>
      <c r="N98" s="578">
        <f t="shared" ref="N98:N103" si="9">L98/M98-1</f>
        <v>3.7800687285223233E-2</v>
      </c>
      <c r="O98" s="577">
        <f t="shared" ref="O98:O103" si="10">N54</f>
        <v>3.02</v>
      </c>
      <c r="P98" s="578">
        <f t="shared" ref="P98:P103" si="11">L98/O98-1</f>
        <v>0</v>
      </c>
    </row>
    <row r="99" spans="3:16" x14ac:dyDescent="0.25">
      <c r="C99" t="s">
        <v>1135</v>
      </c>
      <c r="E99" s="164">
        <f t="shared" si="5"/>
        <v>4.8400000000000007</v>
      </c>
      <c r="F99" s="163" t="str">
        <f t="shared" si="6"/>
        <v>4.84 x CPI₁</v>
      </c>
      <c r="G99" s="163" t="str">
        <f t="shared" si="6"/>
        <v>4.84 x CPI₂</v>
      </c>
      <c r="H99" s="163" t="str">
        <f t="shared" si="6"/>
        <v>4.84 x CPI₃</v>
      </c>
      <c r="J99" t="s">
        <v>1135</v>
      </c>
      <c r="L99" s="164">
        <f t="shared" si="7"/>
        <v>4.4000000000000004</v>
      </c>
      <c r="M99" s="201">
        <f t="shared" si="8"/>
        <v>3.96</v>
      </c>
      <c r="N99" s="573">
        <f t="shared" si="9"/>
        <v>0.11111111111111116</v>
      </c>
      <c r="O99" s="163">
        <f t="shared" si="10"/>
        <v>4.33</v>
      </c>
      <c r="P99" s="573">
        <f t="shared" si="11"/>
        <v>1.616628175519641E-2</v>
      </c>
    </row>
    <row r="100" spans="3:16" x14ac:dyDescent="0.25">
      <c r="C100" t="s">
        <v>1136</v>
      </c>
      <c r="E100" s="164">
        <f t="shared" si="5"/>
        <v>6.2150000000000007</v>
      </c>
      <c r="F100" s="163" t="str">
        <f t="shared" si="6"/>
        <v>6.22 x CPI₁</v>
      </c>
      <c r="G100" s="163" t="str">
        <f t="shared" si="6"/>
        <v>6.22 x CPI₂</v>
      </c>
      <c r="H100" s="163" t="str">
        <f t="shared" si="6"/>
        <v>6.22 x CPI₃</v>
      </c>
      <c r="J100" t="s">
        <v>1136</v>
      </c>
      <c r="L100" s="164">
        <f t="shared" si="7"/>
        <v>5.65</v>
      </c>
      <c r="M100" s="201">
        <f t="shared" si="8"/>
        <v>5.09</v>
      </c>
      <c r="N100" s="573">
        <f t="shared" si="9"/>
        <v>0.11001964636542261</v>
      </c>
      <c r="O100" s="163">
        <f t="shared" si="10"/>
        <v>5.65</v>
      </c>
      <c r="P100" s="573">
        <f t="shared" si="11"/>
        <v>0</v>
      </c>
    </row>
    <row r="101" spans="3:16" x14ac:dyDescent="0.25">
      <c r="C101" t="s">
        <v>1128</v>
      </c>
      <c r="E101" s="164">
        <f t="shared" si="5"/>
        <v>6.6330000000000009</v>
      </c>
      <c r="F101" s="163" t="str">
        <f t="shared" si="6"/>
        <v>6.63 x CPI₁</v>
      </c>
      <c r="G101" s="163" t="str">
        <f t="shared" si="6"/>
        <v>6.63 x CPI₂</v>
      </c>
      <c r="H101" s="163" t="str">
        <f t="shared" si="6"/>
        <v>6.63 x CPI₃</v>
      </c>
      <c r="J101" t="s">
        <v>1128</v>
      </c>
      <c r="L101" s="164">
        <f t="shared" si="7"/>
        <v>6.03</v>
      </c>
      <c r="M101" s="201">
        <f t="shared" si="8"/>
        <v>5.4323362831858404</v>
      </c>
      <c r="N101" s="573">
        <f t="shared" si="9"/>
        <v>0.11001964636542261</v>
      </c>
      <c r="O101" s="163">
        <f t="shared" si="10"/>
        <v>6.03</v>
      </c>
      <c r="P101" s="573">
        <f t="shared" si="11"/>
        <v>0</v>
      </c>
    </row>
    <row r="102" spans="3:16" x14ac:dyDescent="0.25">
      <c r="C102" t="s">
        <v>1129</v>
      </c>
      <c r="E102" s="164">
        <f t="shared" si="5"/>
        <v>8.91</v>
      </c>
      <c r="F102" s="163" t="str">
        <f t="shared" si="6"/>
        <v>8.91 x CPI₁</v>
      </c>
      <c r="G102" s="163" t="str">
        <f t="shared" si="6"/>
        <v>8.91 x CPI₂</v>
      </c>
      <c r="H102" s="163" t="str">
        <f t="shared" si="6"/>
        <v>8.91 x CPI₃</v>
      </c>
      <c r="J102" t="s">
        <v>1129</v>
      </c>
      <c r="L102" s="164">
        <f t="shared" si="7"/>
        <v>8.1</v>
      </c>
      <c r="M102" s="201">
        <f t="shared" si="8"/>
        <v>7.0449203539822998</v>
      </c>
      <c r="N102" s="573">
        <f t="shared" si="9"/>
        <v>0.14976459534014364</v>
      </c>
      <c r="O102" s="163">
        <f t="shared" si="10"/>
        <v>7.82</v>
      </c>
      <c r="P102" s="573">
        <f t="shared" si="11"/>
        <v>3.5805626598465423E-2</v>
      </c>
    </row>
    <row r="103" spans="3:16" x14ac:dyDescent="0.25">
      <c r="C103" s="197" t="s">
        <v>1131</v>
      </c>
      <c r="D103" s="197"/>
      <c r="E103" s="225">
        <f t="shared" si="5"/>
        <v>11.462000000000002</v>
      </c>
      <c r="F103" s="509" t="str">
        <f t="shared" si="6"/>
        <v>11.46 x CPI₁</v>
      </c>
      <c r="G103" s="509" t="str">
        <f t="shared" si="6"/>
        <v>11.46 x CPI₂</v>
      </c>
      <c r="H103" s="509" t="str">
        <f t="shared" si="6"/>
        <v>11.46 x CPI₃</v>
      </c>
      <c r="J103" s="197" t="s">
        <v>1131</v>
      </c>
      <c r="K103" s="197"/>
      <c r="L103" s="225">
        <f t="shared" si="7"/>
        <v>10.42</v>
      </c>
      <c r="M103" s="579">
        <f t="shared" si="8"/>
        <v>9.0809203539823002</v>
      </c>
      <c r="N103" s="574">
        <f t="shared" si="9"/>
        <v>0.14746078523092288</v>
      </c>
      <c r="O103" s="579">
        <f t="shared" si="10"/>
        <v>10.08</v>
      </c>
      <c r="P103" s="574">
        <f t="shared" si="11"/>
        <v>3.373015873015861E-2</v>
      </c>
    </row>
    <row r="104" spans="3:16" x14ac:dyDescent="0.25">
      <c r="L104" s="183"/>
      <c r="P104" s="572"/>
    </row>
    <row r="105" spans="3:16" x14ac:dyDescent="0.25">
      <c r="L105" s="183"/>
      <c r="P105" s="572"/>
    </row>
    <row r="106" spans="3:16" x14ac:dyDescent="0.25">
      <c r="C106" s="42" t="s">
        <v>1151</v>
      </c>
      <c r="H106" s="163"/>
      <c r="J106" s="42" t="s">
        <v>1151</v>
      </c>
      <c r="P106" s="42"/>
    </row>
    <row r="107" spans="3:16" x14ac:dyDescent="0.25">
      <c r="C107" s="31" t="s">
        <v>1125</v>
      </c>
      <c r="D107" s="31"/>
      <c r="E107" s="331" t="s">
        <v>1263</v>
      </c>
      <c r="F107" s="331" t="s">
        <v>1264</v>
      </c>
      <c r="G107" s="331" t="s">
        <v>1265</v>
      </c>
      <c r="H107" s="331" t="s">
        <v>1266</v>
      </c>
      <c r="J107" s="31" t="s">
        <v>1125</v>
      </c>
      <c r="K107" s="31"/>
      <c r="L107" s="331" t="s">
        <v>1263</v>
      </c>
      <c r="M107" s="331"/>
      <c r="N107" s="331"/>
      <c r="O107" s="331"/>
      <c r="P107" s="331"/>
    </row>
    <row r="108" spans="3:16" x14ac:dyDescent="0.25">
      <c r="C108" t="s">
        <v>1134</v>
      </c>
      <c r="E108" s="226">
        <f>E64*(1+$E$83)</f>
        <v>3.3220000000000005</v>
      </c>
      <c r="F108" s="163" t="str">
        <f t="shared" ref="F108:H111" si="12">TEXT($E108,"0.00")&amp;F$39</f>
        <v>3.32 x CPI₁</v>
      </c>
      <c r="G108" s="163" t="str">
        <f t="shared" si="12"/>
        <v>3.32 x CPI₂</v>
      </c>
      <c r="H108" s="163" t="str">
        <f t="shared" si="12"/>
        <v>3.32 x CPI₃</v>
      </c>
      <c r="J108" s="189" t="s">
        <v>1134</v>
      </c>
      <c r="K108" s="189"/>
      <c r="L108" s="226">
        <f>E64</f>
        <v>3.02</v>
      </c>
      <c r="M108" s="577">
        <f>O64</f>
        <v>2.91</v>
      </c>
      <c r="N108" s="578">
        <f>L108/M108-1</f>
        <v>3.7800687285223233E-2</v>
      </c>
      <c r="O108" s="577">
        <f>N64</f>
        <v>3.02</v>
      </c>
      <c r="P108" s="578">
        <f>L108/O108-1</f>
        <v>0</v>
      </c>
    </row>
    <row r="109" spans="3:16" x14ac:dyDescent="0.25">
      <c r="C109" t="s">
        <v>1135</v>
      </c>
      <c r="E109" s="164">
        <f>E65*(1+$E$83)</f>
        <v>4.8400000000000007</v>
      </c>
      <c r="F109" s="163" t="str">
        <f t="shared" si="12"/>
        <v>4.84 x CPI₁</v>
      </c>
      <c r="G109" s="163" t="str">
        <f t="shared" si="12"/>
        <v>4.84 x CPI₂</v>
      </c>
      <c r="H109" s="163" t="str">
        <f t="shared" si="12"/>
        <v>4.84 x CPI₃</v>
      </c>
      <c r="J109" t="s">
        <v>1135</v>
      </c>
      <c r="L109" s="183">
        <f>E65</f>
        <v>4.4000000000000004</v>
      </c>
      <c r="M109" s="212">
        <f>O65</f>
        <v>3.96</v>
      </c>
      <c r="N109" s="351">
        <f>L109/M109-1</f>
        <v>0.11111111111111116</v>
      </c>
      <c r="O109" s="164">
        <f>N65</f>
        <v>4.33</v>
      </c>
      <c r="P109" s="351">
        <f>L109/O109-1</f>
        <v>1.616628175519641E-2</v>
      </c>
    </row>
    <row r="110" spans="3:16" x14ac:dyDescent="0.25">
      <c r="C110" t="s">
        <v>1136</v>
      </c>
      <c r="E110" s="164">
        <f>E66*(1+$E$83)</f>
        <v>6.2150000000000007</v>
      </c>
      <c r="F110" s="163" t="str">
        <f t="shared" si="12"/>
        <v>6.22 x CPI₁</v>
      </c>
      <c r="G110" s="163" t="str">
        <f t="shared" si="12"/>
        <v>6.22 x CPI₂</v>
      </c>
      <c r="H110" s="163" t="str">
        <f t="shared" si="12"/>
        <v>6.22 x CPI₃</v>
      </c>
      <c r="J110" t="s">
        <v>1136</v>
      </c>
      <c r="L110" s="183">
        <f>E66</f>
        <v>5.65</v>
      </c>
      <c r="M110" s="212">
        <f>O66</f>
        <v>5.09</v>
      </c>
      <c r="N110" s="351">
        <f>L110/M110-1</f>
        <v>0.11001964636542261</v>
      </c>
      <c r="O110" s="164">
        <f>N66</f>
        <v>5.65</v>
      </c>
      <c r="P110" s="351">
        <f>L110/O110-1</f>
        <v>0</v>
      </c>
    </row>
    <row r="111" spans="3:16" x14ac:dyDescent="0.25">
      <c r="C111" s="197" t="s">
        <v>1137</v>
      </c>
      <c r="D111" s="197"/>
      <c r="E111" s="225">
        <f>E67*(1+$E$83)</f>
        <v>6.6330000000000009</v>
      </c>
      <c r="F111" s="509" t="str">
        <f t="shared" si="12"/>
        <v>6.63 x CPI₁</v>
      </c>
      <c r="G111" s="509" t="str">
        <f t="shared" si="12"/>
        <v>6.63 x CPI₂</v>
      </c>
      <c r="H111" s="509" t="str">
        <f t="shared" si="12"/>
        <v>6.63 x CPI₃</v>
      </c>
      <c r="J111" s="197" t="s">
        <v>1137</v>
      </c>
      <c r="K111" s="197"/>
      <c r="L111" s="550">
        <f>E67</f>
        <v>6.03</v>
      </c>
      <c r="M111" s="580">
        <f>O67</f>
        <v>5.4323362831858404</v>
      </c>
      <c r="N111" s="349">
        <f>L111/M111-1</f>
        <v>0.11001964636542261</v>
      </c>
      <c r="O111" s="225">
        <f>N67</f>
        <v>6.03</v>
      </c>
      <c r="P111" s="349">
        <f>L111/O111-1</f>
        <v>0</v>
      </c>
    </row>
    <row r="112" spans="3:16" x14ac:dyDescent="0.25">
      <c r="L112" s="183"/>
      <c r="P112" s="572"/>
    </row>
    <row r="113" spans="3:16" x14ac:dyDescent="0.25">
      <c r="L113" s="183"/>
      <c r="P113" s="572"/>
    </row>
    <row r="114" spans="3:16" x14ac:dyDescent="0.25">
      <c r="C114" s="42" t="s">
        <v>1150</v>
      </c>
      <c r="J114" s="42" t="s">
        <v>1150</v>
      </c>
      <c r="P114" s="42"/>
    </row>
    <row r="115" spans="3:16" x14ac:dyDescent="0.25">
      <c r="C115" s="31" t="s">
        <v>1125</v>
      </c>
      <c r="D115" s="31"/>
      <c r="E115" s="331" t="s">
        <v>1263</v>
      </c>
      <c r="F115" s="331" t="s">
        <v>1264</v>
      </c>
      <c r="G115" s="331" t="s">
        <v>1265</v>
      </c>
      <c r="H115" s="331" t="s">
        <v>1266</v>
      </c>
      <c r="J115" s="31" t="s">
        <v>1125</v>
      </c>
      <c r="K115" s="31"/>
      <c r="L115" s="331" t="s">
        <v>1263</v>
      </c>
      <c r="M115" s="331"/>
      <c r="N115" s="331"/>
      <c r="O115" s="331"/>
      <c r="P115" s="331"/>
    </row>
    <row r="116" spans="3:16" x14ac:dyDescent="0.25">
      <c r="C116" t="s">
        <v>1132</v>
      </c>
      <c r="E116" s="164">
        <f>E72*(1+$E$83)</f>
        <v>7.9090000000000007</v>
      </c>
      <c r="F116" s="163" t="str">
        <f t="shared" ref="F116:H117" si="13">TEXT($E116,"0.00")&amp;F$39</f>
        <v>7.91 x CPI₁</v>
      </c>
      <c r="G116" s="163" t="str">
        <f t="shared" si="13"/>
        <v>7.91 x CPI₂</v>
      </c>
      <c r="H116" s="238" t="str">
        <f t="shared" si="13"/>
        <v>7.91 x CPI₃</v>
      </c>
      <c r="J116" s="189" t="s">
        <v>1132</v>
      </c>
      <c r="K116" s="189"/>
      <c r="L116" s="226">
        <f>E72</f>
        <v>7.19</v>
      </c>
      <c r="M116" s="577">
        <f>O72</f>
        <v>6.48</v>
      </c>
      <c r="N116" s="578">
        <f>L116/M116-1</f>
        <v>0.10956790123456783</v>
      </c>
      <c r="O116" s="577">
        <f>N72</f>
        <v>6.97</v>
      </c>
      <c r="P116" s="578">
        <f>L116/O116-1</f>
        <v>3.1563845050215367E-2</v>
      </c>
    </row>
    <row r="117" spans="3:16" x14ac:dyDescent="0.25">
      <c r="C117" s="197" t="s">
        <v>1133</v>
      </c>
      <c r="D117" s="197"/>
      <c r="E117" s="225">
        <f>E73*(1+$E$83)</f>
        <v>9.9</v>
      </c>
      <c r="F117" s="509" t="str">
        <f t="shared" si="13"/>
        <v>9.90 x CPI₁</v>
      </c>
      <c r="G117" s="509" t="str">
        <f t="shared" si="13"/>
        <v>9.90 x CPI₂</v>
      </c>
      <c r="H117" s="509" t="str">
        <f t="shared" si="13"/>
        <v>9.90 x CPI₃</v>
      </c>
      <c r="J117" s="197" t="s">
        <v>1133</v>
      </c>
      <c r="K117" s="197"/>
      <c r="L117" s="550">
        <f>E73</f>
        <v>9</v>
      </c>
      <c r="M117" s="580">
        <f>O73</f>
        <v>8.11</v>
      </c>
      <c r="N117" s="349">
        <f>L117/M117-1</f>
        <v>0.10974106041923548</v>
      </c>
      <c r="O117" s="225">
        <f>N73</f>
        <v>8.66</v>
      </c>
      <c r="P117" s="349">
        <f>L117/O117-1</f>
        <v>3.9260969976905313E-2</v>
      </c>
    </row>
    <row r="118" spans="3:16" x14ac:dyDescent="0.25">
      <c r="L118" s="183"/>
      <c r="P118" s="572"/>
    </row>
    <row r="119" spans="3:16" x14ac:dyDescent="0.25">
      <c r="L119" s="183"/>
      <c r="P119" s="572"/>
    </row>
    <row r="120" spans="3:16" x14ac:dyDescent="0.25">
      <c r="C120" s="42" t="s">
        <v>1148</v>
      </c>
      <c r="J120" s="42" t="s">
        <v>1148</v>
      </c>
      <c r="P120" s="42"/>
    </row>
    <row r="121" spans="3:16" x14ac:dyDescent="0.25">
      <c r="C121" s="31" t="s">
        <v>1125</v>
      </c>
      <c r="D121" s="31"/>
      <c r="E121" s="331" t="s">
        <v>1263</v>
      </c>
      <c r="F121" s="331" t="s">
        <v>1264</v>
      </c>
      <c r="G121" s="331" t="s">
        <v>1265</v>
      </c>
      <c r="H121" s="331" t="s">
        <v>1266</v>
      </c>
      <c r="J121" s="31" t="s">
        <v>1125</v>
      </c>
      <c r="K121" s="31"/>
      <c r="L121" s="331" t="s">
        <v>1263</v>
      </c>
      <c r="M121" s="331"/>
      <c r="N121" s="331"/>
      <c r="O121" s="331"/>
      <c r="P121" s="331"/>
    </row>
    <row r="122" spans="3:16" x14ac:dyDescent="0.25">
      <c r="C122" s="345"/>
      <c r="D122" s="345"/>
      <c r="E122" s="225">
        <f>E78*(1+$E$83)</f>
        <v>3.3220000000000005</v>
      </c>
      <c r="F122" s="512" t="str">
        <f>TEXT($E122,"0.00")&amp;F$39</f>
        <v>3.32 x CPI₁</v>
      </c>
      <c r="G122" s="512" t="str">
        <f>TEXT($E122,"0.00")&amp;G$39</f>
        <v>3.32 x CPI₂</v>
      </c>
      <c r="H122" s="512" t="str">
        <f>TEXT($E122,"0.00")&amp;H$39</f>
        <v>3.32 x CPI₃</v>
      </c>
      <c r="J122" s="345"/>
      <c r="K122" s="345"/>
      <c r="L122" s="346">
        <f>E78</f>
        <v>3.02</v>
      </c>
      <c r="M122" s="575">
        <v>2.91</v>
      </c>
      <c r="N122" s="576">
        <f>L122/M122-1</f>
        <v>3.7800687285223233E-2</v>
      </c>
      <c r="O122" s="575">
        <f>N78</f>
        <v>3.02</v>
      </c>
      <c r="P122" s="576">
        <f>L122/O122-1</f>
        <v>0</v>
      </c>
    </row>
  </sheetData>
  <conditionalFormatting sqref="K21">
    <cfRule type="expression" dxfId="13" priority="6">
      <formula>$K$19="yes"</formula>
    </cfRule>
  </conditionalFormatting>
  <conditionalFormatting sqref="K23">
    <cfRule type="expression" dxfId="12" priority="5">
      <formula>$K$19="yes"</formula>
    </cfRule>
  </conditionalFormatting>
  <conditionalFormatting sqref="K25">
    <cfRule type="expression" dxfId="11" priority="4">
      <formula>$K$19="yes"</formula>
    </cfRule>
  </conditionalFormatting>
  <conditionalFormatting sqref="K27">
    <cfRule type="expression" dxfId="10" priority="3">
      <formula>$K$19="yes"</formula>
    </cfRule>
  </conditionalFormatting>
  <conditionalFormatting sqref="K29">
    <cfRule type="expression" dxfId="9" priority="1">
      <formula>$K$19="yes"</formula>
    </cfRule>
  </conditionalFormatting>
  <dataValidations count="3">
    <dataValidation type="list" allowBlank="1" showInputMessage="1" showErrorMessage="1" sqref="K19" xr:uid="{75904AE7-401B-4472-A0C8-E19D1D0E61B4}">
      <formula1>$M$21:$M$22</formula1>
    </dataValidation>
    <dataValidation type="list" allowBlank="1" showInputMessage="1" showErrorMessage="1" sqref="K21 K25" xr:uid="{30E90404-72EC-402D-81B7-CC760BAAD03B}">
      <formula1>$M$18:$M$20</formula1>
    </dataValidation>
    <dataValidation type="list" allowBlank="1" showInputMessage="1" showErrorMessage="1" sqref="K29" xr:uid="{FAE466F1-57C3-4882-B02A-8C6EE3BA2B62}">
      <formula1>$M$23:$M$24</formula1>
    </dataValidation>
  </dataValidations>
  <hyperlinks>
    <hyperlink ref="G83" r:id="rId1" display="https://www.ato.gov.au/businesses-and-organisations/preparing-lodging-and-paying/business-activity-statements-bas/goods-and-services-tax-gst" xr:uid="{79D78E99-B212-4DC3-A454-5925E21C1DA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3adacf-2d7f-469b-b301-424b47563262">
      <Terms xmlns="http://schemas.microsoft.com/office/infopath/2007/PartnerControls"/>
    </lcf76f155ced4ddcb4097134ff3c332f>
    <TaxCatchAll xmlns="ad6774ae-641f-49a4-a11e-a99fd92035a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73F17813ED6524CAF7FC1C8E50A1F1D" ma:contentTypeVersion="13" ma:contentTypeDescription="Create a new document." ma:contentTypeScope="" ma:versionID="658620cf2538d150596b1f1c9c405c1f">
  <xsd:schema xmlns:xsd="http://www.w3.org/2001/XMLSchema" xmlns:xs="http://www.w3.org/2001/XMLSchema" xmlns:p="http://schemas.microsoft.com/office/2006/metadata/properties" xmlns:ns2="fa3adacf-2d7f-469b-b301-424b47563262" xmlns:ns3="ad6774ae-641f-49a4-a11e-a99fd92035a6" targetNamespace="http://schemas.microsoft.com/office/2006/metadata/properties" ma:root="true" ma:fieldsID="460a6e3a3a6c83455d57a279fad0c34f" ns2:_="" ns3:_="">
    <xsd:import namespace="fa3adacf-2d7f-469b-b301-424b47563262"/>
    <xsd:import namespace="ad6774ae-641f-49a4-a11e-a99fd92035a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3adacf-2d7f-469b-b301-424b475632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c6004604-8c32-4241-8b90-5e68b4a33b5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d6774ae-641f-49a4-a11e-a99fd92035a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348c2bff-961f-48d1-996f-e0d29040580a}" ma:internalName="TaxCatchAll" ma:showField="CatchAllData" ma:web="ad6774ae-641f-49a4-a11e-a99fd92035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86B-109C-4C2E-9EB9-58A7DA8EFFF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d6774ae-641f-49a4-a11e-a99fd92035a6"/>
    <ds:schemaRef ds:uri="http://purl.org/dc/elements/1.1/"/>
    <ds:schemaRef ds:uri="http://schemas.microsoft.com/office/2006/metadata/properties"/>
    <ds:schemaRef ds:uri="fa3adacf-2d7f-469b-b301-424b47563262"/>
    <ds:schemaRef ds:uri="http://www.w3.org/XML/1998/namespace"/>
    <ds:schemaRef ds:uri="http://purl.org/dc/dcmitype/"/>
  </ds:schemaRefs>
</ds:datastoreItem>
</file>

<file path=customXml/itemProps2.xml><?xml version="1.0" encoding="utf-8"?>
<ds:datastoreItem xmlns:ds="http://schemas.openxmlformats.org/officeDocument/2006/customXml" ds:itemID="{F7324545-89A4-45ED-9194-47AEDC4BF9A7}">
  <ds:schemaRefs>
    <ds:schemaRef ds:uri="http://schemas.microsoft.com/sharepoint/v3/contenttype/forms"/>
  </ds:schemaRefs>
</ds:datastoreItem>
</file>

<file path=customXml/itemProps3.xml><?xml version="1.0" encoding="utf-8"?>
<ds:datastoreItem xmlns:ds="http://schemas.openxmlformats.org/officeDocument/2006/customXml" ds:itemID="{48AF764C-1BFA-451D-8A80-0B5FAB50C4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3adacf-2d7f-469b-b301-424b47563262"/>
    <ds:schemaRef ds:uri="ad6774ae-641f-49a4-a11e-a99fd92035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16</vt:i4>
      </vt:variant>
    </vt:vector>
  </HeadingPairs>
  <TitlesOfParts>
    <vt:vector size="39" baseType="lpstr">
      <vt:lpstr>Examples</vt:lpstr>
      <vt:lpstr>Building block QA scope</vt:lpstr>
      <vt:lpstr>Journal</vt:lpstr>
      <vt:lpstr>Other QA scope</vt:lpstr>
      <vt:lpstr>Other QA scope (Final Report)</vt:lpstr>
      <vt:lpstr>QA log</vt:lpstr>
      <vt:lpstr>QA log (Final Report)</vt:lpstr>
      <vt:lpstr>Cover</vt:lpstr>
      <vt:lpstr>Determination Tables</vt:lpstr>
      <vt:lpstr>Scenario Analysis</vt:lpstr>
      <vt:lpstr>Fare optimisation</vt:lpstr>
      <vt:lpstr>Fare optimisation - matrices</vt:lpstr>
      <vt:lpstr>MC - public transport</vt:lpstr>
      <vt:lpstr>MEC - public transport &amp; cars</vt:lpstr>
      <vt:lpstr>MEC - traffic congestion</vt:lpstr>
      <vt:lpstr>MEC - traffic accidents</vt:lpstr>
      <vt:lpstr>General inputs</vt:lpstr>
      <vt:lpstr>STM inputs</vt:lpstr>
      <vt:lpstr>Congestion inputs</vt:lpstr>
      <vt:lpstr>Trip inputs</vt:lpstr>
      <vt:lpstr>SGCCSA inputs</vt:lpstr>
      <vt:lpstr>Cost inputs</vt:lpstr>
      <vt:lpstr>CPI</vt:lpstr>
      <vt:lpstr>Examples!ExampleData1</vt:lpstr>
      <vt:lpstr>Examples!ExampleData2</vt:lpstr>
      <vt:lpstr>Examples!ExampleData3</vt:lpstr>
      <vt:lpstr>Examples!ExampleData4</vt:lpstr>
      <vt:lpstr>'Other QA scope (Final Report)'!No</vt:lpstr>
      <vt:lpstr>No</vt:lpstr>
      <vt:lpstr>'Building block QA scope'!Print_Area</vt:lpstr>
      <vt:lpstr>Cover!Print_Area</vt:lpstr>
      <vt:lpstr>CPI!Print_Area</vt:lpstr>
      <vt:lpstr>'Other QA scope'!Print_Area</vt:lpstr>
      <vt:lpstr>'Other QA scope (Final Report)'!Print_Area</vt:lpstr>
      <vt:lpstr>'QA log'!Print_Area</vt:lpstr>
      <vt:lpstr>'QA log (Final Report)'!Print_Area</vt:lpstr>
      <vt:lpstr>Table1</vt:lpstr>
      <vt:lpstr>λ</vt:lpstr>
      <vt:lpstr>μ</vt:lpstr>
    </vt:vector>
  </TitlesOfParts>
  <Company>IPART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 McLennan</dc:creator>
  <cp:lastModifiedBy>Maria Tortura</cp:lastModifiedBy>
  <cp:lastPrinted>2019-12-06T02:18:50Z</cp:lastPrinted>
  <dcterms:created xsi:type="dcterms:W3CDTF">2014-05-19T07:21:06Z</dcterms:created>
  <dcterms:modified xsi:type="dcterms:W3CDTF">2024-11-11T20:45:19Z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0x010100873F17813ED6524CAF7FC1C8E50A1F1D</vt:lpwstr>
  </property>
  <property fmtid="{D5CDD505-2E9C-101B-9397-08002B2CF9AE}" pid="3" name="MediaServiceImageTags">
    <vt:lpwstr/>
  </property>
</Properties>
</file>